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D:\Données\1.UPRT\0-UPRT.fait\1-UPRT.FR-SITE-WEB\ff-fiches-fabrications\ff.fiches.fabrication.2023\UPRT.23.aout\"/>
    </mc:Choice>
  </mc:AlternateContent>
  <xr:revisionPtr revIDLastSave="0" documentId="8_{370D656A-50B0-45C4-8721-B73989C73B16}" xr6:coauthVersionLast="47" xr6:coauthVersionMax="47" xr10:uidLastSave="{00000000-0000-0000-0000-000000000000}"/>
  <bookViews>
    <workbookView xWindow="28680" yWindow="-120" windowWidth="29040" windowHeight="15720" firstSheet="1" activeTab="5" xr2:uid="{00000000-000D-0000-FFFF-FFFF00000000}"/>
  </bookViews>
  <sheets>
    <sheet name="Magique.et.Allergènes " sheetId="110" r:id="rId1"/>
    <sheet name="Joël.Leboucher" sheetId="108" r:id="rId2"/>
    <sheet name="Nota" sheetId="72" r:id="rId3"/>
    <sheet name="IMPORTANT" sheetId="105" r:id="rId4"/>
    <sheet name="Transmission des savoirs.2025" sheetId="103" r:id="rId5"/>
    <sheet name="Exemples Michel Mariette" sheetId="63" r:id="rId6"/>
    <sheet name="Modèle Progression en suivant" sheetId="64" r:id="rId7"/>
    <sheet name="Modèle Progression à coté" sheetId="66" r:id="rId8"/>
    <sheet name="Modèle de récap" sheetId="69" r:id="rId9"/>
    <sheet name="recettes.diverses" sheetId="107" r:id="rId10"/>
    <sheet name="BB madére" sheetId="74" r:id="rId11"/>
    <sheet name="BB porto" sheetId="75" r:id="rId12"/>
    <sheet name="BB kirsch" sheetId="76" r:id="rId13"/>
    <sheet name="BB orange cointreau" sheetId="78" r:id="rId14"/>
    <sheet name="BB au cêpes" sheetId="79" r:id="rId15"/>
    <sheet name="BB coganc" sheetId="80" r:id="rId16"/>
    <sheet name="BB truffé" sheetId="81" r:id="rId17"/>
    <sheet name="Boutique OLIDA PARIS" sheetId="27" r:id="rId18"/>
    <sheet name="Produits OLIDA" sheetId="77" r:id="rId19"/>
    <sheet name="OLIDA Levallois 1892 1984" sheetId="82" r:id="rId20"/>
    <sheet name="différence Portion et Poids" sheetId="88" r:id="rId21"/>
    <sheet name="tableau.magique.05.12.20" sheetId="104" r:id="rId22"/>
    <sheet name="Epurer un texte" sheetId="86" r:id="rId23"/>
    <sheet name="Contenants" sheetId="67" r:id="rId24"/>
    <sheet name="Grammages GEMRCN" sheetId="52" r:id="rId25"/>
    <sheet name="Grammages GMRCN bis" sheetId="68" r:id="rId26"/>
    <sheet name="A Savoir" sheetId="53" r:id="rId27"/>
    <sheet name="Poids fruits et légumes" sheetId="18" r:id="rId28"/>
    <sheet name="Cuisiniers.Pesez" sheetId="90" r:id="rId29"/>
    <sheet name="Vocabulaire.(1).2025" sheetId="96" r:id="rId30"/>
    <sheet name="Vocabulaire.(2).2025" sheetId="97" r:id="rId31"/>
    <sheet name="pourcentages" sheetId="100" r:id="rId32"/>
    <sheet name="aides cuisine" sheetId="101" r:id="rId33"/>
    <sheet name="peser.sans.balance.31.01.2025" sheetId="102" r:id="rId34"/>
    <sheet name="Couleurs" sheetId="99" r:id="rId35"/>
    <sheet name="ChatGPT" sheetId="98" r:id="rId36"/>
    <sheet name="Emoticones " sheetId="93" r:id="rId37"/>
    <sheet name="Polices de Symboles" sheetId="92" r:id="rId38"/>
    <sheet name="Formats-formules-pourcentages" sheetId="62" r:id="rId39"/>
    <sheet name="Formats-Formules-Fonctions" sheetId="89" r:id="rId40"/>
    <sheet name="Tutos Youtube" sheetId="94" r:id="rId41"/>
  </sheets>
  <definedNames>
    <definedName name="_xlnm._FilterDatabase" localSheetId="26" hidden="1">'A Savoir'!#REF!</definedName>
    <definedName name="_xlnm._FilterDatabase" localSheetId="34" hidden="1">Couleurs!#REF!</definedName>
    <definedName name="_xlnm._FilterDatabase" localSheetId="33" hidden="1">'peser.sans.balance.31.01.2025'!#REF!</definedName>
    <definedName name="_xlnm.Print_Titles" localSheetId="24">'Grammages GEMRCN'!$1:$3</definedName>
    <definedName name="_xlnm.Print_Area" localSheetId="14">'BB au cêpes'!$B$2:$J$29</definedName>
    <definedName name="_xlnm.Print_Area" localSheetId="15">'BB coganc'!$B$2:$J$29</definedName>
    <definedName name="_xlnm.Print_Area" localSheetId="12">'BB kirsch'!$B$2:$J$28</definedName>
    <definedName name="_xlnm.Print_Area" localSheetId="10">'BB madére'!$B$2:$J$48</definedName>
    <definedName name="_xlnm.Print_Area" localSheetId="13">'BB orange cointreau'!$B$2:$J$28</definedName>
    <definedName name="_xlnm.Print_Area" localSheetId="11">'BB porto'!$B$2:$J$28</definedName>
    <definedName name="_xlnm.Print_Area" localSheetId="16">'BB truffé'!$B$2:$J$49</definedName>
    <definedName name="_xlnm.Print_Area" localSheetId="24">'Grammages GEMRCN'!$A$1:$L$167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 i="107" l="1"/>
  <c r="O2" i="107"/>
  <c r="E1" i="69"/>
  <c r="E2" i="69"/>
  <c r="L203" i="110"/>
  <c r="J203" i="110"/>
  <c r="B203" i="110"/>
  <c r="D203" i="110" s="1"/>
  <c r="L202" i="110"/>
  <c r="J202" i="110"/>
  <c r="B202" i="110"/>
  <c r="C202" i="110" s="1"/>
  <c r="L201" i="110"/>
  <c r="J201" i="110"/>
  <c r="B201" i="110"/>
  <c r="C201" i="110" s="1"/>
  <c r="L200" i="110"/>
  <c r="J200" i="110"/>
  <c r="B200" i="110"/>
  <c r="L199" i="110"/>
  <c r="J199" i="110"/>
  <c r="B199" i="110"/>
  <c r="C199" i="110" s="1"/>
  <c r="L198" i="110"/>
  <c r="J198" i="110"/>
  <c r="B198" i="110"/>
  <c r="L197" i="110"/>
  <c r="J197" i="110"/>
  <c r="B197" i="110"/>
  <c r="C197" i="110" s="1"/>
  <c r="L196" i="110"/>
  <c r="J196" i="110"/>
  <c r="B196" i="110"/>
  <c r="D196" i="110" s="1"/>
  <c r="L195" i="110"/>
  <c r="J195" i="110"/>
  <c r="B195" i="110"/>
  <c r="L194" i="110"/>
  <c r="J194" i="110"/>
  <c r="B194" i="110"/>
  <c r="C194" i="110" s="1"/>
  <c r="L193" i="110"/>
  <c r="J193" i="110"/>
  <c r="B193" i="110"/>
  <c r="C193" i="110" s="1"/>
  <c r="L192" i="110"/>
  <c r="J192" i="110"/>
  <c r="B192" i="110"/>
  <c r="D192" i="110" s="1"/>
  <c r="L191" i="110"/>
  <c r="J191" i="110"/>
  <c r="B191" i="110"/>
  <c r="L190" i="110"/>
  <c r="J190" i="110"/>
  <c r="B190" i="110"/>
  <c r="D190" i="110" s="1"/>
  <c r="L189" i="110"/>
  <c r="J189" i="110"/>
  <c r="B189" i="110"/>
  <c r="C189" i="110" s="1"/>
  <c r="L188" i="110"/>
  <c r="J188" i="110"/>
  <c r="B188" i="110"/>
  <c r="D188" i="110" s="1"/>
  <c r="L187" i="110"/>
  <c r="J187" i="110"/>
  <c r="B187" i="110"/>
  <c r="D187" i="110" s="1"/>
  <c r="L186" i="110"/>
  <c r="J186" i="110"/>
  <c r="B186" i="110"/>
  <c r="C186" i="110" s="1"/>
  <c r="L185" i="110"/>
  <c r="J185" i="110"/>
  <c r="B185" i="110"/>
  <c r="C185" i="110" s="1"/>
  <c r="L184" i="110"/>
  <c r="J184" i="110"/>
  <c r="B184" i="110"/>
  <c r="D184" i="110" s="1"/>
  <c r="L183" i="110"/>
  <c r="J183" i="110"/>
  <c r="B183" i="110"/>
  <c r="D183" i="110" s="1"/>
  <c r="L182" i="110"/>
  <c r="J182" i="110"/>
  <c r="B182" i="110"/>
  <c r="L181" i="110"/>
  <c r="J181" i="110"/>
  <c r="B181" i="110"/>
  <c r="D181" i="110" s="1"/>
  <c r="L180" i="110"/>
  <c r="J180" i="110"/>
  <c r="B180" i="110"/>
  <c r="D180" i="110" s="1"/>
  <c r="L179" i="110"/>
  <c r="J179" i="110"/>
  <c r="B179" i="110"/>
  <c r="L178" i="110"/>
  <c r="J178" i="110"/>
  <c r="B178" i="110"/>
  <c r="C178" i="110" s="1"/>
  <c r="L177" i="110"/>
  <c r="J177" i="110"/>
  <c r="B177" i="110"/>
  <c r="L176" i="110"/>
  <c r="J176" i="110"/>
  <c r="B176" i="110"/>
  <c r="D176" i="110" s="1"/>
  <c r="L175" i="110"/>
  <c r="J175" i="110"/>
  <c r="B175" i="110"/>
  <c r="C175" i="110" s="1"/>
  <c r="L174" i="110"/>
  <c r="J174" i="110"/>
  <c r="B174" i="110"/>
  <c r="C174" i="110" s="1"/>
  <c r="L173" i="110"/>
  <c r="J173" i="110"/>
  <c r="B173" i="110"/>
  <c r="L172" i="110"/>
  <c r="J172" i="110"/>
  <c r="B172" i="110"/>
  <c r="L171" i="110"/>
  <c r="J171" i="110"/>
  <c r="B171" i="110"/>
  <c r="L170" i="110"/>
  <c r="J170" i="110"/>
  <c r="B170" i="110"/>
  <c r="D170" i="110" s="1"/>
  <c r="L169" i="110"/>
  <c r="J169" i="110"/>
  <c r="B169" i="110"/>
  <c r="L168" i="110"/>
  <c r="J168" i="110"/>
  <c r="B168" i="110"/>
  <c r="C168" i="110" s="1"/>
  <c r="L167" i="110"/>
  <c r="J167" i="110"/>
  <c r="B167" i="110"/>
  <c r="D167" i="110" s="1"/>
  <c r="L166" i="110"/>
  <c r="J166" i="110"/>
  <c r="B166" i="110"/>
  <c r="L165" i="110"/>
  <c r="J165" i="110"/>
  <c r="B165" i="110"/>
  <c r="D165" i="110" s="1"/>
  <c r="L164" i="110"/>
  <c r="J164" i="110"/>
  <c r="B164" i="110"/>
  <c r="D164" i="110" s="1"/>
  <c r="L163" i="110"/>
  <c r="J163" i="110"/>
  <c r="B163" i="110"/>
  <c r="C163" i="110" s="1"/>
  <c r="L162" i="110"/>
  <c r="J162" i="110"/>
  <c r="B162" i="110"/>
  <c r="D162" i="110" s="1"/>
  <c r="L161" i="110"/>
  <c r="J161" i="110"/>
  <c r="B161" i="110"/>
  <c r="L160" i="110"/>
  <c r="J160" i="110"/>
  <c r="B160" i="110"/>
  <c r="C160" i="110" s="1"/>
  <c r="L159" i="110"/>
  <c r="J159" i="110"/>
  <c r="B159" i="110"/>
  <c r="D159" i="110" s="1"/>
  <c r="L158" i="110"/>
  <c r="J158" i="110"/>
  <c r="B158" i="110"/>
  <c r="D158" i="110" s="1"/>
  <c r="L157" i="110"/>
  <c r="J157" i="110"/>
  <c r="B157" i="110"/>
  <c r="C157" i="110" s="1"/>
  <c r="L156" i="110"/>
  <c r="J156" i="110"/>
  <c r="B156" i="110"/>
  <c r="L155" i="110"/>
  <c r="J155" i="110"/>
  <c r="B155" i="110"/>
  <c r="C155" i="110" s="1"/>
  <c r="L154" i="110"/>
  <c r="J154" i="110"/>
  <c r="B154" i="110"/>
  <c r="L153" i="110"/>
  <c r="J153" i="110"/>
  <c r="B153" i="110"/>
  <c r="D153" i="110" s="1"/>
  <c r="L152" i="110"/>
  <c r="J152" i="110"/>
  <c r="B152" i="110"/>
  <c r="C152" i="110" s="1"/>
  <c r="L151" i="110"/>
  <c r="J151" i="110"/>
  <c r="B151" i="110"/>
  <c r="D151" i="110" s="1"/>
  <c r="L150" i="110"/>
  <c r="J150" i="110"/>
  <c r="B150" i="110"/>
  <c r="C150" i="110" s="1"/>
  <c r="L149" i="110"/>
  <c r="J149" i="110"/>
  <c r="B149" i="110"/>
  <c r="L148" i="110"/>
  <c r="J148" i="110"/>
  <c r="B148" i="110"/>
  <c r="L147" i="110"/>
  <c r="J147" i="110"/>
  <c r="B147" i="110"/>
  <c r="L146" i="110"/>
  <c r="J146" i="110"/>
  <c r="B146" i="110"/>
  <c r="D146" i="110" s="1"/>
  <c r="L145" i="110"/>
  <c r="J145" i="110"/>
  <c r="B145" i="110"/>
  <c r="L144" i="110"/>
  <c r="J144" i="110"/>
  <c r="B144" i="110"/>
  <c r="C144" i="110" s="1"/>
  <c r="L143" i="110"/>
  <c r="J143" i="110"/>
  <c r="B143" i="110"/>
  <c r="C143" i="110" s="1"/>
  <c r="L142" i="110"/>
  <c r="J142" i="110"/>
  <c r="B142" i="110"/>
  <c r="C142" i="110" s="1"/>
  <c r="L141" i="110"/>
  <c r="J141" i="110"/>
  <c r="B141" i="110"/>
  <c r="C141" i="110" s="1"/>
  <c r="L140" i="110"/>
  <c r="J140" i="110"/>
  <c r="B140" i="110"/>
  <c r="L139" i="110"/>
  <c r="J139" i="110"/>
  <c r="B139" i="110"/>
  <c r="L138" i="110"/>
  <c r="J138" i="110"/>
  <c r="B138" i="110"/>
  <c r="D138" i="110" s="1"/>
  <c r="L137" i="110"/>
  <c r="J137" i="110"/>
  <c r="B137" i="110"/>
  <c r="D137" i="110" s="1"/>
  <c r="L136" i="110"/>
  <c r="J136" i="110"/>
  <c r="B136" i="110"/>
  <c r="C136" i="110" s="1"/>
  <c r="L135" i="110"/>
  <c r="J135" i="110"/>
  <c r="B135" i="110"/>
  <c r="D135" i="110" s="1"/>
  <c r="L134" i="110"/>
  <c r="J134" i="110"/>
  <c r="B134" i="110"/>
  <c r="C134" i="110" s="1"/>
  <c r="L133" i="110"/>
  <c r="J133" i="110"/>
  <c r="B133" i="110"/>
  <c r="D133" i="110" s="1"/>
  <c r="L132" i="110"/>
  <c r="J132" i="110"/>
  <c r="B132" i="110"/>
  <c r="D132" i="110" s="1"/>
  <c r="L131" i="110"/>
  <c r="J131" i="110"/>
  <c r="B131" i="110"/>
  <c r="D131" i="110" s="1"/>
  <c r="L130" i="110"/>
  <c r="J130" i="110"/>
  <c r="B130" i="110"/>
  <c r="C130" i="110" s="1"/>
  <c r="L129" i="110"/>
  <c r="J129" i="110"/>
  <c r="B129" i="110"/>
  <c r="C129" i="110" s="1"/>
  <c r="L128" i="110"/>
  <c r="J128" i="110"/>
  <c r="B128" i="110"/>
  <c r="C128" i="110" s="1"/>
  <c r="L127" i="110"/>
  <c r="J127" i="110"/>
  <c r="B127" i="110"/>
  <c r="L126" i="110"/>
  <c r="J126" i="110"/>
  <c r="B126" i="110"/>
  <c r="D126" i="110" s="1"/>
  <c r="L125" i="110"/>
  <c r="J125" i="110"/>
  <c r="B125" i="110"/>
  <c r="D125" i="110" s="1"/>
  <c r="L124" i="110"/>
  <c r="J124" i="110"/>
  <c r="B124" i="110"/>
  <c r="D124" i="110" s="1"/>
  <c r="L123" i="110"/>
  <c r="J123" i="110"/>
  <c r="B123" i="110"/>
  <c r="D123" i="110" s="1"/>
  <c r="L122" i="110"/>
  <c r="J122" i="110"/>
  <c r="B122" i="110"/>
  <c r="C122" i="110" s="1"/>
  <c r="L121" i="110"/>
  <c r="J121" i="110"/>
  <c r="B121" i="110"/>
  <c r="C121" i="110" s="1"/>
  <c r="L120" i="110"/>
  <c r="J120" i="110"/>
  <c r="B120" i="110"/>
  <c r="C120" i="110" s="1"/>
  <c r="L119" i="110"/>
  <c r="J119" i="110"/>
  <c r="B119" i="110"/>
  <c r="D119" i="110" s="1"/>
  <c r="L118" i="110"/>
  <c r="J118" i="110"/>
  <c r="B118" i="110"/>
  <c r="C118" i="110" s="1"/>
  <c r="L117" i="110"/>
  <c r="J117" i="110"/>
  <c r="B117" i="110"/>
  <c r="D117" i="110" s="1"/>
  <c r="L116" i="110"/>
  <c r="J116" i="110"/>
  <c r="B116" i="110"/>
  <c r="D116" i="110" s="1"/>
  <c r="L115" i="110"/>
  <c r="J115" i="110"/>
  <c r="B115" i="110"/>
  <c r="D115" i="110" s="1"/>
  <c r="L114" i="110"/>
  <c r="J114" i="110"/>
  <c r="B114" i="110"/>
  <c r="L113" i="110"/>
  <c r="J113" i="110"/>
  <c r="B113" i="110"/>
  <c r="D113" i="110" s="1"/>
  <c r="L112" i="110"/>
  <c r="J112" i="110"/>
  <c r="B112" i="110"/>
  <c r="C112" i="110" s="1"/>
  <c r="L111" i="110"/>
  <c r="J111" i="110"/>
  <c r="B111" i="110"/>
  <c r="C111" i="110" s="1"/>
  <c r="L110" i="110"/>
  <c r="J110" i="110"/>
  <c r="B110" i="110"/>
  <c r="D110" i="110" s="1"/>
  <c r="L109" i="110"/>
  <c r="J109" i="110"/>
  <c r="B109" i="110"/>
  <c r="D109" i="110" s="1"/>
  <c r="L108" i="110"/>
  <c r="J108" i="110"/>
  <c r="B108" i="110"/>
  <c r="D108" i="110" s="1"/>
  <c r="L107" i="110"/>
  <c r="J107" i="110"/>
  <c r="B107" i="110"/>
  <c r="L106" i="110"/>
  <c r="J106" i="110"/>
  <c r="B106" i="110"/>
  <c r="L105" i="110"/>
  <c r="J105" i="110"/>
  <c r="B105" i="110"/>
  <c r="C105" i="110" s="1"/>
  <c r="L104" i="110"/>
  <c r="J104" i="110"/>
  <c r="B104" i="110"/>
  <c r="L103" i="110"/>
  <c r="J103" i="110"/>
  <c r="B103" i="110"/>
  <c r="C103" i="110" s="1"/>
  <c r="L102" i="110"/>
  <c r="J102" i="110"/>
  <c r="B102" i="110"/>
  <c r="L101" i="110"/>
  <c r="J101" i="110"/>
  <c r="B101" i="110"/>
  <c r="D101" i="110" s="1"/>
  <c r="L100" i="110"/>
  <c r="J100" i="110"/>
  <c r="B100" i="110"/>
  <c r="D100" i="110" s="1"/>
  <c r="L99" i="110"/>
  <c r="J99" i="110"/>
  <c r="B99" i="110"/>
  <c r="D99" i="110" s="1"/>
  <c r="L98" i="110"/>
  <c r="J98" i="110"/>
  <c r="B98" i="110"/>
  <c r="L97" i="110"/>
  <c r="J97" i="110"/>
  <c r="B97" i="110"/>
  <c r="D97" i="110" s="1"/>
  <c r="L96" i="110"/>
  <c r="J96" i="110"/>
  <c r="B96" i="110"/>
  <c r="D96" i="110" s="1"/>
  <c r="L95" i="110"/>
  <c r="J95" i="110"/>
  <c r="B95" i="110"/>
  <c r="C95" i="110" s="1"/>
  <c r="L94" i="110"/>
  <c r="J94" i="110"/>
  <c r="B94" i="110"/>
  <c r="D94" i="110" s="1"/>
  <c r="L93" i="110"/>
  <c r="J93" i="110"/>
  <c r="B93" i="110"/>
  <c r="D93" i="110" s="1"/>
  <c r="L92" i="110"/>
  <c r="J92" i="110"/>
  <c r="B92" i="110"/>
  <c r="D92" i="110" s="1"/>
  <c r="L91" i="110"/>
  <c r="J91" i="110"/>
  <c r="B91" i="110"/>
  <c r="L90" i="110"/>
  <c r="J90" i="110"/>
  <c r="B90" i="110"/>
  <c r="L89" i="110"/>
  <c r="J89" i="110"/>
  <c r="B89" i="110"/>
  <c r="D89" i="110" s="1"/>
  <c r="L88" i="110"/>
  <c r="J88" i="110"/>
  <c r="B88" i="110"/>
  <c r="D88" i="110" s="1"/>
  <c r="L87" i="110"/>
  <c r="J87" i="110"/>
  <c r="B87" i="110"/>
  <c r="D87" i="110" s="1"/>
  <c r="L86" i="110"/>
  <c r="J86" i="110"/>
  <c r="B86" i="110"/>
  <c r="C86" i="110" s="1"/>
  <c r="L85" i="110"/>
  <c r="J85" i="110"/>
  <c r="B85" i="110"/>
  <c r="L84" i="110"/>
  <c r="J84" i="110"/>
  <c r="B84" i="110"/>
  <c r="L83" i="110"/>
  <c r="J83" i="110"/>
  <c r="B83" i="110"/>
  <c r="C83" i="110" s="1"/>
  <c r="L82" i="110"/>
  <c r="J82" i="110"/>
  <c r="B82" i="110"/>
  <c r="L81" i="110"/>
  <c r="J81" i="110"/>
  <c r="B81" i="110"/>
  <c r="C81" i="110" s="1"/>
  <c r="L80" i="110"/>
  <c r="J80" i="110"/>
  <c r="B80" i="110"/>
  <c r="L79" i="110"/>
  <c r="J79" i="110"/>
  <c r="B79" i="110"/>
  <c r="D79" i="110" s="1"/>
  <c r="L78" i="110"/>
  <c r="J78" i="110"/>
  <c r="B78" i="110"/>
  <c r="C78" i="110" s="1"/>
  <c r="L77" i="110"/>
  <c r="J77" i="110"/>
  <c r="B77" i="110"/>
  <c r="C77" i="110" s="1"/>
  <c r="L76" i="110"/>
  <c r="J76" i="110"/>
  <c r="B76" i="110"/>
  <c r="D76" i="110" s="1"/>
  <c r="L75" i="110"/>
  <c r="J75" i="110"/>
  <c r="B75" i="110"/>
  <c r="C75" i="110" s="1"/>
  <c r="L74" i="110"/>
  <c r="J74" i="110"/>
  <c r="B74" i="110"/>
  <c r="L73" i="110"/>
  <c r="J73" i="110"/>
  <c r="B73" i="110"/>
  <c r="D73" i="110" s="1"/>
  <c r="L72" i="110"/>
  <c r="J72" i="110"/>
  <c r="B72" i="110"/>
  <c r="C72" i="110" s="1"/>
  <c r="L71" i="110"/>
  <c r="J71" i="110"/>
  <c r="B71" i="110"/>
  <c r="C71" i="110" s="1"/>
  <c r="L70" i="110"/>
  <c r="J70" i="110"/>
  <c r="B70" i="110"/>
  <c r="C70" i="110" s="1"/>
  <c r="L69" i="110"/>
  <c r="J69" i="110"/>
  <c r="B69" i="110"/>
  <c r="C69" i="110" s="1"/>
  <c r="L68" i="110"/>
  <c r="J68" i="110"/>
  <c r="B68" i="110"/>
  <c r="D68" i="110" s="1"/>
  <c r="L67" i="110"/>
  <c r="J67" i="110"/>
  <c r="B67" i="110"/>
  <c r="D67" i="110" s="1"/>
  <c r="L66" i="110"/>
  <c r="J66" i="110"/>
  <c r="B66" i="110"/>
  <c r="L65" i="110"/>
  <c r="J65" i="110"/>
  <c r="B65" i="110"/>
  <c r="D65" i="110" s="1"/>
  <c r="L64" i="110"/>
  <c r="J64" i="110"/>
  <c r="B64" i="110"/>
  <c r="C64" i="110" s="1"/>
  <c r="L63" i="110"/>
  <c r="J63" i="110"/>
  <c r="B63" i="110"/>
  <c r="D63" i="110" s="1"/>
  <c r="L62" i="110"/>
  <c r="J62" i="110"/>
  <c r="B62" i="110"/>
  <c r="D62" i="110" s="1"/>
  <c r="L61" i="110"/>
  <c r="J61" i="110"/>
  <c r="B61" i="110"/>
  <c r="D61" i="110" s="1"/>
  <c r="L60" i="110"/>
  <c r="J60" i="110"/>
  <c r="B60" i="110"/>
  <c r="D60" i="110" s="1"/>
  <c r="L59" i="110"/>
  <c r="J59" i="110"/>
  <c r="B59" i="110"/>
  <c r="C59" i="110" s="1"/>
  <c r="L58" i="110"/>
  <c r="J58" i="110"/>
  <c r="B58" i="110"/>
  <c r="L57" i="110"/>
  <c r="J57" i="110"/>
  <c r="B57" i="110"/>
  <c r="L56" i="110"/>
  <c r="J56" i="110"/>
  <c r="B56" i="110"/>
  <c r="D56" i="110" s="1"/>
  <c r="L55" i="110"/>
  <c r="J55" i="110"/>
  <c r="B55" i="110"/>
  <c r="C55" i="110" s="1"/>
  <c r="L54" i="110"/>
  <c r="J54" i="110"/>
  <c r="B54" i="110"/>
  <c r="C54" i="110" s="1"/>
  <c r="L53" i="110"/>
  <c r="J53" i="110"/>
  <c r="B53" i="110"/>
  <c r="C53" i="110" s="1"/>
  <c r="L52" i="110"/>
  <c r="J52" i="110"/>
  <c r="B52" i="110"/>
  <c r="C52" i="110" s="1"/>
  <c r="L51" i="110"/>
  <c r="J51" i="110"/>
  <c r="B51" i="110"/>
  <c r="D51" i="110" s="1"/>
  <c r="L50" i="110"/>
  <c r="J50" i="110"/>
  <c r="B50" i="110"/>
  <c r="L49" i="110"/>
  <c r="J49" i="110"/>
  <c r="B49" i="110"/>
  <c r="L48" i="110"/>
  <c r="J48" i="110"/>
  <c r="B48" i="110"/>
  <c r="C48" i="110" s="1"/>
  <c r="L47" i="110"/>
  <c r="J47" i="110"/>
  <c r="B47" i="110"/>
  <c r="D47" i="110" s="1"/>
  <c r="L46" i="110"/>
  <c r="J46" i="110"/>
  <c r="B46" i="110"/>
  <c r="D46" i="110" s="1"/>
  <c r="L45" i="110"/>
  <c r="J45" i="110"/>
  <c r="B45" i="110"/>
  <c r="C45" i="110" s="1"/>
  <c r="L44" i="110"/>
  <c r="J44" i="110"/>
  <c r="B44" i="110"/>
  <c r="D44" i="110" s="1"/>
  <c r="L43" i="110"/>
  <c r="J43" i="110"/>
  <c r="B43" i="110"/>
  <c r="D43" i="110" s="1"/>
  <c r="L42" i="110"/>
  <c r="J42" i="110"/>
  <c r="B42" i="110"/>
  <c r="L41" i="110"/>
  <c r="J41" i="110"/>
  <c r="B41" i="110"/>
  <c r="D41" i="110" s="1"/>
  <c r="L40" i="110"/>
  <c r="J40" i="110"/>
  <c r="B40" i="110"/>
  <c r="C40" i="110" s="1"/>
  <c r="L39" i="110"/>
  <c r="J39" i="110"/>
  <c r="B39" i="110"/>
  <c r="D39" i="110" s="1"/>
  <c r="L38" i="110"/>
  <c r="J38" i="110"/>
  <c r="B38" i="110"/>
  <c r="D38" i="110" s="1"/>
  <c r="L37" i="110"/>
  <c r="J37" i="110"/>
  <c r="B37" i="110"/>
  <c r="C37" i="110" s="1"/>
  <c r="L36" i="110"/>
  <c r="J36" i="110"/>
  <c r="B36" i="110"/>
  <c r="D36" i="110" s="1"/>
  <c r="L35" i="110"/>
  <c r="J35" i="110"/>
  <c r="B35" i="110"/>
  <c r="D35" i="110" s="1"/>
  <c r="L34" i="110"/>
  <c r="J34" i="110"/>
  <c r="B34" i="110"/>
  <c r="L33" i="110"/>
  <c r="J33" i="110"/>
  <c r="B33" i="110"/>
  <c r="C33" i="110" s="1"/>
  <c r="L32" i="110"/>
  <c r="J32" i="110"/>
  <c r="B32" i="110"/>
  <c r="D32" i="110" s="1"/>
  <c r="L31" i="110"/>
  <c r="J31" i="110"/>
  <c r="B31" i="110"/>
  <c r="C31" i="110" s="1"/>
  <c r="L30" i="110"/>
  <c r="J30" i="110"/>
  <c r="B30" i="110"/>
  <c r="D30" i="110" s="1"/>
  <c r="L29" i="110"/>
  <c r="J29" i="110"/>
  <c r="B29" i="110"/>
  <c r="D29" i="110" s="1"/>
  <c r="L28" i="110"/>
  <c r="J28" i="110"/>
  <c r="B28" i="110"/>
  <c r="D28" i="110" s="1"/>
  <c r="L27" i="110"/>
  <c r="J27" i="110"/>
  <c r="B27" i="110"/>
  <c r="C27" i="110" s="1"/>
  <c r="L26" i="110"/>
  <c r="J26" i="110"/>
  <c r="B26" i="110"/>
  <c r="L25" i="110"/>
  <c r="J25" i="110"/>
  <c r="B25" i="110"/>
  <c r="L24" i="110"/>
  <c r="J24" i="110"/>
  <c r="B24" i="110"/>
  <c r="D24" i="110" s="1"/>
  <c r="L23" i="110"/>
  <c r="J23" i="110"/>
  <c r="B23" i="110"/>
  <c r="C23" i="110" s="1"/>
  <c r="L22" i="110"/>
  <c r="J22" i="110"/>
  <c r="B22" i="110"/>
  <c r="L21" i="110"/>
  <c r="J21" i="110"/>
  <c r="B21" i="110"/>
  <c r="D21" i="110" s="1"/>
  <c r="L20" i="110"/>
  <c r="J20" i="110"/>
  <c r="B20" i="110"/>
  <c r="D20" i="110" s="1"/>
  <c r="L19" i="110"/>
  <c r="J19" i="110"/>
  <c r="B19" i="110"/>
  <c r="C19" i="110" s="1"/>
  <c r="L18" i="110"/>
  <c r="J18" i="110"/>
  <c r="E18" i="110"/>
  <c r="B18" i="110"/>
  <c r="D18" i="110" s="1"/>
  <c r="Z16" i="110"/>
  <c r="Y16" i="110"/>
  <c r="W16" i="110"/>
  <c r="T16" i="110"/>
  <c r="O16" i="110"/>
  <c r="Z15" i="110"/>
  <c r="Y15" i="110"/>
  <c r="W15" i="110"/>
  <c r="T15" i="110"/>
  <c r="S15" i="110"/>
  <c r="O15" i="110"/>
  <c r="W17" i="110" s="1"/>
  <c r="K15" i="110"/>
  <c r="M11" i="110"/>
  <c r="M10" i="110"/>
  <c r="J10" i="110"/>
  <c r="M9" i="110"/>
  <c r="J8" i="110"/>
  <c r="K6" i="110"/>
  <c r="Q5" i="110"/>
  <c r="P5" i="110"/>
  <c r="O5" i="110"/>
  <c r="O6" i="110" s="1"/>
  <c r="N5" i="110"/>
  <c r="L5" i="110"/>
  <c r="K5" i="110"/>
  <c r="J5" i="110"/>
  <c r="A1" i="110"/>
  <c r="D75" i="110" l="1"/>
  <c r="C170" i="110"/>
  <c r="C180" i="110"/>
  <c r="D150" i="110"/>
  <c r="D155" i="110"/>
  <c r="C63" i="110"/>
  <c r="C183" i="110"/>
  <c r="C184" i="110"/>
  <c r="D55" i="110"/>
  <c r="C159" i="110"/>
  <c r="D118" i="110"/>
  <c r="D31" i="110"/>
  <c r="C119" i="110"/>
  <c r="D54" i="110"/>
  <c r="D23" i="110"/>
  <c r="W9" i="110"/>
  <c r="C126" i="110"/>
  <c r="C76" i="110"/>
  <c r="C137" i="110"/>
  <c r="C196" i="110"/>
  <c r="C158" i="110"/>
  <c r="C68" i="110"/>
  <c r="D64" i="110"/>
  <c r="D83" i="110"/>
  <c r="C32" i="110"/>
  <c r="D40" i="110"/>
  <c r="D48" i="110"/>
  <c r="C65" i="110"/>
  <c r="C99" i="110"/>
  <c r="D111" i="110"/>
  <c r="D128" i="110"/>
  <c r="D152" i="110"/>
  <c r="D168" i="110"/>
  <c r="D185" i="110"/>
  <c r="D193" i="110"/>
  <c r="D201" i="110"/>
  <c r="C18" i="110"/>
  <c r="D33" i="110"/>
  <c r="C46" i="110"/>
  <c r="D70" i="110"/>
  <c r="C87" i="110"/>
  <c r="C100" i="110"/>
  <c r="D129" i="110"/>
  <c r="D141" i="110"/>
  <c r="D174" i="110"/>
  <c r="D178" i="110"/>
  <c r="D194" i="110"/>
  <c r="D202" i="110"/>
  <c r="C109" i="110"/>
  <c r="C190" i="110"/>
  <c r="C20" i="110"/>
  <c r="C28" i="110"/>
  <c r="D52" i="110"/>
  <c r="C94" i="110"/>
  <c r="C131" i="110"/>
  <c r="C135" i="110"/>
  <c r="D143" i="110"/>
  <c r="D163" i="110"/>
  <c r="C115" i="110"/>
  <c r="C176" i="110"/>
  <c r="C188" i="110"/>
  <c r="C21" i="110"/>
  <c r="C29" i="110"/>
  <c r="D37" i="110"/>
  <c r="D95" i="110"/>
  <c r="D103" i="110"/>
  <c r="C125" i="110"/>
  <c r="D136" i="110"/>
  <c r="D144" i="110"/>
  <c r="D157" i="110"/>
  <c r="C153" i="110"/>
  <c r="D186" i="110"/>
  <c r="D53" i="110"/>
  <c r="D120" i="110"/>
  <c r="C132" i="110"/>
  <c r="D160" i="110"/>
  <c r="D189" i="110"/>
  <c r="D197" i="110"/>
  <c r="W4" i="110"/>
  <c r="D27" i="110"/>
  <c r="C39" i="110"/>
  <c r="C43" i="110"/>
  <c r="C47" i="110"/>
  <c r="D59" i="110"/>
  <c r="D71" i="110"/>
  <c r="C88" i="110"/>
  <c r="C101" i="110"/>
  <c r="C110" i="110"/>
  <c r="D130" i="110"/>
  <c r="D134" i="110"/>
  <c r="C146" i="110"/>
  <c r="D45" i="110"/>
  <c r="D77" i="110"/>
  <c r="D86" i="110"/>
  <c r="C67" i="110"/>
  <c r="C79" i="110"/>
  <c r="C187" i="110"/>
  <c r="D122" i="110"/>
  <c r="D142" i="110"/>
  <c r="C162" i="110"/>
  <c r="D175" i="110"/>
  <c r="D199" i="110"/>
  <c r="C203" i="110"/>
  <c r="C151" i="110"/>
  <c r="C167" i="110"/>
  <c r="D25" i="110"/>
  <c r="C25" i="110"/>
  <c r="D80" i="110"/>
  <c r="C80" i="110"/>
  <c r="C61" i="110"/>
  <c r="D102" i="110"/>
  <c r="C102" i="110"/>
  <c r="C36" i="110"/>
  <c r="C116" i="110"/>
  <c r="C30" i="110"/>
  <c r="D69" i="110"/>
  <c r="D84" i="110"/>
  <c r="C84" i="110"/>
  <c r="D127" i="110"/>
  <c r="C127" i="110"/>
  <c r="C56" i="110"/>
  <c r="D81" i="110"/>
  <c r="D78" i="110"/>
  <c r="D173" i="110"/>
  <c r="C173" i="110"/>
  <c r="D177" i="110"/>
  <c r="C177" i="110"/>
  <c r="C181" i="110"/>
  <c r="O8" i="110"/>
  <c r="J4" i="110"/>
  <c r="J1" i="110"/>
  <c r="C44" i="110"/>
  <c r="C51" i="110"/>
  <c r="C62" i="110"/>
  <c r="D145" i="110"/>
  <c r="C145" i="110"/>
  <c r="D34" i="110"/>
  <c r="C34" i="110"/>
  <c r="C60" i="110"/>
  <c r="C89" i="110"/>
  <c r="W5" i="110"/>
  <c r="W6" i="110"/>
  <c r="D57" i="110"/>
  <c r="C57" i="110"/>
  <c r="D140" i="110"/>
  <c r="C140" i="110"/>
  <c r="D90" i="110"/>
  <c r="C90" i="110"/>
  <c r="C93" i="110"/>
  <c r="D22" i="110"/>
  <c r="C22" i="110"/>
  <c r="C38" i="110"/>
  <c r="C124" i="110"/>
  <c r="D49" i="110"/>
  <c r="C49" i="110"/>
  <c r="D104" i="110"/>
  <c r="C104" i="110"/>
  <c r="D182" i="110"/>
  <c r="C182" i="110"/>
  <c r="D147" i="110"/>
  <c r="C147" i="110"/>
  <c r="J9" i="110"/>
  <c r="C41" i="110"/>
  <c r="D114" i="110"/>
  <c r="C114" i="110"/>
  <c r="D169" i="110"/>
  <c r="C169" i="110"/>
  <c r="D91" i="110"/>
  <c r="C91" i="110"/>
  <c r="D195" i="110"/>
  <c r="C195" i="110"/>
  <c r="D19" i="110"/>
  <c r="F18" i="110" s="1"/>
  <c r="D58" i="110"/>
  <c r="C58" i="110"/>
  <c r="C92" i="110"/>
  <c r="D105" i="110"/>
  <c r="D112" i="110"/>
  <c r="C164" i="110"/>
  <c r="D191" i="110"/>
  <c r="C191" i="110"/>
  <c r="C35" i="110"/>
  <c r="C113" i="110"/>
  <c r="C138" i="110"/>
  <c r="D82" i="110"/>
  <c r="C82" i="110"/>
  <c r="C24" i="110"/>
  <c r="C123" i="110"/>
  <c r="D139" i="110"/>
  <c r="C139" i="110"/>
  <c r="D148" i="110"/>
  <c r="C148" i="110"/>
  <c r="D161" i="110"/>
  <c r="C161" i="110"/>
  <c r="D107" i="110"/>
  <c r="C107" i="110"/>
  <c r="D166" i="110"/>
  <c r="C166" i="110"/>
  <c r="D106" i="110"/>
  <c r="C106" i="110"/>
  <c r="D72" i="110"/>
  <c r="C73" i="110"/>
  <c r="D85" i="110"/>
  <c r="C85" i="110"/>
  <c r="C96" i="110"/>
  <c r="C97" i="110"/>
  <c r="C108" i="110"/>
  <c r="C117" i="110"/>
  <c r="C133" i="110"/>
  <c r="C165" i="110"/>
  <c r="C192" i="110"/>
  <c r="D42" i="110"/>
  <c r="C42" i="110"/>
  <c r="D121" i="110"/>
  <c r="C156" i="110"/>
  <c r="D156" i="110"/>
  <c r="D26" i="110"/>
  <c r="C26" i="110"/>
  <c r="D50" i="110"/>
  <c r="C50" i="110"/>
  <c r="D74" i="110"/>
  <c r="C74" i="110"/>
  <c r="C154" i="110"/>
  <c r="D154" i="110"/>
  <c r="D198" i="110"/>
  <c r="C198" i="110"/>
  <c r="D98" i="110"/>
  <c r="C98" i="110"/>
  <c r="D179" i="110"/>
  <c r="C179" i="110"/>
  <c r="D171" i="110"/>
  <c r="C171" i="110"/>
  <c r="D200" i="110"/>
  <c r="C200" i="110"/>
  <c r="D66" i="110"/>
  <c r="C66" i="110"/>
  <c r="D149" i="110"/>
  <c r="C149" i="110"/>
  <c r="D172" i="110"/>
  <c r="C172" i="110"/>
  <c r="M18" i="110" l="1"/>
  <c r="H18" i="110" s="1"/>
  <c r="E19" i="110" s="1"/>
  <c r="F19" i="110" s="1"/>
  <c r="M19" i="110" l="1"/>
  <c r="I19" i="110" s="1"/>
  <c r="I18" i="110"/>
  <c r="G18" i="110"/>
  <c r="O18" i="110" s="1"/>
  <c r="G19" i="110" l="1"/>
  <c r="O19" i="110" s="1"/>
  <c r="P19" i="110" s="1"/>
  <c r="P18" i="110"/>
  <c r="W18" i="110"/>
  <c r="Q18" i="110"/>
  <c r="N18" i="110"/>
  <c r="H19" i="110"/>
  <c r="E20" i="110" s="1"/>
  <c r="F20" i="110" s="1"/>
  <c r="Q19" i="110" l="1"/>
  <c r="W19" i="110"/>
  <c r="AF19" i="110" s="1"/>
  <c r="AG19" i="110" s="1"/>
  <c r="AH19" i="110" s="1"/>
  <c r="AI19" i="110" s="1"/>
  <c r="AV19" i="110" s="1" a="1"/>
  <c r="AV19" i="110" s="1"/>
  <c r="N19" i="110"/>
  <c r="M20" i="110"/>
  <c r="I20" i="110" s="1"/>
  <c r="V18" i="110"/>
  <c r="AF18" i="110"/>
  <c r="AG18" i="110" s="1"/>
  <c r="AH18" i="110" s="1"/>
  <c r="AI18" i="110" s="1"/>
  <c r="BF18" i="110" s="1" a="1"/>
  <c r="BF18" i="110" s="1"/>
  <c r="BW18" i="110" s="1"/>
  <c r="AN19" i="110" l="1" a="1"/>
  <c r="AN19" i="110" s="1"/>
  <c r="BK19" i="110" s="1"/>
  <c r="V19" i="110"/>
  <c r="BF19" i="110" a="1"/>
  <c r="BF19" i="110" s="1"/>
  <c r="BW19" i="110" s="1"/>
  <c r="AX19" i="110" a="1"/>
  <c r="AX19" i="110" s="1"/>
  <c r="AL19" i="110" a="1"/>
  <c r="AL19" i="110" s="1"/>
  <c r="AM19" i="110" a="1"/>
  <c r="AM19" i="110" s="1"/>
  <c r="AY19" i="110" a="1"/>
  <c r="AY19" i="110" s="1"/>
  <c r="AO19" i="110" a="1"/>
  <c r="AO19" i="110" s="1"/>
  <c r="BL19" i="110" s="1"/>
  <c r="AT19" i="110" a="1"/>
  <c r="AT19" i="110" s="1"/>
  <c r="AQ19" i="110" a="1"/>
  <c r="AQ19" i="110" s="1"/>
  <c r="BE19" i="110" a="1"/>
  <c r="BE19" i="110" s="1"/>
  <c r="BV19" i="110" s="1"/>
  <c r="BA19" i="110" a="1"/>
  <c r="BA19" i="110" s="1"/>
  <c r="AU19" i="110" a="1"/>
  <c r="AU19" i="110" s="1"/>
  <c r="BB19" i="110" a="1"/>
  <c r="BB19" i="110" s="1"/>
  <c r="BS19" i="110" s="1"/>
  <c r="AS19" i="110" a="1"/>
  <c r="AS19" i="110" s="1"/>
  <c r="BN19" i="110" s="1"/>
  <c r="AJ19" i="110" a="1"/>
  <c r="AJ19" i="110" s="1"/>
  <c r="BH19" i="110" a="1"/>
  <c r="BH19" i="110" s="1"/>
  <c r="BC19" i="110" a="1"/>
  <c r="BC19" i="110" s="1"/>
  <c r="BT19" i="110" s="1"/>
  <c r="AR19" i="110" a="1"/>
  <c r="AR19" i="110" s="1"/>
  <c r="AP19" i="110" a="1"/>
  <c r="AP19" i="110" s="1"/>
  <c r="BG19" i="110" a="1"/>
  <c r="BG19" i="110" s="1"/>
  <c r="BD19" i="110" a="1"/>
  <c r="BD19" i="110" s="1"/>
  <c r="BU19" i="110" s="1"/>
  <c r="AK19" i="110" a="1"/>
  <c r="AK19" i="110" s="1"/>
  <c r="AZ19" i="110" a="1"/>
  <c r="AZ19" i="110" s="1"/>
  <c r="AW19" i="110" a="1"/>
  <c r="AW19" i="110" s="1"/>
  <c r="BP19" i="110" s="1"/>
  <c r="AU18" i="110" a="1"/>
  <c r="AU18" i="110" s="1"/>
  <c r="BA18" i="110" a="1"/>
  <c r="BA18" i="110" s="1"/>
  <c r="AQ18" i="110" a="1"/>
  <c r="AQ18" i="110" s="1"/>
  <c r="AO18" i="110" a="1"/>
  <c r="AO18" i="110" s="1"/>
  <c r="BL18" i="110" s="1"/>
  <c r="AS18" i="110" a="1"/>
  <c r="AS18" i="110" s="1"/>
  <c r="BN18" i="110" s="1"/>
  <c r="BE18" i="110" a="1"/>
  <c r="BE18" i="110" s="1"/>
  <c r="BV18" i="110" s="1"/>
  <c r="BB18" i="110" a="1"/>
  <c r="BB18" i="110" s="1"/>
  <c r="BS18" i="110" s="1"/>
  <c r="BD18" i="110" a="1"/>
  <c r="BD18" i="110" s="1"/>
  <c r="BU18" i="110" s="1"/>
  <c r="AM18" i="110" a="1"/>
  <c r="AM18" i="110" s="1"/>
  <c r="AL18" i="110" a="1"/>
  <c r="AL18" i="110" s="1"/>
  <c r="BC18" i="110" a="1"/>
  <c r="BC18" i="110" s="1"/>
  <c r="BT18" i="110" s="1"/>
  <c r="AJ18" i="110" a="1"/>
  <c r="AJ18" i="110" s="1"/>
  <c r="AP18" i="110" a="1"/>
  <c r="AP18" i="110" s="1"/>
  <c r="AW18" i="110" a="1"/>
  <c r="AW18" i="110" s="1"/>
  <c r="AZ18" i="110" a="1"/>
  <c r="AZ18" i="110" s="1"/>
  <c r="AT18" i="110" a="1"/>
  <c r="AT18" i="110" s="1"/>
  <c r="BG18" i="110" a="1"/>
  <c r="BG18" i="110" s="1"/>
  <c r="AN18" i="110" a="1"/>
  <c r="AN18" i="110" s="1"/>
  <c r="BK18" i="110" s="1"/>
  <c r="BH18" i="110" a="1"/>
  <c r="BH18" i="110" s="1"/>
  <c r="AX18" i="110" a="1"/>
  <c r="AX18" i="110" s="1"/>
  <c r="AV18" i="110" a="1"/>
  <c r="AV18" i="110" s="1"/>
  <c r="AY18" i="110" a="1"/>
  <c r="AY18" i="110" s="1"/>
  <c r="AK18" i="110" a="1"/>
  <c r="AK18" i="110" s="1"/>
  <c r="AR18" i="110" a="1"/>
  <c r="AR18" i="110" s="1"/>
  <c r="G20" i="110"/>
  <c r="O20" i="110" s="1"/>
  <c r="H20" i="110"/>
  <c r="E21" i="110" s="1"/>
  <c r="F21" i="110" s="1"/>
  <c r="BO18" i="110" l="1"/>
  <c r="BQ19" i="110"/>
  <c r="BI19" i="110"/>
  <c r="BJ19" i="110" s="1"/>
  <c r="AD19" i="110" s="1"/>
  <c r="BM19" i="110"/>
  <c r="BO19" i="110"/>
  <c r="BX19" i="110"/>
  <c r="BR19" i="110"/>
  <c r="BR18" i="110"/>
  <c r="BI18" i="110"/>
  <c r="BJ18" i="110" s="1"/>
  <c r="BM18" i="110"/>
  <c r="BP18" i="110"/>
  <c r="BQ18" i="110" s="1"/>
  <c r="BX18" i="110"/>
  <c r="M21" i="110"/>
  <c r="G21" i="110" s="1"/>
  <c r="O21" i="110" s="1"/>
  <c r="P20" i="110"/>
  <c r="Q20" i="110"/>
  <c r="N20" i="110"/>
  <c r="W20" i="110"/>
  <c r="AC19" i="110" l="1"/>
  <c r="AA19" i="110" s="1"/>
  <c r="Z19" i="110"/>
  <c r="AE19" i="110" s="1"/>
  <c r="AB19" i="110"/>
  <c r="P21" i="110"/>
  <c r="N21" i="110"/>
  <c r="Q21" i="110"/>
  <c r="W21" i="110"/>
  <c r="H21" i="110"/>
  <c r="E22" i="110" s="1"/>
  <c r="F22" i="110" s="1"/>
  <c r="AZ20" i="110" a="1"/>
  <c r="AZ20" i="110" s="1"/>
  <c r="AO20" i="110" a="1"/>
  <c r="AO20" i="110" s="1"/>
  <c r="BL20" i="110" s="1"/>
  <c r="AU20" i="110" a="1"/>
  <c r="AU20" i="110" s="1"/>
  <c r="AF20" i="110"/>
  <c r="AG20" i="110" s="1"/>
  <c r="AH20" i="110" s="1"/>
  <c r="AI20" i="110" s="1"/>
  <c r="AX20" i="110" s="1" a="1"/>
  <c r="AX20" i="110" s="1"/>
  <c r="BH20" i="110" a="1"/>
  <c r="BH20" i="110" s="1"/>
  <c r="BG20" i="110" a="1"/>
  <c r="BG20" i="110" s="1"/>
  <c r="V20" i="110"/>
  <c r="BF20" i="110" a="1"/>
  <c r="BF20" i="110" s="1"/>
  <c r="BW20" i="110" s="1"/>
  <c r="AV20" i="110" a="1"/>
  <c r="AV20" i="110" s="1"/>
  <c r="AR20" i="110" a="1"/>
  <c r="AR20" i="110" s="1"/>
  <c r="AQ20" i="110" a="1"/>
  <c r="AQ20" i="110" s="1"/>
  <c r="Z18" i="110"/>
  <c r="I21" i="110"/>
  <c r="AC18" i="110"/>
  <c r="AA18" i="110" s="1"/>
  <c r="AD18" i="110"/>
  <c r="AB18" i="110"/>
  <c r="Y19" i="110" l="1"/>
  <c r="S19" i="110" s="1"/>
  <c r="T19" i="110"/>
  <c r="BX20" i="110"/>
  <c r="AJ20" i="110" a="1"/>
  <c r="AJ20" i="110" s="1"/>
  <c r="BD20" i="110" a="1"/>
  <c r="BD20" i="110" s="1"/>
  <c r="BU20" i="110" s="1"/>
  <c r="BC20" i="110" a="1"/>
  <c r="BC20" i="110" s="1"/>
  <c r="BT20" i="110" s="1"/>
  <c r="AS20" i="110" a="1"/>
  <c r="AS20" i="110" s="1"/>
  <c r="BN20" i="110" s="1"/>
  <c r="T18" i="110"/>
  <c r="Y18" i="110"/>
  <c r="S18" i="110" s="1"/>
  <c r="AE18" i="110"/>
  <c r="AN20" i="110" a="1"/>
  <c r="AN20" i="110" s="1"/>
  <c r="BK20" i="110" s="1"/>
  <c r="AK20" i="110" a="1"/>
  <c r="AK20" i="110" s="1"/>
  <c r="BB20" i="110" a="1"/>
  <c r="BB20" i="110" s="1"/>
  <c r="BS20" i="110" s="1"/>
  <c r="BE20" i="110" a="1"/>
  <c r="BE20" i="110" s="1"/>
  <c r="BV20" i="110" s="1"/>
  <c r="AM20" i="110" a="1"/>
  <c r="AM20" i="110" s="1"/>
  <c r="AY20" i="110" a="1"/>
  <c r="AY20" i="110" s="1"/>
  <c r="AW20" i="110" a="1"/>
  <c r="AW20" i="110" s="1"/>
  <c r="BP20" i="110" s="1"/>
  <c r="M22" i="110"/>
  <c r="H22" i="110" s="1"/>
  <c r="E23" i="110" s="1"/>
  <c r="F23" i="110" s="1"/>
  <c r="AP20" i="110" a="1"/>
  <c r="AP20" i="110" s="1"/>
  <c r="BM20" i="110" s="1"/>
  <c r="BA20" i="110" a="1"/>
  <c r="BA20" i="110" s="1"/>
  <c r="BR20" i="110" s="1"/>
  <c r="AM21" i="110" a="1"/>
  <c r="AM21" i="110" s="1"/>
  <c r="AF21" i="110"/>
  <c r="AG21" i="110" s="1"/>
  <c r="AH21" i="110" s="1"/>
  <c r="AI21" i="110" s="1"/>
  <c r="AQ21" i="110" s="1" a="1"/>
  <c r="AQ21" i="110" s="1"/>
  <c r="AR21" i="110" a="1"/>
  <c r="AR21" i="110" s="1"/>
  <c r="V21" i="110"/>
  <c r="AL20" i="110" a="1"/>
  <c r="AL20" i="110" s="1"/>
  <c r="AT20" i="110" a="1"/>
  <c r="AT20" i="110" s="1"/>
  <c r="BO20" i="110" s="1"/>
  <c r="BQ20" i="110" l="1"/>
  <c r="BB21" i="110" a="1"/>
  <c r="BB21" i="110" s="1"/>
  <c r="BS21" i="110" s="1"/>
  <c r="AO21" i="110" a="1"/>
  <c r="AO21" i="110" s="1"/>
  <c r="BL21" i="110" s="1"/>
  <c r="AW21" i="110" a="1"/>
  <c r="AW21" i="110" s="1"/>
  <c r="AS21" i="110" a="1"/>
  <c r="AS21" i="110" s="1"/>
  <c r="BN21" i="110" s="1"/>
  <c r="BG21" i="110" a="1"/>
  <c r="BG21" i="110" s="1"/>
  <c r="BH21" i="110" a="1"/>
  <c r="BH21" i="110" s="1"/>
  <c r="I22" i="110"/>
  <c r="G22" i="110"/>
  <c r="O22" i="110" s="1"/>
  <c r="P22" i="110" s="1"/>
  <c r="M23" i="110"/>
  <c r="G23" i="110" s="1"/>
  <c r="O23" i="110" s="1"/>
  <c r="AK21" i="110" a="1"/>
  <c r="AK21" i="110" s="1"/>
  <c r="BD21" i="110" a="1"/>
  <c r="BD21" i="110" s="1"/>
  <c r="BU21" i="110" s="1"/>
  <c r="BF21" i="110" a="1"/>
  <c r="BF21" i="110" s="1"/>
  <c r="BW21" i="110" s="1"/>
  <c r="AP21" i="110" a="1"/>
  <c r="AP21" i="110" s="1"/>
  <c r="BM21" i="110" s="1"/>
  <c r="AV21" i="110" a="1"/>
  <c r="AV21" i="110" s="1"/>
  <c r="AU21" i="110" a="1"/>
  <c r="AU21" i="110" s="1"/>
  <c r="AZ21" i="110" a="1"/>
  <c r="AZ21" i="110" s="1"/>
  <c r="AN21" i="110" a="1"/>
  <c r="AN21" i="110" s="1"/>
  <c r="BK21" i="110" s="1"/>
  <c r="AY21" i="110" a="1"/>
  <c r="AY21" i="110" s="1"/>
  <c r="BE21" i="110" a="1"/>
  <c r="BE21" i="110" s="1"/>
  <c r="BV21" i="110" s="1"/>
  <c r="BA21" i="110" a="1"/>
  <c r="BA21" i="110" s="1"/>
  <c r="AL21" i="110" a="1"/>
  <c r="AL21" i="110" s="1"/>
  <c r="BC21" i="110" a="1"/>
  <c r="BC21" i="110" s="1"/>
  <c r="BT21" i="110" s="1"/>
  <c r="AX21" i="110" a="1"/>
  <c r="AX21" i="110" s="1"/>
  <c r="AT21" i="110" a="1"/>
  <c r="AT21" i="110" s="1"/>
  <c r="BI20" i="110"/>
  <c r="AJ21" i="110" a="1"/>
  <c r="AJ21" i="110" s="1"/>
  <c r="W22" i="110" l="1"/>
  <c r="V22" i="110" s="1"/>
  <c r="BI21" i="110"/>
  <c r="BJ21" i="110" s="1"/>
  <c r="N22" i="110"/>
  <c r="Q22" i="110"/>
  <c r="BX21" i="110"/>
  <c r="P23" i="110"/>
  <c r="N23" i="110"/>
  <c r="Q23" i="110"/>
  <c r="W23" i="110"/>
  <c r="BR21" i="110"/>
  <c r="AC20" i="110"/>
  <c r="AA20" i="110" s="1"/>
  <c r="Z20" i="110"/>
  <c r="BJ20" i="110"/>
  <c r="AF22" i="110"/>
  <c r="AG22" i="110" s="1"/>
  <c r="AH22" i="110" s="1"/>
  <c r="AI22" i="110" s="1"/>
  <c r="AN22" i="110" s="1" a="1"/>
  <c r="AN22" i="110" s="1"/>
  <c r="BK22" i="110" s="1"/>
  <c r="BE22" i="110" a="1"/>
  <c r="BE22" i="110" s="1"/>
  <c r="BV22" i="110" s="1"/>
  <c r="BO21" i="110"/>
  <c r="I23" i="110"/>
  <c r="H23" i="110"/>
  <c r="E24" i="110" s="1"/>
  <c r="F24" i="110" s="1"/>
  <c r="BP21" i="110"/>
  <c r="BQ21" i="110" s="1"/>
  <c r="AT22" i="110" l="1" a="1"/>
  <c r="AT22" i="110" s="1"/>
  <c r="AY22" i="110" a="1"/>
  <c r="AY22" i="110" s="1"/>
  <c r="AJ22" i="110" a="1"/>
  <c r="AJ22" i="110" s="1"/>
  <c r="AO22" i="110" a="1"/>
  <c r="AO22" i="110" s="1"/>
  <c r="BL22" i="110" s="1"/>
  <c r="BC22" i="110" a="1"/>
  <c r="BC22" i="110" s="1"/>
  <c r="BT22" i="110" s="1"/>
  <c r="AL22" i="110" a="1"/>
  <c r="AL22" i="110" s="1"/>
  <c r="BB22" i="110" a="1"/>
  <c r="BB22" i="110" s="1"/>
  <c r="BS22" i="110" s="1"/>
  <c r="AS22" i="110" a="1"/>
  <c r="AS22" i="110" s="1"/>
  <c r="BN22" i="110" s="1"/>
  <c r="AP22" i="110" a="1"/>
  <c r="AP22" i="110" s="1"/>
  <c r="AK22" i="110" a="1"/>
  <c r="AK22" i="110" s="1"/>
  <c r="AR22" i="110" a="1"/>
  <c r="AR22" i="110" s="1"/>
  <c r="BD22" i="110" a="1"/>
  <c r="BD22" i="110" s="1"/>
  <c r="BU22" i="110" s="1"/>
  <c r="AW22" i="110" a="1"/>
  <c r="AW22" i="110" s="1"/>
  <c r="AU22" i="110" a="1"/>
  <c r="AU22" i="110" s="1"/>
  <c r="BF22" i="110" a="1"/>
  <c r="BF22" i="110" s="1"/>
  <c r="BW22" i="110" s="1"/>
  <c r="AQ22" i="110" a="1"/>
  <c r="AQ22" i="110" s="1"/>
  <c r="AC21" i="110"/>
  <c r="AA21" i="110" s="1"/>
  <c r="AM22" i="110" a="1"/>
  <c r="AM22" i="110" s="1"/>
  <c r="AZ22" i="110" a="1"/>
  <c r="AZ22" i="110" s="1"/>
  <c r="BA22" i="110" a="1"/>
  <c r="BA22" i="110" s="1"/>
  <c r="AX22" i="110" a="1"/>
  <c r="AX22" i="110" s="1"/>
  <c r="BH22" i="110" a="1"/>
  <c r="BH22" i="110" s="1"/>
  <c r="AV22" i="110" a="1"/>
  <c r="AV22" i="110" s="1"/>
  <c r="BG22" i="110" a="1"/>
  <c r="BG22" i="110" s="1"/>
  <c r="M24" i="110"/>
  <c r="H24" i="110" s="1"/>
  <c r="E25" i="110" s="1"/>
  <c r="F25" i="110" s="1"/>
  <c r="Z21" i="110"/>
  <c r="AD21" i="110"/>
  <c r="AB21" i="110"/>
  <c r="V23" i="110"/>
  <c r="BF23" i="110" a="1"/>
  <c r="BF23" i="110" s="1"/>
  <c r="BW23" i="110" s="1"/>
  <c r="AR23" i="110" a="1"/>
  <c r="AR23" i="110" s="1"/>
  <c r="AF23" i="110"/>
  <c r="AG23" i="110" s="1"/>
  <c r="AH23" i="110" s="1"/>
  <c r="AI23" i="110" s="1"/>
  <c r="AW23" i="110" s="1" a="1"/>
  <c r="AW23" i="110" s="1"/>
  <c r="AB20" i="110"/>
  <c r="AE20" i="110" s="1"/>
  <c r="AD20" i="110"/>
  <c r="T20" i="110"/>
  <c r="Y20" i="110"/>
  <c r="S20" i="110" s="1"/>
  <c r="BO22" i="110" l="1"/>
  <c r="AS23" i="110" a="1"/>
  <c r="AS23" i="110" s="1"/>
  <c r="BN23" i="110" s="1"/>
  <c r="BX22" i="110"/>
  <c r="BG23" i="110" a="1"/>
  <c r="BG23" i="110" s="1"/>
  <c r="BH23" i="110" a="1"/>
  <c r="BH23" i="110" s="1"/>
  <c r="AZ23" i="110" a="1"/>
  <c r="AZ23" i="110" s="1"/>
  <c r="AP23" i="110" a="1"/>
  <c r="AP23" i="110" s="1"/>
  <c r="AK23" i="110" a="1"/>
  <c r="AK23" i="110" s="1"/>
  <c r="BR22" i="110"/>
  <c r="AJ23" i="110" a="1"/>
  <c r="AJ23" i="110" s="1"/>
  <c r="AM23" i="110" a="1"/>
  <c r="AM23" i="110" s="1"/>
  <c r="AV23" i="110" a="1"/>
  <c r="AV23" i="110" s="1"/>
  <c r="AY23" i="110" a="1"/>
  <c r="AY23" i="110" s="1"/>
  <c r="BI22" i="110"/>
  <c r="BJ22" i="110" s="1"/>
  <c r="AQ23" i="110" a="1"/>
  <c r="AQ23" i="110" s="1"/>
  <c r="BP22" i="110"/>
  <c r="BQ22" i="110" s="1"/>
  <c r="BM22" i="110"/>
  <c r="M25" i="110"/>
  <c r="H25" i="110" s="1"/>
  <c r="E26" i="110" s="1"/>
  <c r="F26" i="110" s="1"/>
  <c r="BA23" i="110" a="1"/>
  <c r="BA23" i="110" s="1"/>
  <c r="BD23" i="110" a="1"/>
  <c r="BD23" i="110" s="1"/>
  <c r="BU23" i="110" s="1"/>
  <c r="AU23" i="110" a="1"/>
  <c r="AU23" i="110" s="1"/>
  <c r="AN23" i="110" a="1"/>
  <c r="AN23" i="110" s="1"/>
  <c r="BK23" i="110" s="1"/>
  <c r="T21" i="110"/>
  <c r="AE21" i="110"/>
  <c r="Y21" i="110"/>
  <c r="S21" i="110" s="1"/>
  <c r="BE23" i="110" a="1"/>
  <c r="BE23" i="110" s="1"/>
  <c r="BV23" i="110" s="1"/>
  <c r="AT23" i="110" a="1"/>
  <c r="AT23" i="110" s="1"/>
  <c r="I24" i="110"/>
  <c r="BB23" i="110" a="1"/>
  <c r="BB23" i="110" s="1"/>
  <c r="BS23" i="110" s="1"/>
  <c r="AO23" i="110" a="1"/>
  <c r="AO23" i="110" s="1"/>
  <c r="BL23" i="110" s="1"/>
  <c r="G24" i="110"/>
  <c r="O24" i="110" s="1"/>
  <c r="AL23" i="110" a="1"/>
  <c r="AL23" i="110" s="1"/>
  <c r="BC23" i="110" a="1"/>
  <c r="BC23" i="110" s="1"/>
  <c r="BT23" i="110" s="1"/>
  <c r="AX23" i="110" a="1"/>
  <c r="AX23" i="110" s="1"/>
  <c r="BP23" i="110" s="1"/>
  <c r="BQ23" i="110" s="1"/>
  <c r="BR23" i="110" l="1"/>
  <c r="BI23" i="110"/>
  <c r="BJ23" i="110" s="1"/>
  <c r="Z22" i="110"/>
  <c r="AE22" i="110" s="1"/>
  <c r="AB22" i="110"/>
  <c r="I25" i="110"/>
  <c r="BX23" i="110"/>
  <c r="AC22" i="110"/>
  <c r="AA22" i="110" s="1"/>
  <c r="AD22" i="110"/>
  <c r="BM23" i="110"/>
  <c r="M26" i="110"/>
  <c r="I26" i="110" s="1"/>
  <c r="BO23" i="110"/>
  <c r="P24" i="110"/>
  <c r="Q24" i="110"/>
  <c r="N24" i="110"/>
  <c r="W24" i="110"/>
  <c r="G25" i="110"/>
  <c r="O25" i="110" s="1"/>
  <c r="T22" i="110" l="1"/>
  <c r="Y22" i="110"/>
  <c r="S22" i="110" s="1"/>
  <c r="Z23" i="110"/>
  <c r="T23" i="110" s="1"/>
  <c r="P25" i="110"/>
  <c r="N25" i="110"/>
  <c r="W25" i="110"/>
  <c r="Q25" i="110"/>
  <c r="BF24" i="110" a="1"/>
  <c r="BF24" i="110" s="1"/>
  <c r="BW24" i="110" s="1"/>
  <c r="AO24" i="110" a="1"/>
  <c r="AO24" i="110" s="1"/>
  <c r="BL24" i="110" s="1"/>
  <c r="AW24" i="110" a="1"/>
  <c r="AW24" i="110" s="1"/>
  <c r="BE24" i="110" a="1"/>
  <c r="BE24" i="110" s="1"/>
  <c r="BV24" i="110" s="1"/>
  <c r="AL24" i="110" a="1"/>
  <c r="AL24" i="110" s="1"/>
  <c r="AU24" i="110" a="1"/>
  <c r="AU24" i="110" s="1"/>
  <c r="AM24" i="110" a="1"/>
  <c r="AM24" i="110" s="1"/>
  <c r="AX24" i="110" a="1"/>
  <c r="AX24" i="110" s="1"/>
  <c r="AK24" i="110" a="1"/>
  <c r="AK24" i="110" s="1"/>
  <c r="AF24" i="110"/>
  <c r="AG24" i="110" s="1"/>
  <c r="AH24" i="110" s="1"/>
  <c r="AI24" i="110" s="1"/>
  <c r="AN24" i="110" s="1" a="1"/>
  <c r="AN24" i="110" s="1"/>
  <c r="BK24" i="110" s="1"/>
  <c r="AZ24" i="110" a="1"/>
  <c r="AZ24" i="110" s="1"/>
  <c r="AJ24" i="110" a="1"/>
  <c r="AJ24" i="110" s="1"/>
  <c r="AT24" i="110" a="1"/>
  <c r="AT24" i="110" s="1"/>
  <c r="BG24" i="110" a="1"/>
  <c r="BG24" i="110" s="1"/>
  <c r="BH24" i="110" a="1"/>
  <c r="BH24" i="110" s="1"/>
  <c r="BD24" i="110" a="1"/>
  <c r="BD24" i="110" s="1"/>
  <c r="BU24" i="110" s="1"/>
  <c r="V24" i="110"/>
  <c r="BC24" i="110" a="1"/>
  <c r="BC24" i="110" s="1"/>
  <c r="BT24" i="110" s="1"/>
  <c r="BB24" i="110" a="1"/>
  <c r="BB24" i="110" s="1"/>
  <c r="BS24" i="110" s="1"/>
  <c r="G26" i="110"/>
  <c r="O26" i="110" s="1"/>
  <c r="H26" i="110"/>
  <c r="E27" i="110" s="1"/>
  <c r="F27" i="110" s="1"/>
  <c r="AC23" i="110"/>
  <c r="AA23" i="110" s="1"/>
  <c r="AD23" i="110"/>
  <c r="AB23" i="110"/>
  <c r="Y23" i="110" l="1"/>
  <c r="S23" i="110" s="1"/>
  <c r="AE23" i="110"/>
  <c r="BX24" i="110"/>
  <c r="BO24" i="110"/>
  <c r="AP24" i="110" a="1"/>
  <c r="AP24" i="110" s="1"/>
  <c r="AV24" i="110" a="1"/>
  <c r="AV24" i="110" s="1"/>
  <c r="BP24" i="110" s="1"/>
  <c r="AQ24" i="110" a="1"/>
  <c r="AQ24" i="110" s="1"/>
  <c r="AY24" i="110" a="1"/>
  <c r="AY24" i="110" s="1"/>
  <c r="AR24" i="110" a="1"/>
  <c r="AR24" i="110" s="1"/>
  <c r="BA24" i="110" a="1"/>
  <c r="BA24" i="110" s="1"/>
  <c r="BR24" i="110" s="1"/>
  <c r="AS24" i="110" a="1"/>
  <c r="AS24" i="110" s="1"/>
  <c r="BN24" i="110" s="1"/>
  <c r="BI24" i="110"/>
  <c r="BJ24" i="110" s="1"/>
  <c r="M27" i="110"/>
  <c r="I27" i="110" s="1"/>
  <c r="P26" i="110"/>
  <c r="W26" i="110"/>
  <c r="N26" i="110"/>
  <c r="Q26" i="110"/>
  <c r="V25" i="110"/>
  <c r="AF25" i="110"/>
  <c r="AG25" i="110" s="1"/>
  <c r="AH25" i="110" s="1"/>
  <c r="AI25" i="110" s="1"/>
  <c r="AR25" i="110" s="1" a="1"/>
  <c r="AR25" i="110" s="1"/>
  <c r="AL25" i="110" a="1"/>
  <c r="AL25" i="110" s="1"/>
  <c r="AK25" i="110" a="1"/>
  <c r="AK25" i="110" s="1"/>
  <c r="BB25" i="110" a="1"/>
  <c r="BB25" i="110" s="1"/>
  <c r="BS25" i="110" s="1"/>
  <c r="BE25" i="110" l="1" a="1"/>
  <c r="BE25" i="110" s="1"/>
  <c r="BV25" i="110" s="1"/>
  <c r="BQ24" i="110"/>
  <c r="AT25" i="110" a="1"/>
  <c r="AT25" i="110" s="1"/>
  <c r="BG25" i="110" a="1"/>
  <c r="BG25" i="110" s="1"/>
  <c r="AJ25" i="110" a="1"/>
  <c r="AJ25" i="110" s="1"/>
  <c r="BI25" i="110" s="1"/>
  <c r="AO25" i="110" a="1"/>
  <c r="AO25" i="110" s="1"/>
  <c r="BL25" i="110" s="1"/>
  <c r="BA25" i="110" a="1"/>
  <c r="BA25" i="110" s="1"/>
  <c r="BC25" i="110" a="1"/>
  <c r="BC25" i="110" s="1"/>
  <c r="BT25" i="110" s="1"/>
  <c r="AP25" i="110" a="1"/>
  <c r="AP25" i="110" s="1"/>
  <c r="AS25" i="110" a="1"/>
  <c r="AS25" i="110" s="1"/>
  <c r="BN25" i="110" s="1"/>
  <c r="BH25" i="110" a="1"/>
  <c r="BH25" i="110" s="1"/>
  <c r="AU25" i="110" a="1"/>
  <c r="AU25" i="110" s="1"/>
  <c r="AX25" i="110" a="1"/>
  <c r="AX25" i="110" s="1"/>
  <c r="BD25" i="110" a="1"/>
  <c r="BD25" i="110" s="1"/>
  <c r="BU25" i="110" s="1"/>
  <c r="AN25" i="110" a="1"/>
  <c r="AN25" i="110" s="1"/>
  <c r="BK25" i="110" s="1"/>
  <c r="AV25" i="110" a="1"/>
  <c r="AV25" i="110" s="1"/>
  <c r="AY25" i="110" a="1"/>
  <c r="AY25" i="110" s="1"/>
  <c r="AZ25" i="110" a="1"/>
  <c r="AZ25" i="110" s="1"/>
  <c r="AM25" i="110" a="1"/>
  <c r="AM25" i="110" s="1"/>
  <c r="AW25" i="110" a="1"/>
  <c r="AW25" i="110" s="1"/>
  <c r="BP25" i="110" s="1"/>
  <c r="BF25" i="110" a="1"/>
  <c r="BF25" i="110" s="1"/>
  <c r="BW25" i="110" s="1"/>
  <c r="AQ25" i="110" a="1"/>
  <c r="AQ25" i="110" s="1"/>
  <c r="BM25" i="110" s="1"/>
  <c r="BM24" i="110"/>
  <c r="Z24" i="110" s="1"/>
  <c r="V26" i="110"/>
  <c r="AF26" i="110"/>
  <c r="AG26" i="110" s="1"/>
  <c r="AH26" i="110" s="1"/>
  <c r="AI26" i="110" s="1"/>
  <c r="BG26" i="110" s="1" a="1"/>
  <c r="BG26" i="110" s="1"/>
  <c r="AO26" i="110" a="1"/>
  <c r="AO26" i="110" s="1"/>
  <c r="BL26" i="110" s="1"/>
  <c r="AL26" i="110" a="1"/>
  <c r="AL26" i="110" s="1"/>
  <c r="BF26" i="110" a="1"/>
  <c r="BF26" i="110" s="1"/>
  <c r="BW26" i="110" s="1"/>
  <c r="G27" i="110"/>
  <c r="O27" i="110" s="1"/>
  <c r="H27" i="110"/>
  <c r="E28" i="110" s="1"/>
  <c r="F28" i="110" s="1"/>
  <c r="AD24" i="110"/>
  <c r="AB24" i="110"/>
  <c r="BO25" i="110" l="1"/>
  <c r="AT26" i="110" a="1"/>
  <c r="AT26" i="110" s="1"/>
  <c r="AR26" i="110" a="1"/>
  <c r="AR26" i="110" s="1"/>
  <c r="AJ26" i="110" a="1"/>
  <c r="AJ26" i="110" s="1"/>
  <c r="AX26" i="110" a="1"/>
  <c r="AX26" i="110" s="1"/>
  <c r="AV26" i="110" a="1"/>
  <c r="AV26" i="110" s="1"/>
  <c r="AS26" i="110" a="1"/>
  <c r="AS26" i="110" s="1"/>
  <c r="BN26" i="110" s="1"/>
  <c r="BR25" i="110"/>
  <c r="BX25" i="110"/>
  <c r="BQ25" i="110"/>
  <c r="T24" i="110"/>
  <c r="Y24" i="110"/>
  <c r="S24" i="110" s="1"/>
  <c r="AU26" i="110" a="1"/>
  <c r="AU26" i="110" s="1"/>
  <c r="AM26" i="110" a="1"/>
  <c r="AM26" i="110" s="1"/>
  <c r="BD26" i="110" a="1"/>
  <c r="BD26" i="110" s="1"/>
  <c r="BU26" i="110" s="1"/>
  <c r="AK26" i="110" a="1"/>
  <c r="AK26" i="110" s="1"/>
  <c r="AY26" i="110" a="1"/>
  <c r="AY26" i="110" s="1"/>
  <c r="BJ25" i="110"/>
  <c r="AB25" i="110" s="1"/>
  <c r="BE26" i="110" a="1"/>
  <c r="BE26" i="110" s="1"/>
  <c r="BV26" i="110" s="1"/>
  <c r="AC25" i="110"/>
  <c r="AA25" i="110" s="1"/>
  <c r="AZ26" i="110" a="1"/>
  <c r="AZ26" i="110" s="1"/>
  <c r="BH26" i="110" a="1"/>
  <c r="BH26" i="110" s="1"/>
  <c r="BX26" i="110" s="1"/>
  <c r="AP26" i="110" a="1"/>
  <c r="AP26" i="110" s="1"/>
  <c r="BA26" i="110" a="1"/>
  <c r="BA26" i="110" s="1"/>
  <c r="AQ26" i="110" a="1"/>
  <c r="AQ26" i="110" s="1"/>
  <c r="BB26" i="110" a="1"/>
  <c r="BB26" i="110" s="1"/>
  <c r="BS26" i="110" s="1"/>
  <c r="AC24" i="110"/>
  <c r="AA24" i="110" s="1"/>
  <c r="AW26" i="110" a="1"/>
  <c r="AW26" i="110" s="1"/>
  <c r="BC26" i="110" a="1"/>
  <c r="BC26" i="110" s="1"/>
  <c r="BT26" i="110" s="1"/>
  <c r="AN26" i="110" a="1"/>
  <c r="AN26" i="110" s="1"/>
  <c r="BK26" i="110" s="1"/>
  <c r="AE24" i="110"/>
  <c r="P27" i="110"/>
  <c r="W27" i="110"/>
  <c r="N27" i="110"/>
  <c r="Q27" i="110"/>
  <c r="M28" i="110"/>
  <c r="I28" i="110" s="1"/>
  <c r="AD25" i="110"/>
  <c r="Z25" i="110" l="1"/>
  <c r="T25" i="110" s="1"/>
  <c r="BI26" i="110"/>
  <c r="BO26" i="110"/>
  <c r="BP26" i="110"/>
  <c r="BQ26" i="110" s="1"/>
  <c r="Y25" i="110"/>
  <c r="S25" i="110" s="1"/>
  <c r="AE25" i="110"/>
  <c r="BM26" i="110"/>
  <c r="BR26" i="110"/>
  <c r="BJ26" i="110"/>
  <c r="G28" i="110"/>
  <c r="O28" i="110" s="1"/>
  <c r="H28" i="110"/>
  <c r="E29" i="110" s="1"/>
  <c r="F29" i="110" s="1"/>
  <c r="V27" i="110"/>
  <c r="BD27" i="110" a="1"/>
  <c r="BD27" i="110" s="1"/>
  <c r="BU27" i="110" s="1"/>
  <c r="BB27" i="110" a="1"/>
  <c r="BB27" i="110" s="1"/>
  <c r="BS27" i="110" s="1"/>
  <c r="AN27" i="110" a="1"/>
  <c r="AN27" i="110" s="1"/>
  <c r="BK27" i="110" s="1"/>
  <c r="AY27" i="110" a="1"/>
  <c r="AY27" i="110" s="1"/>
  <c r="BE27" i="110" a="1"/>
  <c r="BE27" i="110" s="1"/>
  <c r="BV27" i="110" s="1"/>
  <c r="BA27" i="110" a="1"/>
  <c r="BA27" i="110" s="1"/>
  <c r="AU27" i="110" a="1"/>
  <c r="AU27" i="110" s="1"/>
  <c r="AS27" i="110" a="1"/>
  <c r="AS27" i="110" s="1"/>
  <c r="BN27" i="110" s="1"/>
  <c r="AJ27" i="110" a="1"/>
  <c r="AJ27" i="110" s="1"/>
  <c r="AF27" i="110"/>
  <c r="AG27" i="110" s="1"/>
  <c r="AH27" i="110" s="1"/>
  <c r="AI27" i="110" s="1"/>
  <c r="AL27" i="110" s="1" a="1"/>
  <c r="AL27" i="110" s="1"/>
  <c r="AD26" i="110" l="1"/>
  <c r="Z26" i="110"/>
  <c r="T26" i="110" s="1"/>
  <c r="AC26" i="110"/>
  <c r="AA26" i="110" s="1"/>
  <c r="AB26" i="110"/>
  <c r="Y26" i="110"/>
  <c r="S26" i="110" s="1"/>
  <c r="BC27" i="110" a="1"/>
  <c r="BC27" i="110" s="1"/>
  <c r="BT27" i="110" s="1"/>
  <c r="AQ27" i="110" a="1"/>
  <c r="AQ27" i="110" s="1"/>
  <c r="AM27" i="110" a="1"/>
  <c r="AM27" i="110" s="1"/>
  <c r="BF27" i="110" a="1"/>
  <c r="BF27" i="110" s="1"/>
  <c r="BW27" i="110" s="1"/>
  <c r="AW27" i="110" a="1"/>
  <c r="AW27" i="110" s="1"/>
  <c r="BH27" i="110" a="1"/>
  <c r="BH27" i="110" s="1"/>
  <c r="AO27" i="110" a="1"/>
  <c r="AO27" i="110" s="1"/>
  <c r="BL27" i="110" s="1"/>
  <c r="AX27" i="110" a="1"/>
  <c r="AX27" i="110" s="1"/>
  <c r="AT27" i="110" a="1"/>
  <c r="AT27" i="110" s="1"/>
  <c r="BO27" i="110" s="1"/>
  <c r="AR27" i="110" a="1"/>
  <c r="AR27" i="110" s="1"/>
  <c r="AP27" i="110" a="1"/>
  <c r="AP27" i="110" s="1"/>
  <c r="BG27" i="110" a="1"/>
  <c r="BG27" i="110" s="1"/>
  <c r="AK27" i="110" a="1"/>
  <c r="AK27" i="110" s="1"/>
  <c r="BI27" i="110" s="1"/>
  <c r="AV27" i="110" a="1"/>
  <c r="AV27" i="110" s="1"/>
  <c r="AZ27" i="110" a="1"/>
  <c r="AZ27" i="110" s="1"/>
  <c r="BR27" i="110" s="1"/>
  <c r="M29" i="110"/>
  <c r="H29" i="110"/>
  <c r="E30" i="110" s="1"/>
  <c r="F30" i="110" s="1"/>
  <c r="G29" i="110"/>
  <c r="O29" i="110" s="1"/>
  <c r="I29" i="110"/>
  <c r="P28" i="110"/>
  <c r="Q28" i="110"/>
  <c r="W28" i="110"/>
  <c r="N28" i="110"/>
  <c r="AE26" i="110" l="1"/>
  <c r="BX27" i="110"/>
  <c r="BM27" i="110"/>
  <c r="BJ27" i="110"/>
  <c r="BP27" i="110"/>
  <c r="BQ27" i="110" s="1"/>
  <c r="P29" i="110"/>
  <c r="Q29" i="110"/>
  <c r="N29" i="110"/>
  <c r="W29" i="110"/>
  <c r="M30" i="110"/>
  <c r="I30" i="110" s="1"/>
  <c r="BB28" i="110" a="1"/>
  <c r="BB28" i="110" s="1"/>
  <c r="BS28" i="110" s="1"/>
  <c r="AK28" i="110" a="1"/>
  <c r="AK28" i="110" s="1"/>
  <c r="AS28" i="110" a="1"/>
  <c r="AS28" i="110" s="1"/>
  <c r="BN28" i="110" s="1"/>
  <c r="BH28" i="110" a="1"/>
  <c r="BH28" i="110" s="1"/>
  <c r="AX28" i="110" a="1"/>
  <c r="AX28" i="110" s="1"/>
  <c r="BG28" i="110" a="1"/>
  <c r="BG28" i="110" s="1"/>
  <c r="AN28" i="110" a="1"/>
  <c r="AN28" i="110" s="1"/>
  <c r="BK28" i="110" s="1"/>
  <c r="BD28" i="110" a="1"/>
  <c r="BD28" i="110" s="1"/>
  <c r="BU28" i="110" s="1"/>
  <c r="AR28" i="110" a="1"/>
  <c r="AR28" i="110" s="1"/>
  <c r="BC28" i="110" a="1"/>
  <c r="BC28" i="110" s="1"/>
  <c r="BT28" i="110" s="1"/>
  <c r="AQ28" i="110" a="1"/>
  <c r="AQ28" i="110" s="1"/>
  <c r="AV28" i="110" a="1"/>
  <c r="AV28" i="110" s="1"/>
  <c r="BF28" i="110" a="1"/>
  <c r="BF28" i="110" s="1"/>
  <c r="BW28" i="110" s="1"/>
  <c r="AT28" i="110" a="1"/>
  <c r="AT28" i="110" s="1"/>
  <c r="V28" i="110"/>
  <c r="AF28" i="110"/>
  <c r="AG28" i="110" s="1"/>
  <c r="AH28" i="110" s="1"/>
  <c r="AI28" i="110" s="1"/>
  <c r="AU28" i="110" a="1"/>
  <c r="AU28" i="110" s="1"/>
  <c r="AJ28" i="110" a="1"/>
  <c r="AJ28" i="110" s="1"/>
  <c r="AW28" i="110" a="1"/>
  <c r="AW28" i="110" s="1"/>
  <c r="BE28" i="110" a="1"/>
  <c r="BE28" i="110" s="1"/>
  <c r="BV28" i="110" s="1"/>
  <c r="BA28" i="110" a="1"/>
  <c r="BA28" i="110" s="1"/>
  <c r="AZ28" i="110" a="1"/>
  <c r="AZ28" i="110" s="1"/>
  <c r="AY28" i="110" a="1"/>
  <c r="AY28" i="110" s="1"/>
  <c r="AP28" i="110" a="1"/>
  <c r="AP28" i="110" s="1"/>
  <c r="BM28" i="110" s="1"/>
  <c r="AO28" i="110" a="1"/>
  <c r="AO28" i="110" s="1"/>
  <c r="BL28" i="110" s="1"/>
  <c r="AM28" i="110" a="1"/>
  <c r="AM28" i="110" s="1"/>
  <c r="AL28" i="110" a="1"/>
  <c r="AL28" i="110" s="1"/>
  <c r="BP28" i="110" l="1"/>
  <c r="BQ28" i="110" s="1"/>
  <c r="BR28" i="110"/>
  <c r="BX28" i="110"/>
  <c r="BI28" i="110"/>
  <c r="BO28" i="110"/>
  <c r="G30" i="110"/>
  <c r="O30" i="110" s="1"/>
  <c r="H30" i="110"/>
  <c r="E31" i="110" s="1"/>
  <c r="F31" i="110" s="1"/>
  <c r="AL29" i="110" a="1"/>
  <c r="AL29" i="110" s="1"/>
  <c r="AJ29" i="110" a="1"/>
  <c r="AJ29" i="110" s="1"/>
  <c r="BA29" i="110" a="1"/>
  <c r="BA29" i="110" s="1"/>
  <c r="BC29" i="110" a="1"/>
  <c r="BC29" i="110" s="1"/>
  <c r="BT29" i="110" s="1"/>
  <c r="V29" i="110"/>
  <c r="AS29" i="110" a="1"/>
  <c r="AS29" i="110" s="1"/>
  <c r="BN29" i="110" s="1"/>
  <c r="BD29" i="110" a="1"/>
  <c r="BD29" i="110" s="1"/>
  <c r="BU29" i="110" s="1"/>
  <c r="AU29" i="110" a="1"/>
  <c r="AU29" i="110" s="1"/>
  <c r="AT29" i="110" a="1"/>
  <c r="AT29" i="110" s="1"/>
  <c r="AR29" i="110" a="1"/>
  <c r="AR29" i="110" s="1"/>
  <c r="AF29" i="110"/>
  <c r="AG29" i="110" s="1"/>
  <c r="AH29" i="110" s="1"/>
  <c r="AI29" i="110" s="1"/>
  <c r="AW29" i="110" s="1" a="1"/>
  <c r="AW29" i="110" s="1"/>
  <c r="BH29" i="110" a="1"/>
  <c r="BH29" i="110" s="1"/>
  <c r="AB27" i="110"/>
  <c r="AD27" i="110"/>
  <c r="Z27" i="110"/>
  <c r="AC27" i="110"/>
  <c r="AA27" i="110" s="1"/>
  <c r="Z28" i="110" l="1"/>
  <c r="T28" i="110" s="1"/>
  <c r="AC28" i="110"/>
  <c r="AA28" i="110" s="1"/>
  <c r="BJ28" i="110"/>
  <c r="BO29" i="110"/>
  <c r="AY29" i="110" a="1"/>
  <c r="AY29" i="110" s="1"/>
  <c r="BF29" i="110" a="1"/>
  <c r="BF29" i="110" s="1"/>
  <c r="BW29" i="110" s="1"/>
  <c r="BB29" i="110" a="1"/>
  <c r="BB29" i="110" s="1"/>
  <c r="BS29" i="110" s="1"/>
  <c r="AV29" i="110" a="1"/>
  <c r="AV29" i="110" s="1"/>
  <c r="AP29" i="110" a="1"/>
  <c r="AP29" i="110" s="1"/>
  <c r="T27" i="110"/>
  <c r="AE27" i="110"/>
  <c r="Y27" i="110"/>
  <c r="S27" i="110" s="1"/>
  <c r="BG29" i="110" a="1"/>
  <c r="BG29" i="110" s="1"/>
  <c r="BX29" i="110" s="1"/>
  <c r="AN29" i="110" a="1"/>
  <c r="AN29" i="110" s="1"/>
  <c r="BK29" i="110" s="1"/>
  <c r="BE29" i="110" a="1"/>
  <c r="BE29" i="110" s="1"/>
  <c r="BV29" i="110" s="1"/>
  <c r="AX29" i="110" a="1"/>
  <c r="AX29" i="110" s="1"/>
  <c r="AK29" i="110" a="1"/>
  <c r="AK29" i="110" s="1"/>
  <c r="BI29" i="110" s="1"/>
  <c r="AM29" i="110" a="1"/>
  <c r="AM29" i="110" s="1"/>
  <c r="M31" i="110"/>
  <c r="H31" i="110" s="1"/>
  <c r="E32" i="110" s="1"/>
  <c r="F32" i="110" s="1"/>
  <c r="AZ29" i="110" a="1"/>
  <c r="AZ29" i="110" s="1"/>
  <c r="BR29" i="110" s="1"/>
  <c r="P30" i="110"/>
  <c r="Q30" i="110"/>
  <c r="W30" i="110"/>
  <c r="N30" i="110"/>
  <c r="AQ29" i="110" a="1"/>
  <c r="AQ29" i="110" s="1"/>
  <c r="Y28" i="110"/>
  <c r="S28" i="110" s="1"/>
  <c r="AO29" i="110" a="1"/>
  <c r="AO29" i="110" s="1"/>
  <c r="BL29" i="110" s="1"/>
  <c r="AB28" i="110"/>
  <c r="AE28" i="110" s="1"/>
  <c r="AD28" i="110"/>
  <c r="BP29" i="110" l="1"/>
  <c r="BQ29" i="110" s="1"/>
  <c r="M32" i="110"/>
  <c r="H32" i="110" s="1"/>
  <c r="E33" i="110" s="1"/>
  <c r="F33" i="110" s="1"/>
  <c r="BJ29" i="110"/>
  <c r="AZ30" i="110" a="1"/>
  <c r="AZ30" i="110" s="1"/>
  <c r="AQ30" i="110" a="1"/>
  <c r="AQ30" i="110" s="1"/>
  <c r="BH30" i="110" a="1"/>
  <c r="BH30" i="110" s="1"/>
  <c r="AY30" i="110" a="1"/>
  <c r="AY30" i="110" s="1"/>
  <c r="AF30" i="110"/>
  <c r="AG30" i="110" s="1"/>
  <c r="AH30" i="110" s="1"/>
  <c r="AI30" i="110" s="1"/>
  <c r="AO30" i="110" a="1"/>
  <c r="AO30" i="110" s="1"/>
  <c r="BL30" i="110" s="1"/>
  <c r="AX30" i="110" a="1"/>
  <c r="AX30" i="110" s="1"/>
  <c r="AU30" i="110" a="1"/>
  <c r="AU30" i="110" s="1"/>
  <c r="BE30" i="110" a="1"/>
  <c r="BE30" i="110" s="1"/>
  <c r="BV30" i="110" s="1"/>
  <c r="AJ30" i="110" a="1"/>
  <c r="AJ30" i="110" s="1"/>
  <c r="AT30" i="110" a="1"/>
  <c r="AT30" i="110" s="1"/>
  <c r="BG30" i="110" a="1"/>
  <c r="BG30" i="110" s="1"/>
  <c r="AS30" i="110" a="1"/>
  <c r="AS30" i="110" s="1"/>
  <c r="BN30" i="110" s="1"/>
  <c r="AP30" i="110" a="1"/>
  <c r="AP30" i="110" s="1"/>
  <c r="BC30" i="110" a="1"/>
  <c r="BC30" i="110" s="1"/>
  <c r="BT30" i="110" s="1"/>
  <c r="AN30" i="110" a="1"/>
  <c r="AN30" i="110" s="1"/>
  <c r="BK30" i="110" s="1"/>
  <c r="BF30" i="110" a="1"/>
  <c r="BF30" i="110" s="1"/>
  <c r="BW30" i="110" s="1"/>
  <c r="BD30" i="110" a="1"/>
  <c r="BD30" i="110" s="1"/>
  <c r="BU30" i="110" s="1"/>
  <c r="AR30" i="110" a="1"/>
  <c r="AR30" i="110" s="1"/>
  <c r="V30" i="110"/>
  <c r="AW30" i="110" a="1"/>
  <c r="AW30" i="110" s="1"/>
  <c r="AM30" i="110" a="1"/>
  <c r="AM30" i="110" s="1"/>
  <c r="AK30" i="110" a="1"/>
  <c r="AK30" i="110" s="1"/>
  <c r="AL30" i="110" a="1"/>
  <c r="AL30" i="110" s="1"/>
  <c r="BB30" i="110" a="1"/>
  <c r="BB30" i="110" s="1"/>
  <c r="BS30" i="110" s="1"/>
  <c r="BA30" i="110" a="1"/>
  <c r="BA30" i="110" s="1"/>
  <c r="AV30" i="110" a="1"/>
  <c r="AV30" i="110" s="1"/>
  <c r="BM29" i="110"/>
  <c r="AC29" i="110" s="1"/>
  <c r="AA29" i="110" s="1"/>
  <c r="G31" i="110"/>
  <c r="O31" i="110" s="1"/>
  <c r="I31" i="110"/>
  <c r="BX30" i="110" l="1"/>
  <c r="BR30" i="110"/>
  <c r="BI30" i="110"/>
  <c r="BM30" i="110"/>
  <c r="I32" i="110"/>
  <c r="BP30" i="110"/>
  <c r="BQ30" i="110" s="1"/>
  <c r="BO30" i="110"/>
  <c r="BJ30" i="110"/>
  <c r="M33" i="110"/>
  <c r="I33" i="110" s="1"/>
  <c r="P31" i="110"/>
  <c r="W31" i="110"/>
  <c r="Q31" i="110"/>
  <c r="N31" i="110"/>
  <c r="Z29" i="110"/>
  <c r="AB29" i="110"/>
  <c r="AD29" i="110"/>
  <c r="G32" i="110"/>
  <c r="O32" i="110" s="1"/>
  <c r="AC30" i="110" l="1"/>
  <c r="AA30" i="110" s="1"/>
  <c r="Z30" i="110"/>
  <c r="Y30" i="110" s="1"/>
  <c r="S30" i="110" s="1"/>
  <c r="G33" i="110"/>
  <c r="O33" i="110" s="1"/>
  <c r="AD30" i="110"/>
  <c r="AB30" i="110"/>
  <c r="V31" i="110"/>
  <c r="AF31" i="110"/>
  <c r="AG31" i="110" s="1"/>
  <c r="AH31" i="110" s="1"/>
  <c r="AI31" i="110" s="1"/>
  <c r="BD31" i="110" s="1" a="1"/>
  <c r="BD31" i="110" s="1"/>
  <c r="BU31" i="110" s="1"/>
  <c r="AU31" i="110" a="1"/>
  <c r="AU31" i="110" s="1"/>
  <c r="AV31" i="110" a="1"/>
  <c r="AV31" i="110" s="1"/>
  <c r="AS31" i="110" a="1"/>
  <c r="AS31" i="110" s="1"/>
  <c r="BN31" i="110" s="1"/>
  <c r="AN31" i="110" a="1"/>
  <c r="AN31" i="110" s="1"/>
  <c r="BK31" i="110" s="1"/>
  <c r="AK31" i="110" a="1"/>
  <c r="AK31" i="110" s="1"/>
  <c r="AM31" i="110" a="1"/>
  <c r="AM31" i="110" s="1"/>
  <c r="AZ31" i="110" a="1"/>
  <c r="AZ31" i="110" s="1"/>
  <c r="AX31" i="110" a="1"/>
  <c r="AX31" i="110" s="1"/>
  <c r="AQ31" i="110" a="1"/>
  <c r="AQ31" i="110" s="1"/>
  <c r="H33" i="110"/>
  <c r="E34" i="110" s="1"/>
  <c r="F34" i="110" s="1"/>
  <c r="T30" i="110"/>
  <c r="T29" i="110"/>
  <c r="Y29" i="110"/>
  <c r="S29" i="110" s="1"/>
  <c r="AE29" i="110"/>
  <c r="P32" i="110"/>
  <c r="Q32" i="110"/>
  <c r="N32" i="110"/>
  <c r="W32" i="110"/>
  <c r="AE30" i="110" l="1"/>
  <c r="BE31" i="110" a="1"/>
  <c r="BE31" i="110" s="1"/>
  <c r="BV31" i="110" s="1"/>
  <c r="AX32" i="110" a="1"/>
  <c r="AX32" i="110" s="1"/>
  <c r="AV32" i="110" a="1"/>
  <c r="AV32" i="110" s="1"/>
  <c r="BD32" i="110" a="1"/>
  <c r="BD32" i="110" s="1"/>
  <c r="BU32" i="110" s="1"/>
  <c r="V32" i="110"/>
  <c r="AM32" i="110" a="1"/>
  <c r="AM32" i="110" s="1"/>
  <c r="AQ32" i="110" a="1"/>
  <c r="AQ32" i="110" s="1"/>
  <c r="AT32" i="110" a="1"/>
  <c r="AT32" i="110" s="1"/>
  <c r="AU32" i="110" a="1"/>
  <c r="AU32" i="110" s="1"/>
  <c r="AS32" i="110" a="1"/>
  <c r="AS32" i="110" s="1"/>
  <c r="BN32" i="110" s="1"/>
  <c r="AJ32" i="110" a="1"/>
  <c r="AJ32" i="110" s="1"/>
  <c r="AF32" i="110"/>
  <c r="AG32" i="110" s="1"/>
  <c r="AH32" i="110" s="1"/>
  <c r="AI32" i="110" s="1"/>
  <c r="BC32" i="110" s="1" a="1"/>
  <c r="BC32" i="110" s="1"/>
  <c r="BT32" i="110" s="1"/>
  <c r="BG32" i="110" a="1"/>
  <c r="BG32" i="110" s="1"/>
  <c r="BE32" i="110" a="1"/>
  <c r="BE32" i="110" s="1"/>
  <c r="BV32" i="110" s="1"/>
  <c r="BA32" i="110" a="1"/>
  <c r="BA32" i="110" s="1"/>
  <c r="AY32" i="110" a="1"/>
  <c r="AY32" i="110" s="1"/>
  <c r="BF31" i="110" a="1"/>
  <c r="BF31" i="110" s="1"/>
  <c r="BW31" i="110" s="1"/>
  <c r="AO31" i="110" a="1"/>
  <c r="AO31" i="110" s="1"/>
  <c r="BL31" i="110" s="1"/>
  <c r="BG31" i="110" a="1"/>
  <c r="BG31" i="110" s="1"/>
  <c r="AY31" i="110" a="1"/>
  <c r="AY31" i="110" s="1"/>
  <c r="BH31" i="110" a="1"/>
  <c r="BH31" i="110" s="1"/>
  <c r="AT31" i="110" a="1"/>
  <c r="AT31" i="110" s="1"/>
  <c r="BO31" i="110" s="1"/>
  <c r="AW31" i="110" a="1"/>
  <c r="AW31" i="110" s="1"/>
  <c r="BP31" i="110" s="1"/>
  <c r="AJ31" i="110" a="1"/>
  <c r="AJ31" i="110" s="1"/>
  <c r="AL31" i="110" a="1"/>
  <c r="AL31" i="110" s="1"/>
  <c r="BC31" i="110" a="1"/>
  <c r="BC31" i="110" s="1"/>
  <c r="BT31" i="110" s="1"/>
  <c r="M34" i="110"/>
  <c r="I34" i="110" s="1"/>
  <c r="AR31" i="110" a="1"/>
  <c r="AR31" i="110" s="1"/>
  <c r="AP31" i="110" a="1"/>
  <c r="AP31" i="110" s="1"/>
  <c r="BA31" i="110" a="1"/>
  <c r="BA31" i="110" s="1"/>
  <c r="BR31" i="110" s="1"/>
  <c r="BB31" i="110" a="1"/>
  <c r="BB31" i="110" s="1"/>
  <c r="BS31" i="110" s="1"/>
  <c r="P33" i="110"/>
  <c r="N33" i="110"/>
  <c r="W33" i="110"/>
  <c r="Q33" i="110"/>
  <c r="BQ31" i="110" l="1"/>
  <c r="BM31" i="110"/>
  <c r="BO32" i="110"/>
  <c r="G34" i="110"/>
  <c r="O34" i="110" s="1"/>
  <c r="N34" i="110" s="1"/>
  <c r="AP32" i="110" a="1"/>
  <c r="AP32" i="110" s="1"/>
  <c r="AZ32" i="110" a="1"/>
  <c r="AZ32" i="110" s="1"/>
  <c r="BR32" i="110" s="1"/>
  <c r="H34" i="110"/>
  <c r="E35" i="110" s="1"/>
  <c r="F35" i="110" s="1"/>
  <c r="BI31" i="110"/>
  <c r="BB32" i="110" a="1"/>
  <c r="BB32" i="110" s="1"/>
  <c r="BS32" i="110" s="1"/>
  <c r="AF33" i="110"/>
  <c r="AG33" i="110" s="1"/>
  <c r="AH33" i="110" s="1"/>
  <c r="AI33" i="110" s="1"/>
  <c r="AZ33" i="110" s="1" a="1"/>
  <c r="AZ33" i="110" s="1"/>
  <c r="BH33" i="110" a="1"/>
  <c r="BH33" i="110" s="1"/>
  <c r="AY33" i="110" a="1"/>
  <c r="AY33" i="110" s="1"/>
  <c r="AS33" i="110" a="1"/>
  <c r="AS33" i="110" s="1"/>
  <c r="BN33" i="110" s="1"/>
  <c r="V33" i="110"/>
  <c r="AN32" i="110" a="1"/>
  <c r="AN32" i="110" s="1"/>
  <c r="BK32" i="110" s="1"/>
  <c r="BX31" i="110"/>
  <c r="AW32" i="110" a="1"/>
  <c r="AW32" i="110" s="1"/>
  <c r="BP32" i="110" s="1"/>
  <c r="BQ32" i="110" s="1"/>
  <c r="AK32" i="110" a="1"/>
  <c r="AK32" i="110" s="1"/>
  <c r="AR32" i="110" a="1"/>
  <c r="AR32" i="110" s="1"/>
  <c r="AO32" i="110" a="1"/>
  <c r="AO32" i="110" s="1"/>
  <c r="BL32" i="110" s="1"/>
  <c r="BF32" i="110" a="1"/>
  <c r="BF32" i="110" s="1"/>
  <c r="BW32" i="110" s="1"/>
  <c r="P34" i="110"/>
  <c r="W34" i="110"/>
  <c r="BH32" i="110" a="1"/>
  <c r="BH32" i="110" s="1"/>
  <c r="BX32" i="110" s="1"/>
  <c r="AL32" i="110" a="1"/>
  <c r="AL32" i="110" s="1"/>
  <c r="Q34" i="110" l="1"/>
  <c r="BI32" i="110"/>
  <c r="BD33" i="110" a="1"/>
  <c r="BD33" i="110" s="1"/>
  <c r="BU33" i="110" s="1"/>
  <c r="BF33" i="110" a="1"/>
  <c r="BF33" i="110" s="1"/>
  <c r="BW33" i="110" s="1"/>
  <c r="AL33" i="110" a="1"/>
  <c r="AL33" i="110" s="1"/>
  <c r="BE33" i="110" a="1"/>
  <c r="BE33" i="110" s="1"/>
  <c r="BV33" i="110" s="1"/>
  <c r="BB33" i="110" a="1"/>
  <c r="BB33" i="110" s="1"/>
  <c r="BS33" i="110" s="1"/>
  <c r="AM33" i="110" a="1"/>
  <c r="AM33" i="110" s="1"/>
  <c r="AQ33" i="110" a="1"/>
  <c r="AQ33" i="110" s="1"/>
  <c r="AN33" i="110" a="1"/>
  <c r="AN33" i="110" s="1"/>
  <c r="BK33" i="110" s="1"/>
  <c r="AK33" i="110" a="1"/>
  <c r="AK33" i="110" s="1"/>
  <c r="BG33" i="110" a="1"/>
  <c r="BG33" i="110" s="1"/>
  <c r="BX33" i="110" s="1"/>
  <c r="BJ32" i="110"/>
  <c r="AV33" i="110" a="1"/>
  <c r="AV33" i="110" s="1"/>
  <c r="AO33" i="110" a="1"/>
  <c r="AO33" i="110" s="1"/>
  <c r="BL33" i="110" s="1"/>
  <c r="AR33" i="110" a="1"/>
  <c r="AR33" i="110" s="1"/>
  <c r="AX33" i="110" a="1"/>
  <c r="AX33" i="110" s="1"/>
  <c r="AJ33" i="110" a="1"/>
  <c r="AJ33" i="110" s="1"/>
  <c r="BA33" i="110" a="1"/>
  <c r="BA33" i="110" s="1"/>
  <c r="BR33" i="110" s="1"/>
  <c r="AT33" i="110" a="1"/>
  <c r="AT33" i="110" s="1"/>
  <c r="BC33" i="110" a="1"/>
  <c r="BC33" i="110" s="1"/>
  <c r="BT33" i="110" s="1"/>
  <c r="AW33" i="110" a="1"/>
  <c r="AW33" i="110" s="1"/>
  <c r="Z31" i="110"/>
  <c r="BJ31" i="110"/>
  <c r="AC31" i="110"/>
  <c r="AA31" i="110" s="1"/>
  <c r="AU33" i="110" a="1"/>
  <c r="AU33" i="110" s="1"/>
  <c r="M35" i="110"/>
  <c r="I35" i="110" s="1"/>
  <c r="BM32" i="110"/>
  <c r="AC32" i="110" s="1"/>
  <c r="AA32" i="110" s="1"/>
  <c r="AF34" i="110"/>
  <c r="AG34" i="110" s="1"/>
  <c r="AH34" i="110" s="1"/>
  <c r="AI34" i="110" s="1"/>
  <c r="BD34" i="110" s="1" a="1"/>
  <c r="BD34" i="110" s="1"/>
  <c r="BU34" i="110" s="1"/>
  <c r="BA34" i="110" a="1"/>
  <c r="BA34" i="110" s="1"/>
  <c r="AQ34" i="110" a="1"/>
  <c r="AQ34" i="110" s="1"/>
  <c r="BB34" i="110" a="1"/>
  <c r="BB34" i="110" s="1"/>
  <c r="BS34" i="110" s="1"/>
  <c r="AP34" i="110" a="1"/>
  <c r="AP34" i="110" s="1"/>
  <c r="BF34" i="110" a="1"/>
  <c r="BF34" i="110" s="1"/>
  <c r="BW34" i="110" s="1"/>
  <c r="AZ34" i="110" a="1"/>
  <c r="AZ34" i="110" s="1"/>
  <c r="AV34" i="110" a="1"/>
  <c r="AV34" i="110" s="1"/>
  <c r="V34" i="110"/>
  <c r="AP33" i="110" a="1"/>
  <c r="AP33" i="110" s="1"/>
  <c r="AR34" i="110" l="1" a="1"/>
  <c r="AR34" i="110" s="1"/>
  <c r="BM34" i="110" s="1"/>
  <c r="BI33" i="110"/>
  <c r="BM33" i="110"/>
  <c r="BO33" i="110"/>
  <c r="AJ34" i="110" a="1"/>
  <c r="AJ34" i="110" s="1"/>
  <c r="AT34" i="110" a="1"/>
  <c r="AT34" i="110" s="1"/>
  <c r="AX34" i="110" a="1"/>
  <c r="AX34" i="110" s="1"/>
  <c r="AW34" i="110" a="1"/>
  <c r="AW34" i="110" s="1"/>
  <c r="AU34" i="110" a="1"/>
  <c r="AU34" i="110" s="1"/>
  <c r="BG34" i="110" a="1"/>
  <c r="BG34" i="110" s="1"/>
  <c r="BH34" i="110" a="1"/>
  <c r="BH34" i="110" s="1"/>
  <c r="AK34" i="110" a="1"/>
  <c r="AK34" i="110" s="1"/>
  <c r="AO34" i="110" a="1"/>
  <c r="AO34" i="110" s="1"/>
  <c r="BL34" i="110" s="1"/>
  <c r="BE34" i="110" a="1"/>
  <c r="BE34" i="110" s="1"/>
  <c r="BV34" i="110" s="1"/>
  <c r="AM34" i="110" a="1"/>
  <c r="AM34" i="110" s="1"/>
  <c r="AL34" i="110" a="1"/>
  <c r="AL34" i="110" s="1"/>
  <c r="AY34" i="110" a="1"/>
  <c r="AY34" i="110" s="1"/>
  <c r="BR34" i="110"/>
  <c r="AN34" i="110" a="1"/>
  <c r="AN34" i="110" s="1"/>
  <c r="BK34" i="110" s="1"/>
  <c r="BC34" i="110" a="1"/>
  <c r="BC34" i="110" s="1"/>
  <c r="BT34" i="110" s="1"/>
  <c r="AS34" i="110" a="1"/>
  <c r="AS34" i="110" s="1"/>
  <c r="BN34" i="110" s="1"/>
  <c r="AB31" i="110"/>
  <c r="AE31" i="110" s="1"/>
  <c r="AD31" i="110"/>
  <c r="T31" i="110"/>
  <c r="Y31" i="110"/>
  <c r="S31" i="110" s="1"/>
  <c r="BJ33" i="110"/>
  <c r="BP33" i="110"/>
  <c r="BQ33" i="110" s="1"/>
  <c r="G35" i="110"/>
  <c r="O35" i="110" s="1"/>
  <c r="Z32" i="110"/>
  <c r="H35" i="110"/>
  <c r="E36" i="110" s="1"/>
  <c r="F36" i="110" s="1"/>
  <c r="AB32" i="110"/>
  <c r="AD32" i="110"/>
  <c r="BP34" i="110" l="1"/>
  <c r="BI34" i="110"/>
  <c r="BX34" i="110"/>
  <c r="BO34" i="110"/>
  <c r="BJ34" i="110"/>
  <c r="M36" i="110"/>
  <c r="I36" i="110" s="1"/>
  <c r="T32" i="110"/>
  <c r="Y32" i="110"/>
  <c r="S32" i="110" s="1"/>
  <c r="AE32" i="110"/>
  <c r="P35" i="110"/>
  <c r="Q35" i="110"/>
  <c r="N35" i="110"/>
  <c r="W35" i="110"/>
  <c r="AB33" i="110"/>
  <c r="AD33" i="110"/>
  <c r="Z33" i="110"/>
  <c r="AC33" i="110"/>
  <c r="AA33" i="110" s="1"/>
  <c r="AC34" i="110" l="1"/>
  <c r="AA34" i="110" s="1"/>
  <c r="BQ34" i="110"/>
  <c r="Z34" i="110"/>
  <c r="T34" i="110" s="1"/>
  <c r="AD34" i="110"/>
  <c r="AB34" i="110"/>
  <c r="Y34" i="110"/>
  <c r="S34" i="110" s="1"/>
  <c r="T33" i="110"/>
  <c r="Y33" i="110"/>
  <c r="S33" i="110" s="1"/>
  <c r="AE33" i="110"/>
  <c r="BB35" i="110" a="1"/>
  <c r="BB35" i="110" s="1"/>
  <c r="BS35" i="110" s="1"/>
  <c r="AR35" i="110" a="1"/>
  <c r="AR35" i="110" s="1"/>
  <c r="AF35" i="110"/>
  <c r="AG35" i="110" s="1"/>
  <c r="AH35" i="110" s="1"/>
  <c r="AI35" i="110" s="1"/>
  <c r="AL35" i="110" s="1" a="1"/>
  <c r="AL35" i="110" s="1"/>
  <c r="AW35" i="110" a="1"/>
  <c r="AW35" i="110" s="1"/>
  <c r="BH35" i="110" a="1"/>
  <c r="BH35" i="110" s="1"/>
  <c r="AV35" i="110" a="1"/>
  <c r="AV35" i="110" s="1"/>
  <c r="AJ35" i="110" a="1"/>
  <c r="AJ35" i="110" s="1"/>
  <c r="BF35" i="110" a="1"/>
  <c r="BF35" i="110" s="1"/>
  <c r="BW35" i="110" s="1"/>
  <c r="AM35" i="110" a="1"/>
  <c r="AM35" i="110" s="1"/>
  <c r="AZ35" i="110" a="1"/>
  <c r="AZ35" i="110" s="1"/>
  <c r="AY35" i="110" a="1"/>
  <c r="AY35" i="110" s="1"/>
  <c r="AK35" i="110" a="1"/>
  <c r="AK35" i="110" s="1"/>
  <c r="V35" i="110"/>
  <c r="BD35" i="110" a="1"/>
  <c r="BD35" i="110" s="1"/>
  <c r="BU35" i="110" s="1"/>
  <c r="BC35" i="110" a="1"/>
  <c r="BC35" i="110" s="1"/>
  <c r="BT35" i="110" s="1"/>
  <c r="BA35" i="110" a="1"/>
  <c r="BA35" i="110" s="1"/>
  <c r="AQ35" i="110" a="1"/>
  <c r="AQ35" i="110" s="1"/>
  <c r="AO35" i="110" a="1"/>
  <c r="AO35" i="110" s="1"/>
  <c r="BL35" i="110" s="1"/>
  <c r="AN35" i="110" a="1"/>
  <c r="AN35" i="110" s="1"/>
  <c r="BK35" i="110" s="1"/>
  <c r="H36" i="110"/>
  <c r="E37" i="110" s="1"/>
  <c r="F37" i="110" s="1"/>
  <c r="G36" i="110"/>
  <c r="O36" i="110" s="1"/>
  <c r="AE34" i="110" l="1"/>
  <c r="BR35" i="110"/>
  <c r="AX35" i="110" a="1"/>
  <c r="AX35" i="110" s="1"/>
  <c r="BP35" i="110" s="1"/>
  <c r="BQ35" i="110" s="1"/>
  <c r="AP35" i="110" a="1"/>
  <c r="AP35" i="110" s="1"/>
  <c r="BM35" i="110" s="1"/>
  <c r="BG35" i="110" a="1"/>
  <c r="BG35" i="110" s="1"/>
  <c r="BX35" i="110" s="1"/>
  <c r="AU35" i="110" a="1"/>
  <c r="AU35" i="110" s="1"/>
  <c r="AS35" i="110" a="1"/>
  <c r="AS35" i="110" s="1"/>
  <c r="BN35" i="110" s="1"/>
  <c r="BE35" i="110" a="1"/>
  <c r="BE35" i="110" s="1"/>
  <c r="BV35" i="110" s="1"/>
  <c r="AT35" i="110" a="1"/>
  <c r="AT35" i="110" s="1"/>
  <c r="BI35" i="110"/>
  <c r="BJ35" i="110" s="1"/>
  <c r="P36" i="110"/>
  <c r="Q36" i="110"/>
  <c r="N36" i="110"/>
  <c r="W36" i="110"/>
  <c r="M37" i="110"/>
  <c r="I37" i="110" s="1"/>
  <c r="BO35" i="110" l="1"/>
  <c r="AC35" i="110" s="1"/>
  <c r="AA35" i="110" s="1"/>
  <c r="G37" i="110"/>
  <c r="O37" i="110" s="1"/>
  <c r="P37" i="110" s="1"/>
  <c r="H37" i="110"/>
  <c r="E38" i="110" s="1"/>
  <c r="F38" i="110" s="1"/>
  <c r="BB36" i="110" a="1"/>
  <c r="BB36" i="110" s="1"/>
  <c r="BS36" i="110" s="1"/>
  <c r="AK36" i="110" a="1"/>
  <c r="AK36" i="110" s="1"/>
  <c r="AS36" i="110" a="1"/>
  <c r="AS36" i="110" s="1"/>
  <c r="BN36" i="110" s="1"/>
  <c r="BC36" i="110" a="1"/>
  <c r="BC36" i="110" s="1"/>
  <c r="BT36" i="110" s="1"/>
  <c r="AR36" i="110" a="1"/>
  <c r="AR36" i="110" s="1"/>
  <c r="AF36" i="110"/>
  <c r="AG36" i="110" s="1"/>
  <c r="AH36" i="110" s="1"/>
  <c r="AI36" i="110" s="1"/>
  <c r="BE36" i="110" a="1"/>
  <c r="BE36" i="110" s="1"/>
  <c r="BV36" i="110" s="1"/>
  <c r="AT36" i="110" a="1"/>
  <c r="AT36" i="110" s="1"/>
  <c r="BD36" i="110" a="1"/>
  <c r="BD36" i="110" s="1"/>
  <c r="BU36" i="110" s="1"/>
  <c r="AQ36" i="110" a="1"/>
  <c r="AQ36" i="110" s="1"/>
  <c r="AO36" i="110" a="1"/>
  <c r="AO36" i="110" s="1"/>
  <c r="BL36" i="110" s="1"/>
  <c r="BA36" i="110" a="1"/>
  <c r="BA36" i="110" s="1"/>
  <c r="AY36" i="110" a="1"/>
  <c r="AY36" i="110" s="1"/>
  <c r="AM36" i="110" a="1"/>
  <c r="AM36" i="110" s="1"/>
  <c r="AX36" i="110" a="1"/>
  <c r="AX36" i="110" s="1"/>
  <c r="AL36" i="110" a="1"/>
  <c r="AL36" i="110" s="1"/>
  <c r="AN36" i="110" a="1"/>
  <c r="AN36" i="110" s="1"/>
  <c r="BK36" i="110" s="1"/>
  <c r="AZ36" i="110" a="1"/>
  <c r="AZ36" i="110" s="1"/>
  <c r="BG36" i="110" a="1"/>
  <c r="BG36" i="110" s="1"/>
  <c r="AV36" i="110" a="1"/>
  <c r="AV36" i="110" s="1"/>
  <c r="AP36" i="110" a="1"/>
  <c r="AP36" i="110" s="1"/>
  <c r="BM36" i="110" s="1"/>
  <c r="AJ36" i="110" a="1"/>
  <c r="AJ36" i="110" s="1"/>
  <c r="BH36" i="110" a="1"/>
  <c r="BH36" i="110" s="1"/>
  <c r="BF36" i="110" a="1"/>
  <c r="BF36" i="110" s="1"/>
  <c r="BW36" i="110" s="1"/>
  <c r="V36" i="110"/>
  <c r="AW36" i="110" a="1"/>
  <c r="AW36" i="110" s="1"/>
  <c r="AU36" i="110" a="1"/>
  <c r="AU36" i="110" s="1"/>
  <c r="AB35" i="110"/>
  <c r="AD35" i="110"/>
  <c r="Z35" i="110" l="1"/>
  <c r="N37" i="110"/>
  <c r="Q37" i="110"/>
  <c r="BP36" i="110"/>
  <c r="BQ36" i="110" s="1"/>
  <c r="W37" i="110"/>
  <c r="BO36" i="110"/>
  <c r="BX36" i="110"/>
  <c r="BI36" i="110"/>
  <c r="BJ36" i="110" s="1"/>
  <c r="BR36" i="110"/>
  <c r="M38" i="110"/>
  <c r="I38" i="110" s="1"/>
  <c r="T35" i="110" l="1"/>
  <c r="Y35" i="110"/>
  <c r="S35" i="110" s="1"/>
  <c r="AE35" i="110"/>
  <c r="Z36" i="110"/>
  <c r="AJ37" i="110" a="1"/>
  <c r="AJ37" i="110" s="1"/>
  <c r="AF37" i="110"/>
  <c r="AG37" i="110" s="1"/>
  <c r="AH37" i="110" s="1"/>
  <c r="AI37" i="110" s="1"/>
  <c r="V37" i="110"/>
  <c r="AC36" i="110"/>
  <c r="AA36" i="110" s="1"/>
  <c r="AX37" i="110" a="1"/>
  <c r="AX37" i="110" s="1"/>
  <c r="AT37" i="110" a="1"/>
  <c r="AT37" i="110" s="1"/>
  <c r="BG37" i="110" a="1"/>
  <c r="BG37" i="110" s="1"/>
  <c r="G38" i="110"/>
  <c r="O38" i="110" s="1"/>
  <c r="AN37" i="110" a="1"/>
  <c r="AN37" i="110" s="1"/>
  <c r="BK37" i="110" s="1"/>
  <c r="AK37" i="110" a="1"/>
  <c r="AK37" i="110" s="1"/>
  <c r="AL37" i="110" a="1"/>
  <c r="AL37" i="110" s="1"/>
  <c r="AM37" i="110" a="1"/>
  <c r="AM37" i="110" s="1"/>
  <c r="AP37" i="110" a="1"/>
  <c r="AP37" i="110" s="1"/>
  <c r="AW37" i="110" a="1"/>
  <c r="AW37" i="110" s="1"/>
  <c r="AY37" i="110" a="1"/>
  <c r="AY37" i="110" s="1"/>
  <c r="AO37" i="110" a="1"/>
  <c r="AO37" i="110" s="1"/>
  <c r="BL37" i="110" s="1"/>
  <c r="AZ37" i="110" a="1"/>
  <c r="AZ37" i="110" s="1"/>
  <c r="BE37" i="110" a="1"/>
  <c r="BE37" i="110" s="1"/>
  <c r="BV37" i="110" s="1"/>
  <c r="BH37" i="110" a="1"/>
  <c r="BH37" i="110" s="1"/>
  <c r="AQ37" i="110" a="1"/>
  <c r="AQ37" i="110" s="1"/>
  <c r="AR37" i="110" a="1"/>
  <c r="AR37" i="110" s="1"/>
  <c r="BF37" i="110" a="1"/>
  <c r="BF37" i="110" s="1"/>
  <c r="BW37" i="110" s="1"/>
  <c r="AU37" i="110" a="1"/>
  <c r="AU37" i="110" s="1"/>
  <c r="BO37" i="110" s="1"/>
  <c r="AS37" i="110" a="1"/>
  <c r="AS37" i="110" s="1"/>
  <c r="BN37" i="110" s="1"/>
  <c r="BC37" i="110" a="1"/>
  <c r="BC37" i="110" s="1"/>
  <c r="BT37" i="110" s="1"/>
  <c r="H38" i="110"/>
  <c r="E39" i="110" s="1"/>
  <c r="F39" i="110" s="1"/>
  <c r="M39" i="110" s="1"/>
  <c r="I39" i="110" s="1"/>
  <c r="P38" i="110"/>
  <c r="N38" i="110"/>
  <c r="W38" i="110"/>
  <c r="Q38" i="110"/>
  <c r="AB36" i="110"/>
  <c r="AE36" i="110" s="1"/>
  <c r="AD36" i="110"/>
  <c r="T36" i="110"/>
  <c r="Y36" i="110"/>
  <c r="S36" i="110" s="1"/>
  <c r="BX37" i="110" l="1"/>
  <c r="AV37" i="110" a="1"/>
  <c r="AV37" i="110" s="1"/>
  <c r="BP37" i="110" s="1"/>
  <c r="BQ37" i="110" s="1"/>
  <c r="BA37" i="110" a="1"/>
  <c r="BA37" i="110" s="1"/>
  <c r="BR37" i="110" s="1"/>
  <c r="BB37" i="110" a="1"/>
  <c r="BB37" i="110" s="1"/>
  <c r="BS37" i="110" s="1"/>
  <c r="BD37" i="110" a="1"/>
  <c r="BD37" i="110" s="1"/>
  <c r="BU37" i="110" s="1"/>
  <c r="BI37" i="110"/>
  <c r="BJ37" i="110" s="1"/>
  <c r="BM37" i="110"/>
  <c r="G39" i="110"/>
  <c r="O39" i="110" s="1"/>
  <c r="H39" i="110"/>
  <c r="E40" i="110" s="1"/>
  <c r="F40" i="110" s="1"/>
  <c r="AZ38" i="110" a="1"/>
  <c r="AZ38" i="110" s="1"/>
  <c r="AQ38" i="110" a="1"/>
  <c r="AQ38" i="110" s="1"/>
  <c r="BH38" i="110" a="1"/>
  <c r="BH38" i="110" s="1"/>
  <c r="AY38" i="110" a="1"/>
  <c r="AY38" i="110" s="1"/>
  <c r="AF38" i="110"/>
  <c r="AG38" i="110" s="1"/>
  <c r="AH38" i="110" s="1"/>
  <c r="AI38" i="110" s="1"/>
  <c r="AT38" i="110" a="1"/>
  <c r="AT38" i="110" s="1"/>
  <c r="BC38" i="110" a="1"/>
  <c r="BC38" i="110" s="1"/>
  <c r="BT38" i="110" s="1"/>
  <c r="AJ38" i="110" a="1"/>
  <c r="AJ38" i="110" s="1"/>
  <c r="AV38" i="110" a="1"/>
  <c r="AV38" i="110" s="1"/>
  <c r="BF38" i="110" a="1"/>
  <c r="BF38" i="110" s="1"/>
  <c r="BW38" i="110" s="1"/>
  <c r="AK38" i="110" a="1"/>
  <c r="AK38" i="110" s="1"/>
  <c r="AU38" i="110" a="1"/>
  <c r="AU38" i="110" s="1"/>
  <c r="AM38" i="110" a="1"/>
  <c r="AM38" i="110" s="1"/>
  <c r="AW38" i="110" a="1"/>
  <c r="AW38" i="110" s="1"/>
  <c r="AX38" i="110" a="1"/>
  <c r="AX38" i="110" s="1"/>
  <c r="AL38" i="110" a="1"/>
  <c r="AL38" i="110" s="1"/>
  <c r="BA38" i="110" a="1"/>
  <c r="BA38" i="110" s="1"/>
  <c r="BR38" i="110" s="1"/>
  <c r="AR38" i="110" a="1"/>
  <c r="AR38" i="110" s="1"/>
  <c r="BB38" i="110" a="1"/>
  <c r="BB38" i="110" s="1"/>
  <c r="BS38" i="110" s="1"/>
  <c r="AP38" i="110" a="1"/>
  <c r="AP38" i="110" s="1"/>
  <c r="AS38" i="110" a="1"/>
  <c r="AS38" i="110" s="1"/>
  <c r="BN38" i="110" s="1"/>
  <c r="AO38" i="110" a="1"/>
  <c r="AO38" i="110" s="1"/>
  <c r="BL38" i="110" s="1"/>
  <c r="AN38" i="110" a="1"/>
  <c r="AN38" i="110" s="1"/>
  <c r="BK38" i="110" s="1"/>
  <c r="BG38" i="110" a="1"/>
  <c r="BG38" i="110" s="1"/>
  <c r="BE38" i="110" a="1"/>
  <c r="BE38" i="110" s="1"/>
  <c r="BV38" i="110" s="1"/>
  <c r="V38" i="110"/>
  <c r="BD38" i="110" a="1"/>
  <c r="BD38" i="110" s="1"/>
  <c r="BU38" i="110" s="1"/>
  <c r="AD37" i="110" l="1"/>
  <c r="AB37" i="110"/>
  <c r="AC37" i="110"/>
  <c r="AA37" i="110" s="1"/>
  <c r="Z37" i="110"/>
  <c r="T37" i="110" s="1"/>
  <c r="BP38" i="110"/>
  <c r="BQ38" i="110" s="1"/>
  <c r="BM38" i="110"/>
  <c r="BI38" i="110"/>
  <c r="BO38" i="110"/>
  <c r="BX38" i="110"/>
  <c r="M40" i="110"/>
  <c r="I40" i="110" s="1"/>
  <c r="P39" i="110"/>
  <c r="N39" i="110"/>
  <c r="W39" i="110"/>
  <c r="Q39" i="110"/>
  <c r="AE37" i="110" l="1"/>
  <c r="Y37" i="110"/>
  <c r="S37" i="110" s="1"/>
  <c r="AC38" i="110"/>
  <c r="AA38" i="110" s="1"/>
  <c r="Z38" i="110"/>
  <c r="BJ38" i="110"/>
  <c r="AD38" i="110" s="1"/>
  <c r="G40" i="110"/>
  <c r="O40" i="110" s="1"/>
  <c r="H40" i="110"/>
  <c r="E41" i="110" s="1"/>
  <c r="F41" i="110" s="1"/>
  <c r="V39" i="110"/>
  <c r="AF39" i="110"/>
  <c r="AG39" i="110" s="1"/>
  <c r="AH39" i="110" s="1"/>
  <c r="AI39" i="110" s="1"/>
  <c r="AZ39" i="110" s="1" a="1"/>
  <c r="AZ39" i="110" s="1"/>
  <c r="BG39" i="110" a="1"/>
  <c r="BG39" i="110" s="1"/>
  <c r="T38" i="110"/>
  <c r="Y38" i="110"/>
  <c r="S38" i="110" s="1"/>
  <c r="AB38" i="110" l="1"/>
  <c r="AE38" i="110" s="1"/>
  <c r="AS39" i="110" a="1"/>
  <c r="AS39" i="110" s="1"/>
  <c r="BN39" i="110" s="1"/>
  <c r="AK39" i="110" a="1"/>
  <c r="AK39" i="110" s="1"/>
  <c r="AX39" i="110" a="1"/>
  <c r="AX39" i="110" s="1"/>
  <c r="AJ39" i="110" a="1"/>
  <c r="AJ39" i="110" s="1"/>
  <c r="BD39" i="110" a="1"/>
  <c r="BD39" i="110" s="1"/>
  <c r="BU39" i="110" s="1"/>
  <c r="AO39" i="110" a="1"/>
  <c r="AO39" i="110" s="1"/>
  <c r="BL39" i="110" s="1"/>
  <c r="AN39" i="110" a="1"/>
  <c r="AN39" i="110" s="1"/>
  <c r="BK39" i="110" s="1"/>
  <c r="AT39" i="110" a="1"/>
  <c r="AT39" i="110" s="1"/>
  <c r="AV39" i="110" a="1"/>
  <c r="AV39" i="110" s="1"/>
  <c r="BB39" i="110" a="1"/>
  <c r="BB39" i="110" s="1"/>
  <c r="BS39" i="110" s="1"/>
  <c r="AQ39" i="110" a="1"/>
  <c r="AQ39" i="110" s="1"/>
  <c r="AW39" i="110" a="1"/>
  <c r="AW39" i="110" s="1"/>
  <c r="BE39" i="110" a="1"/>
  <c r="BE39" i="110" s="1"/>
  <c r="BV39" i="110" s="1"/>
  <c r="AL39" i="110" a="1"/>
  <c r="AL39" i="110" s="1"/>
  <c r="AR39" i="110" a="1"/>
  <c r="AR39" i="110" s="1"/>
  <c r="BC39" i="110" a="1"/>
  <c r="BC39" i="110" s="1"/>
  <c r="BT39" i="110" s="1"/>
  <c r="BF39" i="110" a="1"/>
  <c r="BF39" i="110" s="1"/>
  <c r="BW39" i="110" s="1"/>
  <c r="AU39" i="110" a="1"/>
  <c r="AU39" i="110" s="1"/>
  <c r="AM39" i="110" a="1"/>
  <c r="AM39" i="110" s="1"/>
  <c r="AP39" i="110" a="1"/>
  <c r="AP39" i="110" s="1"/>
  <c r="BM39" i="110" s="1"/>
  <c r="AY39" i="110" a="1"/>
  <c r="AY39" i="110" s="1"/>
  <c r="BA39" i="110" a="1"/>
  <c r="BA39" i="110" s="1"/>
  <c r="BR39" i="110" s="1"/>
  <c r="BH39" i="110" a="1"/>
  <c r="BH39" i="110" s="1"/>
  <c r="BX39" i="110" s="1"/>
  <c r="M41" i="110"/>
  <c r="H41" i="110" s="1"/>
  <c r="E42" i="110" s="1"/>
  <c r="F42" i="110" s="1"/>
  <c r="P40" i="110"/>
  <c r="N40" i="110"/>
  <c r="Q40" i="110"/>
  <c r="W40" i="110"/>
  <c r="I41" i="110" l="1"/>
  <c r="G41" i="110"/>
  <c r="O41" i="110" s="1"/>
  <c r="BP39" i="110"/>
  <c r="BF40" i="110" a="1"/>
  <c r="BF40" i="110" s="1"/>
  <c r="BW40" i="110" s="1"/>
  <c r="AO40" i="110" a="1"/>
  <c r="AO40" i="110" s="1"/>
  <c r="BL40" i="110" s="1"/>
  <c r="AW40" i="110" a="1"/>
  <c r="AW40" i="110" s="1"/>
  <c r="BD40" i="110" a="1"/>
  <c r="BD40" i="110" s="1"/>
  <c r="BU40" i="110" s="1"/>
  <c r="AK40" i="110" a="1"/>
  <c r="AK40" i="110" s="1"/>
  <c r="AT40" i="110" a="1"/>
  <c r="AT40" i="110" s="1"/>
  <c r="AY40" i="110" a="1"/>
  <c r="AY40" i="110" s="1"/>
  <c r="AM40" i="110" a="1"/>
  <c r="AM40" i="110" s="1"/>
  <c r="AX40" i="110" a="1"/>
  <c r="AX40" i="110" s="1"/>
  <c r="AF40" i="110"/>
  <c r="AG40" i="110" s="1"/>
  <c r="AH40" i="110" s="1"/>
  <c r="AI40" i="110" s="1"/>
  <c r="AU40" i="110" a="1"/>
  <c r="AU40" i="110" s="1"/>
  <c r="BE40" i="110" a="1"/>
  <c r="BE40" i="110" s="1"/>
  <c r="BV40" i="110" s="1"/>
  <c r="AR40" i="110" a="1"/>
  <c r="AR40" i="110" s="1"/>
  <c r="AQ40" i="110" a="1"/>
  <c r="AQ40" i="110" s="1"/>
  <c r="BH40" i="110" a="1"/>
  <c r="BH40" i="110" s="1"/>
  <c r="BG40" i="110" a="1"/>
  <c r="BG40" i="110" s="1"/>
  <c r="AS40" i="110" a="1"/>
  <c r="AS40" i="110" s="1"/>
  <c r="BN40" i="110" s="1"/>
  <c r="AP40" i="110" a="1"/>
  <c r="AP40" i="110" s="1"/>
  <c r="AV40" i="110" a="1"/>
  <c r="AV40" i="110" s="1"/>
  <c r="BP40" i="110" s="1"/>
  <c r="BQ40" i="110" s="1"/>
  <c r="BB40" i="110" a="1"/>
  <c r="BB40" i="110" s="1"/>
  <c r="BS40" i="110" s="1"/>
  <c r="BA40" i="110" a="1"/>
  <c r="BA40" i="110" s="1"/>
  <c r="AZ40" i="110" a="1"/>
  <c r="AZ40" i="110" s="1"/>
  <c r="AN40" i="110" a="1"/>
  <c r="AN40" i="110" s="1"/>
  <c r="BK40" i="110" s="1"/>
  <c r="AL40" i="110" a="1"/>
  <c r="AL40" i="110" s="1"/>
  <c r="AJ40" i="110" a="1"/>
  <c r="AJ40" i="110" s="1"/>
  <c r="V40" i="110"/>
  <c r="BC40" i="110" a="1"/>
  <c r="BC40" i="110" s="1"/>
  <c r="BT40" i="110" s="1"/>
  <c r="P41" i="110"/>
  <c r="N41" i="110"/>
  <c r="Q41" i="110"/>
  <c r="W41" i="110"/>
  <c r="M42" i="110"/>
  <c r="H42" i="110" s="1"/>
  <c r="E43" i="110" s="1"/>
  <c r="F43" i="110" s="1"/>
  <c r="BQ39" i="110"/>
  <c r="BO39" i="110"/>
  <c r="BI39" i="110"/>
  <c r="BM40" i="110" l="1"/>
  <c r="G42" i="110"/>
  <c r="O42" i="110" s="1"/>
  <c r="BO40" i="110"/>
  <c r="BR40" i="110"/>
  <c r="I42" i="110"/>
  <c r="BX40" i="110"/>
  <c r="BI40" i="110"/>
  <c r="AC40" i="110" s="1"/>
  <c r="AA40" i="110" s="1"/>
  <c r="M43" i="110"/>
  <c r="I43" i="110" s="1"/>
  <c r="AC39" i="110"/>
  <c r="AA39" i="110" s="1"/>
  <c r="Z39" i="110"/>
  <c r="BJ39" i="110"/>
  <c r="P42" i="110"/>
  <c r="W42" i="110"/>
  <c r="Q42" i="110"/>
  <c r="N42" i="110"/>
  <c r="AF41" i="110"/>
  <c r="AG41" i="110" s="1"/>
  <c r="AH41" i="110" s="1"/>
  <c r="AI41" i="110" s="1"/>
  <c r="AM41" i="110" s="1" a="1"/>
  <c r="AM41" i="110" s="1"/>
  <c r="AO41" i="110" a="1"/>
  <c r="AO41" i="110" s="1"/>
  <c r="BL41" i="110" s="1"/>
  <c r="BB41" i="110" a="1"/>
  <c r="BB41" i="110" s="1"/>
  <c r="BS41" i="110" s="1"/>
  <c r="AY41" i="110" a="1"/>
  <c r="AY41" i="110" s="1"/>
  <c r="AX41" i="110" a="1"/>
  <c r="AX41" i="110" s="1"/>
  <c r="V41" i="110"/>
  <c r="AQ41" i="110" a="1"/>
  <c r="AQ41" i="110" s="1"/>
  <c r="BJ40" i="110" l="1"/>
  <c r="BF41" i="110" a="1"/>
  <c r="BF41" i="110" s="1"/>
  <c r="BW41" i="110" s="1"/>
  <c r="AT41" i="110" a="1"/>
  <c r="AT41" i="110" s="1"/>
  <c r="AV41" i="110" a="1"/>
  <c r="AV41" i="110" s="1"/>
  <c r="AU41" i="110" a="1"/>
  <c r="AU41" i="110" s="1"/>
  <c r="AR41" i="110" a="1"/>
  <c r="AR41" i="110" s="1"/>
  <c r="BE41" i="110" a="1"/>
  <c r="BE41" i="110" s="1"/>
  <c r="BV41" i="110" s="1"/>
  <c r="AJ41" i="110" a="1"/>
  <c r="AJ41" i="110" s="1"/>
  <c r="AW41" i="110" a="1"/>
  <c r="AW41" i="110" s="1"/>
  <c r="BC41" i="110" a="1"/>
  <c r="BC41" i="110" s="1"/>
  <c r="BT41" i="110" s="1"/>
  <c r="BA41" i="110" a="1"/>
  <c r="BA41" i="110" s="1"/>
  <c r="BD41" i="110" a="1"/>
  <c r="BD41" i="110" s="1"/>
  <c r="BU41" i="110" s="1"/>
  <c r="BH41" i="110" a="1"/>
  <c r="BH41" i="110" s="1"/>
  <c r="AS41" i="110" a="1"/>
  <c r="AS41" i="110" s="1"/>
  <c r="BN41" i="110" s="1"/>
  <c r="BG41" i="110" a="1"/>
  <c r="BG41" i="110" s="1"/>
  <c r="AZ41" i="110" a="1"/>
  <c r="AZ41" i="110" s="1"/>
  <c r="AP41" i="110" a="1"/>
  <c r="AP41" i="110" s="1"/>
  <c r="AN41" i="110" a="1"/>
  <c r="AN41" i="110" s="1"/>
  <c r="BK41" i="110" s="1"/>
  <c r="AL41" i="110" a="1"/>
  <c r="AL41" i="110" s="1"/>
  <c r="AK41" i="110" a="1"/>
  <c r="AK41" i="110" s="1"/>
  <c r="Z40" i="110"/>
  <c r="T40" i="110" s="1"/>
  <c r="AF42" i="110"/>
  <c r="AG42" i="110" s="1"/>
  <c r="AH42" i="110" s="1"/>
  <c r="AI42" i="110" s="1"/>
  <c r="AR42" i="110" s="1" a="1"/>
  <c r="AR42" i="110" s="1"/>
  <c r="V42" i="110"/>
  <c r="AP42" i="110" a="1"/>
  <c r="AP42" i="110" s="1"/>
  <c r="AN42" i="110" a="1"/>
  <c r="AN42" i="110" s="1"/>
  <c r="BK42" i="110" s="1"/>
  <c r="AD39" i="110"/>
  <c r="AB39" i="110"/>
  <c r="AE39" i="110" s="1"/>
  <c r="T39" i="110"/>
  <c r="Y39" i="110"/>
  <c r="S39" i="110" s="1"/>
  <c r="AB40" i="110"/>
  <c r="AD40" i="110"/>
  <c r="G43" i="110"/>
  <c r="O43" i="110" s="1"/>
  <c r="H43" i="110"/>
  <c r="E44" i="110" s="1"/>
  <c r="F44" i="110" s="1"/>
  <c r="BM41" i="110" l="1"/>
  <c r="BP41" i="110"/>
  <c r="BQ41" i="110" s="1"/>
  <c r="BO41" i="110"/>
  <c r="AZ42" i="110" a="1"/>
  <c r="AZ42" i="110" s="1"/>
  <c r="BC42" i="110" a="1"/>
  <c r="BC42" i="110" s="1"/>
  <c r="BT42" i="110" s="1"/>
  <c r="Y40" i="110"/>
  <c r="S40" i="110" s="1"/>
  <c r="BR41" i="110"/>
  <c r="AJ42" i="110" a="1"/>
  <c r="AJ42" i="110" s="1"/>
  <c r="AW42" i="110" a="1"/>
  <c r="AW42" i="110" s="1"/>
  <c r="AK42" i="110" a="1"/>
  <c r="AK42" i="110" s="1"/>
  <c r="BX41" i="110"/>
  <c r="AE40" i="110"/>
  <c r="AY42" i="110" a="1"/>
  <c r="AY42" i="110" s="1"/>
  <c r="BA42" i="110" a="1"/>
  <c r="BA42" i="110" s="1"/>
  <c r="BR42" i="110" s="1"/>
  <c r="AX42" i="110" a="1"/>
  <c r="AX42" i="110" s="1"/>
  <c r="BI41" i="110"/>
  <c r="P43" i="110"/>
  <c r="Q43" i="110"/>
  <c r="W43" i="110"/>
  <c r="N43" i="110"/>
  <c r="BH42" i="110" a="1"/>
  <c r="BH42" i="110" s="1"/>
  <c r="AV42" i="110" a="1"/>
  <c r="AV42" i="110" s="1"/>
  <c r="BE42" i="110" a="1"/>
  <c r="BE42" i="110" s="1"/>
  <c r="BV42" i="110" s="1"/>
  <c r="AL42" i="110" a="1"/>
  <c r="AL42" i="110" s="1"/>
  <c r="BF42" i="110" a="1"/>
  <c r="BF42" i="110" s="1"/>
  <c r="BW42" i="110" s="1"/>
  <c r="AT42" i="110" a="1"/>
  <c r="AT42" i="110" s="1"/>
  <c r="AU42" i="110" a="1"/>
  <c r="AU42" i="110" s="1"/>
  <c r="AO42" i="110" a="1"/>
  <c r="AO42" i="110" s="1"/>
  <c r="BL42" i="110" s="1"/>
  <c r="AM42" i="110" a="1"/>
  <c r="AM42" i="110" s="1"/>
  <c r="BD42" i="110" a="1"/>
  <c r="BD42" i="110" s="1"/>
  <c r="BU42" i="110" s="1"/>
  <c r="AQ42" i="110" a="1"/>
  <c r="AQ42" i="110" s="1"/>
  <c r="BM42" i="110" s="1"/>
  <c r="BB42" i="110" a="1"/>
  <c r="BB42" i="110" s="1"/>
  <c r="BS42" i="110" s="1"/>
  <c r="AS42" i="110" a="1"/>
  <c r="AS42" i="110" s="1"/>
  <c r="BN42" i="110" s="1"/>
  <c r="BG42" i="110" a="1"/>
  <c r="BG42" i="110" s="1"/>
  <c r="M44" i="110"/>
  <c r="I44" i="110" s="1"/>
  <c r="Z41" i="110" l="1"/>
  <c r="BP42" i="110"/>
  <c r="BQ42" i="110" s="1"/>
  <c r="BI42" i="110"/>
  <c r="AC41" i="110"/>
  <c r="AA41" i="110" s="1"/>
  <c r="BJ41" i="110"/>
  <c r="T41" i="110"/>
  <c r="Y41" i="110"/>
  <c r="S41" i="110" s="1"/>
  <c r="BX42" i="110"/>
  <c r="G44" i="110"/>
  <c r="O44" i="110" s="1"/>
  <c r="P44" i="110" s="1"/>
  <c r="H44" i="110"/>
  <c r="E45" i="110" s="1"/>
  <c r="F45" i="110" s="1"/>
  <c r="M45" i="110" s="1"/>
  <c r="I45" i="110" s="1"/>
  <c r="BJ42" i="110"/>
  <c r="BO42" i="110"/>
  <c r="V43" i="110"/>
  <c r="BA43" i="110" a="1"/>
  <c r="BA43" i="110" s="1"/>
  <c r="AK43" i="110" a="1"/>
  <c r="AK43" i="110" s="1"/>
  <c r="AO43" i="110" a="1"/>
  <c r="AO43" i="110" s="1"/>
  <c r="BL43" i="110" s="1"/>
  <c r="AT43" i="110" a="1"/>
  <c r="AT43" i="110" s="1"/>
  <c r="AR43" i="110" a="1"/>
  <c r="AR43" i="110" s="1"/>
  <c r="AS43" i="110" a="1"/>
  <c r="AS43" i="110" s="1"/>
  <c r="BN43" i="110" s="1"/>
  <c r="AQ43" i="110" a="1"/>
  <c r="AQ43" i="110" s="1"/>
  <c r="AF43" i="110"/>
  <c r="AG43" i="110" s="1"/>
  <c r="AH43" i="110" s="1"/>
  <c r="AI43" i="110" s="1"/>
  <c r="AL43" i="110" s="1" a="1"/>
  <c r="AL43" i="110" s="1"/>
  <c r="BH43" i="110" a="1"/>
  <c r="BH43" i="110" s="1"/>
  <c r="BF43" i="110" a="1"/>
  <c r="BF43" i="110" s="1"/>
  <c r="BW43" i="110" s="1"/>
  <c r="BD43" i="110" a="1"/>
  <c r="BD43" i="110" s="1"/>
  <c r="BU43" i="110" s="1"/>
  <c r="BC43" i="110" a="1"/>
  <c r="BC43" i="110" s="1"/>
  <c r="BT43" i="110" s="1"/>
  <c r="Z42" i="110" l="1"/>
  <c r="N44" i="110"/>
  <c r="W44" i="110"/>
  <c r="Q44" i="110"/>
  <c r="AB41" i="110"/>
  <c r="AE41" i="110" s="1"/>
  <c r="AD41" i="110"/>
  <c r="BE43" i="110" a="1"/>
  <c r="BE43" i="110" s="1"/>
  <c r="BV43" i="110" s="1"/>
  <c r="AV43" i="110" a="1"/>
  <c r="AV43" i="110" s="1"/>
  <c r="AX43" i="110" a="1"/>
  <c r="AX43" i="110" s="1"/>
  <c r="AP43" i="110" a="1"/>
  <c r="AP43" i="110" s="1"/>
  <c r="BM43" i="110" s="1"/>
  <c r="BG43" i="110" a="1"/>
  <c r="BG43" i="110" s="1"/>
  <c r="BX43" i="110" s="1"/>
  <c r="AU43" i="110" a="1"/>
  <c r="AU43" i="110" s="1"/>
  <c r="BO43" i="110" s="1"/>
  <c r="AJ43" i="110" a="1"/>
  <c r="AJ43" i="110" s="1"/>
  <c r="BI43" i="110" s="1"/>
  <c r="AW43" i="110" a="1"/>
  <c r="AW43" i="110" s="1"/>
  <c r="BB43" i="110" a="1"/>
  <c r="BB43" i="110" s="1"/>
  <c r="BS43" i="110" s="1"/>
  <c r="AM43" i="110" a="1"/>
  <c r="AM43" i="110" s="1"/>
  <c r="AY43" i="110" a="1"/>
  <c r="AY43" i="110" s="1"/>
  <c r="AN43" i="110" a="1"/>
  <c r="AN43" i="110" s="1"/>
  <c r="BK43" i="110" s="1"/>
  <c r="AZ43" i="110" a="1"/>
  <c r="AZ43" i="110" s="1"/>
  <c r="BR43" i="110" s="1"/>
  <c r="T42" i="110"/>
  <c r="Y42" i="110"/>
  <c r="S42" i="110" s="1"/>
  <c r="G45" i="110"/>
  <c r="O45" i="110" s="1"/>
  <c r="H45" i="110"/>
  <c r="E46" i="110" s="1"/>
  <c r="F46" i="110" s="1"/>
  <c r="V44" i="110"/>
  <c r="AF44" i="110"/>
  <c r="AG44" i="110" s="1"/>
  <c r="AH44" i="110" s="1"/>
  <c r="AI44" i="110" s="1"/>
  <c r="AO44" i="110" s="1" a="1"/>
  <c r="AO44" i="110" s="1"/>
  <c r="BL44" i="110" s="1"/>
  <c r="AD42" i="110"/>
  <c r="AB42" i="110"/>
  <c r="AE42" i="110" s="1"/>
  <c r="AC42" i="110"/>
  <c r="AA42" i="110" s="1"/>
  <c r="AN44" i="110" l="1" a="1"/>
  <c r="AN44" i="110" s="1"/>
  <c r="BK44" i="110" s="1"/>
  <c r="AT44" i="110" a="1"/>
  <c r="AT44" i="110" s="1"/>
  <c r="AV44" i="110" a="1"/>
  <c r="AV44" i="110" s="1"/>
  <c r="AZ44" i="110" a="1"/>
  <c r="AZ44" i="110" s="1"/>
  <c r="BA44" i="110" a="1"/>
  <c r="BA44" i="110" s="1"/>
  <c r="AX44" i="110" a="1"/>
  <c r="AX44" i="110" s="1"/>
  <c r="AL44" i="110" a="1"/>
  <c r="AL44" i="110" s="1"/>
  <c r="AR44" i="110" a="1"/>
  <c r="AR44" i="110" s="1"/>
  <c r="AQ44" i="110" a="1"/>
  <c r="AQ44" i="110" s="1"/>
  <c r="BJ43" i="110"/>
  <c r="BP43" i="110"/>
  <c r="BQ43" i="110" s="1"/>
  <c r="AW44" i="110" a="1"/>
  <c r="AW44" i="110" s="1"/>
  <c r="BC44" i="110" a="1"/>
  <c r="BC44" i="110" s="1"/>
  <c r="BT44" i="110" s="1"/>
  <c r="AS44" i="110" a="1"/>
  <c r="AS44" i="110" s="1"/>
  <c r="BN44" i="110" s="1"/>
  <c r="AP44" i="110" a="1"/>
  <c r="AP44" i="110" s="1"/>
  <c r="AK44" i="110" a="1"/>
  <c r="AK44" i="110" s="1"/>
  <c r="BB44" i="110" a="1"/>
  <c r="BB44" i="110" s="1"/>
  <c r="BS44" i="110" s="1"/>
  <c r="BH44" i="110" a="1"/>
  <c r="BH44" i="110" s="1"/>
  <c r="AY44" i="110" a="1"/>
  <c r="AY44" i="110" s="1"/>
  <c r="BE44" i="110" a="1"/>
  <c r="BE44" i="110" s="1"/>
  <c r="BV44" i="110" s="1"/>
  <c r="M46" i="110"/>
  <c r="I46" i="110" s="1"/>
  <c r="AU44" i="110" a="1"/>
  <c r="AU44" i="110" s="1"/>
  <c r="BO44" i="110" s="1"/>
  <c r="P45" i="110"/>
  <c r="W45" i="110"/>
  <c r="N45" i="110"/>
  <c r="Q45" i="110"/>
  <c r="AJ44" i="110" a="1"/>
  <c r="AJ44" i="110" s="1"/>
  <c r="BG44" i="110" a="1"/>
  <c r="BG44" i="110" s="1"/>
  <c r="AD43" i="110"/>
  <c r="AB43" i="110"/>
  <c r="BD44" i="110" a="1"/>
  <c r="BD44" i="110" s="1"/>
  <c r="BU44" i="110" s="1"/>
  <c r="AM44" i="110" a="1"/>
  <c r="AM44" i="110" s="1"/>
  <c r="BF44" i="110" a="1"/>
  <c r="BF44" i="110" s="1"/>
  <c r="BW44" i="110" s="1"/>
  <c r="BR44" i="110" l="1"/>
  <c r="BP44" i="110"/>
  <c r="BM44" i="110"/>
  <c r="H46" i="110"/>
  <c r="E47" i="110" s="1"/>
  <c r="F47" i="110" s="1"/>
  <c r="M47" i="110" s="1"/>
  <c r="I47" i="110" s="1"/>
  <c r="BX44" i="110"/>
  <c r="Z43" i="110"/>
  <c r="BQ44" i="110"/>
  <c r="G46" i="110"/>
  <c r="O46" i="110" s="1"/>
  <c r="P46" i="110" s="1"/>
  <c r="AC43" i="110"/>
  <c r="AA43" i="110" s="1"/>
  <c r="V45" i="110"/>
  <c r="AY45" i="110" a="1"/>
  <c r="AY45" i="110" s="1"/>
  <c r="AK45" i="110" a="1"/>
  <c r="AK45" i="110" s="1"/>
  <c r="AF45" i="110"/>
  <c r="AG45" i="110" s="1"/>
  <c r="AH45" i="110" s="1"/>
  <c r="AI45" i="110" s="1"/>
  <c r="BH45" i="110" s="1" a="1"/>
  <c r="BH45" i="110" s="1"/>
  <c r="AW45" i="110" a="1"/>
  <c r="AW45" i="110" s="1"/>
  <c r="AJ45" i="110" a="1"/>
  <c r="AJ45" i="110" s="1"/>
  <c r="BA45" i="110" a="1"/>
  <c r="BA45" i="110" s="1"/>
  <c r="BF45" i="110" a="1"/>
  <c r="BF45" i="110" s="1"/>
  <c r="BW45" i="110" s="1"/>
  <c r="BD45" i="110" a="1"/>
  <c r="BD45" i="110" s="1"/>
  <c r="BU45" i="110" s="1"/>
  <c r="AZ45" i="110" a="1"/>
  <c r="AZ45" i="110" s="1"/>
  <c r="AS45" i="110" a="1"/>
  <c r="AS45" i="110" s="1"/>
  <c r="BN45" i="110" s="1"/>
  <c r="AO45" i="110" a="1"/>
  <c r="AO45" i="110" s="1"/>
  <c r="BL45" i="110" s="1"/>
  <c r="AL45" i="110" a="1"/>
  <c r="AL45" i="110" s="1"/>
  <c r="BI44" i="110"/>
  <c r="N46" i="110" l="1"/>
  <c r="Q46" i="110"/>
  <c r="W46" i="110"/>
  <c r="Y43" i="110"/>
  <c r="S43" i="110" s="1"/>
  <c r="T43" i="110"/>
  <c r="BR45" i="110"/>
  <c r="BI45" i="110"/>
  <c r="AE43" i="110"/>
  <c r="AV45" i="110" a="1"/>
  <c r="AV45" i="110" s="1"/>
  <c r="AQ45" i="110" a="1"/>
  <c r="AQ45" i="110" s="1"/>
  <c r="BB45" i="110" a="1"/>
  <c r="BB45" i="110" s="1"/>
  <c r="BS45" i="110" s="1"/>
  <c r="AN45" i="110" a="1"/>
  <c r="AN45" i="110" s="1"/>
  <c r="BK45" i="110" s="1"/>
  <c r="BJ44" i="110"/>
  <c r="Z44" i="110"/>
  <c r="AC44" i="110"/>
  <c r="AA44" i="110" s="1"/>
  <c r="BE45" i="110" a="1"/>
  <c r="BE45" i="110" s="1"/>
  <c r="BV45" i="110" s="1"/>
  <c r="AR45" i="110" a="1"/>
  <c r="AR45" i="110" s="1"/>
  <c r="AT45" i="110" a="1"/>
  <c r="AT45" i="110" s="1"/>
  <c r="G47" i="110"/>
  <c r="O47" i="110" s="1"/>
  <c r="BC45" i="110" a="1"/>
  <c r="BC45" i="110" s="1"/>
  <c r="BT45" i="110" s="1"/>
  <c r="H47" i="110"/>
  <c r="E48" i="110" s="1"/>
  <c r="F48" i="110" s="1"/>
  <c r="AP45" i="110" a="1"/>
  <c r="AP45" i="110" s="1"/>
  <c r="AU45" i="110" a="1"/>
  <c r="AU45" i="110" s="1"/>
  <c r="AM45" i="110" a="1"/>
  <c r="AM45" i="110" s="1"/>
  <c r="BJ45" i="110" s="1"/>
  <c r="BG45" i="110" a="1"/>
  <c r="BG45" i="110" s="1"/>
  <c r="BX45" i="110" s="1"/>
  <c r="AX45" i="110" a="1"/>
  <c r="AX45" i="110" s="1"/>
  <c r="BH46" i="110" a="1"/>
  <c r="BH46" i="110" s="1"/>
  <c r="BX46" i="110" s="1"/>
  <c r="AY46" i="110" a="1"/>
  <c r="AY46" i="110" s="1"/>
  <c r="AF46" i="110"/>
  <c r="AG46" i="110" s="1"/>
  <c r="AH46" i="110" s="1"/>
  <c r="AI46" i="110" s="1"/>
  <c r="AN46" i="110" s="1" a="1"/>
  <c r="AN46" i="110" s="1"/>
  <c r="BK46" i="110" s="1"/>
  <c r="BG46" i="110" a="1"/>
  <c r="BG46" i="110" s="1"/>
  <c r="AX46" i="110" a="1"/>
  <c r="AX46" i="110" s="1"/>
  <c r="AL46" i="110" a="1"/>
  <c r="AL46" i="110" s="1"/>
  <c r="AV46" i="110" a="1"/>
  <c r="AV46" i="110" s="1"/>
  <c r="AP46" i="110" a="1"/>
  <c r="AP46" i="110" s="1"/>
  <c r="BC46" i="110" a="1"/>
  <c r="BC46" i="110" s="1"/>
  <c r="BT46" i="110" s="1"/>
  <c r="AM46" i="110" a="1"/>
  <c r="AM46" i="110" s="1"/>
  <c r="BA46" i="110" a="1"/>
  <c r="BA46" i="110" s="1"/>
  <c r="AK46" i="110" a="1"/>
  <c r="AK46" i="110" s="1"/>
  <c r="AO46" i="110" a="1"/>
  <c r="AO46" i="110" s="1"/>
  <c r="BL46" i="110" s="1"/>
  <c r="BB46" i="110" a="1"/>
  <c r="BB46" i="110" s="1"/>
  <c r="BS46" i="110" s="1"/>
  <c r="BD46" i="110" a="1"/>
  <c r="BD46" i="110" s="1"/>
  <c r="BU46" i="110" s="1"/>
  <c r="AU46" i="110" a="1"/>
  <c r="AU46" i="110" s="1"/>
  <c r="BF46" i="110" a="1"/>
  <c r="BF46" i="110" s="1"/>
  <c r="BW46" i="110" s="1"/>
  <c r="BE46" i="110" a="1"/>
  <c r="BE46" i="110" s="1"/>
  <c r="BV46" i="110" s="1"/>
  <c r="V46" i="110"/>
  <c r="AT46" i="110" a="1"/>
  <c r="AT46" i="110" s="1"/>
  <c r="AS46" i="110" a="1"/>
  <c r="AS46" i="110" s="1"/>
  <c r="BN46" i="110" s="1"/>
  <c r="AR46" i="110" a="1"/>
  <c r="AR46" i="110" s="1"/>
  <c r="AJ46" i="110" a="1"/>
  <c r="AJ46" i="110" s="1"/>
  <c r="BI46" i="110" s="1"/>
  <c r="BO46" i="110" l="1"/>
  <c r="BO45" i="110"/>
  <c r="BJ46" i="110"/>
  <c r="AQ46" i="110" a="1"/>
  <c r="AQ46" i="110" s="1"/>
  <c r="BM46" i="110" s="1"/>
  <c r="T44" i="110"/>
  <c r="Y44" i="110"/>
  <c r="S44" i="110" s="1"/>
  <c r="AZ46" i="110" a="1"/>
  <c r="AZ46" i="110" s="1"/>
  <c r="BR46" i="110" s="1"/>
  <c r="AD44" i="110"/>
  <c r="AB44" i="110"/>
  <c r="AE44" i="110" s="1"/>
  <c r="BP45" i="110"/>
  <c r="BQ45" i="110" s="1"/>
  <c r="AB45" i="110" s="1"/>
  <c r="BM45" i="110"/>
  <c r="AW46" i="110" a="1"/>
  <c r="AW46" i="110" s="1"/>
  <c r="BP46" i="110" s="1"/>
  <c r="BQ46" i="110" s="1"/>
  <c r="M48" i="110"/>
  <c r="G48" i="110" s="1"/>
  <c r="O48" i="110" s="1"/>
  <c r="P47" i="110"/>
  <c r="Q47" i="110"/>
  <c r="N47" i="110"/>
  <c r="W47" i="110"/>
  <c r="AC45" i="110" l="1"/>
  <c r="AA45" i="110" s="1"/>
  <c r="P48" i="110"/>
  <c r="Q48" i="110"/>
  <c r="W48" i="110"/>
  <c r="N48" i="110"/>
  <c r="AC46" i="110"/>
  <c r="AA46" i="110" s="1"/>
  <c r="Z46" i="110"/>
  <c r="V47" i="110"/>
  <c r="AU47" i="110" a="1"/>
  <c r="AU47" i="110" s="1"/>
  <c r="BE47" i="110" a="1"/>
  <c r="BE47" i="110" s="1"/>
  <c r="BV47" i="110" s="1"/>
  <c r="AP47" i="110" a="1"/>
  <c r="AP47" i="110" s="1"/>
  <c r="BF47" i="110" a="1"/>
  <c r="BF47" i="110" s="1"/>
  <c r="BW47" i="110" s="1"/>
  <c r="AW47" i="110" a="1"/>
  <c r="AW47" i="110" s="1"/>
  <c r="AM47" i="110" a="1"/>
  <c r="AM47" i="110" s="1"/>
  <c r="AJ47" i="110" a="1"/>
  <c r="AJ47" i="110" s="1"/>
  <c r="AF47" i="110"/>
  <c r="AG47" i="110" s="1"/>
  <c r="AH47" i="110" s="1"/>
  <c r="AI47" i="110" s="1"/>
  <c r="BG47" i="110" s="1" a="1"/>
  <c r="BG47" i="110" s="1"/>
  <c r="BA47" i="110" a="1"/>
  <c r="BA47" i="110" s="1"/>
  <c r="AZ47" i="110" a="1"/>
  <c r="AZ47" i="110" s="1"/>
  <c r="AV47" i="110" a="1"/>
  <c r="AV47" i="110" s="1"/>
  <c r="H48" i="110"/>
  <c r="E49" i="110" s="1"/>
  <c r="F49" i="110" s="1"/>
  <c r="AD45" i="110"/>
  <c r="I48" i="110"/>
  <c r="Z45" i="110"/>
  <c r="AB46" i="110"/>
  <c r="AD46" i="110"/>
  <c r="BR47" i="110" l="1"/>
  <c r="AK47" i="110" a="1"/>
  <c r="AK47" i="110" s="1"/>
  <c r="AX47" i="110" a="1"/>
  <c r="AX47" i="110" s="1"/>
  <c r="BP47" i="110" s="1"/>
  <c r="BH47" i="110" a="1"/>
  <c r="BH47" i="110" s="1"/>
  <c r="BX47" i="110" s="1"/>
  <c r="AT47" i="110" a="1"/>
  <c r="AT47" i="110" s="1"/>
  <c r="BO47" i="110" s="1"/>
  <c r="T45" i="110"/>
  <c r="AE45" i="110"/>
  <c r="Y45" i="110"/>
  <c r="S45" i="110" s="1"/>
  <c r="AQ47" i="110" a="1"/>
  <c r="AQ47" i="110" s="1"/>
  <c r="BB47" i="110" a="1"/>
  <c r="BB47" i="110" s="1"/>
  <c r="BS47" i="110" s="1"/>
  <c r="AL47" i="110" a="1"/>
  <c r="AL47" i="110" s="1"/>
  <c r="M49" i="110"/>
  <c r="G49" i="110" s="1"/>
  <c r="O49" i="110" s="1"/>
  <c r="BC47" i="110" a="1"/>
  <c r="BC47" i="110" s="1"/>
  <c r="BT47" i="110" s="1"/>
  <c r="AR47" i="110" a="1"/>
  <c r="AR47" i="110" s="1"/>
  <c r="AY47" i="110" a="1"/>
  <c r="AY47" i="110" s="1"/>
  <c r="AS47" i="110" a="1"/>
  <c r="AS47" i="110" s="1"/>
  <c r="BN47" i="110" s="1"/>
  <c r="T46" i="110"/>
  <c r="Y46" i="110"/>
  <c r="S46" i="110" s="1"/>
  <c r="AE46" i="110"/>
  <c r="BD47" i="110" a="1"/>
  <c r="BD47" i="110" s="1"/>
  <c r="BU47" i="110" s="1"/>
  <c r="AO47" i="110" a="1"/>
  <c r="AO47" i="110" s="1"/>
  <c r="BL47" i="110" s="1"/>
  <c r="BH48" i="110" a="1"/>
  <c r="BH48" i="110" s="1"/>
  <c r="AF48" i="110"/>
  <c r="AG48" i="110" s="1"/>
  <c r="AH48" i="110" s="1"/>
  <c r="AI48" i="110" s="1"/>
  <c r="AW48" i="110" s="1" a="1"/>
  <c r="AW48" i="110" s="1"/>
  <c r="BE48" i="110" a="1"/>
  <c r="BE48" i="110" s="1"/>
  <c r="BV48" i="110" s="1"/>
  <c r="V48" i="110"/>
  <c r="BC48" i="110" a="1"/>
  <c r="BC48" i="110" s="1"/>
  <c r="BT48" i="110" s="1"/>
  <c r="AQ48" i="110" a="1"/>
  <c r="AQ48" i="110" s="1"/>
  <c r="AN47" i="110" a="1"/>
  <c r="AN47" i="110" s="1"/>
  <c r="BK47" i="110" s="1"/>
  <c r="BI47" i="110" l="1"/>
  <c r="BJ47" i="110" s="1"/>
  <c r="BM47" i="110"/>
  <c r="BQ47" i="110"/>
  <c r="P49" i="110"/>
  <c r="N49" i="110"/>
  <c r="W49" i="110"/>
  <c r="Q49" i="110"/>
  <c r="AP48" i="110" a="1"/>
  <c r="AP48" i="110" s="1"/>
  <c r="BA48" i="110" a="1"/>
  <c r="BA48" i="110" s="1"/>
  <c r="H49" i="110"/>
  <c r="E50" i="110" s="1"/>
  <c r="F50" i="110" s="1"/>
  <c r="AS48" i="110" a="1"/>
  <c r="AS48" i="110" s="1"/>
  <c r="BN48" i="110" s="1"/>
  <c r="AL48" i="110" a="1"/>
  <c r="AL48" i="110" s="1"/>
  <c r="AO48" i="110" a="1"/>
  <c r="AO48" i="110" s="1"/>
  <c r="BL48" i="110" s="1"/>
  <c r="I49" i="110"/>
  <c r="BF48" i="110" a="1"/>
  <c r="BF48" i="110" s="1"/>
  <c r="BW48" i="110" s="1"/>
  <c r="AJ48" i="110" a="1"/>
  <c r="AJ48" i="110" s="1"/>
  <c r="AX48" i="110" a="1"/>
  <c r="AX48" i="110" s="1"/>
  <c r="AR48" i="110" a="1"/>
  <c r="AR48" i="110" s="1"/>
  <c r="AV48" i="110" a="1"/>
  <c r="AV48" i="110" s="1"/>
  <c r="BB48" i="110" a="1"/>
  <c r="BB48" i="110" s="1"/>
  <c r="BS48" i="110" s="1"/>
  <c r="AM48" i="110" a="1"/>
  <c r="AM48" i="110" s="1"/>
  <c r="AZ48" i="110" a="1"/>
  <c r="AZ48" i="110" s="1"/>
  <c r="BD48" i="110" a="1"/>
  <c r="BD48" i="110" s="1"/>
  <c r="BU48" i="110" s="1"/>
  <c r="AT48" i="110" a="1"/>
  <c r="AT48" i="110" s="1"/>
  <c r="BG48" i="110" a="1"/>
  <c r="BG48" i="110" s="1"/>
  <c r="BX48" i="110" s="1"/>
  <c r="AN48" i="110" a="1"/>
  <c r="AN48" i="110" s="1"/>
  <c r="BK48" i="110" s="1"/>
  <c r="AU48" i="110" a="1"/>
  <c r="AU48" i="110" s="1"/>
  <c r="AY48" i="110" a="1"/>
  <c r="AY48" i="110" s="1"/>
  <c r="AK48" i="110" a="1"/>
  <c r="AK48" i="110" s="1"/>
  <c r="Z47" i="110" l="1"/>
  <c r="T47" i="110" s="1"/>
  <c r="AC47" i="110"/>
  <c r="AA47" i="110" s="1"/>
  <c r="BP48" i="110"/>
  <c r="BQ48" i="110" s="1"/>
  <c r="BM48" i="110"/>
  <c r="M50" i="110"/>
  <c r="G50" i="110" s="1"/>
  <c r="O50" i="110" s="1"/>
  <c r="BR48" i="110"/>
  <c r="V49" i="110"/>
  <c r="BC49" i="110" a="1"/>
  <c r="BC49" i="110" s="1"/>
  <c r="BT49" i="110" s="1"/>
  <c r="AT49" i="110" a="1"/>
  <c r="AT49" i="110" s="1"/>
  <c r="AW49" i="110" a="1"/>
  <c r="AW49" i="110" s="1"/>
  <c r="AX49" i="110" a="1"/>
  <c r="AX49" i="110" s="1"/>
  <c r="AS49" i="110" a="1"/>
  <c r="AS49" i="110" s="1"/>
  <c r="BN49" i="110" s="1"/>
  <c r="AV49" i="110" a="1"/>
  <c r="AV49" i="110" s="1"/>
  <c r="AL49" i="110" a="1"/>
  <c r="AL49" i="110" s="1"/>
  <c r="AF49" i="110"/>
  <c r="AG49" i="110" s="1"/>
  <c r="AH49" i="110" s="1"/>
  <c r="AI49" i="110" s="1"/>
  <c r="BB49" i="110" s="1" a="1"/>
  <c r="BB49" i="110" s="1"/>
  <c r="BS49" i="110" s="1"/>
  <c r="BH49" i="110" a="1"/>
  <c r="BH49" i="110" s="1"/>
  <c r="BG49" i="110" a="1"/>
  <c r="BG49" i="110" s="1"/>
  <c r="BI48" i="110"/>
  <c r="BO48" i="110"/>
  <c r="AD47" i="110"/>
  <c r="AB47" i="110"/>
  <c r="BX49" i="110" l="1"/>
  <c r="AE47" i="110"/>
  <c r="Y47" i="110"/>
  <c r="S47" i="110" s="1"/>
  <c r="BP49" i="110"/>
  <c r="AN49" i="110" a="1"/>
  <c r="AN49" i="110" s="1"/>
  <c r="BK49" i="110" s="1"/>
  <c r="AZ49" i="110" a="1"/>
  <c r="AZ49" i="110" s="1"/>
  <c r="BD49" i="110" a="1"/>
  <c r="BD49" i="110" s="1"/>
  <c r="BU49" i="110" s="1"/>
  <c r="AQ49" i="110" a="1"/>
  <c r="AQ49" i="110" s="1"/>
  <c r="BE49" i="110" a="1"/>
  <c r="BE49" i="110" s="1"/>
  <c r="BV49" i="110" s="1"/>
  <c r="AU49" i="110" a="1"/>
  <c r="AU49" i="110" s="1"/>
  <c r="BO49" i="110" s="1"/>
  <c r="AK49" i="110" a="1"/>
  <c r="AK49" i="110" s="1"/>
  <c r="BF49" i="110" a="1"/>
  <c r="BF49" i="110" s="1"/>
  <c r="BW49" i="110" s="1"/>
  <c r="AO49" i="110" a="1"/>
  <c r="AO49" i="110" s="1"/>
  <c r="BL49" i="110" s="1"/>
  <c r="AY49" i="110" a="1"/>
  <c r="AY49" i="110" s="1"/>
  <c r="BQ49" i="110" s="1"/>
  <c r="AR49" i="110" a="1"/>
  <c r="AR49" i="110" s="1"/>
  <c r="AJ49" i="110" a="1"/>
  <c r="AJ49" i="110" s="1"/>
  <c r="BA49" i="110" a="1"/>
  <c r="BA49" i="110" s="1"/>
  <c r="AP49" i="110" a="1"/>
  <c r="AP49" i="110" s="1"/>
  <c r="AM49" i="110" a="1"/>
  <c r="AM49" i="110" s="1"/>
  <c r="P50" i="110"/>
  <c r="W50" i="110"/>
  <c r="N50" i="110"/>
  <c r="Q50" i="110"/>
  <c r="Z48" i="110"/>
  <c r="BJ48" i="110"/>
  <c r="AC48" i="110"/>
  <c r="AA48" i="110" s="1"/>
  <c r="I50" i="110"/>
  <c r="H50" i="110"/>
  <c r="E51" i="110" s="1"/>
  <c r="F51" i="110" s="1"/>
  <c r="BR49" i="110" l="1"/>
  <c r="BM49" i="110"/>
  <c r="BI49" i="110"/>
  <c r="AB48" i="110"/>
  <c r="AE48" i="110" s="1"/>
  <c r="AD48" i="110"/>
  <c r="T48" i="110"/>
  <c r="Y48" i="110"/>
  <c r="S48" i="110" s="1"/>
  <c r="BD50" i="110" a="1"/>
  <c r="BD50" i="110" s="1"/>
  <c r="BU50" i="110" s="1"/>
  <c r="AM50" i="110" a="1"/>
  <c r="AM50" i="110" s="1"/>
  <c r="AU50" i="110" a="1"/>
  <c r="AU50" i="110" s="1"/>
  <c r="AZ50" i="110" a="1"/>
  <c r="AZ50" i="110" s="1"/>
  <c r="AP50" i="110" a="1"/>
  <c r="AP50" i="110" s="1"/>
  <c r="BC50" i="110" a="1"/>
  <c r="BC50" i="110" s="1"/>
  <c r="BT50" i="110" s="1"/>
  <c r="AR50" i="110" a="1"/>
  <c r="AR50" i="110" s="1"/>
  <c r="BB50" i="110" a="1"/>
  <c r="BB50" i="110" s="1"/>
  <c r="BS50" i="110" s="1"/>
  <c r="AQ50" i="110" a="1"/>
  <c r="AQ50" i="110" s="1"/>
  <c r="AW50" i="110" a="1"/>
  <c r="AW50" i="110" s="1"/>
  <c r="AJ50" i="110" a="1"/>
  <c r="AJ50" i="110" s="1"/>
  <c r="BH50" i="110" a="1"/>
  <c r="BH50" i="110" s="1"/>
  <c r="AF50" i="110"/>
  <c r="AG50" i="110" s="1"/>
  <c r="AH50" i="110" s="1"/>
  <c r="AI50" i="110" s="1"/>
  <c r="BG50" i="110" a="1"/>
  <c r="BG50" i="110" s="1"/>
  <c r="AT50" i="110" a="1"/>
  <c r="AT50" i="110" s="1"/>
  <c r="V50" i="110"/>
  <c r="AV50" i="110" a="1"/>
  <c r="AV50" i="110" s="1"/>
  <c r="AO50" i="110" a="1"/>
  <c r="AO50" i="110" s="1"/>
  <c r="BL50" i="110" s="1"/>
  <c r="AX50" i="110" a="1"/>
  <c r="AX50" i="110" s="1"/>
  <c r="AY50" i="110" a="1"/>
  <c r="AY50" i="110" s="1"/>
  <c r="AS50" i="110" a="1"/>
  <c r="AS50" i="110" s="1"/>
  <c r="BN50" i="110" s="1"/>
  <c r="BA50" i="110" a="1"/>
  <c r="BA50" i="110" s="1"/>
  <c r="BR50" i="110" s="1"/>
  <c r="AN50" i="110" a="1"/>
  <c r="AN50" i="110" s="1"/>
  <c r="BK50" i="110" s="1"/>
  <c r="AL50" i="110" a="1"/>
  <c r="AL50" i="110" s="1"/>
  <c r="AK50" i="110" a="1"/>
  <c r="AK50" i="110" s="1"/>
  <c r="BF50" i="110" a="1"/>
  <c r="BF50" i="110" s="1"/>
  <c r="BW50" i="110" s="1"/>
  <c r="BE50" i="110" a="1"/>
  <c r="BE50" i="110" s="1"/>
  <c r="BV50" i="110" s="1"/>
  <c r="M51" i="110"/>
  <c r="I51" i="110" s="1"/>
  <c r="BM50" i="110" l="1"/>
  <c r="BO50" i="110"/>
  <c r="BP50" i="110"/>
  <c r="BQ50" i="110" s="1"/>
  <c r="H51" i="110"/>
  <c r="E52" i="110" s="1"/>
  <c r="F52" i="110" s="1"/>
  <c r="M52" i="110" s="1"/>
  <c r="H52" i="110" s="1"/>
  <c r="E53" i="110" s="1"/>
  <c r="F53" i="110" s="1"/>
  <c r="BX50" i="110"/>
  <c r="BI50" i="110"/>
  <c r="AC49" i="110"/>
  <c r="AA49" i="110" s="1"/>
  <c r="BJ49" i="110"/>
  <c r="Z49" i="110"/>
  <c r="G51" i="110"/>
  <c r="O51" i="110" s="1"/>
  <c r="AC50" i="110" l="1"/>
  <c r="AA50" i="110" s="1"/>
  <c r="BJ50" i="110"/>
  <c r="AD50" i="110" s="1"/>
  <c r="Z50" i="110"/>
  <c r="Y50" i="110" s="1"/>
  <c r="S50" i="110" s="1"/>
  <c r="T49" i="110"/>
  <c r="Y49" i="110"/>
  <c r="S49" i="110" s="1"/>
  <c r="AB49" i="110"/>
  <c r="AE49" i="110" s="1"/>
  <c r="AD49" i="110"/>
  <c r="M53" i="110"/>
  <c r="I53" i="110" s="1"/>
  <c r="P51" i="110"/>
  <c r="Q51" i="110"/>
  <c r="N51" i="110"/>
  <c r="W51" i="110"/>
  <c r="I52" i="110"/>
  <c r="G52" i="110"/>
  <c r="O52" i="110" s="1"/>
  <c r="AB50" i="110" l="1"/>
  <c r="AE50" i="110" s="1"/>
  <c r="T50" i="110"/>
  <c r="H53" i="110"/>
  <c r="E54" i="110" s="1"/>
  <c r="F54" i="110" s="1"/>
  <c r="M54" i="110" s="1"/>
  <c r="AW51" i="110" a="1"/>
  <c r="AW51" i="110" s="1"/>
  <c r="V51" i="110"/>
  <c r="AL51" i="110" a="1"/>
  <c r="AL51" i="110" s="1"/>
  <c r="AN51" i="110" a="1"/>
  <c r="AN51" i="110" s="1"/>
  <c r="BK51" i="110" s="1"/>
  <c r="AU51" i="110" a="1"/>
  <c r="AU51" i="110" s="1"/>
  <c r="BH51" i="110" a="1"/>
  <c r="BH51" i="110" s="1"/>
  <c r="BF51" i="110" a="1"/>
  <c r="BF51" i="110" s="1"/>
  <c r="BW51" i="110" s="1"/>
  <c r="BE51" i="110" a="1"/>
  <c r="BE51" i="110" s="1"/>
  <c r="BV51" i="110" s="1"/>
  <c r="AS51" i="110" a="1"/>
  <c r="AS51" i="110" s="1"/>
  <c r="BN51" i="110" s="1"/>
  <c r="AJ51" i="110" a="1"/>
  <c r="AJ51" i="110" s="1"/>
  <c r="AF51" i="110"/>
  <c r="AG51" i="110" s="1"/>
  <c r="AH51" i="110" s="1"/>
  <c r="AI51" i="110" s="1"/>
  <c r="AT51" i="110" s="1" a="1"/>
  <c r="AT51" i="110" s="1"/>
  <c r="G53" i="110"/>
  <c r="O53" i="110" s="1"/>
  <c r="P52" i="110"/>
  <c r="Q52" i="110"/>
  <c r="W52" i="110"/>
  <c r="N52" i="110"/>
  <c r="BO51" i="110" l="1"/>
  <c r="H54" i="110"/>
  <c r="E55" i="110" s="1"/>
  <c r="F55" i="110" s="1"/>
  <c r="G54" i="110"/>
  <c r="O54" i="110" s="1"/>
  <c r="I54" i="110"/>
  <c r="AV51" i="110" a="1"/>
  <c r="AV51" i="110" s="1"/>
  <c r="AQ51" i="110" a="1"/>
  <c r="AQ51" i="110" s="1"/>
  <c r="BA51" i="110" a="1"/>
  <c r="BA51" i="110" s="1"/>
  <c r="BB51" i="110" a="1"/>
  <c r="BB51" i="110" s="1"/>
  <c r="BS51" i="110" s="1"/>
  <c r="BD52" i="110" a="1"/>
  <c r="BD52" i="110" s="1"/>
  <c r="BU52" i="110" s="1"/>
  <c r="V52" i="110"/>
  <c r="BH52" i="110" a="1"/>
  <c r="BH52" i="110" s="1"/>
  <c r="AT52" i="110" a="1"/>
  <c r="AT52" i="110" s="1"/>
  <c r="BG52" i="110" a="1"/>
  <c r="BG52" i="110" s="1"/>
  <c r="AX52" i="110" a="1"/>
  <c r="AX52" i="110" s="1"/>
  <c r="AL52" i="110" a="1"/>
  <c r="AL52" i="110" s="1"/>
  <c r="AF52" i="110"/>
  <c r="AG52" i="110" s="1"/>
  <c r="AH52" i="110" s="1"/>
  <c r="AI52" i="110" s="1"/>
  <c r="AP52" i="110" s="1" a="1"/>
  <c r="AP52" i="110" s="1"/>
  <c r="BC52" i="110" a="1"/>
  <c r="BC52" i="110" s="1"/>
  <c r="BT52" i="110" s="1"/>
  <c r="AZ52" i="110" a="1"/>
  <c r="AZ52" i="110" s="1"/>
  <c r="AY52" i="110" a="1"/>
  <c r="AY52" i="110" s="1"/>
  <c r="AW52" i="110" a="1"/>
  <c r="AW52" i="110" s="1"/>
  <c r="AO52" i="110" a="1"/>
  <c r="AO52" i="110" s="1"/>
  <c r="BL52" i="110" s="1"/>
  <c r="AN52" i="110" a="1"/>
  <c r="AN52" i="110" s="1"/>
  <c r="BK52" i="110" s="1"/>
  <c r="AM52" i="110" a="1"/>
  <c r="AM52" i="110" s="1"/>
  <c r="AO51" i="110" a="1"/>
  <c r="AO51" i="110" s="1"/>
  <c r="BL51" i="110" s="1"/>
  <c r="AX51" i="110" a="1"/>
  <c r="AX51" i="110" s="1"/>
  <c r="AR51" i="110" a="1"/>
  <c r="AR51" i="110" s="1"/>
  <c r="BD51" i="110" a="1"/>
  <c r="BD51" i="110" s="1"/>
  <c r="BU51" i="110" s="1"/>
  <c r="AP51" i="110" a="1"/>
  <c r="AP51" i="110" s="1"/>
  <c r="BG51" i="110" a="1"/>
  <c r="BG51" i="110" s="1"/>
  <c r="BX51" i="110" s="1"/>
  <c r="AM51" i="110" a="1"/>
  <c r="AM51" i="110" s="1"/>
  <c r="BC51" i="110" a="1"/>
  <c r="BC51" i="110" s="1"/>
  <c r="BT51" i="110" s="1"/>
  <c r="AY51" i="110" a="1"/>
  <c r="AY51" i="110" s="1"/>
  <c r="P54" i="110"/>
  <c r="W54" i="110"/>
  <c r="Q54" i="110"/>
  <c r="N54" i="110"/>
  <c r="AK51" i="110" a="1"/>
  <c r="AK51" i="110" s="1"/>
  <c r="BI51" i="110" s="1"/>
  <c r="M55" i="110"/>
  <c r="I55" i="110" s="1"/>
  <c r="P53" i="110"/>
  <c r="W53" i="110"/>
  <c r="Q53" i="110"/>
  <c r="N53" i="110"/>
  <c r="AZ51" i="110" a="1"/>
  <c r="AZ51" i="110" s="1"/>
  <c r="AR52" i="110" l="1" a="1"/>
  <c r="AR52" i="110" s="1"/>
  <c r="BE52" i="110" a="1"/>
  <c r="BE52" i="110" s="1"/>
  <c r="BV52" i="110" s="1"/>
  <c r="AU52" i="110" a="1"/>
  <c r="AU52" i="110" s="1"/>
  <c r="BO52" i="110" s="1"/>
  <c r="AJ52" i="110" a="1"/>
  <c r="AJ52" i="110" s="1"/>
  <c r="BF52" i="110" a="1"/>
  <c r="BF52" i="110" s="1"/>
  <c r="BW52" i="110" s="1"/>
  <c r="AV52" i="110" a="1"/>
  <c r="AV52" i="110" s="1"/>
  <c r="BP52" i="110" s="1"/>
  <c r="BQ52" i="110" s="1"/>
  <c r="AQ52" i="110" a="1"/>
  <c r="AQ52" i="110" s="1"/>
  <c r="BA52" i="110" a="1"/>
  <c r="BA52" i="110" s="1"/>
  <c r="BR52" i="110" s="1"/>
  <c r="AS52" i="110" a="1"/>
  <c r="AS52" i="110" s="1"/>
  <c r="BN52" i="110" s="1"/>
  <c r="AK52" i="110" a="1"/>
  <c r="AK52" i="110" s="1"/>
  <c r="BB52" i="110" a="1"/>
  <c r="BB52" i="110" s="1"/>
  <c r="BS52" i="110" s="1"/>
  <c r="BX52" i="110"/>
  <c r="BJ51" i="110"/>
  <c r="BM51" i="110"/>
  <c r="BB53" i="110" a="1"/>
  <c r="BB53" i="110" s="1"/>
  <c r="BS53" i="110" s="1"/>
  <c r="AF53" i="110"/>
  <c r="AG53" i="110" s="1"/>
  <c r="AH53" i="110" s="1"/>
  <c r="AI53" i="110" s="1"/>
  <c r="AN53" i="110" s="1" a="1"/>
  <c r="AN53" i="110" s="1"/>
  <c r="BK53" i="110" s="1"/>
  <c r="AZ53" i="110" a="1"/>
  <c r="AZ53" i="110" s="1"/>
  <c r="V53" i="110"/>
  <c r="AM53" i="110" a="1"/>
  <c r="AM53" i="110" s="1"/>
  <c r="BA53" i="110" a="1"/>
  <c r="BA53" i="110" s="1"/>
  <c r="AJ53" i="110" a="1"/>
  <c r="AJ53" i="110" s="1"/>
  <c r="AL53" i="110" a="1"/>
  <c r="AL53" i="110" s="1"/>
  <c r="AY53" i="110" a="1"/>
  <c r="AY53" i="110" s="1"/>
  <c r="AQ53" i="110" a="1"/>
  <c r="AQ53" i="110" s="1"/>
  <c r="BH53" i="110" a="1"/>
  <c r="BH53" i="110" s="1"/>
  <c r="BG53" i="110" a="1"/>
  <c r="BG53" i="110" s="1"/>
  <c r="BC53" i="110" a="1"/>
  <c r="BC53" i="110" s="1"/>
  <c r="BT53" i="110" s="1"/>
  <c r="AW53" i="110" a="1"/>
  <c r="AW53" i="110" s="1"/>
  <c r="AU53" i="110" a="1"/>
  <c r="AU53" i="110" s="1"/>
  <c r="AP53" i="110" a="1"/>
  <c r="AP53" i="110" s="1"/>
  <c r="G55" i="110"/>
  <c r="O55" i="110" s="1"/>
  <c r="H55" i="110"/>
  <c r="E56" i="110" s="1"/>
  <c r="F56" i="110" s="1"/>
  <c r="BR51" i="110"/>
  <c r="AF54" i="110"/>
  <c r="AG54" i="110" s="1"/>
  <c r="AH54" i="110" s="1"/>
  <c r="AI54" i="110" s="1"/>
  <c r="AV54" i="110" s="1" a="1"/>
  <c r="AV54" i="110" s="1"/>
  <c r="BC54" i="110" a="1"/>
  <c r="BC54" i="110" s="1"/>
  <c r="BT54" i="110" s="1"/>
  <c r="V54" i="110"/>
  <c r="BP51" i="110"/>
  <c r="BQ51" i="110" s="1"/>
  <c r="BM52" i="110" l="1"/>
  <c r="BI52" i="110"/>
  <c r="BB54" i="110" a="1"/>
  <c r="BB54" i="110" s="1"/>
  <c r="BS54" i="110" s="1"/>
  <c r="AQ54" i="110" a="1"/>
  <c r="AQ54" i="110" s="1"/>
  <c r="BX53" i="110"/>
  <c r="Z52" i="110"/>
  <c r="T52" i="110" s="1"/>
  <c r="AC52" i="110"/>
  <c r="AA52" i="110" s="1"/>
  <c r="AW54" i="110" a="1"/>
  <c r="AW54" i="110" s="1"/>
  <c r="AX53" i="110" a="1"/>
  <c r="AX53" i="110" s="1"/>
  <c r="BE53" i="110" a="1"/>
  <c r="BE53" i="110" s="1"/>
  <c r="BV53" i="110" s="1"/>
  <c r="AX54" i="110" a="1"/>
  <c r="AX54" i="110" s="1"/>
  <c r="AK53" i="110" a="1"/>
  <c r="AK53" i="110" s="1"/>
  <c r="BI53" i="110" s="1"/>
  <c r="Z51" i="110"/>
  <c r="T51" i="110" s="1"/>
  <c r="AU54" i="110" a="1"/>
  <c r="AU54" i="110" s="1"/>
  <c r="BR53" i="110"/>
  <c r="AR54" i="110" a="1"/>
  <c r="AR54" i="110" s="1"/>
  <c r="AS53" i="110" a="1"/>
  <c r="AS53" i="110" s="1"/>
  <c r="BN53" i="110" s="1"/>
  <c r="BJ52" i="110"/>
  <c r="BA54" i="110" a="1"/>
  <c r="BA54" i="110" s="1"/>
  <c r="BD53" i="110" a="1"/>
  <c r="BD53" i="110" s="1"/>
  <c r="BU53" i="110" s="1"/>
  <c r="AO54" i="110" a="1"/>
  <c r="AO54" i="110" s="1"/>
  <c r="BL54" i="110" s="1"/>
  <c r="AT53" i="110" a="1"/>
  <c r="AT53" i="110" s="1"/>
  <c r="BO53" i="110" s="1"/>
  <c r="BF53" i="110" a="1"/>
  <c r="BF53" i="110" s="1"/>
  <c r="BW53" i="110" s="1"/>
  <c r="AO53" i="110" a="1"/>
  <c r="AO53" i="110" s="1"/>
  <c r="BL53" i="110" s="1"/>
  <c r="AR53" i="110" a="1"/>
  <c r="AR53" i="110" s="1"/>
  <c r="BM53" i="110" s="1"/>
  <c r="BD54" i="110" a="1"/>
  <c r="BD54" i="110" s="1"/>
  <c r="BU54" i="110" s="1"/>
  <c r="AV53" i="110" a="1"/>
  <c r="AV53" i="110" s="1"/>
  <c r="AL54" i="110" a="1"/>
  <c r="AL54" i="110" s="1"/>
  <c r="Y51" i="110"/>
  <c r="S51" i="110" s="1"/>
  <c r="AM54" i="110" a="1"/>
  <c r="AM54" i="110" s="1"/>
  <c r="AN54" i="110" a="1"/>
  <c r="AN54" i="110" s="1"/>
  <c r="BK54" i="110" s="1"/>
  <c r="AS54" i="110" a="1"/>
  <c r="AS54" i="110" s="1"/>
  <c r="BN54" i="110" s="1"/>
  <c r="P55" i="110"/>
  <c r="Q55" i="110"/>
  <c r="N55" i="110"/>
  <c r="W55" i="110"/>
  <c r="AY54" i="110" a="1"/>
  <c r="AY54" i="110" s="1"/>
  <c r="BH54" i="110" a="1"/>
  <c r="BH54" i="110" s="1"/>
  <c r="AZ54" i="110" a="1"/>
  <c r="AZ54" i="110" s="1"/>
  <c r="BG54" i="110" a="1"/>
  <c r="BG54" i="110" s="1"/>
  <c r="AD52" i="110"/>
  <c r="AB52" i="110"/>
  <c r="AE52" i="110" s="1"/>
  <c r="BE54" i="110" a="1"/>
  <c r="BE54" i="110" s="1"/>
  <c r="BV54" i="110" s="1"/>
  <c r="AT54" i="110" a="1"/>
  <c r="AT54" i="110" s="1"/>
  <c r="Y52" i="110"/>
  <c r="S52" i="110" s="1"/>
  <c r="AP54" i="110" a="1"/>
  <c r="AP54" i="110" s="1"/>
  <c r="BM54" i="110" s="1"/>
  <c r="AC51" i="110"/>
  <c r="AA51" i="110" s="1"/>
  <c r="AJ54" i="110" a="1"/>
  <c r="AJ54" i="110" s="1"/>
  <c r="BF54" i="110" a="1"/>
  <c r="BF54" i="110" s="1"/>
  <c r="BW54" i="110" s="1"/>
  <c r="AK54" i="110" a="1"/>
  <c r="AK54" i="110" s="1"/>
  <c r="M56" i="110"/>
  <c r="H56" i="110" s="1"/>
  <c r="E57" i="110" s="1"/>
  <c r="F57" i="110" s="1"/>
  <c r="AB51" i="110"/>
  <c r="AD51" i="110"/>
  <c r="AE51" i="110" l="1"/>
  <c r="BR54" i="110"/>
  <c r="BP54" i="110"/>
  <c r="BJ53" i="110"/>
  <c r="BI54" i="110"/>
  <c r="BO54" i="110"/>
  <c r="BQ54" i="110"/>
  <c r="BP53" i="110"/>
  <c r="BQ53" i="110" s="1"/>
  <c r="I56" i="110"/>
  <c r="M57" i="110"/>
  <c r="G57" i="110" s="1"/>
  <c r="O57" i="110" s="1"/>
  <c r="BC55" i="110" a="1"/>
  <c r="BC55" i="110" s="1"/>
  <c r="BT55" i="110" s="1"/>
  <c r="AL55" i="110" a="1"/>
  <c r="AL55" i="110" s="1"/>
  <c r="V55" i="110"/>
  <c r="AT55" i="110" a="1"/>
  <c r="AT55" i="110" s="1"/>
  <c r="BB55" i="110" a="1"/>
  <c r="BB55" i="110" s="1"/>
  <c r="BS55" i="110" s="1"/>
  <c r="AR55" i="110" a="1"/>
  <c r="AR55" i="110" s="1"/>
  <c r="AF55" i="110"/>
  <c r="AG55" i="110" s="1"/>
  <c r="AH55" i="110" s="1"/>
  <c r="AI55" i="110" s="1"/>
  <c r="BA55" i="110" a="1"/>
  <c r="BA55" i="110" s="1"/>
  <c r="AP55" i="110" a="1"/>
  <c r="AP55" i="110" s="1"/>
  <c r="AZ55" i="110" a="1"/>
  <c r="AZ55" i="110" s="1"/>
  <c r="AY55" i="110" a="1"/>
  <c r="AY55" i="110" s="1"/>
  <c r="AN55" i="110" a="1"/>
  <c r="AN55" i="110" s="1"/>
  <c r="BK55" i="110" s="1"/>
  <c r="AX55" i="110" a="1"/>
  <c r="AX55" i="110" s="1"/>
  <c r="AM55" i="110" a="1"/>
  <c r="AM55" i="110" s="1"/>
  <c r="AU55" i="110" a="1"/>
  <c r="AU55" i="110" s="1"/>
  <c r="BH55" i="110" a="1"/>
  <c r="BH55" i="110" s="1"/>
  <c r="BF55" i="110" a="1"/>
  <c r="BF55" i="110" s="1"/>
  <c r="BW55" i="110" s="1"/>
  <c r="BE55" i="110" a="1"/>
  <c r="BE55" i="110" s="1"/>
  <c r="BV55" i="110" s="1"/>
  <c r="AO55" i="110" a="1"/>
  <c r="AO55" i="110" s="1"/>
  <c r="BL55" i="110" s="1"/>
  <c r="BG55" i="110" a="1"/>
  <c r="BG55" i="110" s="1"/>
  <c r="AS55" i="110" a="1"/>
  <c r="AS55" i="110" s="1"/>
  <c r="BN55" i="110" s="1"/>
  <c r="AQ55" i="110" a="1"/>
  <c r="AQ55" i="110" s="1"/>
  <c r="BD55" i="110" a="1"/>
  <c r="BD55" i="110" s="1"/>
  <c r="BU55" i="110" s="1"/>
  <c r="AW55" i="110" a="1"/>
  <c r="AW55" i="110" s="1"/>
  <c r="AV55" i="110" a="1"/>
  <c r="AV55" i="110" s="1"/>
  <c r="AK55" i="110" a="1"/>
  <c r="AK55" i="110" s="1"/>
  <c r="AJ55" i="110" a="1"/>
  <c r="AJ55" i="110" s="1"/>
  <c r="BJ54" i="110"/>
  <c r="G56" i="110"/>
  <c r="O56" i="110" s="1"/>
  <c r="AB53" i="110"/>
  <c r="AD53" i="110"/>
  <c r="BX54" i="110"/>
  <c r="Z54" i="110" s="1"/>
  <c r="BI55" i="110" l="1"/>
  <c r="BJ55" i="110" s="1"/>
  <c r="BO55" i="110"/>
  <c r="BX55" i="110"/>
  <c r="AC54" i="110"/>
  <c r="AA54" i="110" s="1"/>
  <c r="BM55" i="110"/>
  <c r="H57" i="110"/>
  <c r="E58" i="110" s="1"/>
  <c r="F58" i="110" s="1"/>
  <c r="M58" i="110" s="1"/>
  <c r="I58" i="110" s="1"/>
  <c r="I57" i="110"/>
  <c r="BP55" i="110"/>
  <c r="BQ55" i="110" s="1"/>
  <c r="BR55" i="110"/>
  <c r="AC53" i="110"/>
  <c r="AA53" i="110" s="1"/>
  <c r="Z53" i="110"/>
  <c r="P57" i="110"/>
  <c r="N57" i="110"/>
  <c r="Q57" i="110"/>
  <c r="W57" i="110"/>
  <c r="T54" i="110"/>
  <c r="Y54" i="110"/>
  <c r="S54" i="110" s="1"/>
  <c r="P56" i="110"/>
  <c r="Q56" i="110"/>
  <c r="N56" i="110"/>
  <c r="W56" i="110"/>
  <c r="AB54" i="110"/>
  <c r="AE54" i="110" s="1"/>
  <c r="AD54" i="110"/>
  <c r="AC55" i="110" l="1"/>
  <c r="AA55" i="110" s="1"/>
  <c r="Z55" i="110"/>
  <c r="T53" i="110"/>
  <c r="Y53" i="110"/>
  <c r="S53" i="110" s="1"/>
  <c r="AE53" i="110"/>
  <c r="V56" i="110"/>
  <c r="AF56" i="110"/>
  <c r="AG56" i="110" s="1"/>
  <c r="AH56" i="110" s="1"/>
  <c r="AI56" i="110" s="1"/>
  <c r="AZ56" i="110" s="1" a="1"/>
  <c r="AZ56" i="110" s="1"/>
  <c r="BH56" i="110" a="1"/>
  <c r="BH56" i="110" s="1"/>
  <c r="BA56" i="110" a="1"/>
  <c r="BA56" i="110" s="1"/>
  <c r="AB55" i="110"/>
  <c r="AE55" i="110" s="1"/>
  <c r="AD55" i="110"/>
  <c r="T55" i="110"/>
  <c r="Y55" i="110"/>
  <c r="S55" i="110" s="1"/>
  <c r="AJ57" i="110" a="1"/>
  <c r="AJ57" i="110" s="1"/>
  <c r="AR57" i="110" a="1"/>
  <c r="AR57" i="110" s="1"/>
  <c r="AF57" i="110"/>
  <c r="AG57" i="110" s="1"/>
  <c r="AH57" i="110" s="1"/>
  <c r="AI57" i="110" s="1"/>
  <c r="AT57" i="110" s="1" a="1"/>
  <c r="AT57" i="110" s="1"/>
  <c r="AY57" i="110" a="1"/>
  <c r="AY57" i="110" s="1"/>
  <c r="AV57" i="110" a="1"/>
  <c r="AV57" i="110" s="1"/>
  <c r="V57" i="110"/>
  <c r="G58" i="110"/>
  <c r="O58" i="110" s="1"/>
  <c r="H58" i="110"/>
  <c r="E59" i="110" s="1"/>
  <c r="F59" i="110" s="1"/>
  <c r="AV56" i="110" l="1" a="1"/>
  <c r="AV56" i="110" s="1"/>
  <c r="AP56" i="110" a="1"/>
  <c r="AP56" i="110" s="1"/>
  <c r="AK56" i="110" a="1"/>
  <c r="AK56" i="110" s="1"/>
  <c r="AN56" i="110" a="1"/>
  <c r="AN56" i="110" s="1"/>
  <c r="BK56" i="110" s="1"/>
  <c r="AM56" i="110" a="1"/>
  <c r="AM56" i="110" s="1"/>
  <c r="AY56" i="110" a="1"/>
  <c r="AY56" i="110" s="1"/>
  <c r="AQ56" i="110" a="1"/>
  <c r="AQ56" i="110" s="1"/>
  <c r="AU56" i="110" a="1"/>
  <c r="AU56" i="110" s="1"/>
  <c r="AZ57" i="110" a="1"/>
  <c r="AZ57" i="110" s="1"/>
  <c r="BC57" i="110" a="1"/>
  <c r="BC57" i="110" s="1"/>
  <c r="BT57" i="110" s="1"/>
  <c r="AO57" i="110" a="1"/>
  <c r="AO57" i="110" s="1"/>
  <c r="BL57" i="110" s="1"/>
  <c r="AL57" i="110" a="1"/>
  <c r="AL57" i="110" s="1"/>
  <c r="AW57" i="110" a="1"/>
  <c r="AW57" i="110" s="1"/>
  <c r="BE57" i="110" a="1"/>
  <c r="BE57" i="110" s="1"/>
  <c r="BV57" i="110" s="1"/>
  <c r="AS57" i="110" a="1"/>
  <c r="AS57" i="110" s="1"/>
  <c r="BN57" i="110" s="1"/>
  <c r="AK57" i="110" a="1"/>
  <c r="AK57" i="110" s="1"/>
  <c r="BG57" i="110" a="1"/>
  <c r="BG57" i="110" s="1"/>
  <c r="AQ57" i="110" a="1"/>
  <c r="AQ57" i="110" s="1"/>
  <c r="BB57" i="110" a="1"/>
  <c r="BB57" i="110" s="1"/>
  <c r="BS57" i="110" s="1"/>
  <c r="BD57" i="110" a="1"/>
  <c r="BD57" i="110" s="1"/>
  <c r="BU57" i="110" s="1"/>
  <c r="AU57" i="110" a="1"/>
  <c r="AU57" i="110" s="1"/>
  <c r="BO57" i="110" s="1"/>
  <c r="AP57" i="110" a="1"/>
  <c r="AP57" i="110" s="1"/>
  <c r="BR56" i="110"/>
  <c r="BE56" i="110" a="1"/>
  <c r="BE56" i="110" s="1"/>
  <c r="BV56" i="110" s="1"/>
  <c r="AX56" i="110" a="1"/>
  <c r="AX56" i="110" s="1"/>
  <c r="BB56" i="110" a="1"/>
  <c r="BB56" i="110" s="1"/>
  <c r="BS56" i="110" s="1"/>
  <c r="AS56" i="110" a="1"/>
  <c r="AS56" i="110" s="1"/>
  <c r="BN56" i="110" s="1"/>
  <c r="BH57" i="110" a="1"/>
  <c r="BH57" i="110" s="1"/>
  <c r="BD56" i="110" a="1"/>
  <c r="BD56" i="110" s="1"/>
  <c r="BU56" i="110" s="1"/>
  <c r="AJ56" i="110" a="1"/>
  <c r="AJ56" i="110" s="1"/>
  <c r="M59" i="110"/>
  <c r="H59" i="110" s="1"/>
  <c r="E60" i="110" s="1"/>
  <c r="F60" i="110" s="1"/>
  <c r="BA57" i="110" a="1"/>
  <c r="BA57" i="110" s="1"/>
  <c r="BR57" i="110" s="1"/>
  <c r="BC56" i="110" a="1"/>
  <c r="BC56" i="110" s="1"/>
  <c r="BT56" i="110" s="1"/>
  <c r="BF57" i="110" a="1"/>
  <c r="BF57" i="110" s="1"/>
  <c r="BW57" i="110" s="1"/>
  <c r="AR56" i="110" a="1"/>
  <c r="AR56" i="110" s="1"/>
  <c r="BM56" i="110" s="1"/>
  <c r="AM57" i="110" a="1"/>
  <c r="AM57" i="110" s="1"/>
  <c r="BG56" i="110" a="1"/>
  <c r="BG56" i="110" s="1"/>
  <c r="BX56" i="110" s="1"/>
  <c r="P58" i="110"/>
  <c r="W58" i="110"/>
  <c r="N58" i="110"/>
  <c r="Q58" i="110"/>
  <c r="AX57" i="110" a="1"/>
  <c r="AX57" i="110" s="1"/>
  <c r="AW56" i="110" a="1"/>
  <c r="AW56" i="110" s="1"/>
  <c r="AN57" i="110" a="1"/>
  <c r="AN57" i="110" s="1"/>
  <c r="BK57" i="110" s="1"/>
  <c r="AL56" i="110" a="1"/>
  <c r="AL56" i="110" s="1"/>
  <c r="AO56" i="110" a="1"/>
  <c r="AO56" i="110" s="1"/>
  <c r="BL56" i="110" s="1"/>
  <c r="BF56" i="110" a="1"/>
  <c r="BF56" i="110" s="1"/>
  <c r="BW56" i="110" s="1"/>
  <c r="AT56" i="110" a="1"/>
  <c r="AT56" i="110" s="1"/>
  <c r="BO56" i="110" s="1"/>
  <c r="BX57" i="110" l="1"/>
  <c r="BP57" i="110"/>
  <c r="BQ57" i="110" s="1"/>
  <c r="BI57" i="110"/>
  <c r="BJ57" i="110" s="1"/>
  <c r="BM57" i="110"/>
  <c r="I59" i="110"/>
  <c r="BI56" i="110"/>
  <c r="BJ56" i="110" s="1"/>
  <c r="BP56" i="110"/>
  <c r="BQ56" i="110" s="1"/>
  <c r="M60" i="110"/>
  <c r="G60" i="110" s="1"/>
  <c r="O60" i="110" s="1"/>
  <c r="Z57" i="110"/>
  <c r="AC57" i="110"/>
  <c r="AA57" i="110" s="1"/>
  <c r="AL58" i="110" a="1"/>
  <c r="AL58" i="110" s="1"/>
  <c r="BH58" i="110" a="1"/>
  <c r="BH58" i="110" s="1"/>
  <c r="AN58" i="110" a="1"/>
  <c r="AN58" i="110" s="1"/>
  <c r="BK58" i="110" s="1"/>
  <c r="AZ58" i="110" a="1"/>
  <c r="AZ58" i="110" s="1"/>
  <c r="AF58" i="110"/>
  <c r="AG58" i="110" s="1"/>
  <c r="AH58" i="110" s="1"/>
  <c r="AI58" i="110" s="1"/>
  <c r="AJ58" i="110" s="1" a="1"/>
  <c r="AJ58" i="110" s="1"/>
  <c r="AS58" i="110" a="1"/>
  <c r="AS58" i="110" s="1"/>
  <c r="BN58" i="110" s="1"/>
  <c r="BG58" i="110" a="1"/>
  <c r="BG58" i="110" s="1"/>
  <c r="V58" i="110"/>
  <c r="BF58" i="110" a="1"/>
  <c r="BF58" i="110" s="1"/>
  <c r="BW58" i="110" s="1"/>
  <c r="BC58" i="110" a="1"/>
  <c r="BC58" i="110" s="1"/>
  <c r="BT58" i="110" s="1"/>
  <c r="AR58" i="110" a="1"/>
  <c r="AR58" i="110" s="1"/>
  <c r="AO58" i="110" a="1"/>
  <c r="AO58" i="110" s="1"/>
  <c r="BL58" i="110" s="1"/>
  <c r="G59" i="110"/>
  <c r="O59" i="110" s="1"/>
  <c r="AD57" i="110" l="1"/>
  <c r="AB57" i="110"/>
  <c r="BX58" i="110"/>
  <c r="Z56" i="110"/>
  <c r="T56" i="110" s="1"/>
  <c r="AC56" i="110"/>
  <c r="AA56" i="110" s="1"/>
  <c r="P60" i="110"/>
  <c r="Q60" i="110"/>
  <c r="W60" i="110"/>
  <c r="N60" i="110"/>
  <c r="AW58" i="110" a="1"/>
  <c r="AW58" i="110" s="1"/>
  <c r="AM58" i="110" a="1"/>
  <c r="AM58" i="110" s="1"/>
  <c r="P59" i="110"/>
  <c r="Q59" i="110"/>
  <c r="N59" i="110"/>
  <c r="W59" i="110"/>
  <c r="BD58" i="110" a="1"/>
  <c r="BD58" i="110" s="1"/>
  <c r="BU58" i="110" s="1"/>
  <c r="AX58" i="110" a="1"/>
  <c r="AX58" i="110" s="1"/>
  <c r="AQ58" i="110" a="1"/>
  <c r="AQ58" i="110" s="1"/>
  <c r="AV58" i="110" a="1"/>
  <c r="AV58" i="110" s="1"/>
  <c r="AP58" i="110" a="1"/>
  <c r="AP58" i="110" s="1"/>
  <c r="BA58" i="110" a="1"/>
  <c r="BA58" i="110" s="1"/>
  <c r="BR58" i="110" s="1"/>
  <c r="AD56" i="110"/>
  <c r="AB56" i="110"/>
  <c r="AT58" i="110" a="1"/>
  <c r="AT58" i="110" s="1"/>
  <c r="T57" i="110"/>
  <c r="AE57" i="110"/>
  <c r="Y57" i="110"/>
  <c r="S57" i="110" s="1"/>
  <c r="AY58" i="110" a="1"/>
  <c r="AY58" i="110" s="1"/>
  <c r="AK58" i="110" a="1"/>
  <c r="AK58" i="110" s="1"/>
  <c r="BI58" i="110" s="1"/>
  <c r="BE58" i="110" a="1"/>
  <c r="BE58" i="110" s="1"/>
  <c r="BV58" i="110" s="1"/>
  <c r="BB58" i="110" a="1"/>
  <c r="BB58" i="110" s="1"/>
  <c r="BS58" i="110" s="1"/>
  <c r="H60" i="110"/>
  <c r="E61" i="110" s="1"/>
  <c r="F61" i="110" s="1"/>
  <c r="AU58" i="110" a="1"/>
  <c r="AU58" i="110" s="1"/>
  <c r="I60" i="110"/>
  <c r="Y56" i="110" l="1"/>
  <c r="S56" i="110" s="1"/>
  <c r="AE56" i="110"/>
  <c r="BO58" i="110"/>
  <c r="BM58" i="110"/>
  <c r="BJ58" i="110"/>
  <c r="BP58" i="110"/>
  <c r="BQ58" i="110" s="1"/>
  <c r="BH59" i="110" a="1"/>
  <c r="BH59" i="110" s="1"/>
  <c r="BF59" i="110" a="1"/>
  <c r="BF59" i="110" s="1"/>
  <c r="BW59" i="110" s="1"/>
  <c r="BA59" i="110" a="1"/>
  <c r="BA59" i="110" s="1"/>
  <c r="AF59" i="110"/>
  <c r="AG59" i="110" s="1"/>
  <c r="AH59" i="110" s="1"/>
  <c r="AI59" i="110" s="1"/>
  <c r="AK59" i="110" s="1" a="1"/>
  <c r="AK59" i="110" s="1"/>
  <c r="AZ59" i="110" a="1"/>
  <c r="AZ59" i="110" s="1"/>
  <c r="AQ59" i="110" a="1"/>
  <c r="AQ59" i="110" s="1"/>
  <c r="AO59" i="110" a="1"/>
  <c r="AO59" i="110" s="1"/>
  <c r="BL59" i="110" s="1"/>
  <c r="AM59" i="110" a="1"/>
  <c r="AM59" i="110" s="1"/>
  <c r="V59" i="110"/>
  <c r="BE59" i="110" a="1"/>
  <c r="BE59" i="110" s="1"/>
  <c r="BV59" i="110" s="1"/>
  <c r="BC59" i="110" a="1"/>
  <c r="BC59" i="110" s="1"/>
  <c r="BT59" i="110" s="1"/>
  <c r="AR59" i="110" a="1"/>
  <c r="AR59" i="110" s="1"/>
  <c r="AF60" i="110"/>
  <c r="AG60" i="110" s="1"/>
  <c r="AH60" i="110" s="1"/>
  <c r="AI60" i="110" s="1"/>
  <c r="AL60" i="110" s="1" a="1"/>
  <c r="AL60" i="110" s="1"/>
  <c r="BG60" i="110" a="1"/>
  <c r="BG60" i="110" s="1"/>
  <c r="AU60" i="110" a="1"/>
  <c r="AU60" i="110" s="1"/>
  <c r="AZ60" i="110" a="1"/>
  <c r="AZ60" i="110" s="1"/>
  <c r="AY60" i="110" a="1"/>
  <c r="AY60" i="110" s="1"/>
  <c r="AX60" i="110" a="1"/>
  <c r="AX60" i="110" s="1"/>
  <c r="BC60" i="110" a="1"/>
  <c r="BC60" i="110" s="1"/>
  <c r="BT60" i="110" s="1"/>
  <c r="BA60" i="110" a="1"/>
  <c r="BA60" i="110" s="1"/>
  <c r="AQ60" i="110" a="1"/>
  <c r="AQ60" i="110" s="1"/>
  <c r="AO60" i="110" a="1"/>
  <c r="AO60" i="110" s="1"/>
  <c r="BL60" i="110" s="1"/>
  <c r="AN60" i="110" a="1"/>
  <c r="AN60" i="110" s="1"/>
  <c r="BK60" i="110" s="1"/>
  <c r="V60" i="110"/>
  <c r="M61" i="110"/>
  <c r="H61" i="110" s="1"/>
  <c r="E62" i="110" s="1"/>
  <c r="F62" i="110" s="1"/>
  <c r="I61" i="110" l="1"/>
  <c r="AP60" i="110" a="1"/>
  <c r="AP60" i="110" s="1"/>
  <c r="BH60" i="110" a="1"/>
  <c r="BH60" i="110" s="1"/>
  <c r="BX60" i="110" s="1"/>
  <c r="AJ60" i="110" a="1"/>
  <c r="AJ60" i="110" s="1"/>
  <c r="AW60" i="110" a="1"/>
  <c r="AW60" i="110" s="1"/>
  <c r="BF60" i="110" a="1"/>
  <c r="BF60" i="110" s="1"/>
  <c r="BW60" i="110" s="1"/>
  <c r="AR60" i="110" a="1"/>
  <c r="AR60" i="110" s="1"/>
  <c r="BR59" i="110"/>
  <c r="BE60" i="110" a="1"/>
  <c r="BE60" i="110" s="1"/>
  <c r="BV60" i="110" s="1"/>
  <c r="BR60" i="110"/>
  <c r="AV60" i="110" a="1"/>
  <c r="AV60" i="110" s="1"/>
  <c r="AS60" i="110" a="1"/>
  <c r="AS60" i="110" s="1"/>
  <c r="BN60" i="110" s="1"/>
  <c r="M62" i="110"/>
  <c r="G62" i="110" s="1"/>
  <c r="O62" i="110" s="1"/>
  <c r="BD59" i="110" a="1"/>
  <c r="BD59" i="110" s="1"/>
  <c r="BU59" i="110" s="1"/>
  <c r="AN59" i="110" a="1"/>
  <c r="AN59" i="110" s="1"/>
  <c r="BK59" i="110" s="1"/>
  <c r="AU59" i="110" a="1"/>
  <c r="AU59" i="110" s="1"/>
  <c r="AM60" i="110" a="1"/>
  <c r="AM60" i="110" s="1"/>
  <c r="BB59" i="110" a="1"/>
  <c r="BB59" i="110" s="1"/>
  <c r="BS59" i="110" s="1"/>
  <c r="AL59" i="110" a="1"/>
  <c r="AL59" i="110" s="1"/>
  <c r="G61" i="110"/>
  <c r="O61" i="110" s="1"/>
  <c r="AX59" i="110" a="1"/>
  <c r="AX59" i="110" s="1"/>
  <c r="AK60" i="110" a="1"/>
  <c r="AK60" i="110" s="1"/>
  <c r="AY59" i="110" a="1"/>
  <c r="AY59" i="110" s="1"/>
  <c r="BB60" i="110" a="1"/>
  <c r="BB60" i="110" s="1"/>
  <c r="BS60" i="110" s="1"/>
  <c r="AT59" i="110" a="1"/>
  <c r="AT59" i="110" s="1"/>
  <c r="AP59" i="110" a="1"/>
  <c r="AP59" i="110" s="1"/>
  <c r="BM59" i="110" s="1"/>
  <c r="BG59" i="110" a="1"/>
  <c r="BG59" i="110" s="1"/>
  <c r="BX59" i="110" s="1"/>
  <c r="AJ59" i="110" a="1"/>
  <c r="AJ59" i="110" s="1"/>
  <c r="AV59" i="110" a="1"/>
  <c r="AV59" i="110" s="1"/>
  <c r="AS59" i="110" a="1"/>
  <c r="AS59" i="110" s="1"/>
  <c r="BN59" i="110" s="1"/>
  <c r="AT60" i="110" a="1"/>
  <c r="AT60" i="110" s="1"/>
  <c r="BO60" i="110" s="1"/>
  <c r="AW59" i="110" a="1"/>
  <c r="AW59" i="110" s="1"/>
  <c r="AC58" i="110"/>
  <c r="AA58" i="110" s="1"/>
  <c r="BD60" i="110" a="1"/>
  <c r="BD60" i="110" s="1"/>
  <c r="BU60" i="110" s="1"/>
  <c r="AB58" i="110"/>
  <c r="AD58" i="110"/>
  <c r="Z58" i="110"/>
  <c r="BI60" i="110" l="1"/>
  <c r="BP60" i="110"/>
  <c r="BQ60" i="110" s="1"/>
  <c r="BM60" i="110"/>
  <c r="BI59" i="110"/>
  <c r="BJ59" i="110" s="1"/>
  <c r="H62" i="110"/>
  <c r="E63" i="110" s="1"/>
  <c r="F63" i="110" s="1"/>
  <c r="M63" i="110" s="1"/>
  <c r="BP59" i="110"/>
  <c r="BQ59" i="110" s="1"/>
  <c r="I62" i="110"/>
  <c r="BJ60" i="110"/>
  <c r="P62" i="110"/>
  <c r="W62" i="110"/>
  <c r="Q62" i="110"/>
  <c r="N62" i="110"/>
  <c r="P61" i="110"/>
  <c r="W61" i="110"/>
  <c r="Q61" i="110"/>
  <c r="N61" i="110"/>
  <c r="BO59" i="110"/>
  <c r="T58" i="110"/>
  <c r="AE58" i="110"/>
  <c r="Y58" i="110"/>
  <c r="S58" i="110" s="1"/>
  <c r="AC60" i="110" l="1"/>
  <c r="AA60" i="110" s="1"/>
  <c r="Z60" i="110"/>
  <c r="AC59" i="110"/>
  <c r="AA59" i="110" s="1"/>
  <c r="Z59" i="110"/>
  <c r="G63" i="110"/>
  <c r="O63" i="110" s="1"/>
  <c r="H63" i="110"/>
  <c r="E64" i="110" s="1"/>
  <c r="F64" i="110" s="1"/>
  <c r="I63" i="110"/>
  <c r="AB59" i="110"/>
  <c r="AD59" i="110"/>
  <c r="BE61" i="110" a="1"/>
  <c r="BE61" i="110" s="1"/>
  <c r="BV61" i="110" s="1"/>
  <c r="AN61" i="110" a="1"/>
  <c r="AN61" i="110" s="1"/>
  <c r="BK61" i="110" s="1"/>
  <c r="AV61" i="110" a="1"/>
  <c r="AV61" i="110" s="1"/>
  <c r="AW61" i="110" a="1"/>
  <c r="AW61" i="110" s="1"/>
  <c r="BF61" i="110" a="1"/>
  <c r="BF61" i="110" s="1"/>
  <c r="BW61" i="110" s="1"/>
  <c r="AL61" i="110" a="1"/>
  <c r="AL61" i="110" s="1"/>
  <c r="AU61" i="110" a="1"/>
  <c r="AU61" i="110" s="1"/>
  <c r="AJ61" i="110" a="1"/>
  <c r="AJ61" i="110" s="1"/>
  <c r="BH61" i="110" a="1"/>
  <c r="BH61" i="110" s="1"/>
  <c r="BG61" i="110" a="1"/>
  <c r="BG61" i="110" s="1"/>
  <c r="AT61" i="110" a="1"/>
  <c r="AT61" i="110" s="1"/>
  <c r="AF61" i="110"/>
  <c r="AG61" i="110" s="1"/>
  <c r="AH61" i="110" s="1"/>
  <c r="AI61" i="110" s="1"/>
  <c r="AZ61" i="110" a="1"/>
  <c r="AZ61" i="110" s="1"/>
  <c r="AY61" i="110" a="1"/>
  <c r="AY61" i="110" s="1"/>
  <c r="AS61" i="110" a="1"/>
  <c r="AS61" i="110" s="1"/>
  <c r="BN61" i="110" s="1"/>
  <c r="V61" i="110"/>
  <c r="AX61" i="110" a="1"/>
  <c r="AX61" i="110" s="1"/>
  <c r="AK61" i="110" a="1"/>
  <c r="AK61" i="110" s="1"/>
  <c r="AQ61" i="110" a="1"/>
  <c r="AQ61" i="110" s="1"/>
  <c r="AP61" i="110" a="1"/>
  <c r="AP61" i="110" s="1"/>
  <c r="BA61" i="110" a="1"/>
  <c r="BA61" i="110" s="1"/>
  <c r="BR61" i="110" s="1"/>
  <c r="AO61" i="110" a="1"/>
  <c r="AO61" i="110" s="1"/>
  <c r="BL61" i="110" s="1"/>
  <c r="AR61" i="110" a="1"/>
  <c r="AR61" i="110" s="1"/>
  <c r="AM61" i="110" a="1"/>
  <c r="AM61" i="110" s="1"/>
  <c r="BD61" i="110" a="1"/>
  <c r="BD61" i="110" s="1"/>
  <c r="BU61" i="110" s="1"/>
  <c r="BC61" i="110" a="1"/>
  <c r="BC61" i="110" s="1"/>
  <c r="BT61" i="110" s="1"/>
  <c r="BB61" i="110" a="1"/>
  <c r="BB61" i="110" s="1"/>
  <c r="BS61" i="110" s="1"/>
  <c r="AF62" i="110"/>
  <c r="AG62" i="110" s="1"/>
  <c r="AH62" i="110" s="1"/>
  <c r="AI62" i="110" s="1"/>
  <c r="BB62" i="110" s="1" a="1"/>
  <c r="BB62" i="110" s="1"/>
  <c r="BS62" i="110" s="1"/>
  <c r="V62" i="110"/>
  <c r="BE62" i="110" a="1"/>
  <c r="BE62" i="110" s="1"/>
  <c r="BV62" i="110" s="1"/>
  <c r="AS62" i="110" a="1"/>
  <c r="AS62" i="110" s="1"/>
  <c r="BN62" i="110" s="1"/>
  <c r="AJ62" i="110" a="1"/>
  <c r="AJ62" i="110" s="1"/>
  <c r="AX62" i="110" a="1"/>
  <c r="AX62" i="110" s="1"/>
  <c r="AR62" i="110" a="1"/>
  <c r="AR62" i="110" s="1"/>
  <c r="BC62" i="110" a="1"/>
  <c r="BC62" i="110" s="1"/>
  <c r="BT62" i="110" s="1"/>
  <c r="BG62" i="110" a="1"/>
  <c r="BG62" i="110" s="1"/>
  <c r="BA62" i="110" a="1"/>
  <c r="BA62" i="110" s="1"/>
  <c r="AP62" i="110" a="1"/>
  <c r="AP62" i="110" s="1"/>
  <c r="AO62" i="110" a="1"/>
  <c r="AO62" i="110" s="1"/>
  <c r="BL62" i="110" s="1"/>
  <c r="AN62" i="110" a="1"/>
  <c r="AN62" i="110" s="1"/>
  <c r="BK62" i="110" s="1"/>
  <c r="AK62" i="110" a="1"/>
  <c r="AK62" i="110" s="1"/>
  <c r="P63" i="110"/>
  <c r="W63" i="110"/>
  <c r="Q63" i="110"/>
  <c r="N63" i="110"/>
  <c r="T59" i="110"/>
  <c r="Y59" i="110"/>
  <c r="S59" i="110" s="1"/>
  <c r="AE59" i="110"/>
  <c r="M64" i="110"/>
  <c r="G64" i="110" s="1"/>
  <c r="O64" i="110" s="1"/>
  <c r="AB60" i="110"/>
  <c r="AE60" i="110" s="1"/>
  <c r="AD60" i="110"/>
  <c r="T60" i="110"/>
  <c r="Y60" i="110"/>
  <c r="S60" i="110" s="1"/>
  <c r="BP61" i="110" l="1"/>
  <c r="BQ61" i="110" s="1"/>
  <c r="BX61" i="110"/>
  <c r="AT62" i="110" a="1"/>
  <c r="AT62" i="110" s="1"/>
  <c r="BH62" i="110" a="1"/>
  <c r="BH62" i="110" s="1"/>
  <c r="BX62" i="110" s="1"/>
  <c r="AL62" i="110" a="1"/>
  <c r="AL62" i="110" s="1"/>
  <c r="BI62" i="110" s="1"/>
  <c r="AZ62" i="110" a="1"/>
  <c r="AZ62" i="110" s="1"/>
  <c r="BR62" i="110" s="1"/>
  <c r="BO61" i="110"/>
  <c r="H64" i="110"/>
  <c r="E65" i="110" s="1"/>
  <c r="F65" i="110" s="1"/>
  <c r="M65" i="110" s="1"/>
  <c r="I65" i="110" s="1"/>
  <c r="BI61" i="110"/>
  <c r="BJ61" i="110" s="1"/>
  <c r="BM61" i="110"/>
  <c r="AM62" i="110" a="1"/>
  <c r="AM62" i="110" s="1"/>
  <c r="P64" i="110"/>
  <c r="W64" i="110"/>
  <c r="N64" i="110"/>
  <c r="Q64" i="110"/>
  <c r="BF62" i="110" a="1"/>
  <c r="BF62" i="110" s="1"/>
  <c r="BW62" i="110" s="1"/>
  <c r="AY62" i="110" a="1"/>
  <c r="AY62" i="110" s="1"/>
  <c r="V63" i="110"/>
  <c r="AF63" i="110"/>
  <c r="AG63" i="110" s="1"/>
  <c r="AH63" i="110" s="1"/>
  <c r="AI63" i="110" s="1"/>
  <c r="AW63" i="110" s="1" a="1"/>
  <c r="AW63" i="110" s="1"/>
  <c r="AP63" i="110" a="1"/>
  <c r="AP63" i="110" s="1"/>
  <c r="BD62" i="110" a="1"/>
  <c r="BD62" i="110" s="1"/>
  <c r="BU62" i="110" s="1"/>
  <c r="AW62" i="110" a="1"/>
  <c r="AW62" i="110" s="1"/>
  <c r="AQ62" i="110" a="1"/>
  <c r="AQ62" i="110" s="1"/>
  <c r="BM62" i="110" s="1"/>
  <c r="AU62" i="110" a="1"/>
  <c r="AU62" i="110" s="1"/>
  <c r="AV62" i="110" a="1"/>
  <c r="AV62" i="110" s="1"/>
  <c r="I64" i="110"/>
  <c r="BO62" i="110" l="1"/>
  <c r="AT63" i="110" a="1"/>
  <c r="AT63" i="110" s="1"/>
  <c r="AZ63" i="110" a="1"/>
  <c r="AZ63" i="110" s="1"/>
  <c r="AL63" i="110" a="1"/>
  <c r="AL63" i="110" s="1"/>
  <c r="BC63" i="110" a="1"/>
  <c r="BC63" i="110" s="1"/>
  <c r="BT63" i="110" s="1"/>
  <c r="BA63" i="110" a="1"/>
  <c r="BA63" i="110" s="1"/>
  <c r="BR63" i="110" s="1"/>
  <c r="AK63" i="110" a="1"/>
  <c r="AK63" i="110" s="1"/>
  <c r="AJ63" i="110" a="1"/>
  <c r="AJ63" i="110" s="1"/>
  <c r="AN63" i="110" a="1"/>
  <c r="AN63" i="110" s="1"/>
  <c r="BK63" i="110" s="1"/>
  <c r="BB63" i="110" a="1"/>
  <c r="BB63" i="110" s="1"/>
  <c r="BS63" i="110" s="1"/>
  <c r="AO63" i="110" a="1"/>
  <c r="AO63" i="110" s="1"/>
  <c r="BL63" i="110" s="1"/>
  <c r="BG63" i="110" a="1"/>
  <c r="BG63" i="110" s="1"/>
  <c r="AU63" i="110" a="1"/>
  <c r="AU63" i="110" s="1"/>
  <c r="BO63" i="110" s="1"/>
  <c r="BH63" i="110" a="1"/>
  <c r="BH63" i="110" s="1"/>
  <c r="AQ63" i="110" a="1"/>
  <c r="AQ63" i="110" s="1"/>
  <c r="AR63" i="110" a="1"/>
  <c r="AR63" i="110" s="1"/>
  <c r="AX63" i="110" a="1"/>
  <c r="AX63" i="110" s="1"/>
  <c r="BD63" i="110" a="1"/>
  <c r="BD63" i="110" s="1"/>
  <c r="BU63" i="110" s="1"/>
  <c r="AY63" i="110" a="1"/>
  <c r="AY63" i="110" s="1"/>
  <c r="BE63" i="110" a="1"/>
  <c r="BE63" i="110" s="1"/>
  <c r="BV63" i="110" s="1"/>
  <c r="AS63" i="110" a="1"/>
  <c r="AS63" i="110" s="1"/>
  <c r="BN63" i="110" s="1"/>
  <c r="AM63" i="110" a="1"/>
  <c r="AM63" i="110" s="1"/>
  <c r="BF63" i="110" a="1"/>
  <c r="BF63" i="110" s="1"/>
  <c r="BW63" i="110" s="1"/>
  <c r="AV63" i="110" a="1"/>
  <c r="AV63" i="110" s="1"/>
  <c r="BP63" i="110" s="1"/>
  <c r="Z61" i="110"/>
  <c r="T61" i="110" s="1"/>
  <c r="AC61" i="110"/>
  <c r="AA61" i="110" s="1"/>
  <c r="BJ62" i="110"/>
  <c r="G65" i="110"/>
  <c r="O65" i="110" s="1"/>
  <c r="H65" i="110"/>
  <c r="E66" i="110" s="1"/>
  <c r="F66" i="110" s="1"/>
  <c r="V64" i="110"/>
  <c r="AF64" i="110"/>
  <c r="AG64" i="110" s="1"/>
  <c r="AH64" i="110" s="1"/>
  <c r="AI64" i="110" s="1"/>
  <c r="BD64" i="110" s="1" a="1"/>
  <c r="BD64" i="110" s="1"/>
  <c r="BU64" i="110" s="1"/>
  <c r="BE64" i="110" a="1"/>
  <c r="BE64" i="110" s="1"/>
  <c r="BV64" i="110" s="1"/>
  <c r="AU64" i="110" a="1"/>
  <c r="AU64" i="110" s="1"/>
  <c r="AZ64" i="110" a="1"/>
  <c r="AZ64" i="110" s="1"/>
  <c r="BP62" i="110"/>
  <c r="BQ62" i="110" s="1"/>
  <c r="AB61" i="110"/>
  <c r="AD61" i="110"/>
  <c r="Y61" i="110" l="1"/>
  <c r="S61" i="110" s="1"/>
  <c r="AN64" i="110" a="1"/>
  <c r="AN64" i="110" s="1"/>
  <c r="BK64" i="110" s="1"/>
  <c r="BQ63" i="110"/>
  <c r="BA64" i="110" a="1"/>
  <c r="BA64" i="110" s="1"/>
  <c r="BR64" i="110" s="1"/>
  <c r="AL64" i="110" a="1"/>
  <c r="AL64" i="110" s="1"/>
  <c r="AM64" i="110" a="1"/>
  <c r="AM64" i="110" s="1"/>
  <c r="BG64" i="110" a="1"/>
  <c r="BG64" i="110" s="1"/>
  <c r="AJ64" i="110" a="1"/>
  <c r="AJ64" i="110" s="1"/>
  <c r="AK64" i="110" a="1"/>
  <c r="AK64" i="110" s="1"/>
  <c r="AT64" i="110" a="1"/>
  <c r="AT64" i="110" s="1"/>
  <c r="BO64" i="110" s="1"/>
  <c r="AY64" i="110" a="1"/>
  <c r="AY64" i="110" s="1"/>
  <c r="AV64" i="110" a="1"/>
  <c r="AV64" i="110" s="1"/>
  <c r="BI63" i="110"/>
  <c r="AE61" i="110"/>
  <c r="AB62" i="110"/>
  <c r="BM63" i="110"/>
  <c r="AX64" i="110" a="1"/>
  <c r="AX64" i="110" s="1"/>
  <c r="BH64" i="110" a="1"/>
  <c r="BH64" i="110" s="1"/>
  <c r="AW64" i="110" a="1"/>
  <c r="AW64" i="110" s="1"/>
  <c r="AO64" i="110" a="1"/>
  <c r="AO64" i="110" s="1"/>
  <c r="BL64" i="110" s="1"/>
  <c r="BF64" i="110" a="1"/>
  <c r="BF64" i="110" s="1"/>
  <c r="BW64" i="110" s="1"/>
  <c r="BB64" i="110" a="1"/>
  <c r="BB64" i="110" s="1"/>
  <c r="BS64" i="110" s="1"/>
  <c r="AP64" i="110" a="1"/>
  <c r="AP64" i="110" s="1"/>
  <c r="AQ64" i="110" a="1"/>
  <c r="AQ64" i="110" s="1"/>
  <c r="AR64" i="110" a="1"/>
  <c r="AR64" i="110" s="1"/>
  <c r="BC64" i="110" a="1"/>
  <c r="BC64" i="110" s="1"/>
  <c r="BT64" i="110" s="1"/>
  <c r="AS64" i="110" a="1"/>
  <c r="AS64" i="110" s="1"/>
  <c r="BN64" i="110" s="1"/>
  <c r="BX63" i="110"/>
  <c r="Z63" i="110" s="1"/>
  <c r="T63" i="110" s="1"/>
  <c r="BJ63" i="110"/>
  <c r="AD63" i="110" s="1"/>
  <c r="AD62" i="110"/>
  <c r="M66" i="110"/>
  <c r="G66" i="110" s="1"/>
  <c r="O66" i="110" s="1"/>
  <c r="P65" i="110"/>
  <c r="N65" i="110"/>
  <c r="W65" i="110"/>
  <c r="Q65" i="110"/>
  <c r="Z62" i="110"/>
  <c r="AC62" i="110"/>
  <c r="AA62" i="110" s="1"/>
  <c r="BX64" i="110" l="1"/>
  <c r="BI64" i="110"/>
  <c r="BJ64" i="110" s="1"/>
  <c r="BP64" i="110"/>
  <c r="BQ64" i="110" s="1"/>
  <c r="AC63" i="110"/>
  <c r="AA63" i="110" s="1"/>
  <c r="BM64" i="110"/>
  <c r="AB63" i="110"/>
  <c r="AE63" i="110" s="1"/>
  <c r="Y63" i="110"/>
  <c r="S63" i="110" s="1"/>
  <c r="P66" i="110"/>
  <c r="W66" i="110"/>
  <c r="Q66" i="110"/>
  <c r="N66" i="110"/>
  <c r="BB65" i="110" a="1"/>
  <c r="BB65" i="110" s="1"/>
  <c r="BS65" i="110" s="1"/>
  <c r="V65" i="110"/>
  <c r="AO65" i="110" a="1"/>
  <c r="AO65" i="110" s="1"/>
  <c r="BL65" i="110" s="1"/>
  <c r="AM65" i="110" a="1"/>
  <c r="AM65" i="110" s="1"/>
  <c r="AY65" i="110" a="1"/>
  <c r="AY65" i="110" s="1"/>
  <c r="AF65" i="110"/>
  <c r="AG65" i="110" s="1"/>
  <c r="AH65" i="110" s="1"/>
  <c r="AI65" i="110" s="1"/>
  <c r="AV65" i="110" s="1" a="1"/>
  <c r="AV65" i="110" s="1"/>
  <c r="AZ65" i="110" a="1"/>
  <c r="AZ65" i="110" s="1"/>
  <c r="AK65" i="110" a="1"/>
  <c r="AK65" i="110" s="1"/>
  <c r="BE65" i="110" a="1"/>
  <c r="BE65" i="110" s="1"/>
  <c r="BV65" i="110" s="1"/>
  <c r="AU65" i="110" a="1"/>
  <c r="AU65" i="110" s="1"/>
  <c r="AT65" i="110" a="1"/>
  <c r="AT65" i="110" s="1"/>
  <c r="AS65" i="110" a="1"/>
  <c r="AS65" i="110" s="1"/>
  <c r="BN65" i="110" s="1"/>
  <c r="T62" i="110"/>
  <c r="Y62" i="110"/>
  <c r="S62" i="110" s="1"/>
  <c r="AE62" i="110"/>
  <c r="H66" i="110"/>
  <c r="E67" i="110" s="1"/>
  <c r="F67" i="110" s="1"/>
  <c r="AD64" i="110"/>
  <c r="AB64" i="110"/>
  <c r="I66" i="110"/>
  <c r="Z64" i="110" l="1"/>
  <c r="T64" i="110" s="1"/>
  <c r="AC64" i="110"/>
  <c r="AA64" i="110" s="1"/>
  <c r="Y64" i="110"/>
  <c r="S64" i="110" s="1"/>
  <c r="AE64" i="110"/>
  <c r="BO65" i="110"/>
  <c r="BF65" i="110" a="1"/>
  <c r="BF65" i="110" s="1"/>
  <c r="BW65" i="110" s="1"/>
  <c r="AN65" i="110" a="1"/>
  <c r="AN65" i="110" s="1"/>
  <c r="BK65" i="110" s="1"/>
  <c r="BG65" i="110" a="1"/>
  <c r="BG65" i="110" s="1"/>
  <c r="BD65" i="110" a="1"/>
  <c r="BD65" i="110" s="1"/>
  <c r="BU65" i="110" s="1"/>
  <c r="AX65" i="110" a="1"/>
  <c r="AX65" i="110" s="1"/>
  <c r="BH65" i="110" a="1"/>
  <c r="BH65" i="110" s="1"/>
  <c r="M67" i="110"/>
  <c r="I67" i="110" s="1"/>
  <c r="AR65" i="110" a="1"/>
  <c r="AR65" i="110" s="1"/>
  <c r="AJ65" i="110" a="1"/>
  <c r="AJ65" i="110" s="1"/>
  <c r="BA65" i="110" a="1"/>
  <c r="BA65" i="110" s="1"/>
  <c r="BR65" i="110" s="1"/>
  <c r="AP65" i="110" a="1"/>
  <c r="AP65" i="110" s="1"/>
  <c r="AQ65" i="110" a="1"/>
  <c r="AQ65" i="110" s="1"/>
  <c r="AL65" i="110" a="1"/>
  <c r="AL65" i="110" s="1"/>
  <c r="BC65" i="110" a="1"/>
  <c r="BC65" i="110" s="1"/>
  <c r="BT65" i="110" s="1"/>
  <c r="AW65" i="110" a="1"/>
  <c r="AW65" i="110" s="1"/>
  <c r="AF66" i="110"/>
  <c r="AG66" i="110" s="1"/>
  <c r="AH66" i="110" s="1"/>
  <c r="AI66" i="110" s="1"/>
  <c r="AP66" i="110" s="1" a="1"/>
  <c r="AP66" i="110" s="1"/>
  <c r="V66" i="110"/>
  <c r="AZ66" i="110" l="1" a="1"/>
  <c r="AZ66" i="110" s="1"/>
  <c r="BG66" i="110" a="1"/>
  <c r="BG66" i="110" s="1"/>
  <c r="BB66" i="110" a="1"/>
  <c r="BB66" i="110" s="1"/>
  <c r="BS66" i="110" s="1"/>
  <c r="BC66" i="110" a="1"/>
  <c r="BC66" i="110" s="1"/>
  <c r="BT66" i="110" s="1"/>
  <c r="BX65" i="110"/>
  <c r="AL66" i="110" a="1"/>
  <c r="AL66" i="110" s="1"/>
  <c r="AQ66" i="110" a="1"/>
  <c r="AQ66" i="110" s="1"/>
  <c r="AT66" i="110" a="1"/>
  <c r="AT66" i="110" s="1"/>
  <c r="BH66" i="110" a="1"/>
  <c r="BH66" i="110" s="1"/>
  <c r="BX66" i="110" s="1"/>
  <c r="AJ66" i="110" a="1"/>
  <c r="AJ66" i="110" s="1"/>
  <c r="AX66" i="110" a="1"/>
  <c r="AX66" i="110" s="1"/>
  <c r="BP65" i="110"/>
  <c r="BQ65" i="110" s="1"/>
  <c r="AW66" i="110" a="1"/>
  <c r="AW66" i="110" s="1"/>
  <c r="AO66" i="110" a="1"/>
  <c r="AO66" i="110" s="1"/>
  <c r="BL66" i="110" s="1"/>
  <c r="AY66" i="110" a="1"/>
  <c r="AY66" i="110" s="1"/>
  <c r="AK66" i="110" a="1"/>
  <c r="AK66" i="110" s="1"/>
  <c r="BI65" i="110"/>
  <c r="AU66" i="110" a="1"/>
  <c r="AU66" i="110" s="1"/>
  <c r="AR66" i="110" a="1"/>
  <c r="AR66" i="110" s="1"/>
  <c r="AV66" i="110" a="1"/>
  <c r="AV66" i="110" s="1"/>
  <c r="AN66" i="110" a="1"/>
  <c r="AN66" i="110" s="1"/>
  <c r="BK66" i="110" s="1"/>
  <c r="G67" i="110"/>
  <c r="O67" i="110" s="1"/>
  <c r="AS66" i="110" a="1"/>
  <c r="AS66" i="110" s="1"/>
  <c r="BN66" i="110" s="1"/>
  <c r="AM66" i="110" a="1"/>
  <c r="AM66" i="110" s="1"/>
  <c r="BA66" i="110" a="1"/>
  <c r="BA66" i="110" s="1"/>
  <c r="BR66" i="110" s="1"/>
  <c r="BD66" i="110" a="1"/>
  <c r="BD66" i="110" s="1"/>
  <c r="BU66" i="110" s="1"/>
  <c r="H67" i="110"/>
  <c r="E68" i="110" s="1"/>
  <c r="F68" i="110" s="1"/>
  <c r="BF66" i="110" a="1"/>
  <c r="BF66" i="110" s="1"/>
  <c r="BW66" i="110" s="1"/>
  <c r="BE66" i="110" a="1"/>
  <c r="BE66" i="110" s="1"/>
  <c r="BV66" i="110" s="1"/>
  <c r="BM65" i="110"/>
  <c r="BO66" i="110" l="1"/>
  <c r="BM66" i="110"/>
  <c r="BI66" i="110"/>
  <c r="BP66" i="110"/>
  <c r="AC66" i="110" s="1"/>
  <c r="AA66" i="110" s="1"/>
  <c r="BJ66" i="110"/>
  <c r="P67" i="110"/>
  <c r="Q67" i="110"/>
  <c r="N67" i="110"/>
  <c r="W67" i="110"/>
  <c r="BQ66" i="110"/>
  <c r="BJ65" i="110"/>
  <c r="AC65" i="110"/>
  <c r="AA65" i="110" s="1"/>
  <c r="Z65" i="110"/>
  <c r="M68" i="110"/>
  <c r="I68" i="110" s="1"/>
  <c r="Z66" i="110" l="1"/>
  <c r="T65" i="110"/>
  <c r="Y65" i="110"/>
  <c r="S65" i="110" s="1"/>
  <c r="AF67" i="110"/>
  <c r="AG67" i="110" s="1"/>
  <c r="AH67" i="110" s="1"/>
  <c r="AI67" i="110" s="1"/>
  <c r="AK67" i="110" s="1" a="1"/>
  <c r="AK67" i="110" s="1"/>
  <c r="AU67" i="110" a="1"/>
  <c r="AU67" i="110" s="1"/>
  <c r="BB67" i="110" a="1"/>
  <c r="BB67" i="110" s="1"/>
  <c r="BS67" i="110" s="1"/>
  <c r="AJ67" i="110" a="1"/>
  <c r="AJ67" i="110" s="1"/>
  <c r="BE67" i="110" a="1"/>
  <c r="BE67" i="110" s="1"/>
  <c r="BV67" i="110" s="1"/>
  <c r="V67" i="110"/>
  <c r="BH67" i="110" a="1"/>
  <c r="BH67" i="110" s="1"/>
  <c r="BF67" i="110" a="1"/>
  <c r="BF67" i="110" s="1"/>
  <c r="BW67" i="110" s="1"/>
  <c r="AS67" i="110" a="1"/>
  <c r="AS67" i="110" s="1"/>
  <c r="BN67" i="110" s="1"/>
  <c r="AR67" i="110" a="1"/>
  <c r="AR67" i="110" s="1"/>
  <c r="AQ67" i="110" a="1"/>
  <c r="AQ67" i="110" s="1"/>
  <c r="AD65" i="110"/>
  <c r="AB65" i="110"/>
  <c r="AE65" i="110" s="1"/>
  <c r="G68" i="110"/>
  <c r="O68" i="110" s="1"/>
  <c r="H68" i="110"/>
  <c r="E69" i="110" s="1"/>
  <c r="F69" i="110" s="1"/>
  <c r="AD66" i="110"/>
  <c r="AB66" i="110"/>
  <c r="AE66" i="110" s="1"/>
  <c r="T66" i="110"/>
  <c r="Y66" i="110"/>
  <c r="S66" i="110" s="1"/>
  <c r="BC67" i="110" l="1" a="1"/>
  <c r="BC67" i="110" s="1"/>
  <c r="BT67" i="110" s="1"/>
  <c r="AL67" i="110" a="1"/>
  <c r="AL67" i="110" s="1"/>
  <c r="BI67" i="110" s="1"/>
  <c r="AW67" i="110" a="1"/>
  <c r="AW67" i="110" s="1"/>
  <c r="AT67" i="110" a="1"/>
  <c r="AT67" i="110" s="1"/>
  <c r="BO67" i="110" s="1"/>
  <c r="AM67" i="110" a="1"/>
  <c r="AM67" i="110" s="1"/>
  <c r="BA67" i="110" a="1"/>
  <c r="BA67" i="110" s="1"/>
  <c r="BD67" i="110" a="1"/>
  <c r="BD67" i="110" s="1"/>
  <c r="BU67" i="110" s="1"/>
  <c r="AN67" i="110" a="1"/>
  <c r="AN67" i="110" s="1"/>
  <c r="BK67" i="110" s="1"/>
  <c r="AY67" i="110" a="1"/>
  <c r="AY67" i="110" s="1"/>
  <c r="AO67" i="110" a="1"/>
  <c r="AO67" i="110" s="1"/>
  <c r="BL67" i="110" s="1"/>
  <c r="AZ67" i="110" a="1"/>
  <c r="AZ67" i="110" s="1"/>
  <c r="AX67" i="110" a="1"/>
  <c r="AX67" i="110" s="1"/>
  <c r="AP67" i="110" a="1"/>
  <c r="AP67" i="110" s="1"/>
  <c r="BM67" i="110" s="1"/>
  <c r="BG67" i="110" a="1"/>
  <c r="BG67" i="110" s="1"/>
  <c r="BX67" i="110" s="1"/>
  <c r="AV67" i="110" a="1"/>
  <c r="AV67" i="110" s="1"/>
  <c r="M69" i="110"/>
  <c r="H69" i="110" s="1"/>
  <c r="E70" i="110" s="1"/>
  <c r="F70" i="110" s="1"/>
  <c r="P68" i="110"/>
  <c r="Q68" i="110"/>
  <c r="N68" i="110"/>
  <c r="W68" i="110"/>
  <c r="BR67" i="110" l="1"/>
  <c r="BP67" i="110"/>
  <c r="BQ67" i="110" s="1"/>
  <c r="BJ67" i="110"/>
  <c r="AD67" i="110" s="1"/>
  <c r="M70" i="110"/>
  <c r="H70" i="110" s="1"/>
  <c r="E71" i="110" s="1"/>
  <c r="F71" i="110" s="1"/>
  <c r="AW68" i="110" a="1"/>
  <c r="AW68" i="110" s="1"/>
  <c r="AF68" i="110"/>
  <c r="AG68" i="110" s="1"/>
  <c r="AH68" i="110" s="1"/>
  <c r="AI68" i="110" s="1"/>
  <c r="AQ68" i="110" s="1" a="1"/>
  <c r="AQ68" i="110" s="1"/>
  <c r="BG68" i="110" a="1"/>
  <c r="BG68" i="110" s="1"/>
  <c r="BF68" i="110" a="1"/>
  <c r="BF68" i="110" s="1"/>
  <c r="BW68" i="110" s="1"/>
  <c r="V68" i="110"/>
  <c r="BE68" i="110" a="1"/>
  <c r="BE68" i="110" s="1"/>
  <c r="BV68" i="110" s="1"/>
  <c r="BC68" i="110" a="1"/>
  <c r="BC68" i="110" s="1"/>
  <c r="BT68" i="110" s="1"/>
  <c r="AR68" i="110" a="1"/>
  <c r="AR68" i="110" s="1"/>
  <c r="AO68" i="110" a="1"/>
  <c r="AO68" i="110" s="1"/>
  <c r="BL68" i="110" s="1"/>
  <c r="AN68" i="110" a="1"/>
  <c r="AN68" i="110" s="1"/>
  <c r="BK68" i="110" s="1"/>
  <c r="AJ68" i="110" a="1"/>
  <c r="AJ68" i="110" s="1"/>
  <c r="I69" i="110"/>
  <c r="G69" i="110"/>
  <c r="O69" i="110" s="1"/>
  <c r="AB67" i="110" l="1"/>
  <c r="AC67" i="110"/>
  <c r="AA67" i="110" s="1"/>
  <c r="Z67" i="110"/>
  <c r="I70" i="110"/>
  <c r="G70" i="110"/>
  <c r="O70" i="110" s="1"/>
  <c r="AY68" i="110" a="1"/>
  <c r="AY68" i="110" s="1"/>
  <c r="AU68" i="110" a="1"/>
  <c r="AU68" i="110" s="1"/>
  <c r="BD68" i="110" a="1"/>
  <c r="BD68" i="110" s="1"/>
  <c r="BU68" i="110" s="1"/>
  <c r="AP68" i="110" a="1"/>
  <c r="AP68" i="110" s="1"/>
  <c r="BM68" i="110" s="1"/>
  <c r="AZ68" i="110" a="1"/>
  <c r="AZ68" i="110" s="1"/>
  <c r="BA68" i="110" a="1"/>
  <c r="BA68" i="110" s="1"/>
  <c r="AS68" i="110" a="1"/>
  <c r="AS68" i="110" s="1"/>
  <c r="BN68" i="110" s="1"/>
  <c r="P69" i="110"/>
  <c r="N69" i="110"/>
  <c r="W69" i="110"/>
  <c r="Q69" i="110"/>
  <c r="AL68" i="110" a="1"/>
  <c r="AL68" i="110" s="1"/>
  <c r="AK68" i="110" a="1"/>
  <c r="AK68" i="110" s="1"/>
  <c r="BB68" i="110" a="1"/>
  <c r="BB68" i="110" s="1"/>
  <c r="BS68" i="110" s="1"/>
  <c r="AM68" i="110" a="1"/>
  <c r="AM68" i="110" s="1"/>
  <c r="AX68" i="110" a="1"/>
  <c r="AX68" i="110" s="1"/>
  <c r="AT68" i="110" a="1"/>
  <c r="AT68" i="110" s="1"/>
  <c r="BH68" i="110" a="1"/>
  <c r="BH68" i="110" s="1"/>
  <c r="BX68" i="110" s="1"/>
  <c r="P70" i="110"/>
  <c r="N70" i="110"/>
  <c r="Q70" i="110"/>
  <c r="W70" i="110"/>
  <c r="AV68" i="110" a="1"/>
  <c r="AV68" i="110" s="1"/>
  <c r="M71" i="110"/>
  <c r="H71" i="110" s="1"/>
  <c r="E72" i="110" s="1"/>
  <c r="F72" i="110" s="1"/>
  <c r="BO68" i="110" l="1"/>
  <c r="BP68" i="110"/>
  <c r="BQ68" i="110" s="1"/>
  <c r="T67" i="110"/>
  <c r="Y67" i="110"/>
  <c r="S67" i="110" s="1"/>
  <c r="AE67" i="110"/>
  <c r="BI68" i="110"/>
  <c r="BJ68" i="110" s="1"/>
  <c r="M72" i="110"/>
  <c r="H72" i="110" s="1"/>
  <c r="E73" i="110" s="1"/>
  <c r="F73" i="110" s="1"/>
  <c r="I71" i="110"/>
  <c r="BE69" i="110" a="1"/>
  <c r="BE69" i="110" s="1"/>
  <c r="BV69" i="110" s="1"/>
  <c r="AN69" i="110" a="1"/>
  <c r="AN69" i="110" s="1"/>
  <c r="BK69" i="110" s="1"/>
  <c r="AV69" i="110" a="1"/>
  <c r="AV69" i="110" s="1"/>
  <c r="BA69" i="110" a="1"/>
  <c r="BA69" i="110" s="1"/>
  <c r="AQ69" i="110" a="1"/>
  <c r="AQ69" i="110" s="1"/>
  <c r="AS69" i="110" a="1"/>
  <c r="AS69" i="110" s="1"/>
  <c r="BN69" i="110" s="1"/>
  <c r="AF69" i="110"/>
  <c r="AG69" i="110" s="1"/>
  <c r="AH69" i="110" s="1"/>
  <c r="AI69" i="110" s="1"/>
  <c r="AX69" i="110" a="1"/>
  <c r="AX69" i="110" s="1"/>
  <c r="AL69" i="110" a="1"/>
  <c r="AL69" i="110" s="1"/>
  <c r="AW69" i="110" a="1"/>
  <c r="AW69" i="110" s="1"/>
  <c r="AK69" i="110" a="1"/>
  <c r="AK69" i="110" s="1"/>
  <c r="AY69" i="110" a="1"/>
  <c r="AY69" i="110" s="1"/>
  <c r="AT69" i="110" a="1"/>
  <c r="AT69" i="110" s="1"/>
  <c r="BH69" i="110" a="1"/>
  <c r="BH69" i="110" s="1"/>
  <c r="V69" i="110"/>
  <c r="BG69" i="110" a="1"/>
  <c r="BG69" i="110" s="1"/>
  <c r="AU69" i="110" a="1"/>
  <c r="AU69" i="110" s="1"/>
  <c r="AP69" i="110" a="1"/>
  <c r="AP69" i="110" s="1"/>
  <c r="BM69" i="110" s="1"/>
  <c r="AO69" i="110" a="1"/>
  <c r="AO69" i="110" s="1"/>
  <c r="BL69" i="110" s="1"/>
  <c r="AJ69" i="110" a="1"/>
  <c r="AJ69" i="110" s="1"/>
  <c r="AZ69" i="110" a="1"/>
  <c r="AZ69" i="110" s="1"/>
  <c r="AM69" i="110" a="1"/>
  <c r="AM69" i="110" s="1"/>
  <c r="AR69" i="110" a="1"/>
  <c r="AR69" i="110" s="1"/>
  <c r="BF69" i="110" a="1"/>
  <c r="BF69" i="110" s="1"/>
  <c r="BW69" i="110" s="1"/>
  <c r="BD69" i="110" a="1"/>
  <c r="BD69" i="110" s="1"/>
  <c r="BU69" i="110" s="1"/>
  <c r="BC69" i="110" a="1"/>
  <c r="BC69" i="110" s="1"/>
  <c r="BT69" i="110" s="1"/>
  <c r="BB69" i="110" a="1"/>
  <c r="BB69" i="110" s="1"/>
  <c r="BS69" i="110" s="1"/>
  <c r="G71" i="110"/>
  <c r="O71" i="110" s="1"/>
  <c r="AF70" i="110"/>
  <c r="AG70" i="110" s="1"/>
  <c r="AH70" i="110" s="1"/>
  <c r="AI70" i="110" s="1"/>
  <c r="BH70" i="110" s="1" a="1"/>
  <c r="BH70" i="110" s="1"/>
  <c r="V70" i="110"/>
  <c r="BR68" i="110"/>
  <c r="Z68" i="110" s="1"/>
  <c r="AJ70" i="110" l="1" a="1"/>
  <c r="AJ70" i="110" s="1"/>
  <c r="AM70" i="110" a="1"/>
  <c r="AM70" i="110" s="1"/>
  <c r="BI69" i="110"/>
  <c r="BC70" i="110" a="1"/>
  <c r="BC70" i="110" s="1"/>
  <c r="BT70" i="110" s="1"/>
  <c r="BP69" i="110"/>
  <c r="BQ69" i="110" s="1"/>
  <c r="AP70" i="110" a="1"/>
  <c r="AP70" i="110" s="1"/>
  <c r="BA70" i="110" a="1"/>
  <c r="BA70" i="110" s="1"/>
  <c r="AT70" i="110" a="1"/>
  <c r="AT70" i="110" s="1"/>
  <c r="AV70" i="110" a="1"/>
  <c r="AV70" i="110" s="1"/>
  <c r="BG70" i="110" a="1"/>
  <c r="BG70" i="110" s="1"/>
  <c r="BX70" i="110" s="1"/>
  <c r="AL70" i="110" a="1"/>
  <c r="AL70" i="110" s="1"/>
  <c r="AW70" i="110" a="1"/>
  <c r="AW70" i="110" s="1"/>
  <c r="AN70" i="110" a="1"/>
  <c r="AN70" i="110" s="1"/>
  <c r="BK70" i="110" s="1"/>
  <c r="BR69" i="110"/>
  <c r="BD70" i="110" a="1"/>
  <c r="BD70" i="110" s="1"/>
  <c r="BU70" i="110" s="1"/>
  <c r="AY70" i="110" a="1"/>
  <c r="AY70" i="110" s="1"/>
  <c r="AQ70" i="110" a="1"/>
  <c r="AQ70" i="110" s="1"/>
  <c r="BX69" i="110"/>
  <c r="BB70" i="110" a="1"/>
  <c r="BB70" i="110" s="1"/>
  <c r="BS70" i="110" s="1"/>
  <c r="BO69" i="110"/>
  <c r="AU70" i="110" a="1"/>
  <c r="AU70" i="110" s="1"/>
  <c r="AO70" i="110" a="1"/>
  <c r="AO70" i="110" s="1"/>
  <c r="BL70" i="110" s="1"/>
  <c r="Z69" i="110"/>
  <c r="AC69" i="110"/>
  <c r="AA69" i="110" s="1"/>
  <c r="BJ69" i="110"/>
  <c r="M73" i="110"/>
  <c r="I73" i="110" s="1"/>
  <c r="T68" i="110"/>
  <c r="Y68" i="110"/>
  <c r="S68" i="110" s="1"/>
  <c r="AS70" i="110" a="1"/>
  <c r="AS70" i="110" s="1"/>
  <c r="BN70" i="110" s="1"/>
  <c r="AZ70" i="110" a="1"/>
  <c r="AZ70" i="110" s="1"/>
  <c r="BF70" i="110" a="1"/>
  <c r="BF70" i="110" s="1"/>
  <c r="BW70" i="110" s="1"/>
  <c r="P71" i="110"/>
  <c r="Q71" i="110"/>
  <c r="N71" i="110"/>
  <c r="W71" i="110"/>
  <c r="BE70" i="110" a="1"/>
  <c r="BE70" i="110" s="1"/>
  <c r="BV70" i="110" s="1"/>
  <c r="AR70" i="110" a="1"/>
  <c r="AR70" i="110" s="1"/>
  <c r="AK70" i="110" a="1"/>
  <c r="AK70" i="110" s="1"/>
  <c r="BI70" i="110" s="1"/>
  <c r="I72" i="110"/>
  <c r="G72" i="110"/>
  <c r="O72" i="110" s="1"/>
  <c r="AX70" i="110" a="1"/>
  <c r="AX70" i="110" s="1"/>
  <c r="BP70" i="110" s="1"/>
  <c r="BQ70" i="110" s="1"/>
  <c r="AC68" i="110"/>
  <c r="AA68" i="110" s="1"/>
  <c r="AB68" i="110"/>
  <c r="AE68" i="110" s="1"/>
  <c r="AD68" i="110"/>
  <c r="BM70" i="110" l="1"/>
  <c r="BR70" i="110"/>
  <c r="BO70" i="110"/>
  <c r="Z70" i="110" s="1"/>
  <c r="BJ70" i="110"/>
  <c r="P72" i="110"/>
  <c r="N72" i="110"/>
  <c r="W72" i="110"/>
  <c r="Q72" i="110"/>
  <c r="G73" i="110"/>
  <c r="O73" i="110" s="1"/>
  <c r="H73" i="110"/>
  <c r="E74" i="110" s="1"/>
  <c r="F74" i="110" s="1"/>
  <c r="V71" i="110"/>
  <c r="AU71" i="110" a="1"/>
  <c r="AU71" i="110" s="1"/>
  <c r="AF71" i="110"/>
  <c r="AG71" i="110" s="1"/>
  <c r="AH71" i="110" s="1"/>
  <c r="AI71" i="110" s="1"/>
  <c r="BD71" i="110" s="1" a="1"/>
  <c r="BD71" i="110" s="1"/>
  <c r="BU71" i="110" s="1"/>
  <c r="AP71" i="110" a="1"/>
  <c r="AP71" i="110" s="1"/>
  <c r="AN71" i="110" a="1"/>
  <c r="AN71" i="110" s="1"/>
  <c r="BK71" i="110" s="1"/>
  <c r="AZ71" i="110" a="1"/>
  <c r="AZ71" i="110" s="1"/>
  <c r="AY71" i="110" a="1"/>
  <c r="AY71" i="110" s="1"/>
  <c r="AW71" i="110" a="1"/>
  <c r="AW71" i="110" s="1"/>
  <c r="AS71" i="110" a="1"/>
  <c r="AS71" i="110" s="1"/>
  <c r="BN71" i="110" s="1"/>
  <c r="AK71" i="110" a="1"/>
  <c r="AK71" i="110" s="1"/>
  <c r="AM71" i="110" a="1"/>
  <c r="AM71" i="110" s="1"/>
  <c r="AX71" i="110" a="1"/>
  <c r="AX71" i="110" s="1"/>
  <c r="AD69" i="110"/>
  <c r="AB69" i="110"/>
  <c r="AE69" i="110" s="1"/>
  <c r="T69" i="110"/>
  <c r="Y69" i="110"/>
  <c r="S69" i="110" s="1"/>
  <c r="AC70" i="110" l="1"/>
  <c r="AA70" i="110" s="1"/>
  <c r="AT71" i="110" a="1"/>
  <c r="AT71" i="110" s="1"/>
  <c r="BO71" i="110" s="1"/>
  <c r="AR71" i="110" a="1"/>
  <c r="AR71" i="110" s="1"/>
  <c r="AL71" i="110" a="1"/>
  <c r="AL71" i="110" s="1"/>
  <c r="BC71" i="110" a="1"/>
  <c r="BC71" i="110" s="1"/>
  <c r="BT71" i="110" s="1"/>
  <c r="BF71" i="110" a="1"/>
  <c r="BF71" i="110" s="1"/>
  <c r="BW71" i="110" s="1"/>
  <c r="BG71" i="110" a="1"/>
  <c r="BG71" i="110" s="1"/>
  <c r="AJ71" i="110" a="1"/>
  <c r="AJ71" i="110" s="1"/>
  <c r="M74" i="110"/>
  <c r="I74" i="110" s="1"/>
  <c r="BH71" i="110" a="1"/>
  <c r="BH71" i="110" s="1"/>
  <c r="P73" i="110"/>
  <c r="N73" i="110"/>
  <c r="W73" i="110"/>
  <c r="Q73" i="110"/>
  <c r="AV71" i="110" a="1"/>
  <c r="AV71" i="110" s="1"/>
  <c r="BP71" i="110" s="1"/>
  <c r="BQ71" i="110" s="1"/>
  <c r="AO71" i="110" a="1"/>
  <c r="AO71" i="110" s="1"/>
  <c r="BL71" i="110" s="1"/>
  <c r="AR72" i="110" a="1"/>
  <c r="AR72" i="110" s="1"/>
  <c r="AF72" i="110"/>
  <c r="AG72" i="110" s="1"/>
  <c r="AH72" i="110" s="1"/>
  <c r="AI72" i="110" s="1"/>
  <c r="BG72" i="110" s="1" a="1"/>
  <c r="BG72" i="110" s="1"/>
  <c r="BC72" i="110" a="1"/>
  <c r="BC72" i="110" s="1"/>
  <c r="BT72" i="110" s="1"/>
  <c r="AQ72" i="110" a="1"/>
  <c r="AQ72" i="110" s="1"/>
  <c r="V72" i="110"/>
  <c r="BE71" i="110" a="1"/>
  <c r="BE71" i="110" s="1"/>
  <c r="BV71" i="110" s="1"/>
  <c r="BB71" i="110" a="1"/>
  <c r="BB71" i="110" s="1"/>
  <c r="BS71" i="110" s="1"/>
  <c r="AQ71" i="110" a="1"/>
  <c r="AQ71" i="110" s="1"/>
  <c r="AB70" i="110"/>
  <c r="AE70" i="110" s="1"/>
  <c r="AD70" i="110"/>
  <c r="BA71" i="110" a="1"/>
  <c r="BA71" i="110" s="1"/>
  <c r="BR71" i="110" s="1"/>
  <c r="T70" i="110"/>
  <c r="Y70" i="110"/>
  <c r="S70" i="110" s="1"/>
  <c r="BI71" i="110" l="1"/>
  <c r="BB72" i="110" a="1"/>
  <c r="BB72" i="110" s="1"/>
  <c r="BS72" i="110" s="1"/>
  <c r="AW72" i="110" a="1"/>
  <c r="AW72" i="110" s="1"/>
  <c r="AO72" i="110" a="1"/>
  <c r="AO72" i="110" s="1"/>
  <c r="BL72" i="110" s="1"/>
  <c r="BF72" i="110" a="1"/>
  <c r="BF72" i="110" s="1"/>
  <c r="BW72" i="110" s="1"/>
  <c r="AK72" i="110" a="1"/>
  <c r="AK72" i="110" s="1"/>
  <c r="AP72" i="110" a="1"/>
  <c r="AP72" i="110" s="1"/>
  <c r="AS72" i="110" a="1"/>
  <c r="AS72" i="110" s="1"/>
  <c r="BN72" i="110" s="1"/>
  <c r="AV72" i="110" a="1"/>
  <c r="AV72" i="110" s="1"/>
  <c r="AZ72" i="110" a="1"/>
  <c r="AZ72" i="110" s="1"/>
  <c r="AY72" i="110" a="1"/>
  <c r="AY72" i="110" s="1"/>
  <c r="AX72" i="110" a="1"/>
  <c r="AX72" i="110" s="1"/>
  <c r="AM72" i="110" a="1"/>
  <c r="AM72" i="110" s="1"/>
  <c r="BD72" i="110" a="1"/>
  <c r="BD72" i="110" s="1"/>
  <c r="BU72" i="110" s="1"/>
  <c r="AL72" i="110" a="1"/>
  <c r="AL72" i="110" s="1"/>
  <c r="BA72" i="110" a="1"/>
  <c r="BA72" i="110" s="1"/>
  <c r="AN72" i="110" a="1"/>
  <c r="AN72" i="110" s="1"/>
  <c r="BK72" i="110" s="1"/>
  <c r="AU72" i="110" a="1"/>
  <c r="AU72" i="110" s="1"/>
  <c r="BH72" i="110" a="1"/>
  <c r="BH72" i="110" s="1"/>
  <c r="BX72" i="110" s="1"/>
  <c r="AT72" i="110" a="1"/>
  <c r="AT72" i="110" s="1"/>
  <c r="BE72" i="110" a="1"/>
  <c r="BE72" i="110" s="1"/>
  <c r="BV72" i="110" s="1"/>
  <c r="AJ72" i="110" a="1"/>
  <c r="AJ72" i="110" s="1"/>
  <c r="BM72" i="110"/>
  <c r="H74" i="110"/>
  <c r="E75" i="110" s="1"/>
  <c r="F75" i="110" s="1"/>
  <c r="M75" i="110" s="1"/>
  <c r="I75" i="110" s="1"/>
  <c r="G74" i="110"/>
  <c r="O74" i="110" s="1"/>
  <c r="P74" i="110" s="1"/>
  <c r="BM71" i="110"/>
  <c r="BX71" i="110"/>
  <c r="BJ71" i="110"/>
  <c r="AS73" i="110" a="1"/>
  <c r="AS73" i="110" s="1"/>
  <c r="BN73" i="110" s="1"/>
  <c r="AF73" i="110"/>
  <c r="AG73" i="110" s="1"/>
  <c r="AH73" i="110" s="1"/>
  <c r="AI73" i="110" s="1"/>
  <c r="AQ73" i="110" s="1" a="1"/>
  <c r="AQ73" i="110" s="1"/>
  <c r="AX73" i="110" a="1"/>
  <c r="AX73" i="110" s="1"/>
  <c r="BE73" i="110" a="1"/>
  <c r="BE73" i="110" s="1"/>
  <c r="BV73" i="110" s="1"/>
  <c r="AT73" i="110" a="1"/>
  <c r="AT73" i="110" s="1"/>
  <c r="AZ73" i="110" a="1"/>
  <c r="AZ73" i="110" s="1"/>
  <c r="AL73" i="110" a="1"/>
  <c r="AL73" i="110" s="1"/>
  <c r="AW73" i="110" a="1"/>
  <c r="AW73" i="110" s="1"/>
  <c r="BG73" i="110" a="1"/>
  <c r="BG73" i="110" s="1"/>
  <c r="BF73" i="110" a="1"/>
  <c r="BF73" i="110" s="1"/>
  <c r="BW73" i="110" s="1"/>
  <c r="AU73" i="110" a="1"/>
  <c r="AU73" i="110" s="1"/>
  <c r="AV73" i="110" a="1"/>
  <c r="AV73" i="110" s="1"/>
  <c r="AP73" i="110" a="1"/>
  <c r="AP73" i="110" s="1"/>
  <c r="AO73" i="110" a="1"/>
  <c r="AO73" i="110" s="1"/>
  <c r="BL73" i="110" s="1"/>
  <c r="V73" i="110"/>
  <c r="BH73" i="110" a="1"/>
  <c r="BH73" i="110" s="1"/>
  <c r="BC73" i="110" l="1" a="1"/>
  <c r="BC73" i="110" s="1"/>
  <c r="BT73" i="110" s="1"/>
  <c r="AR73" i="110" a="1"/>
  <c r="AR73" i="110" s="1"/>
  <c r="BM73" i="110" s="1"/>
  <c r="AJ73" i="110" a="1"/>
  <c r="AJ73" i="110" s="1"/>
  <c r="BA73" i="110" a="1"/>
  <c r="BA73" i="110" s="1"/>
  <c r="BR73" i="110" s="1"/>
  <c r="AK73" i="110" a="1"/>
  <c r="AK73" i="110" s="1"/>
  <c r="AY73" i="110" a="1"/>
  <c r="AY73" i="110" s="1"/>
  <c r="AM73" i="110" a="1"/>
  <c r="AM73" i="110" s="1"/>
  <c r="BB73" i="110" a="1"/>
  <c r="BB73" i="110" s="1"/>
  <c r="BS73" i="110" s="1"/>
  <c r="AN73" i="110" a="1"/>
  <c r="AN73" i="110" s="1"/>
  <c r="BK73" i="110" s="1"/>
  <c r="BD73" i="110" a="1"/>
  <c r="BD73" i="110" s="1"/>
  <c r="BU73" i="110" s="1"/>
  <c r="N74" i="110"/>
  <c r="Q74" i="110"/>
  <c r="W74" i="110"/>
  <c r="V74" i="110" s="1"/>
  <c r="BP72" i="110"/>
  <c r="BQ72" i="110" s="1"/>
  <c r="BR72" i="110"/>
  <c r="BI72" i="110"/>
  <c r="BJ72" i="110" s="1"/>
  <c r="BO72" i="110"/>
  <c r="Z71" i="110"/>
  <c r="Y71" i="110" s="1"/>
  <c r="S71" i="110" s="1"/>
  <c r="BX73" i="110"/>
  <c r="BO73" i="110"/>
  <c r="BP73" i="110"/>
  <c r="AC71" i="110"/>
  <c r="AA71" i="110" s="1"/>
  <c r="AD71" i="110"/>
  <c r="AB71" i="110"/>
  <c r="G75" i="110"/>
  <c r="O75" i="110" s="1"/>
  <c r="H75" i="110"/>
  <c r="E76" i="110" s="1"/>
  <c r="F76" i="110" s="1"/>
  <c r="AC72" i="110" l="1"/>
  <c r="AA72" i="110" s="1"/>
  <c r="AW74" i="110" a="1"/>
  <c r="AW74" i="110" s="1"/>
  <c r="AF74" i="110"/>
  <c r="AG74" i="110" s="1"/>
  <c r="AH74" i="110" s="1"/>
  <c r="AI74" i="110" s="1"/>
  <c r="AZ74" i="110" a="1"/>
  <c r="AZ74" i="110" s="1"/>
  <c r="AB72" i="110"/>
  <c r="AP74" i="110" a="1"/>
  <c r="AP74" i="110" s="1"/>
  <c r="AQ74" i="110" a="1"/>
  <c r="AQ74" i="110" s="1"/>
  <c r="BI73" i="110"/>
  <c r="BJ73" i="110" s="1"/>
  <c r="Z72" i="110"/>
  <c r="T72" i="110" s="1"/>
  <c r="AT74" i="110" a="1"/>
  <c r="AT74" i="110" s="1"/>
  <c r="AK74" i="110" a="1"/>
  <c r="AK74" i="110" s="1"/>
  <c r="BQ73" i="110"/>
  <c r="AD72" i="110"/>
  <c r="AE71" i="110"/>
  <c r="T71" i="110"/>
  <c r="BG74" i="110" a="1"/>
  <c r="BG74" i="110" s="1"/>
  <c r="AU74" i="110" a="1"/>
  <c r="AU74" i="110" s="1"/>
  <c r="BB74" i="110" a="1"/>
  <c r="BB74" i="110" s="1"/>
  <c r="BS74" i="110" s="1"/>
  <c r="AY74" i="110" a="1"/>
  <c r="AY74" i="110" s="1"/>
  <c r="P75" i="110"/>
  <c r="N75" i="110"/>
  <c r="W75" i="110"/>
  <c r="Q75" i="110"/>
  <c r="M76" i="110"/>
  <c r="H76" i="110" s="1"/>
  <c r="E77" i="110" s="1"/>
  <c r="F77" i="110" s="1"/>
  <c r="AM74" i="110" a="1"/>
  <c r="AM74" i="110" s="1"/>
  <c r="BD74" i="110" a="1"/>
  <c r="BD74" i="110" s="1"/>
  <c r="BU74" i="110" s="1"/>
  <c r="BA74" i="110" a="1"/>
  <c r="BA74" i="110" s="1"/>
  <c r="BR74" i="110" s="1"/>
  <c r="BH74" i="110" a="1"/>
  <c r="BH74" i="110" s="1"/>
  <c r="AR74" i="110" a="1"/>
  <c r="AR74" i="110" s="1"/>
  <c r="BE74" i="110" a="1"/>
  <c r="BE74" i="110" s="1"/>
  <c r="BV74" i="110" s="1"/>
  <c r="AX74" i="110" a="1"/>
  <c r="AX74" i="110" s="1"/>
  <c r="BF74" i="110" a="1"/>
  <c r="BF74" i="110" s="1"/>
  <c r="BW74" i="110" s="1"/>
  <c r="AS74" i="110" a="1"/>
  <c r="AS74" i="110" s="1"/>
  <c r="BN74" i="110" s="1"/>
  <c r="AL74" i="110" a="1"/>
  <c r="AL74" i="110" s="1"/>
  <c r="AJ74" i="110" a="1"/>
  <c r="AJ74" i="110" s="1"/>
  <c r="AB73" i="110" l="1"/>
  <c r="Y72" i="110"/>
  <c r="S72" i="110" s="1"/>
  <c r="AE72" i="110"/>
  <c r="AD73" i="110"/>
  <c r="BM74" i="110"/>
  <c r="BO74" i="110"/>
  <c r="AC73" i="110"/>
  <c r="AA73" i="110" s="1"/>
  <c r="Z73" i="110"/>
  <c r="BC74" i="110" a="1"/>
  <c r="BC74" i="110" s="1"/>
  <c r="BT74" i="110" s="1"/>
  <c r="AN74" i="110" a="1"/>
  <c r="AN74" i="110" s="1"/>
  <c r="BK74" i="110" s="1"/>
  <c r="AV74" i="110" a="1"/>
  <c r="AV74" i="110" s="1"/>
  <c r="BP74" i="110" s="1"/>
  <c r="BQ74" i="110" s="1"/>
  <c r="AO74" i="110" a="1"/>
  <c r="AO74" i="110" s="1"/>
  <c r="BL74" i="110" s="1"/>
  <c r="G76" i="110"/>
  <c r="O76" i="110" s="1"/>
  <c r="P76" i="110" s="1"/>
  <c r="I76" i="110"/>
  <c r="BI74" i="110"/>
  <c r="M77" i="110"/>
  <c r="I77" i="110" s="1"/>
  <c r="V75" i="110"/>
  <c r="AF75" i="110"/>
  <c r="AG75" i="110" s="1"/>
  <c r="AH75" i="110" s="1"/>
  <c r="AI75" i="110" s="1"/>
  <c r="BA75" i="110" s="1" a="1"/>
  <c r="BA75" i="110" s="1"/>
  <c r="BX74" i="110"/>
  <c r="W76" i="110" l="1"/>
  <c r="N76" i="110"/>
  <c r="Q76" i="110"/>
  <c r="Y73" i="110"/>
  <c r="S73" i="110" s="1"/>
  <c r="T73" i="110"/>
  <c r="AE73" i="110"/>
  <c r="AL75" i="110" a="1"/>
  <c r="AL75" i="110" s="1"/>
  <c r="AR75" i="110" a="1"/>
  <c r="AR75" i="110" s="1"/>
  <c r="AS75" i="110" a="1"/>
  <c r="AS75" i="110" s="1"/>
  <c r="BN75" i="110" s="1"/>
  <c r="BH75" i="110" a="1"/>
  <c r="BH75" i="110" s="1"/>
  <c r="AZ75" i="110" a="1"/>
  <c r="AZ75" i="110" s="1"/>
  <c r="BR75" i="110" s="1"/>
  <c r="BE75" i="110" a="1"/>
  <c r="BE75" i="110" s="1"/>
  <c r="BV75" i="110" s="1"/>
  <c r="BF75" i="110" a="1"/>
  <c r="BF75" i="110" s="1"/>
  <c r="BW75" i="110" s="1"/>
  <c r="AW75" i="110" a="1"/>
  <c r="AW75" i="110" s="1"/>
  <c r="AV75" i="110" a="1"/>
  <c r="AV75" i="110" s="1"/>
  <c r="AK75" i="110" a="1"/>
  <c r="AK75" i="110" s="1"/>
  <c r="AY75" i="110" a="1"/>
  <c r="AY75" i="110" s="1"/>
  <c r="AJ75" i="110" a="1"/>
  <c r="AJ75" i="110" s="1"/>
  <c r="BD75" i="110" a="1"/>
  <c r="BD75" i="110" s="1"/>
  <c r="BU75" i="110" s="1"/>
  <c r="AN75" i="110" a="1"/>
  <c r="AN75" i="110" s="1"/>
  <c r="BK75" i="110" s="1"/>
  <c r="AO75" i="110" a="1"/>
  <c r="AO75" i="110" s="1"/>
  <c r="BL75" i="110" s="1"/>
  <c r="AQ75" i="110" a="1"/>
  <c r="AQ75" i="110" s="1"/>
  <c r="BC75" i="110" a="1"/>
  <c r="BC75" i="110" s="1"/>
  <c r="BT75" i="110" s="1"/>
  <c r="AU75" i="110" a="1"/>
  <c r="AU75" i="110" s="1"/>
  <c r="BB75" i="110" a="1"/>
  <c r="BB75" i="110" s="1"/>
  <c r="BS75" i="110" s="1"/>
  <c r="AT75" i="110" a="1"/>
  <c r="AT75" i="110" s="1"/>
  <c r="AX75" i="110" a="1"/>
  <c r="AX75" i="110" s="1"/>
  <c r="BP75" i="110" s="1"/>
  <c r="BQ75" i="110" s="1"/>
  <c r="AP75" i="110" a="1"/>
  <c r="AP75" i="110" s="1"/>
  <c r="BG75" i="110" a="1"/>
  <c r="BG75" i="110" s="1"/>
  <c r="BX75" i="110" s="1"/>
  <c r="AM75" i="110" a="1"/>
  <c r="AM75" i="110" s="1"/>
  <c r="G77" i="110"/>
  <c r="O77" i="110" s="1"/>
  <c r="N77" i="110" s="1"/>
  <c r="H77" i="110"/>
  <c r="E78" i="110" s="1"/>
  <c r="F78" i="110" s="1"/>
  <c r="M78" i="110" s="1"/>
  <c r="G78" i="110" s="1"/>
  <c r="O78" i="110" s="1"/>
  <c r="Z74" i="110"/>
  <c r="AC74" i="110"/>
  <c r="AA74" i="110" s="1"/>
  <c r="BJ74" i="110"/>
  <c r="V76" i="110"/>
  <c r="AF76" i="110"/>
  <c r="AG76" i="110" s="1"/>
  <c r="AH76" i="110" s="1"/>
  <c r="AI76" i="110" s="1"/>
  <c r="AT76" i="110" s="1" a="1"/>
  <c r="AT76" i="110" s="1"/>
  <c r="AV76" i="110" a="1"/>
  <c r="AV76" i="110" s="1"/>
  <c r="AW76" i="110" a="1"/>
  <c r="AW76" i="110" s="1"/>
  <c r="BE76" i="110" a="1"/>
  <c r="BE76" i="110" s="1"/>
  <c r="BV76" i="110" s="1"/>
  <c r="AY76" i="110" a="1"/>
  <c r="AY76" i="110" s="1"/>
  <c r="BG76" i="110" a="1"/>
  <c r="BG76" i="110" s="1"/>
  <c r="BF76" i="110" l="1" a="1"/>
  <c r="BF76" i="110" s="1"/>
  <c r="BW76" i="110" s="1"/>
  <c r="BH76" i="110" a="1"/>
  <c r="BH76" i="110" s="1"/>
  <c r="BX76" i="110" s="1"/>
  <c r="BI75" i="110"/>
  <c r="BJ75" i="110" s="1"/>
  <c r="AM76" i="110" a="1"/>
  <c r="AM76" i="110" s="1"/>
  <c r="AQ76" i="110" a="1"/>
  <c r="AQ76" i="110" s="1"/>
  <c r="BM75" i="110"/>
  <c r="BO75" i="110"/>
  <c r="W77" i="110"/>
  <c r="V77" i="110" s="1"/>
  <c r="Q77" i="110"/>
  <c r="P77" i="110"/>
  <c r="P78" i="110"/>
  <c r="Q78" i="110"/>
  <c r="N78" i="110"/>
  <c r="W78" i="110"/>
  <c r="AN76" i="110" a="1"/>
  <c r="AN76" i="110" s="1"/>
  <c r="BK76" i="110" s="1"/>
  <c r="AB74" i="110"/>
  <c r="AE74" i="110" s="1"/>
  <c r="AD74" i="110"/>
  <c r="AP76" i="110" a="1"/>
  <c r="AP76" i="110" s="1"/>
  <c r="AR76" i="110" a="1"/>
  <c r="AR76" i="110" s="1"/>
  <c r="T74" i="110"/>
  <c r="Y74" i="110"/>
  <c r="S74" i="110" s="1"/>
  <c r="AX76" i="110" a="1"/>
  <c r="AX76" i="110" s="1"/>
  <c r="BP76" i="110" s="1"/>
  <c r="BQ76" i="110" s="1"/>
  <c r="BC76" i="110" a="1"/>
  <c r="BC76" i="110" s="1"/>
  <c r="BT76" i="110" s="1"/>
  <c r="AJ76" i="110" a="1"/>
  <c r="AJ76" i="110" s="1"/>
  <c r="H78" i="110"/>
  <c r="E79" i="110" s="1"/>
  <c r="F79" i="110" s="1"/>
  <c r="BD76" i="110" a="1"/>
  <c r="BD76" i="110" s="1"/>
  <c r="BU76" i="110" s="1"/>
  <c r="I78" i="110"/>
  <c r="AL76" i="110" a="1"/>
  <c r="AL76" i="110" s="1"/>
  <c r="AU76" i="110" a="1"/>
  <c r="AU76" i="110" s="1"/>
  <c r="BO76" i="110" s="1"/>
  <c r="AZ76" i="110" a="1"/>
  <c r="AZ76" i="110" s="1"/>
  <c r="AS76" i="110" a="1"/>
  <c r="AS76" i="110" s="1"/>
  <c r="BN76" i="110" s="1"/>
  <c r="AO76" i="110" a="1"/>
  <c r="AO76" i="110" s="1"/>
  <c r="BL76" i="110" s="1"/>
  <c r="AK76" i="110" a="1"/>
  <c r="AK76" i="110" s="1"/>
  <c r="BB76" i="110" a="1"/>
  <c r="BB76" i="110" s="1"/>
  <c r="BS76" i="110" s="1"/>
  <c r="BA76" i="110" a="1"/>
  <c r="BA76" i="110" s="1"/>
  <c r="BM76" i="110" l="1"/>
  <c r="BR76" i="110"/>
  <c r="AK77" i="110" a="1"/>
  <c r="AK77" i="110" s="1"/>
  <c r="BA77" i="110" a="1"/>
  <c r="BA77" i="110" s="1"/>
  <c r="AY77" i="110" a="1"/>
  <c r="AY77" i="110" s="1"/>
  <c r="BB77" i="110" a="1"/>
  <c r="BB77" i="110" s="1"/>
  <c r="BS77" i="110" s="1"/>
  <c r="AM77" i="110" a="1"/>
  <c r="AM77" i="110" s="1"/>
  <c r="AQ77" i="110" a="1"/>
  <c r="AQ77" i="110" s="1"/>
  <c r="AC75" i="110"/>
  <c r="AA75" i="110" s="1"/>
  <c r="AF77" i="110"/>
  <c r="AG77" i="110" s="1"/>
  <c r="AH77" i="110" s="1"/>
  <c r="AI77" i="110" s="1"/>
  <c r="AB75" i="110"/>
  <c r="AD75" i="110"/>
  <c r="BG77" i="110" a="1"/>
  <c r="BG77" i="110" s="1"/>
  <c r="AT77" i="110" a="1"/>
  <c r="AT77" i="110" s="1"/>
  <c r="BH77" i="110" a="1"/>
  <c r="BH77" i="110" s="1"/>
  <c r="Z75" i="110"/>
  <c r="AU77" i="110" a="1"/>
  <c r="AU77" i="110" s="1"/>
  <c r="AV77" i="110" a="1"/>
  <c r="AV77" i="110" s="1"/>
  <c r="AS77" i="110" a="1"/>
  <c r="AS77" i="110" s="1"/>
  <c r="BN77" i="110" s="1"/>
  <c r="AJ77" i="110" a="1"/>
  <c r="AJ77" i="110" s="1"/>
  <c r="AY78" i="110" a="1"/>
  <c r="AY78" i="110" s="1"/>
  <c r="AF78" i="110"/>
  <c r="AG78" i="110" s="1"/>
  <c r="AH78" i="110" s="1"/>
  <c r="AI78" i="110" s="1"/>
  <c r="AL78" i="110" s="1" a="1"/>
  <c r="AL78" i="110" s="1"/>
  <c r="BE78" i="110" a="1"/>
  <c r="BE78" i="110" s="1"/>
  <c r="BV78" i="110" s="1"/>
  <c r="BB78" i="110" a="1"/>
  <c r="BB78" i="110" s="1"/>
  <c r="BS78" i="110" s="1"/>
  <c r="V78" i="110"/>
  <c r="BD78" i="110" a="1"/>
  <c r="BD78" i="110" s="1"/>
  <c r="BU78" i="110" s="1"/>
  <c r="M79" i="110"/>
  <c r="H79" i="110" s="1"/>
  <c r="E80" i="110" s="1"/>
  <c r="F80" i="110" s="1"/>
  <c r="BI76" i="110"/>
  <c r="AO78" i="110" l="1" a="1"/>
  <c r="AO78" i="110" s="1"/>
  <c r="BL78" i="110" s="1"/>
  <c r="AR78" i="110" a="1"/>
  <c r="AR78" i="110" s="1"/>
  <c r="BF78" i="110" a="1"/>
  <c r="BF78" i="110" s="1"/>
  <c r="BW78" i="110" s="1"/>
  <c r="AJ78" i="110" a="1"/>
  <c r="AJ78" i="110" s="1"/>
  <c r="AK78" i="110" a="1"/>
  <c r="AK78" i="110" s="1"/>
  <c r="BI78" i="110" s="1"/>
  <c r="AS78" i="110" a="1"/>
  <c r="AS78" i="110" s="1"/>
  <c r="BN78" i="110" s="1"/>
  <c r="BG78" i="110" a="1"/>
  <c r="BG78" i="110" s="1"/>
  <c r="AV78" i="110" a="1"/>
  <c r="AV78" i="110" s="1"/>
  <c r="AT78" i="110" a="1"/>
  <c r="AT78" i="110" s="1"/>
  <c r="BX77" i="110"/>
  <c r="AP77" i="110" a="1"/>
  <c r="AP77" i="110" s="1"/>
  <c r="AR77" i="110" a="1"/>
  <c r="AR77" i="110" s="1"/>
  <c r="AW77" i="110" a="1"/>
  <c r="AW77" i="110" s="1"/>
  <c r="AN77" i="110" a="1"/>
  <c r="AN77" i="110" s="1"/>
  <c r="BK77" i="110" s="1"/>
  <c r="AL77" i="110" a="1"/>
  <c r="AL77" i="110" s="1"/>
  <c r="BI77" i="110" s="1"/>
  <c r="BE77" i="110" a="1"/>
  <c r="BE77" i="110" s="1"/>
  <c r="BV77" i="110" s="1"/>
  <c r="AO77" i="110" a="1"/>
  <c r="AO77" i="110" s="1"/>
  <c r="BL77" i="110" s="1"/>
  <c r="BC77" i="110" a="1"/>
  <c r="BC77" i="110" s="1"/>
  <c r="BT77" i="110" s="1"/>
  <c r="BF77" i="110" a="1"/>
  <c r="BF77" i="110" s="1"/>
  <c r="BW77" i="110" s="1"/>
  <c r="BD77" i="110" a="1"/>
  <c r="BD77" i="110" s="1"/>
  <c r="BU77" i="110" s="1"/>
  <c r="AZ77" i="110" a="1"/>
  <c r="AZ77" i="110" s="1"/>
  <c r="BR77" i="110" s="1"/>
  <c r="AX77" i="110" a="1"/>
  <c r="AX77" i="110" s="1"/>
  <c r="BO77" i="110"/>
  <c r="T75" i="110"/>
  <c r="Y75" i="110"/>
  <c r="S75" i="110" s="1"/>
  <c r="AU78" i="110" a="1"/>
  <c r="AU78" i="110" s="1"/>
  <c r="AE75" i="110"/>
  <c r="BH78" i="110" a="1"/>
  <c r="BH78" i="110" s="1"/>
  <c r="BX78" i="110" s="1"/>
  <c r="AQ78" i="110" a="1"/>
  <c r="AQ78" i="110" s="1"/>
  <c r="AZ78" i="110" a="1"/>
  <c r="AZ78" i="110" s="1"/>
  <c r="AW78" i="110" a="1"/>
  <c r="AW78" i="110" s="1"/>
  <c r="AM78" i="110" a="1"/>
  <c r="AM78" i="110" s="1"/>
  <c r="G79" i="110"/>
  <c r="O79" i="110" s="1"/>
  <c r="P79" i="110" s="1"/>
  <c r="AX78" i="110" a="1"/>
  <c r="AX78" i="110" s="1"/>
  <c r="AN78" i="110" a="1"/>
  <c r="AN78" i="110" s="1"/>
  <c r="BK78" i="110" s="1"/>
  <c r="BC78" i="110" a="1"/>
  <c r="BC78" i="110" s="1"/>
  <c r="BT78" i="110" s="1"/>
  <c r="BA78" i="110" a="1"/>
  <c r="BA78" i="110" s="1"/>
  <c r="AP78" i="110" a="1"/>
  <c r="AP78" i="110" s="1"/>
  <c r="M80" i="110"/>
  <c r="H80" i="110" s="1"/>
  <c r="E81" i="110" s="1"/>
  <c r="F81" i="110" s="1"/>
  <c r="AC76" i="110"/>
  <c r="AA76" i="110" s="1"/>
  <c r="BJ76" i="110"/>
  <c r="Z76" i="110"/>
  <c r="I79" i="110"/>
  <c r="BO78" i="110" l="1"/>
  <c r="W79" i="110"/>
  <c r="BD79" i="110" s="1" a="1"/>
  <c r="BD79" i="110" s="1"/>
  <c r="BU79" i="110" s="1"/>
  <c r="N79" i="110"/>
  <c r="BP77" i="110"/>
  <c r="BQ77" i="110" s="1"/>
  <c r="BJ77" i="110"/>
  <c r="BM77" i="110"/>
  <c r="Z77" i="110" s="1"/>
  <c r="BP78" i="110"/>
  <c r="BQ78" i="110" s="1"/>
  <c r="Q79" i="110"/>
  <c r="BM78" i="110"/>
  <c r="BR78" i="110"/>
  <c r="BJ78" i="110"/>
  <c r="M81" i="110"/>
  <c r="I81" i="110" s="1"/>
  <c r="V79" i="110"/>
  <c r="AO79" i="110" a="1"/>
  <c r="AO79" i="110" s="1"/>
  <c r="BL79" i="110" s="1"/>
  <c r="AJ79" i="110" a="1"/>
  <c r="AJ79" i="110" s="1"/>
  <c r="AF79" i="110"/>
  <c r="AG79" i="110" s="1"/>
  <c r="AH79" i="110" s="1"/>
  <c r="AI79" i="110" s="1"/>
  <c r="AP79" i="110" s="1" a="1"/>
  <c r="AP79" i="110" s="1"/>
  <c r="BB79" i="110" a="1"/>
  <c r="BB79" i="110" s="1"/>
  <c r="BS79" i="110" s="1"/>
  <c r="T76" i="110"/>
  <c r="Y76" i="110"/>
  <c r="S76" i="110" s="1"/>
  <c r="AD76" i="110"/>
  <c r="AB76" i="110"/>
  <c r="AE76" i="110" s="1"/>
  <c r="I80" i="110"/>
  <c r="G80" i="110"/>
  <c r="O80" i="110" s="1"/>
  <c r="Z78" i="110" l="1"/>
  <c r="Y78" i="110" s="1"/>
  <c r="S78" i="110" s="1"/>
  <c r="AC78" i="110"/>
  <c r="AA78" i="110" s="1"/>
  <c r="T77" i="110"/>
  <c r="Y77" i="110"/>
  <c r="S77" i="110" s="1"/>
  <c r="G81" i="110"/>
  <c r="O81" i="110" s="1"/>
  <c r="N81" i="110" s="1"/>
  <c r="AB77" i="110"/>
  <c r="AE77" i="110" s="1"/>
  <c r="AD77" i="110"/>
  <c r="AC77" i="110"/>
  <c r="AA77" i="110" s="1"/>
  <c r="BF79" i="110" a="1"/>
  <c r="BF79" i="110" s="1"/>
  <c r="BW79" i="110" s="1"/>
  <c r="AQ79" i="110" a="1"/>
  <c r="AQ79" i="110" s="1"/>
  <c r="AS79" i="110" a="1"/>
  <c r="AS79" i="110" s="1"/>
  <c r="BN79" i="110" s="1"/>
  <c r="AM79" i="110" a="1"/>
  <c r="AM79" i="110" s="1"/>
  <c r="H81" i="110"/>
  <c r="E82" i="110" s="1"/>
  <c r="F82" i="110" s="1"/>
  <c r="M82" i="110" s="1"/>
  <c r="I82" i="110" s="1"/>
  <c r="AU79" i="110" a="1"/>
  <c r="AU79" i="110" s="1"/>
  <c r="AN79" i="110" a="1"/>
  <c r="AN79" i="110" s="1"/>
  <c r="BK79" i="110" s="1"/>
  <c r="AW79" i="110" a="1"/>
  <c r="AW79" i="110" s="1"/>
  <c r="AY79" i="110" a="1"/>
  <c r="AY79" i="110" s="1"/>
  <c r="BA79" i="110" a="1"/>
  <c r="BA79" i="110" s="1"/>
  <c r="AZ79" i="110" a="1"/>
  <c r="AZ79" i="110" s="1"/>
  <c r="AD78" i="110"/>
  <c r="AB78" i="110"/>
  <c r="AE78" i="110" s="1"/>
  <c r="AX79" i="110" a="1"/>
  <c r="AX79" i="110" s="1"/>
  <c r="AK79" i="110" a="1"/>
  <c r="AK79" i="110" s="1"/>
  <c r="BE79" i="110" a="1"/>
  <c r="BE79" i="110" s="1"/>
  <c r="BV79" i="110" s="1"/>
  <c r="AV79" i="110" a="1"/>
  <c r="AV79" i="110" s="1"/>
  <c r="AT79" i="110" a="1"/>
  <c r="AT79" i="110" s="1"/>
  <c r="AR79" i="110" a="1"/>
  <c r="AR79" i="110" s="1"/>
  <c r="BM79" i="110" s="1"/>
  <c r="BG79" i="110" a="1"/>
  <c r="BG79" i="110" s="1"/>
  <c r="AL79" i="110" a="1"/>
  <c r="AL79" i="110" s="1"/>
  <c r="BH79" i="110" a="1"/>
  <c r="BH79" i="110" s="1"/>
  <c r="BC79" i="110" a="1"/>
  <c r="BC79" i="110" s="1"/>
  <c r="BT79" i="110" s="1"/>
  <c r="P80" i="110"/>
  <c r="N80" i="110"/>
  <c r="W80" i="110"/>
  <c r="Q80" i="110"/>
  <c r="BO79" i="110" l="1"/>
  <c r="T78" i="110"/>
  <c r="Q81" i="110"/>
  <c r="W81" i="110"/>
  <c r="P81" i="110"/>
  <c r="BI79" i="110"/>
  <c r="BJ79" i="110" s="1"/>
  <c r="BR79" i="110"/>
  <c r="BX79" i="110"/>
  <c r="G82" i="110"/>
  <c r="O82" i="110" s="1"/>
  <c r="P82" i="110" s="1"/>
  <c r="H82" i="110"/>
  <c r="E83" i="110" s="1"/>
  <c r="F83" i="110" s="1"/>
  <c r="M83" i="110" s="1"/>
  <c r="I83" i="110" s="1"/>
  <c r="BP79" i="110"/>
  <c r="BQ79" i="110" s="1"/>
  <c r="V81" i="110"/>
  <c r="V80" i="110"/>
  <c r="AU80" i="110" a="1"/>
  <c r="AU80" i="110" s="1"/>
  <c r="BB80" i="110" a="1"/>
  <c r="BB80" i="110" s="1"/>
  <c r="BS80" i="110" s="1"/>
  <c r="AN80" i="110" a="1"/>
  <c r="AN80" i="110" s="1"/>
  <c r="BK80" i="110" s="1"/>
  <c r="AJ80" i="110" a="1"/>
  <c r="AJ80" i="110" s="1"/>
  <c r="AF80" i="110"/>
  <c r="AG80" i="110" s="1"/>
  <c r="AH80" i="110" s="1"/>
  <c r="AI80" i="110" s="1"/>
  <c r="AV80" i="110" s="1" a="1"/>
  <c r="AV80" i="110" s="1"/>
  <c r="AS81" i="110" l="1" a="1"/>
  <c r="AS81" i="110" s="1"/>
  <c r="BN81" i="110" s="1"/>
  <c r="AF81" i="110"/>
  <c r="AG81" i="110" s="1"/>
  <c r="AH81" i="110" s="1"/>
  <c r="AI81" i="110" s="1"/>
  <c r="AD79" i="110"/>
  <c r="AB79" i="110"/>
  <c r="AQ80" i="110" a="1"/>
  <c r="AQ80" i="110" s="1"/>
  <c r="BA80" i="110" a="1"/>
  <c r="BA80" i="110" s="1"/>
  <c r="AR80" i="110" a="1"/>
  <c r="AR80" i="110" s="1"/>
  <c r="N82" i="110"/>
  <c r="BH80" i="110" a="1"/>
  <c r="BH80" i="110" s="1"/>
  <c r="Q82" i="110"/>
  <c r="AS80" i="110" a="1"/>
  <c r="AS80" i="110" s="1"/>
  <c r="BN80" i="110" s="1"/>
  <c r="W82" i="110"/>
  <c r="AK80" i="110" a="1"/>
  <c r="AK80" i="110" s="1"/>
  <c r="AX80" i="110" a="1"/>
  <c r="AX80" i="110" s="1"/>
  <c r="AM80" i="110" a="1"/>
  <c r="AM80" i="110" s="1"/>
  <c r="AY80" i="110" a="1"/>
  <c r="AY80" i="110" s="1"/>
  <c r="AZ80" i="110" a="1"/>
  <c r="AZ80" i="110" s="1"/>
  <c r="AT80" i="110" a="1"/>
  <c r="AT80" i="110" s="1"/>
  <c r="BO80" i="110" s="1"/>
  <c r="AW80" i="110" a="1"/>
  <c r="AW80" i="110" s="1"/>
  <c r="AO80" i="110" a="1"/>
  <c r="AO80" i="110" s="1"/>
  <c r="BL80" i="110" s="1"/>
  <c r="AC79" i="110"/>
  <c r="AA79" i="110" s="1"/>
  <c r="Z79" i="110"/>
  <c r="AP81" i="110" a="1"/>
  <c r="AP81" i="110" s="1"/>
  <c r="AW81" i="110" a="1"/>
  <c r="AW81" i="110" s="1"/>
  <c r="BE81" i="110" a="1"/>
  <c r="BE81" i="110" s="1"/>
  <c r="BV81" i="110" s="1"/>
  <c r="AQ81" i="110" a="1"/>
  <c r="AQ81" i="110" s="1"/>
  <c r="AR81" i="110" a="1"/>
  <c r="AR81" i="110" s="1"/>
  <c r="BF80" i="110" a="1"/>
  <c r="BF80" i="110" s="1"/>
  <c r="BW80" i="110" s="1"/>
  <c r="AK81" i="110" a="1"/>
  <c r="AK81" i="110" s="1"/>
  <c r="AV81" i="110" a="1"/>
  <c r="AV81" i="110" s="1"/>
  <c r="AJ81" i="110" a="1"/>
  <c r="AJ81" i="110" s="1"/>
  <c r="BG80" i="110" a="1"/>
  <c r="BG80" i="110" s="1"/>
  <c r="BX80" i="110" s="1"/>
  <c r="BA81" i="110" a="1"/>
  <c r="BA81" i="110" s="1"/>
  <c r="AU81" i="110" a="1"/>
  <c r="AU81" i="110" s="1"/>
  <c r="AL81" i="110" a="1"/>
  <c r="AL81" i="110" s="1"/>
  <c r="AY81" i="110" a="1"/>
  <c r="AY81" i="110" s="1"/>
  <c r="AX81" i="110" a="1"/>
  <c r="AX81" i="110" s="1"/>
  <c r="BH81" i="110" a="1"/>
  <c r="BH81" i="110" s="1"/>
  <c r="BG81" i="110" a="1"/>
  <c r="BG81" i="110" s="1"/>
  <c r="BC80" i="110" a="1"/>
  <c r="BC80" i="110" s="1"/>
  <c r="BT80" i="110" s="1"/>
  <c r="AL80" i="110" a="1"/>
  <c r="AL80" i="110" s="1"/>
  <c r="BI80" i="110" s="1"/>
  <c r="H83" i="110"/>
  <c r="E84" i="110" s="1"/>
  <c r="F84" i="110" s="1"/>
  <c r="AP80" i="110" a="1"/>
  <c r="AP80" i="110" s="1"/>
  <c r="BM80" i="110" s="1"/>
  <c r="BE80" i="110" a="1"/>
  <c r="BE80" i="110" s="1"/>
  <c r="BV80" i="110" s="1"/>
  <c r="G83" i="110"/>
  <c r="O83" i="110" s="1"/>
  <c r="BD80" i="110" a="1"/>
  <c r="BD80" i="110" s="1"/>
  <c r="BU80" i="110" s="1"/>
  <c r="AO81" i="110" a="1"/>
  <c r="AO81" i="110" s="1"/>
  <c r="BL81" i="110" s="1"/>
  <c r="BD81" i="110" a="1"/>
  <c r="BD81" i="110" s="1"/>
  <c r="BU81" i="110" s="1"/>
  <c r="BB81" i="110" a="1"/>
  <c r="BB81" i="110" s="1"/>
  <c r="BS81" i="110" s="1"/>
  <c r="AM81" i="110" a="1"/>
  <c r="AM81" i="110" s="1"/>
  <c r="AN81" i="110" a="1"/>
  <c r="AN81" i="110" s="1"/>
  <c r="BK81" i="110" s="1"/>
  <c r="BF81" i="110" a="1"/>
  <c r="BF81" i="110" s="1"/>
  <c r="BW81" i="110" s="1"/>
  <c r="BD82" i="110" a="1"/>
  <c r="BD82" i="110" s="1"/>
  <c r="BU82" i="110" s="1"/>
  <c r="V82" i="110"/>
  <c r="AV82" i="110" a="1"/>
  <c r="AV82" i="110" s="1"/>
  <c r="AF82" i="110"/>
  <c r="AG82" i="110" s="1"/>
  <c r="AH82" i="110" s="1"/>
  <c r="AI82" i="110" s="1"/>
  <c r="AJ82" i="110" s="1" a="1"/>
  <c r="AJ82" i="110" s="1"/>
  <c r="BF82" i="110" a="1"/>
  <c r="BF82" i="110" s="1"/>
  <c r="BW82" i="110" s="1"/>
  <c r="AT81" i="110" a="1"/>
  <c r="AT81" i="110" s="1"/>
  <c r="BP80" i="110" l="1"/>
  <c r="BC81" i="110" a="1"/>
  <c r="BC81" i="110" s="1"/>
  <c r="BT81" i="110" s="1"/>
  <c r="AZ81" i="110" a="1"/>
  <c r="AZ81" i="110" s="1"/>
  <c r="BR81" i="110" s="1"/>
  <c r="BO81" i="110"/>
  <c r="AS82" i="110" a="1"/>
  <c r="AS82" i="110" s="1"/>
  <c r="BN82" i="110" s="1"/>
  <c r="AT82" i="110" a="1"/>
  <c r="AT82" i="110" s="1"/>
  <c r="AR82" i="110" a="1"/>
  <c r="AR82" i="110" s="1"/>
  <c r="AZ82" i="110" a="1"/>
  <c r="AZ82" i="110" s="1"/>
  <c r="AL82" i="110" a="1"/>
  <c r="AL82" i="110" s="1"/>
  <c r="BA82" i="110" a="1"/>
  <c r="BA82" i="110" s="1"/>
  <c r="BB82" i="110" a="1"/>
  <c r="BB82" i="110" s="1"/>
  <c r="BS82" i="110" s="1"/>
  <c r="AP82" i="110" a="1"/>
  <c r="AP82" i="110" s="1"/>
  <c r="AY82" i="110" a="1"/>
  <c r="AY82" i="110" s="1"/>
  <c r="BG82" i="110" a="1"/>
  <c r="BG82" i="110" s="1"/>
  <c r="BC82" i="110" a="1"/>
  <c r="BC82" i="110" s="1"/>
  <c r="BT82" i="110" s="1"/>
  <c r="AK82" i="110" a="1"/>
  <c r="AK82" i="110" s="1"/>
  <c r="AU82" i="110" a="1"/>
  <c r="AU82" i="110" s="1"/>
  <c r="AQ82" i="110" a="1"/>
  <c r="AQ82" i="110" s="1"/>
  <c r="BI81" i="110"/>
  <c r="BJ81" i="110" s="1"/>
  <c r="AW82" i="110" a="1"/>
  <c r="AW82" i="110" s="1"/>
  <c r="BQ80" i="110"/>
  <c r="BE82" i="110" a="1"/>
  <c r="BE82" i="110" s="1"/>
  <c r="BV82" i="110" s="1"/>
  <c r="AN82" i="110" a="1"/>
  <c r="AN82" i="110" s="1"/>
  <c r="BK82" i="110" s="1"/>
  <c r="BH82" i="110" a="1"/>
  <c r="BH82" i="110" s="1"/>
  <c r="AM82" i="110" a="1"/>
  <c r="AM82" i="110" s="1"/>
  <c r="AO82" i="110" a="1"/>
  <c r="AO82" i="110" s="1"/>
  <c r="BL82" i="110" s="1"/>
  <c r="Y79" i="110"/>
  <c r="S79" i="110" s="1"/>
  <c r="T79" i="110"/>
  <c r="AE79" i="110"/>
  <c r="BR80" i="110"/>
  <c r="Z80" i="110" s="1"/>
  <c r="BJ80" i="110"/>
  <c r="AX82" i="110" a="1"/>
  <c r="AX82" i="110" s="1"/>
  <c r="BP82" i="110" s="1"/>
  <c r="P83" i="110"/>
  <c r="W83" i="110"/>
  <c r="Q83" i="110"/>
  <c r="N83" i="110"/>
  <c r="BP81" i="110"/>
  <c r="BQ81" i="110" s="1"/>
  <c r="M84" i="110"/>
  <c r="H84" i="110" s="1"/>
  <c r="E85" i="110" s="1"/>
  <c r="F85" i="110" s="1"/>
  <c r="BX81" i="110"/>
  <c r="BM81" i="110"/>
  <c r="BO82" i="110" l="1"/>
  <c r="BR82" i="110"/>
  <c r="BI82" i="110"/>
  <c r="BX82" i="110"/>
  <c r="BM82" i="110"/>
  <c r="BJ82" i="110"/>
  <c r="I84" i="110"/>
  <c r="AC80" i="110"/>
  <c r="AA80" i="110" s="1"/>
  <c r="M85" i="110"/>
  <c r="H85" i="110" s="1"/>
  <c r="E86" i="110" s="1"/>
  <c r="F86" i="110" s="1"/>
  <c r="BQ82" i="110"/>
  <c r="Z81" i="110"/>
  <c r="BG83" i="110" a="1"/>
  <c r="BG83" i="110" s="1"/>
  <c r="AP83" i="110" a="1"/>
  <c r="AP83" i="110" s="1"/>
  <c r="AX83" i="110" a="1"/>
  <c r="AX83" i="110" s="1"/>
  <c r="AN83" i="110" a="1"/>
  <c r="AN83" i="110" s="1"/>
  <c r="BK83" i="110" s="1"/>
  <c r="BH83" i="110" a="1"/>
  <c r="BH83" i="110" s="1"/>
  <c r="AW83" i="110" a="1"/>
  <c r="AW83" i="110" s="1"/>
  <c r="BD83" i="110" a="1"/>
  <c r="BD83" i="110" s="1"/>
  <c r="BU83" i="110" s="1"/>
  <c r="BF83" i="110" a="1"/>
  <c r="BF83" i="110" s="1"/>
  <c r="BW83" i="110" s="1"/>
  <c r="AU83" i="110" a="1"/>
  <c r="AU83" i="110" s="1"/>
  <c r="AJ83" i="110" a="1"/>
  <c r="AJ83" i="110" s="1"/>
  <c r="BE83" i="110" a="1"/>
  <c r="BE83" i="110" s="1"/>
  <c r="BV83" i="110" s="1"/>
  <c r="AT83" i="110" a="1"/>
  <c r="AT83" i="110" s="1"/>
  <c r="AF83" i="110"/>
  <c r="AG83" i="110" s="1"/>
  <c r="AH83" i="110" s="1"/>
  <c r="AI83" i="110" s="1"/>
  <c r="AL83" i="110" a="1"/>
  <c r="AL83" i="110" s="1"/>
  <c r="BA83" i="110" a="1"/>
  <c r="BA83" i="110" s="1"/>
  <c r="AY83" i="110" a="1"/>
  <c r="AY83" i="110" s="1"/>
  <c r="AV83" i="110" a="1"/>
  <c r="AV83" i="110" s="1"/>
  <c r="BP83" i="110" s="1"/>
  <c r="BQ83" i="110" s="1"/>
  <c r="AK83" i="110" a="1"/>
  <c r="AK83" i="110" s="1"/>
  <c r="AZ83" i="110" a="1"/>
  <c r="AZ83" i="110" s="1"/>
  <c r="V83" i="110"/>
  <c r="AS83" i="110" a="1"/>
  <c r="AS83" i="110" s="1"/>
  <c r="BN83" i="110" s="1"/>
  <c r="AR83" i="110" a="1"/>
  <c r="AR83" i="110" s="1"/>
  <c r="AO83" i="110" a="1"/>
  <c r="AO83" i="110" s="1"/>
  <c r="BL83" i="110" s="1"/>
  <c r="BC83" i="110" a="1"/>
  <c r="BC83" i="110" s="1"/>
  <c r="BT83" i="110" s="1"/>
  <c r="AQ83" i="110" a="1"/>
  <c r="AQ83" i="110" s="1"/>
  <c r="BB83" i="110" a="1"/>
  <c r="BB83" i="110" s="1"/>
  <c r="BS83" i="110" s="1"/>
  <c r="AM83" i="110" a="1"/>
  <c r="AM83" i="110" s="1"/>
  <c r="AC81" i="110"/>
  <c r="AA81" i="110" s="1"/>
  <c r="T80" i="110"/>
  <c r="Y80" i="110"/>
  <c r="S80" i="110" s="1"/>
  <c r="AB80" i="110"/>
  <c r="AE80" i="110" s="1"/>
  <c r="AD80" i="110"/>
  <c r="AB81" i="110"/>
  <c r="AD81" i="110"/>
  <c r="G84" i="110"/>
  <c r="O84" i="110" s="1"/>
  <c r="AD82" i="110"/>
  <c r="AB82" i="110"/>
  <c r="AC82" i="110" l="1"/>
  <c r="AA82" i="110" s="1"/>
  <c r="Z82" i="110"/>
  <c r="T82" i="110" s="1"/>
  <c r="BM83" i="110"/>
  <c r="BO83" i="110"/>
  <c r="BI83" i="110"/>
  <c r="BJ83" i="110" s="1"/>
  <c r="BX83" i="110"/>
  <c r="BR83" i="110"/>
  <c r="M86" i="110"/>
  <c r="H86" i="110" s="1"/>
  <c r="E87" i="110" s="1"/>
  <c r="F87" i="110" s="1"/>
  <c r="T81" i="110"/>
  <c r="AE81" i="110"/>
  <c r="Y81" i="110"/>
  <c r="S81" i="110" s="1"/>
  <c r="Y82" i="110"/>
  <c r="S82" i="110" s="1"/>
  <c r="P84" i="110"/>
  <c r="Q84" i="110"/>
  <c r="W84" i="110"/>
  <c r="N84" i="110"/>
  <c r="I85" i="110"/>
  <c r="G85" i="110"/>
  <c r="O85" i="110" s="1"/>
  <c r="AE82" i="110" l="1"/>
  <c r="AC83" i="110"/>
  <c r="AA83" i="110" s="1"/>
  <c r="Z83" i="110"/>
  <c r="G86" i="110"/>
  <c r="O86" i="110" s="1"/>
  <c r="P86" i="110" s="1"/>
  <c r="I86" i="110"/>
  <c r="M87" i="110"/>
  <c r="I87" i="110" s="1"/>
  <c r="P85" i="110"/>
  <c r="W85" i="110"/>
  <c r="Q85" i="110"/>
  <c r="N85" i="110"/>
  <c r="AB83" i="110"/>
  <c r="AD83" i="110"/>
  <c r="BB84" i="110" a="1"/>
  <c r="BB84" i="110" s="1"/>
  <c r="BS84" i="110" s="1"/>
  <c r="AK84" i="110" a="1"/>
  <c r="AK84" i="110" s="1"/>
  <c r="AS84" i="110" a="1"/>
  <c r="AS84" i="110" s="1"/>
  <c r="BN84" i="110" s="1"/>
  <c r="AO84" i="110" a="1"/>
  <c r="AO84" i="110" s="1"/>
  <c r="BL84" i="110" s="1"/>
  <c r="BH84" i="110" a="1"/>
  <c r="BH84" i="110" s="1"/>
  <c r="AX84" i="110" a="1"/>
  <c r="AX84" i="110" s="1"/>
  <c r="BA84" i="110" a="1"/>
  <c r="BA84" i="110" s="1"/>
  <c r="AP84" i="110" a="1"/>
  <c r="AP84" i="110" s="1"/>
  <c r="BF84" i="110" a="1"/>
  <c r="BF84" i="110" s="1"/>
  <c r="BW84" i="110" s="1"/>
  <c r="AU84" i="110" a="1"/>
  <c r="AU84" i="110" s="1"/>
  <c r="AF84" i="110"/>
  <c r="AG84" i="110" s="1"/>
  <c r="AH84" i="110" s="1"/>
  <c r="AI84" i="110" s="1"/>
  <c r="BE84" i="110" a="1"/>
  <c r="BE84" i="110" s="1"/>
  <c r="BV84" i="110" s="1"/>
  <c r="AT84" i="110" a="1"/>
  <c r="AT84" i="110" s="1"/>
  <c r="AL84" i="110" a="1"/>
  <c r="AL84" i="110" s="1"/>
  <c r="AZ84" i="110" a="1"/>
  <c r="AZ84" i="110" s="1"/>
  <c r="AW84" i="110" a="1"/>
  <c r="AW84" i="110" s="1"/>
  <c r="AV84" i="110" a="1"/>
  <c r="AV84" i="110" s="1"/>
  <c r="AY84" i="110" a="1"/>
  <c r="AY84" i="110" s="1"/>
  <c r="AJ84" i="110" a="1"/>
  <c r="AJ84" i="110" s="1"/>
  <c r="BI84" i="110" s="1"/>
  <c r="V84" i="110"/>
  <c r="BD84" i="110" a="1"/>
  <c r="BD84" i="110" s="1"/>
  <c r="BU84" i="110" s="1"/>
  <c r="AR84" i="110" a="1"/>
  <c r="AR84" i="110" s="1"/>
  <c r="AQ84" i="110" a="1"/>
  <c r="AQ84" i="110" s="1"/>
  <c r="AN84" i="110" a="1"/>
  <c r="AN84" i="110" s="1"/>
  <c r="BK84" i="110" s="1"/>
  <c r="AM84" i="110" a="1"/>
  <c r="AM84" i="110" s="1"/>
  <c r="BG84" i="110" a="1"/>
  <c r="BG84" i="110" s="1"/>
  <c r="BC84" i="110" a="1"/>
  <c r="BC84" i="110" s="1"/>
  <c r="BT84" i="110" s="1"/>
  <c r="T83" i="110"/>
  <c r="Y83" i="110"/>
  <c r="S83" i="110" s="1"/>
  <c r="AE83" i="110"/>
  <c r="N86" i="110" l="1"/>
  <c r="Q86" i="110"/>
  <c r="W86" i="110"/>
  <c r="V86" i="110" s="1"/>
  <c r="G87" i="110"/>
  <c r="O87" i="110" s="1"/>
  <c r="W87" i="110" s="1"/>
  <c r="BR84" i="110"/>
  <c r="BO84" i="110"/>
  <c r="BM84" i="110"/>
  <c r="BX84" i="110"/>
  <c r="H87" i="110"/>
  <c r="E88" i="110" s="1"/>
  <c r="F88" i="110" s="1"/>
  <c r="M88" i="110" s="1"/>
  <c r="H88" i="110" s="1"/>
  <c r="E89" i="110" s="1"/>
  <c r="F89" i="110" s="1"/>
  <c r="BP84" i="110"/>
  <c r="BQ84" i="110" s="1"/>
  <c r="BJ84" i="110"/>
  <c r="AF85" i="110"/>
  <c r="AG85" i="110" s="1"/>
  <c r="AH85" i="110" s="1"/>
  <c r="AI85" i="110" s="1"/>
  <c r="AU85" i="110" s="1" a="1"/>
  <c r="AU85" i="110" s="1"/>
  <c r="V85" i="110"/>
  <c r="AF86" i="110"/>
  <c r="AG86" i="110" s="1"/>
  <c r="AH86" i="110" s="1"/>
  <c r="AI86" i="110" s="1"/>
  <c r="AY86" i="110" s="1" a="1"/>
  <c r="AY86" i="110" s="1"/>
  <c r="N87" i="110" l="1"/>
  <c r="Q87" i="110"/>
  <c r="P87" i="110"/>
  <c r="AL85" i="110" a="1"/>
  <c r="AL85" i="110" s="1"/>
  <c r="AO85" i="110" a="1"/>
  <c r="AO85" i="110" s="1"/>
  <c r="BL85" i="110" s="1"/>
  <c r="BB85" i="110" a="1"/>
  <c r="BB85" i="110" s="1"/>
  <c r="BS85" i="110" s="1"/>
  <c r="BC85" i="110" a="1"/>
  <c r="BC85" i="110" s="1"/>
  <c r="BT85" i="110" s="1"/>
  <c r="BG85" i="110" a="1"/>
  <c r="BG85" i="110" s="1"/>
  <c r="BX85" i="110" s="1"/>
  <c r="BH85" i="110" a="1"/>
  <c r="BH85" i="110" s="1"/>
  <c r="AK85" i="110" a="1"/>
  <c r="AK85" i="110" s="1"/>
  <c r="AQ85" i="110" a="1"/>
  <c r="AQ85" i="110" s="1"/>
  <c r="BA85" i="110" a="1"/>
  <c r="BA85" i="110" s="1"/>
  <c r="AW85" i="110" a="1"/>
  <c r="AW85" i="110" s="1"/>
  <c r="AX85" i="110" a="1"/>
  <c r="AX85" i="110" s="1"/>
  <c r="AR86" i="110" a="1"/>
  <c r="AR86" i="110" s="1"/>
  <c r="AJ85" i="110" a="1"/>
  <c r="AJ85" i="110" s="1"/>
  <c r="AK86" i="110" a="1"/>
  <c r="AK86" i="110" s="1"/>
  <c r="AL86" i="110" a="1"/>
  <c r="AL86" i="110" s="1"/>
  <c r="AN86" i="110" a="1"/>
  <c r="AN86" i="110" s="1"/>
  <c r="BK86" i="110" s="1"/>
  <c r="AW86" i="110" a="1"/>
  <c r="AW86" i="110" s="1"/>
  <c r="AX86" i="110" a="1"/>
  <c r="AX86" i="110" s="1"/>
  <c r="BC86" i="110" a="1"/>
  <c r="BC86" i="110" s="1"/>
  <c r="BT86" i="110" s="1"/>
  <c r="BF86" i="110" a="1"/>
  <c r="BF86" i="110" s="1"/>
  <c r="BW86" i="110" s="1"/>
  <c r="AJ86" i="110" a="1"/>
  <c r="AJ86" i="110" s="1"/>
  <c r="BI86" i="110" s="1"/>
  <c r="BA86" i="110" a="1"/>
  <c r="BA86" i="110" s="1"/>
  <c r="AU86" i="110" a="1"/>
  <c r="AU86" i="110" s="1"/>
  <c r="AC84" i="110"/>
  <c r="AA84" i="110" s="1"/>
  <c r="AP86" i="110" a="1"/>
  <c r="AP86" i="110" s="1"/>
  <c r="Z84" i="110"/>
  <c r="BG86" i="110" a="1"/>
  <c r="BG86" i="110" s="1"/>
  <c r="BB86" i="110" a="1"/>
  <c r="BB86" i="110" s="1"/>
  <c r="BS86" i="110" s="1"/>
  <c r="BH86" i="110" a="1"/>
  <c r="BH86" i="110" s="1"/>
  <c r="AQ86" i="110" a="1"/>
  <c r="AQ86" i="110" s="1"/>
  <c r="AZ86" i="110" a="1"/>
  <c r="AZ86" i="110" s="1"/>
  <c r="AV86" i="110" a="1"/>
  <c r="AV86" i="110" s="1"/>
  <c r="AM86" i="110" a="1"/>
  <c r="AM86" i="110" s="1"/>
  <c r="AS86" i="110" a="1"/>
  <c r="AS86" i="110" s="1"/>
  <c r="BN86" i="110" s="1"/>
  <c r="BD86" i="110" a="1"/>
  <c r="BD86" i="110" s="1"/>
  <c r="BU86" i="110" s="1"/>
  <c r="BE86" i="110" a="1"/>
  <c r="BE86" i="110" s="1"/>
  <c r="BV86" i="110" s="1"/>
  <c r="AT86" i="110" a="1"/>
  <c r="AT86" i="110" s="1"/>
  <c r="BO86" i="110" s="1"/>
  <c r="G88" i="110"/>
  <c r="O88" i="110" s="1"/>
  <c r="P88" i="110" s="1"/>
  <c r="AO86" i="110" a="1"/>
  <c r="AO86" i="110" s="1"/>
  <c r="BL86" i="110" s="1"/>
  <c r="M89" i="110"/>
  <c r="H89" i="110" s="1"/>
  <c r="E90" i="110" s="1"/>
  <c r="F90" i="110" s="1"/>
  <c r="AP85" i="110" a="1"/>
  <c r="AP85" i="110" s="1"/>
  <c r="AZ85" i="110" a="1"/>
  <c r="AZ85" i="110" s="1"/>
  <c r="BR85" i="110" s="1"/>
  <c r="AM85" i="110" a="1"/>
  <c r="AM85" i="110" s="1"/>
  <c r="AR85" i="110" a="1"/>
  <c r="AR85" i="110" s="1"/>
  <c r="AV85" i="110" a="1"/>
  <c r="AV85" i="110" s="1"/>
  <c r="BP85" i="110" s="1"/>
  <c r="AS85" i="110" a="1"/>
  <c r="AS85" i="110" s="1"/>
  <c r="BN85" i="110" s="1"/>
  <c r="BD85" i="110" a="1"/>
  <c r="BD85" i="110" s="1"/>
  <c r="BU85" i="110" s="1"/>
  <c r="AN85" i="110" a="1"/>
  <c r="AN85" i="110" s="1"/>
  <c r="BK85" i="110" s="1"/>
  <c r="BE85" i="110" a="1"/>
  <c r="BE85" i="110" s="1"/>
  <c r="BV85" i="110" s="1"/>
  <c r="AT85" i="110" a="1"/>
  <c r="AT85" i="110" s="1"/>
  <c r="BO85" i="110" s="1"/>
  <c r="I88" i="110"/>
  <c r="BF85" i="110" a="1"/>
  <c r="BF85" i="110" s="1"/>
  <c r="BW85" i="110" s="1"/>
  <c r="AY85" i="110" a="1"/>
  <c r="AY85" i="110" s="1"/>
  <c r="V87" i="110"/>
  <c r="AF87" i="110"/>
  <c r="AG87" i="110" s="1"/>
  <c r="AH87" i="110" s="1"/>
  <c r="AI87" i="110" s="1"/>
  <c r="AZ87" i="110" s="1" a="1"/>
  <c r="AZ87" i="110" s="1"/>
  <c r="T84" i="110"/>
  <c r="Y84" i="110"/>
  <c r="S84" i="110" s="1"/>
  <c r="AD84" i="110"/>
  <c r="AB84" i="110"/>
  <c r="AE84" i="110" s="1"/>
  <c r="BP86" i="110" l="1"/>
  <c r="BQ86" i="110" s="1"/>
  <c r="BI85" i="110"/>
  <c r="BJ85" i="110" s="1"/>
  <c r="BR86" i="110"/>
  <c r="BJ86" i="110"/>
  <c r="AB86" i="110" s="1"/>
  <c r="BM86" i="110"/>
  <c r="BX86" i="110"/>
  <c r="Z86" i="110" s="1"/>
  <c r="AX87" i="110" a="1"/>
  <c r="AX87" i="110" s="1"/>
  <c r="N88" i="110"/>
  <c r="AJ87" i="110" a="1"/>
  <c r="AJ87" i="110" s="1"/>
  <c r="AW87" i="110" a="1"/>
  <c r="AW87" i="110" s="1"/>
  <c r="Q88" i="110"/>
  <c r="W88" i="110"/>
  <c r="AK87" i="110" a="1"/>
  <c r="AK87" i="110" s="1"/>
  <c r="BE87" i="110" a="1"/>
  <c r="BE87" i="110" s="1"/>
  <c r="BV87" i="110" s="1"/>
  <c r="AO87" i="110" a="1"/>
  <c r="AO87" i="110" s="1"/>
  <c r="BL87" i="110" s="1"/>
  <c r="AV87" i="110" a="1"/>
  <c r="AV87" i="110" s="1"/>
  <c r="BA87" i="110" a="1"/>
  <c r="BA87" i="110" s="1"/>
  <c r="BR87" i="110" s="1"/>
  <c r="AT87" i="110" a="1"/>
  <c r="AT87" i="110" s="1"/>
  <c r="AL87" i="110" a="1"/>
  <c r="AL87" i="110" s="1"/>
  <c r="BC87" i="110" a="1"/>
  <c r="BC87" i="110" s="1"/>
  <c r="BT87" i="110" s="1"/>
  <c r="BG87" i="110" a="1"/>
  <c r="BG87" i="110" s="1"/>
  <c r="AM87" i="110" a="1"/>
  <c r="AM87" i="110" s="1"/>
  <c r="BB87" i="110" a="1"/>
  <c r="BB87" i="110" s="1"/>
  <c r="BS87" i="110" s="1"/>
  <c r="AN87" i="110" a="1"/>
  <c r="AN87" i="110" s="1"/>
  <c r="BK87" i="110" s="1"/>
  <c r="BF87" i="110" a="1"/>
  <c r="BF87" i="110" s="1"/>
  <c r="BW87" i="110" s="1"/>
  <c r="I89" i="110"/>
  <c r="BH87" i="110" a="1"/>
  <c r="BH87" i="110" s="1"/>
  <c r="G89" i="110"/>
  <c r="O89" i="110" s="1"/>
  <c r="N89" i="110" s="1"/>
  <c r="AU87" i="110" a="1"/>
  <c r="AU87" i="110" s="1"/>
  <c r="AR87" i="110" a="1"/>
  <c r="AR87" i="110" s="1"/>
  <c r="AC86" i="110"/>
  <c r="AA86" i="110" s="1"/>
  <c r="BD87" i="110" a="1"/>
  <c r="BD87" i="110" s="1"/>
  <c r="BU87" i="110" s="1"/>
  <c r="AS87" i="110" a="1"/>
  <c r="AS87" i="110" s="1"/>
  <c r="BN87" i="110" s="1"/>
  <c r="BQ85" i="110"/>
  <c r="BM85" i="110"/>
  <c r="AC85" i="110" s="1"/>
  <c r="AA85" i="110" s="1"/>
  <c r="AQ87" i="110" a="1"/>
  <c r="AQ87" i="110" s="1"/>
  <c r="AF88" i="110"/>
  <c r="AG88" i="110" s="1"/>
  <c r="AH88" i="110" s="1"/>
  <c r="AI88" i="110" s="1"/>
  <c r="AS88" i="110" s="1" a="1"/>
  <c r="AS88" i="110" s="1"/>
  <c r="BN88" i="110" s="1"/>
  <c r="AJ88" i="110" a="1"/>
  <c r="AJ88" i="110" s="1"/>
  <c r="V88" i="110"/>
  <c r="AY87" i="110" a="1"/>
  <c r="AY87" i="110" s="1"/>
  <c r="P89" i="110"/>
  <c r="AP87" i="110" a="1"/>
  <c r="AP87" i="110" s="1"/>
  <c r="M90" i="110"/>
  <c r="I90" i="110" s="1"/>
  <c r="AD86" i="110"/>
  <c r="Y86" i="110" l="1"/>
  <c r="S86" i="110" s="1"/>
  <c r="T86" i="110"/>
  <c r="BO87" i="110"/>
  <c r="AE86" i="110"/>
  <c r="AB85" i="110"/>
  <c r="Q89" i="110"/>
  <c r="Z85" i="110"/>
  <c r="T85" i="110" s="1"/>
  <c r="BP87" i="110"/>
  <c r="BQ87" i="110" s="1"/>
  <c r="W89" i="110"/>
  <c r="AW89" i="110" s="1" a="1"/>
  <c r="AW89" i="110" s="1"/>
  <c r="AV88" i="110" a="1"/>
  <c r="AV88" i="110" s="1"/>
  <c r="AR88" i="110" a="1"/>
  <c r="AR88" i="110" s="1"/>
  <c r="BI87" i="110"/>
  <c r="BJ87" i="110" s="1"/>
  <c r="AM88" i="110" a="1"/>
  <c r="AM88" i="110" s="1"/>
  <c r="BC88" i="110" a="1"/>
  <c r="BC88" i="110" s="1"/>
  <c r="BT88" i="110" s="1"/>
  <c r="BD88" i="110" a="1"/>
  <c r="BD88" i="110" s="1"/>
  <c r="BU88" i="110" s="1"/>
  <c r="AL88" i="110" a="1"/>
  <c r="AL88" i="110" s="1"/>
  <c r="AU88" i="110" a="1"/>
  <c r="AU88" i="110" s="1"/>
  <c r="AY88" i="110" a="1"/>
  <c r="AY88" i="110" s="1"/>
  <c r="AZ88" i="110" a="1"/>
  <c r="AZ88" i="110" s="1"/>
  <c r="AK88" i="110" a="1"/>
  <c r="AK88" i="110" s="1"/>
  <c r="H90" i="110"/>
  <c r="E91" i="110" s="1"/>
  <c r="F91" i="110" s="1"/>
  <c r="M91" i="110" s="1"/>
  <c r="BG88" i="110" a="1"/>
  <c r="BG88" i="110" s="1"/>
  <c r="BB88" i="110" a="1"/>
  <c r="BB88" i="110" s="1"/>
  <c r="BS88" i="110" s="1"/>
  <c r="BM87" i="110"/>
  <c r="AX88" i="110" a="1"/>
  <c r="AX88" i="110" s="1"/>
  <c r="AQ88" i="110" a="1"/>
  <c r="AQ88" i="110" s="1"/>
  <c r="BA88" i="110" a="1"/>
  <c r="BA88" i="110" s="1"/>
  <c r="BX87" i="110"/>
  <c r="AN88" i="110" a="1"/>
  <c r="AN88" i="110" s="1"/>
  <c r="BK88" i="110" s="1"/>
  <c r="AW88" i="110" a="1"/>
  <c r="AW88" i="110" s="1"/>
  <c r="AO88" i="110" a="1"/>
  <c r="AO88" i="110" s="1"/>
  <c r="BL88" i="110" s="1"/>
  <c r="BF88" i="110" a="1"/>
  <c r="BF88" i="110" s="1"/>
  <c r="BW88" i="110" s="1"/>
  <c r="BE88" i="110" a="1"/>
  <c r="BE88" i="110" s="1"/>
  <c r="BV88" i="110" s="1"/>
  <c r="BH88" i="110" a="1"/>
  <c r="BH88" i="110" s="1"/>
  <c r="BX88" i="110" s="1"/>
  <c r="AT88" i="110" a="1"/>
  <c r="AT88" i="110" s="1"/>
  <c r="AP88" i="110" a="1"/>
  <c r="AP88" i="110" s="1"/>
  <c r="AE85" i="110"/>
  <c r="G90" i="110"/>
  <c r="O90" i="110" s="1"/>
  <c r="AD85" i="110"/>
  <c r="V89" i="110"/>
  <c r="AF89" i="110"/>
  <c r="AG89" i="110" s="1"/>
  <c r="AH89" i="110" s="1"/>
  <c r="AI89" i="110" s="1"/>
  <c r="AL89" i="110" s="1" a="1"/>
  <c r="AL89" i="110" s="1"/>
  <c r="AU89" i="110" a="1"/>
  <c r="AU89" i="110" s="1"/>
  <c r="Y85" i="110" l="1"/>
  <c r="S85" i="110" s="1"/>
  <c r="AD87" i="110"/>
  <c r="AB87" i="110"/>
  <c r="BO88" i="110"/>
  <c r="Z87" i="110"/>
  <c r="AC87" i="110"/>
  <c r="AA87" i="110" s="1"/>
  <c r="AM89" i="110" a="1"/>
  <c r="AM89" i="110" s="1"/>
  <c r="BM88" i="110"/>
  <c r="AK89" i="110" a="1"/>
  <c r="AK89" i="110" s="1"/>
  <c r="BF89" i="110" a="1"/>
  <c r="BF89" i="110" s="1"/>
  <c r="BW89" i="110" s="1"/>
  <c r="BI88" i="110"/>
  <c r="BJ88" i="110" s="1"/>
  <c r="I91" i="110"/>
  <c r="G91" i="110"/>
  <c r="O91" i="110" s="1"/>
  <c r="P91" i="110" s="1"/>
  <c r="BR88" i="110"/>
  <c r="BP88" i="110"/>
  <c r="BQ88" i="110" s="1"/>
  <c r="AB88" i="110" s="1"/>
  <c r="AV89" i="110" a="1"/>
  <c r="AV89" i="110" s="1"/>
  <c r="AP89" i="110" a="1"/>
  <c r="AP89" i="110" s="1"/>
  <c r="H91" i="110"/>
  <c r="E92" i="110" s="1"/>
  <c r="F92" i="110" s="1"/>
  <c r="M92" i="110" s="1"/>
  <c r="I92" i="110" s="1"/>
  <c r="AY89" i="110" a="1"/>
  <c r="AY89" i="110" s="1"/>
  <c r="AN89" i="110" a="1"/>
  <c r="AN89" i="110" s="1"/>
  <c r="BK89" i="110" s="1"/>
  <c r="AS89" i="110" a="1"/>
  <c r="AS89" i="110" s="1"/>
  <c r="BN89" i="110" s="1"/>
  <c r="BD89" i="110" a="1"/>
  <c r="BD89" i="110" s="1"/>
  <c r="BU89" i="110" s="1"/>
  <c r="AZ89" i="110" a="1"/>
  <c r="AZ89" i="110" s="1"/>
  <c r="BE89" i="110" a="1"/>
  <c r="BE89" i="110" s="1"/>
  <c r="BV89" i="110" s="1"/>
  <c r="BG89" i="110" a="1"/>
  <c r="BG89" i="110" s="1"/>
  <c r="AT89" i="110" a="1"/>
  <c r="AT89" i="110" s="1"/>
  <c r="BO89" i="110" s="1"/>
  <c r="BH89" i="110" a="1"/>
  <c r="BH89" i="110" s="1"/>
  <c r="AO89" i="110" a="1"/>
  <c r="AO89" i="110" s="1"/>
  <c r="BL89" i="110" s="1"/>
  <c r="AQ89" i="110" a="1"/>
  <c r="AQ89" i="110" s="1"/>
  <c r="P90" i="110"/>
  <c r="W90" i="110"/>
  <c r="N90" i="110"/>
  <c r="Q90" i="110"/>
  <c r="BB89" i="110" a="1"/>
  <c r="BB89" i="110" s="1"/>
  <c r="BS89" i="110" s="1"/>
  <c r="AX89" i="110" a="1"/>
  <c r="AX89" i="110" s="1"/>
  <c r="AR89" i="110" a="1"/>
  <c r="AR89" i="110" s="1"/>
  <c r="BC89" i="110" a="1"/>
  <c r="BC89" i="110" s="1"/>
  <c r="BT89" i="110" s="1"/>
  <c r="T87" i="110"/>
  <c r="AE87" i="110"/>
  <c r="Y87" i="110"/>
  <c r="S87" i="110" s="1"/>
  <c r="AJ89" i="110" a="1"/>
  <c r="AJ89" i="110" s="1"/>
  <c r="BA89" i="110" a="1"/>
  <c r="BA89" i="110" s="1"/>
  <c r="AD88" i="110" l="1"/>
  <c r="BP89" i="110"/>
  <c r="BQ89" i="110" s="1"/>
  <c r="N91" i="110"/>
  <c r="BI89" i="110"/>
  <c r="Q91" i="110"/>
  <c r="BR89" i="110"/>
  <c r="W91" i="110"/>
  <c r="V91" i="110" s="1"/>
  <c r="G92" i="110"/>
  <c r="O92" i="110" s="1"/>
  <c r="P92" i="110" s="1"/>
  <c r="AC88" i="110"/>
  <c r="AA88" i="110" s="1"/>
  <c r="Z88" i="110"/>
  <c r="BM89" i="110"/>
  <c r="H92" i="110"/>
  <c r="E93" i="110" s="1"/>
  <c r="F93" i="110" s="1"/>
  <c r="M93" i="110" s="1"/>
  <c r="BJ89" i="110"/>
  <c r="AF90" i="110"/>
  <c r="AG90" i="110" s="1"/>
  <c r="AH90" i="110" s="1"/>
  <c r="AI90" i="110" s="1"/>
  <c r="AM90" i="110" s="1" a="1"/>
  <c r="AM90" i="110" s="1"/>
  <c r="V90" i="110"/>
  <c r="AT90" i="110" a="1"/>
  <c r="AT90" i="110" s="1"/>
  <c r="AJ90" i="110" a="1"/>
  <c r="AJ90" i="110" s="1"/>
  <c r="BX89" i="110"/>
  <c r="Z89" i="110" l="1"/>
  <c r="AX90" i="110" a="1"/>
  <c r="AX90" i="110" s="1"/>
  <c r="AP90" i="110" a="1"/>
  <c r="AP90" i="110" s="1"/>
  <c r="BH90" i="110" a="1"/>
  <c r="BH90" i="110" s="1"/>
  <c r="BC90" i="110" a="1"/>
  <c r="BC90" i="110" s="1"/>
  <c r="BT90" i="110" s="1"/>
  <c r="AN90" i="110" a="1"/>
  <c r="AN90" i="110" s="1"/>
  <c r="BK90" i="110" s="1"/>
  <c r="BF90" i="110" a="1"/>
  <c r="BF90" i="110" s="1"/>
  <c r="BW90" i="110" s="1"/>
  <c r="AK90" i="110" a="1"/>
  <c r="AK90" i="110" s="1"/>
  <c r="AY90" i="110" a="1"/>
  <c r="AY90" i="110" s="1"/>
  <c r="AL90" i="110" a="1"/>
  <c r="AL90" i="110" s="1"/>
  <c r="AQ90" i="110" a="1"/>
  <c r="AQ90" i="110" s="1"/>
  <c r="AS90" i="110" a="1"/>
  <c r="AS90" i="110" s="1"/>
  <c r="BN90" i="110" s="1"/>
  <c r="BG90" i="110" a="1"/>
  <c r="BG90" i="110" s="1"/>
  <c r="AZ90" i="110" a="1"/>
  <c r="AZ90" i="110" s="1"/>
  <c r="AO90" i="110" a="1"/>
  <c r="AO90" i="110" s="1"/>
  <c r="BL90" i="110" s="1"/>
  <c r="AV90" i="110" a="1"/>
  <c r="AV90" i="110" s="1"/>
  <c r="BA90" i="110" a="1"/>
  <c r="BA90" i="110" s="1"/>
  <c r="AW90" i="110" a="1"/>
  <c r="AW90" i="110" s="1"/>
  <c r="BP90" i="110" s="1"/>
  <c r="BQ90" i="110" s="1"/>
  <c r="W92" i="110"/>
  <c r="AF92" i="110" s="1"/>
  <c r="AG92" i="110" s="1"/>
  <c r="AH92" i="110" s="1"/>
  <c r="AI92" i="110" s="1"/>
  <c r="AO92" i="110" s="1" a="1"/>
  <c r="AO92" i="110" s="1"/>
  <c r="BL92" i="110" s="1"/>
  <c r="N92" i="110"/>
  <c r="Q92" i="110"/>
  <c r="AO91" i="110" a="1"/>
  <c r="AO91" i="110" s="1"/>
  <c r="BL91" i="110" s="1"/>
  <c r="AV91" i="110" a="1"/>
  <c r="AV91" i="110" s="1"/>
  <c r="AF91" i="110"/>
  <c r="AG91" i="110" s="1"/>
  <c r="AH91" i="110" s="1"/>
  <c r="AI91" i="110" s="1"/>
  <c r="AW91" i="110" a="1"/>
  <c r="AW91" i="110" s="1"/>
  <c r="AY91" i="110" a="1"/>
  <c r="AY91" i="110" s="1"/>
  <c r="BA91" i="110" a="1"/>
  <c r="BA91" i="110" s="1"/>
  <c r="T88" i="110"/>
  <c r="Y88" i="110"/>
  <c r="S88" i="110" s="1"/>
  <c r="AE88" i="110"/>
  <c r="H93" i="110"/>
  <c r="E94" i="110" s="1"/>
  <c r="F94" i="110" s="1"/>
  <c r="G93" i="110"/>
  <c r="O93" i="110" s="1"/>
  <c r="Q93" i="110" s="1"/>
  <c r="AR90" i="110" a="1"/>
  <c r="AR90" i="110" s="1"/>
  <c r="BM90" i="110" s="1"/>
  <c r="BI90" i="110"/>
  <c r="BJ90" i="110" s="1"/>
  <c r="BB90" i="110" a="1"/>
  <c r="BB90" i="110" s="1"/>
  <c r="BS90" i="110" s="1"/>
  <c r="BD90" i="110" a="1"/>
  <c r="BD90" i="110" s="1"/>
  <c r="BU90" i="110" s="1"/>
  <c r="BE90" i="110" a="1"/>
  <c r="BE90" i="110" s="1"/>
  <c r="BV90" i="110" s="1"/>
  <c r="I93" i="110"/>
  <c r="T89" i="110"/>
  <c r="Y89" i="110"/>
  <c r="S89" i="110" s="1"/>
  <c r="AM91" i="110" a="1"/>
  <c r="AM91" i="110" s="1"/>
  <c r="AP91" i="110" a="1"/>
  <c r="AP91" i="110" s="1"/>
  <c r="BG91" i="110" a="1"/>
  <c r="BG91" i="110" s="1"/>
  <c r="AZ91" i="110" a="1"/>
  <c r="AZ91" i="110" s="1"/>
  <c r="BE91" i="110" a="1"/>
  <c r="BE91" i="110" s="1"/>
  <c r="BV91" i="110" s="1"/>
  <c r="AN91" i="110" a="1"/>
  <c r="AN91" i="110" s="1"/>
  <c r="BK91" i="110" s="1"/>
  <c r="AL91" i="110" a="1"/>
  <c r="AL91" i="110" s="1"/>
  <c r="AK91" i="110" a="1"/>
  <c r="AK91" i="110" s="1"/>
  <c r="BF91" i="110" a="1"/>
  <c r="BF91" i="110" s="1"/>
  <c r="BW91" i="110" s="1"/>
  <c r="BB91" i="110" a="1"/>
  <c r="BB91" i="110" s="1"/>
  <c r="BS91" i="110" s="1"/>
  <c r="N93" i="110"/>
  <c r="AJ91" i="110" a="1"/>
  <c r="AJ91" i="110" s="1"/>
  <c r="M94" i="110"/>
  <c r="H94" i="110" s="1"/>
  <c r="E95" i="110" s="1"/>
  <c r="F95" i="110" s="1"/>
  <c r="AS91" i="110" a="1"/>
  <c r="AS91" i="110" s="1"/>
  <c r="BN91" i="110" s="1"/>
  <c r="AU90" i="110" a="1"/>
  <c r="AU90" i="110" s="1"/>
  <c r="BO90" i="110" s="1"/>
  <c r="BD91" i="110" a="1"/>
  <c r="BD91" i="110" s="1"/>
  <c r="BU91" i="110" s="1"/>
  <c r="AC89" i="110"/>
  <c r="AA89" i="110" s="1"/>
  <c r="AB89" i="110"/>
  <c r="AE89" i="110" s="1"/>
  <c r="AD89" i="110"/>
  <c r="V92" i="110" l="1"/>
  <c r="BR90" i="110"/>
  <c r="BX90" i="110"/>
  <c r="W93" i="110"/>
  <c r="P93" i="110"/>
  <c r="AQ92" i="110" a="1"/>
  <c r="AQ92" i="110" s="1"/>
  <c r="BD92" i="110" a="1"/>
  <c r="BD92" i="110" s="1"/>
  <c r="BU92" i="110" s="1"/>
  <c r="BE92" i="110" a="1"/>
  <c r="BE92" i="110" s="1"/>
  <c r="BV92" i="110" s="1"/>
  <c r="AN92" i="110" a="1"/>
  <c r="AN92" i="110" s="1"/>
  <c r="BK92" i="110" s="1"/>
  <c r="BF92" i="110" a="1"/>
  <c r="BF92" i="110" s="1"/>
  <c r="BW92" i="110" s="1"/>
  <c r="BG92" i="110" a="1"/>
  <c r="BG92" i="110" s="1"/>
  <c r="AW92" i="110" a="1"/>
  <c r="AW92" i="110" s="1"/>
  <c r="AX92" i="110" a="1"/>
  <c r="AX92" i="110" s="1"/>
  <c r="AX91" i="110" a="1"/>
  <c r="AX91" i="110" s="1"/>
  <c r="BP91" i="110" s="1"/>
  <c r="BQ91" i="110" s="1"/>
  <c r="BC91" i="110" a="1"/>
  <c r="BC91" i="110" s="1"/>
  <c r="BT91" i="110" s="1"/>
  <c r="AR91" i="110" a="1"/>
  <c r="AR91" i="110" s="1"/>
  <c r="AU91" i="110" a="1"/>
  <c r="AU91" i="110" s="1"/>
  <c r="AT91" i="110" a="1"/>
  <c r="AT91" i="110" s="1"/>
  <c r="AQ91" i="110" a="1"/>
  <c r="AQ91" i="110" s="1"/>
  <c r="BH91" i="110" a="1"/>
  <c r="BH91" i="110" s="1"/>
  <c r="BX91" i="110" s="1"/>
  <c r="AP92" i="110" a="1"/>
  <c r="AP92" i="110" s="1"/>
  <c r="BR91" i="110"/>
  <c r="BA92" i="110" a="1"/>
  <c r="BA92" i="110" s="1"/>
  <c r="AR92" i="110" a="1"/>
  <c r="AR92" i="110" s="1"/>
  <c r="AY92" i="110" a="1"/>
  <c r="AY92" i="110" s="1"/>
  <c r="AU92" i="110" a="1"/>
  <c r="AU92" i="110" s="1"/>
  <c r="AV92" i="110" a="1"/>
  <c r="AV92" i="110" s="1"/>
  <c r="BP92" i="110" s="1"/>
  <c r="AL92" i="110" a="1"/>
  <c r="AL92" i="110" s="1"/>
  <c r="BI91" i="110"/>
  <c r="M95" i="110"/>
  <c r="G95" i="110" s="1"/>
  <c r="O95" i="110" s="1"/>
  <c r="Z90" i="110"/>
  <c r="AC90" i="110"/>
  <c r="AA90" i="110" s="1"/>
  <c r="AM92" i="110" a="1"/>
  <c r="AM92" i="110" s="1"/>
  <c r="G94" i="110"/>
  <c r="O94" i="110" s="1"/>
  <c r="I94" i="110"/>
  <c r="BC92" i="110" a="1"/>
  <c r="BC92" i="110" s="1"/>
  <c r="BT92" i="110" s="1"/>
  <c r="V93" i="110"/>
  <c r="AF93" i="110"/>
  <c r="AG93" i="110" s="1"/>
  <c r="AH93" i="110" s="1"/>
  <c r="AI93" i="110" s="1"/>
  <c r="BE93" i="110" s="1" a="1"/>
  <c r="BE93" i="110" s="1"/>
  <c r="BV93" i="110" s="1"/>
  <c r="AZ92" i="110" a="1"/>
  <c r="AZ92" i="110" s="1"/>
  <c r="BR92" i="110" s="1"/>
  <c r="AT92" i="110" a="1"/>
  <c r="AT92" i="110" s="1"/>
  <c r="AJ92" i="110" a="1"/>
  <c r="AJ92" i="110" s="1"/>
  <c r="AS92" i="110" a="1"/>
  <c r="AS92" i="110" s="1"/>
  <c r="BN92" i="110" s="1"/>
  <c r="BH92" i="110" a="1"/>
  <c r="BH92" i="110" s="1"/>
  <c r="BX92" i="110" s="1"/>
  <c r="AK92" i="110" a="1"/>
  <c r="AK92" i="110" s="1"/>
  <c r="BB92" i="110" a="1"/>
  <c r="BB92" i="110" s="1"/>
  <c r="BS92" i="110" s="1"/>
  <c r="AD90" i="110"/>
  <c r="AB90" i="110"/>
  <c r="BO91" i="110" l="1"/>
  <c r="BM92" i="110"/>
  <c r="AQ93" i="110" a="1"/>
  <c r="AQ93" i="110" s="1"/>
  <c r="BM91" i="110"/>
  <c r="AC91" i="110" s="1"/>
  <c r="AA91" i="110" s="1"/>
  <c r="BB93" i="110" a="1"/>
  <c r="BB93" i="110" s="1"/>
  <c r="BS93" i="110" s="1"/>
  <c r="BO92" i="110"/>
  <c r="BQ92" i="110"/>
  <c r="H95" i="110"/>
  <c r="E96" i="110" s="1"/>
  <c r="F96" i="110" s="1"/>
  <c r="I95" i="110"/>
  <c r="BJ91" i="110"/>
  <c r="AB91" i="110" s="1"/>
  <c r="P95" i="110"/>
  <c r="N95" i="110"/>
  <c r="W95" i="110"/>
  <c r="Q95" i="110"/>
  <c r="AR93" i="110" a="1"/>
  <c r="AR93" i="110" s="1"/>
  <c r="AL93" i="110" a="1"/>
  <c r="AL93" i="110" s="1"/>
  <c r="BG93" i="110" a="1"/>
  <c r="BG93" i="110" s="1"/>
  <c r="AX93" i="110" a="1"/>
  <c r="AX93" i="110" s="1"/>
  <c r="BA93" i="110" a="1"/>
  <c r="BA93" i="110" s="1"/>
  <c r="BF93" i="110" a="1"/>
  <c r="BF93" i="110" s="1"/>
  <c r="BW93" i="110" s="1"/>
  <c r="AM93" i="110" a="1"/>
  <c r="AM93" i="110" s="1"/>
  <c r="AS93" i="110" a="1"/>
  <c r="AS93" i="110" s="1"/>
  <c r="BN93" i="110" s="1"/>
  <c r="AJ93" i="110" a="1"/>
  <c r="AJ93" i="110" s="1"/>
  <c r="AO93" i="110" a="1"/>
  <c r="AO93" i="110" s="1"/>
  <c r="BL93" i="110" s="1"/>
  <c r="BC93" i="110" a="1"/>
  <c r="BC93" i="110" s="1"/>
  <c r="BT93" i="110" s="1"/>
  <c r="AP93" i="110" a="1"/>
  <c r="AP93" i="110" s="1"/>
  <c r="AY93" i="110" a="1"/>
  <c r="AY93" i="110" s="1"/>
  <c r="P94" i="110"/>
  <c r="N94" i="110"/>
  <c r="W94" i="110"/>
  <c r="Q94" i="110"/>
  <c r="AT93" i="110" a="1"/>
  <c r="AT93" i="110" s="1"/>
  <c r="BD93" i="110" a="1"/>
  <c r="BD93" i="110" s="1"/>
  <c r="BU93" i="110" s="1"/>
  <c r="AZ93" i="110" a="1"/>
  <c r="AZ93" i="110" s="1"/>
  <c r="T90" i="110"/>
  <c r="Y90" i="110"/>
  <c r="S90" i="110" s="1"/>
  <c r="AE90" i="110"/>
  <c r="AV93" i="110" a="1"/>
  <c r="AV93" i="110" s="1"/>
  <c r="BI92" i="110"/>
  <c r="BH93" i="110" a="1"/>
  <c r="BH93" i="110" s="1"/>
  <c r="BX93" i="110" s="1"/>
  <c r="M96" i="110"/>
  <c r="H96" i="110" s="1"/>
  <c r="E97" i="110" s="1"/>
  <c r="F97" i="110" s="1"/>
  <c r="AU93" i="110" a="1"/>
  <c r="AU93" i="110" s="1"/>
  <c r="AK93" i="110" a="1"/>
  <c r="AK93" i="110" s="1"/>
  <c r="AW93" i="110" a="1"/>
  <c r="AW93" i="110" s="1"/>
  <c r="AN93" i="110" a="1"/>
  <c r="AN93" i="110" s="1"/>
  <c r="BK93" i="110" s="1"/>
  <c r="Z91" i="110" l="1"/>
  <c r="AD91" i="110"/>
  <c r="BM93" i="110"/>
  <c r="BR93" i="110"/>
  <c r="I96" i="110"/>
  <c r="G96" i="110"/>
  <c r="O96" i="110" s="1"/>
  <c r="P96" i="110" s="1"/>
  <c r="M97" i="110"/>
  <c r="H97" i="110" s="1"/>
  <c r="E98" i="110" s="1"/>
  <c r="F98" i="110" s="1"/>
  <c r="BO93" i="110"/>
  <c r="AF94" i="110"/>
  <c r="AG94" i="110" s="1"/>
  <c r="AH94" i="110" s="1"/>
  <c r="AI94" i="110" s="1"/>
  <c r="BD94" i="110" s="1" a="1"/>
  <c r="BD94" i="110" s="1"/>
  <c r="BU94" i="110" s="1"/>
  <c r="V94" i="110"/>
  <c r="AP94" i="110" a="1"/>
  <c r="AP94" i="110" s="1"/>
  <c r="BE94" i="110" a="1"/>
  <c r="BE94" i="110" s="1"/>
  <c r="BV94" i="110" s="1"/>
  <c r="AS94" i="110" a="1"/>
  <c r="AS94" i="110" s="1"/>
  <c r="BN94" i="110" s="1"/>
  <c r="BB94" i="110" a="1"/>
  <c r="BB94" i="110" s="1"/>
  <c r="BS94" i="110" s="1"/>
  <c r="BC94" i="110" a="1"/>
  <c r="BC94" i="110" s="1"/>
  <c r="BT94" i="110" s="1"/>
  <c r="AX94" i="110" a="1"/>
  <c r="AX94" i="110" s="1"/>
  <c r="BA94" i="110" a="1"/>
  <c r="BA94" i="110" s="1"/>
  <c r="AN94" i="110" a="1"/>
  <c r="AN94" i="110" s="1"/>
  <c r="BK94" i="110" s="1"/>
  <c r="AM94" i="110" a="1"/>
  <c r="AM94" i="110" s="1"/>
  <c r="V95" i="110"/>
  <c r="BD95" i="110" a="1"/>
  <c r="BD95" i="110" s="1"/>
  <c r="BU95" i="110" s="1"/>
  <c r="BG95" i="110" a="1"/>
  <c r="BG95" i="110" s="1"/>
  <c r="AF95" i="110"/>
  <c r="AG95" i="110" s="1"/>
  <c r="AH95" i="110" s="1"/>
  <c r="AI95" i="110" s="1"/>
  <c r="AJ95" i="110" s="1" a="1"/>
  <c r="AJ95" i="110" s="1"/>
  <c r="Z92" i="110"/>
  <c r="AC92" i="110"/>
  <c r="AA92" i="110" s="1"/>
  <c r="BJ92" i="110"/>
  <c r="BI93" i="110"/>
  <c r="BP93" i="110"/>
  <c r="BQ93" i="110" s="1"/>
  <c r="AY94" i="110" l="1" a="1"/>
  <c r="AY94" i="110" s="1"/>
  <c r="BH94" i="110" a="1"/>
  <c r="BH94" i="110" s="1"/>
  <c r="AQ94" i="110" a="1"/>
  <c r="AQ94" i="110" s="1"/>
  <c r="AZ94" i="110" a="1"/>
  <c r="AZ94" i="110" s="1"/>
  <c r="BR94" i="110" s="1"/>
  <c r="BF94" i="110" a="1"/>
  <c r="BF94" i="110" s="1"/>
  <c r="BW94" i="110" s="1"/>
  <c r="AR94" i="110" a="1"/>
  <c r="AR94" i="110" s="1"/>
  <c r="AJ94" i="110" a="1"/>
  <c r="AJ94" i="110" s="1"/>
  <c r="AV94" i="110" a="1"/>
  <c r="AV94" i="110" s="1"/>
  <c r="BG94" i="110" a="1"/>
  <c r="BG94" i="110" s="1"/>
  <c r="AL94" i="110" a="1"/>
  <c r="AL94" i="110" s="1"/>
  <c r="AW94" i="110" a="1"/>
  <c r="AW94" i="110" s="1"/>
  <c r="AO94" i="110" a="1"/>
  <c r="AO94" i="110" s="1"/>
  <c r="BL94" i="110" s="1"/>
  <c r="AU94" i="110" a="1"/>
  <c r="AU94" i="110" s="1"/>
  <c r="AT94" i="110" a="1"/>
  <c r="AT94" i="110" s="1"/>
  <c r="AK94" i="110" a="1"/>
  <c r="AK94" i="110" s="1"/>
  <c r="T91" i="110"/>
  <c r="Y91" i="110"/>
  <c r="S91" i="110" s="1"/>
  <c r="AE91" i="110"/>
  <c r="W96" i="110"/>
  <c r="AF96" i="110" s="1"/>
  <c r="AG96" i="110" s="1"/>
  <c r="AH96" i="110" s="1"/>
  <c r="AI96" i="110" s="1"/>
  <c r="BG96" i="110" s="1" a="1"/>
  <c r="BG96" i="110" s="1"/>
  <c r="N96" i="110"/>
  <c r="Q96" i="110"/>
  <c r="AX95" i="110" a="1"/>
  <c r="AX95" i="110" s="1"/>
  <c r="AZ95" i="110" a="1"/>
  <c r="AZ95" i="110" s="1"/>
  <c r="AK95" i="110" a="1"/>
  <c r="AK95" i="110" s="1"/>
  <c r="BH95" i="110" a="1"/>
  <c r="BH95" i="110" s="1"/>
  <c r="BX95" i="110" s="1"/>
  <c r="AN95" i="110" a="1"/>
  <c r="AN95" i="110" s="1"/>
  <c r="BK95" i="110" s="1"/>
  <c r="BB95" i="110" a="1"/>
  <c r="BB95" i="110" s="1"/>
  <c r="BS95" i="110" s="1"/>
  <c r="AO95" i="110" a="1"/>
  <c r="AO95" i="110" s="1"/>
  <c r="BL95" i="110" s="1"/>
  <c r="BE95" i="110" a="1"/>
  <c r="BE95" i="110" s="1"/>
  <c r="BV95" i="110" s="1"/>
  <c r="AQ95" i="110" a="1"/>
  <c r="AQ95" i="110" s="1"/>
  <c r="AR95" i="110" a="1"/>
  <c r="AR95" i="110" s="1"/>
  <c r="BF95" i="110" a="1"/>
  <c r="BF95" i="110" s="1"/>
  <c r="BW95" i="110" s="1"/>
  <c r="AY95" i="110" a="1"/>
  <c r="AY95" i="110" s="1"/>
  <c r="AL95" i="110" a="1"/>
  <c r="AL95" i="110" s="1"/>
  <c r="AM95" i="110" a="1"/>
  <c r="AM95" i="110" s="1"/>
  <c r="I97" i="110"/>
  <c r="AW95" i="110" a="1"/>
  <c r="AW95" i="110" s="1"/>
  <c r="BP94" i="110"/>
  <c r="BQ94" i="110" s="1"/>
  <c r="M98" i="110"/>
  <c r="I98" i="110" s="1"/>
  <c r="AC93" i="110"/>
  <c r="AA93" i="110" s="1"/>
  <c r="Z93" i="110"/>
  <c r="BJ93" i="110"/>
  <c r="AD92" i="110"/>
  <c r="AB92" i="110"/>
  <c r="AE92" i="110" s="1"/>
  <c r="AU95" i="110" a="1"/>
  <c r="AU95" i="110" s="1"/>
  <c r="AT95" i="110" a="1"/>
  <c r="AT95" i="110" s="1"/>
  <c r="T92" i="110"/>
  <c r="Y92" i="110"/>
  <c r="S92" i="110" s="1"/>
  <c r="AS95" i="110" a="1"/>
  <c r="AS95" i="110" s="1"/>
  <c r="BN95" i="110" s="1"/>
  <c r="BC95" i="110" a="1"/>
  <c r="BC95" i="110" s="1"/>
  <c r="BT95" i="110" s="1"/>
  <c r="AV95" i="110" a="1"/>
  <c r="AV95" i="110" s="1"/>
  <c r="AP95" i="110" a="1"/>
  <c r="AP95" i="110" s="1"/>
  <c r="BA95" i="110" a="1"/>
  <c r="BA95" i="110" s="1"/>
  <c r="BR95" i="110" s="1"/>
  <c r="G97" i="110"/>
  <c r="O97" i="110" s="1"/>
  <c r="V96" i="110" l="1"/>
  <c r="BM94" i="110"/>
  <c r="BI94" i="110"/>
  <c r="BJ94" i="110" s="1"/>
  <c r="BX94" i="110"/>
  <c r="BO94" i="110"/>
  <c r="AL96" i="110" a="1"/>
  <c r="AL96" i="110" s="1"/>
  <c r="AZ96" i="110" a="1"/>
  <c r="AZ96" i="110" s="1"/>
  <c r="AS96" i="110" a="1"/>
  <c r="AS96" i="110" s="1"/>
  <c r="BN96" i="110" s="1"/>
  <c r="BI95" i="110"/>
  <c r="BM95" i="110"/>
  <c r="BP95" i="110"/>
  <c r="BQ95" i="110" s="1"/>
  <c r="AV96" i="110" a="1"/>
  <c r="AV96" i="110" s="1"/>
  <c r="AR96" i="110" a="1"/>
  <c r="AR96" i="110" s="1"/>
  <c r="BC96" i="110" a="1"/>
  <c r="BC96" i="110" s="1"/>
  <c r="BT96" i="110" s="1"/>
  <c r="AY96" i="110" a="1"/>
  <c r="AY96" i="110" s="1"/>
  <c r="AP96" i="110" a="1"/>
  <c r="AP96" i="110" s="1"/>
  <c r="BA96" i="110" a="1"/>
  <c r="BA96" i="110" s="1"/>
  <c r="BB96" i="110" a="1"/>
  <c r="BB96" i="110" s="1"/>
  <c r="BS96" i="110" s="1"/>
  <c r="AJ96" i="110" a="1"/>
  <c r="AJ96" i="110" s="1"/>
  <c r="AQ96" i="110" a="1"/>
  <c r="AQ96" i="110" s="1"/>
  <c r="Z94" i="110"/>
  <c r="T94" i="110" s="1"/>
  <c r="AC94" i="110"/>
  <c r="AA94" i="110" s="1"/>
  <c r="AT96" i="110" a="1"/>
  <c r="AT96" i="110" s="1"/>
  <c r="AM96" i="110" a="1"/>
  <c r="AM96" i="110" s="1"/>
  <c r="AK96" i="110" a="1"/>
  <c r="AK96" i="110" s="1"/>
  <c r="AX96" i="110" a="1"/>
  <c r="AX96" i="110" s="1"/>
  <c r="AN96" i="110" a="1"/>
  <c r="AN96" i="110" s="1"/>
  <c r="BK96" i="110" s="1"/>
  <c r="BJ95" i="110"/>
  <c r="AB95" i="110" s="1"/>
  <c r="BD96" i="110" a="1"/>
  <c r="BD96" i="110" s="1"/>
  <c r="BU96" i="110" s="1"/>
  <c r="AU96" i="110" a="1"/>
  <c r="AU96" i="110" s="1"/>
  <c r="AW96" i="110" a="1"/>
  <c r="AW96" i="110" s="1"/>
  <c r="AO96" i="110" a="1"/>
  <c r="AO96" i="110" s="1"/>
  <c r="BL96" i="110" s="1"/>
  <c r="BF96" i="110" a="1"/>
  <c r="BF96" i="110" s="1"/>
  <c r="BW96" i="110" s="1"/>
  <c r="BH96" i="110" a="1"/>
  <c r="BH96" i="110" s="1"/>
  <c r="BX96" i="110" s="1"/>
  <c r="BE96" i="110" a="1"/>
  <c r="BE96" i="110" s="1"/>
  <c r="BV96" i="110" s="1"/>
  <c r="AB93" i="110"/>
  <c r="AE93" i="110" s="1"/>
  <c r="AD93" i="110"/>
  <c r="P97" i="110"/>
  <c r="N97" i="110"/>
  <c r="Q97" i="110"/>
  <c r="W97" i="110"/>
  <c r="T93" i="110"/>
  <c r="Y93" i="110"/>
  <c r="S93" i="110" s="1"/>
  <c r="G98" i="110"/>
  <c r="O98" i="110" s="1"/>
  <c r="H98" i="110"/>
  <c r="E99" i="110" s="1"/>
  <c r="F99" i="110" s="1"/>
  <c r="AD94" i="110"/>
  <c r="AB94" i="110"/>
  <c r="BO95" i="110"/>
  <c r="AC95" i="110" s="1"/>
  <c r="AA95" i="110" s="1"/>
  <c r="AE94" i="110" l="1"/>
  <c r="AD95" i="110"/>
  <c r="Y94" i="110"/>
  <c r="S94" i="110" s="1"/>
  <c r="BR96" i="110"/>
  <c r="BM96" i="110"/>
  <c r="BI96" i="110"/>
  <c r="BJ96" i="110" s="1"/>
  <c r="BP96" i="110"/>
  <c r="BQ96" i="110" s="1"/>
  <c r="BO96" i="110"/>
  <c r="Z95" i="110"/>
  <c r="T95" i="110" s="1"/>
  <c r="M99" i="110"/>
  <c r="I99" i="110" s="1"/>
  <c r="P98" i="110"/>
  <c r="W98" i="110"/>
  <c r="N98" i="110"/>
  <c r="Q98" i="110"/>
  <c r="V97" i="110"/>
  <c r="AF97" i="110"/>
  <c r="AG97" i="110" s="1"/>
  <c r="AH97" i="110" s="1"/>
  <c r="AI97" i="110" s="1"/>
  <c r="AO97" i="110" s="1" a="1"/>
  <c r="AO97" i="110" s="1"/>
  <c r="BL97" i="110" s="1"/>
  <c r="Z96" i="110" l="1"/>
  <c r="T96" i="110" s="1"/>
  <c r="AC96" i="110"/>
  <c r="AA96" i="110" s="1"/>
  <c r="Y95" i="110"/>
  <c r="S95" i="110" s="1"/>
  <c r="AE95" i="110"/>
  <c r="AD96" i="110"/>
  <c r="AB96" i="110"/>
  <c r="AE96" i="110" s="1"/>
  <c r="BG97" i="110" a="1"/>
  <c r="BG97" i="110" s="1"/>
  <c r="AV97" i="110" a="1"/>
  <c r="AV97" i="110" s="1"/>
  <c r="AW97" i="110" a="1"/>
  <c r="AW97" i="110" s="1"/>
  <c r="BH97" i="110" a="1"/>
  <c r="BH97" i="110" s="1"/>
  <c r="AR97" i="110" a="1"/>
  <c r="AR97" i="110" s="1"/>
  <c r="AM97" i="110" a="1"/>
  <c r="AM97" i="110" s="1"/>
  <c r="AQ97" i="110" a="1"/>
  <c r="AQ97" i="110" s="1"/>
  <c r="AY97" i="110" a="1"/>
  <c r="AY97" i="110" s="1"/>
  <c r="AJ97" i="110" a="1"/>
  <c r="AJ97" i="110" s="1"/>
  <c r="BA97" i="110" a="1"/>
  <c r="BA97" i="110" s="1"/>
  <c r="AP97" i="110" a="1"/>
  <c r="AP97" i="110" s="1"/>
  <c r="AS97" i="110" a="1"/>
  <c r="AS97" i="110" s="1"/>
  <c r="BN97" i="110" s="1"/>
  <c r="BD97" i="110" a="1"/>
  <c r="BD97" i="110" s="1"/>
  <c r="BU97" i="110" s="1"/>
  <c r="AU97" i="110" a="1"/>
  <c r="AU97" i="110" s="1"/>
  <c r="AN97" i="110" a="1"/>
  <c r="AN97" i="110" s="1"/>
  <c r="BK97" i="110" s="1"/>
  <c r="BC97" i="110" a="1"/>
  <c r="BC97" i="110" s="1"/>
  <c r="BT97" i="110" s="1"/>
  <c r="AF98" i="110"/>
  <c r="AG98" i="110" s="1"/>
  <c r="AH98" i="110" s="1"/>
  <c r="AI98" i="110" s="1"/>
  <c r="BE98" i="110" s="1" a="1"/>
  <c r="BE98" i="110" s="1"/>
  <c r="BV98" i="110" s="1"/>
  <c r="V98" i="110"/>
  <c r="AZ97" i="110" a="1"/>
  <c r="AZ97" i="110" s="1"/>
  <c r="AT97" i="110" a="1"/>
  <c r="AT97" i="110" s="1"/>
  <c r="BO97" i="110" s="1"/>
  <c r="AK97" i="110" a="1"/>
  <c r="AK97" i="110" s="1"/>
  <c r="BF97" i="110" a="1"/>
  <c r="BF97" i="110" s="1"/>
  <c r="BW97" i="110" s="1"/>
  <c r="H99" i="110"/>
  <c r="E100" i="110" s="1"/>
  <c r="F100" i="110" s="1"/>
  <c r="AL97" i="110" a="1"/>
  <c r="AL97" i="110" s="1"/>
  <c r="BB97" i="110" a="1"/>
  <c r="BB97" i="110" s="1"/>
  <c r="BS97" i="110" s="1"/>
  <c r="BE97" i="110" a="1"/>
  <c r="BE97" i="110" s="1"/>
  <c r="BV97" i="110" s="1"/>
  <c r="G99" i="110"/>
  <c r="O99" i="110" s="1"/>
  <c r="AX97" i="110" a="1"/>
  <c r="AX97" i="110" s="1"/>
  <c r="Y96" i="110" l="1"/>
  <c r="S96" i="110" s="1"/>
  <c r="AK98" i="110" a="1"/>
  <c r="AK98" i="110" s="1"/>
  <c r="BA98" i="110" a="1"/>
  <c r="BA98" i="110" s="1"/>
  <c r="AJ98" i="110" a="1"/>
  <c r="AJ98" i="110" s="1"/>
  <c r="AY98" i="110" a="1"/>
  <c r="AY98" i="110" s="1"/>
  <c r="AZ98" i="110" a="1"/>
  <c r="AZ98" i="110" s="1"/>
  <c r="AN98" i="110" a="1"/>
  <c r="AN98" i="110" s="1"/>
  <c r="BK98" i="110" s="1"/>
  <c r="AR98" i="110" a="1"/>
  <c r="AR98" i="110" s="1"/>
  <c r="BG98" i="110" a="1"/>
  <c r="BG98" i="110" s="1"/>
  <c r="BH98" i="110" a="1"/>
  <c r="BH98" i="110" s="1"/>
  <c r="AV98" i="110" a="1"/>
  <c r="AV98" i="110" s="1"/>
  <c r="AP98" i="110" a="1"/>
  <c r="AP98" i="110" s="1"/>
  <c r="AX98" i="110" a="1"/>
  <c r="AX98" i="110" s="1"/>
  <c r="AQ98" i="110" a="1"/>
  <c r="AQ98" i="110" s="1"/>
  <c r="BB98" i="110" a="1"/>
  <c r="BB98" i="110" s="1"/>
  <c r="BS98" i="110" s="1"/>
  <c r="AO98" i="110" a="1"/>
  <c r="AO98" i="110" s="1"/>
  <c r="BL98" i="110" s="1"/>
  <c r="AL98" i="110" a="1"/>
  <c r="AL98" i="110" s="1"/>
  <c r="P99" i="110"/>
  <c r="Q99" i="110"/>
  <c r="W99" i="110"/>
  <c r="N99" i="110"/>
  <c r="BF98" i="110" a="1"/>
  <c r="BF98" i="110" s="1"/>
  <c r="BW98" i="110" s="1"/>
  <c r="BM97" i="110"/>
  <c r="AT98" i="110" a="1"/>
  <c r="AT98" i="110" s="1"/>
  <c r="BR97" i="110"/>
  <c r="AW98" i="110" a="1"/>
  <c r="AW98" i="110" s="1"/>
  <c r="BP98" i="110" s="1"/>
  <c r="BQ98" i="110" s="1"/>
  <c r="BI97" i="110"/>
  <c r="M100" i="110"/>
  <c r="G100" i="110" s="1"/>
  <c r="O100" i="110" s="1"/>
  <c r="AU98" i="110" a="1"/>
  <c r="AU98" i="110" s="1"/>
  <c r="BC98" i="110" a="1"/>
  <c r="BC98" i="110" s="1"/>
  <c r="BT98" i="110" s="1"/>
  <c r="AM98" i="110" a="1"/>
  <c r="AM98" i="110" s="1"/>
  <c r="BX97" i="110"/>
  <c r="BD98" i="110" a="1"/>
  <c r="BD98" i="110" s="1"/>
  <c r="BU98" i="110" s="1"/>
  <c r="AS98" i="110" a="1"/>
  <c r="AS98" i="110" s="1"/>
  <c r="BN98" i="110" s="1"/>
  <c r="BP97" i="110"/>
  <c r="BQ97" i="110" s="1"/>
  <c r="BX98" i="110" l="1"/>
  <c r="BR98" i="110"/>
  <c r="BI98" i="110"/>
  <c r="BM98" i="110"/>
  <c r="H100" i="110"/>
  <c r="E101" i="110" s="1"/>
  <c r="F101" i="110" s="1"/>
  <c r="M101" i="110" s="1"/>
  <c r="H101" i="110" s="1"/>
  <c r="E102" i="110" s="1"/>
  <c r="F102" i="110" s="1"/>
  <c r="BO98" i="110"/>
  <c r="Z98" i="110" s="1"/>
  <c r="I100" i="110"/>
  <c r="P100" i="110"/>
  <c r="Q100" i="110"/>
  <c r="W100" i="110"/>
  <c r="N100" i="110"/>
  <c r="BJ98" i="110"/>
  <c r="V99" i="110"/>
  <c r="AW99" i="110" a="1"/>
  <c r="AW99" i="110" s="1"/>
  <c r="AF99" i="110"/>
  <c r="AG99" i="110" s="1"/>
  <c r="AH99" i="110" s="1"/>
  <c r="AI99" i="110" s="1"/>
  <c r="BG99" i="110" s="1" a="1"/>
  <c r="BG99" i="110" s="1"/>
  <c r="AU99" i="110" a="1"/>
  <c r="AU99" i="110" s="1"/>
  <c r="BD99" i="110" a="1"/>
  <c r="BD99" i="110" s="1"/>
  <c r="BU99" i="110" s="1"/>
  <c r="AO99" i="110" a="1"/>
  <c r="AO99" i="110" s="1"/>
  <c r="BL99" i="110" s="1"/>
  <c r="Z97" i="110"/>
  <c r="BJ97" i="110"/>
  <c r="AC97" i="110"/>
  <c r="AA97" i="110" s="1"/>
  <c r="AC98" i="110" l="1"/>
  <c r="AA98" i="110" s="1"/>
  <c r="BE99" i="110" a="1"/>
  <c r="BE99" i="110" s="1"/>
  <c r="BV99" i="110" s="1"/>
  <c r="BH99" i="110" a="1"/>
  <c r="BH99" i="110" s="1"/>
  <c r="BX99" i="110" s="1"/>
  <c r="AL99" i="110" a="1"/>
  <c r="AL99" i="110" s="1"/>
  <c r="AN99" i="110" a="1"/>
  <c r="AN99" i="110" s="1"/>
  <c r="BK99" i="110" s="1"/>
  <c r="AS99" i="110" a="1"/>
  <c r="AS99" i="110" s="1"/>
  <c r="BN99" i="110" s="1"/>
  <c r="AT99" i="110" a="1"/>
  <c r="AT99" i="110" s="1"/>
  <c r="BO99" i="110" s="1"/>
  <c r="AJ99" i="110" a="1"/>
  <c r="AJ99" i="110" s="1"/>
  <c r="AZ99" i="110" a="1"/>
  <c r="AZ99" i="110" s="1"/>
  <c r="AM99" i="110" a="1"/>
  <c r="AM99" i="110" s="1"/>
  <c r="BF99" i="110" a="1"/>
  <c r="BF99" i="110" s="1"/>
  <c r="BW99" i="110" s="1"/>
  <c r="AK99" i="110" a="1"/>
  <c r="AK99" i="110" s="1"/>
  <c r="BA99" i="110" a="1"/>
  <c r="BA99" i="110" s="1"/>
  <c r="BB99" i="110" a="1"/>
  <c r="BB99" i="110" s="1"/>
  <c r="BS99" i="110" s="1"/>
  <c r="AQ99" i="110" a="1"/>
  <c r="AQ99" i="110" s="1"/>
  <c r="AR99" i="110" a="1"/>
  <c r="AR99" i="110" s="1"/>
  <c r="BC99" i="110" a="1"/>
  <c r="BC99" i="110" s="1"/>
  <c r="BT99" i="110" s="1"/>
  <c r="AY99" i="110" a="1"/>
  <c r="AY99" i="110" s="1"/>
  <c r="AV99" i="110" a="1"/>
  <c r="AV99" i="110" s="1"/>
  <c r="AX99" i="110" a="1"/>
  <c r="AX99" i="110" s="1"/>
  <c r="AP99" i="110" a="1"/>
  <c r="AP99" i="110" s="1"/>
  <c r="M102" i="110"/>
  <c r="I102" i="110" s="1"/>
  <c r="I101" i="110"/>
  <c r="AD98" i="110"/>
  <c r="AB98" i="110"/>
  <c r="AE98" i="110" s="1"/>
  <c r="T98" i="110"/>
  <c r="Y98" i="110"/>
  <c r="S98" i="110" s="1"/>
  <c r="AD97" i="110"/>
  <c r="AB97" i="110"/>
  <c r="AE97" i="110" s="1"/>
  <c r="V100" i="110"/>
  <c r="AX100" i="110" a="1"/>
  <c r="AX100" i="110" s="1"/>
  <c r="AF100" i="110"/>
  <c r="AG100" i="110" s="1"/>
  <c r="AH100" i="110" s="1"/>
  <c r="AI100" i="110" s="1"/>
  <c r="AP100" i="110" s="1" a="1"/>
  <c r="AP100" i="110" s="1"/>
  <c r="T97" i="110"/>
  <c r="Y97" i="110"/>
  <c r="S97" i="110" s="1"/>
  <c r="G101" i="110"/>
  <c r="O101" i="110" s="1"/>
  <c r="H102" i="110" l="1"/>
  <c r="E103" i="110" s="1"/>
  <c r="F103" i="110" s="1"/>
  <c r="AU100" i="110" a="1"/>
  <c r="AU100" i="110" s="1"/>
  <c r="BR99" i="110"/>
  <c r="AL100" i="110" a="1"/>
  <c r="AL100" i="110" s="1"/>
  <c r="BI99" i="110"/>
  <c r="BJ99" i="110" s="1"/>
  <c r="AR100" i="110" a="1"/>
  <c r="AR100" i="110" s="1"/>
  <c r="BF100" i="110" a="1"/>
  <c r="BF100" i="110" s="1"/>
  <c r="BW100" i="110" s="1"/>
  <c r="AT100" i="110" a="1"/>
  <c r="AT100" i="110" s="1"/>
  <c r="G102" i="110"/>
  <c r="O102" i="110" s="1"/>
  <c r="Q102" i="110" s="1"/>
  <c r="BD100" i="110" a="1"/>
  <c r="BD100" i="110" s="1"/>
  <c r="BU100" i="110" s="1"/>
  <c r="AZ100" i="110" a="1"/>
  <c r="AZ100" i="110" s="1"/>
  <c r="BP99" i="110"/>
  <c r="BQ99" i="110" s="1"/>
  <c r="AV100" i="110" a="1"/>
  <c r="AV100" i="110" s="1"/>
  <c r="AO100" i="110" a="1"/>
  <c r="AO100" i="110" s="1"/>
  <c r="BL100" i="110" s="1"/>
  <c r="BM99" i="110"/>
  <c r="AM100" i="110" a="1"/>
  <c r="AM100" i="110" s="1"/>
  <c r="AQ100" i="110" a="1"/>
  <c r="AQ100" i="110" s="1"/>
  <c r="BC100" i="110" a="1"/>
  <c r="BC100" i="110" s="1"/>
  <c r="BT100" i="110" s="1"/>
  <c r="BH100" i="110" a="1"/>
  <c r="BH100" i="110" s="1"/>
  <c r="BE100" i="110" a="1"/>
  <c r="BE100" i="110" s="1"/>
  <c r="BV100" i="110" s="1"/>
  <c r="AW100" i="110" a="1"/>
  <c r="AW100" i="110" s="1"/>
  <c r="AJ100" i="110" a="1"/>
  <c r="AJ100" i="110" s="1"/>
  <c r="AY100" i="110" a="1"/>
  <c r="AY100" i="110" s="1"/>
  <c r="AN100" i="110" a="1"/>
  <c r="AN100" i="110" s="1"/>
  <c r="BK100" i="110" s="1"/>
  <c r="P102" i="110"/>
  <c r="BG100" i="110" a="1"/>
  <c r="BG100" i="110" s="1"/>
  <c r="M103" i="110"/>
  <c r="I103" i="110" s="1"/>
  <c r="P101" i="110"/>
  <c r="W101" i="110"/>
  <c r="Q101" i="110"/>
  <c r="N101" i="110"/>
  <c r="AS100" i="110" a="1"/>
  <c r="AS100" i="110" s="1"/>
  <c r="BN100" i="110" s="1"/>
  <c r="BA100" i="110" a="1"/>
  <c r="BA100" i="110" s="1"/>
  <c r="AK100" i="110" a="1"/>
  <c r="AK100" i="110" s="1"/>
  <c r="BB100" i="110" a="1"/>
  <c r="BB100" i="110" s="1"/>
  <c r="BS100" i="110" s="1"/>
  <c r="BR100" i="110" l="1"/>
  <c r="BP100" i="110"/>
  <c r="BQ100" i="110" s="1"/>
  <c r="AD99" i="110"/>
  <c r="AB99" i="110"/>
  <c r="BO100" i="110"/>
  <c r="W102" i="110"/>
  <c r="AF102" i="110" s="1"/>
  <c r="AG102" i="110" s="1"/>
  <c r="AH102" i="110" s="1"/>
  <c r="AI102" i="110" s="1"/>
  <c r="H103" i="110"/>
  <c r="E104" i="110" s="1"/>
  <c r="F104" i="110" s="1"/>
  <c r="M104" i="110" s="1"/>
  <c r="I104" i="110" s="1"/>
  <c r="N102" i="110"/>
  <c r="G103" i="110"/>
  <c r="O103" i="110" s="1"/>
  <c r="P103" i="110" s="1"/>
  <c r="AC99" i="110"/>
  <c r="AA99" i="110" s="1"/>
  <c r="BX100" i="110"/>
  <c r="BM100" i="110"/>
  <c r="Z99" i="110"/>
  <c r="AE99" i="110" s="1"/>
  <c r="BI100" i="110"/>
  <c r="BB101" i="110" a="1"/>
  <c r="BB101" i="110" s="1"/>
  <c r="BS101" i="110" s="1"/>
  <c r="V101" i="110"/>
  <c r="AF101" i="110"/>
  <c r="AG101" i="110" s="1"/>
  <c r="AH101" i="110" s="1"/>
  <c r="AI101" i="110" s="1"/>
  <c r="AT101" i="110" s="1" a="1"/>
  <c r="AT101" i="110" s="1"/>
  <c r="BD101" i="110" a="1"/>
  <c r="BD101" i="110" s="1"/>
  <c r="BU101" i="110" s="1"/>
  <c r="AJ101" i="110" a="1"/>
  <c r="AJ101" i="110" s="1"/>
  <c r="AY101" i="110" a="1"/>
  <c r="AY101" i="110" s="1"/>
  <c r="AS101" i="110" a="1"/>
  <c r="AS101" i="110" s="1"/>
  <c r="BN101" i="110" s="1"/>
  <c r="AL101" i="110" a="1"/>
  <c r="AL101" i="110" s="1"/>
  <c r="N103" i="110" l="1"/>
  <c r="W103" i="110"/>
  <c r="V102" i="110"/>
  <c r="Q103" i="110"/>
  <c r="AY102" i="110" a="1"/>
  <c r="AY102" i="110" s="1"/>
  <c r="AW102" i="110" a="1"/>
  <c r="AW102" i="110" s="1"/>
  <c r="AR102" i="110" a="1"/>
  <c r="AR102" i="110" s="1"/>
  <c r="AX102" i="110" a="1"/>
  <c r="AX102" i="110" s="1"/>
  <c r="BB102" i="110" a="1"/>
  <c r="BB102" i="110" s="1"/>
  <c r="BS102" i="110" s="1"/>
  <c r="BG102" i="110" a="1"/>
  <c r="BG102" i="110" s="1"/>
  <c r="AK102" i="110" a="1"/>
  <c r="AK102" i="110" s="1"/>
  <c r="AN102" i="110" a="1"/>
  <c r="AN102" i="110" s="1"/>
  <c r="BK102" i="110" s="1"/>
  <c r="AP102" i="110" a="1"/>
  <c r="AP102" i="110" s="1"/>
  <c r="AL102" i="110" a="1"/>
  <c r="AL102" i="110" s="1"/>
  <c r="AJ102" i="110" a="1"/>
  <c r="AJ102" i="110" s="1"/>
  <c r="AO102" i="110" a="1"/>
  <c r="AO102" i="110" s="1"/>
  <c r="BL102" i="110" s="1"/>
  <c r="BD102" i="110" a="1"/>
  <c r="BD102" i="110" s="1"/>
  <c r="BU102" i="110" s="1"/>
  <c r="BA102" i="110" a="1"/>
  <c r="BA102" i="110" s="1"/>
  <c r="BC102" i="110" a="1"/>
  <c r="BC102" i="110" s="1"/>
  <c r="BT102" i="110" s="1"/>
  <c r="AM102" i="110" a="1"/>
  <c r="AM102" i="110" s="1"/>
  <c r="AV102" i="110" a="1"/>
  <c r="AV102" i="110" s="1"/>
  <c r="BP102" i="110" s="1"/>
  <c r="BQ102" i="110" s="1"/>
  <c r="AT102" i="110" a="1"/>
  <c r="AT102" i="110" s="1"/>
  <c r="BF102" i="110" a="1"/>
  <c r="BF102" i="110" s="1"/>
  <c r="BW102" i="110" s="1"/>
  <c r="AS102" i="110" a="1"/>
  <c r="AS102" i="110" s="1"/>
  <c r="BN102" i="110" s="1"/>
  <c r="AZ102" i="110" a="1"/>
  <c r="AZ102" i="110" s="1"/>
  <c r="AQ102" i="110" a="1"/>
  <c r="AQ102" i="110" s="1"/>
  <c r="BM102" i="110" s="1"/>
  <c r="AU102" i="110" a="1"/>
  <c r="AU102" i="110" s="1"/>
  <c r="BH102" i="110" a="1"/>
  <c r="BH102" i="110" s="1"/>
  <c r="BX102" i="110" s="1"/>
  <c r="BE102" i="110" a="1"/>
  <c r="BE102" i="110" s="1"/>
  <c r="BV102" i="110" s="1"/>
  <c r="G104" i="110"/>
  <c r="O104" i="110" s="1"/>
  <c r="N104" i="110" s="1"/>
  <c r="H104" i="110"/>
  <c r="E105" i="110" s="1"/>
  <c r="F105" i="110" s="1"/>
  <c r="M105" i="110" s="1"/>
  <c r="I105" i="110" s="1"/>
  <c r="T99" i="110"/>
  <c r="Y99" i="110"/>
  <c r="S99" i="110" s="1"/>
  <c r="AR101" i="110" a="1"/>
  <c r="AR101" i="110" s="1"/>
  <c r="AX101" i="110" a="1"/>
  <c r="AX101" i="110" s="1"/>
  <c r="BG101" i="110" a="1"/>
  <c r="BG101" i="110" s="1"/>
  <c r="BH101" i="110" a="1"/>
  <c r="BH101" i="110" s="1"/>
  <c r="AW101" i="110" a="1"/>
  <c r="AW101" i="110" s="1"/>
  <c r="AO101" i="110" a="1"/>
  <c r="AO101" i="110" s="1"/>
  <c r="BL101" i="110" s="1"/>
  <c r="BC101" i="110" a="1"/>
  <c r="BC101" i="110" s="1"/>
  <c r="BT101" i="110" s="1"/>
  <c r="AZ101" i="110" a="1"/>
  <c r="AZ101" i="110" s="1"/>
  <c r="AV101" i="110" a="1"/>
  <c r="AV101" i="110" s="1"/>
  <c r="AU101" i="110" a="1"/>
  <c r="AU101" i="110" s="1"/>
  <c r="BO101" i="110" s="1"/>
  <c r="AM101" i="110" a="1"/>
  <c r="AM101" i="110" s="1"/>
  <c r="V103" i="110"/>
  <c r="AF103" i="110"/>
  <c r="AG103" i="110" s="1"/>
  <c r="AH103" i="110" s="1"/>
  <c r="AI103" i="110" s="1"/>
  <c r="AO103" i="110" s="1" a="1"/>
  <c r="AO103" i="110" s="1"/>
  <c r="BL103" i="110" s="1"/>
  <c r="AN101" i="110" a="1"/>
  <c r="AN101" i="110" s="1"/>
  <c r="BK101" i="110" s="1"/>
  <c r="BA101" i="110" a="1"/>
  <c r="BA101" i="110" s="1"/>
  <c r="BE101" i="110" a="1"/>
  <c r="BE101" i="110" s="1"/>
  <c r="BV101" i="110" s="1"/>
  <c r="BF101" i="110" a="1"/>
  <c r="BF101" i="110" s="1"/>
  <c r="BW101" i="110" s="1"/>
  <c r="AK101" i="110" a="1"/>
  <c r="AK101" i="110" s="1"/>
  <c r="BI101" i="110" s="1"/>
  <c r="AP101" i="110" a="1"/>
  <c r="AP101" i="110" s="1"/>
  <c r="Z100" i="110"/>
  <c r="AC100" i="110"/>
  <c r="AA100" i="110" s="1"/>
  <c r="BJ100" i="110"/>
  <c r="AQ101" i="110" a="1"/>
  <c r="AQ101" i="110" s="1"/>
  <c r="Q104" i="110" l="1"/>
  <c r="P104" i="110"/>
  <c r="BO102" i="110"/>
  <c r="BI102" i="110"/>
  <c r="AZ103" i="110" a="1"/>
  <c r="AZ103" i="110" s="1"/>
  <c r="BA103" i="110" a="1"/>
  <c r="BA103" i="110" s="1"/>
  <c r="W104" i="110"/>
  <c r="AF104" i="110" s="1"/>
  <c r="AG104" i="110" s="1"/>
  <c r="AH104" i="110" s="1"/>
  <c r="AI104" i="110" s="1"/>
  <c r="AM104" i="110" s="1" a="1"/>
  <c r="AM104" i="110" s="1"/>
  <c r="AQ103" i="110" a="1"/>
  <c r="AQ103" i="110" s="1"/>
  <c r="BJ102" i="110"/>
  <c r="AB102" i="110" s="1"/>
  <c r="BE103" i="110" a="1"/>
  <c r="BE103" i="110" s="1"/>
  <c r="BV103" i="110" s="1"/>
  <c r="BF103" i="110" a="1"/>
  <c r="BF103" i="110" s="1"/>
  <c r="BW103" i="110" s="1"/>
  <c r="BR102" i="110"/>
  <c r="AK103" i="110" a="1"/>
  <c r="AK103" i="110" s="1"/>
  <c r="AU103" i="110" a="1"/>
  <c r="AU103" i="110" s="1"/>
  <c r="AY103" i="110" a="1"/>
  <c r="AY103" i="110" s="1"/>
  <c r="BR101" i="110"/>
  <c r="BM101" i="110"/>
  <c r="BJ101" i="110"/>
  <c r="AJ103" i="110" a="1"/>
  <c r="AJ103" i="110" s="1"/>
  <c r="AT103" i="110" a="1"/>
  <c r="AT103" i="110" s="1"/>
  <c r="BO103" i="110" s="1"/>
  <c r="AV103" i="110" a="1"/>
  <c r="AV103" i="110" s="1"/>
  <c r="BG103" i="110" a="1"/>
  <c r="BG103" i="110" s="1"/>
  <c r="AL103" i="110" a="1"/>
  <c r="AL103" i="110" s="1"/>
  <c r="BC103" i="110" a="1"/>
  <c r="BC103" i="110" s="1"/>
  <c r="BT103" i="110" s="1"/>
  <c r="AW103" i="110" a="1"/>
  <c r="AW103" i="110" s="1"/>
  <c r="AM103" i="110" a="1"/>
  <c r="AM103" i="110" s="1"/>
  <c r="BX101" i="110"/>
  <c r="AR103" i="110" a="1"/>
  <c r="AR103" i="110" s="1"/>
  <c r="BB103" i="110" a="1"/>
  <c r="BB103" i="110" s="1"/>
  <c r="BS103" i="110" s="1"/>
  <c r="AN103" i="110" a="1"/>
  <c r="AN103" i="110" s="1"/>
  <c r="BK103" i="110" s="1"/>
  <c r="G105" i="110"/>
  <c r="O105" i="110" s="1"/>
  <c r="BD103" i="110" a="1"/>
  <c r="BD103" i="110" s="1"/>
  <c r="BU103" i="110" s="1"/>
  <c r="H105" i="110"/>
  <c r="E106" i="110" s="1"/>
  <c r="F106" i="110" s="1"/>
  <c r="AB100" i="110"/>
  <c r="AE100" i="110" s="1"/>
  <c r="AD100" i="110"/>
  <c r="AP103" i="110" a="1"/>
  <c r="AP103" i="110" s="1"/>
  <c r="AX103" i="110" a="1"/>
  <c r="AX103" i="110" s="1"/>
  <c r="BH103" i="110" a="1"/>
  <c r="BH103" i="110" s="1"/>
  <c r="BP101" i="110"/>
  <c r="BQ101" i="110" s="1"/>
  <c r="T100" i="110"/>
  <c r="Y100" i="110"/>
  <c r="S100" i="110" s="1"/>
  <c r="AS103" i="110" a="1"/>
  <c r="AS103" i="110" s="1"/>
  <c r="BN103" i="110" s="1"/>
  <c r="AC102" i="110" l="1"/>
  <c r="AA102" i="110" s="1"/>
  <c r="V104" i="110"/>
  <c r="AD102" i="110"/>
  <c r="Z102" i="110"/>
  <c r="T102" i="110" s="1"/>
  <c r="BR103" i="110"/>
  <c r="BM103" i="110"/>
  <c r="Y102" i="110"/>
  <c r="S102" i="110" s="1"/>
  <c r="AE102" i="110"/>
  <c r="AS104" i="110" a="1"/>
  <c r="AS104" i="110" s="1"/>
  <c r="BN104" i="110" s="1"/>
  <c r="BP103" i="110"/>
  <c r="BQ103" i="110" s="1"/>
  <c r="BC104" i="110" a="1"/>
  <c r="BC104" i="110" s="1"/>
  <c r="BT104" i="110" s="1"/>
  <c r="AP104" i="110" a="1"/>
  <c r="AP104" i="110" s="1"/>
  <c r="AQ104" i="110" a="1"/>
  <c r="AQ104" i="110" s="1"/>
  <c r="AZ104" i="110" a="1"/>
  <c r="AZ104" i="110" s="1"/>
  <c r="BX103" i="110"/>
  <c r="AR104" i="110" a="1"/>
  <c r="AR104" i="110" s="1"/>
  <c r="BE104" i="110" a="1"/>
  <c r="BE104" i="110" s="1"/>
  <c r="BV104" i="110" s="1"/>
  <c r="AJ104" i="110" a="1"/>
  <c r="AJ104" i="110" s="1"/>
  <c r="AW104" i="110" a="1"/>
  <c r="AW104" i="110" s="1"/>
  <c r="AU104" i="110" a="1"/>
  <c r="AU104" i="110" s="1"/>
  <c r="BG104" i="110" a="1"/>
  <c r="BG104" i="110" s="1"/>
  <c r="BH104" i="110" a="1"/>
  <c r="BH104" i="110" s="1"/>
  <c r="AO104" i="110" a="1"/>
  <c r="AO104" i="110" s="1"/>
  <c r="BL104" i="110" s="1"/>
  <c r="AK104" i="110" a="1"/>
  <c r="AK104" i="110" s="1"/>
  <c r="BF104" i="110" a="1"/>
  <c r="BF104" i="110" s="1"/>
  <c r="BW104" i="110" s="1"/>
  <c r="AV104" i="110" a="1"/>
  <c r="AV104" i="110" s="1"/>
  <c r="AN104" i="110" a="1"/>
  <c r="AN104" i="110" s="1"/>
  <c r="BK104" i="110" s="1"/>
  <c r="BD104" i="110" a="1"/>
  <c r="BD104" i="110" s="1"/>
  <c r="BU104" i="110" s="1"/>
  <c r="M106" i="110"/>
  <c r="H106" i="110" s="1"/>
  <c r="E107" i="110" s="1"/>
  <c r="F107" i="110" s="1"/>
  <c r="AT104" i="110" a="1"/>
  <c r="AT104" i="110" s="1"/>
  <c r="BO104" i="110" s="1"/>
  <c r="AL104" i="110" a="1"/>
  <c r="AL104" i="110" s="1"/>
  <c r="BI103" i="110"/>
  <c r="AX104" i="110" a="1"/>
  <c r="AX104" i="110" s="1"/>
  <c r="BB104" i="110" a="1"/>
  <c r="BB104" i="110" s="1"/>
  <c r="BS104" i="110" s="1"/>
  <c r="AY104" i="110" a="1"/>
  <c r="AY104" i="110" s="1"/>
  <c r="AB101" i="110"/>
  <c r="AD101" i="110"/>
  <c r="P105" i="110"/>
  <c r="N105" i="110"/>
  <c r="W105" i="110"/>
  <c r="Q105" i="110"/>
  <c r="BA104" i="110" a="1"/>
  <c r="BA104" i="110" s="1"/>
  <c r="BR104" i="110" s="1"/>
  <c r="Z101" i="110"/>
  <c r="AC101" i="110"/>
  <c r="AA101" i="110" s="1"/>
  <c r="I106" i="110" l="1"/>
  <c r="G106" i="110"/>
  <c r="O106" i="110" s="1"/>
  <c r="Q106" i="110" s="1"/>
  <c r="BP104" i="110"/>
  <c r="BX104" i="110"/>
  <c r="Z103" i="110"/>
  <c r="BJ103" i="110"/>
  <c r="AC103" i="110"/>
  <c r="AA103" i="110" s="1"/>
  <c r="T101" i="110"/>
  <c r="AE101" i="110"/>
  <c r="Y101" i="110"/>
  <c r="S101" i="110" s="1"/>
  <c r="BI104" i="110"/>
  <c r="P106" i="110"/>
  <c r="W106" i="110"/>
  <c r="N106" i="110"/>
  <c r="AU105" i="110" a="1"/>
  <c r="AU105" i="110" s="1"/>
  <c r="AF105" i="110"/>
  <c r="AG105" i="110" s="1"/>
  <c r="AH105" i="110" s="1"/>
  <c r="AI105" i="110" s="1"/>
  <c r="AJ105" i="110" s="1" a="1"/>
  <c r="AJ105" i="110" s="1"/>
  <c r="AN105" i="110" a="1"/>
  <c r="AN105" i="110" s="1"/>
  <c r="BK105" i="110" s="1"/>
  <c r="AM105" i="110" a="1"/>
  <c r="AM105" i="110" s="1"/>
  <c r="AS105" i="110" a="1"/>
  <c r="AS105" i="110" s="1"/>
  <c r="BN105" i="110" s="1"/>
  <c r="AQ105" i="110" a="1"/>
  <c r="AQ105" i="110" s="1"/>
  <c r="AX105" i="110" a="1"/>
  <c r="AX105" i="110" s="1"/>
  <c r="AT105" i="110" a="1"/>
  <c r="AT105" i="110" s="1"/>
  <c r="AO105" i="110" a="1"/>
  <c r="AO105" i="110" s="1"/>
  <c r="BL105" i="110" s="1"/>
  <c r="V105" i="110"/>
  <c r="BE105" i="110" a="1"/>
  <c r="BE105" i="110" s="1"/>
  <c r="BV105" i="110" s="1"/>
  <c r="M107" i="110"/>
  <c r="I107" i="110" s="1"/>
  <c r="BQ104" i="110"/>
  <c r="BM104" i="110"/>
  <c r="BO105" i="110" l="1"/>
  <c r="BA105" i="110" a="1"/>
  <c r="BA105" i="110" s="1"/>
  <c r="BF105" i="110" a="1"/>
  <c r="BF105" i="110" s="1"/>
  <c r="BW105" i="110" s="1"/>
  <c r="BG105" i="110" a="1"/>
  <c r="BG105" i="110" s="1"/>
  <c r="AK105" i="110" a="1"/>
  <c r="AK105" i="110" s="1"/>
  <c r="G107" i="110"/>
  <c r="O107" i="110" s="1"/>
  <c r="H107" i="110"/>
  <c r="E108" i="110" s="1"/>
  <c r="F108" i="110" s="1"/>
  <c r="BH105" i="110" a="1"/>
  <c r="BH105" i="110" s="1"/>
  <c r="AV105" i="110" a="1"/>
  <c r="AV105" i="110" s="1"/>
  <c r="BC105" i="110" a="1"/>
  <c r="BC105" i="110" s="1"/>
  <c r="BT105" i="110" s="1"/>
  <c r="BA106" i="110" a="1"/>
  <c r="BA106" i="110" s="1"/>
  <c r="AQ106" i="110" a="1"/>
  <c r="AQ106" i="110" s="1"/>
  <c r="AS106" i="110" a="1"/>
  <c r="AS106" i="110" s="1"/>
  <c r="BN106" i="110" s="1"/>
  <c r="AF106" i="110"/>
  <c r="AG106" i="110" s="1"/>
  <c r="AH106" i="110" s="1"/>
  <c r="AI106" i="110" s="1"/>
  <c r="AU106" i="110" s="1" a="1"/>
  <c r="AU106" i="110" s="1"/>
  <c r="AV106" i="110" a="1"/>
  <c r="AV106" i="110" s="1"/>
  <c r="AJ106" i="110" a="1"/>
  <c r="AJ106" i="110" s="1"/>
  <c r="BB106" i="110" a="1"/>
  <c r="BB106" i="110" s="1"/>
  <c r="BS106" i="110" s="1"/>
  <c r="AL106" i="110" a="1"/>
  <c r="AL106" i="110" s="1"/>
  <c r="AZ106" i="110" a="1"/>
  <c r="AZ106" i="110" s="1"/>
  <c r="AY106" i="110" a="1"/>
  <c r="AY106" i="110" s="1"/>
  <c r="AK106" i="110" a="1"/>
  <c r="AK106" i="110" s="1"/>
  <c r="AP106" i="110" a="1"/>
  <c r="AP106" i="110" s="1"/>
  <c r="AO106" i="110" a="1"/>
  <c r="AO106" i="110" s="1"/>
  <c r="BL106" i="110" s="1"/>
  <c r="BE106" i="110" a="1"/>
  <c r="BE106" i="110" s="1"/>
  <c r="BV106" i="110" s="1"/>
  <c r="BC106" i="110" a="1"/>
  <c r="BC106" i="110" s="1"/>
  <c r="BT106" i="110" s="1"/>
  <c r="AN106" i="110" a="1"/>
  <c r="AN106" i="110" s="1"/>
  <c r="BK106" i="110" s="1"/>
  <c r="V106" i="110"/>
  <c r="AW106" i="110" a="1"/>
  <c r="AW106" i="110" s="1"/>
  <c r="AR106" i="110" a="1"/>
  <c r="AR106" i="110" s="1"/>
  <c r="AY105" i="110" a="1"/>
  <c r="AY105" i="110" s="1"/>
  <c r="AW105" i="110" a="1"/>
  <c r="AW105" i="110" s="1"/>
  <c r="Z104" i="110"/>
  <c r="AC104" i="110"/>
  <c r="AA104" i="110" s="1"/>
  <c r="BJ104" i="110"/>
  <c r="AL105" i="110" a="1"/>
  <c r="AL105" i="110" s="1"/>
  <c r="BI105" i="110" s="1"/>
  <c r="AP105" i="110" a="1"/>
  <c r="AP105" i="110" s="1"/>
  <c r="AZ105" i="110" a="1"/>
  <c r="AZ105" i="110" s="1"/>
  <c r="BB105" i="110" a="1"/>
  <c r="BB105" i="110" s="1"/>
  <c r="BS105" i="110" s="1"/>
  <c r="AR105" i="110" a="1"/>
  <c r="AR105" i="110" s="1"/>
  <c r="AD103" i="110"/>
  <c r="AB103" i="110"/>
  <c r="AE103" i="110" s="1"/>
  <c r="BD105" i="110" a="1"/>
  <c r="BD105" i="110" s="1"/>
  <c r="BU105" i="110" s="1"/>
  <c r="T103" i="110"/>
  <c r="Y103" i="110"/>
  <c r="S103" i="110" s="1"/>
  <c r="BX105" i="110" l="1"/>
  <c r="BM105" i="110"/>
  <c r="BI106" i="110"/>
  <c r="BR106" i="110"/>
  <c r="BM106" i="110"/>
  <c r="BJ105" i="110"/>
  <c r="AB104" i="110"/>
  <c r="AE104" i="110" s="1"/>
  <c r="AD104" i="110"/>
  <c r="AT106" i="110" a="1"/>
  <c r="AT106" i="110" s="1"/>
  <c r="BO106" i="110" s="1"/>
  <c r="T104" i="110"/>
  <c r="Y104" i="110"/>
  <c r="S104" i="110" s="1"/>
  <c r="BF106" i="110" a="1"/>
  <c r="BF106" i="110" s="1"/>
  <c r="BW106" i="110" s="1"/>
  <c r="AM106" i="110" a="1"/>
  <c r="AM106" i="110" s="1"/>
  <c r="BJ106" i="110" s="1"/>
  <c r="BD106" i="110" a="1"/>
  <c r="BD106" i="110" s="1"/>
  <c r="BU106" i="110" s="1"/>
  <c r="BG106" i="110" a="1"/>
  <c r="BG106" i="110" s="1"/>
  <c r="BH106" i="110" a="1"/>
  <c r="BH106" i="110" s="1"/>
  <c r="BP105" i="110"/>
  <c r="BQ105" i="110" s="1"/>
  <c r="AX106" i="110" a="1"/>
  <c r="AX106" i="110" s="1"/>
  <c r="BP106" i="110" s="1"/>
  <c r="BQ106" i="110" s="1"/>
  <c r="M108" i="110"/>
  <c r="I108" i="110" s="1"/>
  <c r="P107" i="110"/>
  <c r="W107" i="110"/>
  <c r="N107" i="110"/>
  <c r="Q107" i="110"/>
  <c r="BR105" i="110"/>
  <c r="G108" i="110" l="1"/>
  <c r="O108" i="110" s="1"/>
  <c r="BX106" i="110"/>
  <c r="AD106" i="110"/>
  <c r="AB106" i="110"/>
  <c r="AC106" i="110"/>
  <c r="AA106" i="110" s="1"/>
  <c r="P108" i="110"/>
  <c r="Q108" i="110"/>
  <c r="W108" i="110"/>
  <c r="N108" i="110"/>
  <c r="H108" i="110"/>
  <c r="E109" i="110" s="1"/>
  <c r="F109" i="110" s="1"/>
  <c r="AB105" i="110"/>
  <c r="AD105" i="110"/>
  <c r="AC105" i="110"/>
  <c r="AA105" i="110" s="1"/>
  <c r="Z105" i="110"/>
  <c r="BG107" i="110" a="1"/>
  <c r="BG107" i="110" s="1"/>
  <c r="AP107" i="110" a="1"/>
  <c r="AP107" i="110" s="1"/>
  <c r="AX107" i="110" a="1"/>
  <c r="AX107" i="110" s="1"/>
  <c r="AR107" i="110" a="1"/>
  <c r="AR107" i="110" s="1"/>
  <c r="AF107" i="110"/>
  <c r="AG107" i="110" s="1"/>
  <c r="AH107" i="110" s="1"/>
  <c r="AI107" i="110" s="1"/>
  <c r="BA107" i="110" a="1"/>
  <c r="BA107" i="110" s="1"/>
  <c r="AQ107" i="110" a="1"/>
  <c r="AQ107" i="110" s="1"/>
  <c r="AZ107" i="110" a="1"/>
  <c r="AZ107" i="110" s="1"/>
  <c r="AN107" i="110" a="1"/>
  <c r="AN107" i="110" s="1"/>
  <c r="BK107" i="110" s="1"/>
  <c r="V107" i="110"/>
  <c r="BF107" i="110" a="1"/>
  <c r="BF107" i="110" s="1"/>
  <c r="BW107" i="110" s="1"/>
  <c r="AU107" i="110" a="1"/>
  <c r="AU107" i="110" s="1"/>
  <c r="AJ107" i="110" a="1"/>
  <c r="AJ107" i="110" s="1"/>
  <c r="BE107" i="110" a="1"/>
  <c r="BE107" i="110" s="1"/>
  <c r="BV107" i="110" s="1"/>
  <c r="AT107" i="110" a="1"/>
  <c r="AT107" i="110" s="1"/>
  <c r="BB107" i="110" a="1"/>
  <c r="BB107" i="110" s="1"/>
  <c r="BS107" i="110" s="1"/>
  <c r="AL107" i="110" a="1"/>
  <c r="AL107" i="110" s="1"/>
  <c r="AW107" i="110" a="1"/>
  <c r="AW107" i="110" s="1"/>
  <c r="AV107" i="110" a="1"/>
  <c r="AV107" i="110" s="1"/>
  <c r="AY107" i="110" a="1"/>
  <c r="AY107" i="110" s="1"/>
  <c r="AK107" i="110" a="1"/>
  <c r="AK107" i="110" s="1"/>
  <c r="BD107" i="110" a="1"/>
  <c r="BD107" i="110" s="1"/>
  <c r="BU107" i="110" s="1"/>
  <c r="BH107" i="110" a="1"/>
  <c r="BH107" i="110" s="1"/>
  <c r="BX107" i="110" s="1"/>
  <c r="BC107" i="110" a="1"/>
  <c r="BC107" i="110" s="1"/>
  <c r="BT107" i="110" s="1"/>
  <c r="AS107" i="110" a="1"/>
  <c r="AS107" i="110" s="1"/>
  <c r="BN107" i="110" s="1"/>
  <c r="AO107" i="110" a="1"/>
  <c r="AO107" i="110" s="1"/>
  <c r="BL107" i="110" s="1"/>
  <c r="AM107" i="110" a="1"/>
  <c r="AM107" i="110" s="1"/>
  <c r="Z106" i="110"/>
  <c r="BP107" i="110" l="1"/>
  <c r="BO107" i="110"/>
  <c r="BR107" i="110"/>
  <c r="BI107" i="110"/>
  <c r="BQ107" i="110"/>
  <c r="BM107" i="110"/>
  <c r="T105" i="110"/>
  <c r="Y105" i="110"/>
  <c r="S105" i="110" s="1"/>
  <c r="AE105" i="110"/>
  <c r="M109" i="110"/>
  <c r="I109" i="110" s="1"/>
  <c r="BB108" i="110" a="1"/>
  <c r="BB108" i="110" s="1"/>
  <c r="BS108" i="110" s="1"/>
  <c r="AK108" i="110" a="1"/>
  <c r="AK108" i="110" s="1"/>
  <c r="AF108" i="110"/>
  <c r="AG108" i="110" s="1"/>
  <c r="AH108" i="110" s="1"/>
  <c r="AI108" i="110" s="1"/>
  <c r="AS108" i="110" s="1" a="1"/>
  <c r="AS108" i="110" s="1"/>
  <c r="BN108" i="110" s="1"/>
  <c r="AQ108" i="110" a="1"/>
  <c r="AQ108" i="110" s="1"/>
  <c r="AW108" i="110" a="1"/>
  <c r="AW108" i="110" s="1"/>
  <c r="AZ108" i="110" a="1"/>
  <c r="AZ108" i="110" s="1"/>
  <c r="AN108" i="110" a="1"/>
  <c r="AN108" i="110" s="1"/>
  <c r="BK108" i="110" s="1"/>
  <c r="AM108" i="110" a="1"/>
  <c r="AM108" i="110" s="1"/>
  <c r="V108" i="110"/>
  <c r="T106" i="110"/>
  <c r="AE106" i="110"/>
  <c r="Y106" i="110"/>
  <c r="S106" i="110" s="1"/>
  <c r="Z107" i="110" l="1"/>
  <c r="BH108" i="110" a="1"/>
  <c r="BH108" i="110" s="1"/>
  <c r="AO108" i="110" a="1"/>
  <c r="AO108" i="110" s="1"/>
  <c r="BL108" i="110" s="1"/>
  <c r="AP108" i="110" a="1"/>
  <c r="AP108" i="110" s="1"/>
  <c r="BC108" i="110" a="1"/>
  <c r="BC108" i="110" s="1"/>
  <c r="BT108" i="110" s="1"/>
  <c r="BD108" i="110" a="1"/>
  <c r="BD108" i="110" s="1"/>
  <c r="BU108" i="110" s="1"/>
  <c r="AX108" i="110" a="1"/>
  <c r="AX108" i="110" s="1"/>
  <c r="AV108" i="110" a="1"/>
  <c r="AV108" i="110" s="1"/>
  <c r="AJ108" i="110" a="1"/>
  <c r="AJ108" i="110" s="1"/>
  <c r="AR108" i="110" a="1"/>
  <c r="AR108" i="110" s="1"/>
  <c r="AY108" i="110" a="1"/>
  <c r="AY108" i="110" s="1"/>
  <c r="AT108" i="110" a="1"/>
  <c r="AT108" i="110" s="1"/>
  <c r="BE108" i="110" a="1"/>
  <c r="BE108" i="110" s="1"/>
  <c r="BV108" i="110" s="1"/>
  <c r="AU108" i="110" a="1"/>
  <c r="AU108" i="110" s="1"/>
  <c r="BF108" i="110" a="1"/>
  <c r="BF108" i="110" s="1"/>
  <c r="BW108" i="110" s="1"/>
  <c r="AL108" i="110" a="1"/>
  <c r="AL108" i="110" s="1"/>
  <c r="BG108" i="110" a="1"/>
  <c r="BG108" i="110" s="1"/>
  <c r="BA108" i="110" a="1"/>
  <c r="BA108" i="110" s="1"/>
  <c r="BR108" i="110" s="1"/>
  <c r="AC107" i="110"/>
  <c r="AA107" i="110" s="1"/>
  <c r="BJ107" i="110"/>
  <c r="AB107" i="110" s="1"/>
  <c r="AE107" i="110" s="1"/>
  <c r="G109" i="110"/>
  <c r="O109" i="110" s="1"/>
  <c r="H109" i="110"/>
  <c r="E110" i="110" s="1"/>
  <c r="F110" i="110" s="1"/>
  <c r="AD107" i="110"/>
  <c r="T107" i="110"/>
  <c r="Y107" i="110"/>
  <c r="S107" i="110" s="1"/>
  <c r="BX108" i="110" l="1"/>
  <c r="BP108" i="110"/>
  <c r="BO108" i="110"/>
  <c r="BI108" i="110"/>
  <c r="BJ108" i="110" s="1"/>
  <c r="BM108" i="110"/>
  <c r="BQ108" i="110"/>
  <c r="M110" i="110"/>
  <c r="I110" i="110" s="1"/>
  <c r="P109" i="110"/>
  <c r="W109" i="110"/>
  <c r="Q109" i="110"/>
  <c r="N109" i="110"/>
  <c r="AC108" i="110" l="1"/>
  <c r="AA108" i="110" s="1"/>
  <c r="AB108" i="110"/>
  <c r="AD108" i="110"/>
  <c r="Z108" i="110"/>
  <c r="T108" i="110" s="1"/>
  <c r="G110" i="110"/>
  <c r="O110" i="110" s="1"/>
  <c r="N110" i="110" s="1"/>
  <c r="H110" i="110"/>
  <c r="E111" i="110" s="1"/>
  <c r="F111" i="110" s="1"/>
  <c r="M111" i="110" s="1"/>
  <c r="G111" i="110" s="1"/>
  <c r="O111" i="110" s="1"/>
  <c r="V109" i="110"/>
  <c r="AU109" i="110" a="1"/>
  <c r="AU109" i="110" s="1"/>
  <c r="BF109" i="110" a="1"/>
  <c r="BF109" i="110" s="1"/>
  <c r="BW109" i="110" s="1"/>
  <c r="AF109" i="110"/>
  <c r="AG109" i="110" s="1"/>
  <c r="AH109" i="110" s="1"/>
  <c r="AI109" i="110" s="1"/>
  <c r="BH109" i="110" s="1" a="1"/>
  <c r="BH109" i="110" s="1"/>
  <c r="BA109" i="110" a="1"/>
  <c r="BA109" i="110" s="1"/>
  <c r="AM109" i="110" a="1"/>
  <c r="AM109" i="110" s="1"/>
  <c r="AL109" i="110" a="1"/>
  <c r="AL109" i="110" s="1"/>
  <c r="AK109" i="110" a="1"/>
  <c r="AK109" i="110" s="1"/>
  <c r="AJ109" i="110" a="1"/>
  <c r="AJ109" i="110" s="1"/>
  <c r="AZ109" i="110" a="1"/>
  <c r="AZ109" i="110" s="1"/>
  <c r="AY109" i="110" a="1"/>
  <c r="AY109" i="110" s="1"/>
  <c r="Y108" i="110" l="1"/>
  <c r="S108" i="110" s="1"/>
  <c r="W110" i="110"/>
  <c r="P110" i="110"/>
  <c r="Q110" i="110"/>
  <c r="AE108" i="110"/>
  <c r="I111" i="110"/>
  <c r="H111" i="110"/>
  <c r="E112" i="110" s="1"/>
  <c r="F112" i="110" s="1"/>
  <c r="BI109" i="110"/>
  <c r="AT109" i="110" a="1"/>
  <c r="AT109" i="110" s="1"/>
  <c r="BO109" i="110" s="1"/>
  <c r="AX109" i="110" a="1"/>
  <c r="AX109" i="110" s="1"/>
  <c r="AW109" i="110" a="1"/>
  <c r="AW109" i="110" s="1"/>
  <c r="AP109" i="110" a="1"/>
  <c r="AP109" i="110" s="1"/>
  <c r="AR109" i="110" a="1"/>
  <c r="AR109" i="110" s="1"/>
  <c r="BD109" i="110" a="1"/>
  <c r="BD109" i="110" s="1"/>
  <c r="BU109" i="110" s="1"/>
  <c r="AQ109" i="110" a="1"/>
  <c r="AQ109" i="110" s="1"/>
  <c r="BC109" i="110" a="1"/>
  <c r="BC109" i="110" s="1"/>
  <c r="BT109" i="110" s="1"/>
  <c r="BB109" i="110" a="1"/>
  <c r="BB109" i="110" s="1"/>
  <c r="BS109" i="110" s="1"/>
  <c r="AS109" i="110" a="1"/>
  <c r="AS109" i="110" s="1"/>
  <c r="BN109" i="110" s="1"/>
  <c r="AV109" i="110" a="1"/>
  <c r="AV109" i="110" s="1"/>
  <c r="AN109" i="110" a="1"/>
  <c r="AN109" i="110" s="1"/>
  <c r="BK109" i="110" s="1"/>
  <c r="BR109" i="110"/>
  <c r="BE109" i="110" a="1"/>
  <c r="BE109" i="110" s="1"/>
  <c r="BV109" i="110" s="1"/>
  <c r="AO109" i="110" a="1"/>
  <c r="AO109" i="110" s="1"/>
  <c r="BL109" i="110" s="1"/>
  <c r="BG109" i="110" a="1"/>
  <c r="BG109" i="110" s="1"/>
  <c r="BX109" i="110" s="1"/>
  <c r="BJ109" i="110"/>
  <c r="M112" i="110"/>
  <c r="H112" i="110" s="1"/>
  <c r="E113" i="110" s="1"/>
  <c r="F113" i="110" s="1"/>
  <c r="P111" i="110"/>
  <c r="Q111" i="110"/>
  <c r="N111" i="110"/>
  <c r="W111" i="110"/>
  <c r="AF110" i="110"/>
  <c r="AG110" i="110" s="1"/>
  <c r="AH110" i="110" s="1"/>
  <c r="AI110" i="110" s="1"/>
  <c r="AY110" i="110" s="1" a="1"/>
  <c r="AY110" i="110" s="1"/>
  <c r="BC110" i="110" a="1"/>
  <c r="BC110" i="110" s="1"/>
  <c r="BT110" i="110" s="1"/>
  <c r="V110" i="110"/>
  <c r="AM110" i="110" a="1"/>
  <c r="AM110" i="110" s="1"/>
  <c r="AX110" i="110" l="1" a="1"/>
  <c r="AX110" i="110" s="1"/>
  <c r="AK110" i="110" a="1"/>
  <c r="AK110" i="110" s="1"/>
  <c r="AP110" i="110" a="1"/>
  <c r="AP110" i="110" s="1"/>
  <c r="AR110" i="110" a="1"/>
  <c r="AR110" i="110" s="1"/>
  <c r="BF110" i="110" a="1"/>
  <c r="BF110" i="110" s="1"/>
  <c r="BW110" i="110" s="1"/>
  <c r="AL110" i="110" a="1"/>
  <c r="AL110" i="110" s="1"/>
  <c r="BD110" i="110" a="1"/>
  <c r="BD110" i="110" s="1"/>
  <c r="BU110" i="110" s="1"/>
  <c r="BH110" i="110" a="1"/>
  <c r="BH110" i="110" s="1"/>
  <c r="AQ110" i="110" a="1"/>
  <c r="AQ110" i="110" s="1"/>
  <c r="AZ110" i="110" a="1"/>
  <c r="AZ110" i="110" s="1"/>
  <c r="AU110" i="110" a="1"/>
  <c r="AU110" i="110" s="1"/>
  <c r="AV110" i="110" a="1"/>
  <c r="AV110" i="110" s="1"/>
  <c r="BE110" i="110" a="1"/>
  <c r="BE110" i="110" s="1"/>
  <c r="BV110" i="110" s="1"/>
  <c r="AT110" i="110" a="1"/>
  <c r="AT110" i="110" s="1"/>
  <c r="BG110" i="110" a="1"/>
  <c r="BG110" i="110" s="1"/>
  <c r="AN110" i="110" a="1"/>
  <c r="AN110" i="110" s="1"/>
  <c r="BK110" i="110" s="1"/>
  <c r="BA110" i="110" a="1"/>
  <c r="BA110" i="110" s="1"/>
  <c r="BR110" i="110" s="1"/>
  <c r="AO110" i="110" a="1"/>
  <c r="AO110" i="110" s="1"/>
  <c r="BL110" i="110" s="1"/>
  <c r="BB110" i="110" a="1"/>
  <c r="BB110" i="110" s="1"/>
  <c r="BS110" i="110" s="1"/>
  <c r="AW110" i="110" a="1"/>
  <c r="AW110" i="110" s="1"/>
  <c r="BP110" i="110" s="1"/>
  <c r="BQ110" i="110" s="1"/>
  <c r="AS110" i="110" a="1"/>
  <c r="AS110" i="110" s="1"/>
  <c r="BN110" i="110" s="1"/>
  <c r="BP109" i="110"/>
  <c r="BQ109" i="110" s="1"/>
  <c r="AD109" i="110" s="1"/>
  <c r="AJ110" i="110" a="1"/>
  <c r="AJ110" i="110" s="1"/>
  <c r="BI110" i="110" s="1"/>
  <c r="BM109" i="110"/>
  <c r="M113" i="110"/>
  <c r="I113" i="110" s="1"/>
  <c r="V111" i="110"/>
  <c r="AF111" i="110"/>
  <c r="AG111" i="110" s="1"/>
  <c r="AH111" i="110" s="1"/>
  <c r="AI111" i="110" s="1"/>
  <c r="BF111" i="110" s="1" a="1"/>
  <c r="BF111" i="110" s="1"/>
  <c r="BW111" i="110" s="1"/>
  <c r="AR111" i="110" a="1"/>
  <c r="AR111" i="110" s="1"/>
  <c r="I112" i="110"/>
  <c r="G112" i="110"/>
  <c r="O112" i="110" s="1"/>
  <c r="BM110" i="110" l="1"/>
  <c r="AB109" i="110"/>
  <c r="BO110" i="110"/>
  <c r="AC109" i="110"/>
  <c r="AA109" i="110" s="1"/>
  <c r="BX110" i="110"/>
  <c r="AJ111" i="110" a="1"/>
  <c r="AJ111" i="110" s="1"/>
  <c r="BA111" i="110" a="1"/>
  <c r="BA111" i="110" s="1"/>
  <c r="AZ111" i="110" a="1"/>
  <c r="AZ111" i="110" s="1"/>
  <c r="AP111" i="110" a="1"/>
  <c r="AP111" i="110" s="1"/>
  <c r="BE111" i="110" a="1"/>
  <c r="BE111" i="110" s="1"/>
  <c r="BV111" i="110" s="1"/>
  <c r="Z110" i="110"/>
  <c r="T110" i="110" s="1"/>
  <c r="BJ110" i="110"/>
  <c r="AB110" i="110" s="1"/>
  <c r="AC110" i="110"/>
  <c r="AA110" i="110" s="1"/>
  <c r="BG111" i="110" a="1"/>
  <c r="BG111" i="110" s="1"/>
  <c r="BH111" i="110" a="1"/>
  <c r="BH111" i="110" s="1"/>
  <c r="AU111" i="110" a="1"/>
  <c r="AU111" i="110" s="1"/>
  <c r="AO111" i="110" a="1"/>
  <c r="AO111" i="110" s="1"/>
  <c r="BL111" i="110" s="1"/>
  <c r="AV111" i="110" a="1"/>
  <c r="AV111" i="110" s="1"/>
  <c r="AW111" i="110" a="1"/>
  <c r="AW111" i="110" s="1"/>
  <c r="H113" i="110"/>
  <c r="E114" i="110" s="1"/>
  <c r="F114" i="110" s="1"/>
  <c r="G113" i="110"/>
  <c r="O113" i="110" s="1"/>
  <c r="Z109" i="110"/>
  <c r="P112" i="110"/>
  <c r="N112" i="110"/>
  <c r="Q112" i="110"/>
  <c r="W112" i="110"/>
  <c r="AT111" i="110" a="1"/>
  <c r="AT111" i="110" s="1"/>
  <c r="AM111" i="110" a="1"/>
  <c r="AM111" i="110" s="1"/>
  <c r="AX111" i="110" a="1"/>
  <c r="AX111" i="110" s="1"/>
  <c r="AL111" i="110" a="1"/>
  <c r="AL111" i="110" s="1"/>
  <c r="BC111" i="110" a="1"/>
  <c r="BC111" i="110" s="1"/>
  <c r="BT111" i="110" s="1"/>
  <c r="AN111" i="110" a="1"/>
  <c r="AN111" i="110" s="1"/>
  <c r="BK111" i="110" s="1"/>
  <c r="AY111" i="110" a="1"/>
  <c r="AY111" i="110" s="1"/>
  <c r="AQ111" i="110" a="1"/>
  <c r="AQ111" i="110" s="1"/>
  <c r="BM111" i="110" s="1"/>
  <c r="AD110" i="110"/>
  <c r="BD111" i="110" a="1"/>
  <c r="BD111" i="110" s="1"/>
  <c r="BU111" i="110" s="1"/>
  <c r="BB111" i="110" a="1"/>
  <c r="BB111" i="110" s="1"/>
  <c r="BS111" i="110" s="1"/>
  <c r="P113" i="110"/>
  <c r="N113" i="110"/>
  <c r="Q113" i="110"/>
  <c r="W113" i="110"/>
  <c r="AK111" i="110" a="1"/>
  <c r="AK111" i="110" s="1"/>
  <c r="M114" i="110"/>
  <c r="I114" i="110" s="1"/>
  <c r="AS111" i="110" a="1"/>
  <c r="AS111" i="110" s="1"/>
  <c r="BN111" i="110" s="1"/>
  <c r="BP111" i="110" l="1"/>
  <c r="BQ111" i="110" s="1"/>
  <c r="BO111" i="110"/>
  <c r="Y110" i="110"/>
  <c r="S110" i="110" s="1"/>
  <c r="AE110" i="110"/>
  <c r="BR111" i="110"/>
  <c r="BX111" i="110"/>
  <c r="T109" i="110"/>
  <c r="Y109" i="110"/>
  <c r="S109" i="110" s="1"/>
  <c r="AE109" i="110"/>
  <c r="BI111" i="110"/>
  <c r="AC111" i="110" s="1"/>
  <c r="AA111" i="110" s="1"/>
  <c r="H114" i="110"/>
  <c r="E115" i="110" s="1"/>
  <c r="F115" i="110" s="1"/>
  <c r="M115" i="110" s="1"/>
  <c r="I115" i="110" s="1"/>
  <c r="G114" i="110"/>
  <c r="O114" i="110" s="1"/>
  <c r="AV113" i="110" a="1"/>
  <c r="AV113" i="110" s="1"/>
  <c r="AF113" i="110"/>
  <c r="AG113" i="110" s="1"/>
  <c r="AH113" i="110" s="1"/>
  <c r="AI113" i="110" s="1"/>
  <c r="AR113" i="110" s="1" a="1"/>
  <c r="AR113" i="110" s="1"/>
  <c r="AY113" i="110" a="1"/>
  <c r="AY113" i="110" s="1"/>
  <c r="V113" i="110"/>
  <c r="V112" i="110"/>
  <c r="AL112" i="110" a="1"/>
  <c r="AL112" i="110" s="1"/>
  <c r="AF112" i="110"/>
  <c r="AG112" i="110" s="1"/>
  <c r="AH112" i="110" s="1"/>
  <c r="AI112" i="110" s="1"/>
  <c r="AO112" i="110" s="1" a="1"/>
  <c r="AO112" i="110" s="1"/>
  <c r="BL112" i="110" s="1"/>
  <c r="AU112" i="110" a="1"/>
  <c r="AU112" i="110" s="1"/>
  <c r="BH113" i="110" l="1" a="1"/>
  <c r="BH113" i="110" s="1"/>
  <c r="AM113" i="110" a="1"/>
  <c r="AM113" i="110" s="1"/>
  <c r="BD113" i="110" a="1"/>
  <c r="BD113" i="110" s="1"/>
  <c r="BU113" i="110" s="1"/>
  <c r="Z111" i="110"/>
  <c r="AP113" i="110" a="1"/>
  <c r="AP113" i="110" s="1"/>
  <c r="BB113" i="110" a="1"/>
  <c r="BB113" i="110" s="1"/>
  <c r="BS113" i="110" s="1"/>
  <c r="AS113" i="110" a="1"/>
  <c r="AS113" i="110" s="1"/>
  <c r="BN113" i="110" s="1"/>
  <c r="BF113" i="110" a="1"/>
  <c r="BF113" i="110" s="1"/>
  <c r="BW113" i="110" s="1"/>
  <c r="AO113" i="110" a="1"/>
  <c r="AO113" i="110" s="1"/>
  <c r="BL113" i="110" s="1"/>
  <c r="AN113" i="110" a="1"/>
  <c r="AN113" i="110" s="1"/>
  <c r="BK113" i="110" s="1"/>
  <c r="AT113" i="110" a="1"/>
  <c r="AT113" i="110" s="1"/>
  <c r="AZ113" i="110" a="1"/>
  <c r="AZ113" i="110" s="1"/>
  <c r="BE113" i="110" a="1"/>
  <c r="BE113" i="110" s="1"/>
  <c r="BV113" i="110" s="1"/>
  <c r="BJ111" i="110"/>
  <c r="BE112" i="110" a="1"/>
  <c r="BE112" i="110" s="1"/>
  <c r="BV112" i="110" s="1"/>
  <c r="BG112" i="110" a="1"/>
  <c r="BG112" i="110" s="1"/>
  <c r="AQ112" i="110" a="1"/>
  <c r="AQ112" i="110" s="1"/>
  <c r="AK112" i="110" a="1"/>
  <c r="AK112" i="110" s="1"/>
  <c r="AV112" i="110" a="1"/>
  <c r="AV112" i="110" s="1"/>
  <c r="BH112" i="110" a="1"/>
  <c r="BH112" i="110" s="1"/>
  <c r="AS112" i="110" a="1"/>
  <c r="AS112" i="110" s="1"/>
  <c r="BN112" i="110" s="1"/>
  <c r="AW112" i="110" a="1"/>
  <c r="AW112" i="110" s="1"/>
  <c r="BF112" i="110" a="1"/>
  <c r="BF112" i="110" s="1"/>
  <c r="BW112" i="110" s="1"/>
  <c r="BA112" i="110" a="1"/>
  <c r="BA112" i="110" s="1"/>
  <c r="BD112" i="110" a="1"/>
  <c r="BD112" i="110" s="1"/>
  <c r="BU112" i="110" s="1"/>
  <c r="AX112" i="110" a="1"/>
  <c r="AX112" i="110" s="1"/>
  <c r="AM112" i="110" a="1"/>
  <c r="AM112" i="110" s="1"/>
  <c r="AY112" i="110" a="1"/>
  <c r="AY112" i="110" s="1"/>
  <c r="AR112" i="110" a="1"/>
  <c r="AR112" i="110" s="1"/>
  <c r="AN112" i="110" a="1"/>
  <c r="AN112" i="110" s="1"/>
  <c r="BK112" i="110" s="1"/>
  <c r="AZ112" i="110" a="1"/>
  <c r="AZ112" i="110" s="1"/>
  <c r="AJ112" i="110" a="1"/>
  <c r="AJ112" i="110" s="1"/>
  <c r="BI112" i="110" s="1"/>
  <c r="BC112" i="110" a="1"/>
  <c r="BC112" i="110" s="1"/>
  <c r="BT112" i="110" s="1"/>
  <c r="AT112" i="110" a="1"/>
  <c r="AT112" i="110" s="1"/>
  <c r="BO112" i="110" s="1"/>
  <c r="BB112" i="110" a="1"/>
  <c r="BB112" i="110" s="1"/>
  <c r="BS112" i="110" s="1"/>
  <c r="AJ113" i="110" a="1"/>
  <c r="AJ113" i="110" s="1"/>
  <c r="BA113" i="110" a="1"/>
  <c r="BA113" i="110" s="1"/>
  <c r="BR113" i="110" s="1"/>
  <c r="AW113" i="110" a="1"/>
  <c r="AW113" i="110" s="1"/>
  <c r="AQ113" i="110" a="1"/>
  <c r="AQ113" i="110" s="1"/>
  <c r="BM113" i="110" s="1"/>
  <c r="AX113" i="110" a="1"/>
  <c r="AX113" i="110" s="1"/>
  <c r="BC113" i="110" a="1"/>
  <c r="BC113" i="110" s="1"/>
  <c r="BT113" i="110" s="1"/>
  <c r="G115" i="110"/>
  <c r="O115" i="110" s="1"/>
  <c r="AL113" i="110" a="1"/>
  <c r="AL113" i="110" s="1"/>
  <c r="H115" i="110"/>
  <c r="E116" i="110" s="1"/>
  <c r="F116" i="110" s="1"/>
  <c r="BG113" i="110" a="1"/>
  <c r="BG113" i="110" s="1"/>
  <c r="BX113" i="110" s="1"/>
  <c r="AK113" i="110" a="1"/>
  <c r="AK113" i="110" s="1"/>
  <c r="P114" i="110"/>
  <c r="W114" i="110"/>
  <c r="Q114" i="110"/>
  <c r="N114" i="110"/>
  <c r="AP112" i="110" a="1"/>
  <c r="AP112" i="110" s="1"/>
  <c r="BM112" i="110" s="1"/>
  <c r="AU113" i="110" a="1"/>
  <c r="AU113" i="110" s="1"/>
  <c r="BO113" i="110" s="1"/>
  <c r="AD111" i="110"/>
  <c r="AB111" i="110"/>
  <c r="AE111" i="110" s="1"/>
  <c r="T111" i="110"/>
  <c r="Y111" i="110"/>
  <c r="S111" i="110" s="1"/>
  <c r="BP113" i="110" l="1"/>
  <c r="BQ113" i="110" s="1"/>
  <c r="BJ112" i="110"/>
  <c r="BX112" i="110"/>
  <c r="BP112" i="110"/>
  <c r="BQ112" i="110" s="1"/>
  <c r="BR112" i="110"/>
  <c r="BI113" i="110"/>
  <c r="Z113" i="110" s="1"/>
  <c r="P115" i="110"/>
  <c r="Q115" i="110"/>
  <c r="W115" i="110"/>
  <c r="N115" i="110"/>
  <c r="V114" i="110"/>
  <c r="AF114" i="110"/>
  <c r="AG114" i="110" s="1"/>
  <c r="AH114" i="110" s="1"/>
  <c r="AI114" i="110" s="1"/>
  <c r="AZ114" i="110" s="1" a="1"/>
  <c r="AZ114" i="110" s="1"/>
  <c r="M116" i="110"/>
  <c r="I116" i="110" s="1"/>
  <c r="AB112" i="110" l="1"/>
  <c r="AC112" i="110"/>
  <c r="AA112" i="110" s="1"/>
  <c r="AD112" i="110"/>
  <c r="Z112" i="110"/>
  <c r="T112" i="110" s="1"/>
  <c r="AC113" i="110"/>
  <c r="AA113" i="110" s="1"/>
  <c r="BJ113" i="110"/>
  <c r="G116" i="110"/>
  <c r="O116" i="110" s="1"/>
  <c r="W116" i="110" s="1"/>
  <c r="H116" i="110"/>
  <c r="E117" i="110" s="1"/>
  <c r="F117" i="110" s="1"/>
  <c r="M117" i="110" s="1"/>
  <c r="G117" i="110" s="1"/>
  <c r="O117" i="110" s="1"/>
  <c r="BA114" i="110" a="1"/>
  <c r="BA114" i="110" s="1"/>
  <c r="BR114" i="110" s="1"/>
  <c r="AV114" i="110" a="1"/>
  <c r="AV114" i="110" s="1"/>
  <c r="AY114" i="110" a="1"/>
  <c r="AY114" i="110" s="1"/>
  <c r="AU114" i="110" a="1"/>
  <c r="AU114" i="110" s="1"/>
  <c r="BH114" i="110" a="1"/>
  <c r="BH114" i="110" s="1"/>
  <c r="AT114" i="110" a="1"/>
  <c r="AT114" i="110" s="1"/>
  <c r="AJ114" i="110" a="1"/>
  <c r="AJ114" i="110" s="1"/>
  <c r="AW114" i="110" a="1"/>
  <c r="AW114" i="110" s="1"/>
  <c r="AM114" i="110" a="1"/>
  <c r="AM114" i="110" s="1"/>
  <c r="AQ114" i="110" a="1"/>
  <c r="AQ114" i="110" s="1"/>
  <c r="BD114" i="110" a="1"/>
  <c r="BD114" i="110" s="1"/>
  <c r="BU114" i="110" s="1"/>
  <c r="BG114" i="110" a="1"/>
  <c r="BG114" i="110" s="1"/>
  <c r="AL114" i="110" a="1"/>
  <c r="AL114" i="110" s="1"/>
  <c r="AN114" i="110" a="1"/>
  <c r="AN114" i="110" s="1"/>
  <c r="BK114" i="110" s="1"/>
  <c r="AX114" i="110" a="1"/>
  <c r="AX114" i="110" s="1"/>
  <c r="AO114" i="110" a="1"/>
  <c r="AO114" i="110" s="1"/>
  <c r="BL114" i="110" s="1"/>
  <c r="AR114" i="110" a="1"/>
  <c r="AR114" i="110" s="1"/>
  <c r="BB114" i="110" a="1"/>
  <c r="BB114" i="110" s="1"/>
  <c r="BS114" i="110" s="1"/>
  <c r="AB113" i="110"/>
  <c r="AE113" i="110" s="1"/>
  <c r="AD113" i="110"/>
  <c r="BC114" i="110" a="1"/>
  <c r="BC114" i="110" s="1"/>
  <c r="BT114" i="110" s="1"/>
  <c r="T113" i="110"/>
  <c r="Y113" i="110"/>
  <c r="S113" i="110" s="1"/>
  <c r="BF114" i="110" a="1"/>
  <c r="BF114" i="110" s="1"/>
  <c r="BW114" i="110" s="1"/>
  <c r="AS114" i="110" a="1"/>
  <c r="AS114" i="110" s="1"/>
  <c r="BN114" i="110" s="1"/>
  <c r="AK114" i="110" a="1"/>
  <c r="AK114" i="110" s="1"/>
  <c r="AV115" i="110" a="1"/>
  <c r="AV115" i="110" s="1"/>
  <c r="AT115" i="110" a="1"/>
  <c r="AT115" i="110" s="1"/>
  <c r="V115" i="110"/>
  <c r="AK115" i="110" a="1"/>
  <c r="AK115" i="110" s="1"/>
  <c r="AF115" i="110"/>
  <c r="AG115" i="110" s="1"/>
  <c r="AH115" i="110" s="1"/>
  <c r="AI115" i="110" s="1"/>
  <c r="AQ115" i="110" s="1" a="1"/>
  <c r="AQ115" i="110" s="1"/>
  <c r="AP114" i="110" a="1"/>
  <c r="AP114" i="110" s="1"/>
  <c r="BE114" i="110" a="1"/>
  <c r="BE114" i="110" s="1"/>
  <c r="BV114" i="110" s="1"/>
  <c r="AE112" i="110" l="1"/>
  <c r="Y112" i="110"/>
  <c r="S112" i="110" s="1"/>
  <c r="Q116" i="110"/>
  <c r="P116" i="110"/>
  <c r="N116" i="110"/>
  <c r="BM114" i="110"/>
  <c r="BO114" i="110"/>
  <c r="P117" i="110"/>
  <c r="Q117" i="110"/>
  <c r="N117" i="110"/>
  <c r="W117" i="110"/>
  <c r="AN115" i="110" a="1"/>
  <c r="AN115" i="110" s="1"/>
  <c r="BK115" i="110" s="1"/>
  <c r="AY115" i="110" a="1"/>
  <c r="AY115" i="110" s="1"/>
  <c r="AR115" i="110" a="1"/>
  <c r="AR115" i="110" s="1"/>
  <c r="BE115" i="110" a="1"/>
  <c r="BE115" i="110" s="1"/>
  <c r="BV115" i="110" s="1"/>
  <c r="BA115" i="110" a="1"/>
  <c r="BA115" i="110" s="1"/>
  <c r="I117" i="110"/>
  <c r="AM115" i="110" a="1"/>
  <c r="AM115" i="110" s="1"/>
  <c r="AL115" i="110" a="1"/>
  <c r="AL115" i="110" s="1"/>
  <c r="AX115" i="110" a="1"/>
  <c r="AX115" i="110" s="1"/>
  <c r="H117" i="110"/>
  <c r="E118" i="110" s="1"/>
  <c r="F118" i="110" s="1"/>
  <c r="AZ115" i="110" a="1"/>
  <c r="AZ115" i="110" s="1"/>
  <c r="AW115" i="110" a="1"/>
  <c r="AW115" i="110" s="1"/>
  <c r="BB115" i="110" a="1"/>
  <c r="BB115" i="110" s="1"/>
  <c r="BS115" i="110" s="1"/>
  <c r="BI114" i="110"/>
  <c r="AP115" i="110" a="1"/>
  <c r="AP115" i="110" s="1"/>
  <c r="BG115" i="110" a="1"/>
  <c r="BG115" i="110" s="1"/>
  <c r="BB116" i="110" a="1"/>
  <c r="BB116" i="110" s="1"/>
  <c r="BS116" i="110" s="1"/>
  <c r="AK116" i="110" a="1"/>
  <c r="AK116" i="110" s="1"/>
  <c r="BF116" i="110" a="1"/>
  <c r="BF116" i="110" s="1"/>
  <c r="BW116" i="110" s="1"/>
  <c r="AM116" i="110" a="1"/>
  <c r="AM116" i="110" s="1"/>
  <c r="V116" i="110"/>
  <c r="AV116" i="110" a="1"/>
  <c r="AV116" i="110" s="1"/>
  <c r="BH116" i="110" a="1"/>
  <c r="BH116" i="110" s="1"/>
  <c r="BG116" i="110" a="1"/>
  <c r="BG116" i="110" s="1"/>
  <c r="AU116" i="110" a="1"/>
  <c r="AU116" i="110" s="1"/>
  <c r="AF116" i="110"/>
  <c r="AG116" i="110" s="1"/>
  <c r="AH116" i="110" s="1"/>
  <c r="AI116" i="110" s="1"/>
  <c r="AW116" i="110" s="1" a="1"/>
  <c r="AW116" i="110" s="1"/>
  <c r="BE116" i="110" a="1"/>
  <c r="BE116" i="110" s="1"/>
  <c r="BV116" i="110" s="1"/>
  <c r="AT116" i="110" a="1"/>
  <c r="AT116" i="110" s="1"/>
  <c r="AR116" i="110" a="1"/>
  <c r="AR116" i="110" s="1"/>
  <c r="AP116" i="110" a="1"/>
  <c r="AP116" i="110" s="1"/>
  <c r="BD116" i="110" a="1"/>
  <c r="BD116" i="110" s="1"/>
  <c r="BU116" i="110" s="1"/>
  <c r="AO116" i="110" a="1"/>
  <c r="AO116" i="110" s="1"/>
  <c r="BL116" i="110" s="1"/>
  <c r="AQ116" i="110" a="1"/>
  <c r="AQ116" i="110" s="1"/>
  <c r="AJ116" i="110" a="1"/>
  <c r="AJ116" i="110" s="1"/>
  <c r="AN116" i="110" a="1"/>
  <c r="AN116" i="110" s="1"/>
  <c r="BK116" i="110" s="1"/>
  <c r="AZ116" i="110" a="1"/>
  <c r="AZ116" i="110" s="1"/>
  <c r="AY116" i="110" a="1"/>
  <c r="AY116" i="110" s="1"/>
  <c r="AX116" i="110" a="1"/>
  <c r="AX116" i="110" s="1"/>
  <c r="BC116" i="110" a="1"/>
  <c r="BC116" i="110" s="1"/>
  <c r="BT116" i="110" s="1"/>
  <c r="BA116" i="110" a="1"/>
  <c r="BA116" i="110" s="1"/>
  <c r="BC115" i="110" a="1"/>
  <c r="BC115" i="110" s="1"/>
  <c r="BT115" i="110" s="1"/>
  <c r="BH115" i="110" a="1"/>
  <c r="BH115" i="110" s="1"/>
  <c r="BX115" i="110" s="1"/>
  <c r="BF115" i="110" a="1"/>
  <c r="BF115" i="110" s="1"/>
  <c r="BW115" i="110" s="1"/>
  <c r="AJ115" i="110" a="1"/>
  <c r="AJ115" i="110" s="1"/>
  <c r="BI115" i="110" s="1"/>
  <c r="AS115" i="110" a="1"/>
  <c r="AS115" i="110" s="1"/>
  <c r="BN115" i="110" s="1"/>
  <c r="BX114" i="110"/>
  <c r="BD115" i="110" a="1"/>
  <c r="BD115" i="110" s="1"/>
  <c r="BU115" i="110" s="1"/>
  <c r="AU115" i="110" a="1"/>
  <c r="AU115" i="110" s="1"/>
  <c r="BO115" i="110" s="1"/>
  <c r="AO115" i="110" a="1"/>
  <c r="AO115" i="110" s="1"/>
  <c r="BL115" i="110" s="1"/>
  <c r="BP114" i="110"/>
  <c r="BQ114" i="110" s="1"/>
  <c r="BO116" i="110" l="1"/>
  <c r="BX116" i="110"/>
  <c r="BR116" i="110"/>
  <c r="BP115" i="110"/>
  <c r="BQ115" i="110" s="1"/>
  <c r="BR115" i="110"/>
  <c r="BM116" i="110"/>
  <c r="BP116" i="110"/>
  <c r="BQ116" i="110" s="1"/>
  <c r="AL116" i="110" a="1"/>
  <c r="AL116" i="110" s="1"/>
  <c r="BI116" i="110" s="1"/>
  <c r="M118" i="110"/>
  <c r="I118" i="110" s="1"/>
  <c r="BJ115" i="110"/>
  <c r="AS116" i="110" a="1"/>
  <c r="AS116" i="110" s="1"/>
  <c r="BN116" i="110" s="1"/>
  <c r="BM115" i="110"/>
  <c r="AC114" i="110"/>
  <c r="AA114" i="110" s="1"/>
  <c r="Z114" i="110"/>
  <c r="BJ114" i="110"/>
  <c r="V117" i="110"/>
  <c r="AF117" i="110"/>
  <c r="AG117" i="110" s="1"/>
  <c r="AH117" i="110" s="1"/>
  <c r="AI117" i="110" s="1"/>
  <c r="AN117" i="110" s="1" a="1"/>
  <c r="AN117" i="110" s="1"/>
  <c r="BK117" i="110" s="1"/>
  <c r="AT117" i="110" a="1"/>
  <c r="AT117" i="110" s="1"/>
  <c r="AO117" i="110" a="1"/>
  <c r="AO117" i="110" s="1"/>
  <c r="BL117" i="110" s="1"/>
  <c r="BB117" i="110" a="1"/>
  <c r="BB117" i="110" s="1"/>
  <c r="BS117" i="110" s="1"/>
  <c r="AP117" i="110" a="1"/>
  <c r="AP117" i="110" s="1"/>
  <c r="BA117" i="110" a="1"/>
  <c r="BA117" i="110" s="1"/>
  <c r="AZ117" i="110" a="1"/>
  <c r="AZ117" i="110" s="1"/>
  <c r="AJ117" i="110" a="1"/>
  <c r="AJ117" i="110" s="1"/>
  <c r="AY117" i="110" a="1"/>
  <c r="AY117" i="110" s="1"/>
  <c r="AU117" i="110" a="1"/>
  <c r="AU117" i="110" s="1"/>
  <c r="AL117" i="110" a="1"/>
  <c r="AL117" i="110" s="1"/>
  <c r="AK117" i="110" a="1"/>
  <c r="AK117" i="110" s="1"/>
  <c r="BE117" i="110" l="1" a="1"/>
  <c r="BE117" i="110" s="1"/>
  <c r="BV117" i="110" s="1"/>
  <c r="BC117" i="110" a="1"/>
  <c r="BC117" i="110" s="1"/>
  <c r="BT117" i="110" s="1"/>
  <c r="AQ117" i="110" a="1"/>
  <c r="AQ117" i="110" s="1"/>
  <c r="AR117" i="110" a="1"/>
  <c r="AR117" i="110" s="1"/>
  <c r="BD117" i="110" a="1"/>
  <c r="BD117" i="110" s="1"/>
  <c r="BU117" i="110" s="1"/>
  <c r="BF117" i="110" a="1"/>
  <c r="BF117" i="110" s="1"/>
  <c r="BW117" i="110" s="1"/>
  <c r="BH117" i="110" a="1"/>
  <c r="BH117" i="110" s="1"/>
  <c r="AS117" i="110" a="1"/>
  <c r="AS117" i="110" s="1"/>
  <c r="BN117" i="110" s="1"/>
  <c r="AW117" i="110" a="1"/>
  <c r="AW117" i="110" s="1"/>
  <c r="AX117" i="110" a="1"/>
  <c r="AX117" i="110" s="1"/>
  <c r="AM117" i="110" a="1"/>
  <c r="AM117" i="110" s="1"/>
  <c r="BJ117" i="110" s="1"/>
  <c r="BG117" i="110" a="1"/>
  <c r="BG117" i="110" s="1"/>
  <c r="AV117" i="110" a="1"/>
  <c r="AV117" i="110" s="1"/>
  <c r="AC115" i="110"/>
  <c r="AA115" i="110" s="1"/>
  <c r="G118" i="110"/>
  <c r="O118" i="110" s="1"/>
  <c r="P118" i="110" s="1"/>
  <c r="BI117" i="110"/>
  <c r="BO117" i="110"/>
  <c r="H118" i="110"/>
  <c r="E119" i="110" s="1"/>
  <c r="F119" i="110" s="1"/>
  <c r="M119" i="110" s="1"/>
  <c r="I119" i="110" s="1"/>
  <c r="BR117" i="110"/>
  <c r="BJ116" i="110"/>
  <c r="AC116" i="110"/>
  <c r="AA116" i="110" s="1"/>
  <c r="Z116" i="110"/>
  <c r="AB114" i="110"/>
  <c r="AE114" i="110" s="1"/>
  <c r="AD114" i="110"/>
  <c r="T114" i="110"/>
  <c r="Y114" i="110"/>
  <c r="S114" i="110" s="1"/>
  <c r="AB115" i="110"/>
  <c r="AD115" i="110"/>
  <c r="Z115" i="110"/>
  <c r="BM117" i="110" l="1"/>
  <c r="BP117" i="110"/>
  <c r="BQ117" i="110" s="1"/>
  <c r="AB117" i="110" s="1"/>
  <c r="BX117" i="110"/>
  <c r="N118" i="110"/>
  <c r="Q118" i="110"/>
  <c r="W118" i="110"/>
  <c r="AC117" i="110"/>
  <c r="AA117" i="110" s="1"/>
  <c r="Z117" i="110"/>
  <c r="T117" i="110" s="1"/>
  <c r="G119" i="110"/>
  <c r="O119" i="110" s="1"/>
  <c r="H119" i="110"/>
  <c r="E120" i="110" s="1"/>
  <c r="F120" i="110" s="1"/>
  <c r="T116" i="110"/>
  <c r="Y116" i="110"/>
  <c r="S116" i="110" s="1"/>
  <c r="AB116" i="110"/>
  <c r="AE116" i="110" s="1"/>
  <c r="AD116" i="110"/>
  <c r="V118" i="110"/>
  <c r="AD117" i="110"/>
  <c r="T115" i="110"/>
  <c r="Y115" i="110"/>
  <c r="S115" i="110" s="1"/>
  <c r="AE115" i="110"/>
  <c r="Y117" i="110" l="1"/>
  <c r="S117" i="110" s="1"/>
  <c r="AE117" i="110"/>
  <c r="AY118" i="110" a="1"/>
  <c r="AY118" i="110" s="1"/>
  <c r="AW118" i="110" a="1"/>
  <c r="AW118" i="110" s="1"/>
  <c r="AO118" i="110" a="1"/>
  <c r="AO118" i="110" s="1"/>
  <c r="BL118" i="110" s="1"/>
  <c r="AF118" i="110"/>
  <c r="AG118" i="110" s="1"/>
  <c r="AH118" i="110" s="1"/>
  <c r="AI118" i="110" s="1"/>
  <c r="AL118" i="110" a="1"/>
  <c r="AL118" i="110" s="1"/>
  <c r="BH118" i="110" a="1"/>
  <c r="BH118" i="110" s="1"/>
  <c r="BB118" i="110" a="1"/>
  <c r="BB118" i="110" s="1"/>
  <c r="BS118" i="110" s="1"/>
  <c r="M120" i="110"/>
  <c r="G120" i="110" s="1"/>
  <c r="O120" i="110" s="1"/>
  <c r="P119" i="110"/>
  <c r="W119" i="110"/>
  <c r="N119" i="110"/>
  <c r="Q119" i="110"/>
  <c r="BG118" i="110" l="1" a="1"/>
  <c r="BG118" i="110" s="1"/>
  <c r="BX118" i="110" s="1"/>
  <c r="BF118" i="110" a="1"/>
  <c r="BF118" i="110" s="1"/>
  <c r="BW118" i="110" s="1"/>
  <c r="AX118" i="110" a="1"/>
  <c r="AX118" i="110" s="1"/>
  <c r="AV118" i="110" a="1"/>
  <c r="AV118" i="110" s="1"/>
  <c r="AU118" i="110" a="1"/>
  <c r="AU118" i="110" s="1"/>
  <c r="AP118" i="110" a="1"/>
  <c r="AP118" i="110" s="1"/>
  <c r="AM118" i="110" a="1"/>
  <c r="AM118" i="110" s="1"/>
  <c r="AT118" i="110" a="1"/>
  <c r="AT118" i="110" s="1"/>
  <c r="BD118" i="110" a="1"/>
  <c r="BD118" i="110" s="1"/>
  <c r="BU118" i="110" s="1"/>
  <c r="AS118" i="110" a="1"/>
  <c r="AS118" i="110" s="1"/>
  <c r="BN118" i="110" s="1"/>
  <c r="BC118" i="110" a="1"/>
  <c r="BC118" i="110" s="1"/>
  <c r="BT118" i="110" s="1"/>
  <c r="AR118" i="110" a="1"/>
  <c r="AR118" i="110" s="1"/>
  <c r="BE118" i="110" a="1"/>
  <c r="BE118" i="110" s="1"/>
  <c r="BV118" i="110" s="1"/>
  <c r="AN118" i="110" a="1"/>
  <c r="AN118" i="110" s="1"/>
  <c r="BK118" i="110" s="1"/>
  <c r="BA118" i="110" a="1"/>
  <c r="BA118" i="110" s="1"/>
  <c r="AK118" i="110" a="1"/>
  <c r="AK118" i="110" s="1"/>
  <c r="AZ118" i="110" a="1"/>
  <c r="AZ118" i="110" s="1"/>
  <c r="AQ118" i="110" a="1"/>
  <c r="AQ118" i="110" s="1"/>
  <c r="AJ118" i="110" a="1"/>
  <c r="AJ118" i="110" s="1"/>
  <c r="BI118" i="110" s="1"/>
  <c r="I120" i="110"/>
  <c r="H120" i="110"/>
  <c r="E121" i="110" s="1"/>
  <c r="F121" i="110" s="1"/>
  <c r="M121" i="110" s="1"/>
  <c r="G121" i="110" s="1"/>
  <c r="O121" i="110" s="1"/>
  <c r="V119" i="110"/>
  <c r="AF119" i="110"/>
  <c r="AG119" i="110" s="1"/>
  <c r="AH119" i="110" s="1"/>
  <c r="AI119" i="110" s="1"/>
  <c r="AJ119" i="110" s="1" a="1"/>
  <c r="AJ119" i="110" s="1"/>
  <c r="AO119" i="110" a="1"/>
  <c r="AO119" i="110" s="1"/>
  <c r="BL119" i="110" s="1"/>
  <c r="AM119" i="110" a="1"/>
  <c r="AM119" i="110" s="1"/>
  <c r="P120" i="110"/>
  <c r="Q120" i="110"/>
  <c r="N120" i="110"/>
  <c r="W120" i="110"/>
  <c r="BE119" i="110" l="1" a="1"/>
  <c r="BE119" i="110" s="1"/>
  <c r="BV119" i="110" s="1"/>
  <c r="BJ118" i="110"/>
  <c r="BO118" i="110"/>
  <c r="BF119" i="110" a="1"/>
  <c r="BF119" i="110" s="1"/>
  <c r="BW119" i="110" s="1"/>
  <c r="BH119" i="110" a="1"/>
  <c r="BH119" i="110" s="1"/>
  <c r="BM118" i="110"/>
  <c r="AT119" i="110" a="1"/>
  <c r="AT119" i="110" s="1"/>
  <c r="AS119" i="110" a="1"/>
  <c r="AS119" i="110" s="1"/>
  <c r="BN119" i="110" s="1"/>
  <c r="BP118" i="110"/>
  <c r="BQ118" i="110" s="1"/>
  <c r="AB118" i="110" s="1"/>
  <c r="AY119" i="110" a="1"/>
  <c r="AY119" i="110" s="1"/>
  <c r="AK119" i="110" a="1"/>
  <c r="AK119" i="110" s="1"/>
  <c r="BR118" i="110"/>
  <c r="BC119" i="110" a="1"/>
  <c r="BC119" i="110" s="1"/>
  <c r="BT119" i="110" s="1"/>
  <c r="I121" i="110"/>
  <c r="H121" i="110"/>
  <c r="E122" i="110" s="1"/>
  <c r="F122" i="110" s="1"/>
  <c r="M122" i="110" s="1"/>
  <c r="H122" i="110" s="1"/>
  <c r="E123" i="110" s="1"/>
  <c r="F123" i="110" s="1"/>
  <c r="P121" i="110"/>
  <c r="N121" i="110"/>
  <c r="Q121" i="110"/>
  <c r="W121" i="110"/>
  <c r="AV119" i="110" a="1"/>
  <c r="AV119" i="110" s="1"/>
  <c r="BG119" i="110" a="1"/>
  <c r="BG119" i="110" s="1"/>
  <c r="AN119" i="110" a="1"/>
  <c r="AN119" i="110" s="1"/>
  <c r="BK119" i="110" s="1"/>
  <c r="AX119" i="110" a="1"/>
  <c r="AX119" i="110" s="1"/>
  <c r="BB119" i="110" a="1"/>
  <c r="BB119" i="110" s="1"/>
  <c r="BS119" i="110" s="1"/>
  <c r="AP119" i="110" a="1"/>
  <c r="AP119" i="110" s="1"/>
  <c r="AL119" i="110" a="1"/>
  <c r="AL119" i="110" s="1"/>
  <c r="BI119" i="110" s="1"/>
  <c r="AU119" i="110" a="1"/>
  <c r="AU119" i="110" s="1"/>
  <c r="BD119" i="110" a="1"/>
  <c r="BD119" i="110" s="1"/>
  <c r="BU119" i="110" s="1"/>
  <c r="V120" i="110"/>
  <c r="BB120" i="110" a="1"/>
  <c r="BB120" i="110" s="1"/>
  <c r="BS120" i="110" s="1"/>
  <c r="AP120" i="110" a="1"/>
  <c r="AP120" i="110" s="1"/>
  <c r="BF120" i="110" a="1"/>
  <c r="BF120" i="110" s="1"/>
  <c r="BW120" i="110" s="1"/>
  <c r="AU120" i="110" a="1"/>
  <c r="AU120" i="110" s="1"/>
  <c r="AF120" i="110"/>
  <c r="AG120" i="110" s="1"/>
  <c r="AH120" i="110" s="1"/>
  <c r="AI120" i="110" s="1"/>
  <c r="BC120" i="110" s="1" a="1"/>
  <c r="BC120" i="110" s="1"/>
  <c r="BT120" i="110" s="1"/>
  <c r="AT120" i="110" a="1"/>
  <c r="AT120" i="110" s="1"/>
  <c r="BE120" i="110" a="1"/>
  <c r="BE120" i="110" s="1"/>
  <c r="BV120" i="110" s="1"/>
  <c r="AS120" i="110" a="1"/>
  <c r="AS120" i="110" s="1"/>
  <c r="BN120" i="110" s="1"/>
  <c r="AX120" i="110" a="1"/>
  <c r="AX120" i="110" s="1"/>
  <c r="AJ120" i="110" a="1"/>
  <c r="AJ120" i="110" s="1"/>
  <c r="AZ120" i="110" a="1"/>
  <c r="AZ120" i="110" s="1"/>
  <c r="AY120" i="110" a="1"/>
  <c r="AY120" i="110" s="1"/>
  <c r="AK120" i="110" a="1"/>
  <c r="AK120" i="110" s="1"/>
  <c r="AW120" i="110" a="1"/>
  <c r="AW120" i="110" s="1"/>
  <c r="AV120" i="110" a="1"/>
  <c r="AV120" i="110" s="1"/>
  <c r="AN120" i="110" a="1"/>
  <c r="AN120" i="110" s="1"/>
  <c r="BK120" i="110" s="1"/>
  <c r="BH120" i="110" a="1"/>
  <c r="BH120" i="110" s="1"/>
  <c r="BG120" i="110" a="1"/>
  <c r="BG120" i="110" s="1"/>
  <c r="BD120" i="110" a="1"/>
  <c r="BD120" i="110" s="1"/>
  <c r="BU120" i="110" s="1"/>
  <c r="AO120" i="110" a="1"/>
  <c r="AO120" i="110" s="1"/>
  <c r="BL120" i="110" s="1"/>
  <c r="BA119" i="110" a="1"/>
  <c r="BA119" i="110" s="1"/>
  <c r="AR119" i="110" a="1"/>
  <c r="AR119" i="110" s="1"/>
  <c r="AW119" i="110" a="1"/>
  <c r="AW119" i="110" s="1"/>
  <c r="AQ119" i="110" a="1"/>
  <c r="AQ119" i="110" s="1"/>
  <c r="AZ119" i="110" a="1"/>
  <c r="AZ119" i="110" s="1"/>
  <c r="AC118" i="110" l="1"/>
  <c r="AA118" i="110" s="1"/>
  <c r="BO119" i="110"/>
  <c r="BX119" i="110"/>
  <c r="Z118" i="110"/>
  <c r="AD118" i="110"/>
  <c r="BP120" i="110"/>
  <c r="BQ120" i="110" s="1"/>
  <c r="AM120" i="110" a="1"/>
  <c r="AM120" i="110" s="1"/>
  <c r="AQ120" i="110" a="1"/>
  <c r="AQ120" i="110" s="1"/>
  <c r="I122" i="110"/>
  <c r="BO120" i="110"/>
  <c r="BX120" i="110"/>
  <c r="AR120" i="110" a="1"/>
  <c r="AR120" i="110" s="1"/>
  <c r="BA120" i="110" a="1"/>
  <c r="BA120" i="110" s="1"/>
  <c r="BR120" i="110" s="1"/>
  <c r="AL120" i="110" a="1"/>
  <c r="AL120" i="110" s="1"/>
  <c r="BI120" i="110" s="1"/>
  <c r="M123" i="110"/>
  <c r="G123" i="110" s="1"/>
  <c r="O123" i="110" s="1"/>
  <c r="BJ119" i="110"/>
  <c r="BM119" i="110"/>
  <c r="BP119" i="110"/>
  <c r="BQ119" i="110" s="1"/>
  <c r="BR119" i="110"/>
  <c r="BH121" i="110" a="1"/>
  <c r="BH121" i="110" s="1"/>
  <c r="AF121" i="110"/>
  <c r="AG121" i="110" s="1"/>
  <c r="AH121" i="110" s="1"/>
  <c r="AI121" i="110" s="1"/>
  <c r="AK121" i="110" s="1" a="1"/>
  <c r="AK121" i="110" s="1"/>
  <c r="AV121" i="110" a="1"/>
  <c r="AV121" i="110" s="1"/>
  <c r="AX121" i="110" a="1"/>
  <c r="AX121" i="110" s="1"/>
  <c r="AS121" i="110" a="1"/>
  <c r="AS121" i="110" s="1"/>
  <c r="BN121" i="110" s="1"/>
  <c r="AZ121" i="110" a="1"/>
  <c r="AZ121" i="110" s="1"/>
  <c r="BD121" i="110" a="1"/>
  <c r="BD121" i="110" s="1"/>
  <c r="BU121" i="110" s="1"/>
  <c r="AR121" i="110" a="1"/>
  <c r="AR121" i="110" s="1"/>
  <c r="AQ121" i="110" a="1"/>
  <c r="AQ121" i="110" s="1"/>
  <c r="V121" i="110"/>
  <c r="G122" i="110"/>
  <c r="O122" i="110" s="1"/>
  <c r="T118" i="110" l="1"/>
  <c r="Y118" i="110"/>
  <c r="S118" i="110" s="1"/>
  <c r="AE118" i="110"/>
  <c r="AM121" i="110" a="1"/>
  <c r="AM121" i="110" s="1"/>
  <c r="H123" i="110"/>
  <c r="E124" i="110" s="1"/>
  <c r="F124" i="110" s="1"/>
  <c r="M124" i="110" s="1"/>
  <c r="I124" i="110" s="1"/>
  <c r="BA121" i="110" a="1"/>
  <c r="BA121" i="110" s="1"/>
  <c r="BR121" i="110" s="1"/>
  <c r="I123" i="110"/>
  <c r="AL121" i="110" a="1"/>
  <c r="AL121" i="110" s="1"/>
  <c r="BM120" i="110"/>
  <c r="BC121" i="110" a="1"/>
  <c r="BC121" i="110" s="1"/>
  <c r="BT121" i="110" s="1"/>
  <c r="AN121" i="110" a="1"/>
  <c r="AN121" i="110" s="1"/>
  <c r="BK121" i="110" s="1"/>
  <c r="AT121" i="110" a="1"/>
  <c r="AT121" i="110" s="1"/>
  <c r="BG121" i="110" a="1"/>
  <c r="BG121" i="110" s="1"/>
  <c r="BX121" i="110" s="1"/>
  <c r="AW121" i="110" a="1"/>
  <c r="AW121" i="110" s="1"/>
  <c r="BP121" i="110" s="1"/>
  <c r="Z120" i="110"/>
  <c r="T120" i="110" s="1"/>
  <c r="AC120" i="110"/>
  <c r="AA120" i="110" s="1"/>
  <c r="BJ120" i="110"/>
  <c r="AB120" i="110" s="1"/>
  <c r="Z119" i="110"/>
  <c r="T119" i="110" s="1"/>
  <c r="P123" i="110"/>
  <c r="Q123" i="110"/>
  <c r="N123" i="110"/>
  <c r="W123" i="110"/>
  <c r="AU121" i="110" a="1"/>
  <c r="AU121" i="110" s="1"/>
  <c r="BE121" i="110" a="1"/>
  <c r="BE121" i="110" s="1"/>
  <c r="BV121" i="110" s="1"/>
  <c r="AP121" i="110" a="1"/>
  <c r="AP121" i="110" s="1"/>
  <c r="BM121" i="110" s="1"/>
  <c r="AC119" i="110"/>
  <c r="AA119" i="110" s="1"/>
  <c r="AY121" i="110" a="1"/>
  <c r="AY121" i="110" s="1"/>
  <c r="AB119" i="110"/>
  <c r="AD119" i="110"/>
  <c r="P122" i="110"/>
  <c r="W122" i="110"/>
  <c r="N122" i="110"/>
  <c r="Q122" i="110"/>
  <c r="AO121" i="110" a="1"/>
  <c r="AO121" i="110" s="1"/>
  <c r="BL121" i="110" s="1"/>
  <c r="BF121" i="110" a="1"/>
  <c r="BF121" i="110" s="1"/>
  <c r="BW121" i="110" s="1"/>
  <c r="AJ121" i="110" a="1"/>
  <c r="AJ121" i="110" s="1"/>
  <c r="BB121" i="110" a="1"/>
  <c r="BB121" i="110" s="1"/>
  <c r="BS121" i="110" s="1"/>
  <c r="Y120" i="110" l="1"/>
  <c r="S120" i="110" s="1"/>
  <c r="BI121" i="110"/>
  <c r="AE120" i="110"/>
  <c r="G124" i="110"/>
  <c r="O124" i="110" s="1"/>
  <c r="AD120" i="110"/>
  <c r="BO121" i="110"/>
  <c r="Z121" i="110" s="1"/>
  <c r="Y119" i="110"/>
  <c r="S119" i="110" s="1"/>
  <c r="AE119" i="110"/>
  <c r="BQ121" i="110"/>
  <c r="H124" i="110"/>
  <c r="E125" i="110" s="1"/>
  <c r="F125" i="110" s="1"/>
  <c r="M125" i="110" s="1"/>
  <c r="I125" i="110" s="1"/>
  <c r="P124" i="110"/>
  <c r="N124" i="110"/>
  <c r="Q124" i="110"/>
  <c r="W124" i="110"/>
  <c r="BJ121" i="110"/>
  <c r="AF123" i="110"/>
  <c r="AG123" i="110" s="1"/>
  <c r="AH123" i="110" s="1"/>
  <c r="AI123" i="110" s="1"/>
  <c r="AZ123" i="110" s="1" a="1"/>
  <c r="AZ123" i="110" s="1"/>
  <c r="V123" i="110"/>
  <c r="V122" i="110"/>
  <c r="AF122" i="110"/>
  <c r="AG122" i="110" s="1"/>
  <c r="AH122" i="110" s="1"/>
  <c r="AI122" i="110" s="1"/>
  <c r="AJ122" i="110" s="1" a="1"/>
  <c r="AJ122" i="110" s="1"/>
  <c r="BG122" i="110" a="1"/>
  <c r="BG122" i="110" s="1"/>
  <c r="AW123" i="110" l="1" a="1"/>
  <c r="AW123" i="110" s="1"/>
  <c r="BH123" i="110" a="1"/>
  <c r="BH123" i="110" s="1"/>
  <c r="AC121" i="110"/>
  <c r="AA121" i="110" s="1"/>
  <c r="AV123" i="110" a="1"/>
  <c r="AV123" i="110" s="1"/>
  <c r="AO123" i="110" a="1"/>
  <c r="AO123" i="110" s="1"/>
  <c r="BL123" i="110" s="1"/>
  <c r="AJ123" i="110" a="1"/>
  <c r="AJ123" i="110" s="1"/>
  <c r="AL123" i="110" a="1"/>
  <c r="AL123" i="110" s="1"/>
  <c r="AX123" i="110" a="1"/>
  <c r="AX123" i="110" s="1"/>
  <c r="AY123" i="110" a="1"/>
  <c r="AY123" i="110" s="1"/>
  <c r="AN123" i="110" a="1"/>
  <c r="AN123" i="110" s="1"/>
  <c r="BK123" i="110" s="1"/>
  <c r="BE123" i="110" a="1"/>
  <c r="BE123" i="110" s="1"/>
  <c r="BV123" i="110" s="1"/>
  <c r="AS123" i="110" a="1"/>
  <c r="AS123" i="110" s="1"/>
  <c r="BN123" i="110" s="1"/>
  <c r="AY122" i="110" a="1"/>
  <c r="AY122" i="110" s="1"/>
  <c r="BF122" i="110" a="1"/>
  <c r="BF122" i="110" s="1"/>
  <c r="BW122" i="110" s="1"/>
  <c r="BA122" i="110" a="1"/>
  <c r="BA122" i="110" s="1"/>
  <c r="AU123" i="110" a="1"/>
  <c r="AU123" i="110" s="1"/>
  <c r="AZ122" i="110" a="1"/>
  <c r="AZ122" i="110" s="1"/>
  <c r="AM123" i="110" a="1"/>
  <c r="AM123" i="110" s="1"/>
  <c r="AS122" i="110" a="1"/>
  <c r="AS122" i="110" s="1"/>
  <c r="BN122" i="110" s="1"/>
  <c r="BD123" i="110" a="1"/>
  <c r="BD123" i="110" s="1"/>
  <c r="BU123" i="110" s="1"/>
  <c r="BD122" i="110" a="1"/>
  <c r="BD122" i="110" s="1"/>
  <c r="BU122" i="110" s="1"/>
  <c r="BF123" i="110" a="1"/>
  <c r="BF123" i="110" s="1"/>
  <c r="BW123" i="110" s="1"/>
  <c r="BC122" i="110" a="1"/>
  <c r="BC122" i="110" s="1"/>
  <c r="BT122" i="110" s="1"/>
  <c r="AO122" i="110" a="1"/>
  <c r="AO122" i="110" s="1"/>
  <c r="BL122" i="110" s="1"/>
  <c r="BA123" i="110" a="1"/>
  <c r="BA123" i="110" s="1"/>
  <c r="BR123" i="110" s="1"/>
  <c r="AN122" i="110" a="1"/>
  <c r="AN122" i="110" s="1"/>
  <c r="BK122" i="110" s="1"/>
  <c r="AQ123" i="110" a="1"/>
  <c r="AQ123" i="110" s="1"/>
  <c r="T121" i="110"/>
  <c r="Y121" i="110"/>
  <c r="S121" i="110" s="1"/>
  <c r="BB122" i="110" a="1"/>
  <c r="BB122" i="110" s="1"/>
  <c r="BS122" i="110" s="1"/>
  <c r="AX122" i="110" a="1"/>
  <c r="AX122" i="110" s="1"/>
  <c r="AP123" i="110" a="1"/>
  <c r="AP123" i="110" s="1"/>
  <c r="AL122" i="110" a="1"/>
  <c r="AL122" i="110" s="1"/>
  <c r="BG123" i="110" a="1"/>
  <c r="BG123" i="110" s="1"/>
  <c r="BX123" i="110" s="1"/>
  <c r="AD121" i="110"/>
  <c r="AB121" i="110"/>
  <c r="AE121" i="110" s="1"/>
  <c r="AP122" i="110" a="1"/>
  <c r="AP122" i="110" s="1"/>
  <c r="AR123" i="110" a="1"/>
  <c r="AR123" i="110" s="1"/>
  <c r="G125" i="110"/>
  <c r="O125" i="110" s="1"/>
  <c r="AM122" i="110" a="1"/>
  <c r="AM122" i="110" s="1"/>
  <c r="BB123" i="110" a="1"/>
  <c r="BB123" i="110" s="1"/>
  <c r="BS123" i="110" s="1"/>
  <c r="AT122" i="110" a="1"/>
  <c r="AT122" i="110" s="1"/>
  <c r="AU122" i="110" a="1"/>
  <c r="AU122" i="110" s="1"/>
  <c r="AV122" i="110" a="1"/>
  <c r="AV122" i="110" s="1"/>
  <c r="H125" i="110"/>
  <c r="E126" i="110" s="1"/>
  <c r="F126" i="110" s="1"/>
  <c r="AQ122" i="110" a="1"/>
  <c r="AQ122" i="110" s="1"/>
  <c r="BH122" i="110" a="1"/>
  <c r="BH122" i="110" s="1"/>
  <c r="BX122" i="110" s="1"/>
  <c r="BE122" i="110" a="1"/>
  <c r="BE122" i="110" s="1"/>
  <c r="BV122" i="110" s="1"/>
  <c r="AK123" i="110" a="1"/>
  <c r="AK123" i="110" s="1"/>
  <c r="BI123" i="110" s="1"/>
  <c r="AF124" i="110"/>
  <c r="AG124" i="110" s="1"/>
  <c r="AH124" i="110" s="1"/>
  <c r="AI124" i="110" s="1"/>
  <c r="AZ124" i="110" s="1" a="1"/>
  <c r="AZ124" i="110" s="1"/>
  <c r="V124" i="110"/>
  <c r="AJ124" i="110" a="1"/>
  <c r="AJ124" i="110" s="1"/>
  <c r="AW122" i="110" a="1"/>
  <c r="AW122" i="110" s="1"/>
  <c r="AT123" i="110" a="1"/>
  <c r="AT123" i="110" s="1"/>
  <c r="BO123" i="110" s="1"/>
  <c r="AR122" i="110" a="1"/>
  <c r="AR122" i="110" s="1"/>
  <c r="BC123" i="110" a="1"/>
  <c r="BC123" i="110" s="1"/>
  <c r="BT123" i="110" s="1"/>
  <c r="AK122" i="110" a="1"/>
  <c r="AK122" i="110" s="1"/>
  <c r="AT124" i="110" l="1" a="1"/>
  <c r="AT124" i="110" s="1"/>
  <c r="AL124" i="110" a="1"/>
  <c r="AL124" i="110" s="1"/>
  <c r="AR124" i="110" a="1"/>
  <c r="AR124" i="110" s="1"/>
  <c r="BD124" i="110" a="1"/>
  <c r="BD124" i="110" s="1"/>
  <c r="BU124" i="110" s="1"/>
  <c r="AS124" i="110" a="1"/>
  <c r="AS124" i="110" s="1"/>
  <c r="BN124" i="110" s="1"/>
  <c r="BA124" i="110" a="1"/>
  <c r="BA124" i="110" s="1"/>
  <c r="BR124" i="110" s="1"/>
  <c r="AV124" i="110" a="1"/>
  <c r="AV124" i="110" s="1"/>
  <c r="AW124" i="110" a="1"/>
  <c r="AW124" i="110" s="1"/>
  <c r="BC124" i="110" a="1"/>
  <c r="BC124" i="110" s="1"/>
  <c r="BT124" i="110" s="1"/>
  <c r="BH124" i="110" a="1"/>
  <c r="BH124" i="110" s="1"/>
  <c r="BB124" i="110" a="1"/>
  <c r="BB124" i="110" s="1"/>
  <c r="BS124" i="110" s="1"/>
  <c r="AK124" i="110" a="1"/>
  <c r="AK124" i="110" s="1"/>
  <c r="BI124" i="110" s="1"/>
  <c r="AQ124" i="110" a="1"/>
  <c r="AQ124" i="110" s="1"/>
  <c r="BP123" i="110"/>
  <c r="BQ123" i="110" s="1"/>
  <c r="AX124" i="110" a="1"/>
  <c r="AX124" i="110" s="1"/>
  <c r="AY124" i="110" a="1"/>
  <c r="AY124" i="110" s="1"/>
  <c r="AU124" i="110" a="1"/>
  <c r="AU124" i="110" s="1"/>
  <c r="BO124" i="110" s="1"/>
  <c r="BE124" i="110" a="1"/>
  <c r="BE124" i="110" s="1"/>
  <c r="BV124" i="110" s="1"/>
  <c r="AP124" i="110" a="1"/>
  <c r="AP124" i="110" s="1"/>
  <c r="BG124" i="110" a="1"/>
  <c r="BG124" i="110" s="1"/>
  <c r="BX124" i="110" s="1"/>
  <c r="BI122" i="110"/>
  <c r="BJ122" i="110" s="1"/>
  <c r="BM123" i="110"/>
  <c r="AC123" i="110" s="1"/>
  <c r="AA123" i="110" s="1"/>
  <c r="AM124" i="110" a="1"/>
  <c r="AM124" i="110" s="1"/>
  <c r="BJ123" i="110"/>
  <c r="AN124" i="110" a="1"/>
  <c r="AN124" i="110" s="1"/>
  <c r="BK124" i="110" s="1"/>
  <c r="P125" i="110"/>
  <c r="W125" i="110"/>
  <c r="Q125" i="110"/>
  <c r="N125" i="110"/>
  <c r="BM122" i="110"/>
  <c r="AO124" i="110" a="1"/>
  <c r="AO124" i="110" s="1"/>
  <c r="BL124" i="110" s="1"/>
  <c r="BF124" i="110" a="1"/>
  <c r="BF124" i="110" s="1"/>
  <c r="BW124" i="110" s="1"/>
  <c r="M126" i="110"/>
  <c r="H126" i="110" s="1"/>
  <c r="E127" i="110" s="1"/>
  <c r="F127" i="110" s="1"/>
  <c r="BR122" i="110"/>
  <c r="BP122" i="110"/>
  <c r="BQ122" i="110" s="1"/>
  <c r="BO122" i="110"/>
  <c r="BP124" i="110" l="1"/>
  <c r="BJ124" i="110"/>
  <c r="BM124" i="110"/>
  <c r="Z123" i="110"/>
  <c r="T123" i="110" s="1"/>
  <c r="AC122" i="110"/>
  <c r="AA122" i="110" s="1"/>
  <c r="I126" i="110"/>
  <c r="BQ124" i="110"/>
  <c r="AD124" i="110" s="1"/>
  <c r="Z124" i="110"/>
  <c r="T124" i="110" s="1"/>
  <c r="M127" i="110"/>
  <c r="G127" i="110" s="1"/>
  <c r="O127" i="110" s="1"/>
  <c r="V125" i="110"/>
  <c r="AF125" i="110"/>
  <c r="AG125" i="110" s="1"/>
  <c r="AH125" i="110" s="1"/>
  <c r="AI125" i="110" s="1"/>
  <c r="AV125" i="110" s="1" a="1"/>
  <c r="AV125" i="110" s="1"/>
  <c r="AB122" i="110"/>
  <c r="AD122" i="110"/>
  <c r="Z122" i="110"/>
  <c r="AC124" i="110"/>
  <c r="AA124" i="110" s="1"/>
  <c r="G126" i="110"/>
  <c r="O126" i="110" s="1"/>
  <c r="AD123" i="110"/>
  <c r="AB123" i="110"/>
  <c r="H127" i="110" l="1"/>
  <c r="E128" i="110" s="1"/>
  <c r="F128" i="110" s="1"/>
  <c r="Y123" i="110"/>
  <c r="S123" i="110" s="1"/>
  <c r="AE123" i="110"/>
  <c r="AB124" i="110"/>
  <c r="AE124" i="110" s="1"/>
  <c r="AL125" i="110" a="1"/>
  <c r="AL125" i="110" s="1"/>
  <c r="Y124" i="110"/>
  <c r="S124" i="110" s="1"/>
  <c r="AZ125" i="110" a="1"/>
  <c r="AZ125" i="110" s="1"/>
  <c r="I127" i="110"/>
  <c r="P127" i="110"/>
  <c r="N127" i="110"/>
  <c r="Q127" i="110"/>
  <c r="W127" i="110"/>
  <c r="AX125" i="110" a="1"/>
  <c r="AX125" i="110" s="1"/>
  <c r="AR125" i="110" a="1"/>
  <c r="AR125" i="110" s="1"/>
  <c r="AS125" i="110" a="1"/>
  <c r="AS125" i="110" s="1"/>
  <c r="BN125" i="110" s="1"/>
  <c r="BD125" i="110" a="1"/>
  <c r="BD125" i="110" s="1"/>
  <c r="BU125" i="110" s="1"/>
  <c r="AK125" i="110" a="1"/>
  <c r="AK125" i="110" s="1"/>
  <c r="AT125" i="110" a="1"/>
  <c r="AT125" i="110" s="1"/>
  <c r="BB125" i="110" a="1"/>
  <c r="BB125" i="110" s="1"/>
  <c r="BS125" i="110" s="1"/>
  <c r="P126" i="110"/>
  <c r="W126" i="110"/>
  <c r="Q126" i="110"/>
  <c r="N126" i="110"/>
  <c r="AM125" i="110" a="1"/>
  <c r="AM125" i="110" s="1"/>
  <c r="BG125" i="110" a="1"/>
  <c r="BG125" i="110" s="1"/>
  <c r="BH125" i="110" a="1"/>
  <c r="BH125" i="110" s="1"/>
  <c r="AO125" i="110" a="1"/>
  <c r="AO125" i="110" s="1"/>
  <c r="BL125" i="110" s="1"/>
  <c r="AU125" i="110" a="1"/>
  <c r="AU125" i="110" s="1"/>
  <c r="AY125" i="110" a="1"/>
  <c r="AY125" i="110" s="1"/>
  <c r="M128" i="110"/>
  <c r="G128" i="110" s="1"/>
  <c r="O128" i="110" s="1"/>
  <c r="BE125" i="110" a="1"/>
  <c r="BE125" i="110" s="1"/>
  <c r="BV125" i="110" s="1"/>
  <c r="BA125" i="110" a="1"/>
  <c r="BA125" i="110" s="1"/>
  <c r="BR125" i="110" s="1"/>
  <c r="AP125" i="110" a="1"/>
  <c r="AP125" i="110" s="1"/>
  <c r="T122" i="110"/>
  <c r="Y122" i="110"/>
  <c r="S122" i="110" s="1"/>
  <c r="AE122" i="110"/>
  <c r="BC125" i="110" a="1"/>
  <c r="BC125" i="110" s="1"/>
  <c r="BT125" i="110" s="1"/>
  <c r="AN125" i="110" a="1"/>
  <c r="AN125" i="110" s="1"/>
  <c r="BK125" i="110" s="1"/>
  <c r="AW125" i="110" a="1"/>
  <c r="AW125" i="110" s="1"/>
  <c r="AJ125" i="110" a="1"/>
  <c r="AJ125" i="110" s="1"/>
  <c r="AQ125" i="110" a="1"/>
  <c r="AQ125" i="110" s="1"/>
  <c r="BF125" i="110" a="1"/>
  <c r="BF125" i="110" s="1"/>
  <c r="BW125" i="110" s="1"/>
  <c r="BI125" i="110" l="1"/>
  <c r="BP125" i="110"/>
  <c r="BQ125" i="110" s="1"/>
  <c r="H128" i="110"/>
  <c r="E129" i="110" s="1"/>
  <c r="F129" i="110" s="1"/>
  <c r="M129" i="110" s="1"/>
  <c r="H129" i="110" s="1"/>
  <c r="E130" i="110" s="1"/>
  <c r="F130" i="110" s="1"/>
  <c r="P128" i="110"/>
  <c r="W128" i="110"/>
  <c r="Q128" i="110"/>
  <c r="N128" i="110"/>
  <c r="BE126" i="110" a="1"/>
  <c r="BE126" i="110" s="1"/>
  <c r="BV126" i="110" s="1"/>
  <c r="AF126" i="110"/>
  <c r="AG126" i="110" s="1"/>
  <c r="AH126" i="110" s="1"/>
  <c r="AI126" i="110" s="1"/>
  <c r="AT126" i="110" s="1" a="1"/>
  <c r="AT126" i="110" s="1"/>
  <c r="AR126" i="110" a="1"/>
  <c r="AR126" i="110" s="1"/>
  <c r="BH126" i="110" a="1"/>
  <c r="BH126" i="110" s="1"/>
  <c r="AW126" i="110" a="1"/>
  <c r="AW126" i="110" s="1"/>
  <c r="V126" i="110"/>
  <c r="AQ126" i="110" a="1"/>
  <c r="AQ126" i="110" s="1"/>
  <c r="AM126" i="110" a="1"/>
  <c r="AM126" i="110" s="1"/>
  <c r="AJ126" i="110" a="1"/>
  <c r="AJ126" i="110" s="1"/>
  <c r="BC126" i="110" a="1"/>
  <c r="BC126" i="110" s="1"/>
  <c r="BT126" i="110" s="1"/>
  <c r="I128" i="110"/>
  <c r="BO125" i="110"/>
  <c r="BX125" i="110"/>
  <c r="BJ125" i="110"/>
  <c r="V127" i="110"/>
  <c r="AW127" i="110" a="1"/>
  <c r="AW127" i="110" s="1"/>
  <c r="AF127" i="110"/>
  <c r="AG127" i="110" s="1"/>
  <c r="AH127" i="110" s="1"/>
  <c r="AI127" i="110" s="1"/>
  <c r="AN127" i="110" s="1" a="1"/>
  <c r="AN127" i="110" s="1"/>
  <c r="BK127" i="110" s="1"/>
  <c r="AK127" i="110" a="1"/>
  <c r="AK127" i="110" s="1"/>
  <c r="BM125" i="110"/>
  <c r="AC125" i="110" l="1"/>
  <c r="AA125" i="110" s="1"/>
  <c r="AS127" i="110" a="1"/>
  <c r="AS127" i="110" s="1"/>
  <c r="BN127" i="110" s="1"/>
  <c r="AL126" i="110" a="1"/>
  <c r="AL126" i="110" s="1"/>
  <c r="AT127" i="110" a="1"/>
  <c r="AT127" i="110" s="1"/>
  <c r="BG127" i="110" a="1"/>
  <c r="BG127" i="110" s="1"/>
  <c r="AU127" i="110" a="1"/>
  <c r="AU127" i="110" s="1"/>
  <c r="BO127" i="110" s="1"/>
  <c r="AZ126" i="110" a="1"/>
  <c r="AZ126" i="110" s="1"/>
  <c r="BG126" i="110" a="1"/>
  <c r="BG126" i="110" s="1"/>
  <c r="BX126" i="110" s="1"/>
  <c r="AU126" i="110" a="1"/>
  <c r="AU126" i="110" s="1"/>
  <c r="BO126" i="110" s="1"/>
  <c r="BB127" i="110" a="1"/>
  <c r="BB127" i="110" s="1"/>
  <c r="BS127" i="110" s="1"/>
  <c r="AK126" i="110" a="1"/>
  <c r="AK126" i="110" s="1"/>
  <c r="AZ127" i="110" a="1"/>
  <c r="AZ127" i="110" s="1"/>
  <c r="AX126" i="110" a="1"/>
  <c r="AX126" i="110" s="1"/>
  <c r="AY126" i="110" a="1"/>
  <c r="AY126" i="110" s="1"/>
  <c r="BA126" i="110" a="1"/>
  <c r="BA126" i="110" s="1"/>
  <c r="BD126" i="110" a="1"/>
  <c r="BD126" i="110" s="1"/>
  <c r="BU126" i="110" s="1"/>
  <c r="AO126" i="110" a="1"/>
  <c r="AO126" i="110" s="1"/>
  <c r="BL126" i="110" s="1"/>
  <c r="BD127" i="110" a="1"/>
  <c r="BD127" i="110" s="1"/>
  <c r="BU127" i="110" s="1"/>
  <c r="AP126" i="110" a="1"/>
  <c r="AP126" i="110" s="1"/>
  <c r="BM126" i="110" s="1"/>
  <c r="BE127" i="110" a="1"/>
  <c r="BE127" i="110" s="1"/>
  <c r="BV127" i="110" s="1"/>
  <c r="AV126" i="110" a="1"/>
  <c r="AV126" i="110" s="1"/>
  <c r="BB126" i="110" a="1"/>
  <c r="BB126" i="110" s="1"/>
  <c r="BS126" i="110" s="1"/>
  <c r="AN126" i="110" a="1"/>
  <c r="AN126" i="110" s="1"/>
  <c r="BK126" i="110" s="1"/>
  <c r="AS126" i="110" a="1"/>
  <c r="AS126" i="110" s="1"/>
  <c r="BN126" i="110" s="1"/>
  <c r="BF126" i="110" a="1"/>
  <c r="BF126" i="110" s="1"/>
  <c r="BW126" i="110" s="1"/>
  <c r="AL127" i="110" a="1"/>
  <c r="AL127" i="110" s="1"/>
  <c r="AV127" i="110" a="1"/>
  <c r="AV127" i="110" s="1"/>
  <c r="AM127" i="110" a="1"/>
  <c r="AM127" i="110" s="1"/>
  <c r="BC127" i="110" a="1"/>
  <c r="BC127" i="110" s="1"/>
  <c r="BT127" i="110" s="1"/>
  <c r="BA127" i="110" a="1"/>
  <c r="BA127" i="110" s="1"/>
  <c r="BR127" i="110" s="1"/>
  <c r="AR127" i="110" a="1"/>
  <c r="AR127" i="110" s="1"/>
  <c r="BH127" i="110" a="1"/>
  <c r="BH127" i="110" s="1"/>
  <c r="BX127" i="110" s="1"/>
  <c r="BI126" i="110"/>
  <c r="BJ126" i="110" s="1"/>
  <c r="AP127" i="110" a="1"/>
  <c r="AP127" i="110" s="1"/>
  <c r="Z125" i="110"/>
  <c r="T125" i="110" s="1"/>
  <c r="M130" i="110"/>
  <c r="G130" i="110" s="1"/>
  <c r="O130" i="110" s="1"/>
  <c r="BF127" i="110" a="1"/>
  <c r="BF127" i="110" s="1"/>
  <c r="BW127" i="110" s="1"/>
  <c r="AY127" i="110" a="1"/>
  <c r="AY127" i="110" s="1"/>
  <c r="AJ127" i="110" a="1"/>
  <c r="AJ127" i="110" s="1"/>
  <c r="BI127" i="110" s="1"/>
  <c r="I129" i="110"/>
  <c r="G129" i="110"/>
  <c r="O129" i="110" s="1"/>
  <c r="AQ127" i="110" a="1"/>
  <c r="AQ127" i="110" s="1"/>
  <c r="AD125" i="110"/>
  <c r="AB125" i="110"/>
  <c r="AO127" i="110" a="1"/>
  <c r="AO127" i="110" s="1"/>
  <c r="BL127" i="110" s="1"/>
  <c r="AX127" i="110" a="1"/>
  <c r="AX127" i="110" s="1"/>
  <c r="V128" i="110"/>
  <c r="AF128" i="110"/>
  <c r="AG128" i="110" s="1"/>
  <c r="AH128" i="110" s="1"/>
  <c r="AI128" i="110" s="1"/>
  <c r="AO128" i="110" s="1" a="1"/>
  <c r="AO128" i="110" s="1"/>
  <c r="BL128" i="110" s="1"/>
  <c r="BR126" i="110" l="1"/>
  <c r="BP126" i="110"/>
  <c r="BQ126" i="110" s="1"/>
  <c r="BP127" i="110"/>
  <c r="BQ127" i="110" s="1"/>
  <c r="BM127" i="110"/>
  <c r="I130" i="110"/>
  <c r="H130" i="110"/>
  <c r="E131" i="110" s="1"/>
  <c r="F131" i="110" s="1"/>
  <c r="Y125" i="110"/>
  <c r="S125" i="110" s="1"/>
  <c r="AE125" i="110"/>
  <c r="AV128" i="110" a="1"/>
  <c r="AV128" i="110" s="1"/>
  <c r="AX128" i="110" a="1"/>
  <c r="AX128" i="110" s="1"/>
  <c r="BE128" i="110" a="1"/>
  <c r="BE128" i="110" s="1"/>
  <c r="BV128" i="110" s="1"/>
  <c r="BJ127" i="110"/>
  <c r="BG128" i="110" a="1"/>
  <c r="BG128" i="110" s="1"/>
  <c r="AW128" i="110" a="1"/>
  <c r="AW128" i="110" s="1"/>
  <c r="BH128" i="110" a="1"/>
  <c r="BH128" i="110" s="1"/>
  <c r="AK128" i="110" a="1"/>
  <c r="AK128" i="110" s="1"/>
  <c r="AT128" i="110" a="1"/>
  <c r="AT128" i="110" s="1"/>
  <c r="AM128" i="110" a="1"/>
  <c r="AM128" i="110" s="1"/>
  <c r="AL128" i="110" a="1"/>
  <c r="AL128" i="110" s="1"/>
  <c r="BF128" i="110" a="1"/>
  <c r="BF128" i="110" s="1"/>
  <c r="BW128" i="110" s="1"/>
  <c r="BC128" i="110" a="1"/>
  <c r="BC128" i="110" s="1"/>
  <c r="BT128" i="110" s="1"/>
  <c r="AS128" i="110" a="1"/>
  <c r="AS128" i="110" s="1"/>
  <c r="BN128" i="110" s="1"/>
  <c r="AN128" i="110" a="1"/>
  <c r="AN128" i="110" s="1"/>
  <c r="BK128" i="110" s="1"/>
  <c r="P130" i="110"/>
  <c r="Q130" i="110"/>
  <c r="N130" i="110"/>
  <c r="W130" i="110"/>
  <c r="BA128" i="110" a="1"/>
  <c r="BA128" i="110" s="1"/>
  <c r="AY128" i="110" a="1"/>
  <c r="AY128" i="110" s="1"/>
  <c r="M131" i="110"/>
  <c r="G131" i="110" s="1"/>
  <c r="O131" i="110" s="1"/>
  <c r="AR128" i="110" a="1"/>
  <c r="AR128" i="110" s="1"/>
  <c r="BB128" i="110" a="1"/>
  <c r="BB128" i="110" s="1"/>
  <c r="BS128" i="110" s="1"/>
  <c r="AU128" i="110" a="1"/>
  <c r="AU128" i="110" s="1"/>
  <c r="AZ128" i="110" a="1"/>
  <c r="AZ128" i="110" s="1"/>
  <c r="BD128" i="110" a="1"/>
  <c r="BD128" i="110" s="1"/>
  <c r="BU128" i="110" s="1"/>
  <c r="AP128" i="110" a="1"/>
  <c r="AP128" i="110" s="1"/>
  <c r="AJ128" i="110" a="1"/>
  <c r="AJ128" i="110" s="1"/>
  <c r="BI128" i="110" s="1"/>
  <c r="AQ128" i="110" a="1"/>
  <c r="AQ128" i="110" s="1"/>
  <c r="P129" i="110"/>
  <c r="W129" i="110"/>
  <c r="N129" i="110"/>
  <c r="Q129" i="110"/>
  <c r="AD126" i="110"/>
  <c r="AB126" i="110"/>
  <c r="AC127" i="110" l="1"/>
  <c r="AA127" i="110" s="1"/>
  <c r="AC126" i="110"/>
  <c r="AA126" i="110" s="1"/>
  <c r="Z126" i="110"/>
  <c r="AE126" i="110" s="1"/>
  <c r="Z127" i="110"/>
  <c r="BX128" i="110"/>
  <c r="H131" i="110"/>
  <c r="E132" i="110" s="1"/>
  <c r="F132" i="110" s="1"/>
  <c r="M132" i="110" s="1"/>
  <c r="I132" i="110" s="1"/>
  <c r="I131" i="110"/>
  <c r="BM128" i="110"/>
  <c r="P131" i="110"/>
  <c r="W131" i="110"/>
  <c r="Q131" i="110"/>
  <c r="N131" i="110"/>
  <c r="BO128" i="110"/>
  <c r="BF129" i="110" a="1"/>
  <c r="BF129" i="110" s="1"/>
  <c r="BW129" i="110" s="1"/>
  <c r="AO129" i="110" a="1"/>
  <c r="AO129" i="110" s="1"/>
  <c r="BL129" i="110" s="1"/>
  <c r="BE129" i="110" a="1"/>
  <c r="BE129" i="110" s="1"/>
  <c r="BV129" i="110" s="1"/>
  <c r="AV129" i="110" a="1"/>
  <c r="AV129" i="110" s="1"/>
  <c r="AM129" i="110" a="1"/>
  <c r="AM129" i="110" s="1"/>
  <c r="V129" i="110"/>
  <c r="AF129" i="110"/>
  <c r="AG129" i="110" s="1"/>
  <c r="AH129" i="110" s="1"/>
  <c r="AI129" i="110" s="1"/>
  <c r="BB129" i="110" a="1"/>
  <c r="BB129" i="110" s="1"/>
  <c r="BS129" i="110" s="1"/>
  <c r="AR129" i="110" a="1"/>
  <c r="AR129" i="110" s="1"/>
  <c r="AL129" i="110" a="1"/>
  <c r="AL129" i="110" s="1"/>
  <c r="BA129" i="110" a="1"/>
  <c r="BA129" i="110" s="1"/>
  <c r="AN129" i="110" a="1"/>
  <c r="AN129" i="110" s="1"/>
  <c r="BK129" i="110" s="1"/>
  <c r="AZ129" i="110" a="1"/>
  <c r="AZ129" i="110" s="1"/>
  <c r="AY129" i="110" a="1"/>
  <c r="AY129" i="110" s="1"/>
  <c r="AW129" i="110" a="1"/>
  <c r="AW129" i="110" s="1"/>
  <c r="AT129" i="110" a="1"/>
  <c r="AT129" i="110" s="1"/>
  <c r="AS129" i="110" a="1"/>
  <c r="AS129" i="110" s="1"/>
  <c r="BN129" i="110" s="1"/>
  <c r="AU129" i="110" a="1"/>
  <c r="AU129" i="110" s="1"/>
  <c r="BH129" i="110" a="1"/>
  <c r="BH129" i="110" s="1"/>
  <c r="BX129" i="110" s="1"/>
  <c r="BD129" i="110" a="1"/>
  <c r="BD129" i="110" s="1"/>
  <c r="BU129" i="110" s="1"/>
  <c r="BC129" i="110" a="1"/>
  <c r="BC129" i="110" s="1"/>
  <c r="BT129" i="110" s="1"/>
  <c r="AQ129" i="110" a="1"/>
  <c r="AQ129" i="110" s="1"/>
  <c r="BG129" i="110" a="1"/>
  <c r="BG129" i="110" s="1"/>
  <c r="AX129" i="110" a="1"/>
  <c r="AX129" i="110" s="1"/>
  <c r="AP129" i="110" a="1"/>
  <c r="AP129" i="110" s="1"/>
  <c r="BM129" i="110" s="1"/>
  <c r="AK129" i="110" a="1"/>
  <c r="AK129" i="110" s="1"/>
  <c r="AJ129" i="110" a="1"/>
  <c r="AJ129" i="110" s="1"/>
  <c r="BR128" i="110"/>
  <c r="BJ128" i="110"/>
  <c r="BA130" i="110" a="1"/>
  <c r="BA130" i="110" s="1"/>
  <c r="V130" i="110"/>
  <c r="AF130" i="110"/>
  <c r="AG130" i="110" s="1"/>
  <c r="AH130" i="110" s="1"/>
  <c r="AI130" i="110" s="1"/>
  <c r="AX130" i="110" s="1" a="1"/>
  <c r="AX130" i="110" s="1"/>
  <c r="AW130" i="110" a="1"/>
  <c r="AW130" i="110" s="1"/>
  <c r="AQ130" i="110" a="1"/>
  <c r="AQ130" i="110" s="1"/>
  <c r="AN130" i="110" a="1"/>
  <c r="AN130" i="110" s="1"/>
  <c r="BK130" i="110" s="1"/>
  <c r="BD130" i="110" a="1"/>
  <c r="BD130" i="110" s="1"/>
  <c r="BU130" i="110" s="1"/>
  <c r="T127" i="110"/>
  <c r="Y127" i="110"/>
  <c r="S127" i="110" s="1"/>
  <c r="AB127" i="110"/>
  <c r="AE127" i="110" s="1"/>
  <c r="AD127" i="110"/>
  <c r="BP128" i="110"/>
  <c r="BQ128" i="110" s="1"/>
  <c r="T126" i="110" l="1"/>
  <c r="Y126" i="110"/>
  <c r="S126" i="110" s="1"/>
  <c r="BP129" i="110"/>
  <c r="BQ129" i="110" s="1"/>
  <c r="BO129" i="110"/>
  <c r="BB130" i="110" a="1"/>
  <c r="BB130" i="110" s="1"/>
  <c r="BS130" i="110" s="1"/>
  <c r="BR129" i="110"/>
  <c r="BI129" i="110"/>
  <c r="BG130" i="110" a="1"/>
  <c r="BG130" i="110" s="1"/>
  <c r="AB128" i="110"/>
  <c r="AD128" i="110"/>
  <c r="AL130" i="110" a="1"/>
  <c r="AL130" i="110" s="1"/>
  <c r="BH130" i="110" a="1"/>
  <c r="BH130" i="110" s="1"/>
  <c r="AV130" i="110" a="1"/>
  <c r="AV130" i="110" s="1"/>
  <c r="BP130" i="110" s="1"/>
  <c r="BF130" i="110" a="1"/>
  <c r="BF130" i="110" s="1"/>
  <c r="BW130" i="110" s="1"/>
  <c r="AY130" i="110" a="1"/>
  <c r="AY130" i="110" s="1"/>
  <c r="AZ130" i="110" a="1"/>
  <c r="AZ130" i="110" s="1"/>
  <c r="BR130" i="110" s="1"/>
  <c r="G132" i="110"/>
  <c r="O132" i="110" s="1"/>
  <c r="AK130" i="110" a="1"/>
  <c r="AK130" i="110" s="1"/>
  <c r="H132" i="110"/>
  <c r="E133" i="110" s="1"/>
  <c r="F133" i="110" s="1"/>
  <c r="AO130" i="110" a="1"/>
  <c r="AO130" i="110" s="1"/>
  <c r="BL130" i="110" s="1"/>
  <c r="AT130" i="110" a="1"/>
  <c r="AT130" i="110" s="1"/>
  <c r="BC130" i="110" a="1"/>
  <c r="BC130" i="110" s="1"/>
  <c r="BT130" i="110" s="1"/>
  <c r="AJ130" i="110" a="1"/>
  <c r="AJ130" i="110" s="1"/>
  <c r="AR130" i="110" a="1"/>
  <c r="AR130" i="110" s="1"/>
  <c r="AP130" i="110" a="1"/>
  <c r="AP130" i="110" s="1"/>
  <c r="AS130" i="110" a="1"/>
  <c r="AS130" i="110" s="1"/>
  <c r="BN130" i="110" s="1"/>
  <c r="AU130" i="110" a="1"/>
  <c r="AU130" i="110" s="1"/>
  <c r="AM130" i="110" a="1"/>
  <c r="AM130" i="110" s="1"/>
  <c r="AC128" i="110"/>
  <c r="AA128" i="110" s="1"/>
  <c r="AF131" i="110"/>
  <c r="AG131" i="110" s="1"/>
  <c r="AH131" i="110" s="1"/>
  <c r="AI131" i="110" s="1"/>
  <c r="BD131" i="110" s="1" a="1"/>
  <c r="BD131" i="110" s="1"/>
  <c r="BU131" i="110" s="1"/>
  <c r="V131" i="110"/>
  <c r="BE130" i="110" a="1"/>
  <c r="BE130" i="110" s="1"/>
  <c r="BV130" i="110" s="1"/>
  <c r="Z128" i="110"/>
  <c r="BM130" i="110" l="1"/>
  <c r="AC129" i="110"/>
  <c r="AA129" i="110" s="1"/>
  <c r="BJ129" i="110"/>
  <c r="Z129" i="110"/>
  <c r="T129" i="110" s="1"/>
  <c r="AK131" i="110" a="1"/>
  <c r="AK131" i="110" s="1"/>
  <c r="AL131" i="110" a="1"/>
  <c r="AL131" i="110" s="1"/>
  <c r="AS131" i="110" a="1"/>
  <c r="AS131" i="110" s="1"/>
  <c r="BN131" i="110" s="1"/>
  <c r="BF131" i="110" a="1"/>
  <c r="BF131" i="110" s="1"/>
  <c r="BW131" i="110" s="1"/>
  <c r="BE131" i="110" a="1"/>
  <c r="BE131" i="110" s="1"/>
  <c r="BV131" i="110" s="1"/>
  <c r="AX131" i="110" a="1"/>
  <c r="AX131" i="110" s="1"/>
  <c r="BX130" i="110"/>
  <c r="AU131" i="110" a="1"/>
  <c r="AU131" i="110" s="1"/>
  <c r="BA131" i="110" a="1"/>
  <c r="BA131" i="110" s="1"/>
  <c r="AN131" i="110" a="1"/>
  <c r="AN131" i="110" s="1"/>
  <c r="BK131" i="110" s="1"/>
  <c r="BB131" i="110" a="1"/>
  <c r="BB131" i="110" s="1"/>
  <c r="BS131" i="110" s="1"/>
  <c r="AP131" i="110" a="1"/>
  <c r="AP131" i="110" s="1"/>
  <c r="BC131" i="110" a="1"/>
  <c r="BC131" i="110" s="1"/>
  <c r="BT131" i="110" s="1"/>
  <c r="BI130" i="110"/>
  <c r="BJ130" i="110" s="1"/>
  <c r="AR131" i="110" a="1"/>
  <c r="AR131" i="110" s="1"/>
  <c r="AV131" i="110" a="1"/>
  <c r="AV131" i="110" s="1"/>
  <c r="BH131" i="110" a="1"/>
  <c r="BH131" i="110" s="1"/>
  <c r="BG131" i="110" a="1"/>
  <c r="BG131" i="110" s="1"/>
  <c r="AO131" i="110" a="1"/>
  <c r="AO131" i="110" s="1"/>
  <c r="BL131" i="110" s="1"/>
  <c r="AT131" i="110" a="1"/>
  <c r="AT131" i="110" s="1"/>
  <c r="BO131" i="110" s="1"/>
  <c r="AY131" i="110" a="1"/>
  <c r="AY131" i="110" s="1"/>
  <c r="AW131" i="110" a="1"/>
  <c r="AW131" i="110" s="1"/>
  <c r="AZ131" i="110" a="1"/>
  <c r="AZ131" i="110" s="1"/>
  <c r="BR131" i="110" s="1"/>
  <c r="AQ131" i="110" a="1"/>
  <c r="AQ131" i="110" s="1"/>
  <c r="AJ131" i="110" a="1"/>
  <c r="AJ131" i="110" s="1"/>
  <c r="BI131" i="110" s="1"/>
  <c r="T128" i="110"/>
  <c r="Y128" i="110"/>
  <c r="S128" i="110" s="1"/>
  <c r="AE128" i="110"/>
  <c r="AM131" i="110" a="1"/>
  <c r="AM131" i="110" s="1"/>
  <c r="P132" i="110"/>
  <c r="W132" i="110"/>
  <c r="Q132" i="110"/>
  <c r="N132" i="110"/>
  <c r="BQ130" i="110"/>
  <c r="BO130" i="110"/>
  <c r="AD129" i="110"/>
  <c r="AB129" i="110"/>
  <c r="AE129" i="110" s="1"/>
  <c r="M133" i="110"/>
  <c r="G133" i="110" s="1"/>
  <c r="O133" i="110" s="1"/>
  <c r="Y129" i="110"/>
  <c r="S129" i="110" s="1"/>
  <c r="Z130" i="110" l="1"/>
  <c r="BJ131" i="110"/>
  <c r="BX131" i="110"/>
  <c r="BP131" i="110"/>
  <c r="BQ131" i="110" s="1"/>
  <c r="H133" i="110"/>
  <c r="E134" i="110" s="1"/>
  <c r="F134" i="110" s="1"/>
  <c r="M134" i="110" s="1"/>
  <c r="H134" i="110" s="1"/>
  <c r="E135" i="110" s="1"/>
  <c r="F135" i="110" s="1"/>
  <c r="BM131" i="110"/>
  <c r="AC130" i="110"/>
  <c r="AA130" i="110" s="1"/>
  <c r="P133" i="110"/>
  <c r="Q133" i="110"/>
  <c r="N133" i="110"/>
  <c r="W133" i="110"/>
  <c r="AD131" i="110"/>
  <c r="AB131" i="110"/>
  <c r="T130" i="110"/>
  <c r="Y130" i="110"/>
  <c r="S130" i="110" s="1"/>
  <c r="AD130" i="110"/>
  <c r="AB130" i="110"/>
  <c r="AE130" i="110" s="1"/>
  <c r="I133" i="110"/>
  <c r="AF132" i="110"/>
  <c r="AG132" i="110" s="1"/>
  <c r="AH132" i="110" s="1"/>
  <c r="AI132" i="110" s="1"/>
  <c r="AR132" i="110" s="1" a="1"/>
  <c r="AR132" i="110" s="1"/>
  <c r="V132" i="110"/>
  <c r="AN132" i="110" l="1" a="1"/>
  <c r="AN132" i="110" s="1"/>
  <c r="BK132" i="110" s="1"/>
  <c r="AV132" i="110" a="1"/>
  <c r="AV132" i="110" s="1"/>
  <c r="AO132" i="110" a="1"/>
  <c r="AO132" i="110" s="1"/>
  <c r="BL132" i="110" s="1"/>
  <c r="AZ132" i="110" a="1"/>
  <c r="AZ132" i="110" s="1"/>
  <c r="AK132" i="110" a="1"/>
  <c r="AK132" i="110" s="1"/>
  <c r="AX132" i="110" a="1"/>
  <c r="AX132" i="110" s="1"/>
  <c r="AY132" i="110" a="1"/>
  <c r="AY132" i="110" s="1"/>
  <c r="BA132" i="110" a="1"/>
  <c r="BA132" i="110" s="1"/>
  <c r="AL132" i="110" a="1"/>
  <c r="AL132" i="110" s="1"/>
  <c r="BE132" i="110" a="1"/>
  <c r="BE132" i="110" s="1"/>
  <c r="BV132" i="110" s="1"/>
  <c r="AJ132" i="110" a="1"/>
  <c r="AJ132" i="110" s="1"/>
  <c r="AU132" i="110" a="1"/>
  <c r="AU132" i="110" s="1"/>
  <c r="BH132" i="110" a="1"/>
  <c r="BH132" i="110" s="1"/>
  <c r="AM132" i="110" a="1"/>
  <c r="AM132" i="110" s="1"/>
  <c r="AT132" i="110" a="1"/>
  <c r="AT132" i="110" s="1"/>
  <c r="BO132" i="110" s="1"/>
  <c r="AS132" i="110" a="1"/>
  <c r="AS132" i="110" s="1"/>
  <c r="BN132" i="110" s="1"/>
  <c r="BB132" i="110" a="1"/>
  <c r="BB132" i="110" s="1"/>
  <c r="BS132" i="110" s="1"/>
  <c r="BC132" i="110" a="1"/>
  <c r="BC132" i="110" s="1"/>
  <c r="BT132" i="110" s="1"/>
  <c r="G134" i="110"/>
  <c r="O134" i="110" s="1"/>
  <c r="P134" i="110" s="1"/>
  <c r="Z131" i="110"/>
  <c r="T131" i="110" s="1"/>
  <c r="AW132" i="110" a="1"/>
  <c r="AW132" i="110" s="1"/>
  <c r="BP132" i="110" s="1"/>
  <c r="BQ132" i="110" s="1"/>
  <c r="BF132" i="110" a="1"/>
  <c r="BF132" i="110" s="1"/>
  <c r="BW132" i="110" s="1"/>
  <c r="AP132" i="110" a="1"/>
  <c r="AP132" i="110" s="1"/>
  <c r="BG132" i="110" a="1"/>
  <c r="BG132" i="110" s="1"/>
  <c r="BX132" i="110" s="1"/>
  <c r="AC131" i="110"/>
  <c r="AA131" i="110" s="1"/>
  <c r="AQ132" i="110" a="1"/>
  <c r="AQ132" i="110" s="1"/>
  <c r="BD132" i="110" a="1"/>
  <c r="BD132" i="110" s="1"/>
  <c r="BU132" i="110" s="1"/>
  <c r="M135" i="110"/>
  <c r="G135" i="110" s="1"/>
  <c r="O135" i="110" s="1"/>
  <c r="AF133" i="110"/>
  <c r="AG133" i="110" s="1"/>
  <c r="AH133" i="110" s="1"/>
  <c r="AI133" i="110" s="1"/>
  <c r="AL133" i="110" s="1" a="1"/>
  <c r="AL133" i="110" s="1"/>
  <c r="V133" i="110"/>
  <c r="I134" i="110"/>
  <c r="N134" i="110" l="1"/>
  <c r="Q134" i="110"/>
  <c r="W134" i="110"/>
  <c r="BR132" i="110"/>
  <c r="AR133" i="110" a="1"/>
  <c r="AR133" i="110" s="1"/>
  <c r="AX133" i="110" a="1"/>
  <c r="AX133" i="110" s="1"/>
  <c r="BA133" i="110" a="1"/>
  <c r="BA133" i="110" s="1"/>
  <c r="AN133" i="110" a="1"/>
  <c r="AN133" i="110" s="1"/>
  <c r="BK133" i="110" s="1"/>
  <c r="BI132" i="110"/>
  <c r="BJ132" i="110" s="1"/>
  <c r="AB132" i="110" s="1"/>
  <c r="BC133" i="110" a="1"/>
  <c r="BC133" i="110" s="1"/>
  <c r="BT133" i="110" s="1"/>
  <c r="H135" i="110"/>
  <c r="E136" i="110" s="1"/>
  <c r="F136" i="110" s="1"/>
  <c r="M136" i="110" s="1"/>
  <c r="H136" i="110" s="1"/>
  <c r="E137" i="110" s="1"/>
  <c r="F137" i="110" s="1"/>
  <c r="AE131" i="110"/>
  <c r="I135" i="110"/>
  <c r="Y131" i="110"/>
  <c r="S131" i="110" s="1"/>
  <c r="BM132" i="110"/>
  <c r="BH133" i="110" a="1"/>
  <c r="BH133" i="110" s="1"/>
  <c r="AM133" i="110" a="1"/>
  <c r="AM133" i="110" s="1"/>
  <c r="BF133" i="110" a="1"/>
  <c r="BF133" i="110" s="1"/>
  <c r="BW133" i="110" s="1"/>
  <c r="BB133" i="110" a="1"/>
  <c r="BB133" i="110" s="1"/>
  <c r="BS133" i="110" s="1"/>
  <c r="BE133" i="110" a="1"/>
  <c r="BE133" i="110" s="1"/>
  <c r="BV133" i="110" s="1"/>
  <c r="AO133" i="110" a="1"/>
  <c r="AO133" i="110" s="1"/>
  <c r="BL133" i="110" s="1"/>
  <c r="BG133" i="110" a="1"/>
  <c r="BG133" i="110" s="1"/>
  <c r="AP133" i="110" a="1"/>
  <c r="AP133" i="110" s="1"/>
  <c r="AY133" i="110" a="1"/>
  <c r="AY133" i="110" s="1"/>
  <c r="AZ133" i="110" a="1"/>
  <c r="AZ133" i="110" s="1"/>
  <c r="AJ133" i="110" a="1"/>
  <c r="AJ133" i="110" s="1"/>
  <c r="AU133" i="110" a="1"/>
  <c r="AU133" i="110" s="1"/>
  <c r="BD133" i="110" a="1"/>
  <c r="BD133" i="110" s="1"/>
  <c r="BU133" i="110" s="1"/>
  <c r="AK133" i="110" a="1"/>
  <c r="AK133" i="110" s="1"/>
  <c r="AS133" i="110" a="1"/>
  <c r="AS133" i="110" s="1"/>
  <c r="BN133" i="110" s="1"/>
  <c r="AV133" i="110" a="1"/>
  <c r="AV133" i="110" s="1"/>
  <c r="AT133" i="110" a="1"/>
  <c r="AT133" i="110" s="1"/>
  <c r="BO133" i="110" s="1"/>
  <c r="AQ133" i="110" a="1"/>
  <c r="AQ133" i="110" s="1"/>
  <c r="AW133" i="110" a="1"/>
  <c r="AW133" i="110" s="1"/>
  <c r="P135" i="110"/>
  <c r="Q135" i="110"/>
  <c r="N135" i="110"/>
  <c r="W135" i="110"/>
  <c r="AS134" i="110" a="1"/>
  <c r="AS134" i="110" s="1"/>
  <c r="BN134" i="110" s="1"/>
  <c r="AF134" i="110"/>
  <c r="AG134" i="110" s="1"/>
  <c r="AH134" i="110" s="1"/>
  <c r="AI134" i="110" s="1"/>
  <c r="AV134" i="110" s="1" a="1"/>
  <c r="AV134" i="110" s="1"/>
  <c r="BF134" i="110" a="1"/>
  <c r="BF134" i="110" s="1"/>
  <c r="BW134" i="110" s="1"/>
  <c r="AL134" i="110" a="1"/>
  <c r="AL134" i="110" s="1"/>
  <c r="BB134" i="110" a="1"/>
  <c r="BB134" i="110" s="1"/>
  <c r="BS134" i="110" s="1"/>
  <c r="V134" i="110"/>
  <c r="BR133" i="110" l="1"/>
  <c r="AD132" i="110"/>
  <c r="BM133" i="110"/>
  <c r="Z132" i="110"/>
  <c r="AE132" i="110" s="1"/>
  <c r="BC134" i="110" a="1"/>
  <c r="BC134" i="110" s="1"/>
  <c r="BT134" i="110" s="1"/>
  <c r="AQ134" i="110" a="1"/>
  <c r="AQ134" i="110" s="1"/>
  <c r="AK134" i="110" a="1"/>
  <c r="AK134" i="110" s="1"/>
  <c r="AU134" i="110" a="1"/>
  <c r="AU134" i="110" s="1"/>
  <c r="AW134" i="110" a="1"/>
  <c r="AW134" i="110" s="1"/>
  <c r="T132" i="110"/>
  <c r="Y132" i="110"/>
  <c r="S132" i="110" s="1"/>
  <c r="BX133" i="110"/>
  <c r="AC132" i="110"/>
  <c r="AA132" i="110" s="1"/>
  <c r="BP133" i="110"/>
  <c r="BQ133" i="110" s="1"/>
  <c r="BI133" i="110"/>
  <c r="I136" i="110"/>
  <c r="M137" i="110"/>
  <c r="H137" i="110" s="1"/>
  <c r="E138" i="110" s="1"/>
  <c r="F138" i="110" s="1"/>
  <c r="AR134" i="110" a="1"/>
  <c r="AR134" i="110" s="1"/>
  <c r="BA134" i="110" a="1"/>
  <c r="BA134" i="110" s="1"/>
  <c r="BG134" i="110" a="1"/>
  <c r="BG134" i="110" s="1"/>
  <c r="AJ134" i="110" a="1"/>
  <c r="AJ134" i="110" s="1"/>
  <c r="BH134" i="110" a="1"/>
  <c r="BH134" i="110" s="1"/>
  <c r="G136" i="110"/>
  <c r="O136" i="110" s="1"/>
  <c r="AN134" i="110" a="1"/>
  <c r="AN134" i="110" s="1"/>
  <c r="BK134" i="110" s="1"/>
  <c r="BE134" i="110" a="1"/>
  <c r="BE134" i="110" s="1"/>
  <c r="BV134" i="110" s="1"/>
  <c r="BD134" i="110" a="1"/>
  <c r="BD134" i="110" s="1"/>
  <c r="BU134" i="110" s="1"/>
  <c r="AX134" i="110" a="1"/>
  <c r="AX134" i="110" s="1"/>
  <c r="AP134" i="110" a="1"/>
  <c r="AP134" i="110" s="1"/>
  <c r="AO134" i="110" a="1"/>
  <c r="AO134" i="110" s="1"/>
  <c r="BL134" i="110" s="1"/>
  <c r="AY134" i="110" a="1"/>
  <c r="AY134" i="110" s="1"/>
  <c r="AM134" i="110" a="1"/>
  <c r="AM134" i="110" s="1"/>
  <c r="AF135" i="110"/>
  <c r="AG135" i="110" s="1"/>
  <c r="AH135" i="110" s="1"/>
  <c r="AI135" i="110" s="1"/>
  <c r="AX135" i="110" s="1" a="1"/>
  <c r="AX135" i="110" s="1"/>
  <c r="V135" i="110"/>
  <c r="AT134" i="110" a="1"/>
  <c r="AT134" i="110" s="1"/>
  <c r="AZ134" i="110" a="1"/>
  <c r="AZ134" i="110" s="1"/>
  <c r="BO134" i="110" l="1"/>
  <c r="BI134" i="110"/>
  <c r="AC133" i="110"/>
  <c r="AA133" i="110" s="1"/>
  <c r="BP134" i="110"/>
  <c r="BJ133" i="110"/>
  <c r="AB133" i="110" s="1"/>
  <c r="AW135" i="110" a="1"/>
  <c r="AW135" i="110" s="1"/>
  <c r="BP135" i="110" s="1"/>
  <c r="AT135" i="110" a="1"/>
  <c r="AT135" i="110" s="1"/>
  <c r="BO135" i="110" s="1"/>
  <c r="BG135" i="110" a="1"/>
  <c r="BG135" i="110" s="1"/>
  <c r="BH135" i="110" a="1"/>
  <c r="BH135" i="110" s="1"/>
  <c r="AQ135" i="110" a="1"/>
  <c r="AQ135" i="110" s="1"/>
  <c r="AR135" i="110" a="1"/>
  <c r="AR135" i="110" s="1"/>
  <c r="BE135" i="110" a="1"/>
  <c r="BE135" i="110" s="1"/>
  <c r="BV135" i="110" s="1"/>
  <c r="AU135" i="110" a="1"/>
  <c r="AU135" i="110" s="1"/>
  <c r="AL135" i="110" a="1"/>
  <c r="AL135" i="110" s="1"/>
  <c r="AM135" i="110" a="1"/>
  <c r="AM135" i="110" s="1"/>
  <c r="Z133" i="110"/>
  <c r="AV135" i="110" a="1"/>
  <c r="AV135" i="110" s="1"/>
  <c r="AS135" i="110" a="1"/>
  <c r="AS135" i="110" s="1"/>
  <c r="BN135" i="110" s="1"/>
  <c r="AP135" i="110" a="1"/>
  <c r="AP135" i="110" s="1"/>
  <c r="AK135" i="110" a="1"/>
  <c r="AK135" i="110" s="1"/>
  <c r="AN135" i="110" a="1"/>
  <c r="AN135" i="110" s="1"/>
  <c r="BK135" i="110" s="1"/>
  <c r="BF135" i="110" a="1"/>
  <c r="BF135" i="110" s="1"/>
  <c r="BW135" i="110" s="1"/>
  <c r="AJ135" i="110" a="1"/>
  <c r="AJ135" i="110" s="1"/>
  <c r="BA135" i="110" a="1"/>
  <c r="BA135" i="110" s="1"/>
  <c r="AY135" i="110" a="1"/>
  <c r="AY135" i="110" s="1"/>
  <c r="BB135" i="110" a="1"/>
  <c r="BB135" i="110" s="1"/>
  <c r="BS135" i="110" s="1"/>
  <c r="G137" i="110"/>
  <c r="O137" i="110" s="1"/>
  <c r="Q137" i="110" s="1"/>
  <c r="BQ134" i="110"/>
  <c r="M138" i="110"/>
  <c r="I138" i="110" s="1"/>
  <c r="BM134" i="110"/>
  <c r="AZ135" i="110" a="1"/>
  <c r="AZ135" i="110" s="1"/>
  <c r="P136" i="110"/>
  <c r="W136" i="110"/>
  <c r="N136" i="110"/>
  <c r="Q136" i="110"/>
  <c r="BX134" i="110"/>
  <c r="BJ134" i="110"/>
  <c r="BR134" i="110"/>
  <c r="BD135" i="110" a="1"/>
  <c r="BD135" i="110" s="1"/>
  <c r="BU135" i="110" s="1"/>
  <c r="I137" i="110"/>
  <c r="BC135" i="110" a="1"/>
  <c r="BC135" i="110" s="1"/>
  <c r="BT135" i="110" s="1"/>
  <c r="AO135" i="110" a="1"/>
  <c r="AO135" i="110" s="1"/>
  <c r="BL135" i="110" s="1"/>
  <c r="BM135" i="110" l="1"/>
  <c r="BX135" i="110"/>
  <c r="N137" i="110"/>
  <c r="AD133" i="110"/>
  <c r="P137" i="110"/>
  <c r="AE133" i="110"/>
  <c r="BR135" i="110"/>
  <c r="T133" i="110"/>
  <c r="Y133" i="110"/>
  <c r="S133" i="110" s="1"/>
  <c r="BI135" i="110"/>
  <c r="BJ135" i="110" s="1"/>
  <c r="W137" i="110"/>
  <c r="V137" i="110" s="1"/>
  <c r="BQ135" i="110"/>
  <c r="Z134" i="110"/>
  <c r="T134" i="110" s="1"/>
  <c r="V136" i="110"/>
  <c r="AF136" i="110"/>
  <c r="AG136" i="110" s="1"/>
  <c r="AH136" i="110" s="1"/>
  <c r="AI136" i="110" s="1"/>
  <c r="BF136" i="110" s="1" a="1"/>
  <c r="BF136" i="110" s="1"/>
  <c r="BW136" i="110" s="1"/>
  <c r="AS136" i="110" a="1"/>
  <c r="AS136" i="110" s="1"/>
  <c r="BN136" i="110" s="1"/>
  <c r="AR136" i="110" a="1"/>
  <c r="AR136" i="110" s="1"/>
  <c r="G138" i="110"/>
  <c r="O138" i="110" s="1"/>
  <c r="H138" i="110"/>
  <c r="E139" i="110" s="1"/>
  <c r="F139" i="110" s="1"/>
  <c r="AC134" i="110"/>
  <c r="AA134" i="110" s="1"/>
  <c r="AD134" i="110"/>
  <c r="AB134" i="110"/>
  <c r="AC135" i="110" l="1"/>
  <c r="AA135" i="110" s="1"/>
  <c r="AB135" i="110"/>
  <c r="AF137" i="110"/>
  <c r="AG137" i="110" s="1"/>
  <c r="AH137" i="110" s="1"/>
  <c r="AI137" i="110" s="1"/>
  <c r="AQ137" i="110" s="1" a="1"/>
  <c r="AQ137" i="110" s="1"/>
  <c r="AD135" i="110"/>
  <c r="AE134" i="110"/>
  <c r="Z135" i="110"/>
  <c r="AN137" i="110" a="1"/>
  <c r="AN137" i="110" s="1"/>
  <c r="BK137" i="110" s="1"/>
  <c r="BE137" i="110" a="1"/>
  <c r="BE137" i="110" s="1"/>
  <c r="BV137" i="110" s="1"/>
  <c r="BH137" i="110" a="1"/>
  <c r="BH137" i="110" s="1"/>
  <c r="AR137" i="110" a="1"/>
  <c r="AR137" i="110" s="1"/>
  <c r="BD137" i="110" a="1"/>
  <c r="BD137" i="110" s="1"/>
  <c r="BU137" i="110" s="1"/>
  <c r="AL137" i="110" a="1"/>
  <c r="AL137" i="110" s="1"/>
  <c r="AP137" i="110" a="1"/>
  <c r="AP137" i="110" s="1"/>
  <c r="Y134" i="110"/>
  <c r="S134" i="110" s="1"/>
  <c r="AS137" i="110" a="1"/>
  <c r="AS137" i="110" s="1"/>
  <c r="BN137" i="110" s="1"/>
  <c r="AO136" i="110" a="1"/>
  <c r="AO136" i="110" s="1"/>
  <c r="BL136" i="110" s="1"/>
  <c r="AQ136" i="110" a="1"/>
  <c r="AQ136" i="110" s="1"/>
  <c r="BD136" i="110" a="1"/>
  <c r="BD136" i="110" s="1"/>
  <c r="BU136" i="110" s="1"/>
  <c r="AU136" i="110" a="1"/>
  <c r="AU136" i="110" s="1"/>
  <c r="AZ136" i="110" a="1"/>
  <c r="AZ136" i="110" s="1"/>
  <c r="AN136" i="110" a="1"/>
  <c r="AN136" i="110" s="1"/>
  <c r="BK136" i="110" s="1"/>
  <c r="BA136" i="110" a="1"/>
  <c r="BA136" i="110" s="1"/>
  <c r="BH136" i="110" a="1"/>
  <c r="BH136" i="110" s="1"/>
  <c r="AX137" i="110" a="1"/>
  <c r="AX137" i="110" s="1"/>
  <c r="AP136" i="110" a="1"/>
  <c r="AP136" i="110" s="1"/>
  <c r="AY137" i="110" a="1"/>
  <c r="AY137" i="110" s="1"/>
  <c r="AM136" i="110" a="1"/>
  <c r="AM136" i="110" s="1"/>
  <c r="P138" i="110"/>
  <c r="Q138" i="110"/>
  <c r="N138" i="110"/>
  <c r="W138" i="110"/>
  <c r="BC137" i="110" a="1"/>
  <c r="BC137" i="110" s="1"/>
  <c r="BT137" i="110" s="1"/>
  <c r="AV136" i="110" a="1"/>
  <c r="AV136" i="110" s="1"/>
  <c r="BA137" i="110" a="1"/>
  <c r="BA137" i="110" s="1"/>
  <c r="AO137" i="110" a="1"/>
  <c r="AO137" i="110" s="1"/>
  <c r="BL137" i="110" s="1"/>
  <c r="BE136" i="110" a="1"/>
  <c r="BE136" i="110" s="1"/>
  <c r="BV136" i="110" s="1"/>
  <c r="BF137" i="110" a="1"/>
  <c r="BF137" i="110" s="1"/>
  <c r="BW137" i="110" s="1"/>
  <c r="AJ136" i="110" a="1"/>
  <c r="AJ136" i="110" s="1"/>
  <c r="AM137" i="110" a="1"/>
  <c r="AM137" i="110" s="1"/>
  <c r="AX136" i="110" a="1"/>
  <c r="AX136" i="110" s="1"/>
  <c r="AT137" i="110" a="1"/>
  <c r="AT137" i="110" s="1"/>
  <c r="AV137" i="110" a="1"/>
  <c r="AV137" i="110" s="1"/>
  <c r="AL136" i="110" a="1"/>
  <c r="AL136" i="110" s="1"/>
  <c r="AU137" i="110" a="1"/>
  <c r="AU137" i="110" s="1"/>
  <c r="BC136" i="110" a="1"/>
  <c r="BC136" i="110" s="1"/>
  <c r="BT136" i="110" s="1"/>
  <c r="AZ137" i="110" a="1"/>
  <c r="AZ137" i="110" s="1"/>
  <c r="AY136" i="110" a="1"/>
  <c r="AY136" i="110" s="1"/>
  <c r="BG137" i="110" a="1"/>
  <c r="BG137" i="110" s="1"/>
  <c r="BX137" i="110" s="1"/>
  <c r="BB136" i="110" a="1"/>
  <c r="BB136" i="110" s="1"/>
  <c r="BS136" i="110" s="1"/>
  <c r="AK137" i="110" a="1"/>
  <c r="AK137" i="110" s="1"/>
  <c r="AW137" i="110" a="1"/>
  <c r="AW137" i="110" s="1"/>
  <c r="AT136" i="110" a="1"/>
  <c r="AT136" i="110" s="1"/>
  <c r="BO136" i="110" s="1"/>
  <c r="AJ137" i="110" a="1"/>
  <c r="AJ137" i="110" s="1"/>
  <c r="AK136" i="110" a="1"/>
  <c r="AK136" i="110" s="1"/>
  <c r="AW136" i="110" a="1"/>
  <c r="AW136" i="110" s="1"/>
  <c r="BB137" i="110" a="1"/>
  <c r="BB137" i="110" s="1"/>
  <c r="BS137" i="110" s="1"/>
  <c r="BG136" i="110" a="1"/>
  <c r="BG136" i="110" s="1"/>
  <c r="BX136" i="110" s="1"/>
  <c r="M139" i="110"/>
  <c r="G139" i="110" s="1"/>
  <c r="O139" i="110" s="1"/>
  <c r="T135" i="110"/>
  <c r="Y135" i="110"/>
  <c r="S135" i="110" s="1"/>
  <c r="AE135" i="110"/>
  <c r="BM137" i="110" l="1"/>
  <c r="BM136" i="110"/>
  <c r="BR136" i="110"/>
  <c r="H139" i="110"/>
  <c r="E140" i="110" s="1"/>
  <c r="F140" i="110" s="1"/>
  <c r="M140" i="110" s="1"/>
  <c r="I140" i="110" s="1"/>
  <c r="I139" i="110"/>
  <c r="BP137" i="110"/>
  <c r="BQ137" i="110" s="1"/>
  <c r="BO137" i="110"/>
  <c r="P139" i="110"/>
  <c r="W139" i="110"/>
  <c r="Q139" i="110"/>
  <c r="N139" i="110"/>
  <c r="BI137" i="110"/>
  <c r="BI136" i="110"/>
  <c r="BR137" i="110"/>
  <c r="BP136" i="110"/>
  <c r="BQ136" i="110" s="1"/>
  <c r="AF138" i="110"/>
  <c r="AG138" i="110" s="1"/>
  <c r="AH138" i="110" s="1"/>
  <c r="AI138" i="110" s="1"/>
  <c r="AN138" i="110" s="1" a="1"/>
  <c r="AN138" i="110" s="1"/>
  <c r="BK138" i="110" s="1"/>
  <c r="V138" i="110"/>
  <c r="BB138" i="110" l="1" a="1"/>
  <c r="BB138" i="110" s="1"/>
  <c r="BS138" i="110" s="1"/>
  <c r="AY138" i="110" a="1"/>
  <c r="AY138" i="110" s="1"/>
  <c r="G140" i="110"/>
  <c r="O140" i="110" s="1"/>
  <c r="W140" i="110" s="1"/>
  <c r="AQ138" i="110" a="1"/>
  <c r="AQ138" i="110" s="1"/>
  <c r="BF138" i="110" a="1"/>
  <c r="BF138" i="110" s="1"/>
  <c r="BW138" i="110" s="1"/>
  <c r="AK138" i="110" a="1"/>
  <c r="AK138" i="110" s="1"/>
  <c r="AM138" i="110" a="1"/>
  <c r="AM138" i="110" s="1"/>
  <c r="AW138" i="110" a="1"/>
  <c r="AW138" i="110" s="1"/>
  <c r="BD138" i="110" a="1"/>
  <c r="BD138" i="110" s="1"/>
  <c r="BU138" i="110" s="1"/>
  <c r="AP138" i="110" a="1"/>
  <c r="AP138" i="110" s="1"/>
  <c r="AZ138" i="110" a="1"/>
  <c r="AZ138" i="110" s="1"/>
  <c r="AS138" i="110" a="1"/>
  <c r="AS138" i="110" s="1"/>
  <c r="BN138" i="110" s="1"/>
  <c r="AU138" i="110" a="1"/>
  <c r="AU138" i="110" s="1"/>
  <c r="BG138" i="110" a="1"/>
  <c r="BG138" i="110" s="1"/>
  <c r="AL138" i="110" a="1"/>
  <c r="AL138" i="110" s="1"/>
  <c r="BH138" i="110" a="1"/>
  <c r="BH138" i="110" s="1"/>
  <c r="AJ138" i="110" a="1"/>
  <c r="AJ138" i="110" s="1"/>
  <c r="BI138" i="110" s="1"/>
  <c r="AV138" i="110" a="1"/>
  <c r="AV138" i="110" s="1"/>
  <c r="AO138" i="110" a="1"/>
  <c r="AO138" i="110" s="1"/>
  <c r="BL138" i="110" s="1"/>
  <c r="H140" i="110"/>
  <c r="E141" i="110" s="1"/>
  <c r="F141" i="110" s="1"/>
  <c r="M141" i="110" s="1"/>
  <c r="H141" i="110" s="1"/>
  <c r="E142" i="110" s="1"/>
  <c r="F142" i="110" s="1"/>
  <c r="BC138" i="110" a="1"/>
  <c r="BC138" i="110" s="1"/>
  <c r="BT138" i="110" s="1"/>
  <c r="AR138" i="110" a="1"/>
  <c r="AR138" i="110" s="1"/>
  <c r="BM138" i="110" s="1"/>
  <c r="AT138" i="110" a="1"/>
  <c r="AT138" i="110" s="1"/>
  <c r="BO138" i="110" s="1"/>
  <c r="BA138" i="110" a="1"/>
  <c r="BA138" i="110" s="1"/>
  <c r="BR138" i="110" s="1"/>
  <c r="AX138" i="110" a="1"/>
  <c r="AX138" i="110" s="1"/>
  <c r="BE138" i="110" a="1"/>
  <c r="BE138" i="110" s="1"/>
  <c r="BV138" i="110" s="1"/>
  <c r="P140" i="110"/>
  <c r="Q140" i="110"/>
  <c r="AC136" i="110"/>
  <c r="AA136" i="110" s="1"/>
  <c r="BJ136" i="110"/>
  <c r="Z136" i="110"/>
  <c r="BJ137" i="110"/>
  <c r="Z137" i="110"/>
  <c r="AC137" i="110"/>
  <c r="AA137" i="110" s="1"/>
  <c r="V139" i="110"/>
  <c r="AS139" i="110" a="1"/>
  <c r="AS139" i="110" s="1"/>
  <c r="BN139" i="110" s="1"/>
  <c r="AF139" i="110"/>
  <c r="AG139" i="110" s="1"/>
  <c r="AH139" i="110" s="1"/>
  <c r="AI139" i="110" s="1"/>
  <c r="AZ139" i="110" s="1" a="1"/>
  <c r="AZ139" i="110" s="1"/>
  <c r="N140" i="110" l="1"/>
  <c r="BX138" i="110"/>
  <c r="AK139" i="110" a="1"/>
  <c r="AK139" i="110" s="1"/>
  <c r="BH139" i="110" a="1"/>
  <c r="BH139" i="110" s="1"/>
  <c r="BP138" i="110"/>
  <c r="BQ138" i="110" s="1"/>
  <c r="BE139" i="110" a="1"/>
  <c r="BE139" i="110" s="1"/>
  <c r="BV139" i="110" s="1"/>
  <c r="AO139" i="110" a="1"/>
  <c r="AO139" i="110" s="1"/>
  <c r="BL139" i="110" s="1"/>
  <c r="AJ139" i="110" a="1"/>
  <c r="AJ139" i="110" s="1"/>
  <c r="AQ139" i="110" a="1"/>
  <c r="AQ139" i="110" s="1"/>
  <c r="AR139" i="110" a="1"/>
  <c r="AR139" i="110" s="1"/>
  <c r="AU139" i="110" a="1"/>
  <c r="AU139" i="110" s="1"/>
  <c r="BJ138" i="110"/>
  <c r="I141" i="110"/>
  <c r="G141" i="110"/>
  <c r="O141" i="110" s="1"/>
  <c r="Q141" i="110" s="1"/>
  <c r="M142" i="110"/>
  <c r="G142" i="110" s="1"/>
  <c r="O142" i="110" s="1"/>
  <c r="AX139" i="110" a="1"/>
  <c r="AX139" i="110" s="1"/>
  <c r="BA139" i="110" a="1"/>
  <c r="BA139" i="110" s="1"/>
  <c r="BR139" i="110" s="1"/>
  <c r="AL139" i="110" a="1"/>
  <c r="AL139" i="110" s="1"/>
  <c r="AN139" i="110" a="1"/>
  <c r="AN139" i="110" s="1"/>
  <c r="BK139" i="110" s="1"/>
  <c r="AW139" i="110" a="1"/>
  <c r="AW139" i="110" s="1"/>
  <c r="T137" i="110"/>
  <c r="Y137" i="110"/>
  <c r="S137" i="110" s="1"/>
  <c r="BF139" i="110" a="1"/>
  <c r="BF139" i="110" s="1"/>
  <c r="BW139" i="110" s="1"/>
  <c r="AD137" i="110"/>
  <c r="AB137" i="110"/>
  <c r="AE137" i="110" s="1"/>
  <c r="AP139" i="110" a="1"/>
  <c r="AP139" i="110" s="1"/>
  <c r="T136" i="110"/>
  <c r="Y136" i="110"/>
  <c r="S136" i="110" s="1"/>
  <c r="BB139" i="110" a="1"/>
  <c r="BB139" i="110" s="1"/>
  <c r="BS139" i="110" s="1"/>
  <c r="AD136" i="110"/>
  <c r="AB136" i="110"/>
  <c r="AE136" i="110" s="1"/>
  <c r="BG139" i="110" a="1"/>
  <c r="BG139" i="110" s="1"/>
  <c r="AY139" i="110" a="1"/>
  <c r="AY139" i="110" s="1"/>
  <c r="AM139" i="110" a="1"/>
  <c r="AM139" i="110" s="1"/>
  <c r="AR140" i="110" a="1"/>
  <c r="AR140" i="110" s="1"/>
  <c r="AY140" i="110" a="1"/>
  <c r="AY140" i="110" s="1"/>
  <c r="AF140" i="110"/>
  <c r="AG140" i="110" s="1"/>
  <c r="AH140" i="110" s="1"/>
  <c r="AI140" i="110" s="1"/>
  <c r="BH140" i="110" s="1" a="1"/>
  <c r="BH140" i="110" s="1"/>
  <c r="V140" i="110"/>
  <c r="BD139" i="110" a="1"/>
  <c r="BD139" i="110" s="1"/>
  <c r="BU139" i="110" s="1"/>
  <c r="BC139" i="110" a="1"/>
  <c r="BC139" i="110" s="1"/>
  <c r="BT139" i="110" s="1"/>
  <c r="AT139" i="110" a="1"/>
  <c r="AT139" i="110" s="1"/>
  <c r="AV139" i="110" a="1"/>
  <c r="AV139" i="110" s="1"/>
  <c r="AX140" i="110" l="1" a="1"/>
  <c r="AX140" i="110" s="1"/>
  <c r="AZ140" i="110" a="1"/>
  <c r="AZ140" i="110" s="1"/>
  <c r="P141" i="110"/>
  <c r="BX139" i="110"/>
  <c r="Z138" i="110"/>
  <c r="AD138" i="110"/>
  <c r="BO139" i="110"/>
  <c r="AC138" i="110"/>
  <c r="AA138" i="110" s="1"/>
  <c r="AB138" i="110"/>
  <c r="BI139" i="110"/>
  <c r="BJ139" i="110" s="1"/>
  <c r="N141" i="110"/>
  <c r="W141" i="110"/>
  <c r="BM139" i="110"/>
  <c r="BP139" i="110"/>
  <c r="BQ139" i="110" s="1"/>
  <c r="AM140" i="110" a="1"/>
  <c r="AM140" i="110" s="1"/>
  <c r="AJ140" i="110" a="1"/>
  <c r="AJ140" i="110" s="1"/>
  <c r="BA140" i="110" a="1"/>
  <c r="BA140" i="110" s="1"/>
  <c r="BR140" i="110" s="1"/>
  <c r="AW140" i="110" a="1"/>
  <c r="AW140" i="110" s="1"/>
  <c r="AU140" i="110" a="1"/>
  <c r="AU140" i="110" s="1"/>
  <c r="BB140" i="110" a="1"/>
  <c r="BB140" i="110" s="1"/>
  <c r="BS140" i="110" s="1"/>
  <c r="P142" i="110"/>
  <c r="Q142" i="110"/>
  <c r="N142" i="110"/>
  <c r="W142" i="110"/>
  <c r="AL140" i="110" a="1"/>
  <c r="AL140" i="110" s="1"/>
  <c r="AO140" i="110" a="1"/>
  <c r="AO140" i="110" s="1"/>
  <c r="BL140" i="110" s="1"/>
  <c r="AQ140" i="110" a="1"/>
  <c r="AQ140" i="110" s="1"/>
  <c r="BD140" i="110" a="1"/>
  <c r="BD140" i="110" s="1"/>
  <c r="BU140" i="110" s="1"/>
  <c r="AK140" i="110" a="1"/>
  <c r="AK140" i="110" s="1"/>
  <c r="AF141" i="110"/>
  <c r="AG141" i="110" s="1"/>
  <c r="AH141" i="110" s="1"/>
  <c r="AI141" i="110" s="1"/>
  <c r="BE141" i="110" s="1" a="1"/>
  <c r="BE141" i="110" s="1"/>
  <c r="BV141" i="110" s="1"/>
  <c r="V141" i="110"/>
  <c r="AT140" i="110" a="1"/>
  <c r="AT140" i="110" s="1"/>
  <c r="BC140" i="110" a="1"/>
  <c r="BC140" i="110" s="1"/>
  <c r="BT140" i="110" s="1"/>
  <c r="BE140" i="110" a="1"/>
  <c r="BE140" i="110" s="1"/>
  <c r="BV140" i="110" s="1"/>
  <c r="H142" i="110"/>
  <c r="E143" i="110" s="1"/>
  <c r="F143" i="110" s="1"/>
  <c r="AS140" i="110" a="1"/>
  <c r="AS140" i="110" s="1"/>
  <c r="BN140" i="110" s="1"/>
  <c r="AP140" i="110" a="1"/>
  <c r="AP140" i="110" s="1"/>
  <c r="I142" i="110"/>
  <c r="BG140" i="110" a="1"/>
  <c r="BG140" i="110" s="1"/>
  <c r="BX140" i="110" s="1"/>
  <c r="BF140" i="110" a="1"/>
  <c r="BF140" i="110" s="1"/>
  <c r="BW140" i="110" s="1"/>
  <c r="AV140" i="110" a="1"/>
  <c r="AV140" i="110" s="1"/>
  <c r="AN140" i="110" a="1"/>
  <c r="AN140" i="110" s="1"/>
  <c r="BK140" i="110" s="1"/>
  <c r="BP140" i="110" l="1"/>
  <c r="BQ140" i="110" s="1"/>
  <c r="AC139" i="110"/>
  <c r="AA139" i="110" s="1"/>
  <c r="AE138" i="110"/>
  <c r="Z139" i="110"/>
  <c r="T138" i="110"/>
  <c r="Y138" i="110"/>
  <c r="S138" i="110" s="1"/>
  <c r="BO140" i="110"/>
  <c r="BM140" i="110"/>
  <c r="AO141" i="110" a="1"/>
  <c r="AO141" i="110" s="1"/>
  <c r="BL141" i="110" s="1"/>
  <c r="AX141" i="110" a="1"/>
  <c r="AX141" i="110" s="1"/>
  <c r="AW141" i="110" a="1"/>
  <c r="AW141" i="110" s="1"/>
  <c r="AM141" i="110" a="1"/>
  <c r="AM141" i="110" s="1"/>
  <c r="AY141" i="110" a="1"/>
  <c r="AY141" i="110" s="1"/>
  <c r="AL141" i="110" a="1"/>
  <c r="AL141" i="110" s="1"/>
  <c r="AU141" i="110" a="1"/>
  <c r="AU141" i="110" s="1"/>
  <c r="BI140" i="110"/>
  <c r="AZ141" i="110" a="1"/>
  <c r="AZ141" i="110" s="1"/>
  <c r="AN141" i="110" a="1"/>
  <c r="AN141" i="110" s="1"/>
  <c r="BK141" i="110" s="1"/>
  <c r="BG141" i="110" a="1"/>
  <c r="BG141" i="110" s="1"/>
  <c r="BC141" i="110" a="1"/>
  <c r="BC141" i="110" s="1"/>
  <c r="BT141" i="110" s="1"/>
  <c r="AP141" i="110" a="1"/>
  <c r="AP141" i="110" s="1"/>
  <c r="BF141" i="110" a="1"/>
  <c r="BF141" i="110" s="1"/>
  <c r="BW141" i="110" s="1"/>
  <c r="AT141" i="110" a="1"/>
  <c r="AT141" i="110" s="1"/>
  <c r="AJ141" i="110" a="1"/>
  <c r="AJ141" i="110" s="1"/>
  <c r="BD141" i="110" a="1"/>
  <c r="BD141" i="110" s="1"/>
  <c r="BU141" i="110" s="1"/>
  <c r="AS141" i="110" a="1"/>
  <c r="AS141" i="110" s="1"/>
  <c r="BN141" i="110" s="1"/>
  <c r="Z140" i="110"/>
  <c r="AC140" i="110"/>
  <c r="AA140" i="110" s="1"/>
  <c r="BJ140" i="110"/>
  <c r="M143" i="110"/>
  <c r="H143" i="110" s="1"/>
  <c r="E144" i="110" s="1"/>
  <c r="F144" i="110" s="1"/>
  <c r="AQ141" i="110" a="1"/>
  <c r="AQ141" i="110" s="1"/>
  <c r="AF142" i="110"/>
  <c r="AG142" i="110" s="1"/>
  <c r="AH142" i="110" s="1"/>
  <c r="AI142" i="110" s="1"/>
  <c r="AV142" i="110" s="1" a="1"/>
  <c r="AV142" i="110" s="1"/>
  <c r="BD142" i="110" a="1"/>
  <c r="BD142" i="110" s="1"/>
  <c r="BU142" i="110" s="1"/>
  <c r="BB142" i="110" a="1"/>
  <c r="BB142" i="110" s="1"/>
  <c r="BS142" i="110" s="1"/>
  <c r="AK142" i="110" a="1"/>
  <c r="AK142" i="110" s="1"/>
  <c r="AY142" i="110" a="1"/>
  <c r="AY142" i="110" s="1"/>
  <c r="AJ142" i="110" a="1"/>
  <c r="AJ142" i="110" s="1"/>
  <c r="V142" i="110"/>
  <c r="AV141" i="110" a="1"/>
  <c r="AV141" i="110" s="1"/>
  <c r="BP141" i="110" s="1"/>
  <c r="BQ141" i="110" s="1"/>
  <c r="AR141" i="110" a="1"/>
  <c r="AR141" i="110" s="1"/>
  <c r="BA141" i="110" a="1"/>
  <c r="BA141" i="110" s="1"/>
  <c r="BR141" i="110" s="1"/>
  <c r="AK141" i="110" a="1"/>
  <c r="AK141" i="110" s="1"/>
  <c r="BI141" i="110" s="1"/>
  <c r="T139" i="110"/>
  <c r="Y139" i="110"/>
  <c r="S139" i="110" s="1"/>
  <c r="BB141" i="110" a="1"/>
  <c r="BB141" i="110" s="1"/>
  <c r="BS141" i="110" s="1"/>
  <c r="BH141" i="110" a="1"/>
  <c r="BH141" i="110" s="1"/>
  <c r="BX141" i="110" s="1"/>
  <c r="AB139" i="110"/>
  <c r="AE139" i="110" s="1"/>
  <c r="AD139" i="110"/>
  <c r="BM141" i="110" l="1"/>
  <c r="BC142" i="110" a="1"/>
  <c r="BC142" i="110" s="1"/>
  <c r="BT142" i="110" s="1"/>
  <c r="BF142" i="110" a="1"/>
  <c r="BF142" i="110" s="1"/>
  <c r="BW142" i="110" s="1"/>
  <c r="AU142" i="110" a="1"/>
  <c r="AU142" i="110" s="1"/>
  <c r="BO141" i="110"/>
  <c r="AS142" i="110" a="1"/>
  <c r="AS142" i="110" s="1"/>
  <c r="BN142" i="110" s="1"/>
  <c r="AR142" i="110" a="1"/>
  <c r="AR142" i="110" s="1"/>
  <c r="AQ142" i="110" a="1"/>
  <c r="AQ142" i="110" s="1"/>
  <c r="AL142" i="110" a="1"/>
  <c r="AL142" i="110" s="1"/>
  <c r="BI142" i="110" s="1"/>
  <c r="Z141" i="110"/>
  <c r="AC141" i="110"/>
  <c r="AA141" i="110" s="1"/>
  <c r="BJ141" i="110"/>
  <c r="M144" i="110"/>
  <c r="I144" i="110" s="1"/>
  <c r="BH142" i="110" a="1"/>
  <c r="BH142" i="110" s="1"/>
  <c r="AT142" i="110" a="1"/>
  <c r="AT142" i="110" s="1"/>
  <c r="AN142" i="110" a="1"/>
  <c r="AN142" i="110" s="1"/>
  <c r="BK142" i="110" s="1"/>
  <c r="BE142" i="110" a="1"/>
  <c r="BE142" i="110" s="1"/>
  <c r="BV142" i="110" s="1"/>
  <c r="AZ142" i="110" a="1"/>
  <c r="AZ142" i="110" s="1"/>
  <c r="AW142" i="110" a="1"/>
  <c r="AW142" i="110" s="1"/>
  <c r="I143" i="110"/>
  <c r="AM142" i="110" a="1"/>
  <c r="AM142" i="110" s="1"/>
  <c r="G143" i="110"/>
  <c r="O143" i="110" s="1"/>
  <c r="BA142" i="110" a="1"/>
  <c r="BA142" i="110" s="1"/>
  <c r="AO142" i="110" a="1"/>
  <c r="AO142" i="110" s="1"/>
  <c r="BL142" i="110" s="1"/>
  <c r="AX142" i="110" a="1"/>
  <c r="AX142" i="110" s="1"/>
  <c r="AD140" i="110"/>
  <c r="AB140" i="110"/>
  <c r="AE140" i="110" s="1"/>
  <c r="BG142" i="110" a="1"/>
  <c r="BG142" i="110" s="1"/>
  <c r="AP142" i="110" a="1"/>
  <c r="AP142" i="110" s="1"/>
  <c r="T140" i="110"/>
  <c r="Y140" i="110"/>
  <c r="S140" i="110" s="1"/>
  <c r="BO142" i="110" l="1"/>
  <c r="BM142" i="110"/>
  <c r="BR142" i="110"/>
  <c r="BJ142" i="110"/>
  <c r="BP142" i="110"/>
  <c r="BQ142" i="110" s="1"/>
  <c r="BX142" i="110"/>
  <c r="G144" i="110"/>
  <c r="O144" i="110" s="1"/>
  <c r="H144" i="110"/>
  <c r="E145" i="110" s="1"/>
  <c r="F145" i="110" s="1"/>
  <c r="AB141" i="110"/>
  <c r="AE141" i="110" s="1"/>
  <c r="AD141" i="110"/>
  <c r="P143" i="110"/>
  <c r="W143" i="110"/>
  <c r="Q143" i="110"/>
  <c r="N143" i="110"/>
  <c r="T141" i="110"/>
  <c r="Y141" i="110"/>
  <c r="S141" i="110" s="1"/>
  <c r="AB142" i="110" l="1"/>
  <c r="AC142" i="110"/>
  <c r="AA142" i="110" s="1"/>
  <c r="AD142" i="110"/>
  <c r="Z142" i="110"/>
  <c r="AZ143" i="110" a="1"/>
  <c r="AZ143" i="110" s="1"/>
  <c r="AQ143" i="110" a="1"/>
  <c r="AQ143" i="110" s="1"/>
  <c r="BE143" i="110" a="1"/>
  <c r="BE143" i="110" s="1"/>
  <c r="BV143" i="110" s="1"/>
  <c r="AV143" i="110" a="1"/>
  <c r="AV143" i="110" s="1"/>
  <c r="AM143" i="110" a="1"/>
  <c r="AM143" i="110" s="1"/>
  <c r="V143" i="110"/>
  <c r="BA143" i="110" a="1"/>
  <c r="BA143" i="110" s="1"/>
  <c r="AP143" i="110" a="1"/>
  <c r="AP143" i="110" s="1"/>
  <c r="AW143" i="110" a="1"/>
  <c r="AW143" i="110" s="1"/>
  <c r="AJ143" i="110" a="1"/>
  <c r="AJ143" i="110" s="1"/>
  <c r="BH143" i="110" a="1"/>
  <c r="BH143" i="110" s="1"/>
  <c r="AU143" i="110" a="1"/>
  <c r="AU143" i="110" s="1"/>
  <c r="BG143" i="110" a="1"/>
  <c r="BG143" i="110" s="1"/>
  <c r="AF143" i="110"/>
  <c r="AG143" i="110" s="1"/>
  <c r="AH143" i="110" s="1"/>
  <c r="AI143" i="110" s="1"/>
  <c r="BF143" i="110" a="1"/>
  <c r="BF143" i="110" s="1"/>
  <c r="BW143" i="110" s="1"/>
  <c r="AO143" i="110" a="1"/>
  <c r="AO143" i="110" s="1"/>
  <c r="BL143" i="110" s="1"/>
  <c r="BC143" i="110" a="1"/>
  <c r="BC143" i="110" s="1"/>
  <c r="BT143" i="110" s="1"/>
  <c r="AL143" i="110" a="1"/>
  <c r="AL143" i="110" s="1"/>
  <c r="BB143" i="110" a="1"/>
  <c r="BB143" i="110" s="1"/>
  <c r="BS143" i="110" s="1"/>
  <c r="AK143" i="110" a="1"/>
  <c r="AK143" i="110" s="1"/>
  <c r="BD143" i="110" a="1"/>
  <c r="BD143" i="110" s="1"/>
  <c r="BU143" i="110" s="1"/>
  <c r="AN143" i="110" a="1"/>
  <c r="AN143" i="110" s="1"/>
  <c r="BK143" i="110" s="1"/>
  <c r="AY143" i="110" a="1"/>
  <c r="AY143" i="110" s="1"/>
  <c r="AX143" i="110" a="1"/>
  <c r="AX143" i="110" s="1"/>
  <c r="BP143" i="110" s="1"/>
  <c r="AR143" i="110" a="1"/>
  <c r="AR143" i="110" s="1"/>
  <c r="AT143" i="110" a="1"/>
  <c r="AT143" i="110" s="1"/>
  <c r="BO143" i="110" s="1"/>
  <c r="AS143" i="110" a="1"/>
  <c r="AS143" i="110" s="1"/>
  <c r="BN143" i="110" s="1"/>
  <c r="M145" i="110"/>
  <c r="I145" i="110" s="1"/>
  <c r="P144" i="110"/>
  <c r="N144" i="110"/>
  <c r="W144" i="110"/>
  <c r="Q144" i="110"/>
  <c r="T142" i="110"/>
  <c r="AE142" i="110"/>
  <c r="Y142" i="110"/>
  <c r="S142" i="110" s="1"/>
  <c r="BR143" i="110" l="1"/>
  <c r="BQ143" i="110"/>
  <c r="BX143" i="110"/>
  <c r="BI143" i="110"/>
  <c r="BM143" i="110"/>
  <c r="H145" i="110"/>
  <c r="E146" i="110" s="1"/>
  <c r="F146" i="110" s="1"/>
  <c r="M146" i="110" s="1"/>
  <c r="I146" i="110" s="1"/>
  <c r="V144" i="110"/>
  <c r="AF144" i="110"/>
  <c r="AG144" i="110" s="1"/>
  <c r="AH144" i="110" s="1"/>
  <c r="AI144" i="110" s="1"/>
  <c r="AU144" i="110" s="1" a="1"/>
  <c r="AU144" i="110" s="1"/>
  <c r="G145" i="110"/>
  <c r="O145" i="110" s="1"/>
  <c r="AC143" i="110" l="1"/>
  <c r="AA143" i="110" s="1"/>
  <c r="AQ144" i="110" a="1"/>
  <c r="AQ144" i="110" s="1"/>
  <c r="AR144" i="110" a="1"/>
  <c r="AR144" i="110" s="1"/>
  <c r="AV144" i="110" a="1"/>
  <c r="AV144" i="110" s="1"/>
  <c r="AY144" i="110" a="1"/>
  <c r="AY144" i="110" s="1"/>
  <c r="BH144" i="110" a="1"/>
  <c r="BH144" i="110" s="1"/>
  <c r="BD144" i="110" a="1"/>
  <c r="BD144" i="110" s="1"/>
  <c r="BU144" i="110" s="1"/>
  <c r="AN144" i="110" a="1"/>
  <c r="AN144" i="110" s="1"/>
  <c r="BK144" i="110" s="1"/>
  <c r="BA144" i="110" a="1"/>
  <c r="BA144" i="110" s="1"/>
  <c r="AP144" i="110" a="1"/>
  <c r="AP144" i="110" s="1"/>
  <c r="BG144" i="110" a="1"/>
  <c r="BG144" i="110" s="1"/>
  <c r="Z143" i="110"/>
  <c r="BJ143" i="110"/>
  <c r="G146" i="110"/>
  <c r="O146" i="110" s="1"/>
  <c r="W146" i="110" s="1"/>
  <c r="BE144" i="110" a="1"/>
  <c r="BE144" i="110" s="1"/>
  <c r="BV144" i="110" s="1"/>
  <c r="AM144" i="110" a="1"/>
  <c r="AM144" i="110" s="1"/>
  <c r="BF144" i="110" a="1"/>
  <c r="BF144" i="110" s="1"/>
  <c r="BW144" i="110" s="1"/>
  <c r="P145" i="110"/>
  <c r="Q145" i="110"/>
  <c r="N145" i="110"/>
  <c r="W145" i="110"/>
  <c r="AJ144" i="110" a="1"/>
  <c r="AJ144" i="110" s="1"/>
  <c r="AS144" i="110" a="1"/>
  <c r="AS144" i="110" s="1"/>
  <c r="BN144" i="110" s="1"/>
  <c r="BB144" i="110" a="1"/>
  <c r="BB144" i="110" s="1"/>
  <c r="BS144" i="110" s="1"/>
  <c r="AW144" i="110" a="1"/>
  <c r="AW144" i="110" s="1"/>
  <c r="AK144" i="110" a="1"/>
  <c r="AK144" i="110" s="1"/>
  <c r="H146" i="110"/>
  <c r="E147" i="110" s="1"/>
  <c r="F147" i="110" s="1"/>
  <c r="AL144" i="110" a="1"/>
  <c r="AL144" i="110" s="1"/>
  <c r="BC144" i="110" a="1"/>
  <c r="BC144" i="110" s="1"/>
  <c r="BT144" i="110" s="1"/>
  <c r="AX144" i="110" a="1"/>
  <c r="AX144" i="110" s="1"/>
  <c r="AZ144" i="110" a="1"/>
  <c r="AZ144" i="110" s="1"/>
  <c r="BR144" i="110" s="1"/>
  <c r="AT144" i="110" a="1"/>
  <c r="AT144" i="110" s="1"/>
  <c r="BO144" i="110" s="1"/>
  <c r="AO144" i="110" a="1"/>
  <c r="AO144" i="110" s="1"/>
  <c r="BL144" i="110" s="1"/>
  <c r="T143" i="110"/>
  <c r="Y143" i="110"/>
  <c r="S143" i="110" s="1"/>
  <c r="AB143" i="110"/>
  <c r="AE143" i="110" s="1"/>
  <c r="AD143" i="110"/>
  <c r="BX144" i="110" l="1"/>
  <c r="BM144" i="110"/>
  <c r="BP144" i="110"/>
  <c r="BQ144" i="110" s="1"/>
  <c r="N146" i="110"/>
  <c r="Q146" i="110"/>
  <c r="P146" i="110"/>
  <c r="V146" i="110"/>
  <c r="AF146" i="110"/>
  <c r="AG146" i="110" s="1"/>
  <c r="AH146" i="110" s="1"/>
  <c r="AI146" i="110" s="1"/>
  <c r="AY146" i="110" s="1" a="1"/>
  <c r="AY146" i="110" s="1"/>
  <c r="AJ146" i="110" a="1"/>
  <c r="AJ146" i="110" s="1"/>
  <c r="BI144" i="110"/>
  <c r="V145" i="110"/>
  <c r="AF145" i="110"/>
  <c r="AG145" i="110" s="1"/>
  <c r="AH145" i="110" s="1"/>
  <c r="AI145" i="110" s="1"/>
  <c r="AY145" i="110" s="1" a="1"/>
  <c r="AY145" i="110" s="1"/>
  <c r="M147" i="110"/>
  <c r="I147" i="110" s="1"/>
  <c r="AM146" i="110" l="1" a="1"/>
  <c r="AM146" i="110" s="1"/>
  <c r="AZ146" i="110" a="1"/>
  <c r="AZ146" i="110" s="1"/>
  <c r="AV145" i="110" a="1"/>
  <c r="AV145" i="110" s="1"/>
  <c r="BG145" i="110" a="1"/>
  <c r="BG145" i="110" s="1"/>
  <c r="BA146" i="110" a="1"/>
  <c r="BA146" i="110" s="1"/>
  <c r="AP146" i="110" a="1"/>
  <c r="AP146" i="110" s="1"/>
  <c r="AS145" i="110" a="1"/>
  <c r="AS145" i="110" s="1"/>
  <c r="BN145" i="110" s="1"/>
  <c r="BC146" i="110" a="1"/>
  <c r="BC146" i="110" s="1"/>
  <c r="BT146" i="110" s="1"/>
  <c r="AK146" i="110" a="1"/>
  <c r="AK146" i="110" s="1"/>
  <c r="AL145" i="110" a="1"/>
  <c r="AL145" i="110" s="1"/>
  <c r="BH146" i="110" a="1"/>
  <c r="BH146" i="110" s="1"/>
  <c r="BB146" i="110" a="1"/>
  <c r="BB146" i="110" s="1"/>
  <c r="BS146" i="110" s="1"/>
  <c r="AN145" i="110" a="1"/>
  <c r="AN145" i="110" s="1"/>
  <c r="BK145" i="110" s="1"/>
  <c r="AX146" i="110" a="1"/>
  <c r="AX146" i="110" s="1"/>
  <c r="AO146" i="110" a="1"/>
  <c r="AO146" i="110" s="1"/>
  <c r="BL146" i="110" s="1"/>
  <c r="AM145" i="110" a="1"/>
  <c r="AM145" i="110" s="1"/>
  <c r="AV146" i="110" a="1"/>
  <c r="AV146" i="110" s="1"/>
  <c r="AW146" i="110" a="1"/>
  <c r="AW146" i="110" s="1"/>
  <c r="AW145" i="110" a="1"/>
  <c r="AW145" i="110" s="1"/>
  <c r="AN146" i="110" a="1"/>
  <c r="AN146" i="110" s="1"/>
  <c r="BK146" i="110" s="1"/>
  <c r="BE146" i="110" a="1"/>
  <c r="BE146" i="110" s="1"/>
  <c r="BV146" i="110" s="1"/>
  <c r="AU146" i="110" a="1"/>
  <c r="AU146" i="110" s="1"/>
  <c r="AP145" i="110" a="1"/>
  <c r="AP145" i="110" s="1"/>
  <c r="AQ146" i="110" a="1"/>
  <c r="AQ146" i="110" s="1"/>
  <c r="BD146" i="110" a="1"/>
  <c r="BD146" i="110" s="1"/>
  <c r="BU146" i="110" s="1"/>
  <c r="BF146" i="110" a="1"/>
  <c r="BF146" i="110" s="1"/>
  <c r="BW146" i="110" s="1"/>
  <c r="AT145" i="110" a="1"/>
  <c r="AT145" i="110" s="1"/>
  <c r="AL146" i="110" a="1"/>
  <c r="AL146" i="110" s="1"/>
  <c r="BI146" i="110" s="1"/>
  <c r="AR146" i="110" a="1"/>
  <c r="AR146" i="110" s="1"/>
  <c r="AU145" i="110" a="1"/>
  <c r="AU145" i="110" s="1"/>
  <c r="BG146" i="110" a="1"/>
  <c r="BG146" i="110" s="1"/>
  <c r="AQ145" i="110" a="1"/>
  <c r="AQ145" i="110" s="1"/>
  <c r="AS146" i="110" a="1"/>
  <c r="AS146" i="110" s="1"/>
  <c r="BN146" i="110" s="1"/>
  <c r="AR145" i="110" a="1"/>
  <c r="AR145" i="110" s="1"/>
  <c r="AT146" i="110" a="1"/>
  <c r="AT146" i="110" s="1"/>
  <c r="BD145" i="110" a="1"/>
  <c r="BD145" i="110" s="1"/>
  <c r="BU145" i="110" s="1"/>
  <c r="AZ145" i="110" a="1"/>
  <c r="AZ145" i="110" s="1"/>
  <c r="BB145" i="110" a="1"/>
  <c r="BB145" i="110" s="1"/>
  <c r="BS145" i="110" s="1"/>
  <c r="AJ145" i="110" a="1"/>
  <c r="AJ145" i="110" s="1"/>
  <c r="AO145" i="110" a="1"/>
  <c r="AO145" i="110" s="1"/>
  <c r="BL145" i="110" s="1"/>
  <c r="BA145" i="110" a="1"/>
  <c r="BA145" i="110" s="1"/>
  <c r="G147" i="110"/>
  <c r="O147" i="110" s="1"/>
  <c r="H147" i="110"/>
  <c r="E148" i="110" s="1"/>
  <c r="F148" i="110" s="1"/>
  <c r="BH145" i="110" a="1"/>
  <c r="BH145" i="110" s="1"/>
  <c r="BX145" i="110" s="1"/>
  <c r="BE145" i="110" a="1"/>
  <c r="BE145" i="110" s="1"/>
  <c r="BV145" i="110" s="1"/>
  <c r="BC145" i="110" a="1"/>
  <c r="BC145" i="110" s="1"/>
  <c r="BT145" i="110" s="1"/>
  <c r="BF145" i="110" a="1"/>
  <c r="BF145" i="110" s="1"/>
  <c r="BW145" i="110" s="1"/>
  <c r="AK145" i="110" a="1"/>
  <c r="AK145" i="110" s="1"/>
  <c r="AX145" i="110" a="1"/>
  <c r="AX145" i="110" s="1"/>
  <c r="BP145" i="110" s="1"/>
  <c r="BQ145" i="110" s="1"/>
  <c r="BJ144" i="110"/>
  <c r="AC144" i="110"/>
  <c r="AA144" i="110" s="1"/>
  <c r="Z144" i="110"/>
  <c r="BR146" i="110" l="1"/>
  <c r="BO145" i="110"/>
  <c r="BP146" i="110"/>
  <c r="BQ146" i="110" s="1"/>
  <c r="BI145" i="110"/>
  <c r="BJ145" i="110" s="1"/>
  <c r="BJ146" i="110"/>
  <c r="BM145" i="110"/>
  <c r="BX146" i="110"/>
  <c r="BO146" i="110"/>
  <c r="BM146" i="110"/>
  <c r="M148" i="110"/>
  <c r="I148" i="110" s="1"/>
  <c r="W147" i="110"/>
  <c r="Q147" i="110"/>
  <c r="P147" i="110"/>
  <c r="N147" i="110"/>
  <c r="BR145" i="110"/>
  <c r="T144" i="110"/>
  <c r="Y144" i="110"/>
  <c r="S144" i="110" s="1"/>
  <c r="AD144" i="110"/>
  <c r="AB144" i="110"/>
  <c r="AE144" i="110" s="1"/>
  <c r="AD146" i="110" l="1"/>
  <c r="AB146" i="110"/>
  <c r="Z146" i="110"/>
  <c r="G148" i="110"/>
  <c r="O148" i="110" s="1"/>
  <c r="H148" i="110"/>
  <c r="E149" i="110" s="1"/>
  <c r="F149" i="110" s="1"/>
  <c r="M149" i="110" s="1"/>
  <c r="H149" i="110" s="1"/>
  <c r="E150" i="110" s="1"/>
  <c r="F150" i="110" s="1"/>
  <c r="Z145" i="110"/>
  <c r="T145" i="110" s="1"/>
  <c r="T146" i="110"/>
  <c r="Y146" i="110"/>
  <c r="S146" i="110" s="1"/>
  <c r="AE146" i="110"/>
  <c r="AC145" i="110"/>
  <c r="AA145" i="110" s="1"/>
  <c r="AC146" i="110"/>
  <c r="AA146" i="110" s="1"/>
  <c r="AD145" i="110"/>
  <c r="AB145" i="110"/>
  <c r="V147" i="110"/>
  <c r="AZ147" i="110" a="1"/>
  <c r="AZ147" i="110" s="1"/>
  <c r="AN147" i="110" a="1"/>
  <c r="AN147" i="110" s="1"/>
  <c r="BK147" i="110" s="1"/>
  <c r="AQ147" i="110" a="1"/>
  <c r="AQ147" i="110" s="1"/>
  <c r="AF147" i="110"/>
  <c r="AG147" i="110" s="1"/>
  <c r="AH147" i="110" s="1"/>
  <c r="AI147" i="110" s="1"/>
  <c r="BA147" i="110" s="1" a="1"/>
  <c r="BA147" i="110" s="1"/>
  <c r="AU147" i="110" a="1"/>
  <c r="AU147" i="110" s="1"/>
  <c r="BB147" i="110" a="1"/>
  <c r="BB147" i="110" s="1"/>
  <c r="BS147" i="110" s="1"/>
  <c r="AR147" i="110" a="1"/>
  <c r="AR147" i="110" s="1"/>
  <c r="AM147" i="110" a="1"/>
  <c r="AM147" i="110" s="1"/>
  <c r="BF147" i="110" a="1"/>
  <c r="BF147" i="110" s="1"/>
  <c r="BW147" i="110" s="1"/>
  <c r="BD147" i="110" a="1"/>
  <c r="BD147" i="110" s="1"/>
  <c r="BU147" i="110" s="1"/>
  <c r="AL147" i="110" a="1"/>
  <c r="AL147" i="110" s="1"/>
  <c r="Y145" i="110"/>
  <c r="S145" i="110" s="1"/>
  <c r="W148" i="110"/>
  <c r="Q148" i="110"/>
  <c r="P148" i="110"/>
  <c r="N148" i="110"/>
  <c r="AE145" i="110" l="1"/>
  <c r="BR147" i="110"/>
  <c r="I149" i="110"/>
  <c r="M150" i="110"/>
  <c r="I150" i="110" s="1"/>
  <c r="AK147" i="110" a="1"/>
  <c r="AK147" i="110" s="1"/>
  <c r="BG147" i="110" a="1"/>
  <c r="BG147" i="110" s="1"/>
  <c r="G149" i="110"/>
  <c r="O149" i="110" s="1"/>
  <c r="BH147" i="110" a="1"/>
  <c r="BH147" i="110" s="1"/>
  <c r="AJ147" i="110" a="1"/>
  <c r="AJ147" i="110" s="1"/>
  <c r="AY147" i="110" a="1"/>
  <c r="AY147" i="110" s="1"/>
  <c r="AX147" i="110" a="1"/>
  <c r="AX147" i="110" s="1"/>
  <c r="AS147" i="110" a="1"/>
  <c r="AS147" i="110" s="1"/>
  <c r="BN147" i="110" s="1"/>
  <c r="AV147" i="110" a="1"/>
  <c r="AV147" i="110" s="1"/>
  <c r="AF148" i="110"/>
  <c r="AG148" i="110" s="1"/>
  <c r="AH148" i="110" s="1"/>
  <c r="AI148" i="110" s="1"/>
  <c r="BE148" i="110" s="1" a="1"/>
  <c r="BE148" i="110" s="1"/>
  <c r="BV148" i="110" s="1"/>
  <c r="BC148" i="110" a="1"/>
  <c r="BC148" i="110" s="1"/>
  <c r="BT148" i="110" s="1"/>
  <c r="V148" i="110"/>
  <c r="AZ148" i="110" a="1"/>
  <c r="AZ148" i="110" s="1"/>
  <c r="BC147" i="110" a="1"/>
  <c r="BC147" i="110" s="1"/>
  <c r="BT147" i="110" s="1"/>
  <c r="AO147" i="110" a="1"/>
  <c r="AO147" i="110" s="1"/>
  <c r="BL147" i="110" s="1"/>
  <c r="AW147" i="110" a="1"/>
  <c r="AW147" i="110" s="1"/>
  <c r="BE147" i="110" a="1"/>
  <c r="BE147" i="110" s="1"/>
  <c r="BV147" i="110" s="1"/>
  <c r="AT147" i="110" a="1"/>
  <c r="AT147" i="110" s="1"/>
  <c r="BO147" i="110" s="1"/>
  <c r="AP147" i="110" a="1"/>
  <c r="AP147" i="110" s="1"/>
  <c r="BM147" i="110" s="1"/>
  <c r="BA148" i="110" l="1" a="1"/>
  <c r="BA148" i="110" s="1"/>
  <c r="BR148" i="110" s="1"/>
  <c r="AY148" i="110" a="1"/>
  <c r="AY148" i="110" s="1"/>
  <c r="AM148" i="110" a="1"/>
  <c r="AM148" i="110" s="1"/>
  <c r="AK148" i="110" a="1"/>
  <c r="AK148" i="110" s="1"/>
  <c r="BB148" i="110" a="1"/>
  <c r="BB148" i="110" s="1"/>
  <c r="BS148" i="110" s="1"/>
  <c r="AL148" i="110" a="1"/>
  <c r="AL148" i="110" s="1"/>
  <c r="AS148" i="110" a="1"/>
  <c r="AS148" i="110" s="1"/>
  <c r="BN148" i="110" s="1"/>
  <c r="AP148" i="110" a="1"/>
  <c r="AP148" i="110" s="1"/>
  <c r="BD148" i="110" a="1"/>
  <c r="BD148" i="110" s="1"/>
  <c r="BU148" i="110" s="1"/>
  <c r="AR148" i="110" a="1"/>
  <c r="AR148" i="110" s="1"/>
  <c r="AU148" i="110" a="1"/>
  <c r="AU148" i="110" s="1"/>
  <c r="AN148" i="110" a="1"/>
  <c r="AN148" i="110" s="1"/>
  <c r="BK148" i="110" s="1"/>
  <c r="AX148" i="110" a="1"/>
  <c r="AX148" i="110" s="1"/>
  <c r="AV148" i="110" a="1"/>
  <c r="AV148" i="110" s="1"/>
  <c r="BH148" i="110" a="1"/>
  <c r="BH148" i="110" s="1"/>
  <c r="G150" i="110"/>
  <c r="O150" i="110" s="1"/>
  <c r="H150" i="110"/>
  <c r="E151" i="110" s="1"/>
  <c r="F151" i="110" s="1"/>
  <c r="AJ148" i="110" a="1"/>
  <c r="AJ148" i="110" s="1"/>
  <c r="BP147" i="110"/>
  <c r="BQ147" i="110" s="1"/>
  <c r="BI147" i="110"/>
  <c r="BX147" i="110"/>
  <c r="BF148" i="110" a="1"/>
  <c r="BF148" i="110" s="1"/>
  <c r="BW148" i="110" s="1"/>
  <c r="AQ148" i="110" a="1"/>
  <c r="AQ148" i="110" s="1"/>
  <c r="BM148" i="110" s="1"/>
  <c r="Q149" i="110"/>
  <c r="P149" i="110"/>
  <c r="W149" i="110"/>
  <c r="N149" i="110"/>
  <c r="BG148" i="110" a="1"/>
  <c r="BG148" i="110" s="1"/>
  <c r="BX148" i="110" s="1"/>
  <c r="AT148" i="110" a="1"/>
  <c r="AT148" i="110" s="1"/>
  <c r="W150" i="110"/>
  <c r="N150" i="110"/>
  <c r="Q150" i="110"/>
  <c r="P150" i="110"/>
  <c r="AO148" i="110" a="1"/>
  <c r="AO148" i="110" s="1"/>
  <c r="BL148" i="110" s="1"/>
  <c r="M151" i="110"/>
  <c r="I151" i="110" s="1"/>
  <c r="AW148" i="110" a="1"/>
  <c r="AW148" i="110" s="1"/>
  <c r="BP148" i="110" s="1"/>
  <c r="BQ148" i="110" s="1"/>
  <c r="BI148" i="110" l="1"/>
  <c r="BO148" i="110"/>
  <c r="G151" i="110"/>
  <c r="O151" i="110" s="1"/>
  <c r="W151" i="110" s="1"/>
  <c r="AF150" i="110"/>
  <c r="AG150" i="110" s="1"/>
  <c r="AH150" i="110" s="1"/>
  <c r="AI150" i="110" s="1"/>
  <c r="AX150" i="110" s="1" a="1"/>
  <c r="AX150" i="110" s="1"/>
  <c r="AN150" i="110" a="1"/>
  <c r="AN150" i="110" s="1"/>
  <c r="BK150" i="110" s="1"/>
  <c r="BG150" i="110" a="1"/>
  <c r="BG150" i="110" s="1"/>
  <c r="V150" i="110"/>
  <c r="BH150" i="110" a="1"/>
  <c r="BH150" i="110" s="1"/>
  <c r="AK150" i="110" a="1"/>
  <c r="AK150" i="110" s="1"/>
  <c r="BC150" i="110" a="1"/>
  <c r="BC150" i="110" s="1"/>
  <c r="BT150" i="110" s="1"/>
  <c r="BF150" i="110" a="1"/>
  <c r="BF150" i="110" s="1"/>
  <c r="BW150" i="110" s="1"/>
  <c r="AR150" i="110" a="1"/>
  <c r="AR150" i="110" s="1"/>
  <c r="AP150" i="110" a="1"/>
  <c r="AP150" i="110" s="1"/>
  <c r="AL150" i="110" a="1"/>
  <c r="AL150" i="110" s="1"/>
  <c r="BA150" i="110" a="1"/>
  <c r="BA150" i="110" s="1"/>
  <c r="BB150" i="110" a="1"/>
  <c r="BB150" i="110" s="1"/>
  <c r="BS150" i="110" s="1"/>
  <c r="AJ150" i="110" a="1"/>
  <c r="AJ150" i="110" s="1"/>
  <c r="AU150" i="110" a="1"/>
  <c r="AU150" i="110" s="1"/>
  <c r="AT150" i="110" a="1"/>
  <c r="AT150" i="110" s="1"/>
  <c r="AY150" i="110" a="1"/>
  <c r="AY150" i="110" s="1"/>
  <c r="V149" i="110"/>
  <c r="AF149" i="110"/>
  <c r="AG149" i="110" s="1"/>
  <c r="AH149" i="110" s="1"/>
  <c r="AI149" i="110" s="1"/>
  <c r="AX149" i="110" s="1" a="1"/>
  <c r="AX149" i="110" s="1"/>
  <c r="H151" i="110"/>
  <c r="E152" i="110" s="1"/>
  <c r="F152" i="110" s="1"/>
  <c r="AC147" i="110"/>
  <c r="AA147" i="110" s="1"/>
  <c r="Z147" i="110"/>
  <c r="BJ147" i="110"/>
  <c r="BJ148" i="110"/>
  <c r="Z148" i="110"/>
  <c r="AC148" i="110"/>
  <c r="AA148" i="110" s="1"/>
  <c r="P151" i="110" l="1"/>
  <c r="Q151" i="110"/>
  <c r="N151" i="110"/>
  <c r="BO150" i="110"/>
  <c r="AQ150" i="110" a="1"/>
  <c r="AQ150" i="110" s="1"/>
  <c r="BM150" i="110" s="1"/>
  <c r="AZ150" i="110" a="1"/>
  <c r="AZ150" i="110" s="1"/>
  <c r="BR150" i="110" s="1"/>
  <c r="AM150" i="110" a="1"/>
  <c r="AM150" i="110" s="1"/>
  <c r="BJ150" i="110" s="1"/>
  <c r="BD150" i="110" a="1"/>
  <c r="BD150" i="110" s="1"/>
  <c r="BU150" i="110" s="1"/>
  <c r="AO150" i="110" a="1"/>
  <c r="AO150" i="110" s="1"/>
  <c r="BL150" i="110" s="1"/>
  <c r="AW150" i="110" a="1"/>
  <c r="AW150" i="110" s="1"/>
  <c r="BE150" i="110" a="1"/>
  <c r="BE150" i="110" s="1"/>
  <c r="BV150" i="110" s="1"/>
  <c r="AS150" i="110" a="1"/>
  <c r="AS150" i="110" s="1"/>
  <c r="BN150" i="110" s="1"/>
  <c r="AV150" i="110" a="1"/>
  <c r="AV150" i="110" s="1"/>
  <c r="BD149" i="110" a="1"/>
  <c r="BD149" i="110" s="1"/>
  <c r="BU149" i="110" s="1"/>
  <c r="AP149" i="110" a="1"/>
  <c r="AP149" i="110" s="1"/>
  <c r="BA149" i="110" a="1"/>
  <c r="BA149" i="110" s="1"/>
  <c r="BG149" i="110" a="1"/>
  <c r="BG149" i="110" s="1"/>
  <c r="AR149" i="110" a="1"/>
  <c r="AR149" i="110" s="1"/>
  <c r="BI150" i="110"/>
  <c r="AJ149" i="110" a="1"/>
  <c r="AJ149" i="110" s="1"/>
  <c r="AY149" i="110" a="1"/>
  <c r="AY149" i="110" s="1"/>
  <c r="AZ149" i="110" a="1"/>
  <c r="AZ149" i="110" s="1"/>
  <c r="BB149" i="110" a="1"/>
  <c r="BB149" i="110" s="1"/>
  <c r="BS149" i="110" s="1"/>
  <c r="AK149" i="110" a="1"/>
  <c r="AK149" i="110" s="1"/>
  <c r="AT149" i="110" a="1"/>
  <c r="AT149" i="110" s="1"/>
  <c r="AL149" i="110" a="1"/>
  <c r="AL149" i="110" s="1"/>
  <c r="BC149" i="110" a="1"/>
  <c r="BC149" i="110" s="1"/>
  <c r="BT149" i="110" s="1"/>
  <c r="BE149" i="110" a="1"/>
  <c r="BE149" i="110" s="1"/>
  <c r="BV149" i="110" s="1"/>
  <c r="AM149" i="110" a="1"/>
  <c r="AM149" i="110" s="1"/>
  <c r="BX150" i="110"/>
  <c r="BF149" i="110" a="1"/>
  <c r="BF149" i="110" s="1"/>
  <c r="BW149" i="110" s="1"/>
  <c r="T148" i="110"/>
  <c r="Y148" i="110"/>
  <c r="S148" i="110" s="1"/>
  <c r="BH149" i="110" a="1"/>
  <c r="BH149" i="110" s="1"/>
  <c r="AB148" i="110"/>
  <c r="AE148" i="110" s="1"/>
  <c r="AD148" i="110"/>
  <c r="AB147" i="110"/>
  <c r="AE147" i="110" s="1"/>
  <c r="AD147" i="110"/>
  <c r="T147" i="110"/>
  <c r="Y147" i="110"/>
  <c r="S147" i="110" s="1"/>
  <c r="AU149" i="110" a="1"/>
  <c r="AU149" i="110" s="1"/>
  <c r="M152" i="110"/>
  <c r="H152" i="110" s="1"/>
  <c r="E153" i="110" s="1"/>
  <c r="F153" i="110" s="1"/>
  <c r="AS149" i="110" a="1"/>
  <c r="AS149" i="110" s="1"/>
  <c r="BN149" i="110" s="1"/>
  <c r="AQ149" i="110" a="1"/>
  <c r="AQ149" i="110" s="1"/>
  <c r="BM149" i="110" s="1"/>
  <c r="AO149" i="110" a="1"/>
  <c r="AO149" i="110" s="1"/>
  <c r="BL149" i="110" s="1"/>
  <c r="V151" i="110"/>
  <c r="AF151" i="110"/>
  <c r="AG151" i="110" s="1"/>
  <c r="AH151" i="110" s="1"/>
  <c r="AI151" i="110" s="1"/>
  <c r="AT151" i="110" s="1" a="1"/>
  <c r="AT151" i="110" s="1"/>
  <c r="AW149" i="110" a="1"/>
  <c r="AW149" i="110" s="1"/>
  <c r="AV149" i="110" a="1"/>
  <c r="AV149" i="110" s="1"/>
  <c r="AN149" i="110" a="1"/>
  <c r="AN149" i="110" s="1"/>
  <c r="BK149" i="110" s="1"/>
  <c r="BO149" i="110" l="1"/>
  <c r="BP150" i="110"/>
  <c r="BQ150" i="110" s="1"/>
  <c r="BR149" i="110"/>
  <c r="BX149" i="110"/>
  <c r="BA151" i="110" a="1"/>
  <c r="BA151" i="110" s="1"/>
  <c r="AJ151" i="110" a="1"/>
  <c r="AJ151" i="110" s="1"/>
  <c r="AC150" i="110"/>
  <c r="AA150" i="110" s="1"/>
  <c r="Z150" i="110"/>
  <c r="Y150" i="110" s="1"/>
  <c r="S150" i="110" s="1"/>
  <c r="AS151" i="110" a="1"/>
  <c r="AS151" i="110" s="1"/>
  <c r="BN151" i="110" s="1"/>
  <c r="BD151" i="110" a="1"/>
  <c r="BD151" i="110" s="1"/>
  <c r="BU151" i="110" s="1"/>
  <c r="AN151" i="110" a="1"/>
  <c r="AN151" i="110" s="1"/>
  <c r="BK151" i="110" s="1"/>
  <c r="BF151" i="110" a="1"/>
  <c r="BF151" i="110" s="1"/>
  <c r="BW151" i="110" s="1"/>
  <c r="AQ151" i="110" a="1"/>
  <c r="AQ151" i="110" s="1"/>
  <c r="AX151" i="110" a="1"/>
  <c r="AX151" i="110" s="1"/>
  <c r="AZ151" i="110" a="1"/>
  <c r="AZ151" i="110" s="1"/>
  <c r="BB151" i="110" a="1"/>
  <c r="BB151" i="110" s="1"/>
  <c r="BS151" i="110" s="1"/>
  <c r="AR151" i="110" a="1"/>
  <c r="AR151" i="110" s="1"/>
  <c r="BC151" i="110" a="1"/>
  <c r="BC151" i="110" s="1"/>
  <c r="BT151" i="110" s="1"/>
  <c r="BI149" i="110"/>
  <c r="BJ149" i="110" s="1"/>
  <c r="AU151" i="110" a="1"/>
  <c r="AU151" i="110" s="1"/>
  <c r="BO151" i="110" s="1"/>
  <c r="AL151" i="110" a="1"/>
  <c r="AL151" i="110" s="1"/>
  <c r="M153" i="110"/>
  <c r="I153" i="110" s="1"/>
  <c r="BH151" i="110" a="1"/>
  <c r="BH151" i="110" s="1"/>
  <c r="AO151" i="110" a="1"/>
  <c r="AO151" i="110" s="1"/>
  <c r="BL151" i="110" s="1"/>
  <c r="AW151" i="110" a="1"/>
  <c r="AW151" i="110" s="1"/>
  <c r="BE151" i="110" a="1"/>
  <c r="BE151" i="110" s="1"/>
  <c r="BV151" i="110" s="1"/>
  <c r="AY151" i="110" a="1"/>
  <c r="AY151" i="110" s="1"/>
  <c r="G152" i="110"/>
  <c r="O152" i="110" s="1"/>
  <c r="AM151" i="110" a="1"/>
  <c r="AM151" i="110" s="1"/>
  <c r="I152" i="110"/>
  <c r="AV151" i="110" a="1"/>
  <c r="AV151" i="110" s="1"/>
  <c r="AK151" i="110" a="1"/>
  <c r="AK151" i="110" s="1"/>
  <c r="AD150" i="110"/>
  <c r="AB150" i="110"/>
  <c r="AE150" i="110" s="1"/>
  <c r="AP151" i="110" a="1"/>
  <c r="AP151" i="110" s="1"/>
  <c r="T150" i="110"/>
  <c r="BG151" i="110" a="1"/>
  <c r="BG151" i="110" s="1"/>
  <c r="BP149" i="110"/>
  <c r="BQ149" i="110" s="1"/>
  <c r="BR151" i="110" l="1"/>
  <c r="BI151" i="110"/>
  <c r="BP151" i="110"/>
  <c r="Z149" i="110"/>
  <c r="T149" i="110" s="1"/>
  <c r="AD149" i="110"/>
  <c r="BQ151" i="110"/>
  <c r="BM151" i="110"/>
  <c r="BJ151" i="110"/>
  <c r="Y149" i="110"/>
  <c r="S149" i="110" s="1"/>
  <c r="P152" i="110"/>
  <c r="W152" i="110"/>
  <c r="Q152" i="110"/>
  <c r="N152" i="110"/>
  <c r="G153" i="110"/>
  <c r="O153" i="110" s="1"/>
  <c r="BX151" i="110"/>
  <c r="H153" i="110"/>
  <c r="E154" i="110" s="1"/>
  <c r="F154" i="110" s="1"/>
  <c r="AB149" i="110"/>
  <c r="AC149" i="110"/>
  <c r="AA149" i="110" s="1"/>
  <c r="AE149" i="110" l="1"/>
  <c r="Z151" i="110"/>
  <c r="T151" i="110" s="1"/>
  <c r="Y151" i="110"/>
  <c r="S151" i="110" s="1"/>
  <c r="M154" i="110"/>
  <c r="I154" i="110" s="1"/>
  <c r="W153" i="110"/>
  <c r="Q153" i="110"/>
  <c r="P153" i="110"/>
  <c r="N153" i="110"/>
  <c r="V152" i="110"/>
  <c r="BH152" i="110" a="1"/>
  <c r="BH152" i="110" s="1"/>
  <c r="AU152" i="110" a="1"/>
  <c r="AU152" i="110" s="1"/>
  <c r="BF152" i="110" a="1"/>
  <c r="BF152" i="110" s="1"/>
  <c r="BW152" i="110" s="1"/>
  <c r="AF152" i="110"/>
  <c r="AG152" i="110" s="1"/>
  <c r="AH152" i="110" s="1"/>
  <c r="AI152" i="110" s="1"/>
  <c r="AS152" i="110" s="1" a="1"/>
  <c r="AS152" i="110" s="1"/>
  <c r="BN152" i="110" s="1"/>
  <c r="AV152" i="110" a="1"/>
  <c r="AV152" i="110" s="1"/>
  <c r="AZ152" i="110" a="1"/>
  <c r="AZ152" i="110" s="1"/>
  <c r="AY152" i="110" a="1"/>
  <c r="AY152" i="110" s="1"/>
  <c r="BD152" i="110" a="1"/>
  <c r="BD152" i="110" s="1"/>
  <c r="BU152" i="110" s="1"/>
  <c r="AP152" i="110" a="1"/>
  <c r="AP152" i="110" s="1"/>
  <c r="BC152" i="110" a="1"/>
  <c r="BC152" i="110" s="1"/>
  <c r="BT152" i="110" s="1"/>
  <c r="BB152" i="110" a="1"/>
  <c r="BB152" i="110" s="1"/>
  <c r="BS152" i="110" s="1"/>
  <c r="AT152" i="110" a="1"/>
  <c r="AT152" i="110" s="1"/>
  <c r="AC151" i="110"/>
  <c r="AA151" i="110" s="1"/>
  <c r="AB151" i="110"/>
  <c r="AE151" i="110" s="1"/>
  <c r="AD151" i="110"/>
  <c r="BO152" i="110" l="1"/>
  <c r="AK152" i="110" a="1"/>
  <c r="AK152" i="110" s="1"/>
  <c r="AO152" i="110" a="1"/>
  <c r="AO152" i="110" s="1"/>
  <c r="BL152" i="110" s="1"/>
  <c r="AW152" i="110" a="1"/>
  <c r="AW152" i="110" s="1"/>
  <c r="BE152" i="110" a="1"/>
  <c r="BE152" i="110" s="1"/>
  <c r="BV152" i="110" s="1"/>
  <c r="AL152" i="110" a="1"/>
  <c r="AL152" i="110" s="1"/>
  <c r="AX152" i="110" a="1"/>
  <c r="AX152" i="110" s="1"/>
  <c r="AN152" i="110" a="1"/>
  <c r="AN152" i="110" s="1"/>
  <c r="BK152" i="110" s="1"/>
  <c r="AM152" i="110" a="1"/>
  <c r="AM152" i="110" s="1"/>
  <c r="V153" i="110"/>
  <c r="BH153" i="110" a="1"/>
  <c r="BH153" i="110" s="1"/>
  <c r="BC153" i="110" a="1"/>
  <c r="BC153" i="110" s="1"/>
  <c r="BT153" i="110" s="1"/>
  <c r="AF153" i="110"/>
  <c r="AG153" i="110" s="1"/>
  <c r="AH153" i="110" s="1"/>
  <c r="AI153" i="110" s="1"/>
  <c r="AR153" i="110" s="1" a="1"/>
  <c r="AR153" i="110" s="1"/>
  <c r="BB153" i="110" a="1"/>
  <c r="BB153" i="110" s="1"/>
  <c r="BS153" i="110" s="1"/>
  <c r="AY153" i="110" a="1"/>
  <c r="AY153" i="110" s="1"/>
  <c r="BF153" i="110" a="1"/>
  <c r="BF153" i="110" s="1"/>
  <c r="BW153" i="110" s="1"/>
  <c r="AJ153" i="110" a="1"/>
  <c r="AJ153" i="110" s="1"/>
  <c r="AT153" i="110" a="1"/>
  <c r="AT153" i="110" s="1"/>
  <c r="AX153" i="110" a="1"/>
  <c r="AX153" i="110" s="1"/>
  <c r="AV153" i="110" a="1"/>
  <c r="AV153" i="110" s="1"/>
  <c r="AQ152" i="110" a="1"/>
  <c r="AQ152" i="110" s="1"/>
  <c r="BG152" i="110" a="1"/>
  <c r="BG152" i="110" s="1"/>
  <c r="BX152" i="110" s="1"/>
  <c r="G154" i="110"/>
  <c r="O154" i="110" s="1"/>
  <c r="H154" i="110"/>
  <c r="E155" i="110" s="1"/>
  <c r="F155" i="110" s="1"/>
  <c r="AR152" i="110" a="1"/>
  <c r="AR152" i="110" s="1"/>
  <c r="AJ152" i="110" a="1"/>
  <c r="AJ152" i="110" s="1"/>
  <c r="BA152" i="110" a="1"/>
  <c r="BA152" i="110" s="1"/>
  <c r="BR152" i="110" s="1"/>
  <c r="BP152" i="110" l="1"/>
  <c r="BQ152" i="110" s="1"/>
  <c r="BI152" i="110"/>
  <c r="BA153" i="110" a="1"/>
  <c r="BA153" i="110" s="1"/>
  <c r="AP153" i="110" a="1"/>
  <c r="AP153" i="110" s="1"/>
  <c r="AK153" i="110" a="1"/>
  <c r="AK153" i="110" s="1"/>
  <c r="BD153" i="110" a="1"/>
  <c r="BD153" i="110" s="1"/>
  <c r="BU153" i="110" s="1"/>
  <c r="AM153" i="110" a="1"/>
  <c r="AM153" i="110" s="1"/>
  <c r="AQ153" i="110" a="1"/>
  <c r="AQ153" i="110" s="1"/>
  <c r="BG153" i="110" a="1"/>
  <c r="BG153" i="110" s="1"/>
  <c r="BX153" i="110" s="1"/>
  <c r="BM152" i="110"/>
  <c r="AZ153" i="110" a="1"/>
  <c r="AZ153" i="110" s="1"/>
  <c r="W154" i="110"/>
  <c r="N154" i="110"/>
  <c r="P154" i="110"/>
  <c r="Q154" i="110"/>
  <c r="AN153" i="110" a="1"/>
  <c r="AN153" i="110" s="1"/>
  <c r="BK153" i="110" s="1"/>
  <c r="AO153" i="110" a="1"/>
  <c r="AO153" i="110" s="1"/>
  <c r="BL153" i="110" s="1"/>
  <c r="AW153" i="110" a="1"/>
  <c r="AW153" i="110" s="1"/>
  <c r="BP153" i="110" s="1"/>
  <c r="BQ153" i="110" s="1"/>
  <c r="BE153" i="110" a="1"/>
  <c r="BE153" i="110" s="1"/>
  <c r="BV153" i="110" s="1"/>
  <c r="AS153" i="110" a="1"/>
  <c r="AS153" i="110" s="1"/>
  <c r="BN153" i="110" s="1"/>
  <c r="BJ152" i="110"/>
  <c r="Z152" i="110"/>
  <c r="AC152" i="110"/>
  <c r="AA152" i="110" s="1"/>
  <c r="AL153" i="110" a="1"/>
  <c r="AL153" i="110" s="1"/>
  <c r="AU153" i="110" a="1"/>
  <c r="AU153" i="110" s="1"/>
  <c r="BO153" i="110" s="1"/>
  <c r="M155" i="110"/>
  <c r="I155" i="110" s="1"/>
  <c r="BI153" i="110" l="1"/>
  <c r="BR153" i="110"/>
  <c r="BM153" i="110"/>
  <c r="G155" i="110"/>
  <c r="O155" i="110" s="1"/>
  <c r="W155" i="110" s="1"/>
  <c r="H155" i="110"/>
  <c r="E156" i="110" s="1"/>
  <c r="F156" i="110" s="1"/>
  <c r="M156" i="110" s="1"/>
  <c r="I156" i="110" s="1"/>
  <c r="BJ153" i="110"/>
  <c r="T152" i="110"/>
  <c r="Y152" i="110"/>
  <c r="S152" i="110" s="1"/>
  <c r="AB152" i="110"/>
  <c r="AE152" i="110" s="1"/>
  <c r="AD152" i="110"/>
  <c r="V154" i="110"/>
  <c r="AF154" i="110"/>
  <c r="AG154" i="110" s="1"/>
  <c r="AH154" i="110" s="1"/>
  <c r="AI154" i="110" s="1"/>
  <c r="AW154" i="110" s="1" a="1"/>
  <c r="AW154" i="110" s="1"/>
  <c r="AN154" i="110" a="1"/>
  <c r="AN154" i="110" s="1"/>
  <c r="BK154" i="110" s="1"/>
  <c r="AC153" i="110" l="1"/>
  <c r="AA153" i="110" s="1"/>
  <c r="Z153" i="110"/>
  <c r="AO154" i="110" a="1"/>
  <c r="AO154" i="110" s="1"/>
  <c r="BL154" i="110" s="1"/>
  <c r="P155" i="110"/>
  <c r="AJ154" i="110" a="1"/>
  <c r="AJ154" i="110" s="1"/>
  <c r="BE154" i="110" a="1"/>
  <c r="BE154" i="110" s="1"/>
  <c r="BV154" i="110" s="1"/>
  <c r="Q155" i="110"/>
  <c r="AY154" i="110" a="1"/>
  <c r="AY154" i="110" s="1"/>
  <c r="BB154" i="110" a="1"/>
  <c r="BB154" i="110" s="1"/>
  <c r="BS154" i="110" s="1"/>
  <c r="BD154" i="110" a="1"/>
  <c r="BD154" i="110" s="1"/>
  <c r="BU154" i="110" s="1"/>
  <c r="AR154" i="110" a="1"/>
  <c r="AR154" i="110" s="1"/>
  <c r="BF154" i="110" a="1"/>
  <c r="BF154" i="110" s="1"/>
  <c r="BW154" i="110" s="1"/>
  <c r="AQ154" i="110" a="1"/>
  <c r="AQ154" i="110" s="1"/>
  <c r="BH154" i="110" a="1"/>
  <c r="BH154" i="110" s="1"/>
  <c r="AS154" i="110" a="1"/>
  <c r="AS154" i="110" s="1"/>
  <c r="BN154" i="110" s="1"/>
  <c r="AT154" i="110" a="1"/>
  <c r="AT154" i="110" s="1"/>
  <c r="AK154" i="110" a="1"/>
  <c r="AK154" i="110" s="1"/>
  <c r="N155" i="110"/>
  <c r="AU154" i="110" a="1"/>
  <c r="AU154" i="110" s="1"/>
  <c r="BO154" i="110" s="1"/>
  <c r="AL154" i="110" a="1"/>
  <c r="AL154" i="110" s="1"/>
  <c r="AZ154" i="110" a="1"/>
  <c r="AZ154" i="110" s="1"/>
  <c r="AP154" i="110" a="1"/>
  <c r="AP154" i="110" s="1"/>
  <c r="BM154" i="110" s="1"/>
  <c r="BA154" i="110" a="1"/>
  <c r="BA154" i="110" s="1"/>
  <c r="BG154" i="110" a="1"/>
  <c r="BG154" i="110" s="1"/>
  <c r="BX154" i="110" s="1"/>
  <c r="BC154" i="110" a="1"/>
  <c r="BC154" i="110" s="1"/>
  <c r="BT154" i="110" s="1"/>
  <c r="AM154" i="110" a="1"/>
  <c r="AM154" i="110" s="1"/>
  <c r="AV154" i="110" a="1"/>
  <c r="AV154" i="110" s="1"/>
  <c r="AX154" i="110" a="1"/>
  <c r="AX154" i="110" s="1"/>
  <c r="G156" i="110"/>
  <c r="O156" i="110" s="1"/>
  <c r="H156" i="110"/>
  <c r="E157" i="110" s="1"/>
  <c r="F157" i="110" s="1"/>
  <c r="V155" i="110"/>
  <c r="BA155" i="110" a="1"/>
  <c r="BA155" i="110" s="1"/>
  <c r="BH155" i="110" a="1"/>
  <c r="BH155" i="110" s="1"/>
  <c r="AF155" i="110"/>
  <c r="AG155" i="110" s="1"/>
  <c r="AH155" i="110" s="1"/>
  <c r="AI155" i="110" s="1"/>
  <c r="AM155" i="110" s="1" a="1"/>
  <c r="AM155" i="110" s="1"/>
  <c r="AB153" i="110"/>
  <c r="AE153" i="110" s="1"/>
  <c r="AD153" i="110"/>
  <c r="T153" i="110"/>
  <c r="Y153" i="110"/>
  <c r="S153" i="110" s="1"/>
  <c r="BI154" i="110" l="1"/>
  <c r="AQ155" i="110" a="1"/>
  <c r="AQ155" i="110" s="1"/>
  <c r="AV155" i="110" a="1"/>
  <c r="AV155" i="110" s="1"/>
  <c r="BD155" i="110" a="1"/>
  <c r="BD155" i="110" s="1"/>
  <c r="BU155" i="110" s="1"/>
  <c r="AS155" i="110" a="1"/>
  <c r="AS155" i="110" s="1"/>
  <c r="BN155" i="110" s="1"/>
  <c r="AT155" i="110" a="1"/>
  <c r="AT155" i="110" s="1"/>
  <c r="BB155" i="110" a="1"/>
  <c r="BB155" i="110" s="1"/>
  <c r="BS155" i="110" s="1"/>
  <c r="AX155" i="110" a="1"/>
  <c r="AX155" i="110" s="1"/>
  <c r="BR154" i="110"/>
  <c r="AP155" i="110" a="1"/>
  <c r="AP155" i="110" s="1"/>
  <c r="AN155" i="110" a="1"/>
  <c r="AN155" i="110" s="1"/>
  <c r="BK155" i="110" s="1"/>
  <c r="AZ155" i="110" a="1"/>
  <c r="AZ155" i="110" s="1"/>
  <c r="BR155" i="110" s="1"/>
  <c r="BJ154" i="110"/>
  <c r="BP154" i="110"/>
  <c r="BQ154" i="110" s="1"/>
  <c r="BG155" i="110" a="1"/>
  <c r="BG155" i="110" s="1"/>
  <c r="BX155" i="110" s="1"/>
  <c r="AL155" i="110" a="1"/>
  <c r="AL155" i="110" s="1"/>
  <c r="BC155" i="110" a="1"/>
  <c r="BC155" i="110" s="1"/>
  <c r="BT155" i="110" s="1"/>
  <c r="AR155" i="110" a="1"/>
  <c r="AR155" i="110" s="1"/>
  <c r="BM155" i="110" s="1"/>
  <c r="AY155" i="110" a="1"/>
  <c r="AY155" i="110" s="1"/>
  <c r="AO155" i="110" a="1"/>
  <c r="AO155" i="110" s="1"/>
  <c r="BL155" i="110" s="1"/>
  <c r="AW155" i="110" a="1"/>
  <c r="AW155" i="110" s="1"/>
  <c r="BE155" i="110" a="1"/>
  <c r="BE155" i="110" s="1"/>
  <c r="BV155" i="110" s="1"/>
  <c r="AJ155" i="110" a="1"/>
  <c r="AJ155" i="110" s="1"/>
  <c r="AU155" i="110" a="1"/>
  <c r="AU155" i="110" s="1"/>
  <c r="BO155" i="110" s="1"/>
  <c r="M157" i="110"/>
  <c r="H157" i="110" s="1"/>
  <c r="E158" i="110" s="1"/>
  <c r="F158" i="110" s="1"/>
  <c r="BF155" i="110" a="1"/>
  <c r="BF155" i="110" s="1"/>
  <c r="BW155" i="110" s="1"/>
  <c r="W156" i="110"/>
  <c r="Q156" i="110"/>
  <c r="N156" i="110"/>
  <c r="P156" i="110"/>
  <c r="AK155" i="110" a="1"/>
  <c r="AK155" i="110" s="1"/>
  <c r="AD154" i="110"/>
  <c r="AB154" i="110"/>
  <c r="BP155" i="110" l="1"/>
  <c r="BQ155" i="110" s="1"/>
  <c r="G157" i="110"/>
  <c r="O157" i="110" s="1"/>
  <c r="P157" i="110" s="1"/>
  <c r="AC154" i="110"/>
  <c r="AA154" i="110" s="1"/>
  <c r="Z154" i="110"/>
  <c r="M158" i="110"/>
  <c r="H158" i="110" s="1"/>
  <c r="E159" i="110" s="1"/>
  <c r="F159" i="110" s="1"/>
  <c r="BI155" i="110"/>
  <c r="V156" i="110"/>
  <c r="AF156" i="110"/>
  <c r="AG156" i="110" s="1"/>
  <c r="AH156" i="110" s="1"/>
  <c r="AI156" i="110" s="1"/>
  <c r="BG156" i="110" s="1" a="1"/>
  <c r="BG156" i="110" s="1"/>
  <c r="AS156" i="110" a="1"/>
  <c r="AS156" i="110" s="1"/>
  <c r="BN156" i="110" s="1"/>
  <c r="W157" i="110"/>
  <c r="Q157" i="110"/>
  <c r="I157" i="110"/>
  <c r="N157" i="110" l="1"/>
  <c r="T154" i="110"/>
  <c r="Y154" i="110"/>
  <c r="S154" i="110" s="1"/>
  <c r="AE154" i="110"/>
  <c r="M159" i="110"/>
  <c r="H159" i="110" s="1"/>
  <c r="E160" i="110" s="1"/>
  <c r="F160" i="110" s="1"/>
  <c r="AV156" i="110" a="1"/>
  <c r="AV156" i="110" s="1"/>
  <c r="AX156" i="110" a="1"/>
  <c r="AX156" i="110" s="1"/>
  <c r="AP156" i="110" a="1"/>
  <c r="AP156" i="110" s="1"/>
  <c r="AJ156" i="110" a="1"/>
  <c r="AJ156" i="110" s="1"/>
  <c r="AL156" i="110" a="1"/>
  <c r="AL156" i="110" s="1"/>
  <c r="BC156" i="110" a="1"/>
  <c r="BC156" i="110" s="1"/>
  <c r="BT156" i="110" s="1"/>
  <c r="AQ156" i="110" a="1"/>
  <c r="AQ156" i="110" s="1"/>
  <c r="AZ156" i="110" a="1"/>
  <c r="AZ156" i="110" s="1"/>
  <c r="BF156" i="110" a="1"/>
  <c r="BF156" i="110" s="1"/>
  <c r="BW156" i="110" s="1"/>
  <c r="AO156" i="110" a="1"/>
  <c r="AO156" i="110" s="1"/>
  <c r="BL156" i="110" s="1"/>
  <c r="BB156" i="110" a="1"/>
  <c r="BB156" i="110" s="1"/>
  <c r="BS156" i="110" s="1"/>
  <c r="AW156" i="110" a="1"/>
  <c r="AW156" i="110" s="1"/>
  <c r="BA156" i="110" a="1"/>
  <c r="BA156" i="110" s="1"/>
  <c r="BE156" i="110" a="1"/>
  <c r="BE156" i="110" s="1"/>
  <c r="BV156" i="110" s="1"/>
  <c r="AK156" i="110" a="1"/>
  <c r="AK156" i="110" s="1"/>
  <c r="BD156" i="110" a="1"/>
  <c r="BD156" i="110" s="1"/>
  <c r="BU156" i="110" s="1"/>
  <c r="AR156" i="110" a="1"/>
  <c r="AR156" i="110" s="1"/>
  <c r="AC155" i="110"/>
  <c r="AA155" i="110" s="1"/>
  <c r="BJ155" i="110"/>
  <c r="Z155" i="110"/>
  <c r="AT156" i="110" a="1"/>
  <c r="AT156" i="110" s="1"/>
  <c r="AN156" i="110" a="1"/>
  <c r="AN156" i="110" s="1"/>
  <c r="BK156" i="110" s="1"/>
  <c r="BH156" i="110" a="1"/>
  <c r="BH156" i="110" s="1"/>
  <c r="BX156" i="110" s="1"/>
  <c r="AM156" i="110" a="1"/>
  <c r="AM156" i="110" s="1"/>
  <c r="I158" i="110"/>
  <c r="V157" i="110"/>
  <c r="AF157" i="110"/>
  <c r="AG157" i="110" s="1"/>
  <c r="AH157" i="110" s="1"/>
  <c r="AI157" i="110" s="1"/>
  <c r="AW157" i="110" s="1" a="1"/>
  <c r="AW157" i="110" s="1"/>
  <c r="BC157" i="110" a="1"/>
  <c r="BC157" i="110" s="1"/>
  <c r="BT157" i="110" s="1"/>
  <c r="AU156" i="110" a="1"/>
  <c r="AU156" i="110" s="1"/>
  <c r="G158" i="110"/>
  <c r="O158" i="110" s="1"/>
  <c r="AY156" i="110" a="1"/>
  <c r="AY156" i="110" s="1"/>
  <c r="AP157" i="110" l="1" a="1"/>
  <c r="AP157" i="110" s="1"/>
  <c r="BI156" i="110"/>
  <c r="BJ156" i="110" s="1"/>
  <c r="BP156" i="110"/>
  <c r="M160" i="110"/>
  <c r="G160" i="110" s="1"/>
  <c r="O160" i="110" s="1"/>
  <c r="AJ157" i="110" a="1"/>
  <c r="AJ157" i="110" s="1"/>
  <c r="BE157" i="110" a="1"/>
  <c r="BE157" i="110" s="1"/>
  <c r="BV157" i="110" s="1"/>
  <c r="BA157" i="110" a="1"/>
  <c r="BA157" i="110" s="1"/>
  <c r="AN157" i="110" a="1"/>
  <c r="AN157" i="110" s="1"/>
  <c r="BK157" i="110" s="1"/>
  <c r="BB157" i="110" a="1"/>
  <c r="BB157" i="110" s="1"/>
  <c r="BS157" i="110" s="1"/>
  <c r="AZ157" i="110" a="1"/>
  <c r="AZ157" i="110" s="1"/>
  <c r="BG157" i="110" a="1"/>
  <c r="BG157" i="110" s="1"/>
  <c r="AQ157" i="110" a="1"/>
  <c r="AQ157" i="110" s="1"/>
  <c r="BD157" i="110" a="1"/>
  <c r="BD157" i="110" s="1"/>
  <c r="BU157" i="110" s="1"/>
  <c r="AX157" i="110" a="1"/>
  <c r="AX157" i="110" s="1"/>
  <c r="BO156" i="110"/>
  <c r="AK157" i="110" a="1"/>
  <c r="AK157" i="110" s="1"/>
  <c r="AM157" i="110" a="1"/>
  <c r="AM157" i="110" s="1"/>
  <c r="T155" i="110"/>
  <c r="Y155" i="110"/>
  <c r="S155" i="110" s="1"/>
  <c r="AS157" i="110" a="1"/>
  <c r="AS157" i="110" s="1"/>
  <c r="BN157" i="110" s="1"/>
  <c r="AV157" i="110" a="1"/>
  <c r="AV157" i="110" s="1"/>
  <c r="AB155" i="110"/>
  <c r="AE155" i="110" s="1"/>
  <c r="AD155" i="110"/>
  <c r="BM156" i="110"/>
  <c r="BH157" i="110" a="1"/>
  <c r="BH157" i="110" s="1"/>
  <c r="BX157" i="110" s="1"/>
  <c r="AU157" i="110" a="1"/>
  <c r="AU157" i="110" s="1"/>
  <c r="BQ156" i="110"/>
  <c r="BF157" i="110" a="1"/>
  <c r="BF157" i="110" s="1"/>
  <c r="BW157" i="110" s="1"/>
  <c r="AT157" i="110" a="1"/>
  <c r="AT157" i="110" s="1"/>
  <c r="AR157" i="110" a="1"/>
  <c r="AR157" i="110" s="1"/>
  <c r="G159" i="110"/>
  <c r="O159" i="110" s="1"/>
  <c r="N158" i="110"/>
  <c r="P158" i="110"/>
  <c r="W158" i="110"/>
  <c r="Q158" i="110"/>
  <c r="AL157" i="110" a="1"/>
  <c r="AL157" i="110" s="1"/>
  <c r="AO157" i="110" a="1"/>
  <c r="AO157" i="110" s="1"/>
  <c r="BL157" i="110" s="1"/>
  <c r="BR156" i="110"/>
  <c r="I159" i="110"/>
  <c r="AY157" i="110" a="1"/>
  <c r="AY157" i="110" s="1"/>
  <c r="AC156" i="110" l="1"/>
  <c r="AA156" i="110" s="1"/>
  <c r="BM157" i="110"/>
  <c r="BP157" i="110"/>
  <c r="BR157" i="110"/>
  <c r="Q160" i="110"/>
  <c r="W160" i="110"/>
  <c r="N160" i="110"/>
  <c r="P160" i="110"/>
  <c r="BI157" i="110"/>
  <c r="Z156" i="110"/>
  <c r="BQ157" i="110"/>
  <c r="V158" i="110"/>
  <c r="AF158" i="110"/>
  <c r="AG158" i="110" s="1"/>
  <c r="AH158" i="110" s="1"/>
  <c r="AI158" i="110" s="1"/>
  <c r="BG158" i="110" s="1" a="1"/>
  <c r="BG158" i="110" s="1"/>
  <c r="AB156" i="110"/>
  <c r="AD156" i="110"/>
  <c r="W159" i="110"/>
  <c r="Q159" i="110"/>
  <c r="P159" i="110"/>
  <c r="N159" i="110"/>
  <c r="H160" i="110"/>
  <c r="E161" i="110" s="1"/>
  <c r="F161" i="110" s="1"/>
  <c r="I160" i="110"/>
  <c r="BO157" i="110"/>
  <c r="AN158" i="110" l="1" a="1"/>
  <c r="AN158" i="110" s="1"/>
  <c r="BK158" i="110" s="1"/>
  <c r="AP158" i="110" a="1"/>
  <c r="AP158" i="110" s="1"/>
  <c r="AQ158" i="110" a="1"/>
  <c r="AQ158" i="110" s="1"/>
  <c r="AR158" i="110" a="1"/>
  <c r="AR158" i="110" s="1"/>
  <c r="AU158" i="110" a="1"/>
  <c r="AU158" i="110" s="1"/>
  <c r="BH158" i="110" a="1"/>
  <c r="BH158" i="110" s="1"/>
  <c r="BX158" i="110" s="1"/>
  <c r="AV158" i="110" a="1"/>
  <c r="AV158" i="110" s="1"/>
  <c r="BA158" i="110" a="1"/>
  <c r="BA158" i="110" s="1"/>
  <c r="AL158" i="110" a="1"/>
  <c r="AL158" i="110" s="1"/>
  <c r="AJ158" i="110" a="1"/>
  <c r="AJ158" i="110" s="1"/>
  <c r="AK158" i="110" a="1"/>
  <c r="AK158" i="110" s="1"/>
  <c r="BF158" i="110" a="1"/>
  <c r="BF158" i="110" s="1"/>
  <c r="BW158" i="110" s="1"/>
  <c r="AY158" i="110" a="1"/>
  <c r="AY158" i="110" s="1"/>
  <c r="AZ158" i="110" a="1"/>
  <c r="AZ158" i="110" s="1"/>
  <c r="V159" i="110"/>
  <c r="AF159" i="110"/>
  <c r="AG159" i="110" s="1"/>
  <c r="AH159" i="110" s="1"/>
  <c r="AI159" i="110" s="1"/>
  <c r="BH159" i="110" s="1" a="1"/>
  <c r="BH159" i="110" s="1"/>
  <c r="BB158" i="110" a="1"/>
  <c r="BB158" i="110" s="1"/>
  <c r="BS158" i="110" s="1"/>
  <c r="AO158" i="110" a="1"/>
  <c r="AO158" i="110" s="1"/>
  <c r="BL158" i="110" s="1"/>
  <c r="AW158" i="110" a="1"/>
  <c r="AW158" i="110" s="1"/>
  <c r="BE158" i="110" a="1"/>
  <c r="BE158" i="110" s="1"/>
  <c r="BV158" i="110" s="1"/>
  <c r="AS158" i="110" a="1"/>
  <c r="AS158" i="110" s="1"/>
  <c r="BN158" i="110" s="1"/>
  <c r="BD158" i="110" a="1"/>
  <c r="BD158" i="110" s="1"/>
  <c r="BU158" i="110" s="1"/>
  <c r="BC158" i="110" a="1"/>
  <c r="BC158" i="110" s="1"/>
  <c r="BT158" i="110" s="1"/>
  <c r="T156" i="110"/>
  <c r="Y156" i="110"/>
  <c r="S156" i="110" s="1"/>
  <c r="AE156" i="110"/>
  <c r="AT158" i="110" a="1"/>
  <c r="AT158" i="110" s="1"/>
  <c r="AC157" i="110"/>
  <c r="AA157" i="110" s="1"/>
  <c r="Z157" i="110"/>
  <c r="BJ157" i="110"/>
  <c r="AX158" i="110" a="1"/>
  <c r="AX158" i="110" s="1"/>
  <c r="AM158" i="110" a="1"/>
  <c r="AM158" i="110" s="1"/>
  <c r="V160" i="110"/>
  <c r="AF160" i="110"/>
  <c r="AG160" i="110" s="1"/>
  <c r="AH160" i="110" s="1"/>
  <c r="AI160" i="110" s="1"/>
  <c r="BE160" i="110" s="1" a="1"/>
  <c r="BE160" i="110" s="1"/>
  <c r="BV160" i="110" s="1"/>
  <c r="M161" i="110"/>
  <c r="I161" i="110" s="1"/>
  <c r="BB159" i="110" l="1" a="1"/>
  <c r="BB159" i="110" s="1"/>
  <c r="BS159" i="110" s="1"/>
  <c r="AQ159" i="110" a="1"/>
  <c r="AQ159" i="110" s="1"/>
  <c r="AX159" i="110" a="1"/>
  <c r="AX159" i="110" s="1"/>
  <c r="BO158" i="110"/>
  <c r="BR158" i="110"/>
  <c r="BI158" i="110"/>
  <c r="BJ158" i="110" s="1"/>
  <c r="BM158" i="110"/>
  <c r="AP160" i="110" a="1"/>
  <c r="AP160" i="110" s="1"/>
  <c r="BC160" i="110" a="1"/>
  <c r="BC160" i="110" s="1"/>
  <c r="BT160" i="110" s="1"/>
  <c r="BP158" i="110"/>
  <c r="BQ158" i="110" s="1"/>
  <c r="H161" i="110"/>
  <c r="E162" i="110" s="1"/>
  <c r="F162" i="110" s="1"/>
  <c r="BA160" i="110" a="1"/>
  <c r="BA160" i="110" s="1"/>
  <c r="AJ160" i="110" a="1"/>
  <c r="AJ160" i="110" s="1"/>
  <c r="AN159" i="110" a="1"/>
  <c r="AN159" i="110" s="1"/>
  <c r="BK159" i="110" s="1"/>
  <c r="AT159" i="110" a="1"/>
  <c r="AT159" i="110" s="1"/>
  <c r="AX160" i="110" a="1"/>
  <c r="AX160" i="110" s="1"/>
  <c r="AU160" i="110" a="1"/>
  <c r="AU160" i="110" s="1"/>
  <c r="AR159" i="110" a="1"/>
  <c r="AR159" i="110" s="1"/>
  <c r="BB160" i="110" a="1"/>
  <c r="BB160" i="110" s="1"/>
  <c r="BS160" i="110" s="1"/>
  <c r="BF160" i="110" a="1"/>
  <c r="BF160" i="110" s="1"/>
  <c r="BW160" i="110" s="1"/>
  <c r="AZ159" i="110" a="1"/>
  <c r="AZ159" i="110" s="1"/>
  <c r="AY160" i="110" a="1"/>
  <c r="AY160" i="110" s="1"/>
  <c r="AK159" i="110" a="1"/>
  <c r="AK159" i="110" s="1"/>
  <c r="AO159" i="110" a="1"/>
  <c r="AO159" i="110" s="1"/>
  <c r="BL159" i="110" s="1"/>
  <c r="AL159" i="110" a="1"/>
  <c r="AL159" i="110" s="1"/>
  <c r="AW159" i="110" a="1"/>
  <c r="AW159" i="110" s="1"/>
  <c r="M162" i="110"/>
  <c r="I162" i="110" s="1"/>
  <c r="BH160" i="110" a="1"/>
  <c r="BH160" i="110" s="1"/>
  <c r="AV160" i="110" a="1"/>
  <c r="AV160" i="110" s="1"/>
  <c r="AD157" i="110"/>
  <c r="AB157" i="110"/>
  <c r="AE157" i="110" s="1"/>
  <c r="BD159" i="110" a="1"/>
  <c r="BD159" i="110" s="1"/>
  <c r="BU159" i="110" s="1"/>
  <c r="BE159" i="110" a="1"/>
  <c r="BE159" i="110" s="1"/>
  <c r="BV159" i="110" s="1"/>
  <c r="AL160" i="110" a="1"/>
  <c r="AL160" i="110" s="1"/>
  <c r="AK160" i="110" a="1"/>
  <c r="AK160" i="110" s="1"/>
  <c r="T157" i="110"/>
  <c r="Y157" i="110"/>
  <c r="S157" i="110" s="1"/>
  <c r="BA159" i="110" a="1"/>
  <c r="BA159" i="110" s="1"/>
  <c r="AV159" i="110" a="1"/>
  <c r="AV159" i="110" s="1"/>
  <c r="AZ160" i="110" a="1"/>
  <c r="AZ160" i="110" s="1"/>
  <c r="BF159" i="110" a="1"/>
  <c r="BF159" i="110" s="1"/>
  <c r="BW159" i="110" s="1"/>
  <c r="BC159" i="110" a="1"/>
  <c r="BC159" i="110" s="1"/>
  <c r="BT159" i="110" s="1"/>
  <c r="AU159" i="110" a="1"/>
  <c r="AU159" i="110" s="1"/>
  <c r="AN160" i="110" a="1"/>
  <c r="AN160" i="110" s="1"/>
  <c r="BK160" i="110" s="1"/>
  <c r="AM159" i="110" a="1"/>
  <c r="AM159" i="110" s="1"/>
  <c r="BD160" i="110" a="1"/>
  <c r="BD160" i="110" s="1"/>
  <c r="BU160" i="110" s="1"/>
  <c r="AS160" i="110" a="1"/>
  <c r="AS160" i="110" s="1"/>
  <c r="BN160" i="110" s="1"/>
  <c r="G161" i="110"/>
  <c r="O161" i="110" s="1"/>
  <c r="BG159" i="110" a="1"/>
  <c r="BG159" i="110" s="1"/>
  <c r="BX159" i="110" s="1"/>
  <c r="AC158" i="110"/>
  <c r="AA158" i="110" s="1"/>
  <c r="AM160" i="110" a="1"/>
  <c r="AM160" i="110" s="1"/>
  <c r="AQ160" i="110" a="1"/>
  <c r="AQ160" i="110" s="1"/>
  <c r="AJ159" i="110" a="1"/>
  <c r="AJ159" i="110" s="1"/>
  <c r="AO160" i="110" a="1"/>
  <c r="AO160" i="110" s="1"/>
  <c r="BL160" i="110" s="1"/>
  <c r="AS159" i="110" a="1"/>
  <c r="AS159" i="110" s="1"/>
  <c r="BN159" i="110" s="1"/>
  <c r="AP159" i="110" a="1"/>
  <c r="AP159" i="110" s="1"/>
  <c r="BM159" i="110" s="1"/>
  <c r="AT160" i="110" a="1"/>
  <c r="AT160" i="110" s="1"/>
  <c r="BO160" i="110" s="1"/>
  <c r="AW160" i="110" a="1"/>
  <c r="AW160" i="110" s="1"/>
  <c r="AY159" i="110" a="1"/>
  <c r="AY159" i="110" s="1"/>
  <c r="AR160" i="110" a="1"/>
  <c r="AR160" i="110" s="1"/>
  <c r="BG160" i="110" a="1"/>
  <c r="BG160" i="110" s="1"/>
  <c r="Z158" i="110" l="1"/>
  <c r="T158" i="110" s="1"/>
  <c r="BI159" i="110"/>
  <c r="AB158" i="110"/>
  <c r="AE158" i="110" s="1"/>
  <c r="AD158" i="110"/>
  <c r="BM160" i="110"/>
  <c r="Y158" i="110"/>
  <c r="S158" i="110" s="1"/>
  <c r="BP159" i="110"/>
  <c r="BQ159" i="110" s="1"/>
  <c r="BR159" i="110"/>
  <c r="G162" i="110"/>
  <c r="O162" i="110" s="1"/>
  <c r="W162" i="110" s="1"/>
  <c r="H162" i="110"/>
  <c r="E163" i="110" s="1"/>
  <c r="F163" i="110" s="1"/>
  <c r="M163" i="110" s="1"/>
  <c r="H163" i="110" s="1"/>
  <c r="E164" i="110" s="1"/>
  <c r="F164" i="110" s="1"/>
  <c r="BP160" i="110"/>
  <c r="BQ160" i="110" s="1"/>
  <c r="BX160" i="110"/>
  <c r="BJ159" i="110"/>
  <c r="BO159" i="110"/>
  <c r="BI160" i="110"/>
  <c r="BR160" i="110"/>
  <c r="W161" i="110"/>
  <c r="N161" i="110"/>
  <c r="Q161" i="110"/>
  <c r="P161" i="110"/>
  <c r="P162" i="110" l="1"/>
  <c r="Q162" i="110"/>
  <c r="N162" i="110"/>
  <c r="Z159" i="110"/>
  <c r="T159" i="110" s="1"/>
  <c r="AC159" i="110"/>
  <c r="AA159" i="110" s="1"/>
  <c r="M164" i="110"/>
  <c r="I164" i="110" s="1"/>
  <c r="I163" i="110"/>
  <c r="G163" i="110"/>
  <c r="O163" i="110" s="1"/>
  <c r="AB159" i="110"/>
  <c r="AD159" i="110"/>
  <c r="BG162" i="110" a="1"/>
  <c r="BG162" i="110" s="1"/>
  <c r="BD162" i="110" a="1"/>
  <c r="BD162" i="110" s="1"/>
  <c r="BU162" i="110" s="1"/>
  <c r="AT162" i="110" a="1"/>
  <c r="AT162" i="110" s="1"/>
  <c r="V162" i="110"/>
  <c r="AF162" i="110"/>
  <c r="AG162" i="110" s="1"/>
  <c r="AH162" i="110" s="1"/>
  <c r="AI162" i="110" s="1"/>
  <c r="AQ162" i="110" s="1" a="1"/>
  <c r="AQ162" i="110" s="1"/>
  <c r="V161" i="110"/>
  <c r="AF161" i="110"/>
  <c r="AG161" i="110" s="1"/>
  <c r="AH161" i="110" s="1"/>
  <c r="AI161" i="110" s="1"/>
  <c r="AO161" i="110" s="1" a="1"/>
  <c r="AO161" i="110" s="1"/>
  <c r="BL161" i="110" s="1"/>
  <c r="BJ160" i="110"/>
  <c r="AC160" i="110"/>
  <c r="AA160" i="110" s="1"/>
  <c r="Z160" i="110"/>
  <c r="AE159" i="110" l="1"/>
  <c r="Y159" i="110"/>
  <c r="S159" i="110" s="1"/>
  <c r="H164" i="110"/>
  <c r="E165" i="110" s="1"/>
  <c r="F165" i="110" s="1"/>
  <c r="G164" i="110"/>
  <c r="O164" i="110" s="1"/>
  <c r="AD160" i="110"/>
  <c r="AB160" i="110"/>
  <c r="AY161" i="110" a="1"/>
  <c r="AY161" i="110" s="1"/>
  <c r="AW161" i="110" a="1"/>
  <c r="AW161" i="110" s="1"/>
  <c r="AM162" i="110" a="1"/>
  <c r="AM162" i="110" s="1"/>
  <c r="BE161" i="110" a="1"/>
  <c r="BE161" i="110" s="1"/>
  <c r="BV161" i="110" s="1"/>
  <c r="AX162" i="110" a="1"/>
  <c r="AX162" i="110" s="1"/>
  <c r="AO162" i="110" a="1"/>
  <c r="AO162" i="110" s="1"/>
  <c r="BL162" i="110" s="1"/>
  <c r="AN161" i="110" a="1"/>
  <c r="AN161" i="110" s="1"/>
  <c r="BK161" i="110" s="1"/>
  <c r="AZ161" i="110" a="1"/>
  <c r="AZ161" i="110" s="1"/>
  <c r="AL161" i="110" a="1"/>
  <c r="AL161" i="110" s="1"/>
  <c r="AW162" i="110" a="1"/>
  <c r="AW162" i="110" s="1"/>
  <c r="AP161" i="110" a="1"/>
  <c r="AP161" i="110" s="1"/>
  <c r="BA161" i="110" a="1"/>
  <c r="BA161" i="110" s="1"/>
  <c r="AS162" i="110" a="1"/>
  <c r="AS162" i="110" s="1"/>
  <c r="BN162" i="110" s="1"/>
  <c r="BE162" i="110" a="1"/>
  <c r="BE162" i="110" s="1"/>
  <c r="BV162" i="110" s="1"/>
  <c r="BD161" i="110" a="1"/>
  <c r="BD161" i="110" s="1"/>
  <c r="BU161" i="110" s="1"/>
  <c r="AV161" i="110" a="1"/>
  <c r="AV161" i="110" s="1"/>
  <c r="AU162" i="110" a="1"/>
  <c r="AU162" i="110" s="1"/>
  <c r="BO162" i="110" s="1"/>
  <c r="AL162" i="110" a="1"/>
  <c r="AL162" i="110" s="1"/>
  <c r="AM161" i="110" a="1"/>
  <c r="AM161" i="110" s="1"/>
  <c r="BF161" i="110" a="1"/>
  <c r="BF161" i="110" s="1"/>
  <c r="BW161" i="110" s="1"/>
  <c r="BC162" i="110" a="1"/>
  <c r="BC162" i="110" s="1"/>
  <c r="BT162" i="110" s="1"/>
  <c r="AJ162" i="110" a="1"/>
  <c r="AJ162" i="110" s="1"/>
  <c r="AV162" i="110" a="1"/>
  <c r="AV162" i="110" s="1"/>
  <c r="BP162" i="110" s="1"/>
  <c r="AR161" i="110" a="1"/>
  <c r="AR161" i="110" s="1"/>
  <c r="AJ161" i="110" a="1"/>
  <c r="AJ161" i="110" s="1"/>
  <c r="BA162" i="110" a="1"/>
  <c r="BA162" i="110" s="1"/>
  <c r="BF162" i="110" a="1"/>
  <c r="BF162" i="110" s="1"/>
  <c r="BW162" i="110" s="1"/>
  <c r="AX161" i="110" a="1"/>
  <c r="AX161" i="110" s="1"/>
  <c r="BG161" i="110" a="1"/>
  <c r="BG161" i="110" s="1"/>
  <c r="AS161" i="110" a="1"/>
  <c r="AS161" i="110" s="1"/>
  <c r="BN161" i="110" s="1"/>
  <c r="BB161" i="110" a="1"/>
  <c r="BB161" i="110" s="1"/>
  <c r="BS161" i="110" s="1"/>
  <c r="AN162" i="110" a="1"/>
  <c r="AN162" i="110" s="1"/>
  <c r="BK162" i="110" s="1"/>
  <c r="AP162" i="110" a="1"/>
  <c r="AP162" i="110" s="1"/>
  <c r="Q163" i="110"/>
  <c r="P163" i="110"/>
  <c r="N163" i="110"/>
  <c r="W163" i="110"/>
  <c r="AU161" i="110" a="1"/>
  <c r="AU161" i="110" s="1"/>
  <c r="AQ161" i="110" a="1"/>
  <c r="AQ161" i="110" s="1"/>
  <c r="AY162" i="110" a="1"/>
  <c r="AY162" i="110" s="1"/>
  <c r="AT161" i="110" a="1"/>
  <c r="AT161" i="110" s="1"/>
  <c r="BH161" i="110" a="1"/>
  <c r="BH161" i="110" s="1"/>
  <c r="BX161" i="110" s="1"/>
  <c r="BH162" i="110" a="1"/>
  <c r="BH162" i="110" s="1"/>
  <c r="BX162" i="110" s="1"/>
  <c r="M165" i="110"/>
  <c r="I165" i="110" s="1"/>
  <c r="BC161" i="110" a="1"/>
  <c r="BC161" i="110" s="1"/>
  <c r="BT161" i="110" s="1"/>
  <c r="AR162" i="110" a="1"/>
  <c r="AR162" i="110" s="1"/>
  <c r="AK162" i="110" a="1"/>
  <c r="AK162" i="110" s="1"/>
  <c r="N164" i="110"/>
  <c r="Q164" i="110"/>
  <c r="P164" i="110"/>
  <c r="W164" i="110"/>
  <c r="AK161" i="110" a="1"/>
  <c r="AK161" i="110" s="1"/>
  <c r="AZ162" i="110" a="1"/>
  <c r="AZ162" i="110" s="1"/>
  <c r="BB162" i="110" a="1"/>
  <c r="BB162" i="110" s="1"/>
  <c r="BS162" i="110" s="1"/>
  <c r="T160" i="110"/>
  <c r="AE160" i="110"/>
  <c r="Y160" i="110"/>
  <c r="S160" i="110" s="1"/>
  <c r="BR161" i="110" l="1"/>
  <c r="BM162" i="110"/>
  <c r="BE164" i="110" a="1"/>
  <c r="BE164" i="110" s="1"/>
  <c r="BV164" i="110" s="1"/>
  <c r="AW164" i="110" a="1"/>
  <c r="AW164" i="110" s="1"/>
  <c r="AO164" i="110" a="1"/>
  <c r="AO164" i="110" s="1"/>
  <c r="BL164" i="110" s="1"/>
  <c r="AY164" i="110" a="1"/>
  <c r="AY164" i="110" s="1"/>
  <c r="AF164" i="110"/>
  <c r="AG164" i="110" s="1"/>
  <c r="AH164" i="110" s="1"/>
  <c r="AI164" i="110" s="1"/>
  <c r="AU164" i="110" a="1"/>
  <c r="AU164" i="110" s="1"/>
  <c r="BD164" i="110" a="1"/>
  <c r="BD164" i="110" s="1"/>
  <c r="BU164" i="110" s="1"/>
  <c r="AK164" i="110" a="1"/>
  <c r="AK164" i="110" s="1"/>
  <c r="AZ164" i="110" a="1"/>
  <c r="AZ164" i="110" s="1"/>
  <c r="AN164" i="110" a="1"/>
  <c r="AN164" i="110" s="1"/>
  <c r="BK164" i="110" s="1"/>
  <c r="V164" i="110"/>
  <c r="AP164" i="110" a="1"/>
  <c r="AP164" i="110" s="1"/>
  <c r="BB164" i="110" a="1"/>
  <c r="BB164" i="110" s="1"/>
  <c r="BS164" i="110" s="1"/>
  <c r="AQ164" i="110" a="1"/>
  <c r="AQ164" i="110" s="1"/>
  <c r="BC164" i="110" a="1"/>
  <c r="BC164" i="110" s="1"/>
  <c r="BT164" i="110" s="1"/>
  <c r="AM164" i="110" a="1"/>
  <c r="AM164" i="110" s="1"/>
  <c r="BA164" i="110" a="1"/>
  <c r="BA164" i="110" s="1"/>
  <c r="BR164" i="110" s="1"/>
  <c r="BH164" i="110" a="1"/>
  <c r="BH164" i="110" s="1"/>
  <c r="AL164" i="110" a="1"/>
  <c r="AL164" i="110" s="1"/>
  <c r="BG164" i="110" a="1"/>
  <c r="BG164" i="110" s="1"/>
  <c r="AX164" i="110" a="1"/>
  <c r="AX164" i="110" s="1"/>
  <c r="AJ164" i="110" a="1"/>
  <c r="AJ164" i="110" s="1"/>
  <c r="BF164" i="110" a="1"/>
  <c r="BF164" i="110" s="1"/>
  <c r="BW164" i="110" s="1"/>
  <c r="AR164" i="110" a="1"/>
  <c r="AR164" i="110" s="1"/>
  <c r="AV164" i="110" a="1"/>
  <c r="AV164" i="110" s="1"/>
  <c r="BP164" i="110" s="1"/>
  <c r="BQ164" i="110" s="1"/>
  <c r="AT164" i="110" a="1"/>
  <c r="AT164" i="110" s="1"/>
  <c r="AS164" i="110" a="1"/>
  <c r="AS164" i="110" s="1"/>
  <c r="BN164" i="110" s="1"/>
  <c r="G165" i="110"/>
  <c r="O165" i="110" s="1"/>
  <c r="BM161" i="110"/>
  <c r="BR162" i="110"/>
  <c r="BO161" i="110"/>
  <c r="BI161" i="110"/>
  <c r="BQ162" i="110"/>
  <c r="BI162" i="110"/>
  <c r="V163" i="110"/>
  <c r="AF163" i="110"/>
  <c r="AG163" i="110" s="1"/>
  <c r="AH163" i="110" s="1"/>
  <c r="AI163" i="110" s="1"/>
  <c r="AX163" i="110" s="1" a="1"/>
  <c r="AX163" i="110" s="1"/>
  <c r="AJ163" i="110" a="1"/>
  <c r="AJ163" i="110" s="1"/>
  <c r="AQ163" i="110" a="1"/>
  <c r="AQ163" i="110" s="1"/>
  <c r="AN163" i="110" a="1"/>
  <c r="AN163" i="110" s="1"/>
  <c r="BK163" i="110" s="1"/>
  <c r="BP161" i="110"/>
  <c r="BQ161" i="110" s="1"/>
  <c r="H165" i="110"/>
  <c r="E166" i="110" s="1"/>
  <c r="F166" i="110" s="1"/>
  <c r="AS163" i="110" l="1" a="1"/>
  <c r="AS163" i="110" s="1"/>
  <c r="BN163" i="110" s="1"/>
  <c r="BB163" i="110" a="1"/>
  <c r="BB163" i="110" s="1"/>
  <c r="BS163" i="110" s="1"/>
  <c r="AL163" i="110" a="1"/>
  <c r="AL163" i="110" s="1"/>
  <c r="AM163" i="110" a="1"/>
  <c r="AM163" i="110" s="1"/>
  <c r="BC163" i="110" a="1"/>
  <c r="BC163" i="110" s="1"/>
  <c r="BT163" i="110" s="1"/>
  <c r="BX164" i="110"/>
  <c r="AO163" i="110" a="1"/>
  <c r="AO163" i="110" s="1"/>
  <c r="BL163" i="110" s="1"/>
  <c r="BA163" i="110" a="1"/>
  <c r="BA163" i="110" s="1"/>
  <c r="AR163" i="110" a="1"/>
  <c r="AR163" i="110" s="1"/>
  <c r="BM164" i="110"/>
  <c r="BH163" i="110" a="1"/>
  <c r="BH163" i="110" s="1"/>
  <c r="AT163" i="110" a="1"/>
  <c r="AT163" i="110" s="1"/>
  <c r="BO164" i="110"/>
  <c r="BI164" i="110"/>
  <c r="AC164" i="110" s="1"/>
  <c r="AA164" i="110" s="1"/>
  <c r="BE163" i="110" a="1"/>
  <c r="BE163" i="110" s="1"/>
  <c r="BV163" i="110" s="1"/>
  <c r="AP163" i="110" a="1"/>
  <c r="AP163" i="110" s="1"/>
  <c r="AZ163" i="110" a="1"/>
  <c r="AZ163" i="110" s="1"/>
  <c r="Q165" i="110"/>
  <c r="P165" i="110"/>
  <c r="W165" i="110"/>
  <c r="N165" i="110"/>
  <c r="AY163" i="110" a="1"/>
  <c r="AY163" i="110" s="1"/>
  <c r="AV163" i="110" a="1"/>
  <c r="AV163" i="110" s="1"/>
  <c r="AW163" i="110" a="1"/>
  <c r="AW163" i="110" s="1"/>
  <c r="AK163" i="110" a="1"/>
  <c r="AK163" i="110" s="1"/>
  <c r="BI163" i="110" s="1"/>
  <c r="Z162" i="110"/>
  <c r="AC162" i="110"/>
  <c r="AA162" i="110" s="1"/>
  <c r="BJ162" i="110"/>
  <c r="BD163" i="110" a="1"/>
  <c r="BD163" i="110" s="1"/>
  <c r="BU163" i="110" s="1"/>
  <c r="BJ161" i="110"/>
  <c r="Z161" i="110"/>
  <c r="AC161" i="110"/>
  <c r="AA161" i="110" s="1"/>
  <c r="AU163" i="110" a="1"/>
  <c r="AU163" i="110" s="1"/>
  <c r="BF163" i="110" a="1"/>
  <c r="BF163" i="110" s="1"/>
  <c r="BW163" i="110" s="1"/>
  <c r="M166" i="110"/>
  <c r="I166" i="110" s="1"/>
  <c r="BG163" i="110" a="1"/>
  <c r="BG163" i="110" s="1"/>
  <c r="BX163" i="110" s="1"/>
  <c r="Z164" i="110" l="1"/>
  <c r="BJ164" i="110"/>
  <c r="BM163" i="110"/>
  <c r="BO163" i="110"/>
  <c r="BR163" i="110"/>
  <c r="BJ163" i="110"/>
  <c r="T162" i="110"/>
  <c r="Y162" i="110"/>
  <c r="S162" i="110" s="1"/>
  <c r="BP163" i="110"/>
  <c r="BQ163" i="110" s="1"/>
  <c r="G166" i="110"/>
  <c r="O166" i="110" s="1"/>
  <c r="H166" i="110"/>
  <c r="E167" i="110" s="1"/>
  <c r="F167" i="110" s="1"/>
  <c r="AF165" i="110"/>
  <c r="AG165" i="110" s="1"/>
  <c r="AH165" i="110" s="1"/>
  <c r="AI165" i="110" s="1"/>
  <c r="AY165" i="110" s="1" a="1"/>
  <c r="AY165" i="110" s="1"/>
  <c r="V165" i="110"/>
  <c r="T161" i="110"/>
  <c r="Y161" i="110"/>
  <c r="S161" i="110" s="1"/>
  <c r="T164" i="110"/>
  <c r="Y164" i="110"/>
  <c r="S164" i="110" s="1"/>
  <c r="AD161" i="110"/>
  <c r="AB161" i="110"/>
  <c r="AE161" i="110" s="1"/>
  <c r="AD164" i="110"/>
  <c r="AB164" i="110"/>
  <c r="AE164" i="110" s="1"/>
  <c r="AB162" i="110"/>
  <c r="AE162" i="110" s="1"/>
  <c r="AD162" i="110"/>
  <c r="AN165" i="110" l="1" a="1"/>
  <c r="AN165" i="110" s="1"/>
  <c r="BK165" i="110" s="1"/>
  <c r="AR165" i="110" a="1"/>
  <c r="AR165" i="110" s="1"/>
  <c r="AQ165" i="110" a="1"/>
  <c r="AQ165" i="110" s="1"/>
  <c r="BC165" i="110" a="1"/>
  <c r="BC165" i="110" s="1"/>
  <c r="BT165" i="110" s="1"/>
  <c r="AM165" i="110" a="1"/>
  <c r="AM165" i="110" s="1"/>
  <c r="AT165" i="110" a="1"/>
  <c r="AT165" i="110" s="1"/>
  <c r="BB165" i="110" a="1"/>
  <c r="BB165" i="110" s="1"/>
  <c r="BS165" i="110" s="1"/>
  <c r="BF165" i="110" a="1"/>
  <c r="BF165" i="110" s="1"/>
  <c r="BW165" i="110" s="1"/>
  <c r="AZ165" i="110" a="1"/>
  <c r="AZ165" i="110" s="1"/>
  <c r="AL165" i="110" a="1"/>
  <c r="AL165" i="110" s="1"/>
  <c r="AP165" i="110" a="1"/>
  <c r="AP165" i="110" s="1"/>
  <c r="AS165" i="110" a="1"/>
  <c r="AS165" i="110" s="1"/>
  <c r="BN165" i="110" s="1"/>
  <c r="BH165" i="110" a="1"/>
  <c r="BH165" i="110" s="1"/>
  <c r="AO165" i="110" a="1"/>
  <c r="AO165" i="110" s="1"/>
  <c r="BL165" i="110" s="1"/>
  <c r="AW165" i="110" a="1"/>
  <c r="AW165" i="110" s="1"/>
  <c r="BE165" i="110" a="1"/>
  <c r="BE165" i="110" s="1"/>
  <c r="BV165" i="110" s="1"/>
  <c r="AJ165" i="110" a="1"/>
  <c r="AJ165" i="110" s="1"/>
  <c r="AV165" i="110" a="1"/>
  <c r="AV165" i="110" s="1"/>
  <c r="M167" i="110"/>
  <c r="H167" i="110" s="1"/>
  <c r="E168" i="110" s="1"/>
  <c r="F168" i="110" s="1"/>
  <c r="BG165" i="110" a="1"/>
  <c r="BG165" i="110" s="1"/>
  <c r="P166" i="110"/>
  <c r="W166" i="110"/>
  <c r="Q166" i="110"/>
  <c r="N166" i="110"/>
  <c r="AK165" i="110" a="1"/>
  <c r="AK165" i="110" s="1"/>
  <c r="BD165" i="110" a="1"/>
  <c r="BD165" i="110" s="1"/>
  <c r="BU165" i="110" s="1"/>
  <c r="AU165" i="110" a="1"/>
  <c r="AU165" i="110" s="1"/>
  <c r="AX165" i="110" a="1"/>
  <c r="AX165" i="110" s="1"/>
  <c r="AC163" i="110"/>
  <c r="AA163" i="110" s="1"/>
  <c r="BA165" i="110" a="1"/>
  <c r="BA165" i="110" s="1"/>
  <c r="BR165" i="110" s="1"/>
  <c r="AD163" i="110"/>
  <c r="AB163" i="110"/>
  <c r="Z163" i="110"/>
  <c r="BM165" i="110" l="1"/>
  <c r="BO165" i="110"/>
  <c r="M168" i="110"/>
  <c r="I168" i="110" s="1"/>
  <c r="V166" i="110"/>
  <c r="AF166" i="110"/>
  <c r="AG166" i="110" s="1"/>
  <c r="AH166" i="110" s="1"/>
  <c r="AI166" i="110" s="1"/>
  <c r="AS166" i="110" s="1" a="1"/>
  <c r="AS166" i="110" s="1"/>
  <c r="BN166" i="110" s="1"/>
  <c r="BC166" i="110" a="1"/>
  <c r="BC166" i="110" s="1"/>
  <c r="BT166" i="110" s="1"/>
  <c r="AJ166" i="110" a="1"/>
  <c r="AJ166" i="110" s="1"/>
  <c r="BH166" i="110" a="1"/>
  <c r="BH166" i="110" s="1"/>
  <c r="AP166" i="110" a="1"/>
  <c r="AP166" i="110" s="1"/>
  <c r="AX166" i="110" a="1"/>
  <c r="AX166" i="110" s="1"/>
  <c r="I167" i="110"/>
  <c r="G167" i="110"/>
  <c r="O167" i="110" s="1"/>
  <c r="T163" i="110"/>
  <c r="AE163" i="110"/>
  <c r="Y163" i="110"/>
  <c r="S163" i="110" s="1"/>
  <c r="BP165" i="110"/>
  <c r="BQ165" i="110" s="1"/>
  <c r="BI165" i="110"/>
  <c r="BX165" i="110"/>
  <c r="AZ166" i="110" l="1" a="1"/>
  <c r="AZ166" i="110" s="1"/>
  <c r="BF166" i="110" a="1"/>
  <c r="BF166" i="110" s="1"/>
  <c r="BW166" i="110" s="1"/>
  <c r="AR166" i="110" a="1"/>
  <c r="AR166" i="110" s="1"/>
  <c r="AV166" i="110" a="1"/>
  <c r="AV166" i="110" s="1"/>
  <c r="BG166" i="110" a="1"/>
  <c r="BG166" i="110" s="1"/>
  <c r="BX166" i="110" s="1"/>
  <c r="G168" i="110"/>
  <c r="O168" i="110" s="1"/>
  <c r="Q168" i="110" s="1"/>
  <c r="H168" i="110"/>
  <c r="E169" i="110" s="1"/>
  <c r="F169" i="110" s="1"/>
  <c r="AQ166" i="110" a="1"/>
  <c r="AQ166" i="110" s="1"/>
  <c r="BM166" i="110" s="1"/>
  <c r="AY166" i="110" a="1"/>
  <c r="AY166" i="110" s="1"/>
  <c r="BB166" i="110" a="1"/>
  <c r="BB166" i="110" s="1"/>
  <c r="BS166" i="110" s="1"/>
  <c r="AT166" i="110" a="1"/>
  <c r="AT166" i="110" s="1"/>
  <c r="AK166" i="110" a="1"/>
  <c r="AK166" i="110" s="1"/>
  <c r="AL166" i="110" a="1"/>
  <c r="AL166" i="110" s="1"/>
  <c r="AU166" i="110" a="1"/>
  <c r="AU166" i="110" s="1"/>
  <c r="AM166" i="110" a="1"/>
  <c r="AM166" i="110" s="1"/>
  <c r="BD166" i="110" a="1"/>
  <c r="BD166" i="110" s="1"/>
  <c r="BU166" i="110" s="1"/>
  <c r="AO166" i="110" a="1"/>
  <c r="AO166" i="110" s="1"/>
  <c r="BL166" i="110" s="1"/>
  <c r="AW166" i="110" a="1"/>
  <c r="AW166" i="110" s="1"/>
  <c r="BP166" i="110" s="1"/>
  <c r="BE166" i="110" a="1"/>
  <c r="BE166" i="110" s="1"/>
  <c r="BV166" i="110" s="1"/>
  <c r="AN166" i="110" a="1"/>
  <c r="AN166" i="110" s="1"/>
  <c r="BK166" i="110" s="1"/>
  <c r="BA166" i="110" a="1"/>
  <c r="BA166" i="110" s="1"/>
  <c r="AC165" i="110"/>
  <c r="AA165" i="110" s="1"/>
  <c r="BJ165" i="110"/>
  <c r="Z165" i="110"/>
  <c r="P167" i="110"/>
  <c r="Q167" i="110"/>
  <c r="N167" i="110"/>
  <c r="W167" i="110"/>
  <c r="M169" i="110"/>
  <c r="I169" i="110" s="1"/>
  <c r="N168" i="110" l="1"/>
  <c r="W168" i="110"/>
  <c r="BB168" i="110" s="1" a="1"/>
  <c r="BB168" i="110" s="1"/>
  <c r="BS168" i="110" s="1"/>
  <c r="P168" i="110"/>
  <c r="BR166" i="110"/>
  <c r="G169" i="110"/>
  <c r="O169" i="110" s="1"/>
  <c r="W169" i="110" s="1"/>
  <c r="BQ166" i="110"/>
  <c r="BI166" i="110"/>
  <c r="BJ166" i="110" s="1"/>
  <c r="BO166" i="110"/>
  <c r="V168" i="110"/>
  <c r="AV168" i="110" a="1"/>
  <c r="AV168" i="110" s="1"/>
  <c r="AK168" i="110" a="1"/>
  <c r="AK168" i="110" s="1"/>
  <c r="AY168" i="110" a="1"/>
  <c r="AY168" i="110" s="1"/>
  <c r="BD168" i="110" a="1"/>
  <c r="BD168" i="110" s="1"/>
  <c r="BU168" i="110" s="1"/>
  <c r="AM168" i="110" a="1"/>
  <c r="AM168" i="110" s="1"/>
  <c r="BG168" i="110" a="1"/>
  <c r="BG168" i="110" s="1"/>
  <c r="AF168" i="110"/>
  <c r="AG168" i="110" s="1"/>
  <c r="AH168" i="110" s="1"/>
  <c r="AI168" i="110" s="1"/>
  <c r="AN168" i="110" s="1" a="1"/>
  <c r="AN168" i="110" s="1"/>
  <c r="BK168" i="110" s="1"/>
  <c r="BF168" i="110" a="1"/>
  <c r="BF168" i="110" s="1"/>
  <c r="BW168" i="110" s="1"/>
  <c r="AR168" i="110" a="1"/>
  <c r="AR168" i="110" s="1"/>
  <c r="AT168" i="110" a="1"/>
  <c r="AT168" i="110" s="1"/>
  <c r="AU168" i="110" a="1"/>
  <c r="AU168" i="110" s="1"/>
  <c r="AF167" i="110"/>
  <c r="AG167" i="110" s="1"/>
  <c r="AH167" i="110" s="1"/>
  <c r="AI167" i="110" s="1"/>
  <c r="AP167" i="110" s="1" a="1"/>
  <c r="AP167" i="110" s="1"/>
  <c r="BG167" i="110" a="1"/>
  <c r="BG167" i="110" s="1"/>
  <c r="AU167" i="110" a="1"/>
  <c r="AU167" i="110" s="1"/>
  <c r="AV167" i="110" a="1"/>
  <c r="AV167" i="110" s="1"/>
  <c r="V167" i="110"/>
  <c r="BC167" i="110" a="1"/>
  <c r="BC167" i="110" s="1"/>
  <c r="BT167" i="110" s="1"/>
  <c r="BA167" i="110" a="1"/>
  <c r="BA167" i="110" s="1"/>
  <c r="AJ167" i="110" a="1"/>
  <c r="AJ167" i="110" s="1"/>
  <c r="BD167" i="110" a="1"/>
  <c r="BD167" i="110" s="1"/>
  <c r="BU167" i="110" s="1"/>
  <c r="BB167" i="110" a="1"/>
  <c r="BB167" i="110" s="1"/>
  <c r="BS167" i="110" s="1"/>
  <c r="AB165" i="110"/>
  <c r="AE165" i="110" s="1"/>
  <c r="AD165" i="110"/>
  <c r="T165" i="110"/>
  <c r="Y165" i="110"/>
  <c r="S165" i="110" s="1"/>
  <c r="H169" i="110"/>
  <c r="E170" i="110" s="1"/>
  <c r="F170" i="110" s="1"/>
  <c r="P169" i="110" l="1"/>
  <c r="N169" i="110"/>
  <c r="Q169" i="110"/>
  <c r="Z166" i="110"/>
  <c r="Y166" i="110" s="1"/>
  <c r="S166" i="110" s="1"/>
  <c r="AB166" i="110"/>
  <c r="AD166" i="110"/>
  <c r="BO168" i="110"/>
  <c r="AC166" i="110"/>
  <c r="AA166" i="110" s="1"/>
  <c r="BC168" i="110" a="1"/>
  <c r="BC168" i="110" s="1"/>
  <c r="BT168" i="110" s="1"/>
  <c r="AL167" i="110" a="1"/>
  <c r="AL167" i="110" s="1"/>
  <c r="AQ168" i="110" a="1"/>
  <c r="AQ168" i="110" s="1"/>
  <c r="AJ168" i="110" a="1"/>
  <c r="AJ168" i="110" s="1"/>
  <c r="AY167" i="110" a="1"/>
  <c r="AY167" i="110" s="1"/>
  <c r="BA168" i="110" a="1"/>
  <c r="BA168" i="110" s="1"/>
  <c r="AM167" i="110" a="1"/>
  <c r="AM167" i="110" s="1"/>
  <c r="AP168" i="110" a="1"/>
  <c r="AP168" i="110" s="1"/>
  <c r="AT167" i="110" a="1"/>
  <c r="AT167" i="110" s="1"/>
  <c r="BO167" i="110" s="1"/>
  <c r="AS168" i="110" a="1"/>
  <c r="AS168" i="110" s="1"/>
  <c r="BN168" i="110" s="1"/>
  <c r="AN167" i="110" a="1"/>
  <c r="AN167" i="110" s="1"/>
  <c r="BK167" i="110" s="1"/>
  <c r="AZ167" i="110" a="1"/>
  <c r="AZ167" i="110" s="1"/>
  <c r="BR167" i="110" s="1"/>
  <c r="AO167" i="110" a="1"/>
  <c r="AO167" i="110" s="1"/>
  <c r="BL167" i="110" s="1"/>
  <c r="AW167" i="110" a="1"/>
  <c r="AW167" i="110" s="1"/>
  <c r="AL168" i="110" a="1"/>
  <c r="AL168" i="110" s="1"/>
  <c r="M170" i="110"/>
  <c r="I170" i="110" s="1"/>
  <c r="AK167" i="110" a="1"/>
  <c r="AK167" i="110" s="1"/>
  <c r="BE167" i="110" a="1"/>
  <c r="BE167" i="110" s="1"/>
  <c r="BV167" i="110" s="1"/>
  <c r="AO168" i="110" a="1"/>
  <c r="AO168" i="110" s="1"/>
  <c r="BL168" i="110" s="1"/>
  <c r="AW168" i="110" a="1"/>
  <c r="AW168" i="110" s="1"/>
  <c r="BE168" i="110" a="1"/>
  <c r="BE168" i="110" s="1"/>
  <c r="BV168" i="110" s="1"/>
  <c r="AQ167" i="110" a="1"/>
  <c r="AQ167" i="110" s="1"/>
  <c r="BF167" i="110" a="1"/>
  <c r="BF167" i="110" s="1"/>
  <c r="BW167" i="110" s="1"/>
  <c r="AZ168" i="110" a="1"/>
  <c r="AZ168" i="110" s="1"/>
  <c r="BH167" i="110" a="1"/>
  <c r="BH167" i="110" s="1"/>
  <c r="BX167" i="110" s="1"/>
  <c r="AS167" i="110" a="1"/>
  <c r="AS167" i="110" s="1"/>
  <c r="BN167" i="110" s="1"/>
  <c r="AR167" i="110" a="1"/>
  <c r="AR167" i="110" s="1"/>
  <c r="AX168" i="110" a="1"/>
  <c r="AX168" i="110" s="1"/>
  <c r="AX167" i="110" a="1"/>
  <c r="AX167" i="110" s="1"/>
  <c r="BP167" i="110" s="1"/>
  <c r="BQ167" i="110" s="1"/>
  <c r="BH168" i="110" a="1"/>
  <c r="BH168" i="110" s="1"/>
  <c r="BX168" i="110" s="1"/>
  <c r="BG169" i="110" a="1"/>
  <c r="BG169" i="110" s="1"/>
  <c r="V169" i="110"/>
  <c r="AF169" i="110"/>
  <c r="AG169" i="110" s="1"/>
  <c r="AH169" i="110" s="1"/>
  <c r="AI169" i="110" s="1"/>
  <c r="AJ169" i="110" s="1" a="1"/>
  <c r="AJ169" i="110" s="1"/>
  <c r="AK169" i="110" a="1"/>
  <c r="AK169" i="110" s="1"/>
  <c r="AE166" i="110" l="1"/>
  <c r="T166" i="110"/>
  <c r="BI167" i="110"/>
  <c r="BJ167" i="110" s="1"/>
  <c r="BP168" i="110"/>
  <c r="BQ168" i="110" s="1"/>
  <c r="BM167" i="110"/>
  <c r="AV169" i="110" a="1"/>
  <c r="AV169" i="110" s="1"/>
  <c r="AT169" i="110" a="1"/>
  <c r="AT169" i="110" s="1"/>
  <c r="BH169" i="110" a="1"/>
  <c r="BH169" i="110" s="1"/>
  <c r="BX169" i="110" s="1"/>
  <c r="AO169" i="110" a="1"/>
  <c r="AO169" i="110" s="1"/>
  <c r="BL169" i="110" s="1"/>
  <c r="BM168" i="110"/>
  <c r="AW169" i="110" a="1"/>
  <c r="AW169" i="110" s="1"/>
  <c r="AZ169" i="110" a="1"/>
  <c r="AZ169" i="110" s="1"/>
  <c r="AQ169" i="110" a="1"/>
  <c r="AQ169" i="110" s="1"/>
  <c r="BE169" i="110" a="1"/>
  <c r="BE169" i="110" s="1"/>
  <c r="BV169" i="110" s="1"/>
  <c r="BA169" i="110" a="1"/>
  <c r="BA169" i="110" s="1"/>
  <c r="BR168" i="110"/>
  <c r="AY169" i="110" a="1"/>
  <c r="AY169" i="110" s="1"/>
  <c r="G170" i="110"/>
  <c r="O170" i="110" s="1"/>
  <c r="BI168" i="110"/>
  <c r="AR169" i="110" a="1"/>
  <c r="AR169" i="110" s="1"/>
  <c r="AL169" i="110" a="1"/>
  <c r="AL169" i="110" s="1"/>
  <c r="BI169" i="110" s="1"/>
  <c r="H170" i="110"/>
  <c r="E171" i="110" s="1"/>
  <c r="F171" i="110" s="1"/>
  <c r="BB169" i="110" a="1"/>
  <c r="BB169" i="110" s="1"/>
  <c r="BS169" i="110" s="1"/>
  <c r="AS169" i="110" a="1"/>
  <c r="AS169" i="110" s="1"/>
  <c r="BN169" i="110" s="1"/>
  <c r="AN169" i="110" a="1"/>
  <c r="AN169" i="110" s="1"/>
  <c r="BK169" i="110" s="1"/>
  <c r="AU169" i="110" a="1"/>
  <c r="AU169" i="110" s="1"/>
  <c r="BF169" i="110" a="1"/>
  <c r="BF169" i="110" s="1"/>
  <c r="BW169" i="110" s="1"/>
  <c r="BC169" i="110" a="1"/>
  <c r="BC169" i="110" s="1"/>
  <c r="BT169" i="110" s="1"/>
  <c r="AM169" i="110" a="1"/>
  <c r="AM169" i="110" s="1"/>
  <c r="AP169" i="110" a="1"/>
  <c r="AP169" i="110" s="1"/>
  <c r="BM169" i="110" s="1"/>
  <c r="BD169" i="110" a="1"/>
  <c r="BD169" i="110" s="1"/>
  <c r="BU169" i="110" s="1"/>
  <c r="AX169" i="110" a="1"/>
  <c r="AX169" i="110" s="1"/>
  <c r="Z167" i="110" l="1"/>
  <c r="AC167" i="110"/>
  <c r="AA167" i="110" s="1"/>
  <c r="BR169" i="110"/>
  <c r="BJ169" i="110"/>
  <c r="BO169" i="110"/>
  <c r="BP169" i="110"/>
  <c r="BQ169" i="110" s="1"/>
  <c r="M171" i="110"/>
  <c r="I171" i="110" s="1"/>
  <c r="Z168" i="110"/>
  <c r="AC168" i="110"/>
  <c r="AA168" i="110" s="1"/>
  <c r="BJ168" i="110"/>
  <c r="AB167" i="110"/>
  <c r="AE167" i="110" s="1"/>
  <c r="AD167" i="110"/>
  <c r="N170" i="110"/>
  <c r="P170" i="110"/>
  <c r="W170" i="110"/>
  <c r="Q170" i="110"/>
  <c r="T167" i="110"/>
  <c r="Y167" i="110"/>
  <c r="S167" i="110" s="1"/>
  <c r="Z169" i="110" l="1"/>
  <c r="T169" i="110" s="1"/>
  <c r="AB168" i="110"/>
  <c r="AD168" i="110"/>
  <c r="T168" i="110"/>
  <c r="AE168" i="110"/>
  <c r="Y168" i="110"/>
  <c r="S168" i="110" s="1"/>
  <c r="H171" i="110"/>
  <c r="E172" i="110" s="1"/>
  <c r="F172" i="110" s="1"/>
  <c r="G171" i="110"/>
  <c r="O171" i="110" s="1"/>
  <c r="AC169" i="110"/>
  <c r="AA169" i="110" s="1"/>
  <c r="AB169" i="110"/>
  <c r="AE169" i="110" s="1"/>
  <c r="AD169" i="110"/>
  <c r="BE170" i="110" a="1"/>
  <c r="BE170" i="110" s="1"/>
  <c r="BV170" i="110" s="1"/>
  <c r="AW170" i="110" a="1"/>
  <c r="AW170" i="110" s="1"/>
  <c r="AO170" i="110" a="1"/>
  <c r="AO170" i="110" s="1"/>
  <c r="BL170" i="110" s="1"/>
  <c r="BG170" i="110" a="1"/>
  <c r="BG170" i="110" s="1"/>
  <c r="AP170" i="110" a="1"/>
  <c r="AP170" i="110" s="1"/>
  <c r="AX170" i="110" a="1"/>
  <c r="AX170" i="110" s="1"/>
  <c r="AS170" i="110" a="1"/>
  <c r="AS170" i="110" s="1"/>
  <c r="BN170" i="110" s="1"/>
  <c r="BD170" i="110" a="1"/>
  <c r="BD170" i="110" s="1"/>
  <c r="BU170" i="110" s="1"/>
  <c r="AT170" i="110" a="1"/>
  <c r="AT170" i="110" s="1"/>
  <c r="AJ170" i="110" a="1"/>
  <c r="AJ170" i="110" s="1"/>
  <c r="BF170" i="110" a="1"/>
  <c r="BF170" i="110" s="1"/>
  <c r="BW170" i="110" s="1"/>
  <c r="AF170" i="110"/>
  <c r="AG170" i="110" s="1"/>
  <c r="AH170" i="110" s="1"/>
  <c r="AI170" i="110" s="1"/>
  <c r="AU170" i="110" a="1"/>
  <c r="AU170" i="110" s="1"/>
  <c r="BA170" i="110" a="1"/>
  <c r="BA170" i="110" s="1"/>
  <c r="AL170" i="110" a="1"/>
  <c r="AL170" i="110" s="1"/>
  <c r="AQ170" i="110" a="1"/>
  <c r="AQ170" i="110" s="1"/>
  <c r="BH170" i="110" a="1"/>
  <c r="BH170" i="110" s="1"/>
  <c r="AN170" i="110" a="1"/>
  <c r="AN170" i="110" s="1"/>
  <c r="BK170" i="110" s="1"/>
  <c r="AV170" i="110" a="1"/>
  <c r="AV170" i="110" s="1"/>
  <c r="BP170" i="110" s="1"/>
  <c r="AR170" i="110" a="1"/>
  <c r="AR170" i="110" s="1"/>
  <c r="AM170" i="110" a="1"/>
  <c r="AM170" i="110" s="1"/>
  <c r="AK170" i="110" a="1"/>
  <c r="AK170" i="110" s="1"/>
  <c r="AY170" i="110" a="1"/>
  <c r="AY170" i="110" s="1"/>
  <c r="BC170" i="110" a="1"/>
  <c r="BC170" i="110" s="1"/>
  <c r="BT170" i="110" s="1"/>
  <c r="AZ170" i="110" a="1"/>
  <c r="AZ170" i="110" s="1"/>
  <c r="BB170" i="110" a="1"/>
  <c r="BB170" i="110" s="1"/>
  <c r="BS170" i="110" s="1"/>
  <c r="V170" i="110"/>
  <c r="BX170" i="110" l="1"/>
  <c r="BO170" i="110"/>
  <c r="Y169" i="110"/>
  <c r="S169" i="110" s="1"/>
  <c r="BR170" i="110"/>
  <c r="BI170" i="110"/>
  <c r="BM170" i="110"/>
  <c r="BQ170" i="110"/>
  <c r="P171" i="110"/>
  <c r="Q171" i="110"/>
  <c r="N171" i="110"/>
  <c r="W171" i="110"/>
  <c r="M172" i="110"/>
  <c r="I172" i="110" s="1"/>
  <c r="Z170" i="110" l="1"/>
  <c r="AC170" i="110"/>
  <c r="AA170" i="110" s="1"/>
  <c r="BJ170" i="110"/>
  <c r="G172" i="110"/>
  <c r="O172" i="110" s="1"/>
  <c r="W172" i="110" s="1"/>
  <c r="H172" i="110"/>
  <c r="E173" i="110" s="1"/>
  <c r="F173" i="110" s="1"/>
  <c r="M173" i="110" s="1"/>
  <c r="I173" i="110" s="1"/>
  <c r="BE171" i="110" a="1"/>
  <c r="BE171" i="110" s="1"/>
  <c r="BV171" i="110" s="1"/>
  <c r="AW171" i="110" a="1"/>
  <c r="AW171" i="110" s="1"/>
  <c r="AO171" i="110" a="1"/>
  <c r="AO171" i="110" s="1"/>
  <c r="BL171" i="110" s="1"/>
  <c r="BA171" i="110" a="1"/>
  <c r="BA171" i="110" s="1"/>
  <c r="AJ171" i="110" a="1"/>
  <c r="AJ171" i="110" s="1"/>
  <c r="AR171" i="110" a="1"/>
  <c r="AR171" i="110" s="1"/>
  <c r="BC171" i="110" a="1"/>
  <c r="BC171" i="110" s="1"/>
  <c r="BT171" i="110" s="1"/>
  <c r="AM171" i="110" a="1"/>
  <c r="AM171" i="110" s="1"/>
  <c r="BG171" i="110" a="1"/>
  <c r="BG171" i="110" s="1"/>
  <c r="BD171" i="110" a="1"/>
  <c r="BD171" i="110" s="1"/>
  <c r="BU171" i="110" s="1"/>
  <c r="AQ171" i="110" a="1"/>
  <c r="AQ171" i="110" s="1"/>
  <c r="AL171" i="110" a="1"/>
  <c r="AL171" i="110" s="1"/>
  <c r="AY171" i="110" a="1"/>
  <c r="AY171" i="110" s="1"/>
  <c r="AX171" i="110" a="1"/>
  <c r="AX171" i="110" s="1"/>
  <c r="AF171" i="110"/>
  <c r="AG171" i="110" s="1"/>
  <c r="AH171" i="110" s="1"/>
  <c r="AI171" i="110" s="1"/>
  <c r="AV171" i="110" a="1"/>
  <c r="AV171" i="110" s="1"/>
  <c r="AT171" i="110" a="1"/>
  <c r="AT171" i="110" s="1"/>
  <c r="AS171" i="110" a="1"/>
  <c r="AS171" i="110" s="1"/>
  <c r="BN171" i="110" s="1"/>
  <c r="BH171" i="110" a="1"/>
  <c r="BH171" i="110" s="1"/>
  <c r="BX171" i="110" s="1"/>
  <c r="AP171" i="110" a="1"/>
  <c r="AP171" i="110" s="1"/>
  <c r="AN171" i="110" a="1"/>
  <c r="AN171" i="110" s="1"/>
  <c r="BK171" i="110" s="1"/>
  <c r="AK171" i="110" a="1"/>
  <c r="AK171" i="110" s="1"/>
  <c r="BF171" i="110" a="1"/>
  <c r="BF171" i="110" s="1"/>
  <c r="BW171" i="110" s="1"/>
  <c r="V171" i="110"/>
  <c r="AU171" i="110" a="1"/>
  <c r="AU171" i="110" s="1"/>
  <c r="BB171" i="110" a="1"/>
  <c r="BB171" i="110" s="1"/>
  <c r="BS171" i="110" s="1"/>
  <c r="AZ171" i="110" a="1"/>
  <c r="AZ171" i="110" s="1"/>
  <c r="AD170" i="110"/>
  <c r="AB170" i="110"/>
  <c r="AE170" i="110" s="1"/>
  <c r="T170" i="110"/>
  <c r="Y170" i="110"/>
  <c r="S170" i="110" s="1"/>
  <c r="BM171" i="110" l="1"/>
  <c r="N172" i="110"/>
  <c r="P172" i="110"/>
  <c r="Q172" i="110"/>
  <c r="BO171" i="110"/>
  <c r="G173" i="110"/>
  <c r="O173" i="110" s="1"/>
  <c r="N173" i="110" s="1"/>
  <c r="BP171" i="110"/>
  <c r="BQ171" i="110" s="1"/>
  <c r="BI171" i="110"/>
  <c r="BJ171" i="110" s="1"/>
  <c r="BR171" i="110"/>
  <c r="H173" i="110"/>
  <c r="E174" i="110" s="1"/>
  <c r="F174" i="110" s="1"/>
  <c r="V172" i="110"/>
  <c r="AF172" i="110"/>
  <c r="AG172" i="110" s="1"/>
  <c r="AH172" i="110" s="1"/>
  <c r="AI172" i="110" s="1"/>
  <c r="BC172" i="110" s="1" a="1"/>
  <c r="BC172" i="110" s="1"/>
  <c r="BT172" i="110" s="1"/>
  <c r="AK172" i="110" a="1"/>
  <c r="AK172" i="110" s="1"/>
  <c r="BD172" i="110" a="1"/>
  <c r="BD172" i="110" s="1"/>
  <c r="BU172" i="110" s="1"/>
  <c r="W173" i="110" l="1"/>
  <c r="P173" i="110"/>
  <c r="Q173" i="110"/>
  <c r="AC171" i="110"/>
  <c r="AA171" i="110" s="1"/>
  <c r="Z171" i="110"/>
  <c r="BH172" i="110" a="1"/>
  <c r="BH172" i="110" s="1"/>
  <c r="AT172" i="110" a="1"/>
  <c r="AT172" i="110" s="1"/>
  <c r="AU172" i="110" a="1"/>
  <c r="AU172" i="110" s="1"/>
  <c r="AQ172" i="110" a="1"/>
  <c r="AQ172" i="110" s="1"/>
  <c r="BB172" i="110" a="1"/>
  <c r="BB172" i="110" s="1"/>
  <c r="BS172" i="110" s="1"/>
  <c r="AO172" i="110" a="1"/>
  <c r="AO172" i="110" s="1"/>
  <c r="BL172" i="110" s="1"/>
  <c r="AW172" i="110" a="1"/>
  <c r="AW172" i="110" s="1"/>
  <c r="AP172" i="110" a="1"/>
  <c r="AP172" i="110" s="1"/>
  <c r="BE172" i="110" a="1"/>
  <c r="BE172" i="110" s="1"/>
  <c r="BV172" i="110" s="1"/>
  <c r="AX172" i="110" a="1"/>
  <c r="AX172" i="110" s="1"/>
  <c r="AZ172" i="110" a="1"/>
  <c r="AZ172" i="110" s="1"/>
  <c r="AN172" i="110" a="1"/>
  <c r="AN172" i="110" s="1"/>
  <c r="BK172" i="110" s="1"/>
  <c r="M174" i="110"/>
  <c r="I174" i="110" s="1"/>
  <c r="AM172" i="110" a="1"/>
  <c r="AM172" i="110" s="1"/>
  <c r="AF173" i="110"/>
  <c r="AG173" i="110" s="1"/>
  <c r="AH173" i="110" s="1"/>
  <c r="AI173" i="110" s="1"/>
  <c r="BG173" i="110" s="1" a="1"/>
  <c r="BG173" i="110" s="1"/>
  <c r="AU173" i="110" a="1"/>
  <c r="AU173" i="110" s="1"/>
  <c r="AQ173" i="110" a="1"/>
  <c r="AQ173" i="110" s="1"/>
  <c r="BA173" i="110" a="1"/>
  <c r="BA173" i="110" s="1"/>
  <c r="AY173" i="110" a="1"/>
  <c r="AY173" i="110" s="1"/>
  <c r="BH173" i="110" a="1"/>
  <c r="BH173" i="110" s="1"/>
  <c r="AK173" i="110" a="1"/>
  <c r="AK173" i="110" s="1"/>
  <c r="BB173" i="110" a="1"/>
  <c r="BB173" i="110" s="1"/>
  <c r="BS173" i="110" s="1"/>
  <c r="V173" i="110"/>
  <c r="AL173" i="110" a="1"/>
  <c r="AL173" i="110" s="1"/>
  <c r="AP173" i="110" a="1"/>
  <c r="AP173" i="110" s="1"/>
  <c r="AN173" i="110" a="1"/>
  <c r="AN173" i="110" s="1"/>
  <c r="BK173" i="110" s="1"/>
  <c r="AY172" i="110" a="1"/>
  <c r="AY172" i="110" s="1"/>
  <c r="AJ172" i="110" a="1"/>
  <c r="AJ172" i="110" s="1"/>
  <c r="AS172" i="110" a="1"/>
  <c r="AS172" i="110" s="1"/>
  <c r="BN172" i="110" s="1"/>
  <c r="BG172" i="110" a="1"/>
  <c r="BG172" i="110" s="1"/>
  <c r="AV172" i="110" a="1"/>
  <c r="AV172" i="110" s="1"/>
  <c r="BP172" i="110" s="1"/>
  <c r="BA172" i="110" a="1"/>
  <c r="BA172" i="110" s="1"/>
  <c r="BR172" i="110" s="1"/>
  <c r="AR172" i="110" a="1"/>
  <c r="AR172" i="110" s="1"/>
  <c r="AL172" i="110" a="1"/>
  <c r="AL172" i="110" s="1"/>
  <c r="AB171" i="110"/>
  <c r="AE171" i="110" s="1"/>
  <c r="AD171" i="110"/>
  <c r="BF172" i="110" a="1"/>
  <c r="BF172" i="110" s="1"/>
  <c r="BW172" i="110" s="1"/>
  <c r="T171" i="110"/>
  <c r="Y171" i="110"/>
  <c r="S171" i="110" s="1"/>
  <c r="AM173" i="110" l="1" a="1"/>
  <c r="AM173" i="110" s="1"/>
  <c r="AS173" i="110" a="1"/>
  <c r="AS173" i="110" s="1"/>
  <c r="BN173" i="110" s="1"/>
  <c r="BD173" i="110" a="1"/>
  <c r="BD173" i="110" s="1"/>
  <c r="BU173" i="110" s="1"/>
  <c r="BF173" i="110" a="1"/>
  <c r="BF173" i="110" s="1"/>
  <c r="BW173" i="110" s="1"/>
  <c r="AV173" i="110" a="1"/>
  <c r="AV173" i="110" s="1"/>
  <c r="BI172" i="110"/>
  <c r="G174" i="110"/>
  <c r="O174" i="110" s="1"/>
  <c r="P174" i="110" s="1"/>
  <c r="H174" i="110"/>
  <c r="E175" i="110" s="1"/>
  <c r="F175" i="110" s="1"/>
  <c r="M175" i="110" s="1"/>
  <c r="I175" i="110" s="1"/>
  <c r="BX173" i="110"/>
  <c r="BQ172" i="110"/>
  <c r="AR173" i="110" a="1"/>
  <c r="AR173" i="110" s="1"/>
  <c r="BM173" i="110" s="1"/>
  <c r="AX173" i="110" a="1"/>
  <c r="AX173" i="110" s="1"/>
  <c r="AZ173" i="110" a="1"/>
  <c r="AZ173" i="110" s="1"/>
  <c r="BR173" i="110" s="1"/>
  <c r="BM172" i="110"/>
  <c r="AO173" i="110" a="1"/>
  <c r="AO173" i="110" s="1"/>
  <c r="BL173" i="110" s="1"/>
  <c r="BJ172" i="110"/>
  <c r="AW173" i="110" a="1"/>
  <c r="AW173" i="110" s="1"/>
  <c r="BE173" i="110" a="1"/>
  <c r="BE173" i="110" s="1"/>
  <c r="BV173" i="110" s="1"/>
  <c r="AT173" i="110" a="1"/>
  <c r="AT173" i="110" s="1"/>
  <c r="BO173" i="110" s="1"/>
  <c r="AJ173" i="110" a="1"/>
  <c r="AJ173" i="110" s="1"/>
  <c r="BI173" i="110" s="1"/>
  <c r="N174" i="110"/>
  <c r="BC173" i="110" a="1"/>
  <c r="BC173" i="110" s="1"/>
  <c r="BT173" i="110" s="1"/>
  <c r="BO172" i="110"/>
  <c r="BX172" i="110"/>
  <c r="Q174" i="110" l="1"/>
  <c r="W174" i="110"/>
  <c r="AC172" i="110"/>
  <c r="AA172" i="110" s="1"/>
  <c r="BP173" i="110"/>
  <c r="BQ173" i="110" s="1"/>
  <c r="Z172" i="110"/>
  <c r="AB172" i="110"/>
  <c r="AD172" i="110"/>
  <c r="G175" i="110"/>
  <c r="O175" i="110" s="1"/>
  <c r="H175" i="110"/>
  <c r="E176" i="110" s="1"/>
  <c r="F176" i="110" s="1"/>
  <c r="V174" i="110"/>
  <c r="BJ173" i="110"/>
  <c r="AC173" i="110" l="1"/>
  <c r="AA173" i="110" s="1"/>
  <c r="Z173" i="110"/>
  <c r="T173" i="110" s="1"/>
  <c r="BA174" i="110" a="1"/>
  <c r="BA174" i="110" s="1"/>
  <c r="AF174" i="110"/>
  <c r="AG174" i="110" s="1"/>
  <c r="AH174" i="110" s="1"/>
  <c r="AI174" i="110" s="1"/>
  <c r="BB174" i="110" a="1"/>
  <c r="BB174" i="110" s="1"/>
  <c r="BS174" i="110" s="1"/>
  <c r="AZ174" i="110" a="1"/>
  <c r="AZ174" i="110" s="1"/>
  <c r="AR174" i="110" a="1"/>
  <c r="AR174" i="110" s="1"/>
  <c r="BC174" i="110" a="1"/>
  <c r="BC174" i="110" s="1"/>
  <c r="BT174" i="110" s="1"/>
  <c r="Y173" i="110"/>
  <c r="S173" i="110" s="1"/>
  <c r="BD174" i="110" a="1"/>
  <c r="BD174" i="110" s="1"/>
  <c r="BU174" i="110" s="1"/>
  <c r="AB173" i="110"/>
  <c r="AD173" i="110"/>
  <c r="AO174" i="110" a="1"/>
  <c r="AO174" i="110" s="1"/>
  <c r="BL174" i="110" s="1"/>
  <c r="AW174" i="110" a="1"/>
  <c r="AW174" i="110" s="1"/>
  <c r="BE174" i="110" a="1"/>
  <c r="BE174" i="110" s="1"/>
  <c r="BV174" i="110" s="1"/>
  <c r="AL174" i="110" a="1"/>
  <c r="AL174" i="110" s="1"/>
  <c r="AK174" i="110" a="1"/>
  <c r="AK174" i="110" s="1"/>
  <c r="BF174" i="110" a="1"/>
  <c r="BF174" i="110" s="1"/>
  <c r="BW174" i="110" s="1"/>
  <c r="M176" i="110"/>
  <c r="H176" i="110" s="1"/>
  <c r="E177" i="110" s="1"/>
  <c r="F177" i="110" s="1"/>
  <c r="BG174" i="110" a="1"/>
  <c r="BG174" i="110" s="1"/>
  <c r="Q175" i="110"/>
  <c r="W175" i="110"/>
  <c r="P175" i="110"/>
  <c r="N175" i="110"/>
  <c r="AM174" i="110" a="1"/>
  <c r="AM174" i="110" s="1"/>
  <c r="AT174" i="110" a="1"/>
  <c r="AT174" i="110" s="1"/>
  <c r="T172" i="110"/>
  <c r="AE172" i="110"/>
  <c r="Y172" i="110"/>
  <c r="S172" i="110" s="1"/>
  <c r="AE173" i="110" l="1"/>
  <c r="BR174" i="110"/>
  <c r="BH174" i="110" a="1"/>
  <c r="BH174" i="110" s="1"/>
  <c r="BX174" i="110" s="1"/>
  <c r="AX174" i="110" a="1"/>
  <c r="AX174" i="110" s="1"/>
  <c r="AV174" i="110" a="1"/>
  <c r="AV174" i="110" s="1"/>
  <c r="AS174" i="110" a="1"/>
  <c r="AS174" i="110" s="1"/>
  <c r="BN174" i="110" s="1"/>
  <c r="AU174" i="110" a="1"/>
  <c r="AU174" i="110" s="1"/>
  <c r="BO174" i="110" s="1"/>
  <c r="AQ174" i="110" a="1"/>
  <c r="AQ174" i="110" s="1"/>
  <c r="AP174" i="110" a="1"/>
  <c r="AP174" i="110" s="1"/>
  <c r="AJ174" i="110" a="1"/>
  <c r="AJ174" i="110" s="1"/>
  <c r="BI174" i="110" s="1"/>
  <c r="AY174" i="110" a="1"/>
  <c r="AY174" i="110" s="1"/>
  <c r="AN174" i="110" a="1"/>
  <c r="AN174" i="110" s="1"/>
  <c r="BK174" i="110" s="1"/>
  <c r="G176" i="110"/>
  <c r="O176" i="110" s="1"/>
  <c r="N176" i="110" s="1"/>
  <c r="M177" i="110"/>
  <c r="I177" i="110" s="1"/>
  <c r="I176" i="110"/>
  <c r="Q176" i="110"/>
  <c r="V175" i="110"/>
  <c r="AF175" i="110"/>
  <c r="AG175" i="110" s="1"/>
  <c r="AH175" i="110" s="1"/>
  <c r="AI175" i="110" s="1"/>
  <c r="AZ175" i="110" s="1" a="1"/>
  <c r="AZ175" i="110" s="1"/>
  <c r="BP174" i="110" l="1"/>
  <c r="BQ174" i="110" s="1"/>
  <c r="BM174" i="110"/>
  <c r="BJ174" i="110"/>
  <c r="AX175" i="110" a="1"/>
  <c r="AX175" i="110" s="1"/>
  <c r="BH175" i="110" a="1"/>
  <c r="BH175" i="110" s="1"/>
  <c r="P176" i="110"/>
  <c r="G177" i="110"/>
  <c r="O177" i="110" s="1"/>
  <c r="H177" i="110"/>
  <c r="E178" i="110" s="1"/>
  <c r="F178" i="110" s="1"/>
  <c r="W176" i="110"/>
  <c r="AF176" i="110" s="1"/>
  <c r="AG176" i="110" s="1"/>
  <c r="AH176" i="110" s="1"/>
  <c r="AI176" i="110" s="1"/>
  <c r="AU175" i="110" a="1"/>
  <c r="AU175" i="110" s="1"/>
  <c r="AK175" i="110" a="1"/>
  <c r="AK175" i="110" s="1"/>
  <c r="BB175" i="110" a="1"/>
  <c r="BB175" i="110" s="1"/>
  <c r="BS175" i="110" s="1"/>
  <c r="AS175" i="110" a="1"/>
  <c r="AS175" i="110" s="1"/>
  <c r="BN175" i="110" s="1"/>
  <c r="BF175" i="110" a="1"/>
  <c r="BF175" i="110" s="1"/>
  <c r="BW175" i="110" s="1"/>
  <c r="AY175" i="110" a="1"/>
  <c r="AY175" i="110" s="1"/>
  <c r="AT175" i="110" a="1"/>
  <c r="AT175" i="110" s="1"/>
  <c r="AN175" i="110" a="1"/>
  <c r="AN175" i="110" s="1"/>
  <c r="BK175" i="110" s="1"/>
  <c r="BD175" i="110" a="1"/>
  <c r="BD175" i="110" s="1"/>
  <c r="BU175" i="110" s="1"/>
  <c r="AL175" i="110" a="1"/>
  <c r="AL175" i="110" s="1"/>
  <c r="AQ175" i="110" a="1"/>
  <c r="AQ175" i="110" s="1"/>
  <c r="BC175" i="110" a="1"/>
  <c r="BC175" i="110" s="1"/>
  <c r="BT175" i="110" s="1"/>
  <c r="AM175" i="110" a="1"/>
  <c r="AM175" i="110" s="1"/>
  <c r="BG175" i="110" a="1"/>
  <c r="BG175" i="110" s="1"/>
  <c r="AJ175" i="110" a="1"/>
  <c r="AJ175" i="110" s="1"/>
  <c r="AV175" i="110" a="1"/>
  <c r="AV175" i="110" s="1"/>
  <c r="AO175" i="110" a="1"/>
  <c r="AO175" i="110" s="1"/>
  <c r="BL175" i="110" s="1"/>
  <c r="N177" i="110"/>
  <c r="Q177" i="110"/>
  <c r="P177" i="110"/>
  <c r="W177" i="110"/>
  <c r="AR175" i="110" a="1"/>
  <c r="AR175" i="110" s="1"/>
  <c r="AW175" i="110" a="1"/>
  <c r="AW175" i="110" s="1"/>
  <c r="M178" i="110"/>
  <c r="I178" i="110" s="1"/>
  <c r="BE175" i="110" a="1"/>
  <c r="BE175" i="110" s="1"/>
  <c r="BV175" i="110" s="1"/>
  <c r="AP175" i="110" a="1"/>
  <c r="AP175" i="110" s="1"/>
  <c r="BA175" i="110" a="1"/>
  <c r="BA175" i="110" s="1"/>
  <c r="BR175" i="110" s="1"/>
  <c r="BX175" i="110" l="1"/>
  <c r="Z174" i="110"/>
  <c r="T174" i="110" s="1"/>
  <c r="BO175" i="110"/>
  <c r="AB174" i="110"/>
  <c r="AD174" i="110"/>
  <c r="AC174" i="110"/>
  <c r="AA174" i="110" s="1"/>
  <c r="V176" i="110"/>
  <c r="AP176" i="110" a="1"/>
  <c r="AP176" i="110" s="1"/>
  <c r="AT176" i="110" a="1"/>
  <c r="AT176" i="110" s="1"/>
  <c r="AX176" i="110" a="1"/>
  <c r="AX176" i="110" s="1"/>
  <c r="AU176" i="110" a="1"/>
  <c r="AU176" i="110" s="1"/>
  <c r="BD176" i="110" a="1"/>
  <c r="BD176" i="110" s="1"/>
  <c r="BU176" i="110" s="1"/>
  <c r="AM176" i="110" a="1"/>
  <c r="AM176" i="110" s="1"/>
  <c r="AL176" i="110" a="1"/>
  <c r="AL176" i="110" s="1"/>
  <c r="AK176" i="110" a="1"/>
  <c r="AK176" i="110" s="1"/>
  <c r="BH176" i="110" a="1"/>
  <c r="BH176" i="110" s="1"/>
  <c r="BA176" i="110" a="1"/>
  <c r="BA176" i="110" s="1"/>
  <c r="AN176" i="110" a="1"/>
  <c r="AN176" i="110" s="1"/>
  <c r="BK176" i="110" s="1"/>
  <c r="BC176" i="110" a="1"/>
  <c r="BC176" i="110" s="1"/>
  <c r="BT176" i="110" s="1"/>
  <c r="AR176" i="110" a="1"/>
  <c r="AR176" i="110" s="1"/>
  <c r="AJ176" i="110" a="1"/>
  <c r="AJ176" i="110" s="1"/>
  <c r="AQ176" i="110" a="1"/>
  <c r="AQ176" i="110" s="1"/>
  <c r="AS176" i="110" a="1"/>
  <c r="AS176" i="110" s="1"/>
  <c r="BN176" i="110" s="1"/>
  <c r="BG176" i="110" a="1"/>
  <c r="BG176" i="110" s="1"/>
  <c r="AY176" i="110" a="1"/>
  <c r="AY176" i="110" s="1"/>
  <c r="BI175" i="110"/>
  <c r="BJ175" i="110" s="1"/>
  <c r="BM175" i="110"/>
  <c r="G178" i="110"/>
  <c r="O178" i="110" s="1"/>
  <c r="W178" i="110" s="1"/>
  <c r="AV176" i="110" a="1"/>
  <c r="AV176" i="110" s="1"/>
  <c r="V177" i="110"/>
  <c r="AF177" i="110"/>
  <c r="AG177" i="110" s="1"/>
  <c r="AH177" i="110" s="1"/>
  <c r="AI177" i="110" s="1"/>
  <c r="AT177" i="110" s="1" a="1"/>
  <c r="AT177" i="110" s="1"/>
  <c r="BF176" i="110" a="1"/>
  <c r="BF176" i="110" s="1"/>
  <c r="BW176" i="110" s="1"/>
  <c r="AZ176" i="110" a="1"/>
  <c r="AZ176" i="110" s="1"/>
  <c r="AO176" i="110" a="1"/>
  <c r="AO176" i="110" s="1"/>
  <c r="BL176" i="110" s="1"/>
  <c r="BP175" i="110"/>
  <c r="BQ175" i="110" s="1"/>
  <c r="AW176" i="110" a="1"/>
  <c r="AW176" i="110" s="1"/>
  <c r="BE176" i="110" a="1"/>
  <c r="BE176" i="110" s="1"/>
  <c r="BV176" i="110" s="1"/>
  <c r="BB176" i="110" a="1"/>
  <c r="BB176" i="110" s="1"/>
  <c r="BS176" i="110" s="1"/>
  <c r="H178" i="110"/>
  <c r="E179" i="110" s="1"/>
  <c r="F179" i="110" s="1"/>
  <c r="BR176" i="110" l="1"/>
  <c r="BP176" i="110"/>
  <c r="BQ176" i="110" s="1"/>
  <c r="AE174" i="110"/>
  <c r="Y174" i="110"/>
  <c r="S174" i="110" s="1"/>
  <c r="P178" i="110"/>
  <c r="N178" i="110"/>
  <c r="AJ177" i="110" a="1"/>
  <c r="AJ177" i="110" s="1"/>
  <c r="AM177" i="110" a="1"/>
  <c r="AM177" i="110" s="1"/>
  <c r="Q178" i="110"/>
  <c r="BA177" i="110" a="1"/>
  <c r="BA177" i="110" s="1"/>
  <c r="AN177" i="110" a="1"/>
  <c r="AN177" i="110" s="1"/>
  <c r="BK177" i="110" s="1"/>
  <c r="BD177" i="110" a="1"/>
  <c r="BD177" i="110" s="1"/>
  <c r="BU177" i="110" s="1"/>
  <c r="AK177" i="110" a="1"/>
  <c r="AK177" i="110" s="1"/>
  <c r="AU177" i="110" a="1"/>
  <c r="AU177" i="110" s="1"/>
  <c r="BO177" i="110" s="1"/>
  <c r="BO176" i="110"/>
  <c r="BC177" i="110" a="1"/>
  <c r="BC177" i="110" s="1"/>
  <c r="BT177" i="110" s="1"/>
  <c r="AX177" i="110" a="1"/>
  <c r="AX177" i="110" s="1"/>
  <c r="AP177" i="110" a="1"/>
  <c r="AP177" i="110" s="1"/>
  <c r="BI176" i="110"/>
  <c r="BJ176" i="110" s="1"/>
  <c r="BX176" i="110"/>
  <c r="BM176" i="110"/>
  <c r="AC175" i="110"/>
  <c r="AA175" i="110" s="1"/>
  <c r="AR177" i="110" a="1"/>
  <c r="AR177" i="110" s="1"/>
  <c r="Z175" i="110"/>
  <c r="AQ177" i="110" a="1"/>
  <c r="AQ177" i="110" s="1"/>
  <c r="BH177" i="110" a="1"/>
  <c r="BH177" i="110" s="1"/>
  <c r="AZ177" i="110" a="1"/>
  <c r="AZ177" i="110" s="1"/>
  <c r="BR177" i="110" s="1"/>
  <c r="AY177" i="110" a="1"/>
  <c r="AY177" i="110" s="1"/>
  <c r="AO177" i="110" a="1"/>
  <c r="AO177" i="110" s="1"/>
  <c r="BL177" i="110" s="1"/>
  <c r="AW177" i="110" a="1"/>
  <c r="AW177" i="110" s="1"/>
  <c r="BE177" i="110" a="1"/>
  <c r="BE177" i="110" s="1"/>
  <c r="BV177" i="110" s="1"/>
  <c r="BB177" i="110" a="1"/>
  <c r="BB177" i="110" s="1"/>
  <c r="BS177" i="110" s="1"/>
  <c r="AS177" i="110" a="1"/>
  <c r="AS177" i="110" s="1"/>
  <c r="BN177" i="110" s="1"/>
  <c r="AB175" i="110"/>
  <c r="AD175" i="110"/>
  <c r="V178" i="110"/>
  <c r="AF178" i="110"/>
  <c r="AG178" i="110" s="1"/>
  <c r="AH178" i="110" s="1"/>
  <c r="AI178" i="110" s="1"/>
  <c r="AY178" i="110" s="1" a="1"/>
  <c r="AY178" i="110" s="1"/>
  <c r="AX178" i="110" a="1"/>
  <c r="AX178" i="110" s="1"/>
  <c r="BF177" i="110" a="1"/>
  <c r="BF177" i="110" s="1"/>
  <c r="BW177" i="110" s="1"/>
  <c r="M179" i="110"/>
  <c r="G179" i="110" s="1"/>
  <c r="O179" i="110" s="1"/>
  <c r="AL177" i="110" a="1"/>
  <c r="AL177" i="110" s="1"/>
  <c r="AV177" i="110" a="1"/>
  <c r="AV177" i="110" s="1"/>
  <c r="BG177" i="110" a="1"/>
  <c r="BG177" i="110" s="1"/>
  <c r="AB176" i="110" l="1"/>
  <c r="AD176" i="110"/>
  <c r="Z176" i="110"/>
  <c r="AC176" i="110"/>
  <c r="AA176" i="110" s="1"/>
  <c r="AR178" i="110" a="1"/>
  <c r="AR178" i="110" s="1"/>
  <c r="BF178" i="110" a="1"/>
  <c r="BF178" i="110" s="1"/>
  <c r="BW178" i="110" s="1"/>
  <c r="BC178" i="110" a="1"/>
  <c r="BC178" i="110" s="1"/>
  <c r="BT178" i="110" s="1"/>
  <c r="BI177" i="110"/>
  <c r="BG178" i="110" a="1"/>
  <c r="BG178" i="110" s="1"/>
  <c r="BH178" i="110" a="1"/>
  <c r="BH178" i="110" s="1"/>
  <c r="AV178" i="110" a="1"/>
  <c r="AV178" i="110" s="1"/>
  <c r="AM178" i="110" a="1"/>
  <c r="AM178" i="110" s="1"/>
  <c r="BD178" i="110" a="1"/>
  <c r="BD178" i="110" s="1"/>
  <c r="BU178" i="110" s="1"/>
  <c r="AU178" i="110" a="1"/>
  <c r="AU178" i="110" s="1"/>
  <c r="BA178" i="110" a="1"/>
  <c r="BA178" i="110" s="1"/>
  <c r="AK178" i="110" a="1"/>
  <c r="AK178" i="110" s="1"/>
  <c r="AJ178" i="110" a="1"/>
  <c r="AJ178" i="110" s="1"/>
  <c r="BP177" i="110"/>
  <c r="BQ177" i="110" s="1"/>
  <c r="AS178" i="110" a="1"/>
  <c r="AS178" i="110" s="1"/>
  <c r="BN178" i="110" s="1"/>
  <c r="BB178" i="110" a="1"/>
  <c r="BB178" i="110" s="1"/>
  <c r="BS178" i="110" s="1"/>
  <c r="AT178" i="110" a="1"/>
  <c r="AT178" i="110" s="1"/>
  <c r="BO178" i="110" s="1"/>
  <c r="AO178" i="110" a="1"/>
  <c r="AO178" i="110" s="1"/>
  <c r="BL178" i="110" s="1"/>
  <c r="AL178" i="110" a="1"/>
  <c r="AL178" i="110" s="1"/>
  <c r="AN178" i="110" a="1"/>
  <c r="AN178" i="110" s="1"/>
  <c r="BK178" i="110" s="1"/>
  <c r="N179" i="110"/>
  <c r="W179" i="110"/>
  <c r="Q179" i="110"/>
  <c r="P179" i="110"/>
  <c r="BJ177" i="110"/>
  <c r="AZ178" i="110" a="1"/>
  <c r="AZ178" i="110" s="1"/>
  <c r="BX177" i="110"/>
  <c r="H179" i="110"/>
  <c r="E180" i="110" s="1"/>
  <c r="F180" i="110" s="1"/>
  <c r="I179" i="110"/>
  <c r="AP178" i="110" a="1"/>
  <c r="AP178" i="110" s="1"/>
  <c r="T175" i="110"/>
  <c r="AE175" i="110"/>
  <c r="Y175" i="110"/>
  <c r="S175" i="110" s="1"/>
  <c r="BM177" i="110"/>
  <c r="AW178" i="110" a="1"/>
  <c r="AW178" i="110" s="1"/>
  <c r="BP178" i="110" s="1"/>
  <c r="BQ178" i="110" s="1"/>
  <c r="BE178" i="110" a="1"/>
  <c r="BE178" i="110" s="1"/>
  <c r="BV178" i="110" s="1"/>
  <c r="AQ178" i="110" a="1"/>
  <c r="AQ178" i="110" s="1"/>
  <c r="T176" i="110"/>
  <c r="Y176" i="110"/>
  <c r="S176" i="110" s="1"/>
  <c r="AE176" i="110"/>
  <c r="BR178" i="110" l="1"/>
  <c r="BX178" i="110"/>
  <c r="BI178" i="110"/>
  <c r="BJ178" i="110" s="1"/>
  <c r="Z177" i="110"/>
  <c r="T177" i="110" s="1"/>
  <c r="M180" i="110"/>
  <c r="G180" i="110" s="1"/>
  <c r="O180" i="110" s="1"/>
  <c r="AD178" i="110"/>
  <c r="AB178" i="110"/>
  <c r="AC177" i="110"/>
  <c r="AA177" i="110" s="1"/>
  <c r="AB177" i="110"/>
  <c r="AD177" i="110"/>
  <c r="AS179" i="110" a="1"/>
  <c r="AS179" i="110" s="1"/>
  <c r="BN179" i="110" s="1"/>
  <c r="V179" i="110"/>
  <c r="AF179" i="110"/>
  <c r="AG179" i="110" s="1"/>
  <c r="AH179" i="110" s="1"/>
  <c r="AI179" i="110" s="1"/>
  <c r="BG179" i="110" s="1" a="1"/>
  <c r="BG179" i="110" s="1"/>
  <c r="BF179" i="110" a="1"/>
  <c r="BF179" i="110" s="1"/>
  <c r="BW179" i="110" s="1"/>
  <c r="BM178" i="110"/>
  <c r="AE177" i="110" l="1"/>
  <c r="AZ179" i="110" a="1"/>
  <c r="AZ179" i="110" s="1"/>
  <c r="AO179" i="110" a="1"/>
  <c r="AO179" i="110" s="1"/>
  <c r="BL179" i="110" s="1"/>
  <c r="Y177" i="110"/>
  <c r="S177" i="110" s="1"/>
  <c r="AU179" i="110" a="1"/>
  <c r="AU179" i="110" s="1"/>
  <c r="BD179" i="110" a="1"/>
  <c r="BD179" i="110" s="1"/>
  <c r="BU179" i="110" s="1"/>
  <c r="AX179" i="110" a="1"/>
  <c r="AX179" i="110" s="1"/>
  <c r="BA179" i="110" a="1"/>
  <c r="BA179" i="110" s="1"/>
  <c r="BH179" i="110" a="1"/>
  <c r="BH179" i="110" s="1"/>
  <c r="BX179" i="110" s="1"/>
  <c r="AR179" i="110" a="1"/>
  <c r="AR179" i="110" s="1"/>
  <c r="AM179" i="110" a="1"/>
  <c r="AM179" i="110" s="1"/>
  <c r="AQ179" i="110" a="1"/>
  <c r="AQ179" i="110" s="1"/>
  <c r="AT179" i="110" a="1"/>
  <c r="AT179" i="110" s="1"/>
  <c r="AN179" i="110" a="1"/>
  <c r="AN179" i="110" s="1"/>
  <c r="BK179" i="110" s="1"/>
  <c r="AW179" i="110" a="1"/>
  <c r="AW179" i="110" s="1"/>
  <c r="BE179" i="110" a="1"/>
  <c r="BE179" i="110" s="1"/>
  <c r="BV179" i="110" s="1"/>
  <c r="AV179" i="110" a="1"/>
  <c r="AV179" i="110" s="1"/>
  <c r="AL179" i="110" a="1"/>
  <c r="AL179" i="110" s="1"/>
  <c r="BC179" i="110" a="1"/>
  <c r="BC179" i="110" s="1"/>
  <c r="BT179" i="110" s="1"/>
  <c r="AJ179" i="110" a="1"/>
  <c r="AJ179" i="110" s="1"/>
  <c r="AY179" i="110" a="1"/>
  <c r="AY179" i="110" s="1"/>
  <c r="AK179" i="110" a="1"/>
  <c r="AK179" i="110" s="1"/>
  <c r="AP179" i="110" a="1"/>
  <c r="AP179" i="110" s="1"/>
  <c r="BB179" i="110" a="1"/>
  <c r="BB179" i="110" s="1"/>
  <c r="BS179" i="110" s="1"/>
  <c r="Q180" i="110"/>
  <c r="W180" i="110"/>
  <c r="P180" i="110"/>
  <c r="N180" i="110"/>
  <c r="AC178" i="110"/>
  <c r="AA178" i="110" s="1"/>
  <c r="Z178" i="110"/>
  <c r="H180" i="110"/>
  <c r="E181" i="110" s="1"/>
  <c r="F181" i="110" s="1"/>
  <c r="I180" i="110"/>
  <c r="BM179" i="110" l="1"/>
  <c r="BR179" i="110"/>
  <c r="BO179" i="110"/>
  <c r="BI179" i="110"/>
  <c r="BP179" i="110"/>
  <c r="BQ179" i="110" s="1"/>
  <c r="BJ179" i="110"/>
  <c r="M181" i="110"/>
  <c r="I181" i="110" s="1"/>
  <c r="T178" i="110"/>
  <c r="Y178" i="110"/>
  <c r="S178" i="110" s="1"/>
  <c r="AE178" i="110"/>
  <c r="V180" i="110"/>
  <c r="AF180" i="110"/>
  <c r="AG180" i="110" s="1"/>
  <c r="AH180" i="110" s="1"/>
  <c r="AI180" i="110" s="1"/>
  <c r="BC180" i="110" s="1" a="1"/>
  <c r="BC180" i="110" s="1"/>
  <c r="BT180" i="110" s="1"/>
  <c r="AV180" i="110" a="1"/>
  <c r="AV180" i="110" s="1"/>
  <c r="AC179" i="110" l="1"/>
  <c r="AA179" i="110" s="1"/>
  <c r="AN180" i="110" a="1"/>
  <c r="AN180" i="110" s="1"/>
  <c r="BK180" i="110" s="1"/>
  <c r="AR180" i="110" a="1"/>
  <c r="AR180" i="110" s="1"/>
  <c r="AL180" i="110" a="1"/>
  <c r="AL180" i="110" s="1"/>
  <c r="AD179" i="110"/>
  <c r="Z179" i="110"/>
  <c r="AB179" i="110"/>
  <c r="G181" i="110"/>
  <c r="O181" i="110" s="1"/>
  <c r="AY180" i="110" a="1"/>
  <c r="AY180" i="110" s="1"/>
  <c r="AU180" i="110" a="1"/>
  <c r="AU180" i="110" s="1"/>
  <c r="H181" i="110"/>
  <c r="E182" i="110" s="1"/>
  <c r="F182" i="110" s="1"/>
  <c r="M182" i="110" s="1"/>
  <c r="I182" i="110" s="1"/>
  <c r="AX180" i="110" a="1"/>
  <c r="AX180" i="110" s="1"/>
  <c r="AM180" i="110" a="1"/>
  <c r="AM180" i="110" s="1"/>
  <c r="BA180" i="110" a="1"/>
  <c r="BA180" i="110" s="1"/>
  <c r="BB180" i="110" a="1"/>
  <c r="BB180" i="110" s="1"/>
  <c r="BS180" i="110" s="1"/>
  <c r="BG180" i="110" a="1"/>
  <c r="BG180" i="110" s="1"/>
  <c r="AS180" i="110" a="1"/>
  <c r="AS180" i="110" s="1"/>
  <c r="BN180" i="110" s="1"/>
  <c r="AQ180" i="110" a="1"/>
  <c r="AQ180" i="110" s="1"/>
  <c r="AO180" i="110" a="1"/>
  <c r="AO180" i="110" s="1"/>
  <c r="BL180" i="110" s="1"/>
  <c r="AW180" i="110" a="1"/>
  <c r="AW180" i="110" s="1"/>
  <c r="BE180" i="110" a="1"/>
  <c r="BE180" i="110" s="1"/>
  <c r="BV180" i="110" s="1"/>
  <c r="BD180" i="110" a="1"/>
  <c r="BD180" i="110" s="1"/>
  <c r="BU180" i="110" s="1"/>
  <c r="AZ180" i="110" a="1"/>
  <c r="AZ180" i="110" s="1"/>
  <c r="BH180" i="110" a="1"/>
  <c r="BH180" i="110" s="1"/>
  <c r="BX180" i="110" s="1"/>
  <c r="AP180" i="110" a="1"/>
  <c r="AP180" i="110" s="1"/>
  <c r="AJ180" i="110" a="1"/>
  <c r="AJ180" i="110" s="1"/>
  <c r="BF180" i="110" a="1"/>
  <c r="BF180" i="110" s="1"/>
  <c r="BW180" i="110" s="1"/>
  <c r="N181" i="110"/>
  <c r="W181" i="110"/>
  <c r="P181" i="110"/>
  <c r="Q181" i="110"/>
  <c r="AK180" i="110" a="1"/>
  <c r="AK180" i="110" s="1"/>
  <c r="AT180" i="110" a="1"/>
  <c r="AT180" i="110" s="1"/>
  <c r="BM180" i="110" l="1"/>
  <c r="BO180" i="110"/>
  <c r="BR180" i="110"/>
  <c r="AE179" i="110"/>
  <c r="T179" i="110"/>
  <c r="Y179" i="110"/>
  <c r="S179" i="110" s="1"/>
  <c r="H182" i="110"/>
  <c r="E183" i="110" s="1"/>
  <c r="F183" i="110" s="1"/>
  <c r="G182" i="110"/>
  <c r="O182" i="110" s="1"/>
  <c r="BP180" i="110"/>
  <c r="BQ180" i="110" s="1"/>
  <c r="BE181" i="110" a="1"/>
  <c r="BE181" i="110" s="1"/>
  <c r="BV181" i="110" s="1"/>
  <c r="AW181" i="110" a="1"/>
  <c r="AW181" i="110" s="1"/>
  <c r="AO181" i="110" a="1"/>
  <c r="AO181" i="110" s="1"/>
  <c r="BL181" i="110" s="1"/>
  <c r="AZ181" i="110" a="1"/>
  <c r="AZ181" i="110" s="1"/>
  <c r="AQ181" i="110" a="1"/>
  <c r="AQ181" i="110" s="1"/>
  <c r="AF181" i="110"/>
  <c r="AG181" i="110" s="1"/>
  <c r="AH181" i="110" s="1"/>
  <c r="AI181" i="110" s="1"/>
  <c r="BF181" i="110" a="1"/>
  <c r="BF181" i="110" s="1"/>
  <c r="BW181" i="110" s="1"/>
  <c r="AJ181" i="110" a="1"/>
  <c r="AJ181" i="110" s="1"/>
  <c r="AT181" i="110" a="1"/>
  <c r="AT181" i="110" s="1"/>
  <c r="AP181" i="110" a="1"/>
  <c r="AP181" i="110" s="1"/>
  <c r="BB181" i="110" a="1"/>
  <c r="BB181" i="110" s="1"/>
  <c r="BS181" i="110" s="1"/>
  <c r="AN181" i="110" a="1"/>
  <c r="AN181" i="110" s="1"/>
  <c r="BK181" i="110" s="1"/>
  <c r="AK181" i="110" a="1"/>
  <c r="AK181" i="110" s="1"/>
  <c r="AX181" i="110" a="1"/>
  <c r="AX181" i="110" s="1"/>
  <c r="BA181" i="110" a="1"/>
  <c r="BA181" i="110" s="1"/>
  <c r="AR181" i="110" a="1"/>
  <c r="AR181" i="110" s="1"/>
  <c r="BH181" i="110" a="1"/>
  <c r="BH181" i="110" s="1"/>
  <c r="AL181" i="110" a="1"/>
  <c r="AL181" i="110" s="1"/>
  <c r="BD181" i="110" a="1"/>
  <c r="BD181" i="110" s="1"/>
  <c r="BU181" i="110" s="1"/>
  <c r="BG181" i="110" a="1"/>
  <c r="BG181" i="110" s="1"/>
  <c r="AU181" i="110" a="1"/>
  <c r="AU181" i="110" s="1"/>
  <c r="AS181" i="110" a="1"/>
  <c r="AS181" i="110" s="1"/>
  <c r="BN181" i="110" s="1"/>
  <c r="V181" i="110"/>
  <c r="BC181" i="110" a="1"/>
  <c r="BC181" i="110" s="1"/>
  <c r="BT181" i="110" s="1"/>
  <c r="AY181" i="110" a="1"/>
  <c r="AY181" i="110" s="1"/>
  <c r="AM181" i="110" a="1"/>
  <c r="AM181" i="110" s="1"/>
  <c r="AV181" i="110" a="1"/>
  <c r="AV181" i="110" s="1"/>
  <c r="BP181" i="110" s="1"/>
  <c r="BI180" i="110"/>
  <c r="W182" i="110"/>
  <c r="Q182" i="110"/>
  <c r="P182" i="110"/>
  <c r="N182" i="110"/>
  <c r="M183" i="110"/>
  <c r="H183" i="110" s="1"/>
  <c r="E184" i="110" s="1"/>
  <c r="F184" i="110" s="1"/>
  <c r="BO181" i="110" l="1"/>
  <c r="BQ181" i="110"/>
  <c r="BM181" i="110"/>
  <c r="BI181" i="110"/>
  <c r="BJ181" i="110" s="1"/>
  <c r="BX181" i="110"/>
  <c r="BR181" i="110"/>
  <c r="M184" i="110"/>
  <c r="I184" i="110" s="1"/>
  <c r="I183" i="110"/>
  <c r="G183" i="110"/>
  <c r="O183" i="110" s="1"/>
  <c r="V182" i="110"/>
  <c r="AR182" i="110" a="1"/>
  <c r="AR182" i="110" s="1"/>
  <c r="BH182" i="110" a="1"/>
  <c r="BH182" i="110" s="1"/>
  <c r="AF182" i="110"/>
  <c r="AG182" i="110" s="1"/>
  <c r="AH182" i="110" s="1"/>
  <c r="AI182" i="110" s="1"/>
  <c r="AW182" i="110" s="1" a="1"/>
  <c r="AW182" i="110" s="1"/>
  <c r="AX182" i="110" a="1"/>
  <c r="AX182" i="110" s="1"/>
  <c r="AN182" i="110" a="1"/>
  <c r="AN182" i="110" s="1"/>
  <c r="BK182" i="110" s="1"/>
  <c r="AJ182" i="110" a="1"/>
  <c r="AJ182" i="110" s="1"/>
  <c r="BG182" i="110" a="1"/>
  <c r="BG182" i="110" s="1"/>
  <c r="AL182" i="110" a="1"/>
  <c r="AL182" i="110" s="1"/>
  <c r="AQ182" i="110" a="1"/>
  <c r="AQ182" i="110" s="1"/>
  <c r="BC182" i="110" a="1"/>
  <c r="BC182" i="110" s="1"/>
  <c r="BT182" i="110" s="1"/>
  <c r="BB182" i="110" a="1"/>
  <c r="BB182" i="110" s="1"/>
  <c r="BS182" i="110" s="1"/>
  <c r="AU182" i="110" a="1"/>
  <c r="AU182" i="110" s="1"/>
  <c r="Z180" i="110"/>
  <c r="BJ180" i="110"/>
  <c r="AC180" i="110"/>
  <c r="AA180" i="110" s="1"/>
  <c r="Z181" i="110" l="1"/>
  <c r="AC181" i="110"/>
  <c r="AA181" i="110" s="1"/>
  <c r="BE182" i="110" a="1"/>
  <c r="BE182" i="110" s="1"/>
  <c r="BV182" i="110" s="1"/>
  <c r="AY182" i="110" a="1"/>
  <c r="AY182" i="110" s="1"/>
  <c r="AZ182" i="110" a="1"/>
  <c r="AZ182" i="110" s="1"/>
  <c r="AK182" i="110" a="1"/>
  <c r="AK182" i="110" s="1"/>
  <c r="BI182" i="110" s="1"/>
  <c r="BX182" i="110"/>
  <c r="AT182" i="110" a="1"/>
  <c r="AT182" i="110" s="1"/>
  <c r="BO182" i="110" s="1"/>
  <c r="BD182" i="110" a="1"/>
  <c r="BD182" i="110" s="1"/>
  <c r="BU182" i="110" s="1"/>
  <c r="AS182" i="110" a="1"/>
  <c r="AS182" i="110" s="1"/>
  <c r="BN182" i="110" s="1"/>
  <c r="AP182" i="110" a="1"/>
  <c r="AP182" i="110" s="1"/>
  <c r="BM182" i="110" s="1"/>
  <c r="BA182" i="110" a="1"/>
  <c r="BA182" i="110" s="1"/>
  <c r="AM182" i="110" a="1"/>
  <c r="AM182" i="110" s="1"/>
  <c r="AV182" i="110" a="1"/>
  <c r="AV182" i="110" s="1"/>
  <c r="BP182" i="110" s="1"/>
  <c r="BF182" i="110" a="1"/>
  <c r="BF182" i="110" s="1"/>
  <c r="BW182" i="110" s="1"/>
  <c r="AO182" i="110" a="1"/>
  <c r="AO182" i="110" s="1"/>
  <c r="BL182" i="110" s="1"/>
  <c r="AB180" i="110"/>
  <c r="AD180" i="110"/>
  <c r="T180" i="110"/>
  <c r="Y180" i="110"/>
  <c r="S180" i="110" s="1"/>
  <c r="AE180" i="110"/>
  <c r="P183" i="110"/>
  <c r="N183" i="110"/>
  <c r="Q183" i="110"/>
  <c r="W183" i="110"/>
  <c r="G184" i="110"/>
  <c r="O184" i="110" s="1"/>
  <c r="H184" i="110"/>
  <c r="E185" i="110" s="1"/>
  <c r="F185" i="110" s="1"/>
  <c r="T181" i="110"/>
  <c r="Y181" i="110"/>
  <c r="S181" i="110" s="1"/>
  <c r="AD181" i="110"/>
  <c r="AB181" i="110"/>
  <c r="AE181" i="110" s="1"/>
  <c r="BQ182" i="110" l="1"/>
  <c r="BR182" i="110"/>
  <c r="AC182" i="110" s="1"/>
  <c r="AA182" i="110" s="1"/>
  <c r="BJ182" i="110"/>
  <c r="AD182" i="110" s="1"/>
  <c r="Q184" i="110"/>
  <c r="P184" i="110"/>
  <c r="W184" i="110"/>
  <c r="N184" i="110"/>
  <c r="AF183" i="110"/>
  <c r="AG183" i="110" s="1"/>
  <c r="AH183" i="110" s="1"/>
  <c r="AI183" i="110" s="1"/>
  <c r="AW183" i="110" s="1" a="1"/>
  <c r="AW183" i="110" s="1"/>
  <c r="V183" i="110"/>
  <c r="M185" i="110"/>
  <c r="G185" i="110" s="1"/>
  <c r="O185" i="110" s="1"/>
  <c r="AB182" i="110" l="1"/>
  <c r="BH183" i="110" a="1"/>
  <c r="BH183" i="110" s="1"/>
  <c r="AL183" i="110" a="1"/>
  <c r="AL183" i="110" s="1"/>
  <c r="BE183" i="110" a="1"/>
  <c r="BE183" i="110" s="1"/>
  <c r="BV183" i="110" s="1"/>
  <c r="AV183" i="110" a="1"/>
  <c r="AV183" i="110" s="1"/>
  <c r="Z182" i="110"/>
  <c r="AJ183" i="110" a="1"/>
  <c r="AJ183" i="110" s="1"/>
  <c r="AS183" i="110" a="1"/>
  <c r="AS183" i="110" s="1"/>
  <c r="BN183" i="110" s="1"/>
  <c r="AQ183" i="110" a="1"/>
  <c r="AQ183" i="110" s="1"/>
  <c r="AT183" i="110" a="1"/>
  <c r="AT183" i="110" s="1"/>
  <c r="AU183" i="110" a="1"/>
  <c r="AU183" i="110" s="1"/>
  <c r="AX183" i="110" a="1"/>
  <c r="AX183" i="110" s="1"/>
  <c r="AP183" i="110" a="1"/>
  <c r="AP183" i="110" s="1"/>
  <c r="BB183" i="110" a="1"/>
  <c r="BB183" i="110" s="1"/>
  <c r="BS183" i="110" s="1"/>
  <c r="BG183" i="110" a="1"/>
  <c r="BG183" i="110" s="1"/>
  <c r="AN183" i="110" a="1"/>
  <c r="AN183" i="110" s="1"/>
  <c r="BK183" i="110" s="1"/>
  <c r="BC183" i="110" a="1"/>
  <c r="BC183" i="110" s="1"/>
  <c r="BT183" i="110" s="1"/>
  <c r="AM183" i="110" a="1"/>
  <c r="AM183" i="110" s="1"/>
  <c r="BF183" i="110" a="1"/>
  <c r="BF183" i="110" s="1"/>
  <c r="BW183" i="110" s="1"/>
  <c r="AO183" i="110" a="1"/>
  <c r="AO183" i="110" s="1"/>
  <c r="BL183" i="110" s="1"/>
  <c r="AY183" i="110" a="1"/>
  <c r="AY183" i="110" s="1"/>
  <c r="BA183" i="110" a="1"/>
  <c r="BA183" i="110" s="1"/>
  <c r="AZ183" i="110" a="1"/>
  <c r="AZ183" i="110" s="1"/>
  <c r="BD183" i="110" a="1"/>
  <c r="BD183" i="110" s="1"/>
  <c r="BU183" i="110" s="1"/>
  <c r="AR183" i="110" a="1"/>
  <c r="AR183" i="110" s="1"/>
  <c r="AK183" i="110" a="1"/>
  <c r="AK183" i="110" s="1"/>
  <c r="BI183" i="110" s="1"/>
  <c r="H185" i="110"/>
  <c r="E186" i="110" s="1"/>
  <c r="F186" i="110" s="1"/>
  <c r="M186" i="110" s="1"/>
  <c r="G186" i="110" s="1"/>
  <c r="O186" i="110" s="1"/>
  <c r="I185" i="110"/>
  <c r="P185" i="110"/>
  <c r="W185" i="110"/>
  <c r="Q185" i="110"/>
  <c r="N185" i="110"/>
  <c r="V184" i="110"/>
  <c r="AF184" i="110"/>
  <c r="AG184" i="110" s="1"/>
  <c r="AH184" i="110" s="1"/>
  <c r="AI184" i="110" s="1"/>
  <c r="AT184" i="110" s="1" a="1"/>
  <c r="AT184" i="110" s="1"/>
  <c r="BA184" i="110" a="1"/>
  <c r="BA184" i="110" s="1"/>
  <c r="AV184" i="110" l="1" a="1"/>
  <c r="AV184" i="110" s="1"/>
  <c r="BX183" i="110"/>
  <c r="BM183" i="110"/>
  <c r="BP183" i="110"/>
  <c r="BD184" i="110" a="1"/>
  <c r="BD184" i="110" s="1"/>
  <c r="BU184" i="110" s="1"/>
  <c r="BJ183" i="110"/>
  <c r="AK184" i="110" a="1"/>
  <c r="AK184" i="110" s="1"/>
  <c r="AR184" i="110" a="1"/>
  <c r="AR184" i="110" s="1"/>
  <c r="BC184" i="110" a="1"/>
  <c r="BC184" i="110" s="1"/>
  <c r="BT184" i="110" s="1"/>
  <c r="BH184" i="110" a="1"/>
  <c r="BH184" i="110" s="1"/>
  <c r="AM184" i="110" a="1"/>
  <c r="AM184" i="110" s="1"/>
  <c r="AU184" i="110" a="1"/>
  <c r="AU184" i="110" s="1"/>
  <c r="BO184" i="110" s="1"/>
  <c r="AL184" i="110" a="1"/>
  <c r="AL184" i="110" s="1"/>
  <c r="AY184" i="110" a="1"/>
  <c r="AY184" i="110" s="1"/>
  <c r="AW184" i="110" a="1"/>
  <c r="AW184" i="110" s="1"/>
  <c r="AN184" i="110" a="1"/>
  <c r="AN184" i="110" s="1"/>
  <c r="BK184" i="110" s="1"/>
  <c r="AJ184" i="110" a="1"/>
  <c r="AJ184" i="110" s="1"/>
  <c r="BF184" i="110" a="1"/>
  <c r="BF184" i="110" s="1"/>
  <c r="BW184" i="110" s="1"/>
  <c r="AS184" i="110" a="1"/>
  <c r="AS184" i="110" s="1"/>
  <c r="BN184" i="110" s="1"/>
  <c r="BG184" i="110" a="1"/>
  <c r="BG184" i="110" s="1"/>
  <c r="BO183" i="110"/>
  <c r="AO184" i="110" a="1"/>
  <c r="AO184" i="110" s="1"/>
  <c r="BL184" i="110" s="1"/>
  <c r="BE184" i="110" a="1"/>
  <c r="BE184" i="110" s="1"/>
  <c r="BV184" i="110" s="1"/>
  <c r="BB184" i="110" a="1"/>
  <c r="BB184" i="110" s="1"/>
  <c r="BS184" i="110" s="1"/>
  <c r="T182" i="110"/>
  <c r="Y182" i="110"/>
  <c r="S182" i="110" s="1"/>
  <c r="AQ184" i="110" a="1"/>
  <c r="AQ184" i="110" s="1"/>
  <c r="AE182" i="110"/>
  <c r="AX184" i="110" a="1"/>
  <c r="AX184" i="110" s="1"/>
  <c r="BR183" i="110"/>
  <c r="AZ184" i="110" a="1"/>
  <c r="AZ184" i="110" s="1"/>
  <c r="BR184" i="110" s="1"/>
  <c r="AP184" i="110" a="1"/>
  <c r="AP184" i="110" s="1"/>
  <c r="BQ183" i="110"/>
  <c r="AB183" i="110" s="1"/>
  <c r="H186" i="110"/>
  <c r="E187" i="110" s="1"/>
  <c r="F187" i="110" s="1"/>
  <c r="M187" i="110" s="1"/>
  <c r="G187" i="110" s="1"/>
  <c r="O187" i="110" s="1"/>
  <c r="I186" i="110"/>
  <c r="N186" i="110"/>
  <c r="P186" i="110"/>
  <c r="W186" i="110"/>
  <c r="Q186" i="110"/>
  <c r="V185" i="110"/>
  <c r="AF185" i="110"/>
  <c r="AG185" i="110" s="1"/>
  <c r="AH185" i="110" s="1"/>
  <c r="AI185" i="110" s="1"/>
  <c r="AY185" i="110" s="1" a="1"/>
  <c r="AY185" i="110" s="1"/>
  <c r="AJ185" i="110" a="1"/>
  <c r="AJ185" i="110" s="1"/>
  <c r="BC185" i="110" a="1"/>
  <c r="BC185" i="110" s="1"/>
  <c r="BT185" i="110" s="1"/>
  <c r="BB185" i="110" a="1"/>
  <c r="BB185" i="110" s="1"/>
  <c r="BS185" i="110" s="1"/>
  <c r="BG185" i="110" a="1"/>
  <c r="BG185" i="110" s="1"/>
  <c r="AN185" i="110" a="1"/>
  <c r="AN185" i="110" s="1"/>
  <c r="BK185" i="110" s="1"/>
  <c r="AR185" i="110" a="1"/>
  <c r="AR185" i="110" s="1"/>
  <c r="AV185" i="110" a="1"/>
  <c r="AV185" i="110" s="1"/>
  <c r="BP184" i="110" l="1"/>
  <c r="BQ184" i="110" s="1"/>
  <c r="Z183" i="110"/>
  <c r="T183" i="110" s="1"/>
  <c r="BX184" i="110"/>
  <c r="AC183" i="110"/>
  <c r="AA183" i="110" s="1"/>
  <c r="AZ185" i="110" a="1"/>
  <c r="AZ185" i="110" s="1"/>
  <c r="BI184" i="110"/>
  <c r="BJ184" i="110" s="1"/>
  <c r="AS185" i="110" a="1"/>
  <c r="AS185" i="110" s="1"/>
  <c r="BN185" i="110" s="1"/>
  <c r="BF185" i="110" a="1"/>
  <c r="BF185" i="110" s="1"/>
  <c r="BW185" i="110" s="1"/>
  <c r="BM184" i="110"/>
  <c r="AE183" i="110"/>
  <c r="AD183" i="110"/>
  <c r="Y183" i="110"/>
  <c r="S183" i="110" s="1"/>
  <c r="AK185" i="110" a="1"/>
  <c r="AK185" i="110" s="1"/>
  <c r="AT185" i="110" a="1"/>
  <c r="AT185" i="110" s="1"/>
  <c r="BH185" i="110" a="1"/>
  <c r="BH185" i="110" s="1"/>
  <c r="BX185" i="110" s="1"/>
  <c r="AX185" i="110" a="1"/>
  <c r="AX185" i="110" s="1"/>
  <c r="AM185" i="110" a="1"/>
  <c r="AM185" i="110" s="1"/>
  <c r="AQ185" i="110" a="1"/>
  <c r="AQ185" i="110" s="1"/>
  <c r="BA185" i="110" a="1"/>
  <c r="BA185" i="110" s="1"/>
  <c r="AL185" i="110" a="1"/>
  <c r="AL185" i="110" s="1"/>
  <c r="AU185" i="110" a="1"/>
  <c r="AU185" i="110" s="1"/>
  <c r="BD185" i="110" a="1"/>
  <c r="BD185" i="110" s="1"/>
  <c r="BU185" i="110" s="1"/>
  <c r="AP185" i="110" a="1"/>
  <c r="AP185" i="110" s="1"/>
  <c r="AO185" i="110" a="1"/>
  <c r="AO185" i="110" s="1"/>
  <c r="BL185" i="110" s="1"/>
  <c r="AW185" i="110" a="1"/>
  <c r="AW185" i="110" s="1"/>
  <c r="BE185" i="110" a="1"/>
  <c r="BE185" i="110" s="1"/>
  <c r="BV185" i="110" s="1"/>
  <c r="H187" i="110"/>
  <c r="E188" i="110" s="1"/>
  <c r="F188" i="110" s="1"/>
  <c r="M188" i="110" s="1"/>
  <c r="I188" i="110" s="1"/>
  <c r="I187" i="110"/>
  <c r="Q187" i="110"/>
  <c r="W187" i="110"/>
  <c r="P187" i="110"/>
  <c r="N187" i="110"/>
  <c r="AU186" i="110" a="1"/>
  <c r="AU186" i="110" s="1"/>
  <c r="AF186" i="110"/>
  <c r="AG186" i="110" s="1"/>
  <c r="AH186" i="110" s="1"/>
  <c r="AI186" i="110" s="1"/>
  <c r="BA186" i="110" s="1" a="1"/>
  <c r="BA186" i="110" s="1"/>
  <c r="AQ186" i="110" a="1"/>
  <c r="AQ186" i="110" s="1"/>
  <c r="AP186" i="110" a="1"/>
  <c r="AP186" i="110" s="1"/>
  <c r="BG186" i="110" a="1"/>
  <c r="BG186" i="110" s="1"/>
  <c r="V186" i="110"/>
  <c r="AD184" i="110"/>
  <c r="AB184" i="110"/>
  <c r="AC184" i="110" l="1"/>
  <c r="AA184" i="110" s="1"/>
  <c r="Z184" i="110"/>
  <c r="T184" i="110" s="1"/>
  <c r="BR185" i="110"/>
  <c r="BI185" i="110"/>
  <c r="BJ185" i="110" s="1"/>
  <c r="BB186" i="110" a="1"/>
  <c r="BB186" i="110" s="1"/>
  <c r="BS186" i="110" s="1"/>
  <c r="AN186" i="110" a="1"/>
  <c r="AN186" i="110" s="1"/>
  <c r="BK186" i="110" s="1"/>
  <c r="AX186" i="110" a="1"/>
  <c r="AX186" i="110" s="1"/>
  <c r="BM185" i="110"/>
  <c r="BP185" i="110"/>
  <c r="BQ185" i="110" s="1"/>
  <c r="BO185" i="110"/>
  <c r="AL186" i="110" a="1"/>
  <c r="AL186" i="110" s="1"/>
  <c r="BC186" i="110" a="1"/>
  <c r="BC186" i="110" s="1"/>
  <c r="BT186" i="110" s="1"/>
  <c r="BF186" i="110" a="1"/>
  <c r="BF186" i="110" s="1"/>
  <c r="BW186" i="110" s="1"/>
  <c r="AM186" i="110" a="1"/>
  <c r="AM186" i="110" s="1"/>
  <c r="AV186" i="110" a="1"/>
  <c r="AV186" i="110" s="1"/>
  <c r="AK186" i="110" a="1"/>
  <c r="AK186" i="110" s="1"/>
  <c r="G188" i="110"/>
  <c r="O188" i="110" s="1"/>
  <c r="AO186" i="110" a="1"/>
  <c r="AO186" i="110" s="1"/>
  <c r="BL186" i="110" s="1"/>
  <c r="H188" i="110"/>
  <c r="E189" i="110" s="1"/>
  <c r="F189" i="110" s="1"/>
  <c r="AW186" i="110" a="1"/>
  <c r="AW186" i="110" s="1"/>
  <c r="BE186" i="110" a="1"/>
  <c r="BE186" i="110" s="1"/>
  <c r="BV186" i="110" s="1"/>
  <c r="AZ186" i="110" a="1"/>
  <c r="AZ186" i="110" s="1"/>
  <c r="BR186" i="110" s="1"/>
  <c r="AS186" i="110" a="1"/>
  <c r="AS186" i="110" s="1"/>
  <c r="BN186" i="110" s="1"/>
  <c r="AY186" i="110" a="1"/>
  <c r="AY186" i="110" s="1"/>
  <c r="AJ186" i="110" a="1"/>
  <c r="AJ186" i="110" s="1"/>
  <c r="AT186" i="110" a="1"/>
  <c r="AT186" i="110" s="1"/>
  <c r="BO186" i="110" s="1"/>
  <c r="BD186" i="110" a="1"/>
  <c r="BD186" i="110" s="1"/>
  <c r="BU186" i="110" s="1"/>
  <c r="BH186" i="110" a="1"/>
  <c r="BH186" i="110" s="1"/>
  <c r="BX186" i="110" s="1"/>
  <c r="AR186" i="110" a="1"/>
  <c r="AR186" i="110" s="1"/>
  <c r="BM186" i="110" s="1"/>
  <c r="AF187" i="110"/>
  <c r="AG187" i="110" s="1"/>
  <c r="AH187" i="110" s="1"/>
  <c r="AI187" i="110" s="1"/>
  <c r="AQ187" i="110" s="1" a="1"/>
  <c r="AQ187" i="110" s="1"/>
  <c r="V187" i="110"/>
  <c r="Y184" i="110" l="1"/>
  <c r="S184" i="110" s="1"/>
  <c r="AE184" i="110"/>
  <c r="Z185" i="110"/>
  <c r="T185" i="110" s="1"/>
  <c r="BI186" i="110"/>
  <c r="AS187" i="110" a="1"/>
  <c r="AS187" i="110" s="1"/>
  <c r="BN187" i="110" s="1"/>
  <c r="Y185" i="110"/>
  <c r="S185" i="110" s="1"/>
  <c r="AB185" i="110"/>
  <c r="AE185" i="110" s="1"/>
  <c r="AD185" i="110"/>
  <c r="AC185" i="110"/>
  <c r="AA185" i="110" s="1"/>
  <c r="BD187" i="110" a="1"/>
  <c r="BD187" i="110" s="1"/>
  <c r="BU187" i="110" s="1"/>
  <c r="AU187" i="110" a="1"/>
  <c r="AU187" i="110" s="1"/>
  <c r="BF187" i="110" a="1"/>
  <c r="BF187" i="110" s="1"/>
  <c r="BW187" i="110" s="1"/>
  <c r="BB187" i="110" a="1"/>
  <c r="BB187" i="110" s="1"/>
  <c r="BS187" i="110" s="1"/>
  <c r="BA187" i="110" a="1"/>
  <c r="BA187" i="110" s="1"/>
  <c r="AL187" i="110" a="1"/>
  <c r="AL187" i="110" s="1"/>
  <c r="AR187" i="110" a="1"/>
  <c r="AR187" i="110" s="1"/>
  <c r="AJ187" i="110" a="1"/>
  <c r="AJ187" i="110" s="1"/>
  <c r="AN187" i="110" a="1"/>
  <c r="AN187" i="110" s="1"/>
  <c r="BK187" i="110" s="1"/>
  <c r="AX187" i="110" a="1"/>
  <c r="AX187" i="110" s="1"/>
  <c r="BG187" i="110" a="1"/>
  <c r="BG187" i="110" s="1"/>
  <c r="AW187" i="110" a="1"/>
  <c r="AW187" i="110" s="1"/>
  <c r="BE187" i="110" a="1"/>
  <c r="BE187" i="110" s="1"/>
  <c r="BV187" i="110" s="1"/>
  <c r="BC187" i="110" a="1"/>
  <c r="BC187" i="110" s="1"/>
  <c r="BT187" i="110" s="1"/>
  <c r="AT187" i="110" a="1"/>
  <c r="AT187" i="110" s="1"/>
  <c r="AK187" i="110" a="1"/>
  <c r="AK187" i="110" s="1"/>
  <c r="AM187" i="110" a="1"/>
  <c r="AM187" i="110" s="1"/>
  <c r="AZ187" i="110" a="1"/>
  <c r="AZ187" i="110" s="1"/>
  <c r="BR187" i="110" s="1"/>
  <c r="AV187" i="110" a="1"/>
  <c r="AV187" i="110" s="1"/>
  <c r="BH187" i="110" a="1"/>
  <c r="BH187" i="110" s="1"/>
  <c r="BJ186" i="110"/>
  <c r="AY187" i="110" a="1"/>
  <c r="AY187" i="110" s="1"/>
  <c r="AO187" i="110" a="1"/>
  <c r="AO187" i="110" s="1"/>
  <c r="BL187" i="110" s="1"/>
  <c r="M189" i="110"/>
  <c r="H189" i="110" s="1"/>
  <c r="E190" i="110" s="1"/>
  <c r="F190" i="110" s="1"/>
  <c r="Q188" i="110"/>
  <c r="N188" i="110"/>
  <c r="W188" i="110"/>
  <c r="P188" i="110"/>
  <c r="BP186" i="110"/>
  <c r="BQ186" i="110" s="1"/>
  <c r="AP187" i="110" a="1"/>
  <c r="AP187" i="110" s="1"/>
  <c r="BM187" i="110" s="1"/>
  <c r="G189" i="110" l="1"/>
  <c r="O189" i="110" s="1"/>
  <c r="BO187" i="110"/>
  <c r="BI187" i="110"/>
  <c r="BJ187" i="110" s="1"/>
  <c r="BX187" i="110"/>
  <c r="I189" i="110"/>
  <c r="AC186" i="110"/>
  <c r="AA186" i="110" s="1"/>
  <c r="Z186" i="110"/>
  <c r="T186" i="110" s="1"/>
  <c r="BP187" i="110"/>
  <c r="BQ187" i="110" s="1"/>
  <c r="M190" i="110"/>
  <c r="I190" i="110" s="1"/>
  <c r="AM188" i="110" a="1"/>
  <c r="AM188" i="110" s="1"/>
  <c r="V188" i="110"/>
  <c r="AR188" i="110" a="1"/>
  <c r="AR188" i="110" s="1"/>
  <c r="AQ188" i="110" a="1"/>
  <c r="AQ188" i="110" s="1"/>
  <c r="AJ188" i="110" a="1"/>
  <c r="AJ188" i="110" s="1"/>
  <c r="BG188" i="110" a="1"/>
  <c r="BG188" i="110" s="1"/>
  <c r="AF188" i="110"/>
  <c r="AG188" i="110" s="1"/>
  <c r="AH188" i="110" s="1"/>
  <c r="AI188" i="110" s="1"/>
  <c r="AY188" i="110" s="1" a="1"/>
  <c r="AY188" i="110" s="1"/>
  <c r="AL188" i="110" a="1"/>
  <c r="AL188" i="110" s="1"/>
  <c r="AX188" i="110" a="1"/>
  <c r="AX188" i="110" s="1"/>
  <c r="BD188" i="110" a="1"/>
  <c r="BD188" i="110" s="1"/>
  <c r="BU188" i="110" s="1"/>
  <c r="BB188" i="110" a="1"/>
  <c r="BB188" i="110" s="1"/>
  <c r="BS188" i="110" s="1"/>
  <c r="AB186" i="110"/>
  <c r="AD186" i="110"/>
  <c r="N189" i="110"/>
  <c r="W189" i="110"/>
  <c r="Q189" i="110"/>
  <c r="P189" i="110"/>
  <c r="AC187" i="110" l="1"/>
  <c r="AA187" i="110" s="1"/>
  <c r="AE186" i="110"/>
  <c r="Y186" i="110"/>
  <c r="S186" i="110" s="1"/>
  <c r="H190" i="110"/>
  <c r="E191" i="110" s="1"/>
  <c r="F191" i="110" s="1"/>
  <c r="M191" i="110" s="1"/>
  <c r="G191" i="110" s="1"/>
  <c r="O191" i="110" s="1"/>
  <c r="AB187" i="110"/>
  <c r="AD187" i="110"/>
  <c r="G190" i="110"/>
  <c r="O190" i="110" s="1"/>
  <c r="W190" i="110" s="1"/>
  <c r="Z187" i="110"/>
  <c r="AO188" i="110" a="1"/>
  <c r="AO188" i="110" s="1"/>
  <c r="BL188" i="110" s="1"/>
  <c r="AW188" i="110" a="1"/>
  <c r="AW188" i="110" s="1"/>
  <c r="BE188" i="110" a="1"/>
  <c r="BE188" i="110" s="1"/>
  <c r="BV188" i="110" s="1"/>
  <c r="BF188" i="110" a="1"/>
  <c r="BF188" i="110" s="1"/>
  <c r="BW188" i="110" s="1"/>
  <c r="BA188" i="110" a="1"/>
  <c r="BA188" i="110" s="1"/>
  <c r="AU188" i="110" a="1"/>
  <c r="AU188" i="110" s="1"/>
  <c r="AS188" i="110" a="1"/>
  <c r="AS188" i="110" s="1"/>
  <c r="BN188" i="110" s="1"/>
  <c r="AP188" i="110" a="1"/>
  <c r="AP188" i="110" s="1"/>
  <c r="BM188" i="110" s="1"/>
  <c r="AZ188" i="110" a="1"/>
  <c r="AZ188" i="110" s="1"/>
  <c r="BH188" i="110" a="1"/>
  <c r="BH188" i="110" s="1"/>
  <c r="BX188" i="110" s="1"/>
  <c r="AK188" i="110" a="1"/>
  <c r="AK188" i="110" s="1"/>
  <c r="BI188" i="110" s="1"/>
  <c r="AT188" i="110" a="1"/>
  <c r="AT188" i="110" s="1"/>
  <c r="BC188" i="110" a="1"/>
  <c r="BC188" i="110" s="1"/>
  <c r="BT188" i="110" s="1"/>
  <c r="AO189" i="110" a="1"/>
  <c r="AO189" i="110" s="1"/>
  <c r="BL189" i="110" s="1"/>
  <c r="AQ189" i="110" a="1"/>
  <c r="AQ189" i="110" s="1"/>
  <c r="AF189" i="110"/>
  <c r="AG189" i="110" s="1"/>
  <c r="AH189" i="110" s="1"/>
  <c r="AI189" i="110" s="1"/>
  <c r="AN189" i="110" s="1" a="1"/>
  <c r="AN189" i="110" s="1"/>
  <c r="BK189" i="110" s="1"/>
  <c r="V189" i="110"/>
  <c r="AV188" i="110" a="1"/>
  <c r="AV188" i="110" s="1"/>
  <c r="BP188" i="110" s="1"/>
  <c r="BQ188" i="110" s="1"/>
  <c r="AN188" i="110" a="1"/>
  <c r="AN188" i="110" s="1"/>
  <c r="BK188" i="110" s="1"/>
  <c r="BO188" i="110" l="1"/>
  <c r="P190" i="110"/>
  <c r="Q190" i="110"/>
  <c r="N190" i="110"/>
  <c r="AU189" i="110" a="1"/>
  <c r="AU189" i="110" s="1"/>
  <c r="AV189" i="110" a="1"/>
  <c r="AV189" i="110" s="1"/>
  <c r="BF189" i="110" a="1"/>
  <c r="BF189" i="110" s="1"/>
  <c r="BW189" i="110" s="1"/>
  <c r="BG189" i="110" a="1"/>
  <c r="BG189" i="110" s="1"/>
  <c r="AP189" i="110" a="1"/>
  <c r="AP189" i="110" s="1"/>
  <c r="BH189" i="110" a="1"/>
  <c r="BH189" i="110" s="1"/>
  <c r="AT189" i="110" a="1"/>
  <c r="AT189" i="110" s="1"/>
  <c r="BC189" i="110" a="1"/>
  <c r="BC189" i="110" s="1"/>
  <c r="BT189" i="110" s="1"/>
  <c r="AY189" i="110" a="1"/>
  <c r="AY189" i="110" s="1"/>
  <c r="AM189" i="110" a="1"/>
  <c r="AM189" i="110" s="1"/>
  <c r="AR189" i="110" a="1"/>
  <c r="AR189" i="110" s="1"/>
  <c r="BB189" i="110" a="1"/>
  <c r="BB189" i="110" s="1"/>
  <c r="BS189" i="110" s="1"/>
  <c r="BA189" i="110" a="1"/>
  <c r="BA189" i="110" s="1"/>
  <c r="T187" i="110"/>
  <c r="Y187" i="110"/>
  <c r="S187" i="110" s="1"/>
  <c r="BD189" i="110" a="1"/>
  <c r="BD189" i="110" s="1"/>
  <c r="BU189" i="110" s="1"/>
  <c r="AS189" i="110" a="1"/>
  <c r="AS189" i="110" s="1"/>
  <c r="BN189" i="110" s="1"/>
  <c r="AK189" i="110" a="1"/>
  <c r="AK189" i="110" s="1"/>
  <c r="AE187" i="110"/>
  <c r="BJ188" i="110"/>
  <c r="P191" i="110"/>
  <c r="Q191" i="110"/>
  <c r="N191" i="110"/>
  <c r="W191" i="110"/>
  <c r="AZ189" i="110" a="1"/>
  <c r="AZ189" i="110" s="1"/>
  <c r="BR189" i="110" s="1"/>
  <c r="H191" i="110"/>
  <c r="E192" i="110" s="1"/>
  <c r="F192" i="110" s="1"/>
  <c r="AX189" i="110" a="1"/>
  <c r="AX189" i="110" s="1"/>
  <c r="I191" i="110"/>
  <c r="AJ189" i="110" a="1"/>
  <c r="AJ189" i="110" s="1"/>
  <c r="BR188" i="110"/>
  <c r="AC188" i="110" s="1"/>
  <c r="AA188" i="110" s="1"/>
  <c r="AL189" i="110" a="1"/>
  <c r="AL189" i="110" s="1"/>
  <c r="AW189" i="110" a="1"/>
  <c r="AW189" i="110" s="1"/>
  <c r="BE189" i="110" a="1"/>
  <c r="BE189" i="110" s="1"/>
  <c r="BV189" i="110" s="1"/>
  <c r="V190" i="110"/>
  <c r="AF190" i="110"/>
  <c r="AG190" i="110" s="1"/>
  <c r="AH190" i="110" s="1"/>
  <c r="AI190" i="110" s="1"/>
  <c r="AJ190" i="110" s="1" a="1"/>
  <c r="AJ190" i="110" s="1"/>
  <c r="AK190" i="110" l="1" a="1"/>
  <c r="AK190" i="110" s="1"/>
  <c r="AS190" i="110" a="1"/>
  <c r="AS190" i="110" s="1"/>
  <c r="BN190" i="110" s="1"/>
  <c r="AP190" i="110" a="1"/>
  <c r="AP190" i="110" s="1"/>
  <c r="AX190" i="110" a="1"/>
  <c r="AX190" i="110" s="1"/>
  <c r="AR190" i="110" a="1"/>
  <c r="AR190" i="110" s="1"/>
  <c r="AQ190" i="110" a="1"/>
  <c r="AQ190" i="110" s="1"/>
  <c r="BH190" i="110" a="1"/>
  <c r="BH190" i="110" s="1"/>
  <c r="AZ190" i="110" a="1"/>
  <c r="AZ190" i="110" s="1"/>
  <c r="AT190" i="110" a="1"/>
  <c r="AT190" i="110" s="1"/>
  <c r="BD190" i="110" a="1"/>
  <c r="BD190" i="110" s="1"/>
  <c r="BU190" i="110" s="1"/>
  <c r="BO189" i="110"/>
  <c r="BX189" i="110"/>
  <c r="AY190" i="110" a="1"/>
  <c r="AY190" i="110" s="1"/>
  <c r="BA190" i="110" a="1"/>
  <c r="BA190" i="110" s="1"/>
  <c r="BB190" i="110" a="1"/>
  <c r="BB190" i="110" s="1"/>
  <c r="BS190" i="110" s="1"/>
  <c r="BM189" i="110"/>
  <c r="BC190" i="110" a="1"/>
  <c r="BC190" i="110" s="1"/>
  <c r="BT190" i="110" s="1"/>
  <c r="AV190" i="110" a="1"/>
  <c r="AV190" i="110" s="1"/>
  <c r="BP189" i="110"/>
  <c r="BQ189" i="110" s="1"/>
  <c r="AN190" i="110" a="1"/>
  <c r="AN190" i="110" s="1"/>
  <c r="BK190" i="110" s="1"/>
  <c r="AM190" i="110" a="1"/>
  <c r="AM190" i="110" s="1"/>
  <c r="BI189" i="110"/>
  <c r="BF190" i="110" a="1"/>
  <c r="BF190" i="110" s="1"/>
  <c r="BW190" i="110" s="1"/>
  <c r="M192" i="110"/>
  <c r="I192" i="110" s="1"/>
  <c r="AL190" i="110" a="1"/>
  <c r="AL190" i="110" s="1"/>
  <c r="BI190" i="110" s="1"/>
  <c r="AO190" i="110" a="1"/>
  <c r="AO190" i="110" s="1"/>
  <c r="BL190" i="110" s="1"/>
  <c r="BA191" i="110" a="1"/>
  <c r="BA191" i="110" s="1"/>
  <c r="BF191" i="110" a="1"/>
  <c r="BF191" i="110" s="1"/>
  <c r="BW191" i="110" s="1"/>
  <c r="AP191" i="110" a="1"/>
  <c r="AP191" i="110" s="1"/>
  <c r="V191" i="110"/>
  <c r="AR191" i="110" a="1"/>
  <c r="AR191" i="110" s="1"/>
  <c r="AF191" i="110"/>
  <c r="AG191" i="110" s="1"/>
  <c r="AH191" i="110" s="1"/>
  <c r="AI191" i="110" s="1"/>
  <c r="BE191" i="110" s="1" a="1"/>
  <c r="BE191" i="110" s="1"/>
  <c r="BV191" i="110" s="1"/>
  <c r="AY191" i="110" a="1"/>
  <c r="AY191" i="110" s="1"/>
  <c r="AU191" i="110" a="1"/>
  <c r="AU191" i="110" s="1"/>
  <c r="AW190" i="110" a="1"/>
  <c r="AW190" i="110" s="1"/>
  <c r="BE190" i="110" a="1"/>
  <c r="BE190" i="110" s="1"/>
  <c r="BV190" i="110" s="1"/>
  <c r="BG190" i="110" a="1"/>
  <c r="BG190" i="110" s="1"/>
  <c r="AU190" i="110" a="1"/>
  <c r="AU190" i="110" s="1"/>
  <c r="BO190" i="110" s="1"/>
  <c r="Z188" i="110"/>
  <c r="AD188" i="110"/>
  <c r="AB188" i="110"/>
  <c r="AT191" i="110" l="1" a="1"/>
  <c r="AT191" i="110" s="1"/>
  <c r="BO191" i="110" s="1"/>
  <c r="AM191" i="110" a="1"/>
  <c r="AM191" i="110" s="1"/>
  <c r="BB191" i="110" a="1"/>
  <c r="BB191" i="110" s="1"/>
  <c r="BS191" i="110" s="1"/>
  <c r="BX190" i="110"/>
  <c r="BG191" i="110" a="1"/>
  <c r="BG191" i="110" s="1"/>
  <c r="BP190" i="110"/>
  <c r="BQ190" i="110" s="1"/>
  <c r="AV191" i="110" a="1"/>
  <c r="AV191" i="110" s="1"/>
  <c r="BM190" i="110"/>
  <c r="BD191" i="110" a="1"/>
  <c r="BD191" i="110" s="1"/>
  <c r="BU191" i="110" s="1"/>
  <c r="BC191" i="110" a="1"/>
  <c r="BC191" i="110" s="1"/>
  <c r="BT191" i="110" s="1"/>
  <c r="BR190" i="110"/>
  <c r="AL191" i="110" a="1"/>
  <c r="AL191" i="110" s="1"/>
  <c r="BJ190" i="110"/>
  <c r="AK191" i="110" a="1"/>
  <c r="AK191" i="110" s="1"/>
  <c r="AQ191" i="110" a="1"/>
  <c r="AQ191" i="110" s="1"/>
  <c r="BM191" i="110" s="1"/>
  <c r="AX191" i="110" a="1"/>
  <c r="AX191" i="110" s="1"/>
  <c r="BH191" i="110" a="1"/>
  <c r="BH191" i="110" s="1"/>
  <c r="G192" i="110"/>
  <c r="O192" i="110" s="1"/>
  <c r="AJ191" i="110" a="1"/>
  <c r="AJ191" i="110" s="1"/>
  <c r="H192" i="110"/>
  <c r="E193" i="110" s="1"/>
  <c r="F193" i="110" s="1"/>
  <c r="AS191" i="110" a="1"/>
  <c r="AS191" i="110" s="1"/>
  <c r="BN191" i="110" s="1"/>
  <c r="AZ191" i="110" a="1"/>
  <c r="AZ191" i="110" s="1"/>
  <c r="BR191" i="110" s="1"/>
  <c r="AC189" i="110"/>
  <c r="AA189" i="110" s="1"/>
  <c r="BJ189" i="110"/>
  <c r="Z189" i="110"/>
  <c r="T188" i="110"/>
  <c r="Y188" i="110"/>
  <c r="S188" i="110" s="1"/>
  <c r="AE188" i="110"/>
  <c r="AN191" i="110" a="1"/>
  <c r="AN191" i="110" s="1"/>
  <c r="BK191" i="110" s="1"/>
  <c r="AO191" i="110" a="1"/>
  <c r="AO191" i="110" s="1"/>
  <c r="BL191" i="110" s="1"/>
  <c r="AW191" i="110" a="1"/>
  <c r="AW191" i="110" s="1"/>
  <c r="AC190" i="110" l="1"/>
  <c r="AA190" i="110" s="1"/>
  <c r="Z190" i="110"/>
  <c r="T190" i="110" s="1"/>
  <c r="BX191" i="110"/>
  <c r="BP191" i="110"/>
  <c r="BQ191" i="110" s="1"/>
  <c r="M193" i="110"/>
  <c r="I193" i="110" s="1"/>
  <c r="BI191" i="110"/>
  <c r="P192" i="110"/>
  <c r="Q192" i="110"/>
  <c r="N192" i="110"/>
  <c r="W192" i="110"/>
  <c r="AD190" i="110"/>
  <c r="AB190" i="110"/>
  <c r="AE190" i="110" s="1"/>
  <c r="Y190" i="110"/>
  <c r="S190" i="110" s="1"/>
  <c r="T189" i="110"/>
  <c r="Y189" i="110"/>
  <c r="S189" i="110" s="1"/>
  <c r="AD189" i="110"/>
  <c r="AB189" i="110"/>
  <c r="AE189" i="110" s="1"/>
  <c r="H193" i="110" l="1"/>
  <c r="E194" i="110" s="1"/>
  <c r="F194" i="110" s="1"/>
  <c r="M194" i="110" s="1"/>
  <c r="G194" i="110" s="1"/>
  <c r="O194" i="110" s="1"/>
  <c r="G193" i="110"/>
  <c r="O193" i="110" s="1"/>
  <c r="Q193" i="110" s="1"/>
  <c r="V192" i="110"/>
  <c r="AT192" i="110" a="1"/>
  <c r="AT192" i="110" s="1"/>
  <c r="AR192" i="110" a="1"/>
  <c r="AR192" i="110" s="1"/>
  <c r="AN192" i="110" a="1"/>
  <c r="AN192" i="110" s="1"/>
  <c r="BK192" i="110" s="1"/>
  <c r="AX192" i="110" a="1"/>
  <c r="AX192" i="110" s="1"/>
  <c r="AM192" i="110" a="1"/>
  <c r="AM192" i="110" s="1"/>
  <c r="AU192" i="110" a="1"/>
  <c r="AU192" i="110" s="1"/>
  <c r="BD192" i="110" a="1"/>
  <c r="BD192" i="110" s="1"/>
  <c r="BU192" i="110" s="1"/>
  <c r="BB192" i="110" a="1"/>
  <c r="BB192" i="110" s="1"/>
  <c r="BS192" i="110" s="1"/>
  <c r="AF192" i="110"/>
  <c r="AG192" i="110" s="1"/>
  <c r="AH192" i="110" s="1"/>
  <c r="AI192" i="110" s="1"/>
  <c r="AS192" i="110" s="1" a="1"/>
  <c r="AS192" i="110" s="1"/>
  <c r="BN192" i="110" s="1"/>
  <c r="AK192" i="110" a="1"/>
  <c r="AK192" i="110" s="1"/>
  <c r="W193" i="110"/>
  <c r="Z191" i="110"/>
  <c r="BJ191" i="110"/>
  <c r="AC191" i="110"/>
  <c r="AA191" i="110" s="1"/>
  <c r="N193" i="110" l="1"/>
  <c r="P193" i="110"/>
  <c r="AJ192" i="110" a="1"/>
  <c r="AJ192" i="110" s="1"/>
  <c r="AZ192" i="110" a="1"/>
  <c r="AZ192" i="110" s="1"/>
  <c r="BF192" i="110" a="1"/>
  <c r="BF192" i="110" s="1"/>
  <c r="BW192" i="110" s="1"/>
  <c r="H194" i="110"/>
  <c r="E195" i="110" s="1"/>
  <c r="F195" i="110" s="1"/>
  <c r="BC192" i="110" a="1"/>
  <c r="BC192" i="110" s="1"/>
  <c r="BT192" i="110" s="1"/>
  <c r="AV192" i="110" a="1"/>
  <c r="AV192" i="110" s="1"/>
  <c r="AL192" i="110" a="1"/>
  <c r="AL192" i="110" s="1"/>
  <c r="AQ192" i="110" a="1"/>
  <c r="AQ192" i="110" s="1"/>
  <c r="BA192" i="110" a="1"/>
  <c r="BA192" i="110" s="1"/>
  <c r="AP192" i="110" a="1"/>
  <c r="AP192" i="110" s="1"/>
  <c r="AY192" i="110" a="1"/>
  <c r="AY192" i="110" s="1"/>
  <c r="BH192" i="110" a="1"/>
  <c r="BH192" i="110" s="1"/>
  <c r="AO192" i="110" a="1"/>
  <c r="AO192" i="110" s="1"/>
  <c r="BL192" i="110" s="1"/>
  <c r="AW192" i="110" a="1"/>
  <c r="AW192" i="110" s="1"/>
  <c r="BE192" i="110" a="1"/>
  <c r="BE192" i="110" s="1"/>
  <c r="BV192" i="110" s="1"/>
  <c r="BG192" i="110" a="1"/>
  <c r="BG192" i="110" s="1"/>
  <c r="BO192" i="110"/>
  <c r="N194" i="110"/>
  <c r="P194" i="110"/>
  <c r="Q194" i="110"/>
  <c r="W194" i="110"/>
  <c r="I194" i="110"/>
  <c r="M195" i="110"/>
  <c r="H195" i="110" s="1"/>
  <c r="E196" i="110" s="1"/>
  <c r="F196" i="110" s="1"/>
  <c r="AD191" i="110"/>
  <c r="AB191" i="110"/>
  <c r="AE191" i="110" s="1"/>
  <c r="T191" i="110"/>
  <c r="Y191" i="110"/>
  <c r="S191" i="110" s="1"/>
  <c r="V193" i="110"/>
  <c r="AF193" i="110"/>
  <c r="AG193" i="110" s="1"/>
  <c r="AH193" i="110" s="1"/>
  <c r="AI193" i="110" s="1"/>
  <c r="AO193" i="110" s="1" a="1"/>
  <c r="AO193" i="110" s="1"/>
  <c r="BL193" i="110" s="1"/>
  <c r="AM193" i="110" a="1"/>
  <c r="AM193" i="110" s="1"/>
  <c r="AJ193" i="110" l="1" a="1"/>
  <c r="AJ193" i="110" s="1"/>
  <c r="BX192" i="110"/>
  <c r="BM192" i="110"/>
  <c r="AN193" i="110" a="1"/>
  <c r="AN193" i="110" s="1"/>
  <c r="BK193" i="110" s="1"/>
  <c r="BB193" i="110" a="1"/>
  <c r="BB193" i="110" s="1"/>
  <c r="BS193" i="110" s="1"/>
  <c r="AS193" i="110" a="1"/>
  <c r="AS193" i="110" s="1"/>
  <c r="BN193" i="110" s="1"/>
  <c r="BG193" i="110" a="1"/>
  <c r="BG193" i="110" s="1"/>
  <c r="BC193" i="110" a="1"/>
  <c r="BC193" i="110" s="1"/>
  <c r="BT193" i="110" s="1"/>
  <c r="AQ193" i="110" a="1"/>
  <c r="AQ193" i="110" s="1"/>
  <c r="BR192" i="110"/>
  <c r="BI192" i="110"/>
  <c r="BP192" i="110"/>
  <c r="BQ192" i="110" s="1"/>
  <c r="AL193" i="110" a="1"/>
  <c r="AL193" i="110" s="1"/>
  <c r="AK193" i="110" a="1"/>
  <c r="AK193" i="110" s="1"/>
  <c r="BF193" i="110" a="1"/>
  <c r="BF193" i="110" s="1"/>
  <c r="BW193" i="110" s="1"/>
  <c r="AY193" i="110" a="1"/>
  <c r="AY193" i="110" s="1"/>
  <c r="AV193" i="110" a="1"/>
  <c r="AV193" i="110" s="1"/>
  <c r="AX193" i="110" a="1"/>
  <c r="AX193" i="110" s="1"/>
  <c r="BA193" i="110" a="1"/>
  <c r="BA193" i="110" s="1"/>
  <c r="AP193" i="110" a="1"/>
  <c r="AP193" i="110" s="1"/>
  <c r="BH193" i="110" a="1"/>
  <c r="BH193" i="110" s="1"/>
  <c r="BX193" i="110" s="1"/>
  <c r="M196" i="110"/>
  <c r="G196" i="110" s="1"/>
  <c r="O196" i="110" s="1"/>
  <c r="AW193" i="110" a="1"/>
  <c r="AW193" i="110" s="1"/>
  <c r="BE193" i="110" a="1"/>
  <c r="BE193" i="110" s="1"/>
  <c r="BV193" i="110" s="1"/>
  <c r="I195" i="110"/>
  <c r="AZ193" i="110" a="1"/>
  <c r="AZ193" i="110" s="1"/>
  <c r="G195" i="110"/>
  <c r="O195" i="110" s="1"/>
  <c r="AR193" i="110" a="1"/>
  <c r="AR193" i="110" s="1"/>
  <c r="AU193" i="110" a="1"/>
  <c r="AU193" i="110" s="1"/>
  <c r="BA194" i="110" a="1"/>
  <c r="BA194" i="110" s="1"/>
  <c r="AR194" i="110" a="1"/>
  <c r="AR194" i="110" s="1"/>
  <c r="AM194" i="110" a="1"/>
  <c r="AM194" i="110" s="1"/>
  <c r="AL194" i="110" a="1"/>
  <c r="AL194" i="110" s="1"/>
  <c r="BH194" i="110" a="1"/>
  <c r="BH194" i="110" s="1"/>
  <c r="AQ194" i="110" a="1"/>
  <c r="AQ194" i="110" s="1"/>
  <c r="AT194" i="110" a="1"/>
  <c r="AT194" i="110" s="1"/>
  <c r="AV194" i="110" a="1"/>
  <c r="AV194" i="110" s="1"/>
  <c r="BB194" i="110" a="1"/>
  <c r="BB194" i="110" s="1"/>
  <c r="BS194" i="110" s="1"/>
  <c r="V194" i="110"/>
  <c r="BD194" i="110" a="1"/>
  <c r="BD194" i="110" s="1"/>
  <c r="BU194" i="110" s="1"/>
  <c r="AF194" i="110"/>
  <c r="AG194" i="110" s="1"/>
  <c r="AH194" i="110" s="1"/>
  <c r="AI194" i="110" s="1"/>
  <c r="BF194" i="110" s="1" a="1"/>
  <c r="BF194" i="110" s="1"/>
  <c r="BW194" i="110" s="1"/>
  <c r="AJ194" i="110" a="1"/>
  <c r="AJ194" i="110" s="1"/>
  <c r="BD193" i="110" a="1"/>
  <c r="BD193" i="110" s="1"/>
  <c r="BU193" i="110" s="1"/>
  <c r="AT193" i="110" a="1"/>
  <c r="AT193" i="110" s="1"/>
  <c r="BO193" i="110" l="1"/>
  <c r="AU194" i="110" a="1"/>
  <c r="AU194" i="110" s="1"/>
  <c r="BO194" i="110" s="1"/>
  <c r="BM193" i="110"/>
  <c r="AC192" i="110"/>
  <c r="AA192" i="110" s="1"/>
  <c r="Z192" i="110"/>
  <c r="BJ192" i="110"/>
  <c r="BI193" i="110"/>
  <c r="BJ193" i="110" s="1"/>
  <c r="BP193" i="110"/>
  <c r="BQ193" i="110" s="1"/>
  <c r="AN194" i="110" a="1"/>
  <c r="AN194" i="110" s="1"/>
  <c r="BK194" i="110" s="1"/>
  <c r="BR193" i="110"/>
  <c r="AX194" i="110" a="1"/>
  <c r="AX194" i="110" s="1"/>
  <c r="AP194" i="110" a="1"/>
  <c r="AP194" i="110" s="1"/>
  <c r="BM194" i="110" s="1"/>
  <c r="Q196" i="110"/>
  <c r="W196" i="110"/>
  <c r="N196" i="110"/>
  <c r="P196" i="110"/>
  <c r="AY194" i="110" a="1"/>
  <c r="AY194" i="110" s="1"/>
  <c r="W195" i="110"/>
  <c r="P195" i="110"/>
  <c r="N195" i="110"/>
  <c r="Q195" i="110"/>
  <c r="BG194" i="110" a="1"/>
  <c r="BG194" i="110" s="1"/>
  <c r="BX194" i="110" s="1"/>
  <c r="AK194" i="110" a="1"/>
  <c r="AK194" i="110" s="1"/>
  <c r="BI194" i="110" s="1"/>
  <c r="AZ194" i="110" a="1"/>
  <c r="AZ194" i="110" s="1"/>
  <c r="BR194" i="110" s="1"/>
  <c r="H196" i="110"/>
  <c r="E197" i="110" s="1"/>
  <c r="F197" i="110" s="1"/>
  <c r="AO194" i="110" a="1"/>
  <c r="AO194" i="110" s="1"/>
  <c r="BL194" i="110" s="1"/>
  <c r="I196" i="110"/>
  <c r="AW194" i="110" a="1"/>
  <c r="AW194" i="110" s="1"/>
  <c r="BE194" i="110" a="1"/>
  <c r="BE194" i="110" s="1"/>
  <c r="BV194" i="110" s="1"/>
  <c r="AS194" i="110" a="1"/>
  <c r="AS194" i="110" s="1"/>
  <c r="BN194" i="110" s="1"/>
  <c r="BC194" i="110" a="1"/>
  <c r="BC194" i="110" s="1"/>
  <c r="BT194" i="110" s="1"/>
  <c r="AB193" i="110" l="1"/>
  <c r="AC193" i="110"/>
  <c r="AA193" i="110" s="1"/>
  <c r="Z193" i="110"/>
  <c r="AD193" i="110"/>
  <c r="AB192" i="110"/>
  <c r="AE192" i="110" s="1"/>
  <c r="AD192" i="110"/>
  <c r="T192" i="110"/>
  <c r="Y192" i="110"/>
  <c r="S192" i="110" s="1"/>
  <c r="BP194" i="110"/>
  <c r="BQ194" i="110" s="1"/>
  <c r="BJ194" i="110"/>
  <c r="V195" i="110"/>
  <c r="BH195" i="110" a="1"/>
  <c r="BH195" i="110" s="1"/>
  <c r="AF195" i="110"/>
  <c r="AG195" i="110" s="1"/>
  <c r="AH195" i="110" s="1"/>
  <c r="AI195" i="110" s="1"/>
  <c r="BF195" i="110" s="1" a="1"/>
  <c r="BF195" i="110" s="1"/>
  <c r="BW195" i="110" s="1"/>
  <c r="AS195" i="110" a="1"/>
  <c r="AS195" i="110" s="1"/>
  <c r="BN195" i="110" s="1"/>
  <c r="AQ195" i="110" a="1"/>
  <c r="AQ195" i="110" s="1"/>
  <c r="AJ195" i="110" a="1"/>
  <c r="AJ195" i="110" s="1"/>
  <c r="AZ195" i="110" a="1"/>
  <c r="AZ195" i="110" s="1"/>
  <c r="AR195" i="110" a="1"/>
  <c r="AR195" i="110" s="1"/>
  <c r="AV195" i="110" a="1"/>
  <c r="AV195" i="110" s="1"/>
  <c r="AP195" i="110" a="1"/>
  <c r="AP195" i="110" s="1"/>
  <c r="AM195" i="110" a="1"/>
  <c r="AM195" i="110" s="1"/>
  <c r="AL195" i="110" a="1"/>
  <c r="AL195" i="110" s="1"/>
  <c r="V196" i="110"/>
  <c r="AF196" i="110"/>
  <c r="AG196" i="110" s="1"/>
  <c r="AH196" i="110" s="1"/>
  <c r="AI196" i="110" s="1"/>
  <c r="AT196" i="110" s="1" a="1"/>
  <c r="AT196" i="110" s="1"/>
  <c r="AL196" i="110" a="1"/>
  <c r="AL196" i="110" s="1"/>
  <c r="T193" i="110"/>
  <c r="Y193" i="110"/>
  <c r="S193" i="110" s="1"/>
  <c r="AE193" i="110"/>
  <c r="M197" i="110"/>
  <c r="I197" i="110" s="1"/>
  <c r="Z194" i="110" l="1"/>
  <c r="AC194" i="110"/>
  <c r="AA194" i="110" s="1"/>
  <c r="G197" i="110"/>
  <c r="O197" i="110" s="1"/>
  <c r="P197" i="110" s="1"/>
  <c r="H197" i="110"/>
  <c r="E198" i="110" s="1"/>
  <c r="F198" i="110" s="1"/>
  <c r="M198" i="110" s="1"/>
  <c r="G198" i="110" s="1"/>
  <c r="O198" i="110" s="1"/>
  <c r="AX196" i="110" a="1"/>
  <c r="AX196" i="110" s="1"/>
  <c r="BM195" i="110"/>
  <c r="AY196" i="110" a="1"/>
  <c r="AY196" i="110" s="1"/>
  <c r="BG196" i="110" a="1"/>
  <c r="BG196" i="110" s="1"/>
  <c r="AZ196" i="110" a="1"/>
  <c r="AZ196" i="110" s="1"/>
  <c r="BC196" i="110" a="1"/>
  <c r="BC196" i="110" s="1"/>
  <c r="BT196" i="110" s="1"/>
  <c r="AN195" i="110" a="1"/>
  <c r="AN195" i="110" s="1"/>
  <c r="BK195" i="110" s="1"/>
  <c r="AR196" i="110" a="1"/>
  <c r="AR196" i="110" s="1"/>
  <c r="AX195" i="110" a="1"/>
  <c r="AX195" i="110" s="1"/>
  <c r="BA196" i="110" a="1"/>
  <c r="BA196" i="110" s="1"/>
  <c r="AM196" i="110" a="1"/>
  <c r="AM196" i="110" s="1"/>
  <c r="BG195" i="110" a="1"/>
  <c r="BG195" i="110" s="1"/>
  <c r="BX195" i="110" s="1"/>
  <c r="BB196" i="110" a="1"/>
  <c r="BB196" i="110" s="1"/>
  <c r="BS196" i="110" s="1"/>
  <c r="W197" i="110"/>
  <c r="Q197" i="110"/>
  <c r="BD196" i="110" a="1"/>
  <c r="BD196" i="110" s="1"/>
  <c r="BU196" i="110" s="1"/>
  <c r="AO196" i="110" a="1"/>
  <c r="AO196" i="110" s="1"/>
  <c r="BL196" i="110" s="1"/>
  <c r="AU195" i="110" a="1"/>
  <c r="AU195" i="110" s="1"/>
  <c r="AU196" i="110" a="1"/>
  <c r="AU196" i="110" s="1"/>
  <c r="BO196" i="110" s="1"/>
  <c r="AW196" i="110" a="1"/>
  <c r="AW196" i="110" s="1"/>
  <c r="BC195" i="110" a="1"/>
  <c r="BC195" i="110" s="1"/>
  <c r="BT195" i="110" s="1"/>
  <c r="BH196" i="110" a="1"/>
  <c r="BH196" i="110" s="1"/>
  <c r="BX196" i="110" s="1"/>
  <c r="BE196" i="110" a="1"/>
  <c r="BE196" i="110" s="1"/>
  <c r="BV196" i="110" s="1"/>
  <c r="AY195" i="110" a="1"/>
  <c r="AY195" i="110" s="1"/>
  <c r="AO195" i="110" a="1"/>
  <c r="AO195" i="110" s="1"/>
  <c r="BL195" i="110" s="1"/>
  <c r="AJ196" i="110" a="1"/>
  <c r="AJ196" i="110" s="1"/>
  <c r="BF196" i="110" a="1"/>
  <c r="BF196" i="110" s="1"/>
  <c r="BW196" i="110" s="1"/>
  <c r="AW195" i="110" a="1"/>
  <c r="AW195" i="110" s="1"/>
  <c r="AN196" i="110" a="1"/>
  <c r="AN196" i="110" s="1"/>
  <c r="BK196" i="110" s="1"/>
  <c r="BE195" i="110" a="1"/>
  <c r="BE195" i="110" s="1"/>
  <c r="BV195" i="110" s="1"/>
  <c r="AP196" i="110" a="1"/>
  <c r="AP196" i="110" s="1"/>
  <c r="BD195" i="110" a="1"/>
  <c r="BD195" i="110" s="1"/>
  <c r="BU195" i="110" s="1"/>
  <c r="AV196" i="110" a="1"/>
  <c r="AV196" i="110" s="1"/>
  <c r="BA195" i="110" a="1"/>
  <c r="BA195" i="110" s="1"/>
  <c r="BR195" i="110" s="1"/>
  <c r="AS196" i="110" a="1"/>
  <c r="AS196" i="110" s="1"/>
  <c r="BN196" i="110" s="1"/>
  <c r="AT195" i="110" a="1"/>
  <c r="AT195" i="110" s="1"/>
  <c r="BB195" i="110" a="1"/>
  <c r="BB195" i="110" s="1"/>
  <c r="BS195" i="110" s="1"/>
  <c r="AB194" i="110"/>
  <c r="AE194" i="110" s="1"/>
  <c r="AD194" i="110"/>
  <c r="AK196" i="110" a="1"/>
  <c r="AK196" i="110" s="1"/>
  <c r="AK195" i="110" a="1"/>
  <c r="AK195" i="110" s="1"/>
  <c r="BI195" i="110" s="1"/>
  <c r="T194" i="110"/>
  <c r="Y194" i="110"/>
  <c r="S194" i="110" s="1"/>
  <c r="AQ196" i="110" a="1"/>
  <c r="AQ196" i="110" s="1"/>
  <c r="BP196" i="110" l="1"/>
  <c r="BQ196" i="110" s="1"/>
  <c r="N197" i="110"/>
  <c r="BP195" i="110"/>
  <c r="BM196" i="110"/>
  <c r="BR196" i="110"/>
  <c r="H198" i="110"/>
  <c r="E199" i="110" s="1"/>
  <c r="F199" i="110" s="1"/>
  <c r="M199" i="110" s="1"/>
  <c r="H199" i="110" s="1"/>
  <c r="E200" i="110" s="1"/>
  <c r="F200" i="110" s="1"/>
  <c r="BO195" i="110"/>
  <c r="Z195" i="110" s="1"/>
  <c r="BQ195" i="110"/>
  <c r="W198" i="110"/>
  <c r="P198" i="110"/>
  <c r="Q198" i="110"/>
  <c r="N198" i="110"/>
  <c r="BJ195" i="110"/>
  <c r="I198" i="110"/>
  <c r="BE197" i="110" a="1"/>
  <c r="BE197" i="110" s="1"/>
  <c r="BV197" i="110" s="1"/>
  <c r="AW197" i="110" a="1"/>
  <c r="AW197" i="110" s="1"/>
  <c r="AO197" i="110" a="1"/>
  <c r="AO197" i="110" s="1"/>
  <c r="BL197" i="110" s="1"/>
  <c r="AZ197" i="110" a="1"/>
  <c r="AZ197" i="110" s="1"/>
  <c r="AQ197" i="110" a="1"/>
  <c r="AQ197" i="110" s="1"/>
  <c r="AF197" i="110"/>
  <c r="AG197" i="110" s="1"/>
  <c r="AH197" i="110" s="1"/>
  <c r="AI197" i="110" s="1"/>
  <c r="BF197" i="110" a="1"/>
  <c r="BF197" i="110" s="1"/>
  <c r="BW197" i="110" s="1"/>
  <c r="AJ197" i="110" a="1"/>
  <c r="AJ197" i="110" s="1"/>
  <c r="AT197" i="110" a="1"/>
  <c r="AT197" i="110" s="1"/>
  <c r="BG197" i="110" a="1"/>
  <c r="BG197" i="110" s="1"/>
  <c r="AS197" i="110" a="1"/>
  <c r="AS197" i="110" s="1"/>
  <c r="BN197" i="110" s="1"/>
  <c r="AU197" i="110" a="1"/>
  <c r="AU197" i="110" s="1"/>
  <c r="BH197" i="110" a="1"/>
  <c r="BH197" i="110" s="1"/>
  <c r="AR197" i="110" a="1"/>
  <c r="AR197" i="110" s="1"/>
  <c r="V197" i="110"/>
  <c r="AM197" i="110" a="1"/>
  <c r="AM197" i="110" s="1"/>
  <c r="BB197" i="110" a="1"/>
  <c r="BB197" i="110" s="1"/>
  <c r="BS197" i="110" s="1"/>
  <c r="AL197" i="110" a="1"/>
  <c r="AL197" i="110" s="1"/>
  <c r="AX197" i="110" a="1"/>
  <c r="AX197" i="110" s="1"/>
  <c r="AV197" i="110" a="1"/>
  <c r="AV197" i="110" s="1"/>
  <c r="BD197" i="110" a="1"/>
  <c r="BD197" i="110" s="1"/>
  <c r="BU197" i="110" s="1"/>
  <c r="AY197" i="110" a="1"/>
  <c r="AY197" i="110" s="1"/>
  <c r="BC197" i="110" a="1"/>
  <c r="BC197" i="110" s="1"/>
  <c r="BT197" i="110" s="1"/>
  <c r="BA197" i="110" a="1"/>
  <c r="BA197" i="110" s="1"/>
  <c r="BR197" i="110" s="1"/>
  <c r="AP197" i="110" a="1"/>
  <c r="AP197" i="110" s="1"/>
  <c r="BM197" i="110" s="1"/>
  <c r="AK197" i="110" a="1"/>
  <c r="AK197" i="110" s="1"/>
  <c r="AN197" i="110" a="1"/>
  <c r="AN197" i="110" s="1"/>
  <c r="BK197" i="110" s="1"/>
  <c r="BI196" i="110"/>
  <c r="AC195" i="110" l="1"/>
  <c r="AA195" i="110" s="1"/>
  <c r="BP197" i="110"/>
  <c r="BQ197" i="110" s="1"/>
  <c r="BX197" i="110"/>
  <c r="BO197" i="110"/>
  <c r="BI197" i="110"/>
  <c r="Z197" i="110" s="1"/>
  <c r="M200" i="110"/>
  <c r="I200" i="110" s="1"/>
  <c r="BJ196" i="110"/>
  <c r="AC196" i="110"/>
  <c r="AA196" i="110" s="1"/>
  <c r="Z196" i="110"/>
  <c r="I199" i="110"/>
  <c r="G199" i="110"/>
  <c r="O199" i="110" s="1"/>
  <c r="AB195" i="110"/>
  <c r="AE195" i="110" s="1"/>
  <c r="AD195" i="110"/>
  <c r="T195" i="110"/>
  <c r="Y195" i="110"/>
  <c r="S195" i="110" s="1"/>
  <c r="V198" i="110"/>
  <c r="BH198" i="110" a="1"/>
  <c r="BH198" i="110" s="1"/>
  <c r="AT198" i="110" a="1"/>
  <c r="AT198" i="110" s="1"/>
  <c r="AN198" i="110" a="1"/>
  <c r="AN198" i="110" s="1"/>
  <c r="BK198" i="110" s="1"/>
  <c r="AK198" i="110" a="1"/>
  <c r="AK198" i="110" s="1"/>
  <c r="AY198" i="110" a="1"/>
  <c r="AY198" i="110" s="1"/>
  <c r="BD198" i="110" a="1"/>
  <c r="BD198" i="110" s="1"/>
  <c r="BU198" i="110" s="1"/>
  <c r="AX198" i="110" a="1"/>
  <c r="AX198" i="110" s="1"/>
  <c r="AU198" i="110" a="1"/>
  <c r="AU198" i="110" s="1"/>
  <c r="AS198" i="110" a="1"/>
  <c r="AS198" i="110" s="1"/>
  <c r="BN198" i="110" s="1"/>
  <c r="AR198" i="110" a="1"/>
  <c r="AR198" i="110" s="1"/>
  <c r="AF198" i="110"/>
  <c r="AG198" i="110" s="1"/>
  <c r="AH198" i="110" s="1"/>
  <c r="AI198" i="110" s="1"/>
  <c r="BG198" i="110" s="1" a="1"/>
  <c r="BG198" i="110" s="1"/>
  <c r="AC197" i="110" l="1"/>
  <c r="AA197" i="110" s="1"/>
  <c r="BJ197" i="110"/>
  <c r="BO198" i="110"/>
  <c r="BX198" i="110"/>
  <c r="BA198" i="110" a="1"/>
  <c r="BA198" i="110" s="1"/>
  <c r="AQ198" i="110" a="1"/>
  <c r="AQ198" i="110" s="1"/>
  <c r="AM198" i="110" a="1"/>
  <c r="AM198" i="110" s="1"/>
  <c r="AV198" i="110" a="1"/>
  <c r="AV198" i="110" s="1"/>
  <c r="BF198" i="110" a="1"/>
  <c r="BF198" i="110" s="1"/>
  <c r="BW198" i="110" s="1"/>
  <c r="P199" i="110"/>
  <c r="Q199" i="110"/>
  <c r="W199" i="110"/>
  <c r="N199" i="110"/>
  <c r="BC198" i="110" a="1"/>
  <c r="BC198" i="110" s="1"/>
  <c r="BT198" i="110" s="1"/>
  <c r="AL198" i="110" a="1"/>
  <c r="AL198" i="110" s="1"/>
  <c r="T196" i="110"/>
  <c r="Y196" i="110"/>
  <c r="S196" i="110" s="1"/>
  <c r="BB198" i="110" a="1"/>
  <c r="BB198" i="110" s="1"/>
  <c r="BS198" i="110" s="1"/>
  <c r="AZ198" i="110" a="1"/>
  <c r="AZ198" i="110" s="1"/>
  <c r="AB196" i="110"/>
  <c r="AE196" i="110" s="1"/>
  <c r="AD196" i="110"/>
  <c r="AO198" i="110" a="1"/>
  <c r="AO198" i="110" s="1"/>
  <c r="BL198" i="110" s="1"/>
  <c r="AW198" i="110" a="1"/>
  <c r="AW198" i="110" s="1"/>
  <c r="AD197" i="110"/>
  <c r="AB197" i="110"/>
  <c r="AE197" i="110" s="1"/>
  <c r="BE198" i="110" a="1"/>
  <c r="BE198" i="110" s="1"/>
  <c r="BV198" i="110" s="1"/>
  <c r="T197" i="110"/>
  <c r="Y197" i="110"/>
  <c r="S197" i="110" s="1"/>
  <c r="AP198" i="110" a="1"/>
  <c r="AP198" i="110" s="1"/>
  <c r="BM198" i="110" s="1"/>
  <c r="G200" i="110"/>
  <c r="O200" i="110" s="1"/>
  <c r="AJ198" i="110" a="1"/>
  <c r="AJ198" i="110" s="1"/>
  <c r="H200" i="110"/>
  <c r="E201" i="110" s="1"/>
  <c r="F201" i="110" s="1"/>
  <c r="M201" i="110" l="1"/>
  <c r="I201" i="110" s="1"/>
  <c r="BI198" i="110"/>
  <c r="Q200" i="110"/>
  <c r="P200" i="110"/>
  <c r="W200" i="110"/>
  <c r="N200" i="110"/>
  <c r="AX199" i="110" a="1"/>
  <c r="AX199" i="110" s="1"/>
  <c r="AM199" i="110" a="1"/>
  <c r="AM199" i="110" s="1"/>
  <c r="BA199" i="110" a="1"/>
  <c r="BA199" i="110" s="1"/>
  <c r="V199" i="110"/>
  <c r="BH199" i="110" a="1"/>
  <c r="BH199" i="110" s="1"/>
  <c r="AF199" i="110"/>
  <c r="AG199" i="110" s="1"/>
  <c r="AH199" i="110" s="1"/>
  <c r="AI199" i="110" s="1"/>
  <c r="BC199" i="110" s="1" a="1"/>
  <c r="BC199" i="110" s="1"/>
  <c r="BT199" i="110" s="1"/>
  <c r="BF199" i="110" a="1"/>
  <c r="BF199" i="110" s="1"/>
  <c r="BW199" i="110" s="1"/>
  <c r="AQ199" i="110" a="1"/>
  <c r="AQ199" i="110" s="1"/>
  <c r="AR199" i="110" a="1"/>
  <c r="AR199" i="110" s="1"/>
  <c r="AN199" i="110" a="1"/>
  <c r="AN199" i="110" s="1"/>
  <c r="BK199" i="110" s="1"/>
  <c r="AZ199" i="110" a="1"/>
  <c r="AZ199" i="110" s="1"/>
  <c r="AP199" i="110" a="1"/>
  <c r="AP199" i="110" s="1"/>
  <c r="BP198" i="110"/>
  <c r="BQ198" i="110" s="1"/>
  <c r="BR198" i="110"/>
  <c r="H201" i="110" l="1"/>
  <c r="E202" i="110" s="1"/>
  <c r="F202" i="110" s="1"/>
  <c r="M202" i="110" s="1"/>
  <c r="G202" i="110" s="1"/>
  <c r="O202" i="110" s="1"/>
  <c r="BR199" i="110"/>
  <c r="G201" i="110"/>
  <c r="O201" i="110" s="1"/>
  <c r="BM199" i="110"/>
  <c r="BD199" i="110" a="1"/>
  <c r="BD199" i="110" s="1"/>
  <c r="BU199" i="110" s="1"/>
  <c r="AO199" i="110" a="1"/>
  <c r="AO199" i="110" s="1"/>
  <c r="BL199" i="110" s="1"/>
  <c r="AW199" i="110" a="1"/>
  <c r="AW199" i="110" s="1"/>
  <c r="BE199" i="110" a="1"/>
  <c r="BE199" i="110" s="1"/>
  <c r="BV199" i="110" s="1"/>
  <c r="AU199" i="110" a="1"/>
  <c r="AU199" i="110" s="1"/>
  <c r="AT199" i="110" a="1"/>
  <c r="AT199" i="110" s="1"/>
  <c r="AK199" i="110" a="1"/>
  <c r="AK199" i="110" s="1"/>
  <c r="BG199" i="110" a="1"/>
  <c r="BG199" i="110" s="1"/>
  <c r="BX199" i="110" s="1"/>
  <c r="AV199" i="110" a="1"/>
  <c r="AV199" i="110" s="1"/>
  <c r="AF200" i="110"/>
  <c r="AG200" i="110" s="1"/>
  <c r="AH200" i="110" s="1"/>
  <c r="AI200" i="110" s="1"/>
  <c r="AQ200" i="110" s="1" a="1"/>
  <c r="AQ200" i="110" s="1"/>
  <c r="V200" i="110"/>
  <c r="AY199" i="110" a="1"/>
  <c r="AY199" i="110" s="1"/>
  <c r="AL199" i="110" a="1"/>
  <c r="AL199" i="110" s="1"/>
  <c r="AJ199" i="110" a="1"/>
  <c r="AJ199" i="110" s="1"/>
  <c r="Z198" i="110"/>
  <c r="AC198" i="110"/>
  <c r="AA198" i="110" s="1"/>
  <c r="BJ198" i="110"/>
  <c r="AS199" i="110" a="1"/>
  <c r="AS199" i="110" s="1"/>
  <c r="BN199" i="110" s="1"/>
  <c r="BB199" i="110" a="1"/>
  <c r="BB199" i="110" s="1"/>
  <c r="BS199" i="110" s="1"/>
  <c r="P201" i="110"/>
  <c r="N201" i="110"/>
  <c r="Q201" i="110"/>
  <c r="W201" i="110"/>
  <c r="H202" i="110" l="1"/>
  <c r="E203" i="110" s="1"/>
  <c r="F203" i="110" s="1"/>
  <c r="BP199" i="110"/>
  <c r="AS200" i="110" a="1"/>
  <c r="AS200" i="110" s="1"/>
  <c r="BN200" i="110" s="1"/>
  <c r="AV200" i="110" a="1"/>
  <c r="AV200" i="110" s="1"/>
  <c r="AT200" i="110" a="1"/>
  <c r="AT200" i="110" s="1"/>
  <c r="AU200" i="110" a="1"/>
  <c r="AU200" i="110" s="1"/>
  <c r="I202" i="110"/>
  <c r="AJ200" i="110" a="1"/>
  <c r="AJ200" i="110" s="1"/>
  <c r="AM200" i="110" a="1"/>
  <c r="AM200" i="110" s="1"/>
  <c r="BA200" i="110" a="1"/>
  <c r="BA200" i="110" s="1"/>
  <c r="AL200" i="110" a="1"/>
  <c r="AL200" i="110" s="1"/>
  <c r="BO199" i="110"/>
  <c r="BI199" i="110"/>
  <c r="AN200" i="110" a="1"/>
  <c r="AN200" i="110" s="1"/>
  <c r="BK200" i="110" s="1"/>
  <c r="BD200" i="110" a="1"/>
  <c r="BD200" i="110" s="1"/>
  <c r="BU200" i="110" s="1"/>
  <c r="AK200" i="110" a="1"/>
  <c r="AK200" i="110" s="1"/>
  <c r="AX200" i="110" a="1"/>
  <c r="AX200" i="110" s="1"/>
  <c r="AR200" i="110" a="1"/>
  <c r="AR200" i="110" s="1"/>
  <c r="BC200" i="110" a="1"/>
  <c r="BC200" i="110" s="1"/>
  <c r="BT200" i="110" s="1"/>
  <c r="AP200" i="110" a="1"/>
  <c r="AP200" i="110" s="1"/>
  <c r="AY200" i="110" a="1"/>
  <c r="AY200" i="110" s="1"/>
  <c r="AZ200" i="110" a="1"/>
  <c r="AZ200" i="110" s="1"/>
  <c r="BH200" i="110" a="1"/>
  <c r="BH200" i="110" s="1"/>
  <c r="AO200" i="110" a="1"/>
  <c r="AO200" i="110" s="1"/>
  <c r="BL200" i="110" s="1"/>
  <c r="BF200" i="110" a="1"/>
  <c r="BF200" i="110" s="1"/>
  <c r="BW200" i="110" s="1"/>
  <c r="AW200" i="110" a="1"/>
  <c r="AW200" i="110" s="1"/>
  <c r="BE200" i="110" a="1"/>
  <c r="BE200" i="110" s="1"/>
  <c r="BV200" i="110" s="1"/>
  <c r="T198" i="110"/>
  <c r="Y198" i="110"/>
  <c r="S198" i="110" s="1"/>
  <c r="BG200" i="110" a="1"/>
  <c r="BG200" i="110" s="1"/>
  <c r="BQ199" i="110"/>
  <c r="M203" i="110"/>
  <c r="I203" i="110" s="1"/>
  <c r="N202" i="110"/>
  <c r="Q202" i="110"/>
  <c r="P202" i="110"/>
  <c r="W202" i="110"/>
  <c r="AB198" i="110"/>
  <c r="AE198" i="110" s="1"/>
  <c r="AD198" i="110"/>
  <c r="Z199" i="110"/>
  <c r="BJ199" i="110"/>
  <c r="AC199" i="110"/>
  <c r="AA199" i="110" s="1"/>
  <c r="V201" i="110"/>
  <c r="AJ201" i="110" a="1"/>
  <c r="AJ201" i="110" s="1"/>
  <c r="AF201" i="110"/>
  <c r="AG201" i="110" s="1"/>
  <c r="AH201" i="110" s="1"/>
  <c r="AI201" i="110" s="1"/>
  <c r="BG201" i="110" s="1" a="1"/>
  <c r="BG201" i="110" s="1"/>
  <c r="AY201" i="110" a="1"/>
  <c r="AY201" i="110" s="1"/>
  <c r="BB201" i="110" a="1"/>
  <c r="BB201" i="110" s="1"/>
  <c r="BS201" i="110" s="1"/>
  <c r="BC201" i="110" a="1"/>
  <c r="BC201" i="110" s="1"/>
  <c r="BT201" i="110" s="1"/>
  <c r="AN201" i="110" a="1"/>
  <c r="AN201" i="110" s="1"/>
  <c r="BK201" i="110" s="1"/>
  <c r="AS201" i="110" a="1"/>
  <c r="AS201" i="110" s="1"/>
  <c r="BN201" i="110" s="1"/>
  <c r="BB200" i="110" a="1"/>
  <c r="BB200" i="110" s="1"/>
  <c r="BS200" i="110" s="1"/>
  <c r="AZ201" i="110" l="1" a="1"/>
  <c r="AZ201" i="110" s="1"/>
  <c r="AX201" i="110" a="1"/>
  <c r="AX201" i="110" s="1"/>
  <c r="BM200" i="110"/>
  <c r="BO200" i="110"/>
  <c r="BI200" i="110"/>
  <c r="BJ200" i="110" s="1"/>
  <c r="BR200" i="110"/>
  <c r="AQ201" i="110" a="1"/>
  <c r="AQ201" i="110" s="1"/>
  <c r="G203" i="110"/>
  <c r="O203" i="110" s="1"/>
  <c r="P203" i="110" s="1"/>
  <c r="H203" i="110"/>
  <c r="E204" i="110" s="1"/>
  <c r="F204" i="110" s="1"/>
  <c r="M204" i="110" s="1"/>
  <c r="I204" i="110" s="1"/>
  <c r="AR201" i="110" a="1"/>
  <c r="AR201" i="110" s="1"/>
  <c r="BP200" i="110"/>
  <c r="BQ200" i="110" s="1"/>
  <c r="BX200" i="110"/>
  <c r="BH201" i="110" a="1"/>
  <c r="BH201" i="110" s="1"/>
  <c r="BX201" i="110" s="1"/>
  <c r="AK201" i="110" a="1"/>
  <c r="AK201" i="110" s="1"/>
  <c r="AO201" i="110" a="1"/>
  <c r="AO201" i="110" s="1"/>
  <c r="BL201" i="110" s="1"/>
  <c r="AW201" i="110" a="1"/>
  <c r="AW201" i="110" s="1"/>
  <c r="BE201" i="110" a="1"/>
  <c r="BE201" i="110" s="1"/>
  <c r="BV201" i="110" s="1"/>
  <c r="AM201" i="110" a="1"/>
  <c r="AM201" i="110" s="1"/>
  <c r="AP201" i="110" a="1"/>
  <c r="AP201" i="110" s="1"/>
  <c r="AT201" i="110" a="1"/>
  <c r="AT201" i="110" s="1"/>
  <c r="BF201" i="110" a="1"/>
  <c r="BF201" i="110" s="1"/>
  <c r="BW201" i="110" s="1"/>
  <c r="BA201" i="110" a="1"/>
  <c r="BA201" i="110" s="1"/>
  <c r="BR201" i="110" s="1"/>
  <c r="AB199" i="110"/>
  <c r="AE199" i="110" s="1"/>
  <c r="AD199" i="110"/>
  <c r="AL201" i="110" a="1"/>
  <c r="AL201" i="110" s="1"/>
  <c r="T199" i="110"/>
  <c r="Y199" i="110"/>
  <c r="S199" i="110" s="1"/>
  <c r="AU201" i="110" a="1"/>
  <c r="AU201" i="110" s="1"/>
  <c r="BD201" i="110" a="1"/>
  <c r="BD201" i="110" s="1"/>
  <c r="BU201" i="110" s="1"/>
  <c r="AV201" i="110" a="1"/>
  <c r="AV201" i="110" s="1"/>
  <c r="BE202" i="110" a="1"/>
  <c r="BE202" i="110" s="1"/>
  <c r="BV202" i="110" s="1"/>
  <c r="AF202" i="110"/>
  <c r="AG202" i="110" s="1"/>
  <c r="AH202" i="110" s="1"/>
  <c r="AI202" i="110" s="1"/>
  <c r="AQ202" i="110" s="1" a="1"/>
  <c r="AQ202" i="110" s="1"/>
  <c r="V202" i="110"/>
  <c r="AK202" i="110" a="1"/>
  <c r="AK202" i="110" s="1"/>
  <c r="AV202" i="110" a="1"/>
  <c r="AV202" i="110" s="1"/>
  <c r="AC200" i="110"/>
  <c r="AA200" i="110" s="1"/>
  <c r="N203" i="110" l="1"/>
  <c r="BP201" i="110"/>
  <c r="BQ201" i="110" s="1"/>
  <c r="Q203" i="110"/>
  <c r="AB200" i="110"/>
  <c r="AX202" i="110" a="1"/>
  <c r="AX202" i="110" s="1"/>
  <c r="AL202" i="110" a="1"/>
  <c r="AL202" i="110" s="1"/>
  <c r="BH202" i="110" a="1"/>
  <c r="BH202" i="110" s="1"/>
  <c r="AJ202" i="110" a="1"/>
  <c r="AJ202" i="110" s="1"/>
  <c r="AZ202" i="110" a="1"/>
  <c r="AZ202" i="110" s="1"/>
  <c r="BG202" i="110" a="1"/>
  <c r="BG202" i="110" s="1"/>
  <c r="BB202" i="110" a="1"/>
  <c r="BB202" i="110" s="1"/>
  <c r="BS202" i="110" s="1"/>
  <c r="AS202" i="110" a="1"/>
  <c r="AS202" i="110" s="1"/>
  <c r="BN202" i="110" s="1"/>
  <c r="AO202" i="110" a="1"/>
  <c r="AO202" i="110" s="1"/>
  <c r="BL202" i="110" s="1"/>
  <c r="AR202" i="110" a="1"/>
  <c r="AR202" i="110" s="1"/>
  <c r="AW202" i="110" a="1"/>
  <c r="AW202" i="110" s="1"/>
  <c r="AU202" i="110" a="1"/>
  <c r="AU202" i="110" s="1"/>
  <c r="AP202" i="110" a="1"/>
  <c r="AP202" i="110" s="1"/>
  <c r="AD200" i="110"/>
  <c r="BA202" i="110" a="1"/>
  <c r="BA202" i="110" s="1"/>
  <c r="Z200" i="110"/>
  <c r="T200" i="110" s="1"/>
  <c r="BM201" i="110"/>
  <c r="BC202" i="110" a="1"/>
  <c r="BC202" i="110" s="1"/>
  <c r="BT202" i="110" s="1"/>
  <c r="BD202" i="110" a="1"/>
  <c r="BD202" i="110" s="1"/>
  <c r="BU202" i="110" s="1"/>
  <c r="AN202" i="110" a="1"/>
  <c r="AN202" i="110" s="1"/>
  <c r="BK202" i="110" s="1"/>
  <c r="AY202" i="110" a="1"/>
  <c r="AY202" i="110" s="1"/>
  <c r="BI201" i="110"/>
  <c r="BJ201" i="110" s="1"/>
  <c r="AT202" i="110" a="1"/>
  <c r="AT202" i="110" s="1"/>
  <c r="BF202" i="110" a="1"/>
  <c r="BF202" i="110" s="1"/>
  <c r="BW202" i="110" s="1"/>
  <c r="AM202" i="110" a="1"/>
  <c r="AM202" i="110" s="1"/>
  <c r="G204" i="110"/>
  <c r="O204" i="110" s="1"/>
  <c r="H204" i="110"/>
  <c r="E205" i="110" s="1"/>
  <c r="F205" i="110" s="1"/>
  <c r="BO201" i="110"/>
  <c r="BM202" i="110" l="1"/>
  <c r="BO202" i="110"/>
  <c r="Y200" i="110"/>
  <c r="S200" i="110" s="1"/>
  <c r="AE200" i="110"/>
  <c r="BP202" i="110"/>
  <c r="BQ202" i="110" s="1"/>
  <c r="BX202" i="110"/>
  <c r="BI202" i="110"/>
  <c r="BJ202" i="110" s="1"/>
  <c r="BR202" i="110"/>
  <c r="Z201" i="110"/>
  <c r="T201" i="110" s="1"/>
  <c r="M205" i="110"/>
  <c r="I205" i="110" s="1"/>
  <c r="Q204" i="110"/>
  <c r="N204" i="110"/>
  <c r="P204" i="110"/>
  <c r="AB201" i="110"/>
  <c r="AD201" i="110"/>
  <c r="AC201" i="110"/>
  <c r="AA201" i="110" s="1"/>
  <c r="AC202" i="110" l="1"/>
  <c r="AA202" i="110" s="1"/>
  <c r="AD202" i="110"/>
  <c r="Y201" i="110"/>
  <c r="S201" i="110" s="1"/>
  <c r="Z202" i="110"/>
  <c r="T202" i="110" s="1"/>
  <c r="AB202" i="110"/>
  <c r="AE201" i="110"/>
  <c r="H205" i="110"/>
  <c r="E206" i="110" s="1"/>
  <c r="F206" i="110" s="1"/>
  <c r="M206" i="110" s="1"/>
  <c r="G206" i="110" s="1"/>
  <c r="O206" i="110" s="1"/>
  <c r="G205" i="110"/>
  <c r="O205" i="110" s="1"/>
  <c r="N205" i="110" s="1"/>
  <c r="Y202" i="110"/>
  <c r="S202" i="110" s="1"/>
  <c r="AE202" i="110" l="1"/>
  <c r="P205" i="110"/>
  <c r="Q205" i="110"/>
  <c r="H206" i="110"/>
  <c r="E207" i="110" s="1"/>
  <c r="F207" i="110" s="1"/>
  <c r="M207" i="110" s="1"/>
  <c r="I206" i="110"/>
  <c r="N206" i="110"/>
  <c r="Q206" i="110"/>
  <c r="P206" i="110"/>
  <c r="G207" i="110" l="1"/>
  <c r="O207" i="110" s="1"/>
  <c r="Q207" i="110" s="1"/>
  <c r="H207" i="110"/>
  <c r="E208" i="110" s="1"/>
  <c r="F208" i="110" s="1"/>
  <c r="M208" i="110" s="1"/>
  <c r="G208" i="110" s="1"/>
  <c r="O208" i="110" s="1"/>
  <c r="I207" i="110"/>
  <c r="P207" i="110" l="1"/>
  <c r="N207" i="110"/>
  <c r="Q208" i="110"/>
  <c r="P208" i="110"/>
  <c r="N208" i="110"/>
  <c r="H208" i="110"/>
  <c r="E209" i="110" s="1"/>
  <c r="F209" i="110" s="1"/>
  <c r="I208" i="110"/>
  <c r="M209" i="110" l="1"/>
  <c r="I209" i="110" s="1"/>
  <c r="G209" i="110" l="1"/>
  <c r="O209" i="110" s="1"/>
  <c r="P209" i="110" s="1"/>
  <c r="H209" i="110"/>
  <c r="E210" i="110" s="1"/>
  <c r="F210" i="110" s="1"/>
  <c r="M210" i="110" s="1"/>
  <c r="H210" i="110" s="1"/>
  <c r="E211" i="110" s="1"/>
  <c r="F211" i="110" s="1"/>
  <c r="N209" i="110" l="1"/>
  <c r="Q209" i="110"/>
  <c r="I210" i="110"/>
  <c r="M211" i="110"/>
  <c r="I211" i="110" s="1"/>
  <c r="G210" i="110"/>
  <c r="O210" i="110" s="1"/>
  <c r="N210" i="110" l="1"/>
  <c r="P210" i="110"/>
  <c r="Q210" i="110"/>
  <c r="G211" i="110"/>
  <c r="O211" i="110" s="1"/>
  <c r="H211" i="110"/>
  <c r="E212" i="110" s="1"/>
  <c r="F212" i="110" s="1"/>
  <c r="M212" i="110" l="1"/>
  <c r="I212" i="110" s="1"/>
  <c r="P211" i="110"/>
  <c r="Q211" i="110"/>
  <c r="N211" i="110"/>
  <c r="G212" i="110" l="1"/>
  <c r="O212" i="110" s="1"/>
  <c r="H212" i="110"/>
  <c r="E213" i="110" s="1"/>
  <c r="F213" i="110" s="1"/>
  <c r="M213" i="110" s="1"/>
  <c r="H213" i="110" s="1"/>
  <c r="E214" i="110" s="1"/>
  <c r="F214" i="110" s="1"/>
  <c r="Q212" i="110"/>
  <c r="P212" i="110"/>
  <c r="N212" i="110"/>
  <c r="I213" i="110" l="1"/>
  <c r="G213" i="110"/>
  <c r="O213" i="110" s="1"/>
  <c r="N213" i="110" s="1"/>
  <c r="M214" i="110"/>
  <c r="I214" i="110" s="1"/>
  <c r="H214" i="110" l="1"/>
  <c r="E215" i="110" s="1"/>
  <c r="F215" i="110" s="1"/>
  <c r="M215" i="110" s="1"/>
  <c r="I215" i="110" s="1"/>
  <c r="P213" i="110"/>
  <c r="Q213" i="110"/>
  <c r="G214" i="110"/>
  <c r="O214" i="110" s="1"/>
  <c r="N214" i="110" s="1"/>
  <c r="P214" i="110" l="1"/>
  <c r="Q214" i="110"/>
  <c r="G215" i="110"/>
  <c r="O215" i="110" s="1"/>
  <c r="H215" i="110"/>
  <c r="E216" i="110" s="1"/>
  <c r="F216" i="110" s="1"/>
  <c r="M216" i="110" l="1"/>
  <c r="G216" i="110" s="1"/>
  <c r="O216" i="110" s="1"/>
  <c r="Q215" i="110"/>
  <c r="P215" i="110"/>
  <c r="N215" i="110"/>
  <c r="H216" i="110" l="1"/>
  <c r="E217" i="110" s="1"/>
  <c r="F217" i="110" s="1"/>
  <c r="M217" i="110" s="1"/>
  <c r="G217" i="110" s="1"/>
  <c r="O217" i="110" s="1"/>
  <c r="N216" i="110"/>
  <c r="Q216" i="110"/>
  <c r="P216" i="110"/>
  <c r="I216" i="110"/>
  <c r="I217" i="110" l="1"/>
  <c r="P217" i="110"/>
  <c r="N217" i="110"/>
  <c r="Q217" i="110"/>
  <c r="H217" i="110"/>
  <c r="E218" i="110" s="1"/>
  <c r="F218" i="110" s="1"/>
  <c r="M218" i="110" l="1"/>
  <c r="I218" i="110" s="1"/>
  <c r="H218" i="110" l="1"/>
  <c r="E219" i="110" s="1"/>
  <c r="F219" i="110" s="1"/>
  <c r="G218" i="110"/>
  <c r="O218" i="110" s="1"/>
  <c r="Q218" i="110" l="1"/>
  <c r="N218" i="110"/>
  <c r="P218" i="110"/>
  <c r="M219" i="110"/>
  <c r="I219" i="110" s="1"/>
  <c r="H219" i="110" l="1"/>
  <c r="E220" i="110" s="1"/>
  <c r="F220" i="110" s="1"/>
  <c r="G219" i="110"/>
  <c r="O219" i="110" s="1"/>
  <c r="Q219" i="110" l="1"/>
  <c r="P219" i="110"/>
  <c r="N219" i="110"/>
  <c r="M220" i="110"/>
  <c r="G220" i="110" s="1"/>
  <c r="O220" i="110" s="1"/>
  <c r="H220" i="110" l="1"/>
  <c r="E221" i="110" s="1"/>
  <c r="F221" i="110" s="1"/>
  <c r="M221" i="110" s="1"/>
  <c r="H221" i="110" s="1"/>
  <c r="E222" i="110" s="1"/>
  <c r="F222" i="110" s="1"/>
  <c r="Q220" i="110"/>
  <c r="P220" i="110"/>
  <c r="N220" i="110"/>
  <c r="I220" i="110"/>
  <c r="G221" i="110" l="1"/>
  <c r="O221" i="110" s="1"/>
  <c r="I221" i="110"/>
  <c r="M222" i="110"/>
  <c r="I222" i="110" s="1"/>
  <c r="Q221" i="110"/>
  <c r="P221" i="110"/>
  <c r="N221" i="110"/>
  <c r="G222" i="110" l="1"/>
  <c r="O222" i="110" s="1"/>
  <c r="N222" i="110" s="1"/>
  <c r="H222" i="110"/>
  <c r="E223" i="110" s="1"/>
  <c r="F223" i="110" s="1"/>
  <c r="M223" i="110" s="1"/>
  <c r="Q222" i="110"/>
  <c r="P222" i="110" l="1"/>
  <c r="H223" i="110"/>
  <c r="E224" i="110" s="1"/>
  <c r="F224" i="110" s="1"/>
  <c r="M224" i="110" s="1"/>
  <c r="G224" i="110" s="1"/>
  <c r="O224" i="110" s="1"/>
  <c r="I223" i="110"/>
  <c r="G223" i="110"/>
  <c r="O223" i="110" s="1"/>
  <c r="P223" i="110" s="1"/>
  <c r="Q223" i="110" l="1"/>
  <c r="N223" i="110"/>
  <c r="I224" i="110"/>
  <c r="H224" i="110"/>
  <c r="E225" i="110" s="1"/>
  <c r="F225" i="110" s="1"/>
  <c r="M225" i="110" s="1"/>
  <c r="G225" i="110" s="1"/>
  <c r="O225" i="110" s="1"/>
  <c r="N224" i="110"/>
  <c r="Q224" i="110"/>
  <c r="P224" i="110"/>
  <c r="I225" i="110" l="1"/>
  <c r="H225" i="110"/>
  <c r="E226" i="110" s="1"/>
  <c r="F226" i="110" s="1"/>
  <c r="M226" i="110" s="1"/>
  <c r="I226" i="110" s="1"/>
  <c r="P225" i="110"/>
  <c r="N225" i="110"/>
  <c r="Q225" i="110"/>
  <c r="G226" i="110" l="1"/>
  <c r="O226" i="110" s="1"/>
  <c r="H226" i="110"/>
  <c r="E227" i="110" s="1"/>
  <c r="F227" i="110" s="1"/>
  <c r="M227" i="110" l="1"/>
  <c r="I227" i="110" s="1"/>
  <c r="Q226" i="110"/>
  <c r="P226" i="110"/>
  <c r="N226" i="110"/>
  <c r="H227" i="110" l="1"/>
  <c r="E228" i="110" s="1"/>
  <c r="F228" i="110" s="1"/>
  <c r="G227" i="110"/>
  <c r="O227" i="110" s="1"/>
  <c r="N227" i="110" l="1"/>
  <c r="P227" i="110"/>
  <c r="Q227" i="110"/>
  <c r="M228" i="110"/>
  <c r="G228" i="110" s="1"/>
  <c r="O228" i="110" s="1"/>
  <c r="H228" i="110" l="1"/>
  <c r="E229" i="110" s="1"/>
  <c r="F229" i="110" s="1"/>
  <c r="M229" i="110" s="1"/>
  <c r="H229" i="110" s="1"/>
  <c r="E230" i="110" s="1"/>
  <c r="F230" i="110" s="1"/>
  <c r="I228" i="110"/>
  <c r="Q228" i="110"/>
  <c r="P228" i="110"/>
  <c r="N228" i="110"/>
  <c r="I229" i="110" l="1"/>
  <c r="G229" i="110"/>
  <c r="O229" i="110" s="1"/>
  <c r="P229" i="110" s="1"/>
  <c r="M230" i="110"/>
  <c r="I230" i="110" s="1"/>
  <c r="Q229" i="110"/>
  <c r="N229" i="110"/>
  <c r="H230" i="110" l="1"/>
  <c r="E231" i="110" s="1"/>
  <c r="F231" i="110" s="1"/>
  <c r="M231" i="110" s="1"/>
  <c r="I231" i="110" s="1"/>
  <c r="G230" i="110"/>
  <c r="O230" i="110" s="1"/>
  <c r="N230" i="110" s="1"/>
  <c r="P230" i="110" l="1"/>
  <c r="Q230" i="110"/>
  <c r="H231" i="110"/>
  <c r="E232" i="110" s="1"/>
  <c r="F232" i="110" s="1"/>
  <c r="M232" i="110" s="1"/>
  <c r="I232" i="110" s="1"/>
  <c r="G231" i="110"/>
  <c r="O231" i="110" s="1"/>
  <c r="P231" i="110" s="1"/>
  <c r="N231" i="110" l="1"/>
  <c r="Q231" i="110"/>
  <c r="G232" i="110"/>
  <c r="O232" i="110" s="1"/>
  <c r="H232" i="110"/>
  <c r="E233" i="110" s="1"/>
  <c r="F233" i="110" s="1"/>
  <c r="M233" i="110" l="1"/>
  <c r="I233" i="110" s="1"/>
  <c r="N232" i="110"/>
  <c r="Q232" i="110"/>
  <c r="P232" i="110"/>
  <c r="G233" i="110" l="1"/>
  <c r="O233" i="110" s="1"/>
  <c r="H233" i="110"/>
  <c r="E234" i="110" s="1"/>
  <c r="F234" i="110" s="1"/>
  <c r="M234" i="110" l="1"/>
  <c r="H234" i="110" s="1"/>
  <c r="E235" i="110" s="1"/>
  <c r="F235" i="110" s="1"/>
  <c r="P233" i="110"/>
  <c r="N233" i="110"/>
  <c r="Q233" i="110"/>
  <c r="M235" i="110" l="1"/>
  <c r="I235" i="110" s="1"/>
  <c r="I234" i="110"/>
  <c r="G234" i="110"/>
  <c r="O234" i="110" s="1"/>
  <c r="G235" i="110" l="1"/>
  <c r="O235" i="110" s="1"/>
  <c r="N234" i="110"/>
  <c r="Q234" i="110"/>
  <c r="P234" i="110"/>
  <c r="H235" i="110"/>
  <c r="E236" i="110" s="1"/>
  <c r="F236" i="110" s="1"/>
  <c r="M236" i="110" l="1"/>
  <c r="H236" i="110" s="1"/>
  <c r="E237" i="110" s="1"/>
  <c r="F237" i="110" s="1"/>
  <c r="N235" i="110"/>
  <c r="Q235" i="110"/>
  <c r="P235" i="110"/>
  <c r="M237" i="110" l="1"/>
  <c r="I237" i="110" s="1"/>
  <c r="G236" i="110"/>
  <c r="O236" i="110" s="1"/>
  <c r="I236" i="110"/>
  <c r="G237" i="110" l="1"/>
  <c r="O237" i="110" s="1"/>
  <c r="Q237" i="110" s="1"/>
  <c r="Q236" i="110"/>
  <c r="N236" i="110"/>
  <c r="P236" i="110"/>
  <c r="H237" i="110"/>
  <c r="E238" i="110" s="1"/>
  <c r="F238" i="110" s="1"/>
  <c r="N237" i="110" l="1"/>
  <c r="P237" i="110"/>
  <c r="M238" i="110"/>
  <c r="I238" i="110" s="1"/>
  <c r="H238" i="110" l="1"/>
  <c r="E239" i="110" s="1"/>
  <c r="F239" i="110" s="1"/>
  <c r="M239" i="110" s="1"/>
  <c r="G239" i="110" s="1"/>
  <c r="O239" i="110" s="1"/>
  <c r="G238" i="110"/>
  <c r="O238" i="110" s="1"/>
  <c r="N238" i="110" s="1"/>
  <c r="P238" i="110" l="1"/>
  <c r="Q238" i="110"/>
  <c r="N239" i="110"/>
  <c r="Q239" i="110"/>
  <c r="P239" i="110"/>
  <c r="H239" i="110"/>
  <c r="E240" i="110" s="1"/>
  <c r="F240" i="110" s="1"/>
  <c r="I239" i="110"/>
  <c r="M240" i="110" l="1"/>
  <c r="G240" i="110" s="1"/>
  <c r="O240" i="110" s="1"/>
  <c r="Q240" i="110" l="1"/>
  <c r="P240" i="110"/>
  <c r="N240" i="110"/>
  <c r="I240" i="110"/>
  <c r="H240" i="110"/>
  <c r="E241" i="110" s="1"/>
  <c r="F241" i="110" s="1"/>
  <c r="M241" i="110" l="1"/>
  <c r="H241" i="110" s="1"/>
  <c r="E242" i="110" s="1"/>
  <c r="F242" i="110" s="1"/>
  <c r="M242" i="110" l="1"/>
  <c r="I242" i="110" s="1"/>
  <c r="G241" i="110"/>
  <c r="O241" i="110" s="1"/>
  <c r="I241" i="110"/>
  <c r="G242" i="110" l="1"/>
  <c r="O242" i="110" s="1"/>
  <c r="H242" i="110"/>
  <c r="E243" i="110" s="1"/>
  <c r="F243" i="110" s="1"/>
  <c r="M243" i="110" s="1"/>
  <c r="H243" i="110" s="1"/>
  <c r="E244" i="110" s="1"/>
  <c r="F244" i="110" s="1"/>
  <c r="P242" i="110"/>
  <c r="Q242" i="110"/>
  <c r="N242" i="110"/>
  <c r="P241" i="110"/>
  <c r="N241" i="110"/>
  <c r="Q241" i="110"/>
  <c r="M244" i="110" l="1"/>
  <c r="H244" i="110" s="1"/>
  <c r="E245" i="110" s="1"/>
  <c r="F245" i="110" s="1"/>
  <c r="G243" i="110"/>
  <c r="O243" i="110" s="1"/>
  <c r="I243" i="110"/>
  <c r="I244" i="110" l="1"/>
  <c r="G244" i="110"/>
  <c r="O244" i="110" s="1"/>
  <c r="M245" i="110"/>
  <c r="H245" i="110" s="1"/>
  <c r="E246" i="110" s="1"/>
  <c r="F246" i="110" s="1"/>
  <c r="P243" i="110"/>
  <c r="N243" i="110"/>
  <c r="Q243" i="110"/>
  <c r="Q244" i="110"/>
  <c r="N244" i="110"/>
  <c r="P244" i="110"/>
  <c r="M246" i="110" l="1"/>
  <c r="I246" i="110" s="1"/>
  <c r="I245" i="110"/>
  <c r="G245" i="110"/>
  <c r="O245" i="110" s="1"/>
  <c r="G246" i="110" l="1"/>
  <c r="O246" i="110" s="1"/>
  <c r="H246" i="110"/>
  <c r="E247" i="110" s="1"/>
  <c r="F247" i="110" s="1"/>
  <c r="M247" i="110" s="1"/>
  <c r="H247" i="110" s="1"/>
  <c r="E248" i="110" s="1"/>
  <c r="F248" i="110" s="1"/>
  <c r="Q245" i="110"/>
  <c r="N245" i="110"/>
  <c r="P245" i="110"/>
  <c r="N246" i="110"/>
  <c r="Q246" i="110"/>
  <c r="P246" i="110"/>
  <c r="M248" i="110" l="1"/>
  <c r="G248" i="110" s="1"/>
  <c r="O248" i="110" s="1"/>
  <c r="I247" i="110"/>
  <c r="G247" i="110"/>
  <c r="O247" i="110" s="1"/>
  <c r="P248" i="110" l="1"/>
  <c r="N248" i="110"/>
  <c r="Q248" i="110"/>
  <c r="Q247" i="110"/>
  <c r="P247" i="110"/>
  <c r="N247" i="110"/>
  <c r="H248" i="110"/>
  <c r="E249" i="110" s="1"/>
  <c r="F249" i="110" s="1"/>
  <c r="I248" i="110"/>
  <c r="M249" i="110" l="1"/>
  <c r="H249" i="110" s="1"/>
  <c r="E250" i="110" s="1"/>
  <c r="F250" i="110" s="1"/>
  <c r="I249" i="110" l="1"/>
  <c r="M250" i="110"/>
  <c r="G250" i="110" s="1"/>
  <c r="O250" i="110" s="1"/>
  <c r="G249" i="110"/>
  <c r="O249" i="110" s="1"/>
  <c r="I250" i="110" l="1"/>
  <c r="N250" i="110"/>
  <c r="P250" i="110"/>
  <c r="Q250" i="110"/>
  <c r="P249" i="110"/>
  <c r="N249" i="110"/>
  <c r="Q249" i="110"/>
  <c r="H250" i="110"/>
  <c r="E251" i="110" s="1"/>
  <c r="F251" i="110" s="1"/>
  <c r="M251" i="110" l="1"/>
  <c r="I251" i="110" s="1"/>
  <c r="G251" i="110" l="1"/>
  <c r="O251" i="110" s="1"/>
  <c r="Q251" i="110" s="1"/>
  <c r="H251" i="110"/>
  <c r="E252" i="110" s="1"/>
  <c r="F252" i="110" s="1"/>
  <c r="N251" i="110" l="1"/>
  <c r="P251" i="110"/>
  <c r="M252" i="110"/>
  <c r="G252" i="110" s="1"/>
  <c r="O252" i="110" s="1"/>
  <c r="Q252" i="110" l="1"/>
  <c r="P252" i="110"/>
  <c r="N252" i="110"/>
  <c r="H252" i="110"/>
  <c r="E253" i="110" s="1"/>
  <c r="F253" i="110" s="1"/>
  <c r="I252" i="110"/>
  <c r="M253" i="110" l="1"/>
  <c r="I253" i="110" s="1"/>
  <c r="H253" i="110" l="1"/>
  <c r="E254" i="110" s="1"/>
  <c r="F254" i="110" s="1"/>
  <c r="M254" i="110" s="1"/>
  <c r="G254" i="110" s="1"/>
  <c r="O254" i="110" s="1"/>
  <c r="G253" i="110"/>
  <c r="O253" i="110" s="1"/>
  <c r="P253" i="110" s="1"/>
  <c r="N253" i="110" l="1"/>
  <c r="Q253" i="110"/>
  <c r="N254" i="110"/>
  <c r="Q254" i="110"/>
  <c r="P254" i="110"/>
  <c r="H254" i="110"/>
  <c r="E255" i="110" s="1"/>
  <c r="F255" i="110" s="1"/>
  <c r="I254" i="110"/>
  <c r="M255" i="110" l="1"/>
  <c r="I255" i="110" s="1"/>
  <c r="G255" i="110" l="1"/>
  <c r="O255" i="110" s="1"/>
  <c r="N255" i="110" s="1"/>
  <c r="H255" i="110"/>
  <c r="E256" i="110" s="1"/>
  <c r="F256" i="110" s="1"/>
  <c r="M256" i="110" s="1"/>
  <c r="I256" i="110" s="1"/>
  <c r="P255" i="110"/>
  <c r="Q255" i="110" l="1"/>
  <c r="G256" i="110"/>
  <c r="O256" i="110" s="1"/>
  <c r="H256" i="110"/>
  <c r="E257" i="110" s="1"/>
  <c r="F257" i="110" s="1"/>
  <c r="M257" i="110" l="1"/>
  <c r="I257" i="110" s="1"/>
  <c r="P256" i="110"/>
  <c r="Q256" i="110"/>
  <c r="N256" i="110"/>
  <c r="G257" i="110" l="1"/>
  <c r="O257" i="110" s="1"/>
  <c r="H257" i="110"/>
  <c r="E258" i="110" s="1"/>
  <c r="F258" i="110" s="1"/>
  <c r="M258" i="110" l="1"/>
  <c r="I258" i="110" s="1"/>
  <c r="P257" i="110"/>
  <c r="Q257" i="110"/>
  <c r="N257" i="110"/>
  <c r="G258" i="110" l="1"/>
  <c r="O258" i="110" s="1"/>
  <c r="H258" i="110"/>
  <c r="E259" i="110" s="1"/>
  <c r="F259" i="110" s="1"/>
  <c r="M259" i="110" l="1"/>
  <c r="I259" i="110" s="1"/>
  <c r="Q258" i="110"/>
  <c r="P258" i="110"/>
  <c r="N258" i="110"/>
  <c r="H259" i="110" l="1"/>
  <c r="E260" i="110" s="1"/>
  <c r="F260" i="110" s="1"/>
  <c r="G259" i="110"/>
  <c r="O259" i="110" s="1"/>
  <c r="Q259" i="110" l="1"/>
  <c r="P259" i="110"/>
  <c r="N259" i="110"/>
  <c r="M260" i="110"/>
  <c r="H260" i="110" s="1"/>
  <c r="E261" i="110" s="1"/>
  <c r="F261" i="110" s="1"/>
  <c r="G260" i="110" l="1"/>
  <c r="O260" i="110" s="1"/>
  <c r="I260" i="110"/>
  <c r="M261" i="110"/>
  <c r="G261" i="110" s="1"/>
  <c r="O261" i="110" s="1"/>
  <c r="Q260" i="110"/>
  <c r="N260" i="110"/>
  <c r="P260" i="110"/>
  <c r="H261" i="110" l="1"/>
  <c r="E262" i="110" s="1"/>
  <c r="F262" i="110" s="1"/>
  <c r="M262" i="110" s="1"/>
  <c r="I262" i="110" s="1"/>
  <c r="I261" i="110"/>
  <c r="Q261" i="110"/>
  <c r="P261" i="110"/>
  <c r="N261" i="110"/>
  <c r="G262" i="110" l="1"/>
  <c r="O262" i="110" s="1"/>
  <c r="H262" i="110"/>
  <c r="E263" i="110" s="1"/>
  <c r="F263" i="110" s="1"/>
  <c r="M263" i="110" s="1"/>
  <c r="I263" i="110" s="1"/>
  <c r="N262" i="110"/>
  <c r="Q262" i="110"/>
  <c r="P262" i="110"/>
  <c r="H263" i="110" l="1"/>
  <c r="E264" i="110" s="1"/>
  <c r="F264" i="110" s="1"/>
  <c r="G263" i="110"/>
  <c r="O263" i="110" s="1"/>
  <c r="Q263" i="110" l="1"/>
  <c r="P263" i="110"/>
  <c r="N263" i="110"/>
  <c r="M264" i="110"/>
  <c r="G264" i="110" s="1"/>
  <c r="O264" i="110" s="1"/>
  <c r="H264" i="110" l="1"/>
  <c r="E265" i="110" s="1"/>
  <c r="F265" i="110" s="1"/>
  <c r="M265" i="110" s="1"/>
  <c r="I265" i="110" s="1"/>
  <c r="I264" i="110"/>
  <c r="P264" i="110"/>
  <c r="Q264" i="110"/>
  <c r="N264" i="110"/>
  <c r="G265" i="110" l="1"/>
  <c r="O265" i="110" s="1"/>
  <c r="P265" i="110" s="1"/>
  <c r="H265" i="110"/>
  <c r="E266" i="110" s="1"/>
  <c r="F266" i="110" s="1"/>
  <c r="N265" i="110" l="1"/>
  <c r="Q265" i="110"/>
  <c r="M266" i="110"/>
  <c r="H266" i="110" s="1"/>
  <c r="E267" i="110" s="1"/>
  <c r="F267" i="110" s="1"/>
  <c r="M267" i="110" s="1"/>
  <c r="I267" i="110" s="1"/>
  <c r="I266" i="110" l="1"/>
  <c r="G266" i="110"/>
  <c r="O266" i="110" s="1"/>
  <c r="Q266" i="110" s="1"/>
  <c r="G267" i="110"/>
  <c r="O267" i="110" s="1"/>
  <c r="H267" i="110"/>
  <c r="E268" i="110" s="1"/>
  <c r="F268" i="110" s="1"/>
  <c r="N266" i="110" l="1"/>
  <c r="P266" i="110"/>
  <c r="M268" i="110"/>
  <c r="I268" i="110" s="1"/>
  <c r="N267" i="110"/>
  <c r="Q267" i="110"/>
  <c r="P267" i="110"/>
  <c r="G268" i="110" l="1"/>
  <c r="O268" i="110" s="1"/>
  <c r="H268" i="110"/>
  <c r="E269" i="110" s="1"/>
  <c r="F269" i="110" s="1"/>
  <c r="M269" i="110" l="1"/>
  <c r="H269" i="110" s="1"/>
  <c r="E270" i="110" s="1"/>
  <c r="F270" i="110" s="1"/>
  <c r="Q268" i="110"/>
  <c r="N268" i="110"/>
  <c r="P268" i="110"/>
  <c r="M270" i="110" l="1"/>
  <c r="G270" i="110"/>
  <c r="O270" i="110" s="1"/>
  <c r="H270" i="110"/>
  <c r="E271" i="110" s="1"/>
  <c r="F271" i="110" s="1"/>
  <c r="I270" i="110"/>
  <c r="I269" i="110"/>
  <c r="G269" i="110"/>
  <c r="O269" i="110" s="1"/>
  <c r="P269" i="110" l="1"/>
  <c r="N269" i="110"/>
  <c r="Q269" i="110"/>
  <c r="N270" i="110"/>
  <c r="P270" i="110"/>
  <c r="Q270" i="110"/>
  <c r="M271" i="110"/>
  <c r="I271" i="110" s="1"/>
  <c r="G271" i="110" l="1"/>
  <c r="O271" i="110" s="1"/>
  <c r="H271" i="110"/>
  <c r="E272" i="110" s="1"/>
  <c r="F272" i="110" s="1"/>
  <c r="M272" i="110" l="1"/>
  <c r="G272" i="110" s="1"/>
  <c r="O272" i="110" s="1"/>
  <c r="Q271" i="110"/>
  <c r="P271" i="110"/>
  <c r="N271" i="110"/>
  <c r="N272" i="110" l="1"/>
  <c r="Q272" i="110"/>
  <c r="P272" i="110"/>
  <c r="H272" i="110"/>
  <c r="E273" i="110" s="1"/>
  <c r="F273" i="110" s="1"/>
  <c r="I272" i="110"/>
  <c r="M273" i="110" l="1"/>
  <c r="I273" i="110" s="1"/>
  <c r="G273" i="110" l="1"/>
  <c r="O273" i="110" s="1"/>
  <c r="P273" i="110" s="1"/>
  <c r="H273" i="110"/>
  <c r="E274" i="110" s="1"/>
  <c r="F274" i="110" s="1"/>
  <c r="N273" i="110" l="1"/>
  <c r="Q273" i="110"/>
  <c r="M274" i="110"/>
  <c r="I274" i="110" s="1"/>
  <c r="G274" i="110" l="1"/>
  <c r="O274" i="110" s="1"/>
  <c r="P274" i="110" s="1"/>
  <c r="H274" i="110"/>
  <c r="E275" i="110" s="1"/>
  <c r="F275" i="110" s="1"/>
  <c r="M275" i="110" s="1"/>
  <c r="I275" i="110" s="1"/>
  <c r="Q274" i="110"/>
  <c r="N274" i="110" l="1"/>
  <c r="G275" i="110"/>
  <c r="O275" i="110" s="1"/>
  <c r="H275" i="110"/>
  <c r="E276" i="110" s="1"/>
  <c r="F276" i="110" s="1"/>
  <c r="M276" i="110" l="1"/>
  <c r="I276" i="110" s="1"/>
  <c r="P275" i="110"/>
  <c r="Q275" i="110"/>
  <c r="N275" i="110"/>
  <c r="G276" i="110" l="1"/>
  <c r="O276" i="110" s="1"/>
  <c r="H276" i="110"/>
  <c r="E277" i="110" s="1"/>
  <c r="F277" i="110" s="1"/>
  <c r="M277" i="110" l="1"/>
  <c r="G277" i="110" s="1"/>
  <c r="O277" i="110" s="1"/>
  <c r="Q276" i="110"/>
  <c r="N276" i="110"/>
  <c r="P276" i="110"/>
  <c r="H277" i="110" l="1"/>
  <c r="E278" i="110" s="1"/>
  <c r="F278" i="110" s="1"/>
  <c r="M278" i="110" s="1"/>
  <c r="I278" i="110" s="1"/>
  <c r="I277" i="110"/>
  <c r="N277" i="110"/>
  <c r="Q277" i="110"/>
  <c r="P277" i="110"/>
  <c r="G278" i="110" l="1"/>
  <c r="O278" i="110" s="1"/>
  <c r="N278" i="110" s="1"/>
  <c r="H278" i="110"/>
  <c r="E279" i="110" s="1"/>
  <c r="F279" i="110" s="1"/>
  <c r="Q278" i="110" l="1"/>
  <c r="P278" i="110"/>
  <c r="M279" i="110"/>
  <c r="I279" i="110" s="1"/>
  <c r="G279" i="110" l="1"/>
  <c r="O279" i="110" s="1"/>
  <c r="N279" i="110" s="1"/>
  <c r="H279" i="110"/>
  <c r="E280" i="110" s="1"/>
  <c r="F280" i="110" s="1"/>
  <c r="Q279" i="110" l="1"/>
  <c r="P279" i="110"/>
  <c r="M280" i="110"/>
  <c r="G280" i="110" s="1"/>
  <c r="O280" i="110" s="1"/>
  <c r="N280" i="110" l="1"/>
  <c r="Q280" i="110"/>
  <c r="P280" i="110"/>
  <c r="H280" i="110"/>
  <c r="E281" i="110" s="1"/>
  <c r="F281" i="110" s="1"/>
  <c r="I280" i="110"/>
  <c r="M281" i="110" l="1"/>
  <c r="G281" i="110" s="1"/>
  <c r="O281" i="110" s="1"/>
  <c r="I281" i="110" l="1"/>
  <c r="P281" i="110"/>
  <c r="Q281" i="110"/>
  <c r="N281" i="110"/>
  <c r="H281" i="110"/>
  <c r="E282" i="110" s="1"/>
  <c r="F282" i="110" s="1"/>
  <c r="M282" i="110" l="1"/>
  <c r="H282" i="110" s="1"/>
  <c r="E283" i="110" s="1"/>
  <c r="F283" i="110" s="1"/>
  <c r="M283" i="110" l="1"/>
  <c r="I283" i="110" s="1"/>
  <c r="G282" i="110"/>
  <c r="O282" i="110" s="1"/>
  <c r="I282" i="110"/>
  <c r="G283" i="110" l="1"/>
  <c r="O283" i="110" s="1"/>
  <c r="P283" i="110" s="1"/>
  <c r="Q282" i="110"/>
  <c r="N282" i="110"/>
  <c r="P282" i="110"/>
  <c r="H283" i="110"/>
  <c r="E284" i="110" s="1"/>
  <c r="F284" i="110" s="1"/>
  <c r="N283" i="110" l="1"/>
  <c r="Q283" i="110"/>
  <c r="M284" i="110"/>
  <c r="I284" i="110" s="1"/>
  <c r="G284" i="110" l="1"/>
  <c r="O284" i="110" s="1"/>
  <c r="Q284" i="110" s="1"/>
  <c r="H284" i="110"/>
  <c r="E285" i="110" s="1"/>
  <c r="F285" i="110" s="1"/>
  <c r="M285" i="110" s="1"/>
  <c r="I285" i="110" s="1"/>
  <c r="P284" i="110"/>
  <c r="N284" i="110"/>
  <c r="G285" i="110" l="1"/>
  <c r="O285" i="110" s="1"/>
  <c r="H285" i="110"/>
  <c r="E286" i="110" s="1"/>
  <c r="F286" i="110" s="1"/>
  <c r="M286" i="110" l="1"/>
  <c r="H286" i="110" s="1"/>
  <c r="E287" i="110" s="1"/>
  <c r="F287" i="110" s="1"/>
  <c r="Q285" i="110"/>
  <c r="P285" i="110"/>
  <c r="N285" i="110"/>
  <c r="M287" i="110" l="1"/>
  <c r="I287" i="110"/>
  <c r="H287" i="110"/>
  <c r="E288" i="110" s="1"/>
  <c r="F288" i="110" s="1"/>
  <c r="G287" i="110"/>
  <c r="O287" i="110" s="1"/>
  <c r="I286" i="110"/>
  <c r="G286" i="110"/>
  <c r="O286" i="110" s="1"/>
  <c r="Q287" i="110" l="1"/>
  <c r="N287" i="110"/>
  <c r="P287" i="110"/>
  <c r="N286" i="110"/>
  <c r="P286" i="110"/>
  <c r="Q286" i="110"/>
  <c r="M288" i="110"/>
  <c r="G288" i="110" s="1"/>
  <c r="O288" i="110" s="1"/>
  <c r="I288" i="110" l="1"/>
  <c r="H288" i="110"/>
  <c r="E289" i="110" s="1"/>
  <c r="F289" i="110" s="1"/>
  <c r="M289" i="110" s="1"/>
  <c r="I289" i="110" s="1"/>
  <c r="N288" i="110"/>
  <c r="Q288" i="110"/>
  <c r="P288" i="110"/>
  <c r="G289" i="110" l="1"/>
  <c r="O289" i="110" s="1"/>
  <c r="P289" i="110" s="1"/>
  <c r="H289" i="110"/>
  <c r="E290" i="110" s="1"/>
  <c r="F290" i="110" s="1"/>
  <c r="N289" i="110" l="1"/>
  <c r="Q289" i="110"/>
  <c r="M290" i="110"/>
  <c r="I290" i="110" s="1"/>
  <c r="G290" i="110" l="1"/>
  <c r="O290" i="110" s="1"/>
  <c r="P290" i="110" s="1"/>
  <c r="H290" i="110"/>
  <c r="E291" i="110" s="1"/>
  <c r="F291" i="110" s="1"/>
  <c r="Q290" i="110" l="1"/>
  <c r="N290" i="110"/>
  <c r="M291" i="110"/>
  <c r="I291" i="110" s="1"/>
  <c r="G291" i="110" l="1"/>
  <c r="O291" i="110" s="1"/>
  <c r="N291" i="110" s="1"/>
  <c r="H291" i="110"/>
  <c r="E292" i="110" s="1"/>
  <c r="F292" i="110" s="1"/>
  <c r="P291" i="110" l="1"/>
  <c r="Q291" i="110"/>
  <c r="M292" i="110"/>
  <c r="G292" i="110" s="1"/>
  <c r="O292" i="110" s="1"/>
  <c r="H292" i="110" l="1"/>
  <c r="E293" i="110" s="1"/>
  <c r="F293" i="110" s="1"/>
  <c r="M293" i="110" s="1"/>
  <c r="H293" i="110" s="1"/>
  <c r="E294" i="110" s="1"/>
  <c r="F294" i="110" s="1"/>
  <c r="I292" i="110"/>
  <c r="Q292" i="110"/>
  <c r="P292" i="110"/>
  <c r="N292" i="110"/>
  <c r="I293" i="110" l="1"/>
  <c r="M294" i="110"/>
  <c r="G294" i="110" s="1"/>
  <c r="O294" i="110" s="1"/>
  <c r="G293" i="110"/>
  <c r="O293" i="110" s="1"/>
  <c r="I294" i="110" l="1"/>
  <c r="H294" i="110"/>
  <c r="E295" i="110" s="1"/>
  <c r="F295" i="110" s="1"/>
  <c r="M295" i="110" s="1"/>
  <c r="G295" i="110" s="1"/>
  <c r="O295" i="110" s="1"/>
  <c r="Q293" i="110"/>
  <c r="P293" i="110"/>
  <c r="N293" i="110"/>
  <c r="N294" i="110"/>
  <c r="Q294" i="110"/>
  <c r="P294" i="110"/>
  <c r="P295" i="110" l="1"/>
  <c r="Q295" i="110"/>
  <c r="N295" i="110"/>
  <c r="H295" i="110"/>
  <c r="E296" i="110" s="1"/>
  <c r="F296" i="110" s="1"/>
  <c r="I295" i="110"/>
  <c r="M296" i="110" l="1"/>
  <c r="G296" i="110" s="1"/>
  <c r="O296" i="110" s="1"/>
  <c r="N296" i="110" l="1"/>
  <c r="Q296" i="110"/>
  <c r="P296" i="110"/>
  <c r="I296" i="110"/>
  <c r="H296" i="110"/>
  <c r="E297" i="110" s="1"/>
  <c r="F297" i="110" s="1"/>
  <c r="M297" i="110" l="1"/>
  <c r="H297" i="110" s="1"/>
  <c r="E298" i="110" s="1"/>
  <c r="F298" i="110" s="1"/>
  <c r="I297" i="110" l="1"/>
  <c r="G297" i="110"/>
  <c r="O297" i="110" s="1"/>
  <c r="P297" i="110" s="1"/>
  <c r="M298" i="110"/>
  <c r="I298" i="110" s="1"/>
  <c r="Q297" i="110" l="1"/>
  <c r="N297" i="110"/>
  <c r="G298" i="110"/>
  <c r="O298" i="110" s="1"/>
  <c r="Q298" i="110" s="1"/>
  <c r="H298" i="110"/>
  <c r="E299" i="110" s="1"/>
  <c r="F299" i="110" s="1"/>
  <c r="N298" i="110" l="1"/>
  <c r="P298" i="110"/>
  <c r="M299" i="110"/>
  <c r="I299" i="110" s="1"/>
  <c r="G299" i="110" l="1"/>
  <c r="O299" i="110" s="1"/>
  <c r="N299" i="110" s="1"/>
  <c r="H299" i="110"/>
  <c r="E300" i="110" s="1"/>
  <c r="F300" i="110" s="1"/>
  <c r="Q299" i="110" l="1"/>
  <c r="P299" i="110"/>
  <c r="M300" i="110"/>
  <c r="I300" i="110" s="1"/>
  <c r="G300" i="110" l="1"/>
  <c r="O300" i="110" s="1"/>
  <c r="Q300" i="110" s="1"/>
  <c r="H300" i="110"/>
  <c r="E301" i="110" s="1"/>
  <c r="F301" i="110" s="1"/>
  <c r="M301" i="110" s="1"/>
  <c r="I301" i="110" s="1"/>
  <c r="N300" i="110" l="1"/>
  <c r="P300" i="110"/>
  <c r="G301" i="110"/>
  <c r="O301" i="110" s="1"/>
  <c r="N301" i="110" s="1"/>
  <c r="H301" i="110"/>
  <c r="E302" i="110" s="1"/>
  <c r="F302" i="110" s="1"/>
  <c r="Q301" i="110" l="1"/>
  <c r="P301" i="110"/>
  <c r="M302" i="110"/>
  <c r="H302" i="110" s="1"/>
  <c r="E303" i="110" s="1"/>
  <c r="F303" i="110" s="1"/>
  <c r="I302" i="110" l="1"/>
  <c r="G302" i="110"/>
  <c r="O302" i="110" s="1"/>
  <c r="Q302" i="110" s="1"/>
  <c r="M303" i="110"/>
  <c r="G303" i="110" s="1"/>
  <c r="O303" i="110" s="1"/>
  <c r="N302" i="110" l="1"/>
  <c r="P302" i="110"/>
  <c r="N303" i="110"/>
  <c r="Q303" i="110"/>
  <c r="P303" i="110"/>
  <c r="H303" i="110"/>
  <c r="E304" i="110" s="1"/>
  <c r="F304" i="110" s="1"/>
  <c r="I303" i="110"/>
  <c r="M304" i="110" l="1"/>
  <c r="G304" i="110" s="1"/>
  <c r="O304" i="110" s="1"/>
  <c r="I304" i="110" l="1"/>
  <c r="Q304" i="110"/>
  <c r="N304" i="110"/>
  <c r="P304" i="110"/>
  <c r="H304" i="110"/>
  <c r="E305" i="110" s="1"/>
  <c r="F305" i="110" s="1"/>
  <c r="M305" i="110" l="1"/>
  <c r="I305" i="110" s="1"/>
  <c r="H305" i="110" l="1"/>
  <c r="E306" i="110" s="1"/>
  <c r="F306" i="110" s="1"/>
  <c r="G305" i="110"/>
  <c r="O305" i="110" s="1"/>
  <c r="P305" i="110" s="1"/>
  <c r="N305" i="110" l="1"/>
  <c r="Q305" i="110"/>
  <c r="M306" i="110"/>
  <c r="G306" i="110" s="1"/>
  <c r="O306" i="110" s="1"/>
  <c r="I306" i="110" l="1"/>
  <c r="N306" i="110"/>
  <c r="P306" i="110"/>
  <c r="Q306" i="110"/>
  <c r="H306" i="110"/>
  <c r="E307" i="110" s="1"/>
  <c r="F307" i="110" s="1"/>
  <c r="M307" i="110" s="1"/>
  <c r="I307" i="110" s="1"/>
  <c r="H307" i="110" l="1"/>
  <c r="E308" i="110" s="1"/>
  <c r="F308" i="110" s="1"/>
  <c r="G307" i="110"/>
  <c r="O307" i="110" s="1"/>
  <c r="Q307" i="110" s="1"/>
  <c r="N307" i="110" l="1"/>
  <c r="P307" i="110"/>
  <c r="M308" i="110"/>
  <c r="I308" i="110" s="1"/>
  <c r="H308" i="110" l="1"/>
  <c r="E309" i="110" s="1"/>
  <c r="F309" i="110" s="1"/>
  <c r="M309" i="110" s="1"/>
  <c r="I309" i="110" s="1"/>
  <c r="G308" i="110"/>
  <c r="O308" i="110" s="1"/>
  <c r="G309" i="110" l="1"/>
  <c r="O309" i="110" s="1"/>
  <c r="H309" i="110"/>
  <c r="E310" i="110" s="1"/>
  <c r="F310" i="110" s="1"/>
  <c r="M310" i="110" s="1"/>
  <c r="I310" i="110" s="1"/>
  <c r="N308" i="110"/>
  <c r="P308" i="110"/>
  <c r="Q308" i="110"/>
  <c r="Q309" i="110"/>
  <c r="P309" i="110"/>
  <c r="N309" i="110"/>
  <c r="G310" i="110" l="1"/>
  <c r="O310" i="110" s="1"/>
  <c r="H310" i="110"/>
  <c r="E311" i="110" s="1"/>
  <c r="F311" i="110" s="1"/>
  <c r="M311" i="110" l="1"/>
  <c r="H311" i="110" s="1"/>
  <c r="E312" i="110" s="1"/>
  <c r="F312" i="110" s="1"/>
  <c r="N310" i="110"/>
  <c r="P310" i="110"/>
  <c r="Q310" i="110"/>
  <c r="G311" i="110" l="1"/>
  <c r="O311" i="110" s="1"/>
  <c r="I311" i="110"/>
  <c r="Q311" i="110"/>
  <c r="P311" i="110"/>
  <c r="N311" i="110"/>
  <c r="M312" i="110"/>
  <c r="G312" i="110" s="1"/>
  <c r="O312" i="110" s="1"/>
  <c r="H312" i="110" l="1"/>
  <c r="E313" i="110" s="1"/>
  <c r="F313" i="110" s="1"/>
  <c r="M313" i="110" s="1"/>
  <c r="Q312" i="110"/>
  <c r="P312" i="110"/>
  <c r="N312" i="110"/>
  <c r="I312" i="110"/>
  <c r="G313" i="110" l="1"/>
  <c r="O313" i="110" s="1"/>
  <c r="H313" i="110"/>
  <c r="E314" i="110" s="1"/>
  <c r="F314" i="110" s="1"/>
  <c r="M314" i="110" s="1"/>
  <c r="G314" i="110" s="1"/>
  <c r="O314" i="110" s="1"/>
  <c r="I313" i="110"/>
  <c r="P313" i="110"/>
  <c r="N313" i="110"/>
  <c r="Q313" i="110"/>
  <c r="N314" i="110" l="1"/>
  <c r="P314" i="110"/>
  <c r="Q314" i="110"/>
  <c r="I314" i="110"/>
  <c r="H314" i="110"/>
  <c r="E315" i="110" s="1"/>
  <c r="F315" i="110" s="1"/>
  <c r="M315" i="110" l="1"/>
  <c r="H315" i="110" s="1"/>
  <c r="E316" i="110" s="1"/>
  <c r="F316" i="110" s="1"/>
  <c r="M316" i="110" l="1"/>
  <c r="H316" i="110" s="1"/>
  <c r="E317" i="110" s="1"/>
  <c r="F317" i="110" s="1"/>
  <c r="G315" i="110"/>
  <c r="O315" i="110" s="1"/>
  <c r="I315" i="110"/>
  <c r="M317" i="110" l="1"/>
  <c r="H317" i="110" s="1"/>
  <c r="E318" i="110" s="1"/>
  <c r="F318" i="110" s="1"/>
  <c r="I317" i="110"/>
  <c r="G317" i="110"/>
  <c r="O317" i="110" s="1"/>
  <c r="Q315" i="110"/>
  <c r="P315" i="110"/>
  <c r="N315" i="110"/>
  <c r="I316" i="110"/>
  <c r="G316" i="110"/>
  <c r="O316" i="110" s="1"/>
  <c r="Q316" i="110" l="1"/>
  <c r="P316" i="110"/>
  <c r="N316" i="110"/>
  <c r="M318" i="110"/>
  <c r="H318" i="110" s="1"/>
  <c r="E319" i="110" s="1"/>
  <c r="F319" i="110" s="1"/>
  <c r="P317" i="110"/>
  <c r="Q317" i="110"/>
  <c r="N317" i="110"/>
  <c r="I318" i="110" l="1"/>
  <c r="G318" i="110"/>
  <c r="O318" i="110" s="1"/>
  <c r="N318" i="110" s="1"/>
  <c r="M319" i="110"/>
  <c r="H319" i="110" s="1"/>
  <c r="E320" i="110" s="1"/>
  <c r="F320" i="110" s="1"/>
  <c r="P318" i="110" l="1"/>
  <c r="Q318" i="110"/>
  <c r="I319" i="110"/>
  <c r="G319" i="110"/>
  <c r="O319" i="110" s="1"/>
  <c r="Q319" i="110" s="1"/>
  <c r="M320" i="110"/>
  <c r="G320" i="110" s="1"/>
  <c r="O320" i="110" s="1"/>
  <c r="P319" i="110" l="1"/>
  <c r="N319" i="110"/>
  <c r="H320" i="110"/>
  <c r="E321" i="110" s="1"/>
  <c r="F321" i="110" s="1"/>
  <c r="M321" i="110" s="1"/>
  <c r="I321" i="110" s="1"/>
  <c r="I320" i="110"/>
  <c r="P320" i="110"/>
  <c r="N320" i="110"/>
  <c r="Q320" i="110"/>
  <c r="G321" i="110" l="1"/>
  <c r="O321" i="110" s="1"/>
  <c r="H321" i="110"/>
  <c r="E322" i="110" s="1"/>
  <c r="F322" i="110" s="1"/>
  <c r="M322" i="110" l="1"/>
  <c r="I322" i="110" s="1"/>
  <c r="P321" i="110"/>
  <c r="Q321" i="110"/>
  <c r="N321" i="110"/>
  <c r="G322" i="110" l="1"/>
  <c r="O322" i="110" s="1"/>
  <c r="H322" i="110"/>
  <c r="E323" i="110" s="1"/>
  <c r="F323" i="110" s="1"/>
  <c r="M323" i="110" s="1"/>
  <c r="I323" i="110" s="1"/>
  <c r="P322" i="110"/>
  <c r="Q322" i="110"/>
  <c r="N322" i="110"/>
  <c r="G323" i="110" l="1"/>
  <c r="O323" i="110" s="1"/>
  <c r="H323" i="110"/>
  <c r="E324" i="110" s="1"/>
  <c r="F324" i="110" s="1"/>
  <c r="M324" i="110" l="1"/>
  <c r="I324" i="110" s="1"/>
  <c r="Q323" i="110"/>
  <c r="P323" i="110"/>
  <c r="N323" i="110"/>
  <c r="G324" i="110" l="1"/>
  <c r="O324" i="110" s="1"/>
  <c r="Q324" i="110" s="1"/>
  <c r="H324" i="110"/>
  <c r="E325" i="110" s="1"/>
  <c r="F325" i="110" s="1"/>
  <c r="M325" i="110" s="1"/>
  <c r="G325" i="110" s="1"/>
  <c r="O325" i="110" s="1"/>
  <c r="N324" i="110"/>
  <c r="P324" i="110" l="1"/>
  <c r="Q325" i="110"/>
  <c r="P325" i="110"/>
  <c r="N325" i="110"/>
  <c r="H325" i="110"/>
  <c r="E326" i="110" s="1"/>
  <c r="F326" i="110" s="1"/>
  <c r="I325" i="110"/>
  <c r="M326" i="110" l="1"/>
  <c r="I326" i="110" s="1"/>
  <c r="G326" i="110" l="1"/>
  <c r="O326" i="110" s="1"/>
  <c r="N326" i="110" s="1"/>
  <c r="H326" i="110"/>
  <c r="E327" i="110" s="1"/>
  <c r="F327" i="110" s="1"/>
  <c r="M327" i="110" s="1"/>
  <c r="H327" i="110" s="1"/>
  <c r="E328" i="110" s="1"/>
  <c r="F328" i="110" s="1"/>
  <c r="P326" i="110"/>
  <c r="Q326" i="110" l="1"/>
  <c r="I327" i="110"/>
  <c r="M328" i="110"/>
  <c r="G328" i="110" s="1"/>
  <c r="O328" i="110" s="1"/>
  <c r="G327" i="110"/>
  <c r="O327" i="110" s="1"/>
  <c r="H328" i="110" l="1"/>
  <c r="E329" i="110" s="1"/>
  <c r="F329" i="110" s="1"/>
  <c r="M329" i="110" s="1"/>
  <c r="I329" i="110" s="1"/>
  <c r="P328" i="110"/>
  <c r="Q328" i="110"/>
  <c r="N328" i="110"/>
  <c r="N327" i="110"/>
  <c r="Q327" i="110"/>
  <c r="P327" i="110"/>
  <c r="I328" i="110"/>
  <c r="H329" i="110" l="1"/>
  <c r="E330" i="110" s="1"/>
  <c r="F330" i="110" s="1"/>
  <c r="G329" i="110"/>
  <c r="O329" i="110" s="1"/>
  <c r="P329" i="110" s="1"/>
  <c r="Q329" i="110" l="1"/>
  <c r="N329" i="110"/>
  <c r="M330" i="110"/>
  <c r="I330" i="110" s="1"/>
  <c r="G330" i="110" l="1"/>
  <c r="O330" i="110" s="1"/>
  <c r="H330" i="110"/>
  <c r="E331" i="110" s="1"/>
  <c r="F331" i="110" s="1"/>
  <c r="N330" i="110" l="1"/>
  <c r="Q330" i="110"/>
  <c r="P330" i="110"/>
  <c r="M331" i="110"/>
  <c r="I331" i="110" s="1"/>
  <c r="G331" i="110" l="1"/>
  <c r="O331" i="110" s="1"/>
  <c r="H331" i="110"/>
  <c r="E332" i="110" s="1"/>
  <c r="F332" i="110" s="1"/>
  <c r="M332" i="110" s="1"/>
  <c r="I332" i="110" s="1"/>
  <c r="G332" i="110" l="1"/>
  <c r="O332" i="110" s="1"/>
  <c r="H332" i="110"/>
  <c r="E333" i="110" s="1"/>
  <c r="F333" i="110" s="1"/>
  <c r="M333" i="110" s="1"/>
  <c r="I333" i="110" s="1"/>
  <c r="Q331" i="110"/>
  <c r="P331" i="110"/>
  <c r="N331" i="110"/>
  <c r="Q332" i="110"/>
  <c r="P332" i="110"/>
  <c r="N332" i="110"/>
  <c r="G333" i="110" l="1"/>
  <c r="O333" i="110" s="1"/>
  <c r="H333" i="110"/>
  <c r="E334" i="110" s="1"/>
  <c r="F334" i="110" s="1"/>
  <c r="M334" i="110" l="1"/>
  <c r="G334" i="110" s="1"/>
  <c r="O334" i="110" s="1"/>
  <c r="N333" i="110"/>
  <c r="Q333" i="110"/>
  <c r="P333" i="110"/>
  <c r="N334" i="110" l="1"/>
  <c r="P334" i="110"/>
  <c r="Q334" i="110"/>
  <c r="I334" i="110"/>
  <c r="H334" i="110"/>
  <c r="E335" i="110" s="1"/>
  <c r="F335" i="110" s="1"/>
  <c r="M335" i="110" l="1"/>
  <c r="I335" i="110" s="1"/>
  <c r="G335" i="110" l="1"/>
  <c r="O335" i="110" s="1"/>
  <c r="H335" i="110"/>
  <c r="E336" i="110" s="1"/>
  <c r="F336" i="110" s="1"/>
  <c r="M336" i="110" l="1"/>
  <c r="G336" i="110" s="1"/>
  <c r="O336" i="110" s="1"/>
  <c r="Q335" i="110"/>
  <c r="P335" i="110"/>
  <c r="N335" i="110"/>
  <c r="Q336" i="110" l="1"/>
  <c r="P336" i="110"/>
  <c r="N336" i="110"/>
  <c r="I336" i="110"/>
  <c r="H336" i="110"/>
  <c r="E337" i="110" s="1"/>
  <c r="F337" i="110" s="1"/>
  <c r="M337" i="110" l="1"/>
  <c r="H337" i="110" s="1"/>
  <c r="E338" i="110" s="1"/>
  <c r="F338" i="110" s="1"/>
  <c r="M338" i="110" l="1"/>
  <c r="H338" i="110" s="1"/>
  <c r="E339" i="110" s="1"/>
  <c r="F339" i="110" s="1"/>
  <c r="I338" i="110"/>
  <c r="G337" i="110"/>
  <c r="O337" i="110" s="1"/>
  <c r="I337" i="110"/>
  <c r="M339" i="110" l="1"/>
  <c r="I339" i="110" s="1"/>
  <c r="P337" i="110"/>
  <c r="Q337" i="110"/>
  <c r="N337" i="110"/>
  <c r="G338" i="110"/>
  <c r="O338" i="110" s="1"/>
  <c r="G339" i="110" l="1"/>
  <c r="O339" i="110" s="1"/>
  <c r="P339" i="110"/>
  <c r="N339" i="110"/>
  <c r="Q339" i="110"/>
  <c r="Q338" i="110"/>
  <c r="P338" i="110"/>
  <c r="N338" i="110"/>
  <c r="H339" i="110"/>
  <c r="E340" i="110" s="1"/>
  <c r="F340" i="110" s="1"/>
  <c r="M340" i="110" l="1"/>
  <c r="I340" i="110" s="1"/>
  <c r="G340" i="110" l="1"/>
  <c r="O340" i="110" s="1"/>
  <c r="H340" i="110"/>
  <c r="E341" i="110" s="1"/>
  <c r="F341" i="110" s="1"/>
  <c r="M341" i="110" s="1"/>
  <c r="H341" i="110" s="1"/>
  <c r="E342" i="110" s="1"/>
  <c r="F342" i="110" s="1"/>
  <c r="Q340" i="110"/>
  <c r="N340" i="110"/>
  <c r="P340" i="110"/>
  <c r="M342" i="110" l="1"/>
  <c r="H342" i="110" s="1"/>
  <c r="E343" i="110" s="1"/>
  <c r="F343" i="110" s="1"/>
  <c r="I341" i="110"/>
  <c r="G341" i="110"/>
  <c r="O341" i="110" s="1"/>
  <c r="I342" i="110" l="1"/>
  <c r="G342" i="110"/>
  <c r="O342" i="110" s="1"/>
  <c r="N342" i="110" s="1"/>
  <c r="N341" i="110"/>
  <c r="Q341" i="110"/>
  <c r="P341" i="110"/>
  <c r="M343" i="110"/>
  <c r="I343" i="110" s="1"/>
  <c r="P342" i="110" l="1"/>
  <c r="Q342" i="110"/>
  <c r="G343" i="110"/>
  <c r="O343" i="110" s="1"/>
  <c r="Q343" i="110" s="1"/>
  <c r="H343" i="110"/>
  <c r="E344" i="110" s="1"/>
  <c r="F344" i="110" s="1"/>
  <c r="N343" i="110" l="1"/>
  <c r="P343" i="110"/>
  <c r="M344" i="110"/>
  <c r="G344" i="110" s="1"/>
  <c r="O344" i="110" s="1"/>
  <c r="P344" i="110" l="1"/>
  <c r="N344" i="110"/>
  <c r="Q344" i="110"/>
  <c r="H344" i="110"/>
  <c r="E345" i="110" s="1"/>
  <c r="F345" i="110" s="1"/>
  <c r="I344" i="110"/>
  <c r="M345" i="110" l="1"/>
  <c r="G345" i="110" s="1"/>
  <c r="O345" i="110" s="1"/>
  <c r="H345" i="110" l="1"/>
  <c r="E346" i="110" s="1"/>
  <c r="F346" i="110" s="1"/>
  <c r="M346" i="110" s="1"/>
  <c r="H346" i="110" s="1"/>
  <c r="E347" i="110" s="1"/>
  <c r="F347" i="110" s="1"/>
  <c r="I345" i="110"/>
  <c r="P345" i="110"/>
  <c r="Q345" i="110"/>
  <c r="N345" i="110"/>
  <c r="G346" i="110" l="1"/>
  <c r="O346" i="110" s="1"/>
  <c r="Q346" i="110" s="1"/>
  <c r="M347" i="110"/>
  <c r="I347" i="110" s="1"/>
  <c r="I346" i="110"/>
  <c r="N346" i="110" l="1"/>
  <c r="P346" i="110"/>
  <c r="G347" i="110"/>
  <c r="O347" i="110" s="1"/>
  <c r="Q347" i="110" s="1"/>
  <c r="H347" i="110"/>
  <c r="E348" i="110" s="1"/>
  <c r="F348" i="110" s="1"/>
  <c r="N347" i="110" l="1"/>
  <c r="P347" i="110"/>
  <c r="M348" i="110"/>
  <c r="I348" i="110" s="1"/>
  <c r="H348" i="110" l="1"/>
  <c r="E349" i="110" s="1"/>
  <c r="F349" i="110" s="1"/>
  <c r="M349" i="110" s="1"/>
  <c r="H349" i="110" s="1"/>
  <c r="E350" i="110" s="1"/>
  <c r="F350" i="110" s="1"/>
  <c r="G348" i="110"/>
  <c r="O348" i="110" s="1"/>
  <c r="Q348" i="110" s="1"/>
  <c r="N348" i="110" l="1"/>
  <c r="P348" i="110"/>
  <c r="I349" i="110"/>
  <c r="G349" i="110"/>
  <c r="O349" i="110" s="1"/>
  <c r="N349" i="110" s="1"/>
  <c r="M350" i="110"/>
  <c r="H350" i="110" s="1"/>
  <c r="E351" i="110" s="1"/>
  <c r="F351" i="110" s="1"/>
  <c r="I350" i="110" l="1"/>
  <c r="G350" i="110"/>
  <c r="O350" i="110" s="1"/>
  <c r="P350" i="110" s="1"/>
  <c r="Q349" i="110"/>
  <c r="P349" i="110"/>
  <c r="M351" i="110"/>
  <c r="I351" i="110" s="1"/>
  <c r="N350" i="110" l="1"/>
  <c r="Q350" i="110"/>
  <c r="G351" i="110"/>
  <c r="O351" i="110" s="1"/>
  <c r="N351" i="110" s="1"/>
  <c r="H351" i="110"/>
  <c r="E352" i="110" s="1"/>
  <c r="F352" i="110" s="1"/>
  <c r="Q351" i="110" l="1"/>
  <c r="P351" i="110"/>
  <c r="M352" i="110"/>
  <c r="G352" i="110" s="1"/>
  <c r="O352" i="110" s="1"/>
  <c r="I352" i="110" l="1"/>
  <c r="H352" i="110"/>
  <c r="E353" i="110" s="1"/>
  <c r="F353" i="110" s="1"/>
  <c r="M353" i="110" s="1"/>
  <c r="H353" i="110" s="1"/>
  <c r="E354" i="110" s="1"/>
  <c r="F354" i="110" s="1"/>
  <c r="N352" i="110"/>
  <c r="Q352" i="110"/>
  <c r="P352" i="110"/>
  <c r="I353" i="110" l="1"/>
  <c r="M354" i="110"/>
  <c r="I354" i="110" s="1"/>
  <c r="G353" i="110"/>
  <c r="O353" i="110" s="1"/>
  <c r="G354" i="110" l="1"/>
  <c r="O354" i="110" s="1"/>
  <c r="P353" i="110"/>
  <c r="Q353" i="110"/>
  <c r="N353" i="110"/>
  <c r="P354" i="110"/>
  <c r="Q354" i="110"/>
  <c r="N354" i="110"/>
  <c r="H354" i="110"/>
  <c r="E355" i="110" s="1"/>
  <c r="F355" i="110" s="1"/>
  <c r="M355" i="110" l="1"/>
  <c r="H355" i="110" s="1"/>
  <c r="E356" i="110" s="1"/>
  <c r="F356" i="110" s="1"/>
  <c r="G355" i="110" l="1"/>
  <c r="O355" i="110" s="1"/>
  <c r="I355" i="110"/>
  <c r="M356" i="110"/>
  <c r="H356" i="110" s="1"/>
  <c r="E357" i="110" s="1"/>
  <c r="F357" i="110" s="1"/>
  <c r="Q355" i="110"/>
  <c r="P355" i="110"/>
  <c r="N355" i="110"/>
  <c r="M357" i="110" l="1"/>
  <c r="G357" i="110" s="1"/>
  <c r="O357" i="110" s="1"/>
  <c r="I356" i="110"/>
  <c r="G356" i="110"/>
  <c r="O356" i="110" s="1"/>
  <c r="H357" i="110" l="1"/>
  <c r="E358" i="110" s="1"/>
  <c r="F358" i="110" s="1"/>
  <c r="M358" i="110" s="1"/>
  <c r="G358" i="110" s="1"/>
  <c r="O358" i="110" s="1"/>
  <c r="I357" i="110"/>
  <c r="N357" i="110"/>
  <c r="Q357" i="110"/>
  <c r="P357" i="110"/>
  <c r="Q356" i="110"/>
  <c r="N356" i="110"/>
  <c r="P356" i="110"/>
  <c r="I358" i="110" l="1"/>
  <c r="H358" i="110"/>
  <c r="E359" i="110" s="1"/>
  <c r="F359" i="110" s="1"/>
  <c r="M359" i="110" s="1"/>
  <c r="I359" i="110" s="1"/>
  <c r="Q358" i="110"/>
  <c r="P358" i="110"/>
  <c r="N358" i="110"/>
  <c r="H359" i="110" l="1"/>
  <c r="E360" i="110" s="1"/>
  <c r="F360" i="110" s="1"/>
  <c r="M360" i="110" s="1"/>
  <c r="G359" i="110"/>
  <c r="O359" i="110" s="1"/>
  <c r="G360" i="110" l="1"/>
  <c r="O360" i="110" s="1"/>
  <c r="H360" i="110"/>
  <c r="E361" i="110" s="1"/>
  <c r="F361" i="110" s="1"/>
  <c r="M361" i="110" s="1"/>
  <c r="I361" i="110" s="1"/>
  <c r="I360" i="110"/>
  <c r="Q359" i="110"/>
  <c r="N359" i="110"/>
  <c r="P359" i="110"/>
  <c r="N360" i="110"/>
  <c r="P360" i="110"/>
  <c r="Q360" i="110"/>
  <c r="G361" i="110" l="1"/>
  <c r="O361" i="110" s="1"/>
  <c r="N361" i="110" s="1"/>
  <c r="H361" i="110"/>
  <c r="E362" i="110" s="1"/>
  <c r="F362" i="110" s="1"/>
  <c r="P361" i="110" l="1"/>
  <c r="Q361" i="110"/>
  <c r="M362" i="110"/>
  <c r="H362" i="110" s="1"/>
  <c r="E363" i="110" s="1"/>
  <c r="F363" i="110" s="1"/>
  <c r="I362" i="110" l="1"/>
  <c r="M363" i="110"/>
  <c r="H363" i="110" s="1"/>
  <c r="E364" i="110" s="1"/>
  <c r="F364" i="110" s="1"/>
  <c r="G362" i="110"/>
  <c r="O362" i="110" s="1"/>
  <c r="I363" i="110" l="1"/>
  <c r="G363" i="110"/>
  <c r="O363" i="110" s="1"/>
  <c r="Q363" i="110" s="1"/>
  <c r="M364" i="110"/>
  <c r="G364" i="110" s="1"/>
  <c r="O364" i="110" s="1"/>
  <c r="P362" i="110"/>
  <c r="N362" i="110"/>
  <c r="Q362" i="110"/>
  <c r="N363" i="110" l="1"/>
  <c r="P363" i="110"/>
  <c r="Q364" i="110"/>
  <c r="P364" i="110"/>
  <c r="N364" i="110"/>
  <c r="H364" i="110"/>
  <c r="E365" i="110" s="1"/>
  <c r="F365" i="110" s="1"/>
  <c r="I364" i="110"/>
  <c r="M365" i="110" l="1"/>
  <c r="H365" i="110" s="1"/>
  <c r="E366" i="110" s="1"/>
  <c r="F366" i="110" s="1"/>
  <c r="I365" i="110" l="1"/>
  <c r="G365" i="110"/>
  <c r="O365" i="110" s="1"/>
  <c r="N365" i="110" s="1"/>
  <c r="M366" i="110"/>
  <c r="G366" i="110" s="1"/>
  <c r="O366" i="110" s="1"/>
  <c r="P365" i="110" l="1"/>
  <c r="Q365" i="110"/>
  <c r="H366" i="110"/>
  <c r="E367" i="110" s="1"/>
  <c r="F367" i="110" s="1"/>
  <c r="M367" i="110" s="1"/>
  <c r="I367" i="110" s="1"/>
  <c r="I366" i="110"/>
  <c r="P366" i="110"/>
  <c r="N366" i="110"/>
  <c r="Q366" i="110"/>
  <c r="G367" i="110" l="1"/>
  <c r="O367" i="110" s="1"/>
  <c r="H367" i="110"/>
  <c r="E368" i="110" s="1"/>
  <c r="F368" i="110" s="1"/>
  <c r="M368" i="110" l="1"/>
  <c r="I368" i="110" s="1"/>
  <c r="Q367" i="110"/>
  <c r="N367" i="110"/>
  <c r="P367" i="110"/>
  <c r="G368" i="110" l="1"/>
  <c r="O368" i="110" s="1"/>
  <c r="N368" i="110" s="1"/>
  <c r="H368" i="110"/>
  <c r="E369" i="110" s="1"/>
  <c r="F369" i="110" s="1"/>
  <c r="M369" i="110" s="1"/>
  <c r="I369" i="110" s="1"/>
  <c r="P368" i="110" l="1"/>
  <c r="Q368" i="110"/>
  <c r="G369" i="110"/>
  <c r="O369" i="110" s="1"/>
  <c r="Q369" i="110" s="1"/>
  <c r="H369" i="110"/>
  <c r="E370" i="110" s="1"/>
  <c r="F370" i="110" s="1"/>
  <c r="M370" i="110" s="1"/>
  <c r="I370" i="110" s="1"/>
  <c r="P369" i="110" l="1"/>
  <c r="N369" i="110"/>
  <c r="G370" i="110"/>
  <c r="O370" i="110" s="1"/>
  <c r="H370" i="110"/>
  <c r="E371" i="110" s="1"/>
  <c r="F371" i="110" s="1"/>
  <c r="M371" i="110" l="1"/>
  <c r="H371" i="110" s="1"/>
  <c r="E372" i="110" s="1"/>
  <c r="F372" i="110" s="1"/>
  <c r="P370" i="110"/>
  <c r="Q370" i="110"/>
  <c r="N370" i="110"/>
  <c r="G371" i="110" l="1"/>
  <c r="O371" i="110" s="1"/>
  <c r="P371" i="110" s="1"/>
  <c r="I371" i="110"/>
  <c r="M372" i="110"/>
  <c r="I372" i="110" s="1"/>
  <c r="N371" i="110" l="1"/>
  <c r="Q371" i="110"/>
  <c r="G372" i="110"/>
  <c r="O372" i="110" s="1"/>
  <c r="H372" i="110"/>
  <c r="E373" i="110" s="1"/>
  <c r="F373" i="110" s="1"/>
  <c r="M373" i="110" s="1"/>
  <c r="Q372" i="110"/>
  <c r="P372" i="110"/>
  <c r="N372" i="110"/>
  <c r="H373" i="110" l="1"/>
  <c r="E374" i="110" s="1"/>
  <c r="F374" i="110" s="1"/>
  <c r="M374" i="110" s="1"/>
  <c r="I373" i="110"/>
  <c r="G373" i="110"/>
  <c r="O373" i="110" s="1"/>
  <c r="P373" i="110" s="1"/>
  <c r="N373" i="110" l="1"/>
  <c r="Q373" i="110"/>
  <c r="H374" i="110"/>
  <c r="E375" i="110" s="1"/>
  <c r="F375" i="110" s="1"/>
  <c r="M375" i="110" s="1"/>
  <c r="I374" i="110"/>
  <c r="G374" i="110"/>
  <c r="O374" i="110" s="1"/>
  <c r="N374" i="110" s="1"/>
  <c r="Q374" i="110" l="1"/>
  <c r="P374" i="110"/>
  <c r="G375" i="110"/>
  <c r="O375" i="110" s="1"/>
  <c r="P375" i="110" s="1"/>
  <c r="H375" i="110"/>
  <c r="E376" i="110" s="1"/>
  <c r="F376" i="110" s="1"/>
  <c r="M376" i="110" s="1"/>
  <c r="H376" i="110" s="1"/>
  <c r="E377" i="110" s="1"/>
  <c r="F377" i="110" s="1"/>
  <c r="I375" i="110"/>
  <c r="N375" i="110" l="1"/>
  <c r="Q375" i="110"/>
  <c r="I376" i="110"/>
  <c r="M377" i="110"/>
  <c r="H377" i="110" s="1"/>
  <c r="E378" i="110" s="1"/>
  <c r="F378" i="110" s="1"/>
  <c r="G376" i="110"/>
  <c r="O376" i="110" s="1"/>
  <c r="I377" i="110" l="1"/>
  <c r="G377" i="110"/>
  <c r="O377" i="110" s="1"/>
  <c r="Q377" i="110" s="1"/>
  <c r="M378" i="110"/>
  <c r="I378" i="110" s="1"/>
  <c r="Q376" i="110"/>
  <c r="P376" i="110"/>
  <c r="N376" i="110"/>
  <c r="P377" i="110" l="1"/>
  <c r="N377" i="110"/>
  <c r="H378" i="110"/>
  <c r="E379" i="110" s="1"/>
  <c r="F379" i="110" s="1"/>
  <c r="G378" i="110"/>
  <c r="O378" i="110" s="1"/>
  <c r="P378" i="110" l="1"/>
  <c r="N378" i="110"/>
  <c r="Q378" i="110"/>
  <c r="M379" i="110"/>
  <c r="H379" i="110" s="1"/>
  <c r="E380" i="110" s="1"/>
  <c r="F380" i="110" s="1"/>
  <c r="M380" i="110" l="1"/>
  <c r="I380" i="110" s="1"/>
  <c r="G379" i="110"/>
  <c r="O379" i="110" s="1"/>
  <c r="I379" i="110"/>
  <c r="G380" i="110" l="1"/>
  <c r="O380" i="110" s="1"/>
  <c r="Q380" i="110" s="1"/>
  <c r="H380" i="110"/>
  <c r="E381" i="110" s="1"/>
  <c r="F381" i="110" s="1"/>
  <c r="M381" i="110" s="1"/>
  <c r="H381" i="110" s="1"/>
  <c r="E382" i="110" s="1"/>
  <c r="F382" i="110" s="1"/>
  <c r="P380" i="110"/>
  <c r="N380" i="110"/>
  <c r="P379" i="110"/>
  <c r="N379" i="110"/>
  <c r="Q379" i="110"/>
  <c r="M382" i="110" l="1"/>
  <c r="G382" i="110" s="1"/>
  <c r="O382" i="110" s="1"/>
  <c r="I381" i="110"/>
  <c r="G381" i="110"/>
  <c r="O381" i="110" s="1"/>
  <c r="H382" i="110" l="1"/>
  <c r="E383" i="110" s="1"/>
  <c r="F383" i="110" s="1"/>
  <c r="M383" i="110" s="1"/>
  <c r="H383" i="110" s="1"/>
  <c r="E384" i="110" s="1"/>
  <c r="F384" i="110" s="1"/>
  <c r="I382" i="110"/>
  <c r="N381" i="110"/>
  <c r="P381" i="110"/>
  <c r="Q381" i="110"/>
  <c r="P382" i="110"/>
  <c r="Q382" i="110"/>
  <c r="N382" i="110"/>
  <c r="G383" i="110" l="1"/>
  <c r="O383" i="110" s="1"/>
  <c r="I383" i="110"/>
  <c r="M384" i="110"/>
  <c r="I384" i="110" s="1"/>
  <c r="N383" i="110"/>
  <c r="Q383" i="110"/>
  <c r="P383" i="110"/>
  <c r="H384" i="110" l="1"/>
  <c r="E385" i="110" s="1"/>
  <c r="F385" i="110" s="1"/>
  <c r="G384" i="110"/>
  <c r="O384" i="110" s="1"/>
  <c r="Q384" i="110" s="1"/>
  <c r="N384" i="110" l="1"/>
  <c r="P384" i="110"/>
  <c r="M385" i="110"/>
  <c r="H385" i="110" s="1"/>
  <c r="E386" i="110" s="1"/>
  <c r="F386" i="110" s="1"/>
  <c r="M386" i="110" s="1"/>
  <c r="G386" i="110" s="1"/>
  <c r="O386" i="110" s="1"/>
  <c r="I385" i="110" l="1"/>
  <c r="G385" i="110"/>
  <c r="O385" i="110" s="1"/>
  <c r="I386" i="110"/>
  <c r="H386" i="110"/>
  <c r="E387" i="110" s="1"/>
  <c r="F387" i="110" s="1"/>
  <c r="M387" i="110" s="1"/>
  <c r="H387" i="110" s="1"/>
  <c r="E388" i="110" s="1"/>
  <c r="F388" i="110" s="1"/>
  <c r="N386" i="110"/>
  <c r="Q386" i="110"/>
  <c r="P386" i="110"/>
  <c r="N385" i="110" l="1"/>
  <c r="Q385" i="110"/>
  <c r="P385" i="110"/>
  <c r="G387" i="110"/>
  <c r="O387" i="110" s="1"/>
  <c r="Q387" i="110" s="1"/>
  <c r="M388" i="110"/>
  <c r="I388" i="110" s="1"/>
  <c r="I387" i="110"/>
  <c r="N387" i="110" l="1"/>
  <c r="P387" i="110"/>
  <c r="G388" i="110"/>
  <c r="O388" i="110" s="1"/>
  <c r="Q388" i="110" s="1"/>
  <c r="H388" i="110"/>
  <c r="E389" i="110" s="1"/>
  <c r="F389" i="110" s="1"/>
  <c r="M389" i="110" s="1"/>
  <c r="N388" i="110" l="1"/>
  <c r="P388" i="110"/>
  <c r="G389" i="110"/>
  <c r="O389" i="110" s="1"/>
  <c r="N389" i="110" s="1"/>
  <c r="H389" i="110"/>
  <c r="E390" i="110" s="1"/>
  <c r="F390" i="110" s="1"/>
  <c r="M390" i="110" s="1"/>
  <c r="I389" i="110"/>
  <c r="Q389" i="110" l="1"/>
  <c r="P389" i="110"/>
  <c r="G390" i="110"/>
  <c r="O390" i="110" s="1"/>
  <c r="H390" i="110"/>
  <c r="E391" i="110" s="1"/>
  <c r="F391" i="110" s="1"/>
  <c r="M391" i="110" s="1"/>
  <c r="H391" i="110" s="1"/>
  <c r="E392" i="110" s="1"/>
  <c r="F392" i="110" s="1"/>
  <c r="I390" i="110"/>
  <c r="Q390" i="110"/>
  <c r="N390" i="110"/>
  <c r="P390" i="110"/>
  <c r="I391" i="110" l="1"/>
  <c r="M392" i="110"/>
  <c r="I392" i="110" s="1"/>
  <c r="G391" i="110"/>
  <c r="O391" i="110" s="1"/>
  <c r="G392" i="110" l="1"/>
  <c r="O392" i="110" s="1"/>
  <c r="Q392" i="110" s="1"/>
  <c r="H392" i="110"/>
  <c r="E393" i="110" s="1"/>
  <c r="F393" i="110" s="1"/>
  <c r="M393" i="110" s="1"/>
  <c r="I393" i="110" s="1"/>
  <c r="P391" i="110"/>
  <c r="N391" i="110"/>
  <c r="Q391" i="110"/>
  <c r="N392" i="110" l="1"/>
  <c r="P392" i="110"/>
  <c r="G393" i="110"/>
  <c r="O393" i="110" s="1"/>
  <c r="H393" i="110"/>
  <c r="E394" i="110" s="1"/>
  <c r="F394" i="110" s="1"/>
  <c r="M394" i="110" l="1"/>
  <c r="G394" i="110" s="1"/>
  <c r="O394" i="110" s="1"/>
  <c r="Q393" i="110"/>
  <c r="N393" i="110"/>
  <c r="P393" i="110"/>
  <c r="N394" i="110" l="1"/>
  <c r="P394" i="110"/>
  <c r="Q394" i="110"/>
  <c r="H394" i="110"/>
  <c r="E395" i="110" s="1"/>
  <c r="F395" i="110" s="1"/>
  <c r="I394" i="110"/>
  <c r="M395" i="110" l="1"/>
  <c r="H395" i="110" s="1"/>
  <c r="E396" i="110" s="1"/>
  <c r="F396" i="110" s="1"/>
  <c r="M396" i="110" l="1"/>
  <c r="I396" i="110" s="1"/>
  <c r="G396" i="110"/>
  <c r="O396" i="110" s="1"/>
  <c r="G395" i="110"/>
  <c r="O395" i="110" s="1"/>
  <c r="I395" i="110"/>
  <c r="Q396" i="110" l="1"/>
  <c r="P396" i="110"/>
  <c r="N396" i="110"/>
  <c r="P395" i="110"/>
  <c r="N395" i="110"/>
  <c r="Q395" i="110"/>
  <c r="H396" i="110"/>
  <c r="E397" i="110" s="1"/>
  <c r="F397" i="110" s="1"/>
  <c r="M397" i="110" l="1"/>
  <c r="H397" i="110" s="1"/>
  <c r="E398" i="110" s="1"/>
  <c r="F398" i="110" s="1"/>
  <c r="M398" i="110" l="1"/>
  <c r="I398" i="110"/>
  <c r="H398" i="110"/>
  <c r="E399" i="110" s="1"/>
  <c r="F399" i="110" s="1"/>
  <c r="G398" i="110"/>
  <c r="O398" i="110" s="1"/>
  <c r="G397" i="110"/>
  <c r="O397" i="110" s="1"/>
  <c r="I397" i="110"/>
  <c r="N398" i="110" l="1"/>
  <c r="P398" i="110"/>
  <c r="Q398" i="110"/>
  <c r="Q397" i="110"/>
  <c r="P397" i="110"/>
  <c r="N397" i="110"/>
  <c r="M399" i="110"/>
  <c r="H399" i="110" s="1"/>
  <c r="E400" i="110" s="1"/>
  <c r="F400" i="110" s="1"/>
  <c r="G399" i="110" l="1"/>
  <c r="O399" i="110" s="1"/>
  <c r="N399" i="110" s="1"/>
  <c r="M400" i="110"/>
  <c r="I400" i="110" s="1"/>
  <c r="I399" i="110"/>
  <c r="P399" i="110" l="1"/>
  <c r="Q399" i="110"/>
  <c r="G400" i="110"/>
  <c r="O400" i="110" s="1"/>
  <c r="N400" i="110" s="1"/>
  <c r="H400" i="110"/>
  <c r="E401" i="110" s="1"/>
  <c r="F401" i="110" s="1"/>
  <c r="M401" i="110" s="1"/>
  <c r="I401" i="110" s="1"/>
  <c r="P400" i="110" l="1"/>
  <c r="Q400" i="110"/>
  <c r="H401" i="110"/>
  <c r="E402" i="110" s="1"/>
  <c r="F402" i="110" s="1"/>
  <c r="G401" i="110"/>
  <c r="O401" i="110" s="1"/>
  <c r="Q401" i="110" l="1"/>
  <c r="P401" i="110"/>
  <c r="N401" i="110"/>
  <c r="M402" i="110"/>
  <c r="I402" i="110" s="1"/>
  <c r="H402" i="110" l="1"/>
  <c r="E403" i="110" s="1"/>
  <c r="F403" i="110" s="1"/>
  <c r="M403" i="110" s="1"/>
  <c r="H403" i="110" s="1"/>
  <c r="E404" i="110" s="1"/>
  <c r="F404" i="110" s="1"/>
  <c r="G402" i="110"/>
  <c r="O402" i="110" s="1"/>
  <c r="Q402" i="110" s="1"/>
  <c r="P402" i="110" l="1"/>
  <c r="N402" i="110"/>
  <c r="I403" i="110"/>
  <c r="M404" i="110"/>
  <c r="G404" i="110" s="1"/>
  <c r="O404" i="110" s="1"/>
  <c r="G403" i="110"/>
  <c r="O403" i="110" s="1"/>
  <c r="H404" i="110" l="1"/>
  <c r="E405" i="110" s="1"/>
  <c r="F405" i="110" s="1"/>
  <c r="M405" i="110" s="1"/>
  <c r="G405" i="110" s="1"/>
  <c r="O405" i="110" s="1"/>
  <c r="I404" i="110"/>
  <c r="Q404" i="110"/>
  <c r="P404" i="110"/>
  <c r="N404" i="110"/>
  <c r="P403" i="110"/>
  <c r="Q403" i="110"/>
  <c r="N403" i="110"/>
  <c r="I405" i="110" l="1"/>
  <c r="Q405" i="110"/>
  <c r="P405" i="110"/>
  <c r="N405" i="110"/>
  <c r="H405" i="110"/>
  <c r="E406" i="110" s="1"/>
  <c r="F406" i="110" s="1"/>
  <c r="M406" i="110" l="1"/>
  <c r="I406" i="110" s="1"/>
  <c r="G406" i="110" l="1"/>
  <c r="O406" i="110" s="1"/>
  <c r="N406" i="110" s="1"/>
  <c r="H406" i="110"/>
  <c r="E407" i="110" s="1"/>
  <c r="F407" i="110" s="1"/>
  <c r="Q406" i="110" l="1"/>
  <c r="P406" i="110"/>
  <c r="M407" i="110"/>
  <c r="H407" i="110" s="1"/>
  <c r="E408" i="110" s="1"/>
  <c r="F408" i="110" s="1"/>
  <c r="M408" i="110" l="1"/>
  <c r="I408" i="110" s="1"/>
  <c r="G407" i="110"/>
  <c r="O407" i="110" s="1"/>
  <c r="I407" i="110"/>
  <c r="N407" i="110" l="1"/>
  <c r="Q407" i="110"/>
  <c r="P407" i="110"/>
  <c r="G408" i="110"/>
  <c r="O408" i="110" s="1"/>
  <c r="H408" i="110"/>
  <c r="E409" i="110" s="1"/>
  <c r="F409" i="110" s="1"/>
  <c r="M409" i="110" l="1"/>
  <c r="I409" i="110" s="1"/>
  <c r="Q408" i="110"/>
  <c r="P408" i="110"/>
  <c r="N408" i="110"/>
  <c r="G409" i="110" l="1"/>
  <c r="O409" i="110" s="1"/>
  <c r="N409" i="110" s="1"/>
  <c r="H409" i="110"/>
  <c r="E410" i="110" s="1"/>
  <c r="F410" i="110" s="1"/>
  <c r="M410" i="110" s="1"/>
  <c r="H410" i="110" s="1"/>
  <c r="E411" i="110" s="1"/>
  <c r="F411" i="110" s="1"/>
  <c r="Q409" i="110"/>
  <c r="P409" i="110"/>
  <c r="I410" i="110" l="1"/>
  <c r="G410" i="110"/>
  <c r="O410" i="110" s="1"/>
  <c r="M411" i="110"/>
  <c r="H411" i="110" s="1"/>
  <c r="E412" i="110" s="1"/>
  <c r="F412" i="110" s="1"/>
  <c r="Q410" i="110"/>
  <c r="P410" i="110"/>
  <c r="N410" i="110"/>
  <c r="M412" i="110" l="1"/>
  <c r="H412" i="110" s="1"/>
  <c r="E413" i="110" s="1"/>
  <c r="F413" i="110" s="1"/>
  <c r="I411" i="110"/>
  <c r="G411" i="110"/>
  <c r="O411" i="110" s="1"/>
  <c r="I412" i="110" l="1"/>
  <c r="M413" i="110"/>
  <c r="I413" i="110" s="1"/>
  <c r="P411" i="110"/>
  <c r="Q411" i="110"/>
  <c r="N411" i="110"/>
  <c r="G412" i="110"/>
  <c r="O412" i="110" s="1"/>
  <c r="G413" i="110" l="1"/>
  <c r="O413" i="110" s="1"/>
  <c r="H413" i="110"/>
  <c r="E414" i="110" s="1"/>
  <c r="F414" i="110" s="1"/>
  <c r="M414" i="110" s="1"/>
  <c r="H414" i="110" s="1"/>
  <c r="E415" i="110" s="1"/>
  <c r="F415" i="110" s="1"/>
  <c r="Q412" i="110"/>
  <c r="P412" i="110"/>
  <c r="N412" i="110"/>
  <c r="Q413" i="110"/>
  <c r="P413" i="110"/>
  <c r="N413" i="110"/>
  <c r="G414" i="110" l="1"/>
  <c r="O414" i="110" s="1"/>
  <c r="N414" i="110" s="1"/>
  <c r="M415" i="110"/>
  <c r="H415" i="110" s="1"/>
  <c r="E416" i="110" s="1"/>
  <c r="F416" i="110" s="1"/>
  <c r="P414" i="110"/>
  <c r="I414" i="110"/>
  <c r="Q414" i="110" l="1"/>
  <c r="M416" i="110"/>
  <c r="H416" i="110" s="1"/>
  <c r="E417" i="110" s="1"/>
  <c r="F417" i="110" s="1"/>
  <c r="I415" i="110"/>
  <c r="G415" i="110"/>
  <c r="O415" i="110" s="1"/>
  <c r="M417" i="110" l="1"/>
  <c r="I417" i="110" s="1"/>
  <c r="Q415" i="110"/>
  <c r="P415" i="110"/>
  <c r="N415" i="110"/>
  <c r="G416" i="110"/>
  <c r="O416" i="110" s="1"/>
  <c r="I416" i="110"/>
  <c r="H417" i="110" l="1"/>
  <c r="E418" i="110" s="1"/>
  <c r="F418" i="110" s="1"/>
  <c r="M418" i="110" s="1"/>
  <c r="I418" i="110" s="1"/>
  <c r="G417" i="110"/>
  <c r="O417" i="110" s="1"/>
  <c r="Q416" i="110"/>
  <c r="P416" i="110"/>
  <c r="N416" i="110"/>
  <c r="Q417" i="110"/>
  <c r="P417" i="110"/>
  <c r="N417" i="110"/>
  <c r="G418" i="110" l="1"/>
  <c r="O418" i="110" s="1"/>
  <c r="Q418" i="110" s="1"/>
  <c r="H418" i="110"/>
  <c r="E419" i="110" s="1"/>
  <c r="F419" i="110" s="1"/>
  <c r="M419" i="110" s="1"/>
  <c r="G419" i="110" s="1"/>
  <c r="O419" i="110" s="1"/>
  <c r="N418" i="110" l="1"/>
  <c r="P418" i="110"/>
  <c r="H419" i="110"/>
  <c r="E420" i="110" s="1"/>
  <c r="F420" i="110" s="1"/>
  <c r="I419" i="110"/>
  <c r="Q419" i="110"/>
  <c r="N419" i="110"/>
  <c r="P419" i="110"/>
  <c r="M420" i="110" l="1"/>
  <c r="I420" i="110" s="1"/>
  <c r="H420" i="110"/>
  <c r="E421" i="110" s="1"/>
  <c r="F421" i="110" s="1"/>
  <c r="M421" i="110" s="1"/>
  <c r="I421" i="110" s="1"/>
  <c r="G420" i="110" l="1"/>
  <c r="O420" i="110" s="1"/>
  <c r="P420" i="110" s="1"/>
  <c r="H421" i="110"/>
  <c r="E422" i="110" s="1"/>
  <c r="F422" i="110" s="1"/>
  <c r="G421" i="110"/>
  <c r="O421" i="110" s="1"/>
  <c r="N420" i="110" l="1"/>
  <c r="Q420" i="110"/>
  <c r="Q421" i="110"/>
  <c r="P421" i="110"/>
  <c r="N421" i="110"/>
  <c r="M422" i="110"/>
  <c r="H422" i="110" s="1"/>
  <c r="E423" i="110" s="1"/>
  <c r="F423" i="110" s="1"/>
  <c r="G422" i="110" l="1"/>
  <c r="O422" i="110" s="1"/>
  <c r="I422" i="110"/>
  <c r="M423" i="110"/>
  <c r="G423" i="110" s="1"/>
  <c r="O423" i="110" s="1"/>
  <c r="N422" i="110"/>
  <c r="P422" i="110"/>
  <c r="Q422" i="110"/>
  <c r="Q423" i="110" l="1"/>
  <c r="N423" i="110"/>
  <c r="P423" i="110"/>
  <c r="H423" i="110"/>
  <c r="E424" i="110" s="1"/>
  <c r="F424" i="110" s="1"/>
  <c r="I423" i="110"/>
  <c r="M424" i="110" l="1"/>
  <c r="I424" i="110" s="1"/>
  <c r="G424" i="110" l="1"/>
  <c r="O424" i="110" s="1"/>
  <c r="Q424" i="110" s="1"/>
  <c r="H424" i="110"/>
  <c r="E425" i="110" s="1"/>
  <c r="F425" i="110" s="1"/>
  <c r="N424" i="110" l="1"/>
  <c r="P424" i="110"/>
  <c r="M425" i="110"/>
  <c r="I425" i="110" s="1"/>
  <c r="G425" i="110" l="1"/>
  <c r="O425" i="110" s="1"/>
  <c r="N425" i="110" s="1"/>
  <c r="H425" i="110"/>
  <c r="E426" i="110" s="1"/>
  <c r="F426" i="110" s="1"/>
  <c r="M426" i="110" s="1"/>
  <c r="I426" i="110" s="1"/>
  <c r="Q425" i="110" l="1"/>
  <c r="P425" i="110"/>
  <c r="G426" i="110"/>
  <c r="O426" i="110" s="1"/>
  <c r="N426" i="110" s="1"/>
  <c r="H426" i="110"/>
  <c r="E427" i="110" s="1"/>
  <c r="F427" i="110" s="1"/>
  <c r="M427" i="110" s="1"/>
  <c r="Q426" i="110" l="1"/>
  <c r="P426" i="110"/>
  <c r="G427" i="110"/>
  <c r="O427" i="110" s="1"/>
  <c r="N427" i="110" s="1"/>
  <c r="H427" i="110"/>
  <c r="E428" i="110" s="1"/>
  <c r="F428" i="110" s="1"/>
  <c r="M428" i="110" s="1"/>
  <c r="H428" i="110" s="1"/>
  <c r="E429" i="110" s="1"/>
  <c r="F429" i="110" s="1"/>
  <c r="I427" i="110"/>
  <c r="P427" i="110" l="1"/>
  <c r="Q427" i="110"/>
  <c r="M429" i="110"/>
  <c r="G429" i="110" s="1"/>
  <c r="O429" i="110" s="1"/>
  <c r="I428" i="110"/>
  <c r="G428" i="110"/>
  <c r="O428" i="110" s="1"/>
  <c r="H429" i="110" l="1"/>
  <c r="E430" i="110" s="1"/>
  <c r="F430" i="110" s="1"/>
  <c r="M430" i="110" s="1"/>
  <c r="H430" i="110" s="1"/>
  <c r="E431" i="110" s="1"/>
  <c r="F431" i="110" s="1"/>
  <c r="I429" i="110"/>
  <c r="Q428" i="110"/>
  <c r="P428" i="110"/>
  <c r="N428" i="110"/>
  <c r="Q429" i="110"/>
  <c r="P429" i="110"/>
  <c r="N429" i="110"/>
  <c r="G430" i="110" l="1"/>
  <c r="O430" i="110" s="1"/>
  <c r="M431" i="110"/>
  <c r="G431" i="110" s="1"/>
  <c r="O431" i="110" s="1"/>
  <c r="I430" i="110"/>
  <c r="N430" i="110"/>
  <c r="Q430" i="110"/>
  <c r="P430" i="110"/>
  <c r="Q431" i="110" l="1"/>
  <c r="N431" i="110"/>
  <c r="P431" i="110"/>
  <c r="H431" i="110"/>
  <c r="E432" i="110" s="1"/>
  <c r="F432" i="110" s="1"/>
  <c r="I431" i="110"/>
  <c r="M432" i="110" l="1"/>
  <c r="I432" i="110" s="1"/>
  <c r="H432" i="110" l="1"/>
  <c r="E433" i="110" s="1"/>
  <c r="F433" i="110" s="1"/>
  <c r="G432" i="110"/>
  <c r="O432" i="110" s="1"/>
  <c r="P432" i="110" l="1"/>
  <c r="Q432" i="110"/>
  <c r="N432" i="110"/>
  <c r="M433" i="110"/>
  <c r="I433" i="110" s="1"/>
  <c r="H433" i="110" l="1"/>
  <c r="E434" i="110" s="1"/>
  <c r="F434" i="110" s="1"/>
  <c r="M434" i="110" s="1"/>
  <c r="H434" i="110" s="1"/>
  <c r="E435" i="110" s="1"/>
  <c r="F435" i="110" s="1"/>
  <c r="G433" i="110"/>
  <c r="O433" i="110" s="1"/>
  <c r="P433" i="110" s="1"/>
  <c r="Q433" i="110"/>
  <c r="N433" i="110" l="1"/>
  <c r="G434" i="110"/>
  <c r="O434" i="110" s="1"/>
  <c r="N434" i="110" s="1"/>
  <c r="M435" i="110"/>
  <c r="G435" i="110" s="1"/>
  <c r="O435" i="110" s="1"/>
  <c r="I434" i="110"/>
  <c r="Q434" i="110" l="1"/>
  <c r="P434" i="110"/>
  <c r="I435" i="110"/>
  <c r="H435" i="110"/>
  <c r="E436" i="110" s="1"/>
  <c r="F436" i="110" s="1"/>
  <c r="M436" i="110" s="1"/>
  <c r="G436" i="110" s="1"/>
  <c r="O436" i="110" s="1"/>
  <c r="Q435" i="110"/>
  <c r="P435" i="110"/>
  <c r="N435" i="110"/>
  <c r="H436" i="110" l="1"/>
  <c r="E437" i="110" s="1"/>
  <c r="F437" i="110" s="1"/>
  <c r="M437" i="110" s="1"/>
  <c r="I437" i="110" s="1"/>
  <c r="I436" i="110"/>
  <c r="Q436" i="110"/>
  <c r="P436" i="110"/>
  <c r="N436" i="110"/>
  <c r="H437" i="110" l="1"/>
  <c r="E438" i="110" s="1"/>
  <c r="F438" i="110" s="1"/>
  <c r="M438" i="110" s="1"/>
  <c r="H438" i="110" s="1"/>
  <c r="E439" i="110" s="1"/>
  <c r="F439" i="110" s="1"/>
  <c r="G437" i="110"/>
  <c r="O437" i="110" s="1"/>
  <c r="N437" i="110" s="1"/>
  <c r="P437" i="110" l="1"/>
  <c r="Q437" i="110"/>
  <c r="I438" i="110"/>
  <c r="G438" i="110"/>
  <c r="O438" i="110" s="1"/>
  <c r="N438" i="110" s="1"/>
  <c r="M439" i="110"/>
  <c r="I439" i="110" s="1"/>
  <c r="P438" i="110" l="1"/>
  <c r="Q438" i="110"/>
  <c r="H439" i="110"/>
  <c r="E440" i="110" s="1"/>
  <c r="F440" i="110" s="1"/>
  <c r="G439" i="110"/>
  <c r="O439" i="110" s="1"/>
  <c r="Q439" i="110" l="1"/>
  <c r="N439" i="110"/>
  <c r="P439" i="110"/>
  <c r="M440" i="110"/>
  <c r="H440" i="110" s="1"/>
  <c r="E441" i="110" s="1"/>
  <c r="F441" i="110" s="1"/>
  <c r="M441" i="110" l="1"/>
  <c r="I441" i="110" s="1"/>
  <c r="G440" i="110"/>
  <c r="O440" i="110" s="1"/>
  <c r="I440" i="110"/>
  <c r="G441" i="110" l="1"/>
  <c r="O441" i="110" s="1"/>
  <c r="H441" i="110"/>
  <c r="E442" i="110" s="1"/>
  <c r="F442" i="110" s="1"/>
  <c r="M442" i="110" s="1"/>
  <c r="G442" i="110" s="1"/>
  <c r="O442" i="110" s="1"/>
  <c r="Q441" i="110"/>
  <c r="P441" i="110"/>
  <c r="N441" i="110"/>
  <c r="P440" i="110"/>
  <c r="N440" i="110"/>
  <c r="Q440" i="110"/>
  <c r="I442" i="110" l="1"/>
  <c r="Q442" i="110"/>
  <c r="P442" i="110"/>
  <c r="N442" i="110"/>
  <c r="H442" i="110"/>
  <c r="E443" i="110" s="1"/>
  <c r="F443" i="110" s="1"/>
  <c r="M443" i="110" l="1"/>
  <c r="H443" i="110" s="1"/>
  <c r="E444" i="110" s="1"/>
  <c r="F444" i="110" s="1"/>
  <c r="M444" i="110" l="1"/>
  <c r="G444" i="110" s="1"/>
  <c r="O444" i="110" s="1"/>
  <c r="I443" i="110"/>
  <c r="G443" i="110"/>
  <c r="O443" i="110" s="1"/>
  <c r="H444" i="110" l="1"/>
  <c r="E445" i="110" s="1"/>
  <c r="F445" i="110" s="1"/>
  <c r="I444" i="110"/>
  <c r="P444" i="110"/>
  <c r="N444" i="110"/>
  <c r="Q444" i="110"/>
  <c r="N443" i="110"/>
  <c r="Q443" i="110"/>
  <c r="P443" i="110"/>
  <c r="M445" i="110" l="1"/>
  <c r="I445" i="110" s="1"/>
  <c r="H445" i="110"/>
  <c r="E446" i="110" s="1"/>
  <c r="F446" i="110" s="1"/>
  <c r="G445" i="110" l="1"/>
  <c r="O445" i="110" s="1"/>
  <c r="M446" i="110"/>
  <c r="H446" i="110" s="1"/>
  <c r="E447" i="110" s="1"/>
  <c r="F447" i="110" s="1"/>
  <c r="M447" i="110" s="1"/>
  <c r="G447" i="110" s="1"/>
  <c r="O447" i="110" s="1"/>
  <c r="Q445" i="110" l="1"/>
  <c r="N445" i="110"/>
  <c r="P445" i="110"/>
  <c r="H447" i="110"/>
  <c r="E448" i="110" s="1"/>
  <c r="F448" i="110" s="1"/>
  <c r="M448" i="110" s="1"/>
  <c r="I447" i="110"/>
  <c r="G446" i="110"/>
  <c r="O446" i="110" s="1"/>
  <c r="I446" i="110"/>
  <c r="Q447" i="110"/>
  <c r="P447" i="110"/>
  <c r="N447" i="110"/>
  <c r="N446" i="110" l="1"/>
  <c r="P446" i="110"/>
  <c r="Q446" i="110"/>
  <c r="G448" i="110"/>
  <c r="O448" i="110" s="1"/>
  <c r="Q448" i="110" s="1"/>
  <c r="I448" i="110"/>
  <c r="H448" i="110"/>
  <c r="E449" i="110" s="1"/>
  <c r="F449" i="110" s="1"/>
  <c r="P448" i="110" l="1"/>
  <c r="N448" i="110"/>
  <c r="M449" i="110"/>
  <c r="I449" i="110" s="1"/>
  <c r="G449" i="110" l="1"/>
  <c r="O449" i="110" s="1"/>
  <c r="Q449" i="110" s="1"/>
  <c r="H449" i="110"/>
  <c r="E450" i="110" s="1"/>
  <c r="F450" i="110" s="1"/>
  <c r="P449" i="110" l="1"/>
  <c r="N449" i="110"/>
  <c r="M450" i="110"/>
  <c r="I450" i="110" s="1"/>
  <c r="G450" i="110" l="1"/>
  <c r="O450" i="110" s="1"/>
  <c r="H450" i="110"/>
  <c r="E451" i="110" s="1"/>
  <c r="F451" i="110" s="1"/>
  <c r="M451" i="110" s="1"/>
  <c r="I451" i="110" s="1"/>
  <c r="P450" i="110"/>
  <c r="Q450" i="110"/>
  <c r="N450" i="110"/>
  <c r="G451" i="110" l="1"/>
  <c r="O451" i="110" s="1"/>
  <c r="P451" i="110" s="1"/>
  <c r="H451" i="110"/>
  <c r="E452" i="110" s="1"/>
  <c r="F452" i="110" s="1"/>
  <c r="N451" i="110" l="1"/>
  <c r="Q451" i="110"/>
  <c r="M452" i="110"/>
  <c r="G452" i="110" s="1"/>
  <c r="O452" i="110" s="1"/>
  <c r="H452" i="110" l="1"/>
  <c r="E453" i="110" s="1"/>
  <c r="F453" i="110" s="1"/>
  <c r="M453" i="110" s="1"/>
  <c r="I453" i="110" s="1"/>
  <c r="I452" i="110"/>
  <c r="Q452" i="110"/>
  <c r="N452" i="110"/>
  <c r="P452" i="110"/>
  <c r="G453" i="110" l="1"/>
  <c r="O453" i="110" s="1"/>
  <c r="H453" i="110"/>
  <c r="E454" i="110" s="1"/>
  <c r="F454" i="110" s="1"/>
  <c r="M454" i="110" l="1"/>
  <c r="H454" i="110" s="1"/>
  <c r="E455" i="110" s="1"/>
  <c r="F455" i="110" s="1"/>
  <c r="P453" i="110"/>
  <c r="Q453" i="110"/>
  <c r="N453" i="110"/>
  <c r="M455" i="110" l="1"/>
  <c r="H455" i="110" s="1"/>
  <c r="E456" i="110" s="1"/>
  <c r="F456" i="110" s="1"/>
  <c r="G454" i="110"/>
  <c r="O454" i="110" s="1"/>
  <c r="I454" i="110"/>
  <c r="M456" i="110" l="1"/>
  <c r="G456" i="110" s="1"/>
  <c r="O456" i="110" s="1"/>
  <c r="H456" i="110"/>
  <c r="E457" i="110" s="1"/>
  <c r="F457" i="110" s="1"/>
  <c r="I456" i="110"/>
  <c r="G455" i="110"/>
  <c r="O455" i="110" s="1"/>
  <c r="N454" i="110"/>
  <c r="P454" i="110"/>
  <c r="Q454" i="110"/>
  <c r="I455" i="110"/>
  <c r="N456" i="110" l="1"/>
  <c r="Q456" i="110"/>
  <c r="P456" i="110"/>
  <c r="M457" i="110"/>
  <c r="H457" i="110" s="1"/>
  <c r="E458" i="110" s="1"/>
  <c r="F458" i="110" s="1"/>
  <c r="Q455" i="110"/>
  <c r="N455" i="110"/>
  <c r="P455" i="110"/>
  <c r="I457" i="110" l="1"/>
  <c r="G457" i="110"/>
  <c r="O457" i="110" s="1"/>
  <c r="P457" i="110" s="1"/>
  <c r="M458" i="110"/>
  <c r="H458" i="110" s="1"/>
  <c r="E459" i="110" s="1"/>
  <c r="F459" i="110" s="1"/>
  <c r="N457" i="110" l="1"/>
  <c r="Q457" i="110"/>
  <c r="I458" i="110"/>
  <c r="M459" i="110"/>
  <c r="I459" i="110" s="1"/>
  <c r="G458" i="110"/>
  <c r="O458" i="110" s="1"/>
  <c r="H459" i="110" l="1"/>
  <c r="E460" i="110" s="1"/>
  <c r="F460" i="110" s="1"/>
  <c r="M460" i="110" s="1"/>
  <c r="I460" i="110" s="1"/>
  <c r="P458" i="110"/>
  <c r="Q458" i="110"/>
  <c r="N458" i="110"/>
  <c r="G459" i="110"/>
  <c r="O459" i="110" s="1"/>
  <c r="H460" i="110" l="1"/>
  <c r="E461" i="110" s="1"/>
  <c r="F461" i="110" s="1"/>
  <c r="M461" i="110" s="1"/>
  <c r="G461" i="110" s="1"/>
  <c r="O461" i="110" s="1"/>
  <c r="G460" i="110"/>
  <c r="O460" i="110" s="1"/>
  <c r="N459" i="110"/>
  <c r="Q459" i="110"/>
  <c r="P459" i="110"/>
  <c r="P461" i="110" l="1"/>
  <c r="Q461" i="110"/>
  <c r="N461" i="110"/>
  <c r="I461" i="110"/>
  <c r="P460" i="110"/>
  <c r="N460" i="110"/>
  <c r="Q460" i="110"/>
  <c r="H461" i="110"/>
  <c r="E462" i="110" s="1"/>
  <c r="F462" i="110" s="1"/>
  <c r="M462" i="110" l="1"/>
  <c r="H462" i="110" s="1"/>
  <c r="E463" i="110" s="1"/>
  <c r="F463" i="110" s="1"/>
  <c r="G462" i="110" l="1"/>
  <c r="O462" i="110" s="1"/>
  <c r="Q462" i="110" s="1"/>
  <c r="M463" i="110"/>
  <c r="G463" i="110" s="1"/>
  <c r="O463" i="110" s="1"/>
  <c r="I462" i="110"/>
  <c r="P462" i="110" l="1"/>
  <c r="N462" i="110"/>
  <c r="H463" i="110"/>
  <c r="E464" i="110" s="1"/>
  <c r="F464" i="110" s="1"/>
  <c r="M464" i="110" s="1"/>
  <c r="G464" i="110" s="1"/>
  <c r="O464" i="110" s="1"/>
  <c r="I463" i="110"/>
  <c r="P463" i="110"/>
  <c r="Q463" i="110"/>
  <c r="N463" i="110"/>
  <c r="Q464" i="110" l="1"/>
  <c r="N464" i="110"/>
  <c r="P464" i="110"/>
  <c r="I464" i="110"/>
  <c r="H464" i="110"/>
  <c r="E465" i="110" s="1"/>
  <c r="F465" i="110" s="1"/>
  <c r="M465" i="110" l="1"/>
  <c r="H465" i="110" s="1"/>
  <c r="E466" i="110" s="1"/>
  <c r="F466" i="110" s="1"/>
  <c r="I465" i="110" l="1"/>
  <c r="G465" i="110"/>
  <c r="O465" i="110" s="1"/>
  <c r="P465" i="110" s="1"/>
  <c r="M466" i="110"/>
  <c r="I466" i="110" s="1"/>
  <c r="N465" i="110" l="1"/>
  <c r="Q465" i="110"/>
  <c r="G466" i="110"/>
  <c r="O466" i="110" s="1"/>
  <c r="P466" i="110" s="1"/>
  <c r="H466" i="110"/>
  <c r="E467" i="110" s="1"/>
  <c r="F467" i="110" s="1"/>
  <c r="N466" i="110" l="1"/>
  <c r="Q466" i="110"/>
  <c r="M467" i="110"/>
  <c r="I467" i="110" s="1"/>
  <c r="H467" i="110" l="1"/>
  <c r="E468" i="110" s="1"/>
  <c r="F468" i="110" s="1"/>
  <c r="M468" i="110" s="1"/>
  <c r="H468" i="110" s="1"/>
  <c r="E469" i="110" s="1"/>
  <c r="F469" i="110" s="1"/>
  <c r="G467" i="110"/>
  <c r="O467" i="110" s="1"/>
  <c r="N467" i="110" s="1"/>
  <c r="Q467" i="110" l="1"/>
  <c r="P467" i="110"/>
  <c r="M469" i="110"/>
  <c r="H469" i="110" s="1"/>
  <c r="E470" i="110" s="1"/>
  <c r="F470" i="110" s="1"/>
  <c r="G468" i="110"/>
  <c r="O468" i="110" s="1"/>
  <c r="I468" i="110"/>
  <c r="M470" i="110" l="1"/>
  <c r="H470" i="110" s="1"/>
  <c r="E471" i="110" s="1"/>
  <c r="F471" i="110" s="1"/>
  <c r="N468" i="110"/>
  <c r="Q468" i="110"/>
  <c r="P468" i="110"/>
  <c r="I469" i="110"/>
  <c r="G469" i="110"/>
  <c r="O469" i="110" s="1"/>
  <c r="N469" i="110" l="1"/>
  <c r="P469" i="110"/>
  <c r="Q469" i="110"/>
  <c r="M471" i="110"/>
  <c r="I471" i="110" s="1"/>
  <c r="G470" i="110"/>
  <c r="O470" i="110" s="1"/>
  <c r="I470" i="110"/>
  <c r="G471" i="110" l="1"/>
  <c r="O471" i="110" s="1"/>
  <c r="N471" i="110" s="1"/>
  <c r="P470" i="110"/>
  <c r="Q470" i="110"/>
  <c r="N470" i="110"/>
  <c r="H471" i="110"/>
  <c r="E472" i="110" s="1"/>
  <c r="F472" i="110" s="1"/>
  <c r="M472" i="110" s="1"/>
  <c r="H472" i="110" s="1"/>
  <c r="E473" i="110" s="1"/>
  <c r="F473" i="110" s="1"/>
  <c r="P471" i="110" l="1"/>
  <c r="Q471" i="110"/>
  <c r="I472" i="110"/>
  <c r="M473" i="110"/>
  <c r="H473" i="110" s="1"/>
  <c r="E474" i="110" s="1"/>
  <c r="F474" i="110" s="1"/>
  <c r="M474" i="110" s="1"/>
  <c r="I474" i="110" s="1"/>
  <c r="G472" i="110"/>
  <c r="O472" i="110" s="1"/>
  <c r="N472" i="110" s="1"/>
  <c r="Q472" i="110" l="1"/>
  <c r="P472" i="110"/>
  <c r="G473" i="110"/>
  <c r="O473" i="110" s="1"/>
  <c r="I473" i="110"/>
  <c r="G474" i="110"/>
  <c r="O474" i="110" s="1"/>
  <c r="H474" i="110"/>
  <c r="E475" i="110" s="1"/>
  <c r="F475" i="110" s="1"/>
  <c r="N473" i="110" l="1"/>
  <c r="Q473" i="110"/>
  <c r="P473" i="110"/>
  <c r="M475" i="110"/>
  <c r="H475" i="110" s="1"/>
  <c r="E476" i="110" s="1"/>
  <c r="F476" i="110" s="1"/>
  <c r="N474" i="110"/>
  <c r="Q474" i="110"/>
  <c r="P474" i="110"/>
  <c r="M476" i="110" l="1"/>
  <c r="I476" i="110" s="1"/>
  <c r="G475" i="110"/>
  <c r="O475" i="110" s="1"/>
  <c r="I475" i="110"/>
  <c r="N475" i="110" l="1"/>
  <c r="Q475" i="110"/>
  <c r="P475" i="110"/>
  <c r="H476" i="110"/>
  <c r="E477" i="110" s="1"/>
  <c r="F477" i="110" s="1"/>
  <c r="G476" i="110"/>
  <c r="O476" i="110" s="1"/>
  <c r="P476" i="110" l="1"/>
  <c r="N476" i="110"/>
  <c r="Q476" i="110"/>
  <c r="M477" i="110"/>
  <c r="G477" i="110" s="1"/>
  <c r="O477" i="110" s="1"/>
  <c r="P477" i="110" l="1"/>
  <c r="Q477" i="110"/>
  <c r="N477" i="110"/>
  <c r="I477" i="110"/>
  <c r="H477" i="110"/>
  <c r="E478" i="110" s="1"/>
  <c r="F478" i="110" s="1"/>
  <c r="M478" i="110" l="1"/>
  <c r="H478" i="110" s="1"/>
  <c r="E479" i="110" s="1"/>
  <c r="F479" i="110" s="1"/>
  <c r="M479" i="110" l="1"/>
  <c r="I479" i="110"/>
  <c r="H479" i="110"/>
  <c r="E480" i="110" s="1"/>
  <c r="F480" i="110" s="1"/>
  <c r="G479" i="110"/>
  <c r="O479" i="110" s="1"/>
  <c r="G478" i="110"/>
  <c r="O478" i="110" s="1"/>
  <c r="I478" i="110"/>
  <c r="Q479" i="110" l="1"/>
  <c r="P479" i="110"/>
  <c r="N479" i="110"/>
  <c r="Q478" i="110"/>
  <c r="P478" i="110"/>
  <c r="N478" i="110"/>
  <c r="M480" i="110"/>
  <c r="G480" i="110" s="1"/>
  <c r="O480" i="110" s="1"/>
  <c r="Q480" i="110" l="1"/>
  <c r="P480" i="110"/>
  <c r="N480" i="110"/>
  <c r="I480" i="110"/>
  <c r="H480" i="110"/>
  <c r="E481" i="110" s="1"/>
  <c r="F481" i="110" s="1"/>
  <c r="M481" i="110" l="1"/>
  <c r="G481" i="110" s="1"/>
  <c r="O481" i="110" s="1"/>
  <c r="H481" i="110" l="1"/>
  <c r="E482" i="110" s="1"/>
  <c r="F482" i="110" s="1"/>
  <c r="M482" i="110" s="1"/>
  <c r="G482" i="110" s="1"/>
  <c r="O482" i="110" s="1"/>
  <c r="I481" i="110"/>
  <c r="P481" i="110"/>
  <c r="N481" i="110"/>
  <c r="Q481" i="110"/>
  <c r="H482" i="110" l="1"/>
  <c r="E483" i="110" s="1"/>
  <c r="F483" i="110" s="1"/>
  <c r="M483" i="110" s="1"/>
  <c r="G483" i="110" s="1"/>
  <c r="O483" i="110" s="1"/>
  <c r="Q482" i="110"/>
  <c r="P482" i="110"/>
  <c r="N482" i="110"/>
  <c r="I482" i="110"/>
  <c r="H483" i="110" l="1"/>
  <c r="E484" i="110" s="1"/>
  <c r="F484" i="110" s="1"/>
  <c r="M484" i="110" s="1"/>
  <c r="I484" i="110" s="1"/>
  <c r="I483" i="110"/>
  <c r="N483" i="110"/>
  <c r="Q483" i="110"/>
  <c r="P483" i="110"/>
  <c r="H484" i="110" l="1"/>
  <c r="E485" i="110" s="1"/>
  <c r="F485" i="110" s="1"/>
  <c r="M485" i="110" s="1"/>
  <c r="H485" i="110" s="1"/>
  <c r="E486" i="110" s="1"/>
  <c r="F486" i="110" s="1"/>
  <c r="G484" i="110"/>
  <c r="O484" i="110" s="1"/>
  <c r="N484" i="110" s="1"/>
  <c r="Q484" i="110" l="1"/>
  <c r="P484" i="110"/>
  <c r="G485" i="110"/>
  <c r="O485" i="110" s="1"/>
  <c r="N485" i="110" s="1"/>
  <c r="M486" i="110"/>
  <c r="H486" i="110" s="1"/>
  <c r="E487" i="110" s="1"/>
  <c r="F487" i="110" s="1"/>
  <c r="I485" i="110"/>
  <c r="P485" i="110" l="1"/>
  <c r="Q485" i="110"/>
  <c r="M487" i="110"/>
  <c r="H487" i="110" s="1"/>
  <c r="E488" i="110" s="1"/>
  <c r="F488" i="110" s="1"/>
  <c r="G486" i="110"/>
  <c r="O486" i="110" s="1"/>
  <c r="I486" i="110"/>
  <c r="I487" i="110" l="1"/>
  <c r="M488" i="110"/>
  <c r="G488" i="110" s="1"/>
  <c r="O488" i="110" s="1"/>
  <c r="Q486" i="110"/>
  <c r="P486" i="110"/>
  <c r="N486" i="110"/>
  <c r="G487" i="110"/>
  <c r="O487" i="110" s="1"/>
  <c r="H488" i="110" l="1"/>
  <c r="E489" i="110" s="1"/>
  <c r="F489" i="110" s="1"/>
  <c r="M489" i="110" s="1"/>
  <c r="I489" i="110" s="1"/>
  <c r="I488" i="110"/>
  <c r="Q487" i="110"/>
  <c r="P487" i="110"/>
  <c r="N487" i="110"/>
  <c r="Q488" i="110"/>
  <c r="P488" i="110"/>
  <c r="N488" i="110"/>
  <c r="G489" i="110" l="1"/>
  <c r="O489" i="110" s="1"/>
  <c r="H489" i="110"/>
  <c r="E490" i="110" s="1"/>
  <c r="F490" i="110" s="1"/>
  <c r="M490" i="110" s="1"/>
  <c r="G490" i="110" s="1"/>
  <c r="O490" i="110" s="1"/>
  <c r="P489" i="110"/>
  <c r="Q489" i="110"/>
  <c r="N489" i="110"/>
  <c r="I490" i="110" l="1"/>
  <c r="H490" i="110"/>
  <c r="E491" i="110" s="1"/>
  <c r="F491" i="110" s="1"/>
  <c r="M491" i="110" s="1"/>
  <c r="P490" i="110"/>
  <c r="Q490" i="110"/>
  <c r="N490" i="110"/>
  <c r="I491" i="110" l="1"/>
  <c r="G491" i="110"/>
  <c r="O491" i="110" s="1"/>
  <c r="Q491" i="110" s="1"/>
  <c r="H491" i="110"/>
  <c r="E492" i="110" s="1"/>
  <c r="F492" i="110" s="1"/>
  <c r="M492" i="110" s="1"/>
  <c r="H492" i="110" s="1"/>
  <c r="E493" i="110" s="1"/>
  <c r="F493" i="110" s="1"/>
  <c r="N491" i="110" l="1"/>
  <c r="P491" i="110"/>
  <c r="M493" i="110"/>
  <c r="G493" i="110" s="1"/>
  <c r="O493" i="110" s="1"/>
  <c r="I492" i="110"/>
  <c r="G492" i="110"/>
  <c r="O492" i="110" s="1"/>
  <c r="Q493" i="110" l="1"/>
  <c r="P493" i="110"/>
  <c r="N493" i="110"/>
  <c r="H493" i="110"/>
  <c r="E494" i="110" s="1"/>
  <c r="F494" i="110" s="1"/>
  <c r="P492" i="110"/>
  <c r="N492" i="110"/>
  <c r="Q492" i="110"/>
  <c r="I493" i="110"/>
  <c r="M494" i="110" l="1"/>
  <c r="H494" i="110" s="1"/>
  <c r="E495" i="110" s="1"/>
  <c r="F495" i="110" s="1"/>
  <c r="G494" i="110" l="1"/>
  <c r="O494" i="110" s="1"/>
  <c r="I494" i="110"/>
  <c r="M495" i="110"/>
  <c r="G495" i="110" s="1"/>
  <c r="O495" i="110" s="1"/>
  <c r="Q494" i="110"/>
  <c r="P494" i="110"/>
  <c r="N494" i="110"/>
  <c r="Q495" i="110" l="1"/>
  <c r="N495" i="110"/>
  <c r="P495" i="110"/>
  <c r="H495" i="110"/>
  <c r="E496" i="110" s="1"/>
  <c r="F496" i="110" s="1"/>
  <c r="I495" i="110"/>
  <c r="M496" i="110" l="1"/>
  <c r="I496" i="110" s="1"/>
  <c r="H496" i="110" l="1"/>
  <c r="E497" i="110" s="1"/>
  <c r="F497" i="110" s="1"/>
  <c r="M497" i="110" s="1"/>
  <c r="I497" i="110" s="1"/>
  <c r="G496" i="110"/>
  <c r="O496" i="110" s="1"/>
  <c r="N496" i="110" s="1"/>
  <c r="Q496" i="110" l="1"/>
  <c r="P496" i="110"/>
  <c r="H497" i="110"/>
  <c r="E498" i="110" s="1"/>
  <c r="F498" i="110" s="1"/>
  <c r="M498" i="110" s="1"/>
  <c r="H498" i="110" s="1"/>
  <c r="E499" i="110" s="1"/>
  <c r="F499" i="110" s="1"/>
  <c r="G497" i="110"/>
  <c r="O497" i="110" s="1"/>
  <c r="N497" i="110" s="1"/>
  <c r="P497" i="110" l="1"/>
  <c r="Q497" i="110"/>
  <c r="M499" i="110"/>
  <c r="G499" i="110" s="1"/>
  <c r="O499" i="110" s="1"/>
  <c r="G498" i="110"/>
  <c r="O498" i="110" s="1"/>
  <c r="I498" i="110"/>
  <c r="Q499" i="110" l="1"/>
  <c r="P499" i="110"/>
  <c r="N499" i="110"/>
  <c r="N498" i="110"/>
  <c r="Q498" i="110"/>
  <c r="P498" i="110"/>
  <c r="I499" i="110"/>
  <c r="H499" i="110"/>
  <c r="E500" i="110" s="1"/>
  <c r="F500" i="110" s="1"/>
  <c r="M500" i="110" l="1"/>
  <c r="I500" i="110" s="1"/>
  <c r="H500" i="110" l="1"/>
  <c r="E501" i="110" s="1"/>
  <c r="F501" i="110" s="1"/>
  <c r="M501" i="110" s="1"/>
  <c r="H501" i="110" s="1"/>
  <c r="E502" i="110" s="1"/>
  <c r="F502" i="110" s="1"/>
  <c r="G500" i="110"/>
  <c r="O500" i="110" s="1"/>
  <c r="N500" i="110" s="1"/>
  <c r="P500" i="110" l="1"/>
  <c r="Q500" i="110"/>
  <c r="M502" i="110"/>
  <c r="H502" i="110" s="1"/>
  <c r="E503" i="110" s="1"/>
  <c r="F503" i="110" s="1"/>
  <c r="G501" i="110"/>
  <c r="O501" i="110" s="1"/>
  <c r="I501" i="110"/>
  <c r="G502" i="110" l="1"/>
  <c r="O502" i="110" s="1"/>
  <c r="I502" i="110"/>
  <c r="M503" i="110"/>
  <c r="I503" i="110" s="1"/>
  <c r="N501" i="110"/>
  <c r="Q501" i="110"/>
  <c r="P501" i="110"/>
  <c r="N502" i="110"/>
  <c r="Q502" i="110"/>
  <c r="P502" i="110"/>
  <c r="G503" i="110" l="1"/>
  <c r="O503" i="110" s="1"/>
  <c r="Q503" i="110" s="1"/>
  <c r="H503" i="110"/>
  <c r="E504" i="110" s="1"/>
  <c r="F504" i="110" s="1"/>
  <c r="P503" i="110" l="1"/>
  <c r="N503" i="110"/>
  <c r="M504" i="110"/>
  <c r="I504" i="110" s="1"/>
  <c r="H504" i="110" l="1"/>
  <c r="E505" i="110" s="1"/>
  <c r="F505" i="110" s="1"/>
  <c r="M505" i="110" s="1"/>
  <c r="G505" i="110" s="1"/>
  <c r="O505" i="110" s="1"/>
  <c r="G504" i="110"/>
  <c r="O504" i="110" s="1"/>
  <c r="Q504" i="110" s="1"/>
  <c r="P504" i="110" l="1"/>
  <c r="N504" i="110"/>
  <c r="H505" i="110"/>
  <c r="E506" i="110" s="1"/>
  <c r="F506" i="110" s="1"/>
  <c r="M506" i="110" s="1"/>
  <c r="I506" i="110" s="1"/>
  <c r="I505" i="110"/>
  <c r="P505" i="110"/>
  <c r="Q505" i="110"/>
  <c r="N505" i="110"/>
  <c r="G506" i="110" l="1"/>
  <c r="O506" i="110" s="1"/>
  <c r="P506" i="110" s="1"/>
  <c r="H506" i="110"/>
  <c r="E507" i="110" s="1"/>
  <c r="F507" i="110" s="1"/>
  <c r="N506" i="110" l="1"/>
  <c r="Q506" i="110"/>
  <c r="M507" i="110"/>
  <c r="G507" i="110" s="1"/>
  <c r="O507" i="110" s="1"/>
  <c r="H507" i="110" l="1"/>
  <c r="E508" i="110" s="1"/>
  <c r="F508" i="110" s="1"/>
  <c r="M508" i="110" s="1"/>
  <c r="I508" i="110" s="1"/>
  <c r="I507" i="110"/>
  <c r="Q507" i="110"/>
  <c r="P507" i="110"/>
  <c r="N507" i="110"/>
  <c r="G508" i="110" l="1"/>
  <c r="O508" i="110" s="1"/>
  <c r="H508" i="110"/>
  <c r="E509" i="110" s="1"/>
  <c r="F509" i="110" s="1"/>
  <c r="M509" i="110" s="1"/>
  <c r="H509" i="110" s="1"/>
  <c r="E510" i="110" s="1"/>
  <c r="F510" i="110" s="1"/>
  <c r="P508" i="110"/>
  <c r="Q508" i="110"/>
  <c r="N508" i="110"/>
  <c r="I509" i="110" l="1"/>
  <c r="G509" i="110"/>
  <c r="O509" i="110" s="1"/>
  <c r="Q509" i="110" s="1"/>
  <c r="M510" i="110"/>
  <c r="H510" i="110" s="1"/>
  <c r="E511" i="110" s="1"/>
  <c r="F511" i="110" s="1"/>
  <c r="N509" i="110" l="1"/>
  <c r="P509" i="110"/>
  <c r="M511" i="110"/>
  <c r="I511" i="110" s="1"/>
  <c r="I510" i="110"/>
  <c r="G510" i="110"/>
  <c r="O510" i="110" s="1"/>
  <c r="G511" i="110" l="1"/>
  <c r="O511" i="110" s="1"/>
  <c r="Q511" i="110" s="1"/>
  <c r="H511" i="110"/>
  <c r="E512" i="110" s="1"/>
  <c r="F512" i="110" s="1"/>
  <c r="M512" i="110" s="1"/>
  <c r="I512" i="110" s="1"/>
  <c r="N510" i="110"/>
  <c r="P510" i="110"/>
  <c r="Q510" i="110"/>
  <c r="N511" i="110" l="1"/>
  <c r="P511" i="110"/>
  <c r="G512" i="110"/>
  <c r="O512" i="110" s="1"/>
  <c r="N512" i="110" s="1"/>
  <c r="H512" i="110"/>
  <c r="E513" i="110" s="1"/>
  <c r="F513" i="110" s="1"/>
  <c r="P512" i="110" l="1"/>
  <c r="Q512" i="110"/>
  <c r="M513" i="110"/>
  <c r="I513" i="110" s="1"/>
  <c r="G513" i="110" l="1"/>
  <c r="O513" i="110" s="1"/>
  <c r="N513" i="110" s="1"/>
  <c r="H513" i="110"/>
  <c r="E514" i="110" s="1"/>
  <c r="F514" i="110" s="1"/>
  <c r="M514" i="110" s="1"/>
  <c r="H514" i="110" s="1"/>
  <c r="E515" i="110" s="1"/>
  <c r="F515" i="110" s="1"/>
  <c r="P513" i="110" l="1"/>
  <c r="Q513" i="110"/>
  <c r="M515" i="110"/>
  <c r="I515" i="110" s="1"/>
  <c r="I514" i="110"/>
  <c r="G514" i="110"/>
  <c r="O514" i="110" s="1"/>
  <c r="G515" i="110" l="1"/>
  <c r="O515" i="110" s="1"/>
  <c r="N514" i="110"/>
  <c r="Q514" i="110"/>
  <c r="P514" i="110"/>
  <c r="Q515" i="110"/>
  <c r="P515" i="110"/>
  <c r="N515" i="110"/>
  <c r="H515" i="110"/>
  <c r="E516" i="110" s="1"/>
  <c r="F516" i="110" s="1"/>
  <c r="M516" i="110" l="1"/>
  <c r="G516" i="110" s="1"/>
  <c r="O516" i="110" s="1"/>
  <c r="Q516" i="110" l="1"/>
  <c r="P516" i="110"/>
  <c r="N516" i="110"/>
  <c r="H516" i="110"/>
  <c r="E517" i="110" s="1"/>
  <c r="F517" i="110" s="1"/>
  <c r="I516" i="110"/>
  <c r="M517" i="110" l="1"/>
  <c r="G517" i="110" s="1"/>
  <c r="O517" i="110" s="1"/>
  <c r="H517" i="110" l="1"/>
  <c r="E518" i="110" s="1"/>
  <c r="F518" i="110" s="1"/>
  <c r="M518" i="110" s="1"/>
  <c r="H518" i="110" s="1"/>
  <c r="E519" i="110" s="1"/>
  <c r="F519" i="110" s="1"/>
  <c r="I517" i="110"/>
  <c r="P517" i="110"/>
  <c r="Q517" i="110"/>
  <c r="N517" i="110"/>
  <c r="M519" i="110" l="1"/>
  <c r="G519" i="110" s="1"/>
  <c r="O519" i="110" s="1"/>
  <c r="G518" i="110"/>
  <c r="O518" i="110" s="1"/>
  <c r="I518" i="110"/>
  <c r="I519" i="110" l="1"/>
  <c r="H519" i="110"/>
  <c r="E520" i="110" s="1"/>
  <c r="F520" i="110" s="1"/>
  <c r="M520" i="110" s="1"/>
  <c r="I520" i="110" s="1"/>
  <c r="Q519" i="110"/>
  <c r="P519" i="110"/>
  <c r="N519" i="110"/>
  <c r="P518" i="110"/>
  <c r="Q518" i="110"/>
  <c r="N518" i="110"/>
  <c r="G520" i="110" l="1"/>
  <c r="O520" i="110" s="1"/>
  <c r="H520" i="110"/>
  <c r="E521" i="110" s="1"/>
  <c r="F521" i="110" s="1"/>
  <c r="M521" i="110" s="1"/>
  <c r="H521" i="110" s="1"/>
  <c r="E522" i="110" s="1"/>
  <c r="F522" i="110" s="1"/>
  <c r="N520" i="110"/>
  <c r="Q520" i="110"/>
  <c r="P520" i="110"/>
  <c r="I521" i="110" l="1"/>
  <c r="G521" i="110"/>
  <c r="O521" i="110" s="1"/>
  <c r="N521" i="110" s="1"/>
  <c r="M522" i="110"/>
  <c r="G522" i="110" s="1"/>
  <c r="O522" i="110" s="1"/>
  <c r="Q521" i="110" l="1"/>
  <c r="P521" i="110"/>
  <c r="H522" i="110"/>
  <c r="E523" i="110" s="1"/>
  <c r="F523" i="110" s="1"/>
  <c r="M523" i="110" s="1"/>
  <c r="I522" i="110"/>
  <c r="Q522" i="110"/>
  <c r="P522" i="110"/>
  <c r="N522" i="110"/>
  <c r="H523" i="110" l="1"/>
  <c r="E524" i="110" s="1"/>
  <c r="F524" i="110" s="1"/>
  <c r="M524" i="110" s="1"/>
  <c r="I523" i="110"/>
  <c r="G523" i="110"/>
  <c r="O523" i="110" s="1"/>
  <c r="Q523" i="110" s="1"/>
  <c r="I524" i="110" l="1"/>
  <c r="G524" i="110"/>
  <c r="O524" i="110" s="1"/>
  <c r="N524" i="110" s="1"/>
  <c r="H524" i="110"/>
  <c r="E525" i="110" s="1"/>
  <c r="F525" i="110" s="1"/>
  <c r="N523" i="110"/>
  <c r="P523" i="110"/>
  <c r="Q524" i="110" l="1"/>
  <c r="P524" i="110"/>
  <c r="M525" i="110"/>
  <c r="H525" i="110" s="1"/>
  <c r="E526" i="110" s="1"/>
  <c r="F526" i="110" s="1"/>
  <c r="G525" i="110" l="1"/>
  <c r="O525" i="110" s="1"/>
  <c r="N525" i="110" s="1"/>
  <c r="M526" i="110"/>
  <c r="H526" i="110" s="1"/>
  <c r="E527" i="110" s="1"/>
  <c r="F527" i="110" s="1"/>
  <c r="M527" i="110" s="1"/>
  <c r="H527" i="110" s="1"/>
  <c r="E528" i="110" s="1"/>
  <c r="F528" i="110" s="1"/>
  <c r="I525" i="110"/>
  <c r="Q525" i="110" l="1"/>
  <c r="P525" i="110"/>
  <c r="G526" i="110"/>
  <c r="O526" i="110" s="1"/>
  <c r="N526" i="110" s="1"/>
  <c r="I526" i="110"/>
  <c r="M528" i="110"/>
  <c r="G528" i="110" s="1"/>
  <c r="O528" i="110" s="1"/>
  <c r="I527" i="110"/>
  <c r="G527" i="110"/>
  <c r="O527" i="110" s="1"/>
  <c r="P526" i="110" l="1"/>
  <c r="Q526" i="110"/>
  <c r="Q528" i="110"/>
  <c r="N528" i="110"/>
  <c r="P528" i="110"/>
  <c r="Q527" i="110"/>
  <c r="P527" i="110"/>
  <c r="N527" i="110"/>
  <c r="I528" i="110"/>
  <c r="H528" i="110"/>
  <c r="E529" i="110" s="1"/>
  <c r="F529" i="110" s="1"/>
  <c r="M529" i="110" l="1"/>
  <c r="H529" i="110" s="1"/>
  <c r="E530" i="110" s="1"/>
  <c r="F530" i="110" s="1"/>
  <c r="I529" i="110" l="1"/>
  <c r="G529" i="110"/>
  <c r="O529" i="110" s="1"/>
  <c r="Q529" i="110" s="1"/>
  <c r="M530" i="110"/>
  <c r="H530" i="110" s="1"/>
  <c r="E531" i="110" s="1"/>
  <c r="F531" i="110" s="1"/>
  <c r="N529" i="110" l="1"/>
  <c r="P529" i="110"/>
  <c r="M531" i="110"/>
  <c r="H531" i="110" s="1"/>
  <c r="E532" i="110" s="1"/>
  <c r="F532" i="110" s="1"/>
  <c r="I530" i="110"/>
  <c r="G530" i="110"/>
  <c r="O530" i="110" s="1"/>
  <c r="G531" i="110" l="1"/>
  <c r="O531" i="110" s="1"/>
  <c r="I531" i="110"/>
  <c r="M532" i="110"/>
  <c r="I532" i="110" s="1"/>
  <c r="N530" i="110"/>
  <c r="P530" i="110"/>
  <c r="Q530" i="110"/>
  <c r="P531" i="110"/>
  <c r="N531" i="110"/>
  <c r="Q531" i="110"/>
  <c r="G532" i="110" l="1"/>
  <c r="O532" i="110" s="1"/>
  <c r="N532" i="110" s="1"/>
  <c r="H532" i="110"/>
  <c r="E533" i="110" s="1"/>
  <c r="F533" i="110" s="1"/>
  <c r="P532" i="110" l="1"/>
  <c r="Q532" i="110"/>
  <c r="M533" i="110"/>
  <c r="G533" i="110" s="1"/>
  <c r="O533" i="110" s="1"/>
  <c r="N533" i="110" l="1"/>
  <c r="Q533" i="110"/>
  <c r="P533" i="110"/>
  <c r="I533" i="110"/>
  <c r="H533" i="110"/>
  <c r="E534" i="110" s="1"/>
  <c r="F534" i="110" s="1"/>
  <c r="M534" i="110" l="1"/>
  <c r="H534" i="110" s="1"/>
  <c r="E535" i="110" s="1"/>
  <c r="F535" i="110" s="1"/>
  <c r="M535" i="110" l="1"/>
  <c r="I535" i="110"/>
  <c r="H535" i="110"/>
  <c r="E536" i="110" s="1"/>
  <c r="F536" i="110" s="1"/>
  <c r="G535" i="110"/>
  <c r="O535" i="110" s="1"/>
  <c r="G534" i="110"/>
  <c r="O534" i="110" s="1"/>
  <c r="I534" i="110"/>
  <c r="Q535" i="110" l="1"/>
  <c r="P535" i="110"/>
  <c r="N535" i="110"/>
  <c r="P534" i="110"/>
  <c r="Q534" i="110"/>
  <c r="N534" i="110"/>
  <c r="M536" i="110"/>
  <c r="I536" i="110" s="1"/>
  <c r="H536" i="110" l="1"/>
  <c r="E537" i="110" s="1"/>
  <c r="F537" i="110" s="1"/>
  <c r="G536" i="110"/>
  <c r="O536" i="110" s="1"/>
  <c r="Q536" i="110" l="1"/>
  <c r="P536" i="110"/>
  <c r="N536" i="110"/>
  <c r="M537" i="110"/>
  <c r="I537" i="110" s="1"/>
  <c r="G537" i="110" l="1"/>
  <c r="O537" i="110" s="1"/>
  <c r="N537" i="110" s="1"/>
  <c r="H537" i="110"/>
  <c r="E538" i="110" s="1"/>
  <c r="F538" i="110" s="1"/>
  <c r="M538" i="110" s="1"/>
  <c r="H538" i="110" s="1"/>
  <c r="E539" i="110" s="1"/>
  <c r="F539" i="110" s="1"/>
  <c r="Q537" i="110" l="1"/>
  <c r="P537" i="110"/>
  <c r="M539" i="110"/>
  <c r="H539" i="110" s="1"/>
  <c r="E540" i="110" s="1"/>
  <c r="F540" i="110" s="1"/>
  <c r="I538" i="110"/>
  <c r="G538" i="110"/>
  <c r="O538" i="110" s="1"/>
  <c r="M540" i="110" l="1"/>
  <c r="I540" i="110" s="1"/>
  <c r="Q538" i="110"/>
  <c r="N538" i="110"/>
  <c r="P538" i="110"/>
  <c r="I539" i="110"/>
  <c r="G539" i="110"/>
  <c r="O539" i="110" s="1"/>
  <c r="G540" i="110" l="1"/>
  <c r="O540" i="110" s="1"/>
  <c r="Q540" i="110" s="1"/>
  <c r="H540" i="110"/>
  <c r="E541" i="110" s="1"/>
  <c r="F541" i="110" s="1"/>
  <c r="M541" i="110" s="1"/>
  <c r="H541" i="110" s="1"/>
  <c r="E542" i="110" s="1"/>
  <c r="F542" i="110" s="1"/>
  <c r="N539" i="110"/>
  <c r="P539" i="110"/>
  <c r="Q539" i="110"/>
  <c r="P540" i="110" l="1"/>
  <c r="N540" i="110"/>
  <c r="G541" i="110"/>
  <c r="O541" i="110" s="1"/>
  <c r="N541" i="110" s="1"/>
  <c r="I541" i="110"/>
  <c r="M542" i="110"/>
  <c r="H542" i="110" s="1"/>
  <c r="E543" i="110" s="1"/>
  <c r="F543" i="110" s="1"/>
  <c r="P541" i="110" l="1"/>
  <c r="Q541" i="110"/>
  <c r="I542" i="110"/>
  <c r="M543" i="110"/>
  <c r="I543" i="110" s="1"/>
  <c r="G542" i="110"/>
  <c r="O542" i="110" s="1"/>
  <c r="H543" i="110" l="1"/>
  <c r="E544" i="110" s="1"/>
  <c r="F544" i="110" s="1"/>
  <c r="M544" i="110" s="1"/>
  <c r="I544" i="110" s="1"/>
  <c r="G543" i="110"/>
  <c r="O543" i="110" s="1"/>
  <c r="Q543" i="110" s="1"/>
  <c r="N542" i="110"/>
  <c r="P542" i="110"/>
  <c r="Q542" i="110"/>
  <c r="P543" i="110" l="1"/>
  <c r="N543" i="110"/>
  <c r="G544" i="110"/>
  <c r="O544" i="110" s="1"/>
  <c r="Q544" i="110" s="1"/>
  <c r="H544" i="110"/>
  <c r="E545" i="110" s="1"/>
  <c r="F545" i="110" s="1"/>
  <c r="N544" i="110" l="1"/>
  <c r="P544" i="110"/>
  <c r="M545" i="110"/>
  <c r="I545" i="110" s="1"/>
  <c r="H545" i="110" l="1"/>
  <c r="E546" i="110" s="1"/>
  <c r="F546" i="110" s="1"/>
  <c r="M546" i="110" s="1"/>
  <c r="G546" i="110" s="1"/>
  <c r="O546" i="110" s="1"/>
  <c r="G545" i="110"/>
  <c r="O545" i="110" s="1"/>
  <c r="N546" i="110" l="1"/>
  <c r="Q546" i="110"/>
  <c r="P546" i="110"/>
  <c r="Q545" i="110"/>
  <c r="P545" i="110"/>
  <c r="N545" i="110"/>
  <c r="H546" i="110"/>
  <c r="E547" i="110" s="1"/>
  <c r="F547" i="110" s="1"/>
  <c r="I546" i="110"/>
  <c r="M547" i="110" l="1"/>
  <c r="I547" i="110" s="1"/>
  <c r="G547" i="110" l="1"/>
  <c r="O547" i="110" s="1"/>
  <c r="P547" i="110" s="1"/>
  <c r="H547" i="110"/>
  <c r="E548" i="110" s="1"/>
  <c r="F548" i="110" s="1"/>
  <c r="N547" i="110" l="1"/>
  <c r="Q547" i="110"/>
  <c r="M548" i="110"/>
  <c r="G548" i="110" s="1"/>
  <c r="O548" i="110" s="1"/>
  <c r="H548" i="110" l="1"/>
  <c r="E549" i="110" s="1"/>
  <c r="F549" i="110" s="1"/>
  <c r="M549" i="110" s="1"/>
  <c r="I548" i="110"/>
  <c r="Q548" i="110"/>
  <c r="P548" i="110"/>
  <c r="N548" i="110"/>
  <c r="G549" i="110" l="1"/>
  <c r="O549" i="110" s="1"/>
  <c r="P549" i="110" s="1"/>
  <c r="H549" i="110"/>
  <c r="E550" i="110" s="1"/>
  <c r="F550" i="110" s="1"/>
  <c r="M550" i="110" s="1"/>
  <c r="H550" i="110" s="1"/>
  <c r="E551" i="110" s="1"/>
  <c r="F551" i="110" s="1"/>
  <c r="I549" i="110"/>
  <c r="Q549" i="110"/>
  <c r="N549" i="110" l="1"/>
  <c r="M551" i="110"/>
  <c r="G551" i="110" s="1"/>
  <c r="O551" i="110" s="1"/>
  <c r="I550" i="110"/>
  <c r="G550" i="110"/>
  <c r="O550" i="110" s="1"/>
  <c r="Q551" i="110" l="1"/>
  <c r="P551" i="110"/>
  <c r="N551" i="110"/>
  <c r="Q550" i="110"/>
  <c r="P550" i="110"/>
  <c r="N550" i="110"/>
  <c r="H551" i="110"/>
  <c r="E552" i="110" s="1"/>
  <c r="F552" i="110" s="1"/>
  <c r="I551" i="110"/>
  <c r="M552" i="110" l="1"/>
  <c r="I552" i="110" s="1"/>
  <c r="H552" i="110" l="1"/>
  <c r="E553" i="110" s="1"/>
  <c r="F553" i="110" s="1"/>
  <c r="M553" i="110" s="1"/>
  <c r="H553" i="110" s="1"/>
  <c r="E554" i="110" s="1"/>
  <c r="F554" i="110" s="1"/>
  <c r="G552" i="110"/>
  <c r="O552" i="110" s="1"/>
  <c r="Q552" i="110" s="1"/>
  <c r="P552" i="110" l="1"/>
  <c r="N552" i="110"/>
  <c r="M554" i="110"/>
  <c r="G554" i="110" s="1"/>
  <c r="O554" i="110" s="1"/>
  <c r="I553" i="110"/>
  <c r="G553" i="110"/>
  <c r="O553" i="110" s="1"/>
  <c r="I554" i="110" l="1"/>
  <c r="H554" i="110"/>
  <c r="E555" i="110" s="1"/>
  <c r="F555" i="110" s="1"/>
  <c r="N553" i="110"/>
  <c r="Q553" i="110"/>
  <c r="P553" i="110"/>
  <c r="N554" i="110"/>
  <c r="P554" i="110"/>
  <c r="Q554" i="110"/>
  <c r="M555" i="110" l="1"/>
  <c r="G555" i="110" s="1"/>
  <c r="O555" i="110" s="1"/>
  <c r="Q555" i="110" s="1"/>
  <c r="P555" i="110" l="1"/>
  <c r="N555" i="110"/>
  <c r="I555" i="110"/>
  <c r="H555" i="110"/>
  <c r="E556" i="110" s="1"/>
  <c r="F556" i="110" s="1"/>
  <c r="M556" i="110" s="1"/>
  <c r="H556" i="110" s="1"/>
  <c r="E557" i="110" s="1"/>
  <c r="F557" i="110" s="1"/>
  <c r="M557" i="110" l="1"/>
  <c r="G557" i="110" s="1"/>
  <c r="O557" i="110" s="1"/>
  <c r="Q557" i="110" s="1"/>
  <c r="G556" i="110"/>
  <c r="O556" i="110" s="1"/>
  <c r="Q556" i="110" s="1"/>
  <c r="I556" i="110"/>
  <c r="I557" i="110"/>
  <c r="P556" i="110" l="1"/>
  <c r="N556" i="110"/>
  <c r="N557" i="110"/>
  <c r="P557" i="110"/>
  <c r="H557" i="110"/>
  <c r="E558" i="110" s="1"/>
  <c r="F558" i="110" s="1"/>
  <c r="M558" i="110" s="1"/>
  <c r="G558" i="110" s="1"/>
  <c r="O558" i="110" s="1"/>
  <c r="N558" i="110" s="1"/>
  <c r="H558" i="110" l="1"/>
  <c r="E559" i="110" s="1"/>
  <c r="F559" i="110" s="1"/>
  <c r="M559" i="110" s="1"/>
  <c r="H559" i="110" s="1"/>
  <c r="E560" i="110" s="1"/>
  <c r="F560" i="110" s="1"/>
  <c r="P558" i="110"/>
  <c r="Q558" i="110"/>
  <c r="I558" i="110"/>
  <c r="M560" i="110" l="1"/>
  <c r="I560" i="110" s="1"/>
  <c r="I559" i="110"/>
  <c r="G559" i="110"/>
  <c r="O559" i="110" s="1"/>
  <c r="Q559" i="110" l="1"/>
  <c r="N559" i="110"/>
  <c r="P559" i="110"/>
  <c r="H560" i="110"/>
  <c r="E561" i="110" s="1"/>
  <c r="F561" i="110" s="1"/>
  <c r="G560" i="110"/>
  <c r="O560" i="110" s="1"/>
  <c r="M561" i="110" l="1"/>
  <c r="I561" i="110" s="1"/>
  <c r="G561" i="110"/>
  <c r="O561" i="110" s="1"/>
  <c r="Q560" i="110"/>
  <c r="P560" i="110"/>
  <c r="N560" i="110"/>
  <c r="H561" i="110" l="1"/>
  <c r="E562" i="110" s="1"/>
  <c r="F562" i="110" s="1"/>
  <c r="M562" i="110" s="1"/>
  <c r="I562" i="110" s="1"/>
  <c r="N561" i="110"/>
  <c r="P561" i="110"/>
  <c r="Q561" i="110"/>
  <c r="G562" i="110" l="1"/>
  <c r="O562" i="110" s="1"/>
  <c r="Q562" i="110" s="1"/>
  <c r="H562" i="110"/>
  <c r="E563" i="110" s="1"/>
  <c r="F563" i="110" s="1"/>
  <c r="N562" i="110"/>
  <c r="P562" i="110" l="1"/>
  <c r="M563" i="110"/>
  <c r="G563" i="110" s="1"/>
  <c r="O563" i="110" s="1"/>
  <c r="Q563" i="110" l="1"/>
  <c r="P563" i="110"/>
  <c r="N563" i="110"/>
  <c r="I563" i="110"/>
  <c r="H563" i="110"/>
  <c r="E564" i="110" s="1"/>
  <c r="F564" i="110" s="1"/>
  <c r="M564" i="110" l="1"/>
  <c r="I564" i="110" s="1"/>
  <c r="G564" i="110" l="1"/>
  <c r="O564" i="110" s="1"/>
  <c r="N564" i="110" s="1"/>
  <c r="H564" i="110"/>
  <c r="E565" i="110" s="1"/>
  <c r="F565" i="110" s="1"/>
  <c r="M565" i="110" s="1"/>
  <c r="H565" i="110" s="1"/>
  <c r="E566" i="110" s="1"/>
  <c r="F566" i="110" s="1"/>
  <c r="P564" i="110"/>
  <c r="Q564" i="110"/>
  <c r="M566" i="110" l="1"/>
  <c r="H566" i="110" s="1"/>
  <c r="E567" i="110" s="1"/>
  <c r="F567" i="110" s="1"/>
  <c r="I565" i="110"/>
  <c r="G565" i="110"/>
  <c r="O565" i="110" s="1"/>
  <c r="I566" i="110" l="1"/>
  <c r="M567" i="110"/>
  <c r="H567" i="110" s="1"/>
  <c r="E568" i="110" s="1"/>
  <c r="F568" i="110" s="1"/>
  <c r="N565" i="110"/>
  <c r="P565" i="110"/>
  <c r="Q565" i="110"/>
  <c r="G566" i="110"/>
  <c r="O566" i="110" s="1"/>
  <c r="I567" i="110" l="1"/>
  <c r="M568" i="110"/>
  <c r="I568" i="110" s="1"/>
  <c r="Q566" i="110"/>
  <c r="P566" i="110"/>
  <c r="N566" i="110"/>
  <c r="G567" i="110"/>
  <c r="O567" i="110" s="1"/>
  <c r="G568" i="110" l="1"/>
  <c r="O568" i="110" s="1"/>
  <c r="H568" i="110"/>
  <c r="E569" i="110" s="1"/>
  <c r="F569" i="110" s="1"/>
  <c r="M569" i="110" s="1"/>
  <c r="I569" i="110" s="1"/>
  <c r="Q567" i="110"/>
  <c r="P567" i="110"/>
  <c r="N567" i="110"/>
  <c r="N568" i="110"/>
  <c r="P568" i="110"/>
  <c r="Q568" i="110"/>
  <c r="H569" i="110" l="1"/>
  <c r="E570" i="110" s="1"/>
  <c r="F570" i="110" s="1"/>
  <c r="M570" i="110" s="1"/>
  <c r="I570" i="110" s="1"/>
  <c r="G569" i="110"/>
  <c r="O569" i="110" s="1"/>
  <c r="N569" i="110" s="1"/>
  <c r="P569" i="110" l="1"/>
  <c r="H570" i="110"/>
  <c r="E571" i="110" s="1"/>
  <c r="F571" i="110" s="1"/>
  <c r="Q569" i="110"/>
  <c r="G570" i="110"/>
  <c r="O570" i="110" s="1"/>
  <c r="M571" i="110" l="1"/>
  <c r="I571" i="110" s="1"/>
  <c r="G571" i="110"/>
  <c r="O571" i="110" s="1"/>
  <c r="Q571" i="110" s="1"/>
  <c r="Q570" i="110"/>
  <c r="P570" i="110"/>
  <c r="N570" i="110"/>
  <c r="H571" i="110" l="1"/>
  <c r="E572" i="110" s="1"/>
  <c r="F572" i="110" s="1"/>
  <c r="M572" i="110" s="1"/>
  <c r="H572" i="110" s="1"/>
  <c r="E573" i="110" s="1"/>
  <c r="F573" i="110" s="1"/>
  <c r="M573" i="110" s="1"/>
  <c r="I573" i="110" s="1"/>
  <c r="P571" i="110"/>
  <c r="N571" i="110"/>
  <c r="I572" i="110" l="1"/>
  <c r="G572" i="110"/>
  <c r="O572" i="110" s="1"/>
  <c r="G573" i="110"/>
  <c r="O573" i="110" s="1"/>
  <c r="H573" i="110"/>
  <c r="E574" i="110" s="1"/>
  <c r="F574" i="110" s="1"/>
  <c r="M574" i="110" s="1"/>
  <c r="G574" i="110" s="1"/>
  <c r="O574" i="110" s="1"/>
  <c r="N572" i="110"/>
  <c r="P572" i="110"/>
  <c r="Q572" i="110"/>
  <c r="N573" i="110"/>
  <c r="P573" i="110"/>
  <c r="Q573" i="110"/>
  <c r="P574" i="110" l="1"/>
  <c r="N574" i="110"/>
  <c r="Q574" i="110"/>
  <c r="H574" i="110"/>
  <c r="E575" i="110" s="1"/>
  <c r="F575" i="110" s="1"/>
  <c r="I574" i="110"/>
  <c r="M575" i="110" l="1"/>
  <c r="I575" i="110" s="1"/>
  <c r="H575" i="110" l="1"/>
  <c r="E576" i="110" s="1"/>
  <c r="F576" i="110" s="1"/>
  <c r="M576" i="110" s="1"/>
  <c r="I576" i="110" s="1"/>
  <c r="G575" i="110"/>
  <c r="O575" i="110" s="1"/>
  <c r="Q575" i="110" s="1"/>
  <c r="N575" i="110" l="1"/>
  <c r="P575" i="110"/>
  <c r="G576" i="110"/>
  <c r="O576" i="110" s="1"/>
  <c r="P576" i="110" s="1"/>
  <c r="H576" i="110"/>
  <c r="E577" i="110" s="1"/>
  <c r="F577" i="110" s="1"/>
  <c r="M577" i="110" s="1"/>
  <c r="I577" i="110" s="1"/>
  <c r="Q576" i="110" l="1"/>
  <c r="N576" i="110"/>
  <c r="G577" i="110"/>
  <c r="O577" i="110" s="1"/>
  <c r="Q577" i="110" s="1"/>
  <c r="H577" i="110"/>
  <c r="E578" i="110" s="1"/>
  <c r="F578" i="110" s="1"/>
  <c r="M578" i="110" s="1"/>
  <c r="H578" i="110" s="1"/>
  <c r="E579" i="110" s="1"/>
  <c r="F579" i="110" s="1"/>
  <c r="N577" i="110" l="1"/>
  <c r="P577" i="110"/>
  <c r="M579" i="110"/>
  <c r="H579" i="110" s="1"/>
  <c r="E580" i="110" s="1"/>
  <c r="F580" i="110" s="1"/>
  <c r="I578" i="110"/>
  <c r="G578" i="110"/>
  <c r="O578" i="110" s="1"/>
  <c r="I579" i="110" l="1"/>
  <c r="G579" i="110"/>
  <c r="O579" i="110" s="1"/>
  <c r="Q579" i="110" s="1"/>
  <c r="M580" i="110"/>
  <c r="I580" i="110" s="1"/>
  <c r="P578" i="110"/>
  <c r="Q578" i="110"/>
  <c r="N578" i="110"/>
  <c r="P579" i="110" l="1"/>
  <c r="N579" i="110"/>
  <c r="H580" i="110"/>
  <c r="E581" i="110" s="1"/>
  <c r="F581" i="110" s="1"/>
  <c r="M581" i="110" s="1"/>
  <c r="I581" i="110" s="1"/>
  <c r="G580" i="110"/>
  <c r="O580" i="110" s="1"/>
  <c r="N580" i="110" s="1"/>
  <c r="Q580" i="110" l="1"/>
  <c r="P580" i="110"/>
  <c r="H581" i="110"/>
  <c r="E582" i="110" s="1"/>
  <c r="F582" i="110" s="1"/>
  <c r="M582" i="110" s="1"/>
  <c r="H582" i="110" s="1"/>
  <c r="E583" i="110" s="1"/>
  <c r="F583" i="110" s="1"/>
  <c r="G581" i="110"/>
  <c r="O581" i="110" s="1"/>
  <c r="Q581" i="110" s="1"/>
  <c r="N581" i="110" l="1"/>
  <c r="P581" i="110"/>
  <c r="I582" i="110"/>
  <c r="M583" i="110"/>
  <c r="H583" i="110" s="1"/>
  <c r="E584" i="110" s="1"/>
  <c r="F584" i="110" s="1"/>
  <c r="G582" i="110"/>
  <c r="O582" i="110" s="1"/>
  <c r="M584" i="110" l="1"/>
  <c r="I584" i="110" s="1"/>
  <c r="Q582" i="110"/>
  <c r="P582" i="110"/>
  <c r="N582" i="110"/>
  <c r="I583" i="110"/>
  <c r="G583" i="110"/>
  <c r="O583" i="110" s="1"/>
  <c r="H584" i="110" l="1"/>
  <c r="E585" i="110" s="1"/>
  <c r="F585" i="110" s="1"/>
  <c r="M585" i="110" s="1"/>
  <c r="I585" i="110" s="1"/>
  <c r="Q583" i="110"/>
  <c r="P583" i="110"/>
  <c r="N583" i="110"/>
  <c r="G584" i="110"/>
  <c r="O584" i="110" s="1"/>
  <c r="G585" i="110" l="1"/>
  <c r="O585" i="110" s="1"/>
  <c r="H585" i="110"/>
  <c r="E586" i="110" s="1"/>
  <c r="F586" i="110" s="1"/>
  <c r="M586" i="110" s="1"/>
  <c r="H586" i="110" s="1"/>
  <c r="E587" i="110" s="1"/>
  <c r="F587" i="110" s="1"/>
  <c r="Q584" i="110"/>
  <c r="N584" i="110"/>
  <c r="P584" i="110"/>
  <c r="P585" i="110"/>
  <c r="Q585" i="110"/>
  <c r="N585" i="110"/>
  <c r="I586" i="110" l="1"/>
  <c r="G586" i="110"/>
  <c r="O586" i="110" s="1"/>
  <c r="Q586" i="110" s="1"/>
  <c r="M587" i="110"/>
  <c r="I587" i="110" s="1"/>
  <c r="N586" i="110" l="1"/>
  <c r="P586" i="110"/>
  <c r="G587" i="110"/>
  <c r="O587" i="110" s="1"/>
  <c r="H587" i="110"/>
  <c r="E588" i="110" s="1"/>
  <c r="F588" i="110" s="1"/>
  <c r="M588" i="110" l="1"/>
  <c r="I588" i="110" s="1"/>
  <c r="N587" i="110"/>
  <c r="Q587" i="110"/>
  <c r="P587" i="110"/>
  <c r="H588" i="110" l="1"/>
  <c r="E589" i="110" s="1"/>
  <c r="F589" i="110" s="1"/>
  <c r="G588" i="110"/>
  <c r="O588" i="110" s="1"/>
  <c r="N588" i="110" l="1"/>
  <c r="Q588" i="110"/>
  <c r="P588" i="110"/>
  <c r="M589" i="110"/>
  <c r="I589" i="110" s="1"/>
  <c r="G589" i="110" l="1"/>
  <c r="O589" i="110" s="1"/>
  <c r="Q589" i="110" s="1"/>
  <c r="H589" i="110"/>
  <c r="E590" i="110" s="1"/>
  <c r="F590" i="110" s="1"/>
  <c r="M590" i="110" s="1"/>
  <c r="H590" i="110" s="1"/>
  <c r="E591" i="110" s="1"/>
  <c r="F591" i="110" s="1"/>
  <c r="N589" i="110" l="1"/>
  <c r="P589" i="110"/>
  <c r="M591" i="110"/>
  <c r="G591" i="110" s="1"/>
  <c r="O591" i="110" s="1"/>
  <c r="I590" i="110"/>
  <c r="G590" i="110"/>
  <c r="O590" i="110" s="1"/>
  <c r="H591" i="110" l="1"/>
  <c r="E592" i="110" s="1"/>
  <c r="F592" i="110" s="1"/>
  <c r="M592" i="110" s="1"/>
  <c r="I592" i="110" s="1"/>
  <c r="I591" i="110"/>
  <c r="Q591" i="110"/>
  <c r="P591" i="110"/>
  <c r="N591" i="110"/>
  <c r="N590" i="110"/>
  <c r="P590" i="110"/>
  <c r="Q590" i="110"/>
  <c r="G592" i="110" l="1"/>
  <c r="O592" i="110" s="1"/>
  <c r="N592" i="110" s="1"/>
  <c r="H592" i="110"/>
  <c r="E593" i="110" s="1"/>
  <c r="F593" i="110" s="1"/>
  <c r="M593" i="110" s="1"/>
  <c r="P592" i="110"/>
  <c r="Q592" i="110"/>
  <c r="G593" i="110" l="1"/>
  <c r="O593" i="110" s="1"/>
  <c r="P593" i="110" s="1"/>
  <c r="H593" i="110"/>
  <c r="E594" i="110" s="1"/>
  <c r="F594" i="110" s="1"/>
  <c r="M594" i="110" s="1"/>
  <c r="H594" i="110" s="1"/>
  <c r="E595" i="110" s="1"/>
  <c r="F595" i="110" s="1"/>
  <c r="I593" i="110"/>
  <c r="Q593" i="110" l="1"/>
  <c r="N593" i="110"/>
  <c r="I594" i="110"/>
  <c r="M595" i="110"/>
  <c r="G595" i="110" s="1"/>
  <c r="O595" i="110" s="1"/>
  <c r="G594" i="110"/>
  <c r="O594" i="110" s="1"/>
  <c r="H595" i="110" l="1"/>
  <c r="E596" i="110" s="1"/>
  <c r="F596" i="110" s="1"/>
  <c r="M596" i="110" s="1"/>
  <c r="I596" i="110" s="1"/>
  <c r="I595" i="110"/>
  <c r="P595" i="110"/>
  <c r="Q595" i="110"/>
  <c r="N595" i="110"/>
  <c r="Q594" i="110"/>
  <c r="P594" i="110"/>
  <c r="N594" i="110"/>
  <c r="H596" i="110" l="1"/>
  <c r="E597" i="110" s="1"/>
  <c r="F597" i="110" s="1"/>
  <c r="G596" i="110"/>
  <c r="O596" i="110" s="1"/>
  <c r="N596" i="110" s="1"/>
  <c r="Q596" i="110" l="1"/>
  <c r="P596" i="110"/>
  <c r="M597" i="110"/>
  <c r="H597" i="110" s="1"/>
  <c r="E598" i="110" s="1"/>
  <c r="F598" i="110" s="1"/>
  <c r="M598" i="110" s="1"/>
  <c r="H598" i="110" s="1"/>
  <c r="E599" i="110" s="1"/>
  <c r="F599" i="110" s="1"/>
  <c r="G597" i="110" l="1"/>
  <c r="O597" i="110" s="1"/>
  <c r="I598" i="110"/>
  <c r="I597" i="110"/>
  <c r="M599" i="110"/>
  <c r="I599" i="110" s="1"/>
  <c r="Q597" i="110"/>
  <c r="P597" i="110"/>
  <c r="N597" i="110"/>
  <c r="G598" i="110"/>
  <c r="O598" i="110" s="1"/>
  <c r="G599" i="110" l="1"/>
  <c r="O599" i="110" s="1"/>
  <c r="H599" i="110"/>
  <c r="E600" i="110" s="1"/>
  <c r="F600" i="110" s="1"/>
  <c r="M600" i="110" s="1"/>
  <c r="G600" i="110" s="1"/>
  <c r="O600" i="110" s="1"/>
  <c r="N598" i="110"/>
  <c r="Q598" i="110"/>
  <c r="P598" i="110"/>
  <c r="Q599" i="110"/>
  <c r="P599" i="110"/>
  <c r="N599" i="110"/>
  <c r="N600" i="110" l="1"/>
  <c r="Q600" i="110"/>
  <c r="P600" i="110"/>
  <c r="H600" i="110"/>
  <c r="E601" i="110" s="1"/>
  <c r="F601" i="110" s="1"/>
  <c r="I600" i="110"/>
  <c r="M601" i="110" l="1"/>
  <c r="I601" i="110" s="1"/>
  <c r="G601" i="110" l="1"/>
  <c r="O601" i="110" s="1"/>
  <c r="N601" i="110" s="1"/>
  <c r="H601" i="110"/>
  <c r="E602" i="110" s="1"/>
  <c r="F602" i="110" s="1"/>
  <c r="M602" i="110" s="1"/>
  <c r="G602" i="110" s="1"/>
  <c r="O602" i="110" s="1"/>
  <c r="P601" i="110" l="1"/>
  <c r="Q601" i="110"/>
  <c r="I602" i="110"/>
  <c r="N602" i="110"/>
  <c r="Q602" i="110"/>
  <c r="P602" i="110"/>
  <c r="H602" i="110"/>
  <c r="E603" i="110" s="1"/>
  <c r="F603" i="110" s="1"/>
  <c r="M603" i="110" l="1"/>
  <c r="I603" i="110" s="1"/>
  <c r="H603" i="110" l="1"/>
  <c r="E604" i="110" s="1"/>
  <c r="F604" i="110" s="1"/>
  <c r="G603" i="110"/>
  <c r="O603" i="110" s="1"/>
  <c r="N603" i="110" s="1"/>
  <c r="P603" i="110" l="1"/>
  <c r="Q603" i="110"/>
  <c r="M604" i="110"/>
  <c r="H604" i="110" s="1"/>
  <c r="E605" i="110" s="1"/>
  <c r="F605" i="110" s="1"/>
  <c r="M605" i="110" s="1"/>
  <c r="H605" i="110" s="1"/>
  <c r="E606" i="110" s="1"/>
  <c r="F606" i="110" s="1"/>
  <c r="G604" i="110" l="1"/>
  <c r="O604" i="110" s="1"/>
  <c r="Q604" i="110" s="1"/>
  <c r="I605" i="110"/>
  <c r="I604" i="110"/>
  <c r="M606" i="110"/>
  <c r="H606" i="110" s="1"/>
  <c r="E607" i="110" s="1"/>
  <c r="F607" i="110" s="1"/>
  <c r="N604" i="110"/>
  <c r="P604" i="110"/>
  <c r="G605" i="110"/>
  <c r="O605" i="110" s="1"/>
  <c r="M607" i="110" l="1"/>
  <c r="G607" i="110" s="1"/>
  <c r="O607" i="110" s="1"/>
  <c r="Q605" i="110"/>
  <c r="N605" i="110"/>
  <c r="P605" i="110"/>
  <c r="I606" i="110"/>
  <c r="G606" i="110"/>
  <c r="O606" i="110" s="1"/>
  <c r="I607" i="110" l="1"/>
  <c r="H607" i="110"/>
  <c r="E608" i="110" s="1"/>
  <c r="F608" i="110" s="1"/>
  <c r="M608" i="110" s="1"/>
  <c r="G608" i="110" s="1"/>
  <c r="O608" i="110" s="1"/>
  <c r="Q606" i="110"/>
  <c r="P606" i="110"/>
  <c r="N606" i="110"/>
  <c r="Q607" i="110"/>
  <c r="P607" i="110"/>
  <c r="N607" i="110"/>
  <c r="Q608" i="110" l="1"/>
  <c r="P608" i="110"/>
  <c r="N608" i="110"/>
  <c r="H608" i="110"/>
  <c r="E609" i="110" s="1"/>
  <c r="F609" i="110" s="1"/>
  <c r="I608" i="110"/>
  <c r="M609" i="110" l="1"/>
  <c r="I609" i="110" s="1"/>
  <c r="G609" i="110" l="1"/>
  <c r="O609" i="110" s="1"/>
  <c r="P609" i="110" s="1"/>
  <c r="H609" i="110"/>
  <c r="E610" i="110" s="1"/>
  <c r="F610" i="110" s="1"/>
  <c r="M610" i="110" s="1"/>
  <c r="G610" i="110" s="1"/>
  <c r="O610" i="110" s="1"/>
  <c r="Q609" i="110" l="1"/>
  <c r="N609" i="110"/>
  <c r="I610" i="110"/>
  <c r="H610" i="110"/>
  <c r="E611" i="110" s="1"/>
  <c r="F611" i="110" s="1"/>
  <c r="M611" i="110" s="1"/>
  <c r="H611" i="110" s="1"/>
  <c r="E612" i="110" s="1"/>
  <c r="F612" i="110" s="1"/>
  <c r="N610" i="110"/>
  <c r="Q610" i="110"/>
  <c r="P610" i="110"/>
  <c r="M612" i="110" l="1"/>
  <c r="I612" i="110" s="1"/>
  <c r="I611" i="110"/>
  <c r="G611" i="110"/>
  <c r="O611" i="110" s="1"/>
  <c r="H612" i="110" l="1"/>
  <c r="E613" i="110" s="1"/>
  <c r="F613" i="110" s="1"/>
  <c r="M613" i="110" s="1"/>
  <c r="H613" i="110" s="1"/>
  <c r="E614" i="110" s="1"/>
  <c r="F614" i="110" s="1"/>
  <c r="G612" i="110"/>
  <c r="O612" i="110" s="1"/>
  <c r="N611" i="110"/>
  <c r="P611" i="110"/>
  <c r="Q611" i="110"/>
  <c r="N612" i="110"/>
  <c r="Q612" i="110"/>
  <c r="P612" i="110"/>
  <c r="M614" i="110" l="1"/>
  <c r="H614" i="110" s="1"/>
  <c r="E615" i="110" s="1"/>
  <c r="F615" i="110" s="1"/>
  <c r="I613" i="110"/>
  <c r="G613" i="110"/>
  <c r="O613" i="110" s="1"/>
  <c r="I614" i="110" l="1"/>
  <c r="M615" i="110"/>
  <c r="H615" i="110" s="1"/>
  <c r="E616" i="110" s="1"/>
  <c r="F616" i="110" s="1"/>
  <c r="Q613" i="110"/>
  <c r="P613" i="110"/>
  <c r="N613" i="110"/>
  <c r="G614" i="110"/>
  <c r="O614" i="110" s="1"/>
  <c r="I615" i="110" l="1"/>
  <c r="M616" i="110"/>
  <c r="H616" i="110" s="1"/>
  <c r="E617" i="110" s="1"/>
  <c r="F617" i="110" s="1"/>
  <c r="Q614" i="110"/>
  <c r="N614" i="110"/>
  <c r="P614" i="110"/>
  <c r="G615" i="110"/>
  <c r="O615" i="110" s="1"/>
  <c r="I616" i="110" l="1"/>
  <c r="M617" i="110"/>
  <c r="I617" i="110" s="1"/>
  <c r="Q615" i="110"/>
  <c r="P615" i="110"/>
  <c r="N615" i="110"/>
  <c r="G616" i="110"/>
  <c r="O616" i="110" s="1"/>
  <c r="G617" i="110" l="1"/>
  <c r="O617" i="110" s="1"/>
  <c r="H617" i="110"/>
  <c r="E618" i="110" s="1"/>
  <c r="F618" i="110" s="1"/>
  <c r="Q616" i="110"/>
  <c r="P616" i="110"/>
  <c r="N616" i="110"/>
  <c r="N617" i="110"/>
  <c r="Q617" i="110"/>
  <c r="P617" i="110"/>
  <c r="M618" i="110" l="1"/>
  <c r="I618" i="110" s="1"/>
  <c r="G618" i="110"/>
  <c r="O618" i="110" s="1"/>
  <c r="H618" i="110" l="1"/>
  <c r="E619" i="110" s="1"/>
  <c r="F619" i="110" s="1"/>
  <c r="N618" i="110"/>
  <c r="P618" i="110"/>
  <c r="Q618" i="110"/>
  <c r="M619" i="110" l="1"/>
  <c r="I619" i="110" s="1"/>
  <c r="H619" i="110" l="1"/>
  <c r="E620" i="110" s="1"/>
  <c r="F620" i="110" s="1"/>
  <c r="G619" i="110"/>
  <c r="O619" i="110" s="1"/>
  <c r="Q619" i="110" s="1"/>
  <c r="N619" i="110" l="1"/>
  <c r="P619" i="110"/>
  <c r="M620" i="110"/>
  <c r="G620" i="110" s="1"/>
  <c r="O620" i="110" s="1"/>
  <c r="Q620" i="110" s="1"/>
  <c r="N620" i="110" l="1"/>
  <c r="P620" i="110"/>
  <c r="H620" i="110"/>
  <c r="E621" i="110" s="1"/>
  <c r="F621" i="110" s="1"/>
  <c r="M621" i="110" s="1"/>
  <c r="I621" i="110" s="1"/>
  <c r="I620" i="110"/>
  <c r="H621" i="110" l="1"/>
  <c r="E622" i="110" s="1"/>
  <c r="F622" i="110" s="1"/>
  <c r="M622" i="110" s="1"/>
  <c r="H622" i="110" s="1"/>
  <c r="E623" i="110" s="1"/>
  <c r="F623" i="110" s="1"/>
  <c r="M623" i="110" s="1"/>
  <c r="G621" i="110"/>
  <c r="O621" i="110" s="1"/>
  <c r="N621" i="110" s="1"/>
  <c r="P621" i="110" l="1"/>
  <c r="Q621" i="110"/>
  <c r="G622" i="110"/>
  <c r="O622" i="110" s="1"/>
  <c r="I623" i="110"/>
  <c r="H623" i="110"/>
  <c r="E624" i="110" s="1"/>
  <c r="F624" i="110" s="1"/>
  <c r="M624" i="110" s="1"/>
  <c r="G624" i="110" s="1"/>
  <c r="O624" i="110" s="1"/>
  <c r="P624" i="110" s="1"/>
  <c r="I622" i="110"/>
  <c r="G623" i="110"/>
  <c r="O623" i="110" s="1"/>
  <c r="P623" i="110" l="1"/>
  <c r="Q623" i="110"/>
  <c r="N623" i="110"/>
  <c r="P622" i="110"/>
  <c r="Q622" i="110"/>
  <c r="N622" i="110"/>
  <c r="N624" i="110"/>
  <c r="Q624" i="110"/>
  <c r="I624" i="110"/>
  <c r="H624" i="110"/>
  <c r="E625" i="110" s="1"/>
  <c r="F625" i="110" s="1"/>
  <c r="M625" i="110" l="1"/>
  <c r="I625" i="110" s="1"/>
  <c r="G625" i="110" l="1"/>
  <c r="O625" i="110" s="1"/>
  <c r="H625" i="110"/>
  <c r="E626" i="110" s="1"/>
  <c r="F626" i="110" s="1"/>
  <c r="M626" i="110" s="1"/>
  <c r="Q625" i="110"/>
  <c r="P625" i="110"/>
  <c r="N625" i="110"/>
  <c r="G626" i="110" l="1"/>
  <c r="O626" i="110" s="1"/>
  <c r="H626" i="110"/>
  <c r="E627" i="110" s="1"/>
  <c r="F627" i="110" s="1"/>
  <c r="M627" i="110" s="1"/>
  <c r="H627" i="110" s="1"/>
  <c r="E628" i="110" s="1"/>
  <c r="F628" i="110" s="1"/>
  <c r="M628" i="110" s="1"/>
  <c r="H628" i="110" s="1"/>
  <c r="E629" i="110" s="1"/>
  <c r="F629" i="110" s="1"/>
  <c r="M629" i="110" s="1"/>
  <c r="I629" i="110" s="1"/>
  <c r="I626" i="110"/>
  <c r="P626" i="110"/>
  <c r="N626" i="110"/>
  <c r="Q626" i="110"/>
  <c r="G628" i="110" l="1"/>
  <c r="O628" i="110" s="1"/>
  <c r="I628" i="110"/>
  <c r="I627" i="110"/>
  <c r="G627" i="110"/>
  <c r="O627" i="110" s="1"/>
  <c r="G629" i="110"/>
  <c r="O629" i="110" s="1"/>
  <c r="Q629" i="110" s="1"/>
  <c r="N628" i="110"/>
  <c r="P628" i="110"/>
  <c r="Q628" i="110"/>
  <c r="H629" i="110"/>
  <c r="E630" i="110" s="1"/>
  <c r="F630" i="110" s="1"/>
  <c r="N629" i="110" l="1"/>
  <c r="P629" i="110"/>
  <c r="P627" i="110"/>
  <c r="Q627" i="110"/>
  <c r="N627" i="110"/>
  <c r="M630" i="110"/>
  <c r="H630" i="110" s="1"/>
  <c r="E631" i="110" s="1"/>
  <c r="F631" i="110" s="1"/>
  <c r="M631" i="110" l="1"/>
  <c r="G631" i="110" s="1"/>
  <c r="O631" i="110" s="1"/>
  <c r="I630" i="110"/>
  <c r="G630" i="110"/>
  <c r="O630" i="110" s="1"/>
  <c r="Q631" i="110" l="1"/>
  <c r="P631" i="110"/>
  <c r="N631" i="110"/>
  <c r="Q630" i="110"/>
  <c r="P630" i="110"/>
  <c r="N630" i="110"/>
  <c r="H631" i="110"/>
  <c r="E632" i="110" s="1"/>
  <c r="F632" i="110" s="1"/>
  <c r="I631" i="110"/>
  <c r="M632" i="110" l="1"/>
  <c r="G632" i="110" s="1"/>
  <c r="O632" i="110" s="1"/>
  <c r="N632" i="110" l="1"/>
  <c r="Q632" i="110"/>
  <c r="P632" i="110"/>
  <c r="I632" i="110"/>
  <c r="H632" i="110"/>
  <c r="E633" i="110" s="1"/>
  <c r="F633" i="110" s="1"/>
  <c r="M633" i="110" l="1"/>
  <c r="I633" i="110" s="1"/>
  <c r="H633" i="110" l="1"/>
  <c r="E634" i="110" s="1"/>
  <c r="F634" i="110" s="1"/>
  <c r="M634" i="110" s="1"/>
  <c r="I634" i="110" s="1"/>
  <c r="G633" i="110"/>
  <c r="O633" i="110" s="1"/>
  <c r="N633" i="110" s="1"/>
  <c r="P633" i="110" l="1"/>
  <c r="Q633" i="110"/>
  <c r="G634" i="110"/>
  <c r="O634" i="110" s="1"/>
  <c r="H634" i="110"/>
  <c r="E635" i="110" s="1"/>
  <c r="F635" i="110" s="1"/>
  <c r="M635" i="110" l="1"/>
  <c r="I635" i="110" s="1"/>
  <c r="P634" i="110"/>
  <c r="Q634" i="110"/>
  <c r="N634" i="110"/>
  <c r="H635" i="110" l="1"/>
  <c r="E636" i="110" s="1"/>
  <c r="F636" i="110" s="1"/>
  <c r="M636" i="110" s="1"/>
  <c r="G636" i="110" s="1"/>
  <c r="O636" i="110" s="1"/>
  <c r="G635" i="110"/>
  <c r="O635" i="110" s="1"/>
  <c r="N635" i="110" s="1"/>
  <c r="P635" i="110" l="1"/>
  <c r="Q635" i="110"/>
  <c r="I636" i="110"/>
  <c r="N636" i="110"/>
  <c r="Q636" i="110"/>
  <c r="P636" i="110"/>
  <c r="H636" i="110"/>
  <c r="E637" i="110" s="1"/>
  <c r="F637" i="110" s="1"/>
  <c r="M637" i="110" l="1"/>
  <c r="I637" i="110" s="1"/>
  <c r="G637" i="110" l="1"/>
  <c r="O637" i="110" s="1"/>
  <c r="H637" i="110"/>
  <c r="E638" i="110" s="1"/>
  <c r="F638" i="110" s="1"/>
  <c r="M638" i="110" l="1"/>
  <c r="H638" i="110" s="1"/>
  <c r="E639" i="110" s="1"/>
  <c r="F639" i="110" s="1"/>
  <c r="N637" i="110"/>
  <c r="Q637" i="110"/>
  <c r="P637" i="110"/>
  <c r="I638" i="110" l="1"/>
  <c r="M639" i="110"/>
  <c r="I639" i="110" s="1"/>
  <c r="G638" i="110"/>
  <c r="O638" i="110" s="1"/>
  <c r="H639" i="110" l="1"/>
  <c r="E640" i="110" s="1"/>
  <c r="F640" i="110" s="1"/>
  <c r="G639" i="110"/>
  <c r="O639" i="110" s="1"/>
  <c r="Q639" i="110" s="1"/>
  <c r="Q638" i="110"/>
  <c r="N638" i="110"/>
  <c r="P638" i="110"/>
  <c r="P639" i="110" l="1"/>
  <c r="N639" i="110"/>
  <c r="M640" i="110"/>
  <c r="I640" i="110" s="1"/>
  <c r="G640" i="110" l="1"/>
  <c r="O640" i="110" s="1"/>
  <c r="N640" i="110" s="1"/>
  <c r="H640" i="110"/>
  <c r="E641" i="110" s="1"/>
  <c r="F641" i="110" s="1"/>
  <c r="P640" i="110" l="1"/>
  <c r="Q640" i="110"/>
  <c r="M641" i="110"/>
  <c r="I641" i="110" s="1"/>
  <c r="H641" i="110" l="1"/>
  <c r="E642" i="110" s="1"/>
  <c r="F642" i="110" s="1"/>
  <c r="G641" i="110"/>
  <c r="O641" i="110" s="1"/>
  <c r="Q641" i="110" s="1"/>
  <c r="P641" i="110" l="1"/>
  <c r="N641" i="110"/>
  <c r="M642" i="110"/>
  <c r="I642" i="110" s="1"/>
  <c r="G642" i="110" l="1"/>
  <c r="O642" i="110" s="1"/>
  <c r="Q642" i="110" s="1"/>
  <c r="H642" i="110"/>
  <c r="E643" i="110" s="1"/>
  <c r="F643" i="110" s="1"/>
  <c r="M643" i="110" s="1"/>
  <c r="G643" i="110" s="1"/>
  <c r="O643" i="110" s="1"/>
  <c r="N643" i="110" s="1"/>
  <c r="N642" i="110" l="1"/>
  <c r="P642" i="110"/>
  <c r="I643" i="110"/>
  <c r="H643" i="110"/>
  <c r="E644" i="110" s="1"/>
  <c r="F644" i="110" s="1"/>
  <c r="M644" i="110" s="1"/>
  <c r="I644" i="110" s="1"/>
  <c r="P643" i="110"/>
  <c r="Q643" i="110"/>
  <c r="G644" i="110" l="1"/>
  <c r="O644" i="110" s="1"/>
  <c r="N644" i="110" s="1"/>
  <c r="H644" i="110"/>
  <c r="E645" i="110" s="1"/>
  <c r="F645" i="110" s="1"/>
  <c r="M645" i="110" s="1"/>
  <c r="Q644" i="110"/>
  <c r="P644" i="110" l="1"/>
  <c r="G645" i="110"/>
  <c r="O645" i="110" s="1"/>
  <c r="P645" i="110" s="1"/>
  <c r="I645" i="110"/>
  <c r="H645" i="110"/>
  <c r="E646" i="110" s="1"/>
  <c r="F646" i="110" s="1"/>
  <c r="M646" i="110" s="1"/>
  <c r="G646" i="110" s="1"/>
  <c r="O646" i="110" s="1"/>
  <c r="Q645" i="110"/>
  <c r="N645" i="110"/>
  <c r="H646" i="110" l="1"/>
  <c r="E647" i="110" s="1"/>
  <c r="F647" i="110" s="1"/>
  <c r="M647" i="110" s="1"/>
  <c r="H647" i="110" s="1"/>
  <c r="E648" i="110" s="1"/>
  <c r="F648" i="110" s="1"/>
  <c r="M648" i="110" s="1"/>
  <c r="I648" i="110" s="1"/>
  <c r="I646" i="110"/>
  <c r="N646" i="110"/>
  <c r="P646" i="110"/>
  <c r="Q646" i="110"/>
  <c r="G648" i="110" l="1"/>
  <c r="O648" i="110" s="1"/>
  <c r="N648" i="110" s="1"/>
  <c r="G647" i="110"/>
  <c r="O647" i="110" s="1"/>
  <c r="H648" i="110"/>
  <c r="E649" i="110" s="1"/>
  <c r="F649" i="110" s="1"/>
  <c r="M649" i="110" s="1"/>
  <c r="G649" i="110" s="1"/>
  <c r="O649" i="110" s="1"/>
  <c r="I647" i="110"/>
  <c r="P648" i="110"/>
  <c r="Q648" i="110"/>
  <c r="Q647" i="110" l="1"/>
  <c r="P647" i="110"/>
  <c r="N647" i="110"/>
  <c r="H649" i="110"/>
  <c r="E650" i="110" s="1"/>
  <c r="F650" i="110" s="1"/>
  <c r="M650" i="110" s="1"/>
  <c r="G650" i="110" s="1"/>
  <c r="O650" i="110" s="1"/>
  <c r="I649" i="110"/>
  <c r="Q649" i="110"/>
  <c r="P649" i="110"/>
  <c r="N649" i="110"/>
  <c r="Q650" i="110" l="1"/>
  <c r="P650" i="110"/>
  <c r="N650" i="110"/>
  <c r="I650" i="110"/>
  <c r="H650" i="110"/>
  <c r="E651" i="110" s="1"/>
  <c r="F651" i="110" s="1"/>
  <c r="M651" i="110" l="1"/>
  <c r="I651" i="110" s="1"/>
  <c r="G651" i="110" l="1"/>
  <c r="O651" i="110" s="1"/>
  <c r="P651" i="110" s="1"/>
  <c r="H651" i="110"/>
  <c r="E652" i="110" s="1"/>
  <c r="F652" i="110" s="1"/>
  <c r="Q651" i="110" l="1"/>
  <c r="N651" i="110"/>
  <c r="M652" i="110"/>
  <c r="I652" i="110" s="1"/>
  <c r="G652" i="110" l="1"/>
  <c r="O652" i="110" s="1"/>
  <c r="N652" i="110" s="1"/>
  <c r="H652" i="110"/>
  <c r="E653" i="110" s="1"/>
  <c r="F653" i="110" s="1"/>
  <c r="M653" i="110" s="1"/>
  <c r="G653" i="110" s="1"/>
  <c r="O653" i="110" s="1"/>
  <c r="P652" i="110" l="1"/>
  <c r="Q652" i="110"/>
  <c r="I653" i="110"/>
  <c r="P653" i="110"/>
  <c r="Q653" i="110"/>
  <c r="N653" i="110"/>
  <c r="H653" i="110"/>
  <c r="E654" i="110" s="1"/>
  <c r="F654" i="110" s="1"/>
  <c r="M654" i="110" l="1"/>
  <c r="H654" i="110" s="1"/>
  <c r="E655" i="110" s="1"/>
  <c r="F655" i="110" s="1"/>
  <c r="M655" i="110" l="1"/>
  <c r="I655" i="110" s="1"/>
  <c r="I654" i="110"/>
  <c r="G654" i="110"/>
  <c r="O654" i="110" s="1"/>
  <c r="G655" i="110" l="1"/>
  <c r="O655" i="110" s="1"/>
  <c r="Q655" i="110" s="1"/>
  <c r="H655" i="110"/>
  <c r="E656" i="110" s="1"/>
  <c r="F656" i="110" s="1"/>
  <c r="M656" i="110" s="1"/>
  <c r="H656" i="110" s="1"/>
  <c r="E657" i="110" s="1"/>
  <c r="F657" i="110" s="1"/>
  <c r="N654" i="110"/>
  <c r="P654" i="110"/>
  <c r="Q654" i="110"/>
  <c r="N655" i="110" l="1"/>
  <c r="P655" i="110"/>
  <c r="I656" i="110"/>
  <c r="G656" i="110"/>
  <c r="O656" i="110" s="1"/>
  <c r="Q656" i="110" s="1"/>
  <c r="M657" i="110"/>
  <c r="I657" i="110" s="1"/>
  <c r="G657" i="110" l="1"/>
  <c r="O657" i="110" s="1"/>
  <c r="H657" i="110"/>
  <c r="E658" i="110" s="1"/>
  <c r="F658" i="110" s="1"/>
  <c r="M658" i="110" s="1"/>
  <c r="H658" i="110" s="1"/>
  <c r="E659" i="110" s="1"/>
  <c r="F659" i="110" s="1"/>
  <c r="N656" i="110"/>
  <c r="P656" i="110"/>
  <c r="P657" i="110"/>
  <c r="N657" i="110"/>
  <c r="Q657" i="110"/>
  <c r="M659" i="110" l="1"/>
  <c r="H659" i="110" s="1"/>
  <c r="E660" i="110" s="1"/>
  <c r="F660" i="110" s="1"/>
  <c r="I658" i="110"/>
  <c r="G658" i="110"/>
  <c r="O658" i="110" s="1"/>
  <c r="I659" i="110" l="1"/>
  <c r="M660" i="110"/>
  <c r="H660" i="110" s="1"/>
  <c r="E661" i="110" s="1"/>
  <c r="F661" i="110" s="1"/>
  <c r="Q658" i="110"/>
  <c r="P658" i="110"/>
  <c r="N658" i="110"/>
  <c r="G659" i="110"/>
  <c r="O659" i="110" s="1"/>
  <c r="M661" i="110" l="1"/>
  <c r="H661" i="110" s="1"/>
  <c r="E662" i="110" s="1"/>
  <c r="F662" i="110" s="1"/>
  <c r="N659" i="110"/>
  <c r="Q659" i="110"/>
  <c r="P659" i="110"/>
  <c r="I660" i="110"/>
  <c r="G660" i="110"/>
  <c r="O660" i="110" s="1"/>
  <c r="M662" i="110" l="1"/>
  <c r="H662" i="110" s="1"/>
  <c r="E663" i="110" s="1"/>
  <c r="F663" i="110" s="1"/>
  <c r="N660" i="110"/>
  <c r="Q660" i="110"/>
  <c r="P660" i="110"/>
  <c r="I661" i="110"/>
  <c r="G661" i="110"/>
  <c r="O661" i="110" s="1"/>
  <c r="M663" i="110" l="1"/>
  <c r="H663" i="110" s="1"/>
  <c r="E664" i="110" s="1"/>
  <c r="F664" i="110" s="1"/>
  <c r="Q661" i="110"/>
  <c r="P661" i="110"/>
  <c r="N661" i="110"/>
  <c r="I662" i="110"/>
  <c r="G662" i="110"/>
  <c r="O662" i="110" s="1"/>
  <c r="M664" i="110" l="1"/>
  <c r="H664" i="110" s="1"/>
  <c r="E665" i="110" s="1"/>
  <c r="F665" i="110" s="1"/>
  <c r="N662" i="110"/>
  <c r="P662" i="110"/>
  <c r="Q662" i="110"/>
  <c r="I663" i="110"/>
  <c r="G663" i="110"/>
  <c r="O663" i="110" s="1"/>
  <c r="M665" i="110" l="1"/>
  <c r="I665" i="110" s="1"/>
  <c r="Q663" i="110"/>
  <c r="P663" i="110"/>
  <c r="N663" i="110"/>
  <c r="I664" i="110"/>
  <c r="G664" i="110"/>
  <c r="O664" i="110" s="1"/>
  <c r="G665" i="110" l="1"/>
  <c r="O665" i="110" s="1"/>
  <c r="N665" i="110" s="1"/>
  <c r="H665" i="110"/>
  <c r="E666" i="110" s="1"/>
  <c r="F666" i="110" s="1"/>
  <c r="M666" i="110" s="1"/>
  <c r="I666" i="110" s="1"/>
  <c r="P665" i="110"/>
  <c r="Q665" i="110"/>
  <c r="P664" i="110"/>
  <c r="Q664" i="110"/>
  <c r="N664" i="110"/>
  <c r="H666" i="110" l="1"/>
  <c r="E667" i="110" s="1"/>
  <c r="F667" i="110" s="1"/>
  <c r="M667" i="110" s="1"/>
  <c r="G666" i="110"/>
  <c r="O666" i="110" s="1"/>
  <c r="I667" i="110" l="1"/>
  <c r="G667" i="110"/>
  <c r="O667" i="110" s="1"/>
  <c r="P667" i="110" s="1"/>
  <c r="H667" i="110"/>
  <c r="E668" i="110" s="1"/>
  <c r="F668" i="110" s="1"/>
  <c r="M668" i="110" s="1"/>
  <c r="G668" i="110" s="1"/>
  <c r="O668" i="110" s="1"/>
  <c r="N667" i="110"/>
  <c r="Q667" i="110"/>
  <c r="N666" i="110"/>
  <c r="Q666" i="110"/>
  <c r="P666" i="110"/>
  <c r="N668" i="110" l="1"/>
  <c r="Q668" i="110"/>
  <c r="P668" i="110"/>
  <c r="I668" i="110"/>
  <c r="H668" i="110"/>
  <c r="E669" i="110" s="1"/>
  <c r="F669" i="110" s="1"/>
  <c r="M669" i="110" l="1"/>
  <c r="H669" i="110" s="1"/>
  <c r="E670" i="110" s="1"/>
  <c r="F670" i="110" s="1"/>
  <c r="M670" i="110" l="1"/>
  <c r="H670" i="110" s="1"/>
  <c r="E671" i="110" s="1"/>
  <c r="F671" i="110" s="1"/>
  <c r="I669" i="110"/>
  <c r="G669" i="110"/>
  <c r="O669" i="110" s="1"/>
  <c r="M671" i="110" l="1"/>
  <c r="H671" i="110" s="1"/>
  <c r="E672" i="110" s="1"/>
  <c r="F672" i="110" s="1"/>
  <c r="N669" i="110"/>
  <c r="P669" i="110"/>
  <c r="Q669" i="110"/>
  <c r="I670" i="110"/>
  <c r="G670" i="110"/>
  <c r="O670" i="110" s="1"/>
  <c r="M672" i="110" l="1"/>
  <c r="H672" i="110" s="1"/>
  <c r="E673" i="110" s="1"/>
  <c r="F673" i="110" s="1"/>
  <c r="Q670" i="110"/>
  <c r="P670" i="110"/>
  <c r="N670" i="110"/>
  <c r="I671" i="110"/>
  <c r="G671" i="110"/>
  <c r="O671" i="110" s="1"/>
  <c r="M673" i="110" l="1"/>
  <c r="I673" i="110"/>
  <c r="H673" i="110"/>
  <c r="E674" i="110" s="1"/>
  <c r="F674" i="110" s="1"/>
  <c r="G673" i="110"/>
  <c r="O673" i="110" s="1"/>
  <c r="G672" i="110"/>
  <c r="O672" i="110" s="1"/>
  <c r="I672" i="110"/>
  <c r="Q671" i="110"/>
  <c r="P671" i="110"/>
  <c r="N671" i="110"/>
  <c r="Q673" i="110" l="1"/>
  <c r="P673" i="110"/>
  <c r="N673" i="110"/>
  <c r="Q672" i="110"/>
  <c r="P672" i="110"/>
  <c r="N672" i="110"/>
  <c r="M674" i="110"/>
  <c r="I674" i="110" s="1"/>
  <c r="G674" i="110" l="1"/>
  <c r="O674" i="110" s="1"/>
  <c r="N674" i="110" s="1"/>
  <c r="H674" i="110"/>
  <c r="E675" i="110" s="1"/>
  <c r="F675" i="110" s="1"/>
  <c r="M675" i="110" s="1"/>
  <c r="Q674" i="110" l="1"/>
  <c r="P674" i="110"/>
  <c r="I675" i="110"/>
  <c r="G675" i="110"/>
  <c r="O675" i="110" s="1"/>
  <c r="Q675" i="110" s="1"/>
  <c r="H675" i="110"/>
  <c r="E676" i="110" s="1"/>
  <c r="F676" i="110" s="1"/>
  <c r="M676" i="110" s="1"/>
  <c r="N675" i="110" l="1"/>
  <c r="P675" i="110"/>
  <c r="G676" i="110"/>
  <c r="O676" i="110" s="1"/>
  <c r="N676" i="110" s="1"/>
  <c r="H676" i="110"/>
  <c r="E677" i="110" s="1"/>
  <c r="F677" i="110" s="1"/>
  <c r="M677" i="110" s="1"/>
  <c r="H677" i="110" s="1"/>
  <c r="E678" i="110" s="1"/>
  <c r="F678" i="110" s="1"/>
  <c r="I676" i="110"/>
  <c r="Q676" i="110" l="1"/>
  <c r="P676" i="110"/>
  <c r="M678" i="110"/>
  <c r="H678" i="110" s="1"/>
  <c r="E679" i="110" s="1"/>
  <c r="F679" i="110" s="1"/>
  <c r="G677" i="110"/>
  <c r="O677" i="110" s="1"/>
  <c r="I677" i="110"/>
  <c r="I678" i="110" l="1"/>
  <c r="M679" i="110"/>
  <c r="I679" i="110" s="1"/>
  <c r="Q677" i="110"/>
  <c r="P677" i="110"/>
  <c r="N677" i="110"/>
  <c r="G678" i="110"/>
  <c r="O678" i="110" s="1"/>
  <c r="G679" i="110" l="1"/>
  <c r="O679" i="110" s="1"/>
  <c r="Q679" i="110" s="1"/>
  <c r="H679" i="110"/>
  <c r="E680" i="110" s="1"/>
  <c r="F680" i="110" s="1"/>
  <c r="M680" i="110" s="1"/>
  <c r="G680" i="110" s="1"/>
  <c r="O680" i="110" s="1"/>
  <c r="N679" i="110"/>
  <c r="N678" i="110"/>
  <c r="P678" i="110"/>
  <c r="Q678" i="110"/>
  <c r="P679" i="110" l="1"/>
  <c r="Q680" i="110"/>
  <c r="P680" i="110"/>
  <c r="N680" i="110"/>
  <c r="H680" i="110"/>
  <c r="E681" i="110" s="1"/>
  <c r="F681" i="110" s="1"/>
  <c r="I680" i="110"/>
  <c r="M681" i="110" l="1"/>
  <c r="I681" i="110" s="1"/>
  <c r="G681" i="110" l="1"/>
  <c r="O681" i="110" s="1"/>
  <c r="P681" i="110" s="1"/>
  <c r="H681" i="110"/>
  <c r="E682" i="110" s="1"/>
  <c r="F682" i="110" s="1"/>
  <c r="M682" i="110" s="1"/>
  <c r="H682" i="110" s="1"/>
  <c r="E683" i="110" s="1"/>
  <c r="F683" i="110" s="1"/>
  <c r="N681" i="110" l="1"/>
  <c r="Q681" i="110"/>
  <c r="I682" i="110"/>
  <c r="M683" i="110"/>
  <c r="H683" i="110" s="1"/>
  <c r="E684" i="110" s="1"/>
  <c r="F684" i="110" s="1"/>
  <c r="G682" i="110"/>
  <c r="O682" i="110" s="1"/>
  <c r="M684" i="110" l="1"/>
  <c r="H684" i="110" s="1"/>
  <c r="E685" i="110" s="1"/>
  <c r="F685" i="110" s="1"/>
  <c r="P682" i="110"/>
  <c r="Q682" i="110"/>
  <c r="N682" i="110"/>
  <c r="I683" i="110"/>
  <c r="G683" i="110"/>
  <c r="O683" i="110" s="1"/>
  <c r="M685" i="110" l="1"/>
  <c r="I685" i="110"/>
  <c r="H685" i="110"/>
  <c r="E686" i="110" s="1"/>
  <c r="F686" i="110" s="1"/>
  <c r="G685" i="110"/>
  <c r="O685" i="110" s="1"/>
  <c r="Q683" i="110"/>
  <c r="P683" i="110"/>
  <c r="N683" i="110"/>
  <c r="I684" i="110"/>
  <c r="G684" i="110"/>
  <c r="O684" i="110" s="1"/>
  <c r="N684" i="110" l="1"/>
  <c r="Q684" i="110"/>
  <c r="P684" i="110"/>
  <c r="M686" i="110"/>
  <c r="H686" i="110" s="1"/>
  <c r="E687" i="110" s="1"/>
  <c r="F687" i="110" s="1"/>
  <c r="N685" i="110"/>
  <c r="Q685" i="110"/>
  <c r="P685" i="110"/>
  <c r="M687" i="110" l="1"/>
  <c r="I687" i="110" s="1"/>
  <c r="G686" i="110"/>
  <c r="O686" i="110" s="1"/>
  <c r="I686" i="110"/>
  <c r="H687" i="110" l="1"/>
  <c r="E688" i="110" s="1"/>
  <c r="F688" i="110" s="1"/>
  <c r="G687" i="110"/>
  <c r="O687" i="110" s="1"/>
  <c r="P686" i="110"/>
  <c r="Q686" i="110"/>
  <c r="N686" i="110"/>
  <c r="Q687" i="110"/>
  <c r="P687" i="110"/>
  <c r="N687" i="110"/>
  <c r="M688" i="110" l="1"/>
  <c r="I688" i="110" s="1"/>
  <c r="G688" i="110" l="1"/>
  <c r="O688" i="110" s="1"/>
  <c r="P688" i="110" s="1"/>
  <c r="H688" i="110"/>
  <c r="E689" i="110" s="1"/>
  <c r="F689" i="110" s="1"/>
  <c r="N688" i="110" l="1"/>
  <c r="Q688" i="110"/>
  <c r="M689" i="110"/>
  <c r="I689" i="110" s="1"/>
  <c r="H689" i="110" l="1"/>
  <c r="E690" i="110" s="1"/>
  <c r="F690" i="110" s="1"/>
  <c r="M690" i="110" s="1"/>
  <c r="G689" i="110"/>
  <c r="O689" i="110" s="1"/>
  <c r="G690" i="110" l="1"/>
  <c r="O690" i="110" s="1"/>
  <c r="P690" i="110" s="1"/>
  <c r="H690" i="110"/>
  <c r="E691" i="110" s="1"/>
  <c r="F691" i="110" s="1"/>
  <c r="M691" i="110" s="1"/>
  <c r="H691" i="110" s="1"/>
  <c r="E692" i="110" s="1"/>
  <c r="F692" i="110" s="1"/>
  <c r="M692" i="110" s="1"/>
  <c r="H692" i="110" s="1"/>
  <c r="E693" i="110" s="1"/>
  <c r="F693" i="110" s="1"/>
  <c r="I690" i="110"/>
  <c r="N689" i="110"/>
  <c r="Q689" i="110"/>
  <c r="P689" i="110"/>
  <c r="N690" i="110" l="1"/>
  <c r="Q690" i="110"/>
  <c r="I691" i="110"/>
  <c r="G691" i="110"/>
  <c r="O691" i="110" s="1"/>
  <c r="N691" i="110" s="1"/>
  <c r="M693" i="110"/>
  <c r="H693" i="110" s="1"/>
  <c r="E694" i="110" s="1"/>
  <c r="F694" i="110" s="1"/>
  <c r="I692" i="110"/>
  <c r="G692" i="110"/>
  <c r="O692" i="110" s="1"/>
  <c r="G693" i="110" l="1"/>
  <c r="O693" i="110" s="1"/>
  <c r="I693" i="110"/>
  <c r="P691" i="110"/>
  <c r="Q691" i="110"/>
  <c r="M694" i="110"/>
  <c r="H694" i="110" s="1"/>
  <c r="E695" i="110" s="1"/>
  <c r="F695" i="110" s="1"/>
  <c r="M695" i="110" s="1"/>
  <c r="H695" i="110" s="1"/>
  <c r="E696" i="110" s="1"/>
  <c r="F696" i="110" s="1"/>
  <c r="N692" i="110"/>
  <c r="Q692" i="110"/>
  <c r="P692" i="110"/>
  <c r="Q693" i="110" l="1"/>
  <c r="P693" i="110"/>
  <c r="N693" i="110"/>
  <c r="G694" i="110"/>
  <c r="O694" i="110" s="1"/>
  <c r="Q694" i="110" s="1"/>
  <c r="I694" i="110"/>
  <c r="M696" i="110"/>
  <c r="I696" i="110" s="1"/>
  <c r="N694" i="110"/>
  <c r="I695" i="110"/>
  <c r="G695" i="110"/>
  <c r="O695" i="110" s="1"/>
  <c r="P694" i="110" l="1"/>
  <c r="H696" i="110"/>
  <c r="E697" i="110" s="1"/>
  <c r="F697" i="110" s="1"/>
  <c r="M697" i="110" s="1"/>
  <c r="I697" i="110" s="1"/>
  <c r="G696" i="110"/>
  <c r="O696" i="110" s="1"/>
  <c r="N696" i="110" s="1"/>
  <c r="Q695" i="110"/>
  <c r="P695" i="110"/>
  <c r="N695" i="110"/>
  <c r="P696" i="110" l="1"/>
  <c r="Q696" i="110"/>
  <c r="G697" i="110"/>
  <c r="O697" i="110" s="1"/>
  <c r="N697" i="110" s="1"/>
  <c r="H697" i="110"/>
  <c r="E698" i="110" s="1"/>
  <c r="F698" i="110" s="1"/>
  <c r="Q697" i="110" l="1"/>
  <c r="P697" i="110"/>
  <c r="M698" i="110"/>
  <c r="I698" i="110" s="1"/>
  <c r="H698" i="110" l="1"/>
  <c r="E699" i="110" s="1"/>
  <c r="F699" i="110" s="1"/>
  <c r="G698" i="110"/>
  <c r="O698" i="110" s="1"/>
  <c r="Q698" i="110" s="1"/>
  <c r="N698" i="110" l="1"/>
  <c r="P698" i="110"/>
  <c r="M699" i="110"/>
  <c r="H699" i="110" s="1"/>
  <c r="E700" i="110" s="1"/>
  <c r="F700" i="110" s="1"/>
  <c r="M700" i="110" s="1"/>
  <c r="H700" i="110" s="1"/>
  <c r="E701" i="110" s="1"/>
  <c r="F701" i="110" s="1"/>
  <c r="G699" i="110" l="1"/>
  <c r="O699" i="110" s="1"/>
  <c r="I699" i="110"/>
  <c r="M701" i="110"/>
  <c r="H701" i="110" s="1"/>
  <c r="E702" i="110" s="1"/>
  <c r="F702" i="110" s="1"/>
  <c r="I700" i="110"/>
  <c r="G700" i="110"/>
  <c r="O700" i="110" s="1"/>
  <c r="P699" i="110" l="1"/>
  <c r="N699" i="110"/>
  <c r="Q699" i="110"/>
  <c r="M702" i="110"/>
  <c r="H702" i="110" s="1"/>
  <c r="E703" i="110" s="1"/>
  <c r="F703" i="110" s="1"/>
  <c r="N700" i="110"/>
  <c r="Q700" i="110"/>
  <c r="P700" i="110"/>
  <c r="I701" i="110"/>
  <c r="G701" i="110"/>
  <c r="O701" i="110" s="1"/>
  <c r="I702" i="110" l="1"/>
  <c r="M703" i="110"/>
  <c r="G703" i="110" s="1"/>
  <c r="O703" i="110" s="1"/>
  <c r="P701" i="110"/>
  <c r="N701" i="110"/>
  <c r="Q701" i="110"/>
  <c r="G702" i="110"/>
  <c r="O702" i="110" s="1"/>
  <c r="I703" i="110" l="1"/>
  <c r="H703" i="110"/>
  <c r="E704" i="110" s="1"/>
  <c r="F704" i="110" s="1"/>
  <c r="M704" i="110" s="1"/>
  <c r="Q703" i="110"/>
  <c r="P703" i="110"/>
  <c r="N703" i="110"/>
  <c r="Q702" i="110"/>
  <c r="P702" i="110"/>
  <c r="N702" i="110"/>
  <c r="I704" i="110" l="1"/>
  <c r="H704" i="110"/>
  <c r="E705" i="110" s="1"/>
  <c r="F705" i="110" s="1"/>
  <c r="M705" i="110" s="1"/>
  <c r="G705" i="110" s="1"/>
  <c r="O705" i="110" s="1"/>
  <c r="G704" i="110"/>
  <c r="O704" i="110" s="1"/>
  <c r="Q704" i="110" s="1"/>
  <c r="P704" i="110" l="1"/>
  <c r="N704" i="110"/>
  <c r="I705" i="110"/>
  <c r="H705" i="110"/>
  <c r="E706" i="110" s="1"/>
  <c r="F706" i="110" s="1"/>
  <c r="M706" i="110" s="1"/>
  <c r="H706" i="110" s="1"/>
  <c r="E707" i="110" s="1"/>
  <c r="F707" i="110" s="1"/>
  <c r="N705" i="110"/>
  <c r="Q705" i="110"/>
  <c r="P705" i="110"/>
  <c r="M707" i="110" l="1"/>
  <c r="H707" i="110" s="1"/>
  <c r="E708" i="110" s="1"/>
  <c r="F708" i="110" s="1"/>
  <c r="G706" i="110"/>
  <c r="O706" i="110" s="1"/>
  <c r="I706" i="110"/>
  <c r="I707" i="110" l="1"/>
  <c r="M708" i="110"/>
  <c r="H708" i="110" s="1"/>
  <c r="E709" i="110" s="1"/>
  <c r="F709" i="110" s="1"/>
  <c r="P706" i="110"/>
  <c r="N706" i="110"/>
  <c r="Q706" i="110"/>
  <c r="G707" i="110"/>
  <c r="O707" i="110" s="1"/>
  <c r="I708" i="110" l="1"/>
  <c r="G708" i="110"/>
  <c r="O708" i="110" s="1"/>
  <c r="M709" i="110"/>
  <c r="H709" i="110" s="1"/>
  <c r="E710" i="110" s="1"/>
  <c r="F710" i="110" s="1"/>
  <c r="Q707" i="110"/>
  <c r="P707" i="110"/>
  <c r="N707" i="110"/>
  <c r="Q708" i="110"/>
  <c r="N708" i="110"/>
  <c r="P708" i="110"/>
  <c r="I709" i="110" l="1"/>
  <c r="G709" i="110"/>
  <c r="O709" i="110" s="1"/>
  <c r="Q709" i="110" s="1"/>
  <c r="M710" i="110"/>
  <c r="H710" i="110" s="1"/>
  <c r="E711" i="110" s="1"/>
  <c r="F711" i="110" s="1"/>
  <c r="P709" i="110"/>
  <c r="N709" i="110"/>
  <c r="G710" i="110" l="1"/>
  <c r="O710" i="110" s="1"/>
  <c r="I710" i="110"/>
  <c r="M711" i="110"/>
  <c r="H711" i="110" s="1"/>
  <c r="E712" i="110" s="1"/>
  <c r="F712" i="110" s="1"/>
  <c r="N710" i="110"/>
  <c r="P710" i="110"/>
  <c r="Q710" i="110"/>
  <c r="G711" i="110" l="1"/>
  <c r="O711" i="110" s="1"/>
  <c r="I711" i="110"/>
  <c r="M712" i="110"/>
  <c r="I712" i="110" s="1"/>
  <c r="P711" i="110"/>
  <c r="Q711" i="110"/>
  <c r="N711" i="110"/>
  <c r="G712" i="110" l="1"/>
  <c r="O712" i="110" s="1"/>
  <c r="Q712" i="110" s="1"/>
  <c r="H712" i="110"/>
  <c r="E713" i="110" s="1"/>
  <c r="F713" i="110" s="1"/>
  <c r="P712" i="110" l="1"/>
  <c r="N712" i="110"/>
  <c r="M713" i="110"/>
  <c r="I713" i="110" s="1"/>
  <c r="H713" i="110" l="1"/>
  <c r="E714" i="110" s="1"/>
  <c r="F714" i="110" s="1"/>
  <c r="G713" i="110"/>
  <c r="O713" i="110" s="1"/>
  <c r="N713" i="110" s="1"/>
  <c r="Q713" i="110" l="1"/>
  <c r="P713" i="110"/>
  <c r="M714" i="110"/>
  <c r="G714" i="110" s="1"/>
  <c r="O714" i="110" s="1"/>
  <c r="I714" i="110" l="1"/>
  <c r="H714" i="110"/>
  <c r="E715" i="110" s="1"/>
  <c r="F715" i="110" s="1"/>
  <c r="M715" i="110" s="1"/>
  <c r="H715" i="110" s="1"/>
  <c r="E716" i="110" s="1"/>
  <c r="F716" i="110" s="1"/>
  <c r="M716" i="110" s="1"/>
  <c r="I716" i="110" s="1"/>
  <c r="Q714" i="110"/>
  <c r="P714" i="110"/>
  <c r="N714" i="110"/>
  <c r="I715" i="110" l="1"/>
  <c r="G715" i="110"/>
  <c r="O715" i="110" s="1"/>
  <c r="P715" i="110" s="1"/>
  <c r="H716" i="110"/>
  <c r="E717" i="110" s="1"/>
  <c r="F717" i="110" s="1"/>
  <c r="M717" i="110" s="1"/>
  <c r="I717" i="110" s="1"/>
  <c r="G716" i="110"/>
  <c r="O716" i="110" s="1"/>
  <c r="Q716" i="110" s="1"/>
  <c r="N715" i="110" l="1"/>
  <c r="Q715" i="110"/>
  <c r="P716" i="110"/>
  <c r="N716" i="110"/>
  <c r="H717" i="110"/>
  <c r="E718" i="110" s="1"/>
  <c r="F718" i="110" s="1"/>
  <c r="G717" i="110"/>
  <c r="O717" i="110" s="1"/>
  <c r="P717" i="110" l="1"/>
  <c r="N717" i="110"/>
  <c r="Q717" i="110"/>
  <c r="M718" i="110"/>
  <c r="I718" i="110" s="1"/>
  <c r="H718" i="110" l="1"/>
  <c r="E719" i="110" s="1"/>
  <c r="F719" i="110" s="1"/>
  <c r="M719" i="110" s="1"/>
  <c r="H719" i="110" s="1"/>
  <c r="E720" i="110" s="1"/>
  <c r="F720" i="110" s="1"/>
  <c r="G718" i="110"/>
  <c r="O718" i="110" s="1"/>
  <c r="N718" i="110" s="1"/>
  <c r="P718" i="110" l="1"/>
  <c r="Q718" i="110"/>
  <c r="M720" i="110"/>
  <c r="I720" i="110" s="1"/>
  <c r="G719" i="110"/>
  <c r="O719" i="110" s="1"/>
  <c r="I719" i="110"/>
  <c r="N719" i="110" l="1"/>
  <c r="Q719" i="110"/>
  <c r="P719" i="110"/>
  <c r="G720" i="110"/>
  <c r="O720" i="110" s="1"/>
  <c r="H720" i="110"/>
  <c r="E721" i="110" s="1"/>
  <c r="F721" i="110" s="1"/>
  <c r="Q720" i="110" l="1"/>
  <c r="P720" i="110"/>
  <c r="N720" i="110"/>
  <c r="M721" i="110"/>
  <c r="H721" i="110" s="1"/>
  <c r="E722" i="110" s="1"/>
  <c r="F722" i="110" s="1"/>
  <c r="I721" i="110" l="1"/>
  <c r="G721" i="110"/>
  <c r="O721" i="110" s="1"/>
  <c r="N721" i="110" s="1"/>
  <c r="M722" i="110"/>
  <c r="I722" i="110" s="1"/>
  <c r="P721" i="110" l="1"/>
  <c r="Q721" i="110"/>
  <c r="G722" i="110"/>
  <c r="O722" i="110" s="1"/>
  <c r="H722" i="110"/>
  <c r="E723" i="110" s="1"/>
  <c r="F723" i="110" s="1"/>
  <c r="M723" i="110" l="1"/>
  <c r="I723" i="110" s="1"/>
  <c r="N722" i="110"/>
  <c r="P722" i="110"/>
  <c r="Q722" i="110"/>
  <c r="G723" i="110" l="1"/>
  <c r="O723" i="110" s="1"/>
  <c r="N723" i="110" s="1"/>
  <c r="H723" i="110"/>
  <c r="E724" i="110" s="1"/>
  <c r="F724" i="110" s="1"/>
  <c r="M724" i="110" s="1"/>
  <c r="I724" i="110" s="1"/>
  <c r="P723" i="110" l="1"/>
  <c r="Q723" i="110"/>
  <c r="G724" i="110"/>
  <c r="O724" i="110" s="1"/>
  <c r="H724" i="110"/>
  <c r="E725" i="110" s="1"/>
  <c r="F725" i="110" s="1"/>
  <c r="M725" i="110" l="1"/>
  <c r="I725" i="110" s="1"/>
  <c r="Q724" i="110"/>
  <c r="N724" i="110"/>
  <c r="P724" i="110"/>
  <c r="G725" i="110" l="1"/>
  <c r="O725" i="110" s="1"/>
  <c r="H725" i="110"/>
  <c r="E726" i="110" s="1"/>
  <c r="F726" i="110" s="1"/>
  <c r="M726" i="110" l="1"/>
  <c r="I726" i="110" s="1"/>
  <c r="N725" i="110"/>
  <c r="P725" i="110"/>
  <c r="Q725" i="110"/>
  <c r="G726" i="110" l="1"/>
  <c r="O726" i="110" s="1"/>
  <c r="H726" i="110"/>
  <c r="E727" i="110" s="1"/>
  <c r="F727" i="110" s="1"/>
  <c r="M727" i="110" l="1"/>
  <c r="H727" i="110" s="1"/>
  <c r="E728" i="110" s="1"/>
  <c r="F728" i="110" s="1"/>
  <c r="P726" i="110"/>
  <c r="N726" i="110"/>
  <c r="Q726" i="110"/>
  <c r="M728" i="110" l="1"/>
  <c r="H728" i="110" s="1"/>
  <c r="E729" i="110" s="1"/>
  <c r="F729" i="110" s="1"/>
  <c r="I727" i="110"/>
  <c r="G727" i="110"/>
  <c r="O727" i="110" s="1"/>
  <c r="I728" i="110" l="1"/>
  <c r="M729" i="110"/>
  <c r="I729" i="110" s="1"/>
  <c r="P727" i="110"/>
  <c r="N727" i="110"/>
  <c r="Q727" i="110"/>
  <c r="G728" i="110"/>
  <c r="O728" i="110" s="1"/>
  <c r="G729" i="110" l="1"/>
  <c r="O729" i="110" s="1"/>
  <c r="Q729" i="110" s="1"/>
  <c r="H729" i="110"/>
  <c r="E730" i="110" s="1"/>
  <c r="F730" i="110" s="1"/>
  <c r="M730" i="110" s="1"/>
  <c r="H730" i="110" s="1"/>
  <c r="E731" i="110" s="1"/>
  <c r="F731" i="110" s="1"/>
  <c r="P729" i="110"/>
  <c r="N729" i="110"/>
  <c r="Q728" i="110"/>
  <c r="P728" i="110"/>
  <c r="N728" i="110"/>
  <c r="I730" i="110" l="1"/>
  <c r="G730" i="110"/>
  <c r="O730" i="110" s="1"/>
  <c r="N730" i="110" s="1"/>
  <c r="M731" i="110"/>
  <c r="H731" i="110" s="1"/>
  <c r="E732" i="110" s="1"/>
  <c r="F732" i="110" s="1"/>
  <c r="Q730" i="110" l="1"/>
  <c r="P730" i="110"/>
  <c r="I731" i="110"/>
  <c r="M732" i="110"/>
  <c r="H732" i="110" s="1"/>
  <c r="E733" i="110" s="1"/>
  <c r="F733" i="110" s="1"/>
  <c r="G731" i="110"/>
  <c r="O731" i="110" s="1"/>
  <c r="M733" i="110" l="1"/>
  <c r="I733" i="110" s="1"/>
  <c r="G732" i="110"/>
  <c r="O732" i="110" s="1"/>
  <c r="Q731" i="110"/>
  <c r="N731" i="110"/>
  <c r="P731" i="110"/>
  <c r="I732" i="110"/>
  <c r="H733" i="110" l="1"/>
  <c r="E734" i="110" s="1"/>
  <c r="F734" i="110" s="1"/>
  <c r="G733" i="110"/>
  <c r="O733" i="110" s="1"/>
  <c r="Q732" i="110"/>
  <c r="P732" i="110"/>
  <c r="N732" i="110"/>
  <c r="Q733" i="110"/>
  <c r="P733" i="110"/>
  <c r="N733" i="110"/>
  <c r="M734" i="110" l="1"/>
  <c r="I734" i="110" s="1"/>
  <c r="G734" i="110" l="1"/>
  <c r="O734" i="110" s="1"/>
  <c r="H734" i="110"/>
  <c r="E735" i="110" s="1"/>
  <c r="F735" i="110" s="1"/>
  <c r="M735" i="110" l="1"/>
  <c r="H735" i="110" s="1"/>
  <c r="E736" i="110" s="1"/>
  <c r="F736" i="110" s="1"/>
  <c r="M736" i="110" s="1"/>
  <c r="I736" i="110" s="1"/>
  <c r="Q734" i="110"/>
  <c r="P734" i="110"/>
  <c r="N734" i="110"/>
  <c r="H736" i="110" l="1"/>
  <c r="E737" i="110" s="1"/>
  <c r="F737" i="110" s="1"/>
  <c r="M737" i="110" s="1"/>
  <c r="I737" i="110" s="1"/>
  <c r="G736" i="110"/>
  <c r="O736" i="110" s="1"/>
  <c r="Q736" i="110" s="1"/>
  <c r="I735" i="110"/>
  <c r="G735" i="110"/>
  <c r="O735" i="110" s="1"/>
  <c r="N736" i="110"/>
  <c r="P736" i="110"/>
  <c r="N735" i="110" l="1"/>
  <c r="Q735" i="110"/>
  <c r="P735" i="110"/>
  <c r="G737" i="110"/>
  <c r="O737" i="110" s="1"/>
  <c r="H737" i="110"/>
  <c r="E738" i="110" s="1"/>
  <c r="F738" i="110" s="1"/>
  <c r="M738" i="110" l="1"/>
  <c r="I738" i="110" s="1"/>
  <c r="N737" i="110"/>
  <c r="P737" i="110"/>
  <c r="Q737" i="110"/>
  <c r="G738" i="110" l="1"/>
  <c r="O738" i="110" s="1"/>
  <c r="N738" i="110" s="1"/>
  <c r="H738" i="110"/>
  <c r="E739" i="110" s="1"/>
  <c r="F739" i="110" s="1"/>
  <c r="P738" i="110" l="1"/>
  <c r="Q738" i="110"/>
  <c r="M739" i="110"/>
  <c r="H739" i="110" s="1"/>
  <c r="E740" i="110" s="1"/>
  <c r="F740" i="110" s="1"/>
  <c r="I739" i="110" l="1"/>
  <c r="M740" i="110"/>
  <c r="I740" i="110" s="1"/>
  <c r="G739" i="110"/>
  <c r="O739" i="110" s="1"/>
  <c r="N739" i="110" l="1"/>
  <c r="Q739" i="110"/>
  <c r="P739" i="110"/>
  <c r="G740" i="110"/>
  <c r="O740" i="110" s="1"/>
  <c r="H740" i="110"/>
  <c r="E741" i="110" s="1"/>
  <c r="F741" i="110" s="1"/>
  <c r="M741" i="110" l="1"/>
  <c r="I741" i="110" s="1"/>
  <c r="P740" i="110"/>
  <c r="Q740" i="110"/>
  <c r="N740" i="110"/>
  <c r="G741" i="110" l="1"/>
  <c r="O741" i="110" s="1"/>
  <c r="P741" i="110" s="1"/>
  <c r="H741" i="110"/>
  <c r="E742" i="110" s="1"/>
  <c r="F742" i="110" s="1"/>
  <c r="M742" i="110" s="1"/>
  <c r="G742" i="110" s="1"/>
  <c r="O742" i="110" s="1"/>
  <c r="N741" i="110"/>
  <c r="Q741" i="110"/>
  <c r="I742" i="110" l="1"/>
  <c r="H742" i="110"/>
  <c r="E743" i="110" s="1"/>
  <c r="F743" i="110" s="1"/>
  <c r="M743" i="110" s="1"/>
  <c r="H743" i="110" s="1"/>
  <c r="E744" i="110" s="1"/>
  <c r="F744" i="110" s="1"/>
  <c r="P742" i="110"/>
  <c r="Q742" i="110"/>
  <c r="N742" i="110"/>
  <c r="G743" i="110" l="1"/>
  <c r="O743" i="110" s="1"/>
  <c r="I743" i="110"/>
  <c r="M744" i="110"/>
  <c r="G744" i="110" s="1"/>
  <c r="O744" i="110" s="1"/>
  <c r="Q743" i="110"/>
  <c r="P743" i="110"/>
  <c r="N743" i="110"/>
  <c r="Q744" i="110" l="1"/>
  <c r="P744" i="110"/>
  <c r="N744" i="110"/>
  <c r="H744" i="110"/>
  <c r="E745" i="110" s="1"/>
  <c r="F745" i="110" s="1"/>
  <c r="I744" i="110"/>
  <c r="M745" i="110" l="1"/>
  <c r="H745" i="110" s="1"/>
  <c r="E746" i="110" s="1"/>
  <c r="F746" i="110" s="1"/>
  <c r="I745" i="110"/>
  <c r="G745" i="110" l="1"/>
  <c r="O745" i="110" s="1"/>
  <c r="M746" i="110"/>
  <c r="I746" i="110" s="1"/>
  <c r="Q745" i="110"/>
  <c r="P745" i="110"/>
  <c r="N745" i="110"/>
  <c r="G746" i="110" l="1"/>
  <c r="O746" i="110" s="1"/>
  <c r="H746" i="110"/>
  <c r="E747" i="110" s="1"/>
  <c r="F747" i="110" s="1"/>
  <c r="M747" i="110" s="1"/>
  <c r="I747" i="110" s="1"/>
  <c r="N746" i="110"/>
  <c r="P746" i="110"/>
  <c r="Q746" i="110"/>
  <c r="G747" i="110" l="1"/>
  <c r="O747" i="110" s="1"/>
  <c r="N747" i="110" s="1"/>
  <c r="H747" i="110"/>
  <c r="E748" i="110" s="1"/>
  <c r="F748" i="110" s="1"/>
  <c r="M748" i="110" s="1"/>
  <c r="G748" i="110" s="1"/>
  <c r="O748" i="110" s="1"/>
  <c r="Q747" i="110"/>
  <c r="P747" i="110" l="1"/>
  <c r="P748" i="110"/>
  <c r="Q748" i="110"/>
  <c r="N748" i="110"/>
  <c r="H748" i="110"/>
  <c r="E749" i="110" s="1"/>
  <c r="F749" i="110" s="1"/>
  <c r="I748" i="110"/>
  <c r="M749" i="110" l="1"/>
  <c r="H749" i="110" s="1"/>
  <c r="E750" i="110" s="1"/>
  <c r="F750" i="110" s="1"/>
  <c r="G749" i="110" l="1"/>
  <c r="O749" i="110" s="1"/>
  <c r="M750" i="110"/>
  <c r="G750" i="110" s="1"/>
  <c r="O750" i="110" s="1"/>
  <c r="I749" i="110"/>
  <c r="Q749" i="110"/>
  <c r="N749" i="110"/>
  <c r="P749" i="110"/>
  <c r="I750" i="110" l="1"/>
  <c r="H750" i="110"/>
  <c r="E751" i="110" s="1"/>
  <c r="F751" i="110" s="1"/>
  <c r="M751" i="110" s="1"/>
  <c r="G751" i="110" s="1"/>
  <c r="O751" i="110" s="1"/>
  <c r="Q750" i="110"/>
  <c r="N750" i="110"/>
  <c r="P750" i="110"/>
  <c r="Q751" i="110" l="1"/>
  <c r="P751" i="110"/>
  <c r="N751" i="110"/>
  <c r="I751" i="110"/>
  <c r="H751" i="110"/>
  <c r="E752" i="110" s="1"/>
  <c r="F752" i="110" s="1"/>
  <c r="M752" i="110" l="1"/>
  <c r="G752" i="110" s="1"/>
  <c r="O752" i="110" s="1"/>
  <c r="I752" i="110" l="1"/>
  <c r="Q752" i="110"/>
  <c r="P752" i="110"/>
  <c r="N752" i="110"/>
  <c r="H752" i="110"/>
  <c r="E753" i="110" s="1"/>
  <c r="F753" i="110" s="1"/>
  <c r="M753" i="110" l="1"/>
  <c r="G753" i="110" s="1"/>
  <c r="O753" i="110" s="1"/>
  <c r="H753" i="110" l="1"/>
  <c r="E754" i="110" s="1"/>
  <c r="F754" i="110" s="1"/>
  <c r="M754" i="110" s="1"/>
  <c r="G754" i="110" s="1"/>
  <c r="O754" i="110" s="1"/>
  <c r="I753" i="110"/>
  <c r="N753" i="110"/>
  <c r="Q753" i="110"/>
  <c r="P753" i="110"/>
  <c r="I754" i="110" l="1"/>
  <c r="H754" i="110"/>
  <c r="E755" i="110" s="1"/>
  <c r="F755" i="110" s="1"/>
  <c r="M755" i="110" s="1"/>
  <c r="H755" i="110" s="1"/>
  <c r="E756" i="110" s="1"/>
  <c r="F756" i="110" s="1"/>
  <c r="Q754" i="110"/>
  <c r="P754" i="110"/>
  <c r="N754" i="110"/>
  <c r="I755" i="110" l="1"/>
  <c r="M756" i="110"/>
  <c r="G756" i="110" s="1"/>
  <c r="O756" i="110" s="1"/>
  <c r="G755" i="110"/>
  <c r="O755" i="110" s="1"/>
  <c r="P756" i="110" l="1"/>
  <c r="N756" i="110"/>
  <c r="Q756" i="110"/>
  <c r="P755" i="110"/>
  <c r="N755" i="110"/>
  <c r="Q755" i="110"/>
  <c r="H756" i="110"/>
  <c r="E757" i="110" s="1"/>
  <c r="F757" i="110" s="1"/>
  <c r="I756" i="110"/>
  <c r="M757" i="110" l="1"/>
  <c r="I757" i="110" s="1"/>
  <c r="G757" i="110" l="1"/>
  <c r="O757" i="110" s="1"/>
  <c r="H757" i="110"/>
  <c r="E758" i="110" s="1"/>
  <c r="F758" i="110" s="1"/>
  <c r="M758" i="110" l="1"/>
  <c r="I758" i="110" s="1"/>
  <c r="Q757" i="110"/>
  <c r="P757" i="110"/>
  <c r="N757" i="110"/>
  <c r="G758" i="110" l="1"/>
  <c r="O758" i="110" s="1"/>
  <c r="N758" i="110" s="1"/>
  <c r="H758" i="110"/>
  <c r="E759" i="110" s="1"/>
  <c r="F759" i="110" s="1"/>
  <c r="Q758" i="110" l="1"/>
  <c r="P758" i="110"/>
  <c r="M759" i="110"/>
  <c r="H759" i="110" s="1"/>
  <c r="E760" i="110" s="1"/>
  <c r="F760" i="110" s="1"/>
  <c r="G759" i="110" l="1"/>
  <c r="O759" i="110" s="1"/>
  <c r="P759" i="110" s="1"/>
  <c r="M760" i="110"/>
  <c r="I760" i="110" s="1"/>
  <c r="I759" i="110"/>
  <c r="Q759" i="110" l="1"/>
  <c r="N759" i="110"/>
  <c r="G760" i="110"/>
  <c r="O760" i="110" s="1"/>
  <c r="Q760" i="110" s="1"/>
  <c r="H760" i="110"/>
  <c r="E761" i="110" s="1"/>
  <c r="F761" i="110" s="1"/>
  <c r="P760" i="110" l="1"/>
  <c r="N760" i="110"/>
  <c r="M761" i="110"/>
  <c r="H761" i="110" s="1"/>
  <c r="E762" i="110" s="1"/>
  <c r="F762" i="110" s="1"/>
  <c r="M762" i="110" l="1"/>
  <c r="G762" i="110" s="1"/>
  <c r="O762" i="110" s="1"/>
  <c r="G761" i="110"/>
  <c r="O761" i="110" s="1"/>
  <c r="I761" i="110"/>
  <c r="H762" i="110" l="1"/>
  <c r="E763" i="110" s="1"/>
  <c r="F763" i="110" s="1"/>
  <c r="M763" i="110" s="1"/>
  <c r="H763" i="110" s="1"/>
  <c r="E764" i="110" s="1"/>
  <c r="F764" i="110" s="1"/>
  <c r="I762" i="110"/>
  <c r="Q761" i="110"/>
  <c r="P761" i="110"/>
  <c r="N761" i="110"/>
  <c r="N762" i="110"/>
  <c r="Q762" i="110"/>
  <c r="P762" i="110"/>
  <c r="I763" i="110" l="1"/>
  <c r="G763" i="110"/>
  <c r="O763" i="110" s="1"/>
  <c r="Q763" i="110" s="1"/>
  <c r="M764" i="110"/>
  <c r="H764" i="110" s="1"/>
  <c r="E765" i="110" s="1"/>
  <c r="F765" i="110" s="1"/>
  <c r="P763" i="110" l="1"/>
  <c r="N763" i="110"/>
  <c r="G764" i="110"/>
  <c r="O764" i="110" s="1"/>
  <c r="P764" i="110" s="1"/>
  <c r="M765" i="110"/>
  <c r="I765" i="110" s="1"/>
  <c r="I764" i="110"/>
  <c r="Q764" i="110" l="1"/>
  <c r="N764" i="110"/>
  <c r="G765" i="110"/>
  <c r="O765" i="110" s="1"/>
  <c r="Q765" i="110" s="1"/>
  <c r="H765" i="110"/>
  <c r="E766" i="110" s="1"/>
  <c r="F766" i="110" s="1"/>
  <c r="N765" i="110" l="1"/>
  <c r="P765" i="110"/>
  <c r="M766" i="110"/>
  <c r="I766" i="110" s="1"/>
  <c r="G766" i="110" l="1"/>
  <c r="O766" i="110" s="1"/>
  <c r="H766" i="110"/>
  <c r="E767" i="110" s="1"/>
  <c r="F767" i="110" s="1"/>
  <c r="M767" i="110" l="1"/>
  <c r="H767" i="110" s="1"/>
  <c r="E768" i="110" s="1"/>
  <c r="F768" i="110" s="1"/>
  <c r="P766" i="110"/>
  <c r="Q766" i="110"/>
  <c r="N766" i="110"/>
  <c r="M768" i="110" l="1"/>
  <c r="I768" i="110" s="1"/>
  <c r="G767" i="110"/>
  <c r="O767" i="110" s="1"/>
  <c r="I767" i="110"/>
  <c r="N767" i="110" l="1"/>
  <c r="Q767" i="110"/>
  <c r="P767" i="110"/>
  <c r="G768" i="110"/>
  <c r="O768" i="110" s="1"/>
  <c r="H768" i="110"/>
  <c r="E769" i="110" s="1"/>
  <c r="F769" i="110" s="1"/>
  <c r="M769" i="110" l="1"/>
  <c r="I769" i="110" s="1"/>
  <c r="Q768" i="110"/>
  <c r="P768" i="110"/>
  <c r="N768" i="110"/>
  <c r="H769" i="110" l="1"/>
  <c r="E770" i="110" s="1"/>
  <c r="F770" i="110" s="1"/>
  <c r="M770" i="110" s="1"/>
  <c r="G770" i="110" s="1"/>
  <c r="O770" i="110" s="1"/>
  <c r="G769" i="110"/>
  <c r="O769" i="110" s="1"/>
  <c r="P769" i="110" s="1"/>
  <c r="N769" i="110" l="1"/>
  <c r="Q769" i="110"/>
  <c r="H770" i="110"/>
  <c r="E771" i="110" s="1"/>
  <c r="F771" i="110" s="1"/>
  <c r="I770" i="110"/>
  <c r="Q770" i="110"/>
  <c r="P770" i="110"/>
  <c r="N770" i="110"/>
  <c r="M771" i="110" l="1"/>
  <c r="H771" i="110" s="1"/>
  <c r="E772" i="110" s="1"/>
  <c r="F772" i="110" s="1"/>
  <c r="M772" i="110" s="1"/>
  <c r="H772" i="110" s="1"/>
  <c r="E773" i="110" s="1"/>
  <c r="F773" i="110" s="1"/>
  <c r="G771" i="110" l="1"/>
  <c r="O771" i="110" s="1"/>
  <c r="N771" i="110" s="1"/>
  <c r="I771" i="110"/>
  <c r="Q771" i="110"/>
  <c r="P771" i="110"/>
  <c r="I772" i="110"/>
  <c r="G772" i="110"/>
  <c r="O772" i="110" s="1"/>
  <c r="Q772" i="110" s="1"/>
  <c r="M773" i="110"/>
  <c r="G773" i="110" s="1"/>
  <c r="O773" i="110" s="1"/>
  <c r="H773" i="110" l="1"/>
  <c r="E774" i="110" s="1"/>
  <c r="F774" i="110" s="1"/>
  <c r="M774" i="110" s="1"/>
  <c r="I774" i="110" s="1"/>
  <c r="N772" i="110"/>
  <c r="P772" i="110"/>
  <c r="I773" i="110"/>
  <c r="Q773" i="110"/>
  <c r="P773" i="110"/>
  <c r="N773" i="110"/>
  <c r="H774" i="110" l="1"/>
  <c r="E775" i="110" s="1"/>
  <c r="F775" i="110" s="1"/>
  <c r="G774" i="110"/>
  <c r="O774" i="110" s="1"/>
  <c r="Q774" i="110" l="1"/>
  <c r="P774" i="110"/>
  <c r="N774" i="110"/>
  <c r="M775" i="110"/>
  <c r="H775" i="110" s="1"/>
  <c r="E776" i="110" s="1"/>
  <c r="F776" i="110" s="1"/>
  <c r="M776" i="110" l="1"/>
  <c r="H776" i="110" s="1"/>
  <c r="E777" i="110" s="1"/>
  <c r="F777" i="110" s="1"/>
  <c r="I775" i="110"/>
  <c r="G775" i="110"/>
  <c r="O775" i="110" s="1"/>
  <c r="I776" i="110" l="1"/>
  <c r="M777" i="110"/>
  <c r="H777" i="110" s="1"/>
  <c r="E778" i="110" s="1"/>
  <c r="F778" i="110" s="1"/>
  <c r="N775" i="110"/>
  <c r="P775" i="110"/>
  <c r="Q775" i="110"/>
  <c r="G776" i="110"/>
  <c r="O776" i="110" s="1"/>
  <c r="I777" i="110" l="1"/>
  <c r="M778" i="110"/>
  <c r="H778" i="110" s="1"/>
  <c r="E779" i="110" s="1"/>
  <c r="F779" i="110" s="1"/>
  <c r="Q776" i="110"/>
  <c r="N776" i="110"/>
  <c r="P776" i="110"/>
  <c r="G777" i="110"/>
  <c r="O777" i="110" s="1"/>
  <c r="I778" i="110" l="1"/>
  <c r="G778" i="110"/>
  <c r="O778" i="110" s="1"/>
  <c r="M779" i="110"/>
  <c r="H779" i="110" s="1"/>
  <c r="E780" i="110" s="1"/>
  <c r="F780" i="110" s="1"/>
  <c r="Q777" i="110"/>
  <c r="P777" i="110"/>
  <c r="N777" i="110"/>
  <c r="N778" i="110"/>
  <c r="Q778" i="110"/>
  <c r="P778" i="110"/>
  <c r="M780" i="110" l="1"/>
  <c r="I780" i="110" s="1"/>
  <c r="G779" i="110"/>
  <c r="O779" i="110" s="1"/>
  <c r="I779" i="110"/>
  <c r="G780" i="110" l="1"/>
  <c r="O780" i="110" s="1"/>
  <c r="Q780" i="110" s="1"/>
  <c r="H780" i="110"/>
  <c r="E781" i="110" s="1"/>
  <c r="F781" i="110" s="1"/>
  <c r="M781" i="110" s="1"/>
  <c r="H781" i="110" s="1"/>
  <c r="E782" i="110" s="1"/>
  <c r="F782" i="110" s="1"/>
  <c r="N779" i="110"/>
  <c r="P779" i="110"/>
  <c r="Q779" i="110"/>
  <c r="N780" i="110" l="1"/>
  <c r="P780" i="110"/>
  <c r="M782" i="110"/>
  <c r="H782" i="110" s="1"/>
  <c r="E783" i="110" s="1"/>
  <c r="F783" i="110" s="1"/>
  <c r="I781" i="110"/>
  <c r="G781" i="110"/>
  <c r="O781" i="110" s="1"/>
  <c r="I782" i="110" l="1"/>
  <c r="M783" i="110"/>
  <c r="H783" i="110" s="1"/>
  <c r="E784" i="110" s="1"/>
  <c r="F784" i="110" s="1"/>
  <c r="P781" i="110"/>
  <c r="Q781" i="110"/>
  <c r="N781" i="110"/>
  <c r="G782" i="110"/>
  <c r="O782" i="110" s="1"/>
  <c r="G783" i="110" l="1"/>
  <c r="O783" i="110" s="1"/>
  <c r="I783" i="110"/>
  <c r="M784" i="110"/>
  <c r="I784" i="110" s="1"/>
  <c r="N782" i="110"/>
  <c r="Q782" i="110"/>
  <c r="P782" i="110"/>
  <c r="N783" i="110"/>
  <c r="P783" i="110"/>
  <c r="Q783" i="110"/>
  <c r="H784" i="110" l="1"/>
  <c r="E785" i="110" s="1"/>
  <c r="F785" i="110" s="1"/>
  <c r="G784" i="110"/>
  <c r="O784" i="110" s="1"/>
  <c r="N784" i="110" s="1"/>
  <c r="Q784" i="110" l="1"/>
  <c r="M785" i="110"/>
  <c r="G785" i="110" s="1"/>
  <c r="O785" i="110" s="1"/>
  <c r="P785" i="110" s="1"/>
  <c r="P784" i="110"/>
  <c r="Q785" i="110" l="1"/>
  <c r="N785" i="110"/>
  <c r="I785" i="110"/>
  <c r="H785" i="110"/>
  <c r="E786" i="110" s="1"/>
  <c r="F786" i="110" s="1"/>
  <c r="M786" i="110" l="1"/>
  <c r="I786" i="110" s="1"/>
  <c r="H786" i="110" l="1"/>
  <c r="E787" i="110" s="1"/>
  <c r="F787" i="110" s="1"/>
  <c r="M787" i="110" s="1"/>
  <c r="G787" i="110" s="1"/>
  <c r="O787" i="110" s="1"/>
  <c r="G786" i="110"/>
  <c r="O786" i="110" s="1"/>
  <c r="N786" i="110" s="1"/>
  <c r="P786" i="110" l="1"/>
  <c r="Q786" i="110"/>
  <c r="N787" i="110"/>
  <c r="Q787" i="110"/>
  <c r="P787" i="110"/>
  <c r="H787" i="110"/>
  <c r="E788" i="110" s="1"/>
  <c r="F788" i="110" s="1"/>
  <c r="I787" i="110"/>
  <c r="M788" i="110" l="1"/>
  <c r="H788" i="110" s="1"/>
  <c r="E789" i="110" s="1"/>
  <c r="F789" i="110" s="1"/>
  <c r="G788" i="110" l="1"/>
  <c r="O788" i="110" s="1"/>
  <c r="Q788" i="110" s="1"/>
  <c r="P788" i="110"/>
  <c r="I788" i="110"/>
  <c r="M789" i="110"/>
  <c r="I789" i="110" s="1"/>
  <c r="N788" i="110" l="1"/>
  <c r="G789" i="110"/>
  <c r="O789" i="110" s="1"/>
  <c r="H789" i="110"/>
  <c r="E790" i="110" s="1"/>
  <c r="F790" i="110" s="1"/>
  <c r="M790" i="110" l="1"/>
  <c r="H790" i="110" s="1"/>
  <c r="E791" i="110" s="1"/>
  <c r="F791" i="110" s="1"/>
  <c r="Q789" i="110"/>
  <c r="P789" i="110"/>
  <c r="N789" i="110"/>
  <c r="I790" i="110" l="1"/>
  <c r="G790" i="110"/>
  <c r="O790" i="110" s="1"/>
  <c r="M791" i="110"/>
  <c r="H791" i="110" s="1"/>
  <c r="E792" i="110" s="1"/>
  <c r="F792" i="110" s="1"/>
  <c r="I791" i="110" l="1"/>
  <c r="G791" i="110"/>
  <c r="O791" i="110" s="1"/>
  <c r="N791" i="110" s="1"/>
  <c r="M792" i="110"/>
  <c r="I792" i="110" s="1"/>
  <c r="P790" i="110"/>
  <c r="N790" i="110"/>
  <c r="Q790" i="110"/>
  <c r="Q791" i="110" l="1"/>
  <c r="P791" i="110"/>
  <c r="G792" i="110"/>
  <c r="O792" i="110" s="1"/>
  <c r="H792" i="110"/>
  <c r="E793" i="110" s="1"/>
  <c r="F793" i="110" s="1"/>
  <c r="M793" i="110" l="1"/>
  <c r="G793" i="110" s="1"/>
  <c r="O793" i="110" s="1"/>
  <c r="Q792" i="110"/>
  <c r="N792" i="110"/>
  <c r="P792" i="110"/>
  <c r="I793" i="110" l="1"/>
  <c r="H793" i="110"/>
  <c r="E794" i="110" s="1"/>
  <c r="F794" i="110" s="1"/>
  <c r="Q793" i="110"/>
  <c r="P793" i="110"/>
  <c r="N793" i="110"/>
  <c r="M794" i="110" l="1"/>
  <c r="I794" i="110" s="1"/>
  <c r="G794" i="110" l="1"/>
  <c r="O794" i="110" s="1"/>
  <c r="N794" i="110" s="1"/>
  <c r="H794" i="110"/>
  <c r="E795" i="110" s="1"/>
  <c r="F795" i="110" s="1"/>
  <c r="M795" i="110" s="1"/>
  <c r="I795" i="110" s="1"/>
  <c r="Q794" i="110"/>
  <c r="P794" i="110" l="1"/>
  <c r="H795" i="110"/>
  <c r="E796" i="110" s="1"/>
  <c r="F796" i="110" s="1"/>
  <c r="G795" i="110"/>
  <c r="O795" i="110" s="1"/>
  <c r="Q795" i="110" s="1"/>
  <c r="N795" i="110" l="1"/>
  <c r="P795" i="110"/>
  <c r="M796" i="110"/>
  <c r="I796" i="110" s="1"/>
  <c r="G796" i="110" l="1"/>
  <c r="O796" i="110" s="1"/>
  <c r="P796" i="110" s="1"/>
  <c r="H796" i="110"/>
  <c r="E797" i="110" s="1"/>
  <c r="F797" i="110" s="1"/>
  <c r="Q796" i="110" l="1"/>
  <c r="N796" i="110"/>
  <c r="M797" i="110"/>
  <c r="G797" i="110" s="1"/>
  <c r="O797" i="110" s="1"/>
  <c r="I797" i="110" l="1"/>
  <c r="P797" i="110"/>
  <c r="N797" i="110"/>
  <c r="Q797" i="110"/>
  <c r="H797" i="110"/>
  <c r="E798" i="110" s="1"/>
  <c r="F798" i="110" s="1"/>
  <c r="M798" i="110" l="1"/>
  <c r="G798" i="110" s="1"/>
  <c r="O798" i="110" s="1"/>
  <c r="H798" i="110"/>
  <c r="E799" i="110" s="1"/>
  <c r="F799" i="110" s="1"/>
  <c r="I798" i="110" l="1"/>
  <c r="M799" i="110"/>
  <c r="H799" i="110" s="1"/>
  <c r="E800" i="110" s="1"/>
  <c r="F800" i="110" s="1"/>
  <c r="P798" i="110"/>
  <c r="Q798" i="110"/>
  <c r="N798" i="110"/>
  <c r="G799" i="110" l="1"/>
  <c r="O799" i="110" s="1"/>
  <c r="N799" i="110" s="1"/>
  <c r="I799" i="110"/>
  <c r="M800" i="110"/>
  <c r="H800" i="110" s="1"/>
  <c r="E801" i="110" s="1"/>
  <c r="F801" i="110" s="1"/>
  <c r="P799" i="110" l="1"/>
  <c r="Q799" i="110"/>
  <c r="I800" i="110"/>
  <c r="G800" i="110"/>
  <c r="O800" i="110" s="1"/>
  <c r="M801" i="110"/>
  <c r="G801" i="110" s="1"/>
  <c r="O801" i="110" s="1"/>
  <c r="Q800" i="110" l="1"/>
  <c r="P800" i="110"/>
  <c r="N800" i="110"/>
  <c r="Q801" i="110"/>
  <c r="P801" i="110"/>
  <c r="N801" i="110"/>
  <c r="I801" i="110"/>
  <c r="H801" i="110"/>
  <c r="E802" i="110" s="1"/>
  <c r="F802" i="110" s="1"/>
  <c r="M802" i="110" l="1"/>
  <c r="G802" i="110" s="1"/>
  <c r="O802" i="110" s="1"/>
  <c r="I802" i="110" l="1"/>
  <c r="H802" i="110"/>
  <c r="E803" i="110" s="1"/>
  <c r="F803" i="110" s="1"/>
  <c r="M803" i="110" s="1"/>
  <c r="I803" i="110" s="1"/>
  <c r="P802" i="110"/>
  <c r="N802" i="110"/>
  <c r="Q802" i="110"/>
  <c r="H803" i="110" l="1"/>
  <c r="E804" i="110" s="1"/>
  <c r="F804" i="110" s="1"/>
  <c r="M804" i="110" s="1"/>
  <c r="G804" i="110" s="1"/>
  <c r="O804" i="110" s="1"/>
  <c r="G803" i="110"/>
  <c r="O803" i="110" s="1"/>
  <c r="I804" i="110" l="1"/>
  <c r="Q803" i="110"/>
  <c r="N803" i="110"/>
  <c r="P803" i="110"/>
  <c r="H804" i="110"/>
  <c r="E805" i="110" s="1"/>
  <c r="F805" i="110" s="1"/>
  <c r="N804" i="110"/>
  <c r="Q804" i="110"/>
  <c r="P804" i="110"/>
  <c r="M805" i="110" l="1"/>
  <c r="G805" i="110" s="1"/>
  <c r="O805" i="110" s="1"/>
  <c r="I805" i="110"/>
  <c r="H805" i="110" l="1"/>
  <c r="E806" i="110" s="1"/>
  <c r="F806" i="110" s="1"/>
  <c r="M806" i="110" s="1"/>
  <c r="I806" i="110" s="1"/>
  <c r="N805" i="110"/>
  <c r="Q805" i="110"/>
  <c r="P805" i="110"/>
  <c r="H806" i="110" l="1"/>
  <c r="E807" i="110" s="1"/>
  <c r="F807" i="110" s="1"/>
  <c r="M807" i="110" s="1"/>
  <c r="H807" i="110" s="1"/>
  <c r="E808" i="110" s="1"/>
  <c r="F808" i="110" s="1"/>
  <c r="G806" i="110"/>
  <c r="O806" i="110" s="1"/>
  <c r="G807" i="110" l="1"/>
  <c r="O807" i="110" s="1"/>
  <c r="P807" i="110" s="1"/>
  <c r="N806" i="110"/>
  <c r="P806" i="110"/>
  <c r="Q806" i="110"/>
  <c r="I807" i="110"/>
  <c r="M808" i="110"/>
  <c r="I808" i="110" s="1"/>
  <c r="N807" i="110" l="1"/>
  <c r="Q807" i="110"/>
  <c r="H808" i="110"/>
  <c r="E809" i="110" s="1"/>
  <c r="F809" i="110" s="1"/>
  <c r="M809" i="110" s="1"/>
  <c r="G809" i="110" s="1"/>
  <c r="O809" i="110" s="1"/>
  <c r="G808" i="110"/>
  <c r="O808" i="110" s="1"/>
  <c r="P809" i="110" l="1"/>
  <c r="N809" i="110"/>
  <c r="Q809" i="110"/>
  <c r="P808" i="110"/>
  <c r="Q808" i="110"/>
  <c r="N808" i="110"/>
  <c r="I809" i="110"/>
  <c r="H809" i="110"/>
  <c r="E810" i="110" s="1"/>
  <c r="F810" i="110" s="1"/>
  <c r="M810" i="110" l="1"/>
  <c r="I810" i="110" s="1"/>
  <c r="H810" i="110" l="1"/>
  <c r="E811" i="110" s="1"/>
  <c r="F811" i="110" s="1"/>
  <c r="M811" i="110" s="1"/>
  <c r="I811" i="110" s="1"/>
  <c r="G810" i="110"/>
  <c r="O810" i="110" s="1"/>
  <c r="P810" i="110" s="1"/>
  <c r="Q810" i="110" l="1"/>
  <c r="N810" i="110"/>
  <c r="G811" i="110"/>
  <c r="O811" i="110" s="1"/>
  <c r="P811" i="110" s="1"/>
  <c r="H811" i="110"/>
  <c r="E812" i="110" s="1"/>
  <c r="F812" i="110" s="1"/>
  <c r="Q811" i="110" l="1"/>
  <c r="N811" i="110"/>
  <c r="M812" i="110"/>
  <c r="I812" i="110" s="1"/>
  <c r="G812" i="110" l="1"/>
  <c r="O812" i="110" s="1"/>
  <c r="N812" i="110" s="1"/>
  <c r="H812" i="110"/>
  <c r="E813" i="110" s="1"/>
  <c r="F813" i="110" s="1"/>
  <c r="M813" i="110" s="1"/>
  <c r="G813" i="110" s="1"/>
  <c r="O813" i="110" s="1"/>
  <c r="N813" i="110" s="1"/>
  <c r="Q812" i="110" l="1"/>
  <c r="P812" i="110"/>
  <c r="H813" i="110"/>
  <c r="E814" i="110" s="1"/>
  <c r="F814" i="110" s="1"/>
  <c r="M814" i="110" s="1"/>
  <c r="G814" i="110" s="1"/>
  <c r="O814" i="110" s="1"/>
  <c r="Q814" i="110" s="1"/>
  <c r="I813" i="110"/>
  <c r="P813" i="110"/>
  <c r="Q813" i="110"/>
  <c r="H814" i="110" l="1"/>
  <c r="E815" i="110" s="1"/>
  <c r="F815" i="110" s="1"/>
  <c r="M815" i="110" s="1"/>
  <c r="H815" i="110" s="1"/>
  <c r="E816" i="110" s="1"/>
  <c r="F816" i="110" s="1"/>
  <c r="N814" i="110"/>
  <c r="P814" i="110"/>
  <c r="I814" i="110"/>
  <c r="I815" i="110" l="1"/>
  <c r="M816" i="110"/>
  <c r="I816" i="110" s="1"/>
  <c r="G815" i="110"/>
  <c r="O815" i="110" s="1"/>
  <c r="H816" i="110" l="1"/>
  <c r="E817" i="110" s="1"/>
  <c r="F817" i="110" s="1"/>
  <c r="M817" i="110" s="1"/>
  <c r="H817" i="110" s="1"/>
  <c r="E818" i="110" s="1"/>
  <c r="F818" i="110" s="1"/>
  <c r="M818" i="110" s="1"/>
  <c r="I818" i="110" s="1"/>
  <c r="G816" i="110"/>
  <c r="O816" i="110" s="1"/>
  <c r="N815" i="110"/>
  <c r="P815" i="110"/>
  <c r="Q815" i="110"/>
  <c r="G817" i="110" l="1"/>
  <c r="O817" i="110" s="1"/>
  <c r="I817" i="110"/>
  <c r="P816" i="110"/>
  <c r="Q816" i="110"/>
  <c r="N816" i="110"/>
  <c r="G818" i="110"/>
  <c r="O818" i="110" s="1"/>
  <c r="N818" i="110" s="1"/>
  <c r="H818" i="110"/>
  <c r="E819" i="110" s="1"/>
  <c r="F819" i="110" s="1"/>
  <c r="M819" i="110" s="1"/>
  <c r="H819" i="110" s="1"/>
  <c r="E820" i="110" s="1"/>
  <c r="F820" i="110" s="1"/>
  <c r="N817" i="110"/>
  <c r="P817" i="110"/>
  <c r="Q817" i="110"/>
  <c r="P818" i="110" l="1"/>
  <c r="Q818" i="110"/>
  <c r="M820" i="110"/>
  <c r="I820" i="110" s="1"/>
  <c r="G819" i="110"/>
  <c r="O819" i="110" s="1"/>
  <c r="I819" i="110"/>
  <c r="G820" i="110" l="1"/>
  <c r="O820" i="110" s="1"/>
  <c r="Q820" i="110" s="1"/>
  <c r="H820" i="110"/>
  <c r="E821" i="110" s="1"/>
  <c r="F821" i="110" s="1"/>
  <c r="M821" i="110" s="1"/>
  <c r="G821" i="110" s="1"/>
  <c r="O821" i="110" s="1"/>
  <c r="Q819" i="110"/>
  <c r="P819" i="110"/>
  <c r="N819" i="110"/>
  <c r="P820" i="110" l="1"/>
  <c r="N820" i="110"/>
  <c r="H821" i="110"/>
  <c r="E822" i="110" s="1"/>
  <c r="F822" i="110" s="1"/>
  <c r="M822" i="110" s="1"/>
  <c r="H822" i="110" s="1"/>
  <c r="E823" i="110" s="1"/>
  <c r="F823" i="110" s="1"/>
  <c r="I821" i="110"/>
  <c r="P821" i="110"/>
  <c r="N821" i="110"/>
  <c r="Q821" i="110"/>
  <c r="M823" i="110" l="1"/>
  <c r="H823" i="110" s="1"/>
  <c r="E824" i="110" s="1"/>
  <c r="F824" i="110" s="1"/>
  <c r="I823" i="110"/>
  <c r="I822" i="110"/>
  <c r="G822" i="110"/>
  <c r="O822" i="110" s="1"/>
  <c r="G823" i="110" l="1"/>
  <c r="O823" i="110" s="1"/>
  <c r="M824" i="110"/>
  <c r="I824" i="110" s="1"/>
  <c r="G824" i="110"/>
  <c r="O824" i="110" s="1"/>
  <c r="H824" i="110"/>
  <c r="E825" i="110" s="1"/>
  <c r="F825" i="110" s="1"/>
  <c r="N823" i="110"/>
  <c r="Q823" i="110"/>
  <c r="P823" i="110"/>
  <c r="Q822" i="110"/>
  <c r="P822" i="110"/>
  <c r="N822" i="110"/>
  <c r="Q824" i="110" l="1"/>
  <c r="P824" i="110"/>
  <c r="N824" i="110"/>
  <c r="M825" i="110"/>
  <c r="I825" i="110"/>
  <c r="H825" i="110"/>
  <c r="E826" i="110" s="1"/>
  <c r="F826" i="110" s="1"/>
  <c r="G825" i="110"/>
  <c r="O825" i="110" s="1"/>
  <c r="Q825" i="110" l="1"/>
  <c r="P825" i="110"/>
  <c r="N825" i="110"/>
  <c r="M826" i="110"/>
  <c r="H826" i="110" s="1"/>
  <c r="E827" i="110" s="1"/>
  <c r="F827" i="110" s="1"/>
  <c r="I826" i="110" l="1"/>
  <c r="G826" i="110"/>
  <c r="O826" i="110" s="1"/>
  <c r="P826" i="110" s="1"/>
  <c r="M827" i="110"/>
  <c r="H827" i="110" s="1"/>
  <c r="E828" i="110" s="1"/>
  <c r="F828" i="110" s="1"/>
  <c r="N826" i="110" l="1"/>
  <c r="Q826" i="110"/>
  <c r="M828" i="110"/>
  <c r="H828" i="110" s="1"/>
  <c r="E829" i="110" s="1"/>
  <c r="F829" i="110" s="1"/>
  <c r="I827" i="110"/>
  <c r="G827" i="110"/>
  <c r="O827" i="110" s="1"/>
  <c r="I828" i="110" l="1"/>
  <c r="M829" i="110"/>
  <c r="I829" i="110" s="1"/>
  <c r="P827" i="110"/>
  <c r="N827" i="110"/>
  <c r="Q827" i="110"/>
  <c r="G828" i="110"/>
  <c r="O828" i="110" s="1"/>
  <c r="H829" i="110" l="1"/>
  <c r="E830" i="110" s="1"/>
  <c r="F830" i="110" s="1"/>
  <c r="M830" i="110" s="1"/>
  <c r="H830" i="110" s="1"/>
  <c r="E831" i="110" s="1"/>
  <c r="F831" i="110" s="1"/>
  <c r="G829" i="110"/>
  <c r="O829" i="110" s="1"/>
  <c r="P829" i="110" s="1"/>
  <c r="P828" i="110"/>
  <c r="Q828" i="110"/>
  <c r="N828" i="110"/>
  <c r="Q829" i="110"/>
  <c r="N829" i="110" l="1"/>
  <c r="I830" i="110"/>
  <c r="G830" i="110"/>
  <c r="O830" i="110" s="1"/>
  <c r="N830" i="110" s="1"/>
  <c r="M831" i="110"/>
  <c r="H831" i="110" s="1"/>
  <c r="E832" i="110" s="1"/>
  <c r="F832" i="110" s="1"/>
  <c r="P830" i="110" l="1"/>
  <c r="Q830" i="110"/>
  <c r="M832" i="110"/>
  <c r="H832" i="110" s="1"/>
  <c r="E833" i="110" s="1"/>
  <c r="F833" i="110" s="1"/>
  <c r="I831" i="110"/>
  <c r="G831" i="110"/>
  <c r="O831" i="110" s="1"/>
  <c r="M833" i="110" l="1"/>
  <c r="H833" i="110" s="1"/>
  <c r="E834" i="110" s="1"/>
  <c r="F834" i="110" s="1"/>
  <c r="P831" i="110"/>
  <c r="N831" i="110"/>
  <c r="Q831" i="110"/>
  <c r="I832" i="110"/>
  <c r="G832" i="110"/>
  <c r="O832" i="110" s="1"/>
  <c r="I833" i="110" l="1"/>
  <c r="M834" i="110"/>
  <c r="H834" i="110" s="1"/>
  <c r="E835" i="110" s="1"/>
  <c r="F835" i="110" s="1"/>
  <c r="Q832" i="110"/>
  <c r="P832" i="110"/>
  <c r="N832" i="110"/>
  <c r="G833" i="110"/>
  <c r="O833" i="110" s="1"/>
  <c r="I834" i="110" l="1"/>
  <c r="G834" i="110"/>
  <c r="O834" i="110" s="1"/>
  <c r="N834" i="110" s="1"/>
  <c r="M835" i="110"/>
  <c r="I835" i="110" s="1"/>
  <c r="N833" i="110"/>
  <c r="Q833" i="110"/>
  <c r="P833" i="110"/>
  <c r="Q834" i="110" l="1"/>
  <c r="P834" i="110"/>
  <c r="H835" i="110"/>
  <c r="E836" i="110" s="1"/>
  <c r="F836" i="110" s="1"/>
  <c r="M836" i="110" s="1"/>
  <c r="I836" i="110" s="1"/>
  <c r="G835" i="110"/>
  <c r="O835" i="110" s="1"/>
  <c r="H836" i="110" l="1"/>
  <c r="E837" i="110" s="1"/>
  <c r="F837" i="110" s="1"/>
  <c r="Q835" i="110"/>
  <c r="N835" i="110"/>
  <c r="P835" i="110"/>
  <c r="G836" i="110"/>
  <c r="O836" i="110" s="1"/>
  <c r="Q836" i="110" l="1"/>
  <c r="P836" i="110"/>
  <c r="N836" i="110"/>
  <c r="M837" i="110"/>
  <c r="I837" i="110" s="1"/>
  <c r="H837" i="110" l="1"/>
  <c r="E838" i="110" s="1"/>
  <c r="F838" i="110" s="1"/>
  <c r="M838" i="110" s="1"/>
  <c r="I838" i="110" s="1"/>
  <c r="G837" i="110"/>
  <c r="O837" i="110" s="1"/>
  <c r="Q837" i="110" s="1"/>
  <c r="N837" i="110" l="1"/>
  <c r="P837" i="110"/>
  <c r="G838" i="110"/>
  <c r="O838" i="110" s="1"/>
  <c r="N838" i="110" s="1"/>
  <c r="H838" i="110"/>
  <c r="E839" i="110" s="1"/>
  <c r="F839" i="110" s="1"/>
  <c r="M839" i="110" s="1"/>
  <c r="H839" i="110" s="1"/>
  <c r="E840" i="110" s="1"/>
  <c r="F840" i="110" s="1"/>
  <c r="P838" i="110" l="1"/>
  <c r="Q838" i="110"/>
  <c r="G839" i="110"/>
  <c r="O839" i="110" s="1"/>
  <c r="N839" i="110" s="1"/>
  <c r="I839" i="110"/>
  <c r="M840" i="110"/>
  <c r="I840" i="110" s="1"/>
  <c r="Q839" i="110" l="1"/>
  <c r="P839" i="110"/>
  <c r="G840" i="110"/>
  <c r="O840" i="110" s="1"/>
  <c r="Q840" i="110" s="1"/>
  <c r="H840" i="110"/>
  <c r="E841" i="110" s="1"/>
  <c r="F841" i="110" s="1"/>
  <c r="P840" i="110" l="1"/>
  <c r="N840" i="110"/>
  <c r="M841" i="110"/>
  <c r="I841" i="110" s="1"/>
  <c r="H841" i="110" l="1"/>
  <c r="E842" i="110" s="1"/>
  <c r="F842" i="110" s="1"/>
  <c r="G841" i="110"/>
  <c r="O841" i="110" s="1"/>
  <c r="N841" i="110" l="1"/>
  <c r="Q841" i="110"/>
  <c r="P841" i="110"/>
  <c r="M842" i="110"/>
  <c r="G842" i="110" s="1"/>
  <c r="O842" i="110" s="1"/>
  <c r="P842" i="110" l="1"/>
  <c r="N842" i="110"/>
  <c r="Q842" i="110"/>
  <c r="I842" i="110"/>
  <c r="H842" i="110"/>
  <c r="E843" i="110" s="1"/>
  <c r="F843" i="110" s="1"/>
  <c r="M843" i="110" l="1"/>
  <c r="G843" i="110" s="1"/>
  <c r="O843" i="110" s="1"/>
  <c r="I843" i="110" l="1"/>
  <c r="Q843" i="110"/>
  <c r="P843" i="110"/>
  <c r="N843" i="110"/>
  <c r="H843" i="110"/>
  <c r="E844" i="110" s="1"/>
  <c r="F844" i="110" s="1"/>
  <c r="M844" i="110" l="1"/>
  <c r="G844" i="110" s="1"/>
  <c r="O844" i="110" s="1"/>
  <c r="H844" i="110" l="1"/>
  <c r="E845" i="110" s="1"/>
  <c r="F845" i="110" s="1"/>
  <c r="M845" i="110" s="1"/>
  <c r="G845" i="110" s="1"/>
  <c r="O845" i="110" s="1"/>
  <c r="I844" i="110"/>
  <c r="Q844" i="110"/>
  <c r="N844" i="110"/>
  <c r="P844" i="110"/>
  <c r="H845" i="110" l="1"/>
  <c r="E846" i="110" s="1"/>
  <c r="F846" i="110" s="1"/>
  <c r="M846" i="110" s="1"/>
  <c r="I846" i="110" s="1"/>
  <c r="I845" i="110"/>
  <c r="P845" i="110"/>
  <c r="N845" i="110"/>
  <c r="Q845" i="110"/>
  <c r="H846" i="110" l="1"/>
  <c r="E847" i="110" s="1"/>
  <c r="F847" i="110" s="1"/>
  <c r="M847" i="110" s="1"/>
  <c r="H847" i="110" s="1"/>
  <c r="E848" i="110" s="1"/>
  <c r="F848" i="110" s="1"/>
  <c r="M848" i="110" s="1"/>
  <c r="H848" i="110" s="1"/>
  <c r="E849" i="110" s="1"/>
  <c r="F849" i="110" s="1"/>
  <c r="G846" i="110"/>
  <c r="O846" i="110" s="1"/>
  <c r="G847" i="110" l="1"/>
  <c r="O847" i="110" s="1"/>
  <c r="Q847" i="110" s="1"/>
  <c r="I847" i="110"/>
  <c r="N846" i="110"/>
  <c r="Q846" i="110"/>
  <c r="P846" i="110"/>
  <c r="M849" i="110"/>
  <c r="I849" i="110" s="1"/>
  <c r="G848" i="110"/>
  <c r="O848" i="110" s="1"/>
  <c r="I848" i="110"/>
  <c r="N847" i="110" l="1"/>
  <c r="P847" i="110"/>
  <c r="G849" i="110"/>
  <c r="O849" i="110" s="1"/>
  <c r="H849" i="110"/>
  <c r="E850" i="110" s="1"/>
  <c r="F850" i="110" s="1"/>
  <c r="M850" i="110" s="1"/>
  <c r="I850" i="110" s="1"/>
  <c r="Q848" i="110"/>
  <c r="N848" i="110"/>
  <c r="P848" i="110"/>
  <c r="N849" i="110"/>
  <c r="Q849" i="110"/>
  <c r="P849" i="110"/>
  <c r="G850" i="110" l="1"/>
  <c r="O850" i="110" s="1"/>
  <c r="H850" i="110"/>
  <c r="E851" i="110" s="1"/>
  <c r="F851" i="110" s="1"/>
  <c r="Q850" i="110"/>
  <c r="N850" i="110"/>
  <c r="P850" i="110"/>
  <c r="M851" i="110" l="1"/>
  <c r="I851" i="110" s="1"/>
  <c r="G851" i="110" l="1"/>
  <c r="O851" i="110" s="1"/>
  <c r="H851" i="110"/>
  <c r="E852" i="110" s="1"/>
  <c r="F852" i="110" s="1"/>
  <c r="P851" i="110"/>
  <c r="N851" i="110"/>
  <c r="Q851" i="110"/>
  <c r="M852" i="110" l="1"/>
  <c r="G852" i="110" s="1"/>
  <c r="O852" i="110" s="1"/>
  <c r="H852" i="110" l="1"/>
  <c r="E853" i="110" s="1"/>
  <c r="F853" i="110" s="1"/>
  <c r="M853" i="110" s="1"/>
  <c r="I853" i="110" s="1"/>
  <c r="I852" i="110"/>
  <c r="N852" i="110"/>
  <c r="Q852" i="110"/>
  <c r="P852" i="110"/>
  <c r="H853" i="110" l="1"/>
  <c r="E854" i="110" s="1"/>
  <c r="F854" i="110" s="1"/>
  <c r="G853" i="110"/>
  <c r="O853" i="110" s="1"/>
  <c r="Q853" i="110" l="1"/>
  <c r="P853" i="110"/>
  <c r="N853" i="110"/>
  <c r="M854" i="110"/>
  <c r="G854" i="110" s="1"/>
  <c r="O854" i="110" s="1"/>
  <c r="I854" i="110" l="1"/>
  <c r="H854" i="110"/>
  <c r="E855" i="110" s="1"/>
  <c r="F855" i="110" s="1"/>
  <c r="M855" i="110" s="1"/>
  <c r="H855" i="110" s="1"/>
  <c r="E856" i="110" s="1"/>
  <c r="F856" i="110" s="1"/>
  <c r="Q854" i="110"/>
  <c r="P854" i="110"/>
  <c r="N854" i="110"/>
  <c r="M856" i="110" l="1"/>
  <c r="G856" i="110" s="1"/>
  <c r="O856" i="110" s="1"/>
  <c r="G855" i="110"/>
  <c r="O855" i="110" s="1"/>
  <c r="I855" i="110"/>
  <c r="H856" i="110" l="1"/>
  <c r="E857" i="110" s="1"/>
  <c r="F857" i="110" s="1"/>
  <c r="M857" i="110" s="1"/>
  <c r="I857" i="110" s="1"/>
  <c r="I856" i="110"/>
  <c r="Q856" i="110"/>
  <c r="P856" i="110"/>
  <c r="N856" i="110"/>
  <c r="P855" i="110"/>
  <c r="N855" i="110"/>
  <c r="Q855" i="110"/>
  <c r="H857" i="110" l="1"/>
  <c r="E858" i="110" s="1"/>
  <c r="F858" i="110" s="1"/>
  <c r="G857" i="110"/>
  <c r="O857" i="110" s="1"/>
  <c r="Q857" i="110" l="1"/>
  <c r="P857" i="110"/>
  <c r="N857" i="110"/>
  <c r="M858" i="110"/>
  <c r="H858" i="110" s="1"/>
  <c r="E859" i="110" s="1"/>
  <c r="F859" i="110" s="1"/>
  <c r="I858" i="110" l="1"/>
  <c r="G858" i="110"/>
  <c r="O858" i="110" s="1"/>
  <c r="Q858" i="110" s="1"/>
  <c r="M859" i="110"/>
  <c r="I859" i="110" s="1"/>
  <c r="N858" i="110" l="1"/>
  <c r="P858" i="110"/>
  <c r="G859" i="110"/>
  <c r="O859" i="110" s="1"/>
  <c r="P859" i="110" s="1"/>
  <c r="H859" i="110"/>
  <c r="E860" i="110" s="1"/>
  <c r="F860" i="110" s="1"/>
  <c r="M860" i="110" s="1"/>
  <c r="I860" i="110" s="1"/>
  <c r="Q859" i="110" l="1"/>
  <c r="N859" i="110"/>
  <c r="G860" i="110"/>
  <c r="O860" i="110" s="1"/>
  <c r="P860" i="110" s="1"/>
  <c r="H860" i="110"/>
  <c r="E861" i="110" s="1"/>
  <c r="F861" i="110" s="1"/>
  <c r="M861" i="110" s="1"/>
  <c r="H861" i="110" s="1"/>
  <c r="E862" i="110" s="1"/>
  <c r="F862" i="110" s="1"/>
  <c r="N860" i="110" l="1"/>
  <c r="Q860" i="110"/>
  <c r="I861" i="110"/>
  <c r="M862" i="110"/>
  <c r="H862" i="110" s="1"/>
  <c r="E863" i="110" s="1"/>
  <c r="F863" i="110" s="1"/>
  <c r="G861" i="110"/>
  <c r="O861" i="110" s="1"/>
  <c r="G862" i="110" l="1"/>
  <c r="O862" i="110" s="1"/>
  <c r="P862" i="110" s="1"/>
  <c r="I862" i="110"/>
  <c r="M863" i="110"/>
  <c r="H863" i="110" s="1"/>
  <c r="E864" i="110" s="1"/>
  <c r="F864" i="110" s="1"/>
  <c r="N861" i="110"/>
  <c r="P861" i="110"/>
  <c r="Q861" i="110"/>
  <c r="N862" i="110" l="1"/>
  <c r="Q862" i="110"/>
  <c r="M864" i="110"/>
  <c r="G864" i="110" s="1"/>
  <c r="O864" i="110" s="1"/>
  <c r="I863" i="110"/>
  <c r="G863" i="110"/>
  <c r="O863" i="110" s="1"/>
  <c r="Q864" i="110" l="1"/>
  <c r="N864" i="110"/>
  <c r="P864" i="110"/>
  <c r="Q863" i="110"/>
  <c r="P863" i="110"/>
  <c r="N863" i="110"/>
  <c r="H864" i="110"/>
  <c r="E865" i="110" s="1"/>
  <c r="F865" i="110" s="1"/>
  <c r="I864" i="110"/>
  <c r="M865" i="110" l="1"/>
  <c r="G865" i="110" s="1"/>
  <c r="O865" i="110" s="1"/>
  <c r="Q865" i="110" l="1"/>
  <c r="P865" i="110"/>
  <c r="N865" i="110"/>
  <c r="I865" i="110"/>
  <c r="H865" i="110"/>
  <c r="E866" i="110" s="1"/>
  <c r="F866" i="110" s="1"/>
  <c r="M866" i="110" l="1"/>
  <c r="I866" i="110" s="1"/>
  <c r="G866" i="110" l="1"/>
  <c r="O866" i="110" s="1"/>
  <c r="N866" i="110" s="1"/>
  <c r="H866" i="110"/>
  <c r="E867" i="110" s="1"/>
  <c r="F867" i="110" s="1"/>
  <c r="M867" i="110" s="1"/>
  <c r="G867" i="110" s="1"/>
  <c r="O867" i="110" s="1"/>
  <c r="Q866" i="110" l="1"/>
  <c r="P866" i="110"/>
  <c r="N867" i="110"/>
  <c r="P867" i="110"/>
  <c r="Q867" i="110"/>
  <c r="H867" i="110"/>
  <c r="E868" i="110" s="1"/>
  <c r="F868" i="110" s="1"/>
  <c r="I867" i="110"/>
  <c r="M868" i="110" l="1"/>
  <c r="I868" i="110" s="1"/>
  <c r="H868" i="110" l="1"/>
  <c r="E869" i="110" s="1"/>
  <c r="F869" i="110" s="1"/>
  <c r="M869" i="110" s="1"/>
  <c r="H869" i="110" s="1"/>
  <c r="E870" i="110" s="1"/>
  <c r="F870" i="110" s="1"/>
  <c r="G868" i="110"/>
  <c r="O868" i="110" s="1"/>
  <c r="N868" i="110" s="1"/>
  <c r="P868" i="110" l="1"/>
  <c r="Q868" i="110"/>
  <c r="G869" i="110"/>
  <c r="O869" i="110" s="1"/>
  <c r="N869" i="110" s="1"/>
  <c r="M870" i="110"/>
  <c r="I870" i="110" s="1"/>
  <c r="I869" i="110"/>
  <c r="Q869" i="110"/>
  <c r="P869" i="110"/>
  <c r="H870" i="110" l="1"/>
  <c r="E871" i="110" s="1"/>
  <c r="F871" i="110" s="1"/>
  <c r="M871" i="110" s="1"/>
  <c r="H871" i="110" s="1"/>
  <c r="E872" i="110" s="1"/>
  <c r="F872" i="110" s="1"/>
  <c r="G870" i="110"/>
  <c r="O870" i="110" s="1"/>
  <c r="Q870" i="110" s="1"/>
  <c r="N870" i="110" l="1"/>
  <c r="P870" i="110"/>
  <c r="M872" i="110"/>
  <c r="I872" i="110" s="1"/>
  <c r="G871" i="110"/>
  <c r="O871" i="110" s="1"/>
  <c r="I871" i="110"/>
  <c r="G872" i="110" l="1"/>
  <c r="O872" i="110" s="1"/>
  <c r="Q872" i="110" s="1"/>
  <c r="P871" i="110"/>
  <c r="Q871" i="110"/>
  <c r="N871" i="110"/>
  <c r="H872" i="110"/>
  <c r="E873" i="110" s="1"/>
  <c r="F873" i="110" s="1"/>
  <c r="P872" i="110" l="1"/>
  <c r="N872" i="110"/>
  <c r="M873" i="110"/>
  <c r="H873" i="110" s="1"/>
  <c r="E874" i="110" s="1"/>
  <c r="F874" i="110" s="1"/>
  <c r="G873" i="110" l="1"/>
  <c r="O873" i="110" s="1"/>
  <c r="Q873" i="110" s="1"/>
  <c r="I873" i="110"/>
  <c r="M874" i="110"/>
  <c r="I874" i="110" s="1"/>
  <c r="P873" i="110"/>
  <c r="N873" i="110"/>
  <c r="G874" i="110" l="1"/>
  <c r="O874" i="110" s="1"/>
  <c r="Q874" i="110" s="1"/>
  <c r="H874" i="110"/>
  <c r="E875" i="110" s="1"/>
  <c r="F875" i="110" s="1"/>
  <c r="M875" i="110" s="1"/>
  <c r="G875" i="110" s="1"/>
  <c r="O875" i="110" s="1"/>
  <c r="N874" i="110"/>
  <c r="P874" i="110" l="1"/>
  <c r="Q875" i="110"/>
  <c r="P875" i="110"/>
  <c r="N875" i="110"/>
  <c r="H875" i="110"/>
  <c r="E876" i="110" s="1"/>
  <c r="F876" i="110" s="1"/>
  <c r="I875" i="110"/>
  <c r="M876" i="110" l="1"/>
  <c r="G876" i="110" s="1"/>
  <c r="O876" i="110" s="1"/>
  <c r="I876" i="110" l="1"/>
  <c r="N876" i="110"/>
  <c r="Q876" i="110"/>
  <c r="P876" i="110"/>
  <c r="H876" i="110"/>
  <c r="E877" i="110" s="1"/>
  <c r="F877" i="110" s="1"/>
  <c r="M877" i="110" l="1"/>
  <c r="I877" i="110" s="1"/>
  <c r="G877" i="110" l="1"/>
  <c r="O877" i="110" s="1"/>
  <c r="H877" i="110"/>
  <c r="E878" i="110" s="1"/>
  <c r="F878" i="110" s="1"/>
  <c r="M878" i="110" l="1"/>
  <c r="G878" i="110" s="1"/>
  <c r="O878" i="110" s="1"/>
  <c r="Q877" i="110"/>
  <c r="N877" i="110"/>
  <c r="P877" i="110"/>
  <c r="N878" i="110" l="1"/>
  <c r="P878" i="110"/>
  <c r="Q878" i="110"/>
  <c r="H878" i="110"/>
  <c r="E879" i="110" s="1"/>
  <c r="F879" i="110" s="1"/>
  <c r="I878" i="110"/>
  <c r="M879" i="110" l="1"/>
  <c r="H879" i="110" s="1"/>
  <c r="E880" i="110" s="1"/>
  <c r="F880" i="110" s="1"/>
  <c r="I879" i="110" l="1"/>
  <c r="M880" i="110"/>
  <c r="I880" i="110" s="1"/>
  <c r="G879" i="110"/>
  <c r="O879" i="110" s="1"/>
  <c r="H880" i="110" l="1"/>
  <c r="E881" i="110" s="1"/>
  <c r="F881" i="110" s="1"/>
  <c r="M881" i="110" s="1"/>
  <c r="I881" i="110" s="1"/>
  <c r="G880" i="110"/>
  <c r="O880" i="110" s="1"/>
  <c r="Q880" i="110" s="1"/>
  <c r="P879" i="110"/>
  <c r="N879" i="110"/>
  <c r="Q879" i="110"/>
  <c r="N880" i="110" l="1"/>
  <c r="P880" i="110"/>
  <c r="G881" i="110"/>
  <c r="O881" i="110" s="1"/>
  <c r="H881" i="110"/>
  <c r="E882" i="110" s="1"/>
  <c r="F882" i="110" s="1"/>
  <c r="M882" i="110" l="1"/>
  <c r="I882" i="110" s="1"/>
  <c r="P881" i="110"/>
  <c r="N881" i="110"/>
  <c r="Q881" i="110"/>
  <c r="H882" i="110" l="1"/>
  <c r="E883" i="110" s="1"/>
  <c r="F883" i="110" s="1"/>
  <c r="M883" i="110" s="1"/>
  <c r="G883" i="110" s="1"/>
  <c r="O883" i="110" s="1"/>
  <c r="G882" i="110"/>
  <c r="O882" i="110" s="1"/>
  <c r="P882" i="110" s="1"/>
  <c r="Q882" i="110" l="1"/>
  <c r="N882" i="110"/>
  <c r="N883" i="110"/>
  <c r="Q883" i="110"/>
  <c r="P883" i="110"/>
  <c r="H883" i="110"/>
  <c r="E884" i="110" s="1"/>
  <c r="F884" i="110" s="1"/>
  <c r="I883" i="110"/>
  <c r="M884" i="110" l="1"/>
  <c r="H884" i="110" s="1"/>
  <c r="E885" i="110" s="1"/>
  <c r="F885" i="110" s="1"/>
  <c r="M885" i="110" l="1"/>
  <c r="H885" i="110" s="1"/>
  <c r="E886" i="110" s="1"/>
  <c r="F886" i="110" s="1"/>
  <c r="I884" i="110"/>
  <c r="G884" i="110"/>
  <c r="O884" i="110" s="1"/>
  <c r="M886" i="110" l="1"/>
  <c r="G886" i="110" s="1"/>
  <c r="O886" i="110" s="1"/>
  <c r="N884" i="110"/>
  <c r="P884" i="110"/>
  <c r="Q884" i="110"/>
  <c r="I885" i="110"/>
  <c r="G885" i="110"/>
  <c r="O885" i="110" s="1"/>
  <c r="H886" i="110" l="1"/>
  <c r="E887" i="110" s="1"/>
  <c r="F887" i="110" s="1"/>
  <c r="M887" i="110" s="1"/>
  <c r="G887" i="110" s="1"/>
  <c r="O887" i="110" s="1"/>
  <c r="I886" i="110"/>
  <c r="P886" i="110"/>
  <c r="N886" i="110"/>
  <c r="Q886" i="110"/>
  <c r="N885" i="110"/>
  <c r="Q885" i="110"/>
  <c r="P885" i="110"/>
  <c r="H887" i="110" l="1"/>
  <c r="E888" i="110" s="1"/>
  <c r="F888" i="110" s="1"/>
  <c r="M888" i="110" s="1"/>
  <c r="G888" i="110" s="1"/>
  <c r="O888" i="110" s="1"/>
  <c r="I887" i="110"/>
  <c r="P887" i="110"/>
  <c r="N887" i="110"/>
  <c r="Q887" i="110"/>
  <c r="H888" i="110" l="1"/>
  <c r="E889" i="110" s="1"/>
  <c r="F889" i="110" s="1"/>
  <c r="M889" i="110" s="1"/>
  <c r="I889" i="110" s="1"/>
  <c r="N888" i="110"/>
  <c r="P888" i="110"/>
  <c r="Q888" i="110"/>
  <c r="I888" i="110"/>
  <c r="H889" i="110" l="1"/>
  <c r="E890" i="110" s="1"/>
  <c r="F890" i="110" s="1"/>
  <c r="G889" i="110"/>
  <c r="O889" i="110" s="1"/>
  <c r="Q889" i="110" s="1"/>
  <c r="N889" i="110" l="1"/>
  <c r="P889" i="110"/>
  <c r="M890" i="110"/>
  <c r="I890" i="110" s="1"/>
  <c r="G890" i="110" l="1"/>
  <c r="O890" i="110" s="1"/>
  <c r="Q890" i="110" s="1"/>
  <c r="H890" i="110"/>
  <c r="E891" i="110" s="1"/>
  <c r="F891" i="110" s="1"/>
  <c r="M891" i="110" s="1"/>
  <c r="I891" i="110" s="1"/>
  <c r="N890" i="110" l="1"/>
  <c r="P890" i="110"/>
  <c r="G891" i="110"/>
  <c r="O891" i="110" s="1"/>
  <c r="N891" i="110" s="1"/>
  <c r="H891" i="110"/>
  <c r="E892" i="110" s="1"/>
  <c r="F892" i="110" s="1"/>
  <c r="M892" i="110" s="1"/>
  <c r="H892" i="110" s="1"/>
  <c r="E893" i="110" s="1"/>
  <c r="F893" i="110" s="1"/>
  <c r="P891" i="110" l="1"/>
  <c r="Q891" i="110"/>
  <c r="G892" i="110"/>
  <c r="O892" i="110" s="1"/>
  <c r="N892" i="110" s="1"/>
  <c r="I892" i="110"/>
  <c r="M893" i="110"/>
  <c r="H893" i="110" s="1"/>
  <c r="E894" i="110" s="1"/>
  <c r="F894" i="110" s="1"/>
  <c r="P892" i="110" l="1"/>
  <c r="Q892" i="110"/>
  <c r="M894" i="110"/>
  <c r="G894" i="110" s="1"/>
  <c r="O894" i="110" s="1"/>
  <c r="G893" i="110"/>
  <c r="O893" i="110" s="1"/>
  <c r="I893" i="110"/>
  <c r="P894" i="110" l="1"/>
  <c r="N894" i="110"/>
  <c r="Q894" i="110"/>
  <c r="P893" i="110"/>
  <c r="N893" i="110"/>
  <c r="Q893" i="110"/>
  <c r="H894" i="110"/>
  <c r="E895" i="110" s="1"/>
  <c r="F895" i="110" s="1"/>
  <c r="I894" i="110"/>
  <c r="M895" i="110" l="1"/>
  <c r="H895" i="110" s="1"/>
  <c r="E896" i="110" s="1"/>
  <c r="F896" i="110" s="1"/>
  <c r="M896" i="110" l="1"/>
  <c r="H896" i="110" s="1"/>
  <c r="E897" i="110" s="1"/>
  <c r="F897" i="110" s="1"/>
  <c r="G895" i="110"/>
  <c r="O895" i="110" s="1"/>
  <c r="I895" i="110"/>
  <c r="M897" i="110" l="1"/>
  <c r="I897" i="110" s="1"/>
  <c r="H897" i="110"/>
  <c r="E898" i="110" s="1"/>
  <c r="F898" i="110" s="1"/>
  <c r="P895" i="110"/>
  <c r="Q895" i="110"/>
  <c r="N895" i="110"/>
  <c r="I896" i="110"/>
  <c r="G896" i="110"/>
  <c r="O896" i="110" s="1"/>
  <c r="M898" i="110" l="1"/>
  <c r="G898" i="110" s="1"/>
  <c r="O898" i="110" s="1"/>
  <c r="G897" i="110"/>
  <c r="O897" i="110" s="1"/>
  <c r="Q896" i="110"/>
  <c r="P896" i="110"/>
  <c r="N896" i="110"/>
  <c r="N898" i="110" l="1"/>
  <c r="Q898" i="110"/>
  <c r="P898" i="110"/>
  <c r="I898" i="110"/>
  <c r="Q897" i="110"/>
  <c r="P897" i="110"/>
  <c r="N897" i="110"/>
  <c r="H898" i="110"/>
  <c r="E899" i="110" s="1"/>
  <c r="F899" i="110" s="1"/>
  <c r="M899" i="110" l="1"/>
  <c r="G899" i="110" s="1"/>
  <c r="O899" i="110" s="1"/>
  <c r="N899" i="110" l="1"/>
  <c r="Q899" i="110"/>
  <c r="P899" i="110"/>
  <c r="I899" i="110"/>
  <c r="H899" i="110"/>
  <c r="E900" i="110" s="1"/>
  <c r="F900" i="110" s="1"/>
  <c r="M900" i="110" l="1"/>
  <c r="I900" i="110" s="1"/>
  <c r="H900" i="110" l="1"/>
  <c r="E901" i="110" s="1"/>
  <c r="F901" i="110" s="1"/>
  <c r="G900" i="110"/>
  <c r="O900" i="110" s="1"/>
  <c r="N900" i="110" l="1"/>
  <c r="Q900" i="110"/>
  <c r="P900" i="110"/>
  <c r="M901" i="110"/>
  <c r="H901" i="110" s="1"/>
  <c r="E902" i="110" s="1"/>
  <c r="F902" i="110" s="1"/>
  <c r="M902" i="110" l="1"/>
  <c r="G902" i="110" s="1"/>
  <c r="O902" i="110" s="1"/>
  <c r="I901" i="110"/>
  <c r="G901" i="110"/>
  <c r="O901" i="110" s="1"/>
  <c r="H902" i="110" l="1"/>
  <c r="E903" i="110" s="1"/>
  <c r="F903" i="110" s="1"/>
  <c r="M903" i="110" s="1"/>
  <c r="G903" i="110" s="1"/>
  <c r="O903" i="110" s="1"/>
  <c r="I902" i="110"/>
  <c r="N902" i="110"/>
  <c r="Q902" i="110"/>
  <c r="P902" i="110"/>
  <c r="P901" i="110"/>
  <c r="N901" i="110"/>
  <c r="Q901" i="110"/>
  <c r="I903" i="110" l="1"/>
  <c r="H903" i="110"/>
  <c r="E904" i="110" s="1"/>
  <c r="F904" i="110" s="1"/>
  <c r="M904" i="110" s="1"/>
  <c r="P903" i="110"/>
  <c r="Q903" i="110"/>
  <c r="N903" i="110"/>
  <c r="G904" i="110" l="1"/>
  <c r="O904" i="110" s="1"/>
  <c r="H904" i="110"/>
  <c r="E905" i="110" s="1"/>
  <c r="F905" i="110" s="1"/>
  <c r="M905" i="110" s="1"/>
  <c r="G905" i="110" s="1"/>
  <c r="O905" i="110" s="1"/>
  <c r="I904" i="110"/>
  <c r="Q904" i="110"/>
  <c r="N904" i="110"/>
  <c r="P904" i="110"/>
  <c r="P905" i="110" l="1"/>
  <c r="Q905" i="110"/>
  <c r="N905" i="110"/>
  <c r="I905" i="110"/>
  <c r="H905" i="110"/>
  <c r="E906" i="110" s="1"/>
  <c r="F906" i="110" s="1"/>
  <c r="M906" i="110" l="1"/>
  <c r="G906" i="110" s="1"/>
  <c r="O906" i="110" s="1"/>
  <c r="Q906" i="110" l="1"/>
  <c r="P906" i="110"/>
  <c r="N906" i="110"/>
  <c r="H906" i="110"/>
  <c r="E907" i="110" s="1"/>
  <c r="F907" i="110" s="1"/>
  <c r="I906" i="110"/>
  <c r="M907" i="110" l="1"/>
  <c r="G907" i="110" s="1"/>
  <c r="O907" i="110" s="1"/>
  <c r="H907" i="110" l="1"/>
  <c r="E908" i="110" s="1"/>
  <c r="F908" i="110" s="1"/>
  <c r="M908" i="110" s="1"/>
  <c r="I908" i="110" s="1"/>
  <c r="I907" i="110"/>
  <c r="P907" i="110"/>
  <c r="N907" i="110"/>
  <c r="Q907" i="110"/>
  <c r="H908" i="110" l="1"/>
  <c r="E909" i="110" s="1"/>
  <c r="F909" i="110" s="1"/>
  <c r="M909" i="110" s="1"/>
  <c r="H909" i="110" s="1"/>
  <c r="E910" i="110" s="1"/>
  <c r="F910" i="110" s="1"/>
  <c r="G908" i="110"/>
  <c r="O908" i="110" s="1"/>
  <c r="N908" i="110" s="1"/>
  <c r="Q908" i="110" l="1"/>
  <c r="P908" i="110"/>
  <c r="M910" i="110"/>
  <c r="G910" i="110" s="1"/>
  <c r="O910" i="110" s="1"/>
  <c r="I909" i="110"/>
  <c r="G909" i="110"/>
  <c r="O909" i="110" s="1"/>
  <c r="H910" i="110" l="1"/>
  <c r="E911" i="110" s="1"/>
  <c r="F911" i="110" s="1"/>
  <c r="M911" i="110" s="1"/>
  <c r="I911" i="110" s="1"/>
  <c r="Q910" i="110"/>
  <c r="P910" i="110"/>
  <c r="N910" i="110"/>
  <c r="P909" i="110"/>
  <c r="N909" i="110"/>
  <c r="Q909" i="110"/>
  <c r="I910" i="110"/>
  <c r="G911" i="110" l="1"/>
  <c r="O911" i="110" s="1"/>
  <c r="H911" i="110"/>
  <c r="E912" i="110" s="1"/>
  <c r="F912" i="110" s="1"/>
  <c r="M912" i="110" l="1"/>
  <c r="H912" i="110" s="1"/>
  <c r="E913" i="110" s="1"/>
  <c r="F913" i="110" s="1"/>
  <c r="P911" i="110"/>
  <c r="Q911" i="110"/>
  <c r="N911" i="110"/>
  <c r="M913" i="110" l="1"/>
  <c r="I913" i="110" s="1"/>
  <c r="H913" i="110"/>
  <c r="E914" i="110" s="1"/>
  <c r="F914" i="110" s="1"/>
  <c r="G913" i="110"/>
  <c r="O913" i="110" s="1"/>
  <c r="I912" i="110"/>
  <c r="G912" i="110"/>
  <c r="O912" i="110" s="1"/>
  <c r="M914" i="110" l="1"/>
  <c r="H914" i="110" s="1"/>
  <c r="E915" i="110" s="1"/>
  <c r="F915" i="110" s="1"/>
  <c r="P912" i="110"/>
  <c r="N912" i="110"/>
  <c r="Q912" i="110"/>
  <c r="P913" i="110"/>
  <c r="N913" i="110"/>
  <c r="Q913" i="110"/>
  <c r="G914" i="110" l="1"/>
  <c r="O914" i="110" s="1"/>
  <c r="P914" i="110" s="1"/>
  <c r="I914" i="110"/>
  <c r="M915" i="110"/>
  <c r="G915" i="110" s="1"/>
  <c r="O915" i="110" s="1"/>
  <c r="N914" i="110" l="1"/>
  <c r="Q914" i="110"/>
  <c r="I915" i="110"/>
  <c r="H915" i="110"/>
  <c r="E916" i="110" s="1"/>
  <c r="F916" i="110" s="1"/>
  <c r="M916" i="110" s="1"/>
  <c r="I916" i="110" s="1"/>
  <c r="Q915" i="110"/>
  <c r="P915" i="110"/>
  <c r="N915" i="110"/>
  <c r="G916" i="110" l="1"/>
  <c r="O916" i="110" s="1"/>
  <c r="H916" i="110"/>
  <c r="E917" i="110" s="1"/>
  <c r="F917" i="110" s="1"/>
  <c r="M917" i="110" l="1"/>
  <c r="G917" i="110" s="1"/>
  <c r="O917" i="110" s="1"/>
  <c r="N916" i="110"/>
  <c r="Q916" i="110"/>
  <c r="P916" i="110"/>
  <c r="H917" i="110" l="1"/>
  <c r="E918" i="110" s="1"/>
  <c r="F918" i="110" s="1"/>
  <c r="M918" i="110" s="1"/>
  <c r="G918" i="110" s="1"/>
  <c r="O918" i="110" s="1"/>
  <c r="I917" i="110"/>
  <c r="Q917" i="110"/>
  <c r="P917" i="110"/>
  <c r="N917" i="110"/>
  <c r="Q918" i="110" l="1"/>
  <c r="N918" i="110"/>
  <c r="P918" i="110"/>
  <c r="H918" i="110"/>
  <c r="E919" i="110" s="1"/>
  <c r="F919" i="110" s="1"/>
  <c r="I918" i="110"/>
  <c r="M919" i="110" l="1"/>
  <c r="G919" i="110" s="1"/>
  <c r="O919" i="110" s="1"/>
  <c r="H919" i="110" l="1"/>
  <c r="E920" i="110" s="1"/>
  <c r="F920" i="110" s="1"/>
  <c r="M920" i="110" s="1"/>
  <c r="G920" i="110" s="1"/>
  <c r="O920" i="110" s="1"/>
  <c r="I919" i="110"/>
  <c r="P919" i="110"/>
  <c r="N919" i="110"/>
  <c r="Q919" i="110"/>
  <c r="N920" i="110" l="1"/>
  <c r="Q920" i="110"/>
  <c r="P920" i="110"/>
  <c r="I920" i="110"/>
  <c r="H920" i="110"/>
  <c r="E921" i="110" s="1"/>
  <c r="F921" i="110" s="1"/>
  <c r="M921" i="110" l="1"/>
  <c r="I921" i="110" s="1"/>
  <c r="G921" i="110" l="1"/>
  <c r="O921" i="110" s="1"/>
  <c r="H921" i="110"/>
  <c r="E922" i="110" s="1"/>
  <c r="F922" i="110" s="1"/>
  <c r="M922" i="110" l="1"/>
  <c r="H922" i="110" s="1"/>
  <c r="E923" i="110" s="1"/>
  <c r="F923" i="110" s="1"/>
  <c r="Q921" i="110"/>
  <c r="P921" i="110"/>
  <c r="N921" i="110"/>
  <c r="M923" i="110" l="1"/>
  <c r="G923" i="110" s="1"/>
  <c r="O923" i="110" s="1"/>
  <c r="I922" i="110"/>
  <c r="G922" i="110"/>
  <c r="O922" i="110" s="1"/>
  <c r="I923" i="110" l="1"/>
  <c r="P923" i="110"/>
  <c r="Q923" i="110"/>
  <c r="N923" i="110"/>
  <c r="N922" i="110"/>
  <c r="Q922" i="110"/>
  <c r="P922" i="110"/>
  <c r="H923" i="110"/>
  <c r="E924" i="110" s="1"/>
  <c r="F924" i="110" s="1"/>
  <c r="M924" i="110" l="1"/>
  <c r="I924" i="110" s="1"/>
  <c r="G924" i="110" l="1"/>
  <c r="O924" i="110" s="1"/>
  <c r="H924" i="110"/>
  <c r="E925" i="110" s="1"/>
  <c r="F925" i="110" s="1"/>
  <c r="M925" i="110" l="1"/>
  <c r="G925" i="110" s="1"/>
  <c r="O925" i="110" s="1"/>
  <c r="N924" i="110"/>
  <c r="P924" i="110"/>
  <c r="Q924" i="110"/>
  <c r="N925" i="110" l="1"/>
  <c r="Q925" i="110"/>
  <c r="P925" i="110"/>
  <c r="H925" i="110"/>
  <c r="E926" i="110" s="1"/>
  <c r="F926" i="110" s="1"/>
  <c r="I925" i="110"/>
  <c r="M926" i="110" l="1"/>
  <c r="G926" i="110" s="1"/>
  <c r="O926" i="110" s="1"/>
  <c r="H926" i="110" l="1"/>
  <c r="E927" i="110" s="1"/>
  <c r="F927" i="110" s="1"/>
  <c r="I926" i="110"/>
  <c r="P926" i="110"/>
  <c r="Q926" i="110"/>
  <c r="N926" i="110"/>
  <c r="M927" i="110" l="1"/>
  <c r="I927" i="110" s="1"/>
  <c r="G927" i="110"/>
  <c r="O927" i="110" s="1"/>
  <c r="H927" i="110" l="1"/>
  <c r="E928" i="110" s="1"/>
  <c r="F928" i="110" s="1"/>
  <c r="P927" i="110"/>
  <c r="N927" i="110"/>
  <c r="Q927" i="110"/>
  <c r="M928" i="110" l="1"/>
  <c r="H928" i="110" s="1"/>
  <c r="E929" i="110" s="1"/>
  <c r="F929" i="110" s="1"/>
  <c r="M929" i="110" l="1"/>
  <c r="I929" i="110" s="1"/>
  <c r="G928" i="110"/>
  <c r="O928" i="110" s="1"/>
  <c r="I928" i="110"/>
  <c r="H929" i="110" l="1"/>
  <c r="E930" i="110" s="1"/>
  <c r="F930" i="110" s="1"/>
  <c r="N928" i="110"/>
  <c r="Q928" i="110"/>
  <c r="P928" i="110"/>
  <c r="G929" i="110"/>
  <c r="O929" i="110" s="1"/>
  <c r="P929" i="110" l="1"/>
  <c r="Q929" i="110"/>
  <c r="N929" i="110"/>
  <c r="M930" i="110"/>
  <c r="G930" i="110" s="1"/>
  <c r="O930" i="110" s="1"/>
  <c r="I930" i="110" l="1"/>
  <c r="H930" i="110"/>
  <c r="E931" i="110" s="1"/>
  <c r="F931" i="110" s="1"/>
  <c r="M931" i="110" s="1"/>
  <c r="I931" i="110" s="1"/>
  <c r="Q930" i="110"/>
  <c r="N930" i="110"/>
  <c r="P930" i="110"/>
  <c r="G931" i="110" l="1"/>
  <c r="O931" i="110" s="1"/>
  <c r="N931" i="110" s="1"/>
  <c r="H931" i="110"/>
  <c r="E932" i="110" s="1"/>
  <c r="F932" i="110" s="1"/>
  <c r="Q931" i="110" l="1"/>
  <c r="P931" i="110"/>
  <c r="M932" i="110"/>
  <c r="G932" i="110" s="1"/>
  <c r="O932" i="110" s="1"/>
  <c r="H932" i="110" l="1"/>
  <c r="E933" i="110" s="1"/>
  <c r="F933" i="110" s="1"/>
  <c r="I932" i="110"/>
  <c r="N932" i="110"/>
  <c r="P932" i="110"/>
  <c r="Q932" i="110"/>
  <c r="M933" i="110" l="1"/>
  <c r="I933" i="110" s="1"/>
  <c r="G933" i="110"/>
  <c r="O933" i="110" s="1"/>
  <c r="Q933" i="110" s="1"/>
  <c r="H933" i="110"/>
  <c r="E934" i="110" s="1"/>
  <c r="F934" i="110" s="1"/>
  <c r="M934" i="110" s="1"/>
  <c r="G934" i="110" s="1"/>
  <c r="O934" i="110" s="1"/>
  <c r="N933" i="110" l="1"/>
  <c r="P933" i="110"/>
  <c r="I934" i="110"/>
  <c r="N934" i="110"/>
  <c r="Q934" i="110"/>
  <c r="P934" i="110"/>
  <c r="H934" i="110"/>
  <c r="E935" i="110" s="1"/>
  <c r="F935" i="110" s="1"/>
  <c r="M935" i="110" l="1"/>
  <c r="G935" i="110" s="1"/>
  <c r="O935" i="110" s="1"/>
  <c r="P935" i="110" l="1"/>
  <c r="Q935" i="110"/>
  <c r="N935" i="110"/>
  <c r="I935" i="110"/>
  <c r="H935" i="110"/>
  <c r="E936" i="110" s="1"/>
  <c r="F936" i="110" s="1"/>
  <c r="M936" i="110" l="1"/>
  <c r="G936" i="110" s="1"/>
  <c r="O936" i="110" s="1"/>
  <c r="I936" i="110" l="1"/>
  <c r="H936" i="110"/>
  <c r="E937" i="110" s="1"/>
  <c r="F937" i="110" s="1"/>
  <c r="M937" i="110" s="1"/>
  <c r="I937" i="110" s="1"/>
  <c r="N936" i="110"/>
  <c r="Q936" i="110"/>
  <c r="P936" i="110"/>
  <c r="G937" i="110" l="1"/>
  <c r="O937" i="110" s="1"/>
  <c r="P937" i="110" s="1"/>
  <c r="H937" i="110"/>
  <c r="E938" i="110" s="1"/>
  <c r="F938" i="110" s="1"/>
  <c r="N937" i="110" l="1"/>
  <c r="Q937" i="110"/>
  <c r="M938" i="110"/>
  <c r="G938" i="110" s="1"/>
  <c r="O938" i="110" s="1"/>
  <c r="H938" i="110" l="1"/>
  <c r="E939" i="110" s="1"/>
  <c r="F939" i="110" s="1"/>
  <c r="M939" i="110" s="1"/>
  <c r="I939" i="110" s="1"/>
  <c r="I938" i="110"/>
  <c r="P938" i="110"/>
  <c r="Q938" i="110"/>
  <c r="N938" i="110"/>
  <c r="H939" i="110" l="1"/>
  <c r="E940" i="110" s="1"/>
  <c r="F940" i="110" s="1"/>
  <c r="M940" i="110" s="1"/>
  <c r="G940" i="110" s="1"/>
  <c r="O940" i="110" s="1"/>
  <c r="P940" i="110" s="1"/>
  <c r="G939" i="110"/>
  <c r="O939" i="110" s="1"/>
  <c r="Q940" i="110" l="1"/>
  <c r="H940" i="110"/>
  <c r="E941" i="110" s="1"/>
  <c r="F941" i="110" s="1"/>
  <c r="M941" i="110" s="1"/>
  <c r="H941" i="110" s="1"/>
  <c r="E942" i="110" s="1"/>
  <c r="F942" i="110" s="1"/>
  <c r="I940" i="110"/>
  <c r="N940" i="110"/>
  <c r="N939" i="110"/>
  <c r="Q939" i="110"/>
  <c r="P939" i="110"/>
  <c r="M942" i="110" l="1"/>
  <c r="G942" i="110" s="1"/>
  <c r="O942" i="110" s="1"/>
  <c r="I941" i="110"/>
  <c r="G941" i="110"/>
  <c r="O941" i="110" s="1"/>
  <c r="P942" i="110" l="1"/>
  <c r="Q942" i="110"/>
  <c r="N942" i="110"/>
  <c r="Q941" i="110"/>
  <c r="N941" i="110"/>
  <c r="P941" i="110"/>
  <c r="H942" i="110"/>
  <c r="E943" i="110" s="1"/>
  <c r="F943" i="110" s="1"/>
  <c r="I942" i="110"/>
  <c r="M943" i="110" l="1"/>
  <c r="G943" i="110" s="1"/>
  <c r="O943" i="110" s="1"/>
  <c r="P943" i="110" l="1"/>
  <c r="Q943" i="110"/>
  <c r="N943" i="110"/>
  <c r="I943" i="110"/>
  <c r="H943" i="110"/>
  <c r="E944" i="110" s="1"/>
  <c r="F944" i="110" s="1"/>
  <c r="M944" i="110" l="1"/>
  <c r="I944" i="110" s="1"/>
  <c r="G944" i="110" l="1"/>
  <c r="O944" i="110" s="1"/>
  <c r="N944" i="110" s="1"/>
  <c r="H944" i="110"/>
  <c r="E945" i="110" s="1"/>
  <c r="F945" i="110" s="1"/>
  <c r="P944" i="110" l="1"/>
  <c r="Q944" i="110"/>
  <c r="M945" i="110"/>
  <c r="I945" i="110" s="1"/>
  <c r="H945" i="110" l="1"/>
  <c r="E946" i="110" s="1"/>
  <c r="F946" i="110" s="1"/>
  <c r="M946" i="110" s="1"/>
  <c r="G946" i="110" s="1"/>
  <c r="O946" i="110" s="1"/>
  <c r="G945" i="110"/>
  <c r="O945" i="110" s="1"/>
  <c r="H946" i="110" l="1"/>
  <c r="E947" i="110" s="1"/>
  <c r="F947" i="110" s="1"/>
  <c r="M947" i="110" s="1"/>
  <c r="G947" i="110" s="1"/>
  <c r="O947" i="110" s="1"/>
  <c r="P946" i="110"/>
  <c r="N946" i="110"/>
  <c r="Q946" i="110"/>
  <c r="I946" i="110"/>
  <c r="P945" i="110"/>
  <c r="Q945" i="110"/>
  <c r="N945" i="110"/>
  <c r="Q947" i="110" l="1"/>
  <c r="P947" i="110"/>
  <c r="N947" i="110"/>
  <c r="H947" i="110"/>
  <c r="E948" i="110" s="1"/>
  <c r="F948" i="110" s="1"/>
  <c r="I947" i="110"/>
  <c r="M948" i="110" l="1"/>
  <c r="I948" i="110" s="1"/>
  <c r="H948" i="110" l="1"/>
  <c r="E949" i="110" s="1"/>
  <c r="F949" i="110" s="1"/>
  <c r="M949" i="110" s="1"/>
  <c r="G949" i="110" s="1"/>
  <c r="O949" i="110" s="1"/>
  <c r="G948" i="110"/>
  <c r="O948" i="110" s="1"/>
  <c r="N948" i="110"/>
  <c r="Q948" i="110"/>
  <c r="P948" i="110"/>
  <c r="I949" i="110" l="1"/>
  <c r="N949" i="110"/>
  <c r="Q949" i="110"/>
  <c r="P949" i="110"/>
  <c r="H949" i="110"/>
  <c r="E950" i="110" s="1"/>
  <c r="F950" i="110" s="1"/>
  <c r="M950" i="110" l="1"/>
  <c r="G950" i="110" s="1"/>
  <c r="O950" i="110" s="1"/>
  <c r="H950" i="110" l="1"/>
  <c r="E951" i="110" s="1"/>
  <c r="F951" i="110" s="1"/>
  <c r="M951" i="110" s="1"/>
  <c r="H951" i="110" s="1"/>
  <c r="E952" i="110" s="1"/>
  <c r="F952" i="110" s="1"/>
  <c r="I950" i="110"/>
  <c r="N950" i="110"/>
  <c r="Q950" i="110"/>
  <c r="P950" i="110"/>
  <c r="M952" i="110" l="1"/>
  <c r="H952" i="110" s="1"/>
  <c r="E953" i="110" s="1"/>
  <c r="F953" i="110" s="1"/>
  <c r="I951" i="110"/>
  <c r="G951" i="110"/>
  <c r="O951" i="110" s="1"/>
  <c r="M953" i="110" l="1"/>
  <c r="I953" i="110" s="1"/>
  <c r="P951" i="110"/>
  <c r="N951" i="110"/>
  <c r="Q951" i="110"/>
  <c r="G952" i="110"/>
  <c r="O952" i="110" s="1"/>
  <c r="I952" i="110"/>
  <c r="G953" i="110" l="1"/>
  <c r="O953" i="110" s="1"/>
  <c r="N953" i="110" s="1"/>
  <c r="Q952" i="110"/>
  <c r="P952" i="110"/>
  <c r="N952" i="110"/>
  <c r="H953" i="110"/>
  <c r="E954" i="110" s="1"/>
  <c r="F954" i="110" s="1"/>
  <c r="Q953" i="110" l="1"/>
  <c r="P953" i="110"/>
  <c r="M954" i="110"/>
  <c r="H954" i="110" s="1"/>
  <c r="E955" i="110" s="1"/>
  <c r="F955" i="110" s="1"/>
  <c r="I954" i="110" l="1"/>
  <c r="M955" i="110"/>
  <c r="I955" i="110" s="1"/>
  <c r="G954" i="110"/>
  <c r="O954" i="110" s="1"/>
  <c r="G955" i="110" l="1"/>
  <c r="O955" i="110" s="1"/>
  <c r="H955" i="110"/>
  <c r="E956" i="110" s="1"/>
  <c r="F956" i="110" s="1"/>
  <c r="M956" i="110" s="1"/>
  <c r="I956" i="110" s="1"/>
  <c r="Q955" i="110"/>
  <c r="N955" i="110"/>
  <c r="P955" i="110"/>
  <c r="P954" i="110"/>
  <c r="N954" i="110"/>
  <c r="Q954" i="110"/>
  <c r="G956" i="110" l="1"/>
  <c r="O956" i="110" s="1"/>
  <c r="H956" i="110"/>
  <c r="E957" i="110" s="1"/>
  <c r="F957" i="110" s="1"/>
  <c r="M957" i="110" l="1"/>
  <c r="I957" i="110" s="1"/>
  <c r="N956" i="110"/>
  <c r="P956" i="110"/>
  <c r="Q956" i="110"/>
  <c r="G957" i="110" l="1"/>
  <c r="O957" i="110" s="1"/>
  <c r="H957" i="110"/>
  <c r="E958" i="110" s="1"/>
  <c r="F958" i="110" s="1"/>
  <c r="M958" i="110" l="1"/>
  <c r="G958" i="110" s="1"/>
  <c r="O958" i="110" s="1"/>
  <c r="Q957" i="110"/>
  <c r="P957" i="110"/>
  <c r="N957" i="110"/>
  <c r="N958" i="110" l="1"/>
  <c r="Q958" i="110"/>
  <c r="P958" i="110"/>
  <c r="I958" i="110"/>
  <c r="H958" i="110"/>
  <c r="E959" i="110" s="1"/>
  <c r="F959" i="110" s="1"/>
  <c r="M959" i="110" l="1"/>
  <c r="H959" i="110" s="1"/>
  <c r="E960" i="110" s="1"/>
  <c r="F960" i="110" s="1"/>
  <c r="G959" i="110" l="1"/>
  <c r="O959" i="110" s="1"/>
  <c r="M960" i="110"/>
  <c r="G960" i="110" s="1"/>
  <c r="O960" i="110" s="1"/>
  <c r="P959" i="110"/>
  <c r="Q959" i="110"/>
  <c r="N959" i="110"/>
  <c r="I959" i="110"/>
  <c r="H960" i="110" l="1"/>
  <c r="E961" i="110" s="1"/>
  <c r="F961" i="110" s="1"/>
  <c r="M961" i="110" s="1"/>
  <c r="I961" i="110" s="1"/>
  <c r="P960" i="110"/>
  <c r="N960" i="110"/>
  <c r="Q960" i="110"/>
  <c r="I960" i="110"/>
  <c r="H961" i="110" l="1"/>
  <c r="E962" i="110" s="1"/>
  <c r="F962" i="110" s="1"/>
  <c r="G961" i="110"/>
  <c r="O961" i="110" s="1"/>
  <c r="N961" i="110" l="1"/>
  <c r="P961" i="110"/>
  <c r="Q961" i="110"/>
  <c r="M962" i="110"/>
  <c r="H962" i="110" s="1"/>
  <c r="E963" i="110" s="1"/>
  <c r="F963" i="110" s="1"/>
  <c r="I962" i="110" l="1"/>
  <c r="M963" i="110"/>
  <c r="H963" i="110" s="1"/>
  <c r="E964" i="110" s="1"/>
  <c r="F964" i="110" s="1"/>
  <c r="G962" i="110"/>
  <c r="O962" i="110" s="1"/>
  <c r="M964" i="110" l="1"/>
  <c r="I964" i="110" s="1"/>
  <c r="P962" i="110"/>
  <c r="Q962" i="110"/>
  <c r="N962" i="110"/>
  <c r="I963" i="110"/>
  <c r="G963" i="110"/>
  <c r="O963" i="110" s="1"/>
  <c r="P963" i="110" l="1"/>
  <c r="Q963" i="110"/>
  <c r="N963" i="110"/>
  <c r="G964" i="110"/>
  <c r="O964" i="110" s="1"/>
  <c r="H964" i="110"/>
  <c r="E965" i="110" s="1"/>
  <c r="F965" i="110" s="1"/>
  <c r="M965" i="110" l="1"/>
  <c r="H965" i="110" s="1"/>
  <c r="E966" i="110" s="1"/>
  <c r="F966" i="110" s="1"/>
  <c r="N964" i="110"/>
  <c r="Q964" i="110"/>
  <c r="P964" i="110"/>
  <c r="M966" i="110" l="1"/>
  <c r="G966" i="110" s="1"/>
  <c r="O966" i="110" s="1"/>
  <c r="I965" i="110"/>
  <c r="G965" i="110"/>
  <c r="O965" i="110" s="1"/>
  <c r="I966" i="110" l="1"/>
  <c r="H966" i="110"/>
  <c r="E967" i="110" s="1"/>
  <c r="F967" i="110" s="1"/>
  <c r="M967" i="110" s="1"/>
  <c r="G967" i="110" s="1"/>
  <c r="O967" i="110" s="1"/>
  <c r="Q966" i="110"/>
  <c r="N966" i="110"/>
  <c r="P966" i="110"/>
  <c r="P965" i="110"/>
  <c r="N965" i="110"/>
  <c r="Q965" i="110"/>
  <c r="P967" i="110" l="1"/>
  <c r="Q967" i="110"/>
  <c r="N967" i="110"/>
  <c r="H967" i="110"/>
  <c r="E968" i="110" s="1"/>
  <c r="F968" i="110" s="1"/>
  <c r="I967" i="110"/>
  <c r="M968" i="110" l="1"/>
  <c r="I968" i="110" s="1"/>
  <c r="H968" i="110" l="1"/>
  <c r="E969" i="110" s="1"/>
  <c r="F969" i="110" s="1"/>
  <c r="G968" i="110"/>
  <c r="O968" i="110" s="1"/>
  <c r="Q968" i="110" l="1"/>
  <c r="P968" i="110"/>
  <c r="N968" i="110"/>
  <c r="M969" i="110"/>
  <c r="H969" i="110" s="1"/>
  <c r="E970" i="110" s="1"/>
  <c r="F970" i="110" s="1"/>
  <c r="I969" i="110" l="1"/>
  <c r="G969" i="110"/>
  <c r="O969" i="110" s="1"/>
  <c r="Q969" i="110" s="1"/>
  <c r="M970" i="110"/>
  <c r="I970" i="110" s="1"/>
  <c r="P969" i="110" l="1"/>
  <c r="N969" i="110"/>
  <c r="G970" i="110"/>
  <c r="O970" i="110" s="1"/>
  <c r="Q970" i="110" s="1"/>
  <c r="H970" i="110"/>
  <c r="E971" i="110" s="1"/>
  <c r="F971" i="110" s="1"/>
  <c r="M971" i="110" s="1"/>
  <c r="G971" i="110" s="1"/>
  <c r="O971" i="110" s="1"/>
  <c r="N970" i="110" l="1"/>
  <c r="P970" i="110"/>
  <c r="H971" i="110"/>
  <c r="E972" i="110" s="1"/>
  <c r="F972" i="110" s="1"/>
  <c r="M972" i="110" s="1"/>
  <c r="H972" i="110" s="1"/>
  <c r="E973" i="110" s="1"/>
  <c r="F973" i="110" s="1"/>
  <c r="P971" i="110"/>
  <c r="Q971" i="110"/>
  <c r="N971" i="110"/>
  <c r="I971" i="110"/>
  <c r="M973" i="110" l="1"/>
  <c r="H973" i="110" s="1"/>
  <c r="E974" i="110" s="1"/>
  <c r="F974" i="110" s="1"/>
  <c r="G972" i="110"/>
  <c r="O972" i="110" s="1"/>
  <c r="I972" i="110"/>
  <c r="I973" i="110" l="1"/>
  <c r="G973" i="110"/>
  <c r="O973" i="110" s="1"/>
  <c r="Q973" i="110" s="1"/>
  <c r="M974" i="110"/>
  <c r="G974" i="110" s="1"/>
  <c r="O974" i="110" s="1"/>
  <c r="N972" i="110"/>
  <c r="Q972" i="110"/>
  <c r="P972" i="110"/>
  <c r="P973" i="110" l="1"/>
  <c r="N973" i="110"/>
  <c r="H974" i="110"/>
  <c r="E975" i="110" s="1"/>
  <c r="F975" i="110" s="1"/>
  <c r="M975" i="110" s="1"/>
  <c r="G975" i="110" s="1"/>
  <c r="O975" i="110" s="1"/>
  <c r="I974" i="110"/>
  <c r="Q974" i="110"/>
  <c r="P974" i="110"/>
  <c r="N974" i="110"/>
  <c r="H975" i="110" l="1"/>
  <c r="E976" i="110" s="1"/>
  <c r="F976" i="110" s="1"/>
  <c r="M976" i="110" s="1"/>
  <c r="G976" i="110" s="1"/>
  <c r="O976" i="110" s="1"/>
  <c r="I975" i="110"/>
  <c r="P975" i="110"/>
  <c r="Q975" i="110"/>
  <c r="N975" i="110"/>
  <c r="I976" i="110" l="1"/>
  <c r="H976" i="110"/>
  <c r="E977" i="110" s="1"/>
  <c r="F977" i="110" s="1"/>
  <c r="M977" i="110" s="1"/>
  <c r="I977" i="110" s="1"/>
  <c r="Q976" i="110"/>
  <c r="P976" i="110"/>
  <c r="N976" i="110"/>
  <c r="G977" i="110" l="1"/>
  <c r="O977" i="110" s="1"/>
  <c r="P977" i="110" s="1"/>
  <c r="H977" i="110"/>
  <c r="E978" i="110" s="1"/>
  <c r="F978" i="110" s="1"/>
  <c r="M978" i="110" s="1"/>
  <c r="G978" i="110" s="1"/>
  <c r="O978" i="110" s="1"/>
  <c r="N977" i="110"/>
  <c r="Q977" i="110"/>
  <c r="H978" i="110" l="1"/>
  <c r="E979" i="110" s="1"/>
  <c r="F979" i="110" s="1"/>
  <c r="N978" i="110"/>
  <c r="P978" i="110"/>
  <c r="Q978" i="110"/>
  <c r="I978" i="110"/>
  <c r="M979" i="110" l="1"/>
  <c r="I979" i="110" s="1"/>
  <c r="H979" i="110"/>
  <c r="E980" i="110" s="1"/>
  <c r="F980" i="110" s="1"/>
  <c r="G979" i="110" l="1"/>
  <c r="O979" i="110" s="1"/>
  <c r="M980" i="110"/>
  <c r="H980" i="110" s="1"/>
  <c r="E981" i="110" s="1"/>
  <c r="F981" i="110" s="1"/>
  <c r="I980" i="110" l="1"/>
  <c r="P979" i="110"/>
  <c r="Q979" i="110"/>
  <c r="N979" i="110"/>
  <c r="M981" i="110"/>
  <c r="I981" i="110" s="1"/>
  <c r="G980" i="110"/>
  <c r="O980" i="110" s="1"/>
  <c r="H981" i="110" l="1"/>
  <c r="E982" i="110" s="1"/>
  <c r="F982" i="110" s="1"/>
  <c r="M982" i="110" s="1"/>
  <c r="I982" i="110" s="1"/>
  <c r="G981" i="110"/>
  <c r="O981" i="110" s="1"/>
  <c r="N980" i="110"/>
  <c r="P980" i="110"/>
  <c r="Q980" i="110"/>
  <c r="Q981" i="110"/>
  <c r="P981" i="110"/>
  <c r="N981" i="110"/>
  <c r="H982" i="110" l="1"/>
  <c r="E983" i="110" s="1"/>
  <c r="F983" i="110" s="1"/>
  <c r="M983" i="110" s="1"/>
  <c r="G983" i="110" s="1"/>
  <c r="O983" i="110" s="1"/>
  <c r="G982" i="110"/>
  <c r="O982" i="110" s="1"/>
  <c r="P983" i="110" l="1"/>
  <c r="Q983" i="110"/>
  <c r="N983" i="110"/>
  <c r="P982" i="110"/>
  <c r="N982" i="110"/>
  <c r="Q982" i="110"/>
  <c r="H983" i="110"/>
  <c r="E984" i="110" s="1"/>
  <c r="F984" i="110" s="1"/>
  <c r="I983" i="110"/>
  <c r="M984" i="110" l="1"/>
  <c r="I984" i="110" s="1"/>
  <c r="G984" i="110" l="1"/>
  <c r="O984" i="110" s="1"/>
  <c r="H984" i="110"/>
  <c r="E985" i="110" s="1"/>
  <c r="F985" i="110" s="1"/>
  <c r="M985" i="110" l="1"/>
  <c r="I985" i="110" s="1"/>
  <c r="N984" i="110"/>
  <c r="Q984" i="110"/>
  <c r="P984" i="110"/>
  <c r="G985" i="110" l="1"/>
  <c r="O985" i="110" s="1"/>
  <c r="H985" i="110"/>
  <c r="E986" i="110" s="1"/>
  <c r="F986" i="110" s="1"/>
  <c r="M986" i="110" l="1"/>
  <c r="I986" i="110" s="1"/>
  <c r="N985" i="110"/>
  <c r="Q985" i="110"/>
  <c r="P985" i="110"/>
  <c r="G986" i="110" l="1"/>
  <c r="O986" i="110" s="1"/>
  <c r="H986" i="110"/>
  <c r="E987" i="110" s="1"/>
  <c r="F987" i="110" s="1"/>
  <c r="M987" i="110" l="1"/>
  <c r="G987" i="110" s="1"/>
  <c r="O987" i="110" s="1"/>
  <c r="P986" i="110"/>
  <c r="N986" i="110"/>
  <c r="Q986" i="110"/>
  <c r="Q987" i="110" l="1"/>
  <c r="N987" i="110"/>
  <c r="P987" i="110"/>
  <c r="I987" i="110"/>
  <c r="H987" i="110"/>
  <c r="E988" i="110" s="1"/>
  <c r="F988" i="110" s="1"/>
  <c r="M988" i="110" l="1"/>
  <c r="I988" i="110" s="1"/>
  <c r="H988" i="110" l="1"/>
  <c r="E989" i="110" s="1"/>
  <c r="F989" i="110" s="1"/>
  <c r="G988" i="110"/>
  <c r="O988" i="110" s="1"/>
  <c r="N988" i="110" l="1"/>
  <c r="Q988" i="110"/>
  <c r="P988" i="110"/>
  <c r="M989" i="110"/>
  <c r="I989" i="110" s="1"/>
  <c r="G989" i="110" l="1"/>
  <c r="O989" i="110" s="1"/>
  <c r="N989" i="110" s="1"/>
  <c r="H989" i="110"/>
  <c r="E990" i="110" s="1"/>
  <c r="F990" i="110" s="1"/>
  <c r="M990" i="110" s="1"/>
  <c r="I990" i="110" s="1"/>
  <c r="P989" i="110" l="1"/>
  <c r="Q989" i="110"/>
  <c r="H990" i="110"/>
  <c r="E991" i="110" s="1"/>
  <c r="F991" i="110" s="1"/>
  <c r="M991" i="110" s="1"/>
  <c r="H991" i="110" s="1"/>
  <c r="E992" i="110" s="1"/>
  <c r="F992" i="110" s="1"/>
  <c r="G990" i="110"/>
  <c r="O990" i="110" s="1"/>
  <c r="I991" i="110" l="1"/>
  <c r="M992" i="110"/>
  <c r="H992" i="110" s="1"/>
  <c r="E993" i="110" s="1"/>
  <c r="F993" i="110" s="1"/>
  <c r="N990" i="110"/>
  <c r="P990" i="110"/>
  <c r="Q990" i="110"/>
  <c r="G991" i="110"/>
  <c r="O991" i="110" s="1"/>
  <c r="G992" i="110" l="1"/>
  <c r="O992" i="110" s="1"/>
  <c r="M993" i="110"/>
  <c r="I993" i="110" s="1"/>
  <c r="P991" i="110"/>
  <c r="Q991" i="110"/>
  <c r="N991" i="110"/>
  <c r="P992" i="110"/>
  <c r="Q992" i="110"/>
  <c r="N992" i="110"/>
  <c r="I992" i="110"/>
  <c r="H993" i="110" l="1"/>
  <c r="E994" i="110" s="1"/>
  <c r="F994" i="110" s="1"/>
  <c r="G993" i="110"/>
  <c r="O993" i="110" s="1"/>
  <c r="Q993" i="110" l="1"/>
  <c r="P993" i="110"/>
  <c r="N993" i="110"/>
  <c r="M994" i="110"/>
  <c r="G994" i="110" s="1"/>
  <c r="O994" i="110" s="1"/>
  <c r="I994" i="110" l="1"/>
  <c r="P994" i="110"/>
  <c r="N994" i="110"/>
  <c r="Q994" i="110"/>
  <c r="H994" i="110"/>
  <c r="E995" i="110" s="1"/>
  <c r="F995" i="110" s="1"/>
  <c r="M995" i="110" l="1"/>
  <c r="I995" i="110" s="1"/>
  <c r="G995" i="110" l="1"/>
  <c r="O995" i="110" s="1"/>
  <c r="Q995" i="110" s="1"/>
  <c r="H995" i="110"/>
  <c r="E996" i="110" s="1"/>
  <c r="F996" i="110" s="1"/>
  <c r="P995" i="110" l="1"/>
  <c r="N995" i="110"/>
  <c r="M996" i="110"/>
  <c r="H996" i="110" s="1"/>
  <c r="E997" i="110" s="1"/>
  <c r="F997" i="110" s="1"/>
  <c r="I996" i="110" l="1"/>
  <c r="G996" i="110"/>
  <c r="O996" i="110" s="1"/>
  <c r="N996" i="110" s="1"/>
  <c r="M997" i="110"/>
  <c r="I997" i="110" s="1"/>
  <c r="Q996" i="110" l="1"/>
  <c r="P996" i="110"/>
  <c r="G997" i="110"/>
  <c r="O997" i="110" s="1"/>
  <c r="P997" i="110" s="1"/>
  <c r="H997" i="110"/>
  <c r="E998" i="110" s="1"/>
  <c r="F998" i="110" s="1"/>
  <c r="M998" i="110" s="1"/>
  <c r="G998" i="110" s="1"/>
  <c r="O998" i="110" s="1"/>
  <c r="Q997" i="110" l="1"/>
  <c r="N997" i="110"/>
  <c r="Q998" i="110"/>
  <c r="N998" i="110"/>
  <c r="P998" i="110"/>
  <c r="I998" i="110"/>
  <c r="H998" i="110"/>
  <c r="E999" i="110" s="1"/>
  <c r="F999" i="110" s="1"/>
  <c r="M999" i="110" l="1"/>
  <c r="I999" i="110" s="1"/>
  <c r="H999" i="110" l="1"/>
  <c r="E1000" i="110" s="1"/>
  <c r="F1000" i="110" s="1"/>
  <c r="G999" i="110"/>
  <c r="O999" i="110" s="1"/>
  <c r="P999" i="110" l="1"/>
  <c r="N999" i="110"/>
  <c r="Q999" i="110"/>
  <c r="M1000" i="110"/>
  <c r="G1000" i="110" s="1"/>
  <c r="O1000" i="110" s="1"/>
  <c r="H1000" i="110" l="1"/>
  <c r="E1001" i="110" s="1"/>
  <c r="F1001" i="110" s="1"/>
  <c r="M1001" i="110" s="1"/>
  <c r="I1001" i="110" s="1"/>
  <c r="P1000" i="110"/>
  <c r="N1000" i="110"/>
  <c r="Q1000" i="110"/>
  <c r="I1000" i="110"/>
  <c r="G1001" i="110" l="1"/>
  <c r="O1001" i="110" s="1"/>
  <c r="H1001" i="110"/>
  <c r="E1002" i="110" s="1"/>
  <c r="F1002" i="110" s="1"/>
  <c r="M1002" i="110" l="1"/>
  <c r="H1002" i="110" s="1"/>
  <c r="E1003" i="110" s="1"/>
  <c r="F1003" i="110" s="1"/>
  <c r="Q1001" i="110"/>
  <c r="P1001" i="110"/>
  <c r="N1001" i="110"/>
  <c r="M1003" i="110" l="1"/>
  <c r="H1003" i="110" s="1"/>
  <c r="E1004" i="110" s="1"/>
  <c r="F1004" i="110" s="1"/>
  <c r="I1003" i="110"/>
  <c r="G1003" i="110"/>
  <c r="O1003" i="110" s="1"/>
  <c r="I1002" i="110"/>
  <c r="G1002" i="110"/>
  <c r="O1002" i="110" s="1"/>
  <c r="M1004" i="110" l="1"/>
  <c r="G1004" i="110" s="1"/>
  <c r="O1004" i="110" s="1"/>
  <c r="P1002" i="110"/>
  <c r="Q1002" i="110"/>
  <c r="N1002" i="110"/>
  <c r="N1003" i="110"/>
  <c r="Q1003" i="110"/>
  <c r="P1003" i="110"/>
  <c r="I1004" i="110" l="1"/>
  <c r="N1004" i="110"/>
  <c r="P1004" i="110"/>
  <c r="Q1004" i="110"/>
  <c r="H1004" i="110"/>
  <c r="E1005" i="110" s="1"/>
  <c r="F1005" i="110" s="1"/>
  <c r="M1005" i="110" l="1"/>
  <c r="G1005" i="110" s="1"/>
  <c r="O1005" i="110" s="1"/>
  <c r="Q1005" i="110" l="1"/>
  <c r="N1005" i="110"/>
  <c r="P1005" i="110"/>
  <c r="I1005" i="110"/>
  <c r="H1005" i="110"/>
  <c r="E1006" i="110" s="1"/>
  <c r="F1006" i="110" s="1"/>
  <c r="M1006" i="110" l="1"/>
  <c r="G1006" i="110" s="1"/>
  <c r="O1006" i="110" s="1"/>
  <c r="H1006" i="110" l="1"/>
  <c r="E1007" i="110" s="1"/>
  <c r="F1007" i="110" s="1"/>
  <c r="M1007" i="110" s="1"/>
  <c r="G1007" i="110" s="1"/>
  <c r="O1007" i="110" s="1"/>
  <c r="I1006" i="110"/>
  <c r="Q1006" i="110"/>
  <c r="P1006" i="110"/>
  <c r="N1006" i="110"/>
  <c r="P1007" i="110" l="1"/>
  <c r="N1007" i="110"/>
  <c r="Q1007" i="110"/>
  <c r="I1007" i="110"/>
  <c r="H1007" i="110"/>
  <c r="E1008" i="110" s="1"/>
  <c r="F1008" i="110" s="1"/>
  <c r="M1008" i="110" l="1"/>
  <c r="I1008" i="110" s="1"/>
  <c r="G1008" i="110" l="1"/>
  <c r="O1008" i="110" s="1"/>
  <c r="H1008" i="110"/>
  <c r="E1009" i="110" s="1"/>
  <c r="F1009" i="110" s="1"/>
  <c r="M1009" i="110" s="1"/>
  <c r="I1009" i="110" s="1"/>
  <c r="N1008" i="110"/>
  <c r="P1008" i="110"/>
  <c r="Q1008" i="110"/>
  <c r="G1009" i="110" l="1"/>
  <c r="O1009" i="110" s="1"/>
  <c r="H1009" i="110"/>
  <c r="E1010" i="110" s="1"/>
  <c r="F1010" i="110" s="1"/>
  <c r="M1010" i="110" l="1"/>
  <c r="H1010" i="110" s="1"/>
  <c r="E1011" i="110" s="1"/>
  <c r="F1011" i="110" s="1"/>
  <c r="Q1009" i="110"/>
  <c r="P1009" i="110"/>
  <c r="N1009" i="110"/>
  <c r="I1010" i="110" l="1"/>
  <c r="G1010" i="110"/>
  <c r="O1010" i="110" s="1"/>
  <c r="P1010" i="110" s="1"/>
  <c r="M1011" i="110"/>
  <c r="I1011" i="110" s="1"/>
  <c r="Q1010" i="110" l="1"/>
  <c r="N1010" i="110"/>
  <c r="G1011" i="110"/>
  <c r="O1011" i="110" s="1"/>
  <c r="P1011" i="110" s="1"/>
  <c r="H1011" i="110"/>
  <c r="E1012" i="110" s="1"/>
  <c r="F1012" i="110" s="1"/>
  <c r="N1011" i="110" l="1"/>
  <c r="Q1011" i="110"/>
  <c r="M1012" i="110"/>
  <c r="H1012" i="110" s="1"/>
  <c r="E1013" i="110" s="1"/>
  <c r="F1013" i="110" s="1"/>
  <c r="M1013" i="110" s="1"/>
  <c r="I1013" i="110" s="1"/>
  <c r="G1012" i="110" l="1"/>
  <c r="O1012" i="110" s="1"/>
  <c r="N1012" i="110" s="1"/>
  <c r="G1013" i="110"/>
  <c r="O1013" i="110" s="1"/>
  <c r="N1013" i="110" s="1"/>
  <c r="H1013" i="110"/>
  <c r="E1014" i="110" s="1"/>
  <c r="F1014" i="110" s="1"/>
  <c r="M1014" i="110" s="1"/>
  <c r="G1014" i="110" s="1"/>
  <c r="O1014" i="110" s="1"/>
  <c r="I1012" i="110"/>
  <c r="Q1012" i="110" l="1"/>
  <c r="P1012" i="110"/>
  <c r="Q1013" i="110"/>
  <c r="P1013" i="110"/>
  <c r="I1014" i="110"/>
  <c r="P1014" i="110"/>
  <c r="Q1014" i="110"/>
  <c r="N1014" i="110"/>
  <c r="H1014" i="110"/>
  <c r="E1015" i="110" s="1"/>
  <c r="F1015" i="110" s="1"/>
  <c r="M1015" i="110" l="1"/>
  <c r="I1015" i="110" s="1"/>
  <c r="H1015" i="110" l="1"/>
  <c r="E1016" i="110" s="1"/>
  <c r="F1016" i="110" s="1"/>
  <c r="M1016" i="110" s="1"/>
  <c r="G1016" i="110" s="1"/>
  <c r="O1016" i="110" s="1"/>
  <c r="G1015" i="110"/>
  <c r="O1015" i="110" s="1"/>
  <c r="H1016" i="110" l="1"/>
  <c r="E1017" i="110" s="1"/>
  <c r="F1017" i="110" s="1"/>
  <c r="M1017" i="110" s="1"/>
  <c r="H1017" i="110" s="1"/>
  <c r="J12" i="110" s="1"/>
  <c r="Q1016" i="110"/>
  <c r="P1016" i="110"/>
  <c r="N1016" i="110"/>
  <c r="P1015" i="110"/>
  <c r="N1015" i="110"/>
  <c r="Q1015" i="110"/>
  <c r="I1016" i="110"/>
  <c r="I1017" i="110" l="1"/>
  <c r="G1017" i="110"/>
  <c r="O1017" i="110" s="1"/>
  <c r="Q1017" i="110" l="1"/>
  <c r="P1017" i="110"/>
  <c r="N1017" i="110"/>
  <c r="J11" i="110"/>
  <c r="D1" i="63" l="1"/>
  <c r="D2" i="63"/>
  <c r="O107" i="108"/>
  <c r="M107" i="108"/>
  <c r="N7" i="108" a="1"/>
  <c r="N7" i="108" s="1"/>
  <c r="N6" i="108"/>
  <c r="O1" i="108"/>
  <c r="N1" i="108"/>
  <c r="A1" i="108"/>
  <c r="AF521" i="107"/>
  <c r="AE5" i="107" s="1"/>
  <c r="AD430" i="107"/>
  <c r="AC430" i="107"/>
  <c r="AB430" i="107"/>
  <c r="AA430" i="107"/>
  <c r="Z430" i="107"/>
  <c r="Y430" i="107"/>
  <c r="X430" i="107"/>
  <c r="X420" i="107"/>
  <c r="X418" i="107"/>
  <c r="Y412" i="107"/>
  <c r="Y411" i="107"/>
  <c r="Y410" i="107"/>
  <c r="Y383" i="107"/>
  <c r="X360" i="107" a="1"/>
  <c r="X360" i="107" s="1"/>
  <c r="X356" i="107"/>
  <c r="X355" i="107"/>
  <c r="X354" i="107"/>
  <c r="X353" i="107"/>
  <c r="X352" i="107"/>
  <c r="X351" i="107"/>
  <c r="X350" i="107"/>
  <c r="X349" i="107"/>
  <c r="X348" i="107"/>
  <c r="X347" i="107"/>
  <c r="X346" i="107"/>
  <c r="X345" i="107"/>
  <c r="X344" i="107"/>
  <c r="X343" i="107"/>
  <c r="X342" i="107"/>
  <c r="X341" i="107"/>
  <c r="X340" i="107"/>
  <c r="X339" i="107"/>
  <c r="X338" i="107"/>
  <c r="X337" i="107"/>
  <c r="X336" i="107"/>
  <c r="X335" i="107"/>
  <c r="X334" i="107"/>
  <c r="X333" i="107"/>
  <c r="X332" i="107"/>
  <c r="X331" i="107"/>
  <c r="X330" i="107"/>
  <c r="Z313" i="107"/>
  <c r="AB312" i="107"/>
  <c r="Y314" i="107" s="1"/>
  <c r="Z309" i="107"/>
  <c r="Z308" i="107"/>
  <c r="AB305" i="107"/>
  <c r="Y310" i="107" s="1"/>
  <c r="AB303" i="107"/>
  <c r="Z59" i="107"/>
  <c r="AD2" i="107"/>
  <c r="AC2" i="107"/>
  <c r="AB2" i="107"/>
  <c r="AA2" i="107"/>
  <c r="Z2" i="107"/>
  <c r="Y2" i="107"/>
  <c r="X2" i="107"/>
  <c r="AD1" i="107"/>
  <c r="AC1" i="107"/>
  <c r="AB1" i="107"/>
  <c r="AA1" i="107"/>
  <c r="Z1" i="107"/>
  <c r="Y1" i="107"/>
  <c r="X1" i="107"/>
  <c r="L517" i="107"/>
  <c r="L516" i="107"/>
  <c r="R515" i="107"/>
  <c r="L515" i="107"/>
  <c r="R514" i="107"/>
  <c r="S514" i="107" s="1"/>
  <c r="L514" i="107"/>
  <c r="R513" i="107"/>
  <c r="L513" i="107"/>
  <c r="R512" i="107"/>
  <c r="L512" i="107"/>
  <c r="N511" i="107"/>
  <c r="L511" i="107"/>
  <c r="U510" i="107"/>
  <c r="Q510" i="107"/>
  <c r="L510" i="107"/>
  <c r="P509" i="107"/>
  <c r="L509" i="107"/>
  <c r="U508" i="107"/>
  <c r="R508" i="107"/>
  <c r="N515" i="107" s="1"/>
  <c r="Q508" i="107"/>
  <c r="N514" i="107" s="1"/>
  <c r="P508" i="107"/>
  <c r="N513" i="107" s="1"/>
  <c r="N508" i="107"/>
  <c r="N512" i="107" s="1"/>
  <c r="L508" i="107"/>
  <c r="R507" i="107"/>
  <c r="V510" i="107" s="1"/>
  <c r="Q507" i="107"/>
  <c r="V508" i="107" s="1"/>
  <c r="P507" i="107"/>
  <c r="V506" i="107" s="1"/>
  <c r="N507" i="107"/>
  <c r="V504" i="107" s="1"/>
  <c r="L507" i="107"/>
  <c r="U506" i="107"/>
  <c r="L506" i="107"/>
  <c r="L505" i="107"/>
  <c r="U504" i="107"/>
  <c r="L504" i="107"/>
  <c r="U503" i="107"/>
  <c r="L503" i="107"/>
  <c r="L502" i="107"/>
  <c r="U501" i="107"/>
  <c r="L498" i="107"/>
  <c r="L497" i="107"/>
  <c r="L496" i="107"/>
  <c r="L495" i="107"/>
  <c r="L494" i="107"/>
  <c r="L493" i="107"/>
  <c r="L492" i="107"/>
  <c r="L491" i="107"/>
  <c r="L488" i="107"/>
  <c r="L487" i="107"/>
  <c r="V486" i="107"/>
  <c r="U486" i="107"/>
  <c r="T486" i="107"/>
  <c r="S486" i="107"/>
  <c r="R486" i="107"/>
  <c r="L486" i="107"/>
  <c r="L485" i="107"/>
  <c r="R484" i="107"/>
  <c r="L484" i="107"/>
  <c r="V483" i="107"/>
  <c r="U483" i="107"/>
  <c r="T483" i="107"/>
  <c r="S483" i="107"/>
  <c r="R483" i="107"/>
  <c r="L483" i="107"/>
  <c r="L482" i="107"/>
  <c r="R481" i="107"/>
  <c r="L481" i="107"/>
  <c r="L477" i="107"/>
  <c r="L476" i="107"/>
  <c r="L475" i="107"/>
  <c r="L474" i="107"/>
  <c r="L473" i="107"/>
  <c r="L472" i="107"/>
  <c r="M469" i="107"/>
  <c r="S469" i="107" s="1"/>
  <c r="M468" i="107"/>
  <c r="S468" i="107" s="1"/>
  <c r="M467" i="107"/>
  <c r="S467" i="107" s="1"/>
  <c r="M466" i="107"/>
  <c r="S466" i="107" s="1"/>
  <c r="M465" i="107"/>
  <c r="S465" i="107" s="1"/>
  <c r="M464" i="107"/>
  <c r="S464" i="107" s="1"/>
  <c r="M463" i="107"/>
  <c r="S463" i="107" s="1"/>
  <c r="M462" i="107"/>
  <c r="S462" i="107" s="1"/>
  <c r="M461" i="107"/>
  <c r="S461" i="107" s="1"/>
  <c r="L454" i="107"/>
  <c r="U453" i="107"/>
  <c r="U454" i="107" s="1"/>
  <c r="L453" i="107"/>
  <c r="L452" i="107"/>
  <c r="L451" i="107"/>
  <c r="U450" i="107"/>
  <c r="U451" i="107" s="1"/>
  <c r="L450" i="107"/>
  <c r="L449" i="107"/>
  <c r="L448" i="107"/>
  <c r="L447" i="107"/>
  <c r="U446" i="107"/>
  <c r="L446" i="107"/>
  <c r="U445" i="107"/>
  <c r="L445" i="107"/>
  <c r="L444" i="107"/>
  <c r="L443" i="107"/>
  <c r="L442" i="107"/>
  <c r="U441" i="107"/>
  <c r="U442" i="107" s="1"/>
  <c r="L441" i="107"/>
  <c r="L440" i="107"/>
  <c r="L439" i="107"/>
  <c r="L435" i="107"/>
  <c r="L434" i="107"/>
  <c r="L433" i="107"/>
  <c r="L432" i="107"/>
  <c r="L431" i="107"/>
  <c r="L430" i="107"/>
  <c r="L429" i="107"/>
  <c r="L428" i="107"/>
  <c r="L427" i="107"/>
  <c r="L426" i="107"/>
  <c r="L423" i="107"/>
  <c r="L422" i="107"/>
  <c r="L421" i="107"/>
  <c r="T420" i="107"/>
  <c r="N422" i="107" s="1"/>
  <c r="L420" i="107"/>
  <c r="T419" i="107"/>
  <c r="N421" i="107" s="1"/>
  <c r="L419" i="107"/>
  <c r="L418" i="107"/>
  <c r="L414" i="107"/>
  <c r="L413" i="107"/>
  <c r="L412" i="107"/>
  <c r="L411" i="107"/>
  <c r="L410" i="107"/>
  <c r="L409" i="107"/>
  <c r="T408" i="107"/>
  <c r="L408" i="107"/>
  <c r="L407" i="107"/>
  <c r="L406" i="107"/>
  <c r="L405" i="107"/>
  <c r="L404" i="107"/>
  <c r="L403" i="107"/>
  <c r="L402" i="107"/>
  <c r="L401" i="107"/>
  <c r="L400" i="107"/>
  <c r="L399" i="107"/>
  <c r="L398" i="107"/>
  <c r="L397" i="107"/>
  <c r="L393" i="107"/>
  <c r="L392" i="107"/>
  <c r="L391" i="107"/>
  <c r="L390" i="107"/>
  <c r="L389" i="107"/>
  <c r="L388" i="107"/>
  <c r="L387" i="107"/>
  <c r="L386" i="107"/>
  <c r="L385" i="107"/>
  <c r="L384" i="107"/>
  <c r="L383" i="107"/>
  <c r="L382" i="107"/>
  <c r="L381" i="107"/>
  <c r="L380" i="107"/>
  <c r="L379" i="107"/>
  <c r="L378" i="107"/>
  <c r="L377" i="107"/>
  <c r="L376" i="107"/>
  <c r="L372" i="107"/>
  <c r="L371" i="107"/>
  <c r="L370" i="107"/>
  <c r="L369" i="107"/>
  <c r="L368" i="107"/>
  <c r="L367" i="107"/>
  <c r="L366" i="107"/>
  <c r="L365" i="107"/>
  <c r="L362" i="107"/>
  <c r="L361" i="107"/>
  <c r="L360" i="107"/>
  <c r="S359" i="107"/>
  <c r="T359" i="107" s="1"/>
  <c r="L359" i="107"/>
  <c r="S358" i="107"/>
  <c r="T358" i="107" s="1"/>
  <c r="L358" i="107"/>
  <c r="S357" i="107"/>
  <c r="T357" i="107" s="1"/>
  <c r="L357" i="107"/>
  <c r="S356" i="107"/>
  <c r="T356" i="107" s="1"/>
  <c r="L356" i="107"/>
  <c r="L355" i="107"/>
  <c r="L351" i="107"/>
  <c r="L350" i="107"/>
  <c r="L349" i="107"/>
  <c r="L348" i="107"/>
  <c r="L347" i="107"/>
  <c r="L346" i="107"/>
  <c r="L345" i="107"/>
  <c r="L344" i="107"/>
  <c r="L343" i="107"/>
  <c r="L342" i="107"/>
  <c r="L341" i="107"/>
  <c r="L340" i="107"/>
  <c r="L339" i="107"/>
  <c r="S336" i="107"/>
  <c r="L336" i="107"/>
  <c r="L335" i="107"/>
  <c r="L334" i="107"/>
  <c r="L330" i="107"/>
  <c r="L329" i="107"/>
  <c r="L328" i="107"/>
  <c r="L327" i="107"/>
  <c r="L326" i="107"/>
  <c r="L325" i="107"/>
  <c r="L324" i="107"/>
  <c r="L323" i="107"/>
  <c r="L322" i="107"/>
  <c r="L321" i="107"/>
  <c r="L320" i="107"/>
  <c r="Q317" i="107"/>
  <c r="L317" i="107"/>
  <c r="L316" i="107"/>
  <c r="L315" i="107"/>
  <c r="L314" i="107"/>
  <c r="L313" i="107"/>
  <c r="L307" i="107"/>
  <c r="L306" i="107"/>
  <c r="L305" i="107"/>
  <c r="L304" i="107"/>
  <c r="L303" i="107"/>
  <c r="L302" i="107"/>
  <c r="L301" i="107"/>
  <c r="R300" i="107"/>
  <c r="L300" i="107"/>
  <c r="R299" i="107"/>
  <c r="L299" i="107"/>
  <c r="L298" i="107"/>
  <c r="L297" i="107"/>
  <c r="L296" i="107"/>
  <c r="L295" i="107"/>
  <c r="L294" i="107"/>
  <c r="L293" i="107"/>
  <c r="L292" i="107"/>
  <c r="L288" i="107"/>
  <c r="L287" i="107"/>
  <c r="L286" i="107"/>
  <c r="L285" i="107"/>
  <c r="L284" i="107"/>
  <c r="L283" i="107"/>
  <c r="L282" i="107"/>
  <c r="L279" i="107"/>
  <c r="L278" i="107"/>
  <c r="L277" i="107"/>
  <c r="L276" i="107"/>
  <c r="L275" i="107"/>
  <c r="L274" i="107"/>
  <c r="L273" i="107"/>
  <c r="L272" i="107"/>
  <c r="L271" i="107"/>
  <c r="L265" i="107"/>
  <c r="L264" i="107"/>
  <c r="L263" i="107"/>
  <c r="L262" i="107"/>
  <c r="L261" i="107"/>
  <c r="L260" i="107"/>
  <c r="L259" i="107"/>
  <c r="L258" i="107"/>
  <c r="L257" i="107"/>
  <c r="L256" i="107"/>
  <c r="L255" i="107"/>
  <c r="L254" i="107"/>
  <c r="L253" i="107"/>
  <c r="L252" i="107"/>
  <c r="L251" i="107"/>
  <c r="L250" i="107"/>
  <c r="L246" i="107"/>
  <c r="L245" i="107"/>
  <c r="L244" i="107"/>
  <c r="L243" i="107"/>
  <c r="S242" i="107"/>
  <c r="L242" i="107"/>
  <c r="V241" i="107"/>
  <c r="R243" i="107" s="1"/>
  <c r="L241" i="107"/>
  <c r="L240" i="107"/>
  <c r="L239" i="107"/>
  <c r="S238" i="107"/>
  <c r="L238" i="107"/>
  <c r="S237" i="107"/>
  <c r="L237" i="107"/>
  <c r="L236" i="107"/>
  <c r="L235" i="107"/>
  <c r="V234" i="107"/>
  <c r="R239" i="107" s="1"/>
  <c r="L234" i="107"/>
  <c r="L233" i="107"/>
  <c r="V232" i="107"/>
  <c r="L232" i="107"/>
  <c r="L231" i="107"/>
  <c r="L229" i="107"/>
  <c r="L230" i="107" s="1"/>
  <c r="L225" i="107"/>
  <c r="L224" i="107"/>
  <c r="L223" i="107"/>
  <c r="L222" i="107"/>
  <c r="L221" i="107"/>
  <c r="L220" i="107"/>
  <c r="L219" i="107"/>
  <c r="L218" i="107"/>
  <c r="L217" i="107"/>
  <c r="L216" i="107"/>
  <c r="L215" i="107"/>
  <c r="L214" i="107"/>
  <c r="L213" i="107"/>
  <c r="L212" i="107"/>
  <c r="L211" i="107"/>
  <c r="L210" i="107"/>
  <c r="L209" i="107"/>
  <c r="L208" i="107"/>
  <c r="H203" i="107"/>
  <c r="U201" i="107"/>
  <c r="T201" i="107"/>
  <c r="L198" i="107"/>
  <c r="K198" i="107" a="1"/>
  <c r="K198" i="107" s="1"/>
  <c r="I198" i="107"/>
  <c r="L197" i="107"/>
  <c r="K197" i="107" a="1"/>
  <c r="K197" i="107" s="1"/>
  <c r="I197" i="107"/>
  <c r="K196" i="107" a="1"/>
  <c r="K196" i="107" s="1"/>
  <c r="I196" i="107"/>
  <c r="B196" i="107"/>
  <c r="K195" i="107" a="1"/>
  <c r="K195" i="107" s="1"/>
  <c r="I195" i="107"/>
  <c r="B195" i="107"/>
  <c r="L194" i="107"/>
  <c r="K194" i="107" a="1"/>
  <c r="K194" i="107" s="1"/>
  <c r="I194" i="107"/>
  <c r="B194" i="107"/>
  <c r="L193" i="107"/>
  <c r="K193" i="107" a="1"/>
  <c r="K193" i="107" s="1"/>
  <c r="I193" i="107"/>
  <c r="B193" i="107"/>
  <c r="L192" i="107"/>
  <c r="K192" i="107" a="1"/>
  <c r="K192" i="107" s="1"/>
  <c r="I192" i="107"/>
  <c r="B192" i="107"/>
  <c r="L191" i="107"/>
  <c r="K191" i="107" a="1"/>
  <c r="K191" i="107" s="1"/>
  <c r="I191" i="107"/>
  <c r="B191" i="107"/>
  <c r="L190" i="107"/>
  <c r="K190" i="107" a="1"/>
  <c r="K190" i="107" s="1"/>
  <c r="I190" i="107"/>
  <c r="B190" i="107"/>
  <c r="K189" i="107" a="1"/>
  <c r="K189" i="107" s="1"/>
  <c r="I189" i="107"/>
  <c r="K188" i="107" a="1"/>
  <c r="K188" i="107" s="1"/>
  <c r="I188" i="107"/>
  <c r="L187" i="107"/>
  <c r="K187" i="107" a="1"/>
  <c r="K187" i="107" s="1"/>
  <c r="I187" i="107"/>
  <c r="L186" i="107"/>
  <c r="K186" i="107" a="1"/>
  <c r="K186" i="107" s="1"/>
  <c r="I186" i="107"/>
  <c r="L185" i="107"/>
  <c r="K185" i="107" a="1"/>
  <c r="K185" i="107" s="1"/>
  <c r="I185" i="107"/>
  <c r="L184" i="107"/>
  <c r="K184" i="107" a="1"/>
  <c r="K184" i="107" s="1"/>
  <c r="I184" i="107"/>
  <c r="L183" i="107"/>
  <c r="K183" i="107" a="1"/>
  <c r="K183" i="107" s="1"/>
  <c r="I183" i="107"/>
  <c r="K182" i="107" a="1"/>
  <c r="K182" i="107" s="1"/>
  <c r="I182" i="107"/>
  <c r="L181" i="107"/>
  <c r="K181" i="107" a="1"/>
  <c r="K181" i="107" s="1"/>
  <c r="I181" i="107"/>
  <c r="L180" i="107"/>
  <c r="K180" i="107" a="1"/>
  <c r="K180" i="107" s="1"/>
  <c r="I180" i="107"/>
  <c r="K179" i="107" a="1"/>
  <c r="K179" i="107" s="1"/>
  <c r="I179" i="107"/>
  <c r="K178" i="107" a="1"/>
  <c r="K178" i="107" s="1"/>
  <c r="I178" i="107"/>
  <c r="K177" i="107" a="1"/>
  <c r="K177" i="107" s="1"/>
  <c r="I177" i="107"/>
  <c r="K176" i="107" a="1"/>
  <c r="K176" i="107" s="1"/>
  <c r="I176" i="107"/>
  <c r="K175" i="107" a="1"/>
  <c r="K175" i="107" s="1"/>
  <c r="I175" i="107"/>
  <c r="L174" i="107"/>
  <c r="K174" i="107" a="1"/>
  <c r="K174" i="107" s="1"/>
  <c r="I174" i="107"/>
  <c r="K173" i="107" a="1"/>
  <c r="K173" i="107" s="1"/>
  <c r="I173" i="107"/>
  <c r="L172" i="107"/>
  <c r="K172" i="107" a="1"/>
  <c r="K172" i="107" s="1"/>
  <c r="I172" i="107"/>
  <c r="V169" i="107"/>
  <c r="U169" i="107"/>
  <c r="T169" i="107"/>
  <c r="S169" i="107"/>
  <c r="R169" i="107"/>
  <c r="Q169" i="107"/>
  <c r="P169" i="107"/>
  <c r="N169" i="107"/>
  <c r="M169" i="107"/>
  <c r="L169" i="107"/>
  <c r="K169" i="107"/>
  <c r="J169" i="107"/>
  <c r="I169" i="107"/>
  <c r="H169" i="107"/>
  <c r="G169" i="107"/>
  <c r="F169" i="107"/>
  <c r="E169" i="107"/>
  <c r="D169" i="107"/>
  <c r="C169" i="107"/>
  <c r="V168" i="107"/>
  <c r="U168" i="107"/>
  <c r="T168" i="107"/>
  <c r="S168" i="107"/>
  <c r="R168" i="107"/>
  <c r="Q168" i="107"/>
  <c r="P168" i="107"/>
  <c r="N168" i="107"/>
  <c r="M168" i="107"/>
  <c r="L168" i="107"/>
  <c r="K168" i="107"/>
  <c r="J168" i="107"/>
  <c r="I168" i="107"/>
  <c r="H168" i="107"/>
  <c r="G168" i="107"/>
  <c r="F168" i="107"/>
  <c r="E168" i="107"/>
  <c r="D168" i="107"/>
  <c r="C168" i="107"/>
  <c r="T163" i="107"/>
  <c r="V162" i="107"/>
  <c r="T162" i="107"/>
  <c r="R162" i="107" a="1"/>
  <c r="R162" i="107" s="1"/>
  <c r="M162" i="107"/>
  <c r="I162" i="107"/>
  <c r="B162" i="107"/>
  <c r="V161" i="107"/>
  <c r="T161" i="107"/>
  <c r="R161" i="107" a="1"/>
  <c r="R161" i="107" s="1"/>
  <c r="M161" i="107"/>
  <c r="I161" i="107"/>
  <c r="B161" i="107"/>
  <c r="T160" i="107"/>
  <c r="R160" i="107" a="1"/>
  <c r="R160" i="107" s="1"/>
  <c r="M160" i="107"/>
  <c r="I160" i="107"/>
  <c r="B160" i="107"/>
  <c r="T159" i="107"/>
  <c r="R159" i="107" a="1"/>
  <c r="R159" i="107" s="1"/>
  <c r="M159" i="107"/>
  <c r="I159" i="107"/>
  <c r="B159" i="107"/>
  <c r="T158" i="107"/>
  <c r="R158" i="107" a="1"/>
  <c r="R158" i="107" s="1"/>
  <c r="M158" i="107"/>
  <c r="I158" i="107"/>
  <c r="B158" i="107"/>
  <c r="T157" i="107"/>
  <c r="R157" i="107" a="1"/>
  <c r="R157" i="107" s="1"/>
  <c r="M157" i="107"/>
  <c r="I157" i="107"/>
  <c r="B157" i="107"/>
  <c r="T156" i="107"/>
  <c r="R156" i="107" a="1"/>
  <c r="R156" i="107" s="1"/>
  <c r="M156" i="107"/>
  <c r="I156" i="107"/>
  <c r="B156" i="107"/>
  <c r="T155" i="107"/>
  <c r="R155" i="107" a="1"/>
  <c r="R155" i="107" s="1"/>
  <c r="M155" i="107"/>
  <c r="I155" i="107"/>
  <c r="B155" i="107"/>
  <c r="T154" i="107"/>
  <c r="R154" i="107" a="1"/>
  <c r="R154" i="107" s="1"/>
  <c r="M154" i="107"/>
  <c r="I154" i="107"/>
  <c r="B154" i="107"/>
  <c r="T153" i="107"/>
  <c r="R153" i="107" a="1"/>
  <c r="R153" i="107" s="1"/>
  <c r="M153" i="107"/>
  <c r="I153" i="107"/>
  <c r="B153" i="107"/>
  <c r="T152" i="107"/>
  <c r="R152" i="107" a="1"/>
  <c r="R152" i="107" s="1"/>
  <c r="M152" i="107"/>
  <c r="I152" i="107"/>
  <c r="B152" i="107"/>
  <c r="T151" i="107"/>
  <c r="R151" i="107" a="1"/>
  <c r="R151" i="107" s="1"/>
  <c r="M151" i="107"/>
  <c r="I151" i="107"/>
  <c r="V147" i="107"/>
  <c r="M147" i="107"/>
  <c r="G147" i="107"/>
  <c r="C147" i="107" s="1"/>
  <c r="C176" i="107" s="1"/>
  <c r="E147" i="107"/>
  <c r="E161" i="107" s="1"/>
  <c r="L146" i="107"/>
  <c r="S152" i="107" s="1"/>
  <c r="V144" i="107"/>
  <c r="V141" i="107"/>
  <c r="H139" i="107"/>
  <c r="U137" i="107"/>
  <c r="T137" i="107"/>
  <c r="L134" i="107"/>
  <c r="K134" i="107" a="1"/>
  <c r="K134" i="107" s="1"/>
  <c r="I134" i="107"/>
  <c r="L133" i="107"/>
  <c r="K133" i="107" a="1"/>
  <c r="K133" i="107" s="1"/>
  <c r="I133" i="107"/>
  <c r="K132" i="107" a="1"/>
  <c r="K132" i="107" s="1"/>
  <c r="I132" i="107"/>
  <c r="K131" i="107" a="1"/>
  <c r="K131" i="107" s="1"/>
  <c r="I131" i="107"/>
  <c r="K130" i="107" a="1"/>
  <c r="K130" i="107" s="1"/>
  <c r="I130" i="107"/>
  <c r="K129" i="107" a="1"/>
  <c r="K129" i="107" s="1"/>
  <c r="I129" i="107"/>
  <c r="K128" i="107" a="1"/>
  <c r="K128" i="107" s="1"/>
  <c r="I128" i="107"/>
  <c r="L127" i="107"/>
  <c r="K127" i="107" a="1"/>
  <c r="K127" i="107" s="1"/>
  <c r="I127" i="107"/>
  <c r="L126" i="107"/>
  <c r="K126" i="107" a="1"/>
  <c r="K126" i="107" s="1"/>
  <c r="I126" i="107"/>
  <c r="K125" i="107" a="1"/>
  <c r="K125" i="107" s="1"/>
  <c r="I125" i="107"/>
  <c r="K124" i="107" a="1"/>
  <c r="K124" i="107" s="1"/>
  <c r="I124" i="107"/>
  <c r="K123" i="107" a="1"/>
  <c r="K123" i="107" s="1"/>
  <c r="I123" i="107"/>
  <c r="K122" i="107" a="1"/>
  <c r="K122" i="107" s="1"/>
  <c r="I122" i="107"/>
  <c r="L121" i="107"/>
  <c r="K121" i="107" a="1"/>
  <c r="K121" i="107" s="1"/>
  <c r="I121" i="107"/>
  <c r="K120" i="107" a="1"/>
  <c r="K120" i="107" s="1"/>
  <c r="I120" i="107"/>
  <c r="K119" i="107" a="1"/>
  <c r="K119" i="107" s="1"/>
  <c r="I119" i="107"/>
  <c r="L118" i="107"/>
  <c r="K118" i="107" a="1"/>
  <c r="K118" i="107" s="1"/>
  <c r="I118" i="107"/>
  <c r="K117" i="107" a="1"/>
  <c r="K117" i="107" s="1"/>
  <c r="I117" i="107"/>
  <c r="K116" i="107" a="1"/>
  <c r="K116" i="107" s="1"/>
  <c r="I116" i="107"/>
  <c r="L115" i="107"/>
  <c r="L116" i="107" s="1"/>
  <c r="K115" i="107" a="1"/>
  <c r="K115" i="107" s="1"/>
  <c r="I115" i="107"/>
  <c r="V112" i="107"/>
  <c r="U112" i="107"/>
  <c r="T112" i="107"/>
  <c r="S112" i="107"/>
  <c r="R112" i="107"/>
  <c r="Q112" i="107"/>
  <c r="P112" i="107"/>
  <c r="N112" i="107"/>
  <c r="M112" i="107"/>
  <c r="L112" i="107"/>
  <c r="K112" i="107"/>
  <c r="J112" i="107"/>
  <c r="I112" i="107"/>
  <c r="H112" i="107"/>
  <c r="G112" i="107"/>
  <c r="F112" i="107"/>
  <c r="E112" i="107"/>
  <c r="D112" i="107"/>
  <c r="C112" i="107"/>
  <c r="V111" i="107"/>
  <c r="U111" i="107"/>
  <c r="T111" i="107"/>
  <c r="S111" i="107"/>
  <c r="R111" i="107"/>
  <c r="Q111" i="107"/>
  <c r="P111" i="107"/>
  <c r="N111" i="107"/>
  <c r="M111" i="107"/>
  <c r="L111" i="107"/>
  <c r="K111" i="107"/>
  <c r="J111" i="107"/>
  <c r="I111" i="107"/>
  <c r="H111" i="107"/>
  <c r="G111" i="107"/>
  <c r="F111" i="107"/>
  <c r="E111" i="107"/>
  <c r="D111" i="107"/>
  <c r="C111" i="107"/>
  <c r="T106" i="107"/>
  <c r="V105" i="107"/>
  <c r="T105" i="107"/>
  <c r="R105" i="107" a="1"/>
  <c r="R105" i="107" s="1"/>
  <c r="M105" i="107"/>
  <c r="I105" i="107"/>
  <c r="V104" i="107"/>
  <c r="T104" i="107"/>
  <c r="R104" i="107" a="1"/>
  <c r="R104" i="107" s="1"/>
  <c r="M104" i="107"/>
  <c r="I104" i="107"/>
  <c r="B104" i="107"/>
  <c r="V103" i="107"/>
  <c r="T103" i="107"/>
  <c r="R103" i="107" a="1"/>
  <c r="R103" i="107" s="1"/>
  <c r="M103" i="107"/>
  <c r="I103" i="107"/>
  <c r="B103" i="107"/>
  <c r="V102" i="107"/>
  <c r="T102" i="107"/>
  <c r="R102" i="107" a="1"/>
  <c r="R102" i="107" s="1"/>
  <c r="M102" i="107"/>
  <c r="I102" i="107"/>
  <c r="B102" i="107"/>
  <c r="V101" i="107"/>
  <c r="T101" i="107"/>
  <c r="R101" i="107" a="1"/>
  <c r="R101" i="107" s="1"/>
  <c r="M101" i="107"/>
  <c r="I101" i="107"/>
  <c r="B101" i="107"/>
  <c r="V100" i="107"/>
  <c r="T100" i="107"/>
  <c r="R100" i="107" a="1"/>
  <c r="R100" i="107" s="1"/>
  <c r="M100" i="107"/>
  <c r="I100" i="107"/>
  <c r="B100" i="107"/>
  <c r="V99" i="107"/>
  <c r="T99" i="107"/>
  <c r="R99" i="107" a="1"/>
  <c r="R99" i="107" s="1"/>
  <c r="M99" i="107"/>
  <c r="I99" i="107"/>
  <c r="B99" i="107"/>
  <c r="T98" i="107"/>
  <c r="R98" i="107" a="1"/>
  <c r="R98" i="107" s="1"/>
  <c r="M98" i="107"/>
  <c r="I98" i="107"/>
  <c r="B98" i="107"/>
  <c r="V97" i="107"/>
  <c r="T97" i="107"/>
  <c r="R97" i="107" a="1"/>
  <c r="R97" i="107" s="1"/>
  <c r="M97" i="107"/>
  <c r="I97" i="107"/>
  <c r="B97" i="107"/>
  <c r="V96" i="107"/>
  <c r="T96" i="107"/>
  <c r="R96" i="107" a="1"/>
  <c r="R96" i="107" s="1"/>
  <c r="M96" i="107"/>
  <c r="I96" i="107"/>
  <c r="B96" i="107"/>
  <c r="T95" i="107"/>
  <c r="R95" i="107" a="1"/>
  <c r="R95" i="107" s="1"/>
  <c r="M95" i="107"/>
  <c r="I95" i="107"/>
  <c r="B95" i="107"/>
  <c r="V94" i="107"/>
  <c r="T94" i="107"/>
  <c r="R94" i="107" a="1"/>
  <c r="R94" i="107" s="1"/>
  <c r="M94" i="107"/>
  <c r="I94" i="107"/>
  <c r="B94" i="107"/>
  <c r="T93" i="107"/>
  <c r="R93" i="107" a="1"/>
  <c r="R93" i="107" s="1"/>
  <c r="M93" i="107"/>
  <c r="I93" i="107"/>
  <c r="B93" i="107"/>
  <c r="V92" i="107"/>
  <c r="T92" i="107"/>
  <c r="R92" i="107" a="1"/>
  <c r="R92" i="107" s="1"/>
  <c r="M92" i="107"/>
  <c r="I92" i="107"/>
  <c r="B92" i="107"/>
  <c r="T91" i="107"/>
  <c r="R91" i="107" a="1"/>
  <c r="R91" i="107" s="1"/>
  <c r="M91" i="107"/>
  <c r="I91" i="107"/>
  <c r="V87" i="107"/>
  <c r="M87" i="107"/>
  <c r="G87" i="107"/>
  <c r="C87" i="107" s="1"/>
  <c r="E87" i="107"/>
  <c r="E106" i="107" s="1"/>
  <c r="D87" i="107"/>
  <c r="D95" i="107" s="1"/>
  <c r="L86" i="107"/>
  <c r="S101" i="107" s="1"/>
  <c r="V84" i="107"/>
  <c r="V81" i="107"/>
  <c r="H79" i="107"/>
  <c r="U77" i="107"/>
  <c r="T77" i="107"/>
  <c r="L74" i="107"/>
  <c r="K74" i="107" a="1"/>
  <c r="K74" i="107" s="1"/>
  <c r="I74" i="107"/>
  <c r="L73" i="107"/>
  <c r="K73" i="107" a="1"/>
  <c r="K73" i="107" s="1"/>
  <c r="I73" i="107"/>
  <c r="L72" i="107"/>
  <c r="K72" i="107" a="1"/>
  <c r="K72" i="107" s="1"/>
  <c r="I72" i="107"/>
  <c r="B72" i="107"/>
  <c r="L71" i="107"/>
  <c r="K71" i="107" a="1"/>
  <c r="K71" i="107" s="1"/>
  <c r="I71" i="107"/>
  <c r="B71" i="107"/>
  <c r="L70" i="107"/>
  <c r="K70" i="107" a="1"/>
  <c r="K70" i="107" s="1"/>
  <c r="I70" i="107"/>
  <c r="B70" i="107"/>
  <c r="L69" i="107"/>
  <c r="K69" i="107" a="1"/>
  <c r="K69" i="107" s="1"/>
  <c r="I69" i="107"/>
  <c r="B69" i="107"/>
  <c r="L68" i="107"/>
  <c r="K68" i="107" a="1"/>
  <c r="K68" i="107" s="1"/>
  <c r="I68" i="107"/>
  <c r="B68" i="107"/>
  <c r="L67" i="107"/>
  <c r="K67" i="107" a="1"/>
  <c r="K67" i="107" s="1"/>
  <c r="I67" i="107"/>
  <c r="B67" i="107"/>
  <c r="K66" i="107" a="1"/>
  <c r="K66" i="107" s="1"/>
  <c r="I66" i="107"/>
  <c r="B66" i="107"/>
  <c r="K65" i="107" a="1"/>
  <c r="K65" i="107" s="1"/>
  <c r="I65" i="107"/>
  <c r="B65" i="107"/>
  <c r="L64" i="107"/>
  <c r="K64" i="107" a="1"/>
  <c r="K64" i="107" s="1"/>
  <c r="I64" i="107"/>
  <c r="B64" i="107"/>
  <c r="L63" i="107"/>
  <c r="K63" i="107" a="1"/>
  <c r="K63" i="107" s="1"/>
  <c r="I63" i="107"/>
  <c r="B63" i="107"/>
  <c r="L62" i="107"/>
  <c r="K62" i="107" a="1"/>
  <c r="K62" i="107" s="1"/>
  <c r="I62" i="107"/>
  <c r="B62" i="107"/>
  <c r="L61" i="107"/>
  <c r="K61" i="107" a="1"/>
  <c r="K61" i="107" s="1"/>
  <c r="I61" i="107"/>
  <c r="B61" i="107"/>
  <c r="L60" i="107"/>
  <c r="K60" i="107" a="1"/>
  <c r="K60" i="107" s="1"/>
  <c r="I60" i="107"/>
  <c r="B60" i="107"/>
  <c r="K59" i="107" a="1"/>
  <c r="K59" i="107" s="1"/>
  <c r="I59" i="107"/>
  <c r="K58" i="107" a="1"/>
  <c r="K58" i="107" s="1"/>
  <c r="I58" i="107"/>
  <c r="L57" i="107"/>
  <c r="K57" i="107" a="1"/>
  <c r="K57" i="107" s="1"/>
  <c r="I57" i="107"/>
  <c r="K56" i="107" a="1"/>
  <c r="K56" i="107" s="1"/>
  <c r="I56" i="107"/>
  <c r="K55" i="107" a="1"/>
  <c r="K55" i="107" s="1"/>
  <c r="I55" i="107"/>
  <c r="K54" i="107" a="1"/>
  <c r="K54" i="107" s="1"/>
  <c r="I54" i="107"/>
  <c r="K53" i="107" a="1"/>
  <c r="K53" i="107" s="1"/>
  <c r="I53" i="107"/>
  <c r="K52" i="107" a="1"/>
  <c r="K52" i="107" s="1"/>
  <c r="I52" i="107"/>
  <c r="K51" i="107" a="1"/>
  <c r="K51" i="107" s="1"/>
  <c r="I51" i="107"/>
  <c r="K50" i="107" a="1"/>
  <c r="K50" i="107" s="1"/>
  <c r="I50" i="107"/>
  <c r="K49" i="107" a="1"/>
  <c r="K49" i="107" s="1"/>
  <c r="I49" i="107"/>
  <c r="L48" i="107"/>
  <c r="K48" i="107" a="1"/>
  <c r="K48" i="107" s="1"/>
  <c r="I48" i="107"/>
  <c r="K47" i="107" a="1"/>
  <c r="K47" i="107" s="1"/>
  <c r="I47" i="107"/>
  <c r="L46" i="107"/>
  <c r="K46" i="107" a="1"/>
  <c r="K46" i="107" s="1"/>
  <c r="I46" i="107"/>
  <c r="K45" i="107" a="1"/>
  <c r="K45" i="107" s="1"/>
  <c r="I45" i="107"/>
  <c r="K44" i="107" a="1"/>
  <c r="K44" i="107" s="1"/>
  <c r="I44" i="107"/>
  <c r="K43" i="107" a="1"/>
  <c r="K43" i="107" s="1"/>
  <c r="I43" i="107"/>
  <c r="L42" i="107"/>
  <c r="K42" i="107" a="1"/>
  <c r="K42" i="107" s="1"/>
  <c r="I42" i="107"/>
  <c r="V39" i="107"/>
  <c r="U39" i="107"/>
  <c r="T39" i="107"/>
  <c r="S39" i="107"/>
  <c r="R39" i="107"/>
  <c r="Q39" i="107"/>
  <c r="P39" i="107"/>
  <c r="N39" i="107"/>
  <c r="M39" i="107"/>
  <c r="L39" i="107"/>
  <c r="K39" i="107"/>
  <c r="J39" i="107"/>
  <c r="I39" i="107"/>
  <c r="H39" i="107"/>
  <c r="G39" i="107"/>
  <c r="F39" i="107"/>
  <c r="E39" i="107"/>
  <c r="D39" i="107"/>
  <c r="C39" i="107"/>
  <c r="V38" i="107"/>
  <c r="U38" i="107"/>
  <c r="T38" i="107"/>
  <c r="S38" i="107"/>
  <c r="R38" i="107"/>
  <c r="Q38" i="107"/>
  <c r="P38" i="107"/>
  <c r="N38" i="107"/>
  <c r="M38" i="107"/>
  <c r="L38" i="107"/>
  <c r="K38" i="107"/>
  <c r="J38" i="107"/>
  <c r="I38" i="107"/>
  <c r="H38" i="107"/>
  <c r="G38" i="107"/>
  <c r="F38" i="107"/>
  <c r="E38" i="107"/>
  <c r="D38" i="107"/>
  <c r="C38" i="107"/>
  <c r="T33" i="107"/>
  <c r="V32" i="107"/>
  <c r="T32" i="107"/>
  <c r="R32" i="107" a="1"/>
  <c r="R32" i="107" s="1"/>
  <c r="M32" i="107"/>
  <c r="I32" i="107"/>
  <c r="V31" i="107"/>
  <c r="T31" i="107"/>
  <c r="R31" i="107" a="1"/>
  <c r="R31" i="107" s="1"/>
  <c r="M31" i="107"/>
  <c r="I31" i="107"/>
  <c r="B31" i="107"/>
  <c r="V30" i="107"/>
  <c r="T30" i="107"/>
  <c r="R30" i="107" a="1"/>
  <c r="R30" i="107" s="1"/>
  <c r="M30" i="107"/>
  <c r="I30" i="107"/>
  <c r="B30" i="107"/>
  <c r="V29" i="107"/>
  <c r="T29" i="107"/>
  <c r="R29" i="107" a="1"/>
  <c r="R29" i="107" s="1"/>
  <c r="M29" i="107"/>
  <c r="I29" i="107"/>
  <c r="B29" i="107"/>
  <c r="V28" i="107"/>
  <c r="T28" i="107"/>
  <c r="R28" i="107" a="1"/>
  <c r="R28" i="107" s="1"/>
  <c r="M28" i="107"/>
  <c r="I28" i="107"/>
  <c r="B28" i="107"/>
  <c r="V27" i="107"/>
  <c r="T27" i="107"/>
  <c r="R27" i="107" a="1"/>
  <c r="R27" i="107" s="1"/>
  <c r="M27" i="107"/>
  <c r="I27" i="107"/>
  <c r="B27" i="107"/>
  <c r="V26" i="107"/>
  <c r="T26" i="107"/>
  <c r="R26" i="107" a="1"/>
  <c r="R26" i="107" s="1"/>
  <c r="M26" i="107"/>
  <c r="I26" i="107"/>
  <c r="B26" i="107"/>
  <c r="V25" i="107"/>
  <c r="T25" i="107"/>
  <c r="R25" i="107" a="1"/>
  <c r="R25" i="107" s="1"/>
  <c r="M25" i="107"/>
  <c r="I25" i="107"/>
  <c r="B25" i="107"/>
  <c r="V24" i="107"/>
  <c r="T24" i="107"/>
  <c r="R24" i="107" a="1"/>
  <c r="R24" i="107" s="1"/>
  <c r="M24" i="107"/>
  <c r="I24" i="107"/>
  <c r="B24" i="107"/>
  <c r="V23" i="107"/>
  <c r="T23" i="107"/>
  <c r="R23" i="107" a="1"/>
  <c r="R23" i="107" s="1"/>
  <c r="M23" i="107"/>
  <c r="I23" i="107"/>
  <c r="B23" i="107"/>
  <c r="T22" i="107"/>
  <c r="R22" i="107" a="1"/>
  <c r="R22" i="107" s="1"/>
  <c r="M22" i="107"/>
  <c r="I22" i="107"/>
  <c r="B22" i="107"/>
  <c r="T21" i="107"/>
  <c r="R21" i="107" a="1"/>
  <c r="R21" i="107" s="1"/>
  <c r="M21" i="107"/>
  <c r="I21" i="107"/>
  <c r="B21" i="107"/>
  <c r="T20" i="107"/>
  <c r="R20" i="107" a="1"/>
  <c r="R20" i="107" s="1"/>
  <c r="M20" i="107"/>
  <c r="I20" i="107"/>
  <c r="B20" i="107"/>
  <c r="T19" i="107"/>
  <c r="R19" i="107" a="1"/>
  <c r="R19" i="107" s="1"/>
  <c r="M19" i="107"/>
  <c r="I19" i="107"/>
  <c r="B19" i="107"/>
  <c r="T18" i="107"/>
  <c r="R18" i="107" a="1"/>
  <c r="R18" i="107" s="1"/>
  <c r="M18" i="107"/>
  <c r="I18" i="107"/>
  <c r="V14" i="107"/>
  <c r="M14" i="107"/>
  <c r="F14" i="107" s="1"/>
  <c r="G14" i="107"/>
  <c r="C14" i="107" s="1"/>
  <c r="C29" i="107" s="1"/>
  <c r="E14" i="107"/>
  <c r="E55" i="107" s="1"/>
  <c r="D14" i="107"/>
  <c r="D20" i="107" s="1"/>
  <c r="L13" i="107"/>
  <c r="S31" i="107" s="1"/>
  <c r="V11" i="107"/>
  <c r="V8" i="107"/>
  <c r="C6" i="107"/>
  <c r="V2" i="107"/>
  <c r="U2" i="107"/>
  <c r="T2" i="107"/>
  <c r="S2" i="107"/>
  <c r="R2" i="107"/>
  <c r="Q2" i="107"/>
  <c r="P2" i="107"/>
  <c r="N2" i="107"/>
  <c r="M2" i="107"/>
  <c r="L2" i="107"/>
  <c r="K2" i="107"/>
  <c r="J2" i="107"/>
  <c r="I2" i="107"/>
  <c r="H2" i="107"/>
  <c r="G2" i="107"/>
  <c r="F2" i="107"/>
  <c r="E2" i="107"/>
  <c r="D2" i="107"/>
  <c r="C2" i="107"/>
  <c r="B2" i="107"/>
  <c r="V1" i="107"/>
  <c r="U1" i="107"/>
  <c r="T1" i="107"/>
  <c r="S1" i="107"/>
  <c r="R1" i="107"/>
  <c r="Q1" i="107"/>
  <c r="P1" i="107"/>
  <c r="N1" i="107"/>
  <c r="M1" i="107"/>
  <c r="L1" i="107"/>
  <c r="K1" i="107"/>
  <c r="J1" i="107"/>
  <c r="I1" i="107"/>
  <c r="H1" i="107"/>
  <c r="G1" i="107"/>
  <c r="F1" i="107"/>
  <c r="E1" i="107"/>
  <c r="D1" i="107"/>
  <c r="C1" i="107"/>
  <c r="B1" i="107"/>
  <c r="A1" i="107"/>
  <c r="Z360" i="107"/>
  <c r="Z412" i="107"/>
  <c r="Z411" i="107"/>
  <c r="Z410" i="107"/>
  <c r="N5" i="108" l="1"/>
  <c r="U32" i="107"/>
  <c r="U157" i="107"/>
  <c r="V157" i="107" s="1"/>
  <c r="U160" i="107"/>
  <c r="V160" i="107" s="1"/>
  <c r="U151" i="107"/>
  <c r="V151" i="107" s="1"/>
  <c r="S154" i="107"/>
  <c r="U152" i="107"/>
  <c r="V152" i="107" s="1"/>
  <c r="U155" i="107"/>
  <c r="V155" i="107" s="1"/>
  <c r="U158" i="107"/>
  <c r="V158" i="107" s="1"/>
  <c r="S157" i="107"/>
  <c r="E11" i="107"/>
  <c r="E51" i="107"/>
  <c r="F76" i="107"/>
  <c r="F66" i="107"/>
  <c r="F43" i="107"/>
  <c r="F51" i="107"/>
  <c r="C187" i="107"/>
  <c r="S102" i="107"/>
  <c r="C142" i="107"/>
  <c r="E142" i="107"/>
  <c r="S105" i="107"/>
  <c r="U100" i="107"/>
  <c r="C105" i="107"/>
  <c r="C86" i="107"/>
  <c r="C128" i="107"/>
  <c r="U27" i="107"/>
  <c r="S32" i="107"/>
  <c r="C66" i="107"/>
  <c r="S160" i="107"/>
  <c r="D51" i="107"/>
  <c r="D66" i="107"/>
  <c r="F35" i="107"/>
  <c r="F28" i="107"/>
  <c r="F26" i="107"/>
  <c r="E85" i="107"/>
  <c r="U159" i="107"/>
  <c r="V159" i="107" s="1"/>
  <c r="D28" i="107"/>
  <c r="D60" i="107"/>
  <c r="U95" i="107"/>
  <c r="V95" i="107" s="1"/>
  <c r="S159" i="107"/>
  <c r="F18" i="107"/>
  <c r="U162" i="107"/>
  <c r="E23" i="107"/>
  <c r="C11" i="107"/>
  <c r="S162" i="107"/>
  <c r="E18" i="107"/>
  <c r="D11" i="107"/>
  <c r="D73" i="107"/>
  <c r="U105" i="107"/>
  <c r="S151" i="107"/>
  <c r="U154" i="107"/>
  <c r="V154" i="107" s="1"/>
  <c r="E199" i="107"/>
  <c r="U103" i="107"/>
  <c r="E31" i="107"/>
  <c r="E66" i="107"/>
  <c r="K84" i="107"/>
  <c r="S155" i="107"/>
  <c r="E166" i="107"/>
  <c r="N3" i="108"/>
  <c r="U104" i="107"/>
  <c r="U153" i="107"/>
  <c r="V153" i="107" s="1"/>
  <c r="C183" i="107"/>
  <c r="U93" i="107"/>
  <c r="V93" i="107" s="1"/>
  <c r="S98" i="107"/>
  <c r="U96" i="107"/>
  <c r="S158" i="107"/>
  <c r="E20" i="107"/>
  <c r="D25" i="107"/>
  <c r="E64" i="107"/>
  <c r="U91" i="107"/>
  <c r="V91" i="107" s="1"/>
  <c r="U94" i="107"/>
  <c r="S104" i="107"/>
  <c r="C114" i="107"/>
  <c r="S153" i="107"/>
  <c r="U161" i="107"/>
  <c r="C31" i="107"/>
  <c r="O3" i="108"/>
  <c r="S96" i="107"/>
  <c r="F60" i="107"/>
  <c r="F64" i="107"/>
  <c r="S94" i="107"/>
  <c r="D114" i="107"/>
  <c r="U156" i="107"/>
  <c r="V156" i="107" s="1"/>
  <c r="S161" i="107"/>
  <c r="U98" i="107"/>
  <c r="V98" i="107" s="1"/>
  <c r="N4" i="108"/>
  <c r="F20" i="107"/>
  <c r="C23" i="107"/>
  <c r="E25" i="107"/>
  <c r="C17" i="107"/>
  <c r="D23" i="107"/>
  <c r="F25" i="107"/>
  <c r="U102" i="107"/>
  <c r="E114" i="107"/>
  <c r="S156" i="107"/>
  <c r="U30" i="107"/>
  <c r="C143" i="107"/>
  <c r="E187" i="107"/>
  <c r="C43" i="107"/>
  <c r="C47" i="107"/>
  <c r="C180" i="107"/>
  <c r="F11" i="107"/>
  <c r="U26" i="107"/>
  <c r="E33" i="107"/>
  <c r="D43" i="107"/>
  <c r="F57" i="107"/>
  <c r="S100" i="107"/>
  <c r="E113" i="107"/>
  <c r="D128" i="107"/>
  <c r="E146" i="107"/>
  <c r="E175" i="107"/>
  <c r="E180" i="107"/>
  <c r="E202" i="107"/>
  <c r="R516" i="107"/>
  <c r="N510" i="107" s="1"/>
  <c r="K11" i="107"/>
  <c r="C25" i="107"/>
  <c r="E43" i="107"/>
  <c r="D64" i="107"/>
  <c r="E124" i="107"/>
  <c r="E128" i="107"/>
  <c r="E184" i="107"/>
  <c r="S512" i="107"/>
  <c r="U31" i="107"/>
  <c r="F49" i="107"/>
  <c r="E58" i="107"/>
  <c r="F70" i="107"/>
  <c r="U92" i="107"/>
  <c r="S103" i="107"/>
  <c r="C148" i="107"/>
  <c r="E189" i="107"/>
  <c r="E153" i="107"/>
  <c r="C189" i="107"/>
  <c r="U19" i="107"/>
  <c r="V19" i="107" s="1"/>
  <c r="U21" i="107"/>
  <c r="V21" i="107" s="1"/>
  <c r="C54" i="107"/>
  <c r="F74" i="107"/>
  <c r="S92" i="107"/>
  <c r="U101" i="107"/>
  <c r="E151" i="107"/>
  <c r="C36" i="107"/>
  <c r="C170" i="107"/>
  <c r="S19" i="107"/>
  <c r="S21" i="107"/>
  <c r="U25" i="107"/>
  <c r="S27" i="107"/>
  <c r="U29" i="107"/>
  <c r="E54" i="107"/>
  <c r="C68" i="107"/>
  <c r="U99" i="107"/>
  <c r="C156" i="107"/>
  <c r="C173" i="107"/>
  <c r="E196" i="107"/>
  <c r="E29" i="107"/>
  <c r="E49" i="107"/>
  <c r="C58" i="107"/>
  <c r="E70" i="107"/>
  <c r="S25" i="107"/>
  <c r="C50" i="107"/>
  <c r="D68" i="107"/>
  <c r="F87" i="107"/>
  <c r="F102" i="107" s="1"/>
  <c r="S99" i="107"/>
  <c r="E156" i="107"/>
  <c r="E173" i="107"/>
  <c r="V505" i="107"/>
  <c r="D36" i="107"/>
  <c r="E160" i="107"/>
  <c r="D15" i="107"/>
  <c r="C46" i="107"/>
  <c r="E68" i="107"/>
  <c r="C21" i="107"/>
  <c r="F15" i="107"/>
  <c r="E46" i="107"/>
  <c r="F68" i="107"/>
  <c r="S97" i="107"/>
  <c r="E154" i="107"/>
  <c r="P510" i="107"/>
  <c r="N516" i="107" s="1"/>
  <c r="V10" i="107" a="1"/>
  <c r="V10" i="107" s="1"/>
  <c r="K171" i="107"/>
  <c r="K201" i="107" s="1"/>
  <c r="K114" i="107"/>
  <c r="K137" i="107" s="1"/>
  <c r="V83" i="107" a="1"/>
  <c r="V83" i="107" s="1"/>
  <c r="U97" i="107"/>
  <c r="R106" i="107"/>
  <c r="D107" i="107"/>
  <c r="C81" i="107"/>
  <c r="C93" i="107"/>
  <c r="C108" i="107"/>
  <c r="C97" i="107"/>
  <c r="C99" i="107"/>
  <c r="C89" i="107"/>
  <c r="C107" i="107"/>
  <c r="C101" i="107"/>
  <c r="C130" i="107"/>
  <c r="C123" i="107"/>
  <c r="C103" i="107"/>
  <c r="C138" i="107"/>
  <c r="C113" i="107"/>
  <c r="C98" i="107"/>
  <c r="C83" i="107"/>
  <c r="C125" i="107"/>
  <c r="C116" i="107"/>
  <c r="C92" i="107"/>
  <c r="C132" i="107"/>
  <c r="C104" i="107"/>
  <c r="C90" i="107"/>
  <c r="C135" i="107"/>
  <c r="C115" i="107"/>
  <c r="C129" i="107"/>
  <c r="C124" i="107"/>
  <c r="C106" i="107"/>
  <c r="C100" i="107"/>
  <c r="C131" i="107"/>
  <c r="C110" i="107"/>
  <c r="C84" i="107"/>
  <c r="C121" i="107"/>
  <c r="C96" i="107"/>
  <c r="C88" i="107"/>
  <c r="C118" i="107"/>
  <c r="C134" i="107"/>
  <c r="C117" i="107"/>
  <c r="C127" i="107"/>
  <c r="C120" i="107"/>
  <c r="C91" i="107"/>
  <c r="C85" i="107"/>
  <c r="C126" i="107"/>
  <c r="C94" i="107"/>
  <c r="C137" i="107"/>
  <c r="C133" i="107"/>
  <c r="C119" i="107"/>
  <c r="C82" i="107"/>
  <c r="C102" i="107"/>
  <c r="D98" i="107"/>
  <c r="D136" i="107"/>
  <c r="D100" i="107"/>
  <c r="D131" i="107"/>
  <c r="D129" i="107"/>
  <c r="D127" i="107"/>
  <c r="D125" i="107"/>
  <c r="D123" i="107"/>
  <c r="D121" i="107"/>
  <c r="D119" i="107"/>
  <c r="D117" i="107"/>
  <c r="D115" i="107"/>
  <c r="D102" i="107"/>
  <c r="D86" i="107"/>
  <c r="D83" i="107"/>
  <c r="D138" i="107"/>
  <c r="D113" i="107"/>
  <c r="D116" i="107"/>
  <c r="D92" i="107"/>
  <c r="D132" i="107"/>
  <c r="D108" i="107"/>
  <c r="D104" i="107"/>
  <c r="D90" i="107"/>
  <c r="D118" i="107"/>
  <c r="D124" i="107"/>
  <c r="D106" i="107"/>
  <c r="D110" i="107"/>
  <c r="D97" i="107"/>
  <c r="D103" i="107"/>
  <c r="D96" i="107"/>
  <c r="D88" i="107"/>
  <c r="D84" i="107"/>
  <c r="D134" i="107"/>
  <c r="D126" i="107"/>
  <c r="D93" i="107"/>
  <c r="D85" i="107"/>
  <c r="D89" i="107"/>
  <c r="D120" i="107"/>
  <c r="D99" i="107"/>
  <c r="D91" i="107"/>
  <c r="D133" i="107"/>
  <c r="D109" i="107"/>
  <c r="D130" i="107"/>
  <c r="D94" i="107"/>
  <c r="D82" i="107"/>
  <c r="D137" i="107"/>
  <c r="D122" i="107"/>
  <c r="E99" i="107"/>
  <c r="E89" i="107"/>
  <c r="E107" i="107"/>
  <c r="E101" i="107"/>
  <c r="E103" i="107"/>
  <c r="E88" i="107"/>
  <c r="E116" i="107"/>
  <c r="E98" i="107"/>
  <c r="E92" i="107"/>
  <c r="E83" i="107"/>
  <c r="E132" i="107"/>
  <c r="E125" i="107"/>
  <c r="E108" i="107"/>
  <c r="E104" i="107"/>
  <c r="E90" i="107"/>
  <c r="E118" i="107"/>
  <c r="E134" i="107"/>
  <c r="E127" i="107"/>
  <c r="E86" i="107"/>
  <c r="E129" i="107"/>
  <c r="E100" i="107"/>
  <c r="E96" i="107"/>
  <c r="E97" i="107"/>
  <c r="E138" i="107"/>
  <c r="E121" i="107"/>
  <c r="E131" i="107"/>
  <c r="E126" i="107"/>
  <c r="E93" i="107"/>
  <c r="E115" i="107"/>
  <c r="E110" i="107"/>
  <c r="E84" i="107"/>
  <c r="E120" i="107"/>
  <c r="E91" i="107"/>
  <c r="E130" i="107"/>
  <c r="E123" i="107"/>
  <c r="E105" i="107"/>
  <c r="E102" i="107"/>
  <c r="E122" i="107"/>
  <c r="E109" i="107"/>
  <c r="E136" i="107"/>
  <c r="E94" i="107"/>
  <c r="E82" i="107"/>
  <c r="E137" i="107"/>
  <c r="E133" i="107"/>
  <c r="E119" i="107"/>
  <c r="E95" i="107"/>
  <c r="V507" i="107"/>
  <c r="S513" i="107"/>
  <c r="C95" i="107"/>
  <c r="C109" i="107"/>
  <c r="D81" i="107"/>
  <c r="D101" i="107"/>
  <c r="D105" i="107"/>
  <c r="L43" i="107"/>
  <c r="L44" i="107" s="1"/>
  <c r="E81" i="107"/>
  <c r="D135" i="107"/>
  <c r="L173" i="107"/>
  <c r="L175" i="107" s="1"/>
  <c r="E117" i="107"/>
  <c r="C122" i="107"/>
  <c r="E135" i="107"/>
  <c r="C136" i="107"/>
  <c r="C165" i="107"/>
  <c r="C153" i="107"/>
  <c r="C201" i="107"/>
  <c r="C198" i="107"/>
  <c r="C194" i="107"/>
  <c r="C155" i="107"/>
  <c r="C150" i="107"/>
  <c r="C192" i="107"/>
  <c r="C164" i="107"/>
  <c r="C157" i="107"/>
  <c r="C144" i="107"/>
  <c r="C188" i="107"/>
  <c r="C186" i="107"/>
  <c r="C184" i="107"/>
  <c r="C182" i="107"/>
  <c r="C179" i="107"/>
  <c r="C172" i="107"/>
  <c r="C193" i="107"/>
  <c r="C191" i="107"/>
  <c r="C151" i="107"/>
  <c r="C195" i="107"/>
  <c r="C181" i="107"/>
  <c r="C174" i="107"/>
  <c r="C200" i="107"/>
  <c r="C167" i="107"/>
  <c r="C163" i="107"/>
  <c r="C152" i="107"/>
  <c r="C199" i="107"/>
  <c r="C196" i="107"/>
  <c r="C175" i="107"/>
  <c r="C166" i="107"/>
  <c r="C146" i="107"/>
  <c r="C177" i="107"/>
  <c r="C161" i="107"/>
  <c r="C141" i="107"/>
  <c r="C171" i="107"/>
  <c r="C158" i="107"/>
  <c r="C149" i="107"/>
  <c r="C185" i="107"/>
  <c r="C162" i="107"/>
  <c r="C145" i="107"/>
  <c r="C154" i="107"/>
  <c r="C197" i="107"/>
  <c r="C159" i="107"/>
  <c r="C160" i="107"/>
  <c r="C178" i="107"/>
  <c r="C190" i="107"/>
  <c r="C202" i="107"/>
  <c r="R163" i="107"/>
  <c r="K144" i="107"/>
  <c r="F147" i="107"/>
  <c r="C64" i="107"/>
  <c r="C26" i="107"/>
  <c r="C16" i="107"/>
  <c r="C75" i="107"/>
  <c r="C73" i="107"/>
  <c r="C62" i="107"/>
  <c r="C34" i="107"/>
  <c r="C28" i="107"/>
  <c r="C60" i="107"/>
  <c r="C30" i="107"/>
  <c r="C15" i="107"/>
  <c r="C45" i="107"/>
  <c r="C20" i="107"/>
  <c r="C74" i="107"/>
  <c r="C32" i="107"/>
  <c r="C13" i="107"/>
  <c r="C9" i="107"/>
  <c r="C57" i="107"/>
  <c r="C52" i="107"/>
  <c r="C27" i="107"/>
  <c r="C51" i="107"/>
  <c r="C22" i="107"/>
  <c r="C78" i="107"/>
  <c r="C33" i="107"/>
  <c r="C18" i="107"/>
  <c r="C71" i="107"/>
  <c r="C69" i="107"/>
  <c r="C65" i="107"/>
  <c r="C61" i="107"/>
  <c r="C12" i="107"/>
  <c r="C8" i="107"/>
  <c r="C77" i="107"/>
  <c r="C67" i="107"/>
  <c r="C63" i="107"/>
  <c r="C53" i="107"/>
  <c r="C59" i="107"/>
  <c r="C56" i="107"/>
  <c r="C48" i="107"/>
  <c r="C42" i="107"/>
  <c r="C37" i="107"/>
  <c r="C40" i="107"/>
  <c r="D27" i="107"/>
  <c r="D78" i="107"/>
  <c r="D71" i="107"/>
  <c r="D58" i="107"/>
  <c r="D56" i="107"/>
  <c r="D54" i="107"/>
  <c r="D52" i="107"/>
  <c r="D50" i="107"/>
  <c r="D48" i="107"/>
  <c r="D46" i="107"/>
  <c r="D44" i="107"/>
  <c r="D42" i="107"/>
  <c r="D29" i="107"/>
  <c r="D13" i="107"/>
  <c r="D10" i="107"/>
  <c r="D69" i="107"/>
  <c r="D31" i="107"/>
  <c r="D74" i="107"/>
  <c r="D32" i="107"/>
  <c r="D9" i="107"/>
  <c r="D57" i="107"/>
  <c r="D47" i="107"/>
  <c r="D21" i="107"/>
  <c r="D16" i="107"/>
  <c r="D33" i="107"/>
  <c r="D18" i="107"/>
  <c r="D61" i="107"/>
  <c r="D12" i="107"/>
  <c r="D8" i="107"/>
  <c r="D53" i="107"/>
  <c r="D59" i="107"/>
  <c r="D37" i="107"/>
  <c r="D26" i="107"/>
  <c r="D77" i="107"/>
  <c r="D67" i="107"/>
  <c r="D63" i="107"/>
  <c r="D19" i="107"/>
  <c r="D17" i="107"/>
  <c r="D45" i="107"/>
  <c r="D30" i="107"/>
  <c r="D22" i="107"/>
  <c r="D65" i="107"/>
  <c r="D40" i="107"/>
  <c r="C44" i="107"/>
  <c r="D55" i="107"/>
  <c r="E44" i="107"/>
  <c r="D62" i="107"/>
  <c r="D75" i="107"/>
  <c r="V509" i="107"/>
  <c r="E75" i="107"/>
  <c r="E73" i="107"/>
  <c r="E62" i="107"/>
  <c r="E34" i="107"/>
  <c r="E28" i="107"/>
  <c r="E60" i="107"/>
  <c r="E30" i="107"/>
  <c r="E15" i="107"/>
  <c r="E37" i="107"/>
  <c r="E57" i="107"/>
  <c r="E13" i="107"/>
  <c r="E52" i="107"/>
  <c r="E47" i="107"/>
  <c r="E27" i="107"/>
  <c r="E21" i="107"/>
  <c r="E16" i="107"/>
  <c r="E77" i="107"/>
  <c r="E42" i="107"/>
  <c r="E12" i="107"/>
  <c r="E78" i="107"/>
  <c r="E74" i="107"/>
  <c r="E59" i="107"/>
  <c r="E26" i="107"/>
  <c r="E19" i="107"/>
  <c r="E17" i="107"/>
  <c r="E56" i="107"/>
  <c r="E48" i="107"/>
  <c r="E45" i="107"/>
  <c r="E22" i="107"/>
  <c r="E50" i="107"/>
  <c r="E65" i="107"/>
  <c r="E61" i="107"/>
  <c r="E8" i="107"/>
  <c r="E71" i="107"/>
  <c r="E69" i="107"/>
  <c r="E67" i="107"/>
  <c r="E63" i="107"/>
  <c r="E53" i="107"/>
  <c r="E36" i="107"/>
  <c r="E41" i="107"/>
  <c r="D34" i="107"/>
  <c r="E40" i="107"/>
  <c r="E9" i="107"/>
  <c r="C10" i="107"/>
  <c r="U22" i="107"/>
  <c r="V22" i="107" s="1"/>
  <c r="E24" i="107"/>
  <c r="U28" i="107"/>
  <c r="D35" i="107"/>
  <c r="D41" i="107"/>
  <c r="C49" i="107"/>
  <c r="C70" i="107"/>
  <c r="E72" i="107"/>
  <c r="D76" i="107"/>
  <c r="L117" i="107"/>
  <c r="E201" i="107"/>
  <c r="E198" i="107"/>
  <c r="E194" i="107"/>
  <c r="E155" i="107"/>
  <c r="E150" i="107"/>
  <c r="E192" i="107"/>
  <c r="E164" i="107"/>
  <c r="E157" i="107"/>
  <c r="E144" i="107"/>
  <c r="E200" i="107"/>
  <c r="E190" i="107"/>
  <c r="E159" i="107"/>
  <c r="E149" i="107"/>
  <c r="E195" i="107"/>
  <c r="E186" i="107"/>
  <c r="E181" i="107"/>
  <c r="E174" i="107"/>
  <c r="E167" i="107"/>
  <c r="E163" i="107"/>
  <c r="E152" i="107"/>
  <c r="E143" i="107"/>
  <c r="E197" i="107"/>
  <c r="E188" i="107"/>
  <c r="E183" i="107"/>
  <c r="E176" i="107"/>
  <c r="E171" i="107"/>
  <c r="E158" i="107"/>
  <c r="E191" i="107"/>
  <c r="E172" i="107"/>
  <c r="E141" i="107"/>
  <c r="E148" i="107"/>
  <c r="E177" i="107"/>
  <c r="E179" i="107"/>
  <c r="E193" i="107"/>
  <c r="E185" i="107"/>
  <c r="E165" i="107"/>
  <c r="E162" i="107"/>
  <c r="E145" i="107"/>
  <c r="E182" i="107"/>
  <c r="E170" i="107"/>
  <c r="S20" i="107"/>
  <c r="S22" i="107"/>
  <c r="S24" i="107"/>
  <c r="S23" i="107"/>
  <c r="S30" i="107"/>
  <c r="S18" i="107"/>
  <c r="S28" i="107"/>
  <c r="S29" i="107"/>
  <c r="U18" i="107"/>
  <c r="R33" i="107"/>
  <c r="U23" i="107"/>
  <c r="C55" i="107"/>
  <c r="F78" i="107"/>
  <c r="F71" i="107"/>
  <c r="F58" i="107"/>
  <c r="F56" i="107"/>
  <c r="F54" i="107"/>
  <c r="F52" i="107"/>
  <c r="F50" i="107"/>
  <c r="F48" i="107"/>
  <c r="F46" i="107"/>
  <c r="F44" i="107"/>
  <c r="F42" i="107"/>
  <c r="F29" i="107"/>
  <c r="F13" i="107"/>
  <c r="F10" i="107"/>
  <c r="F69" i="107"/>
  <c r="F31" i="107"/>
  <c r="F67" i="107"/>
  <c r="F65" i="107"/>
  <c r="F32" i="107"/>
  <c r="F12" i="107"/>
  <c r="F9" i="107"/>
  <c r="F47" i="107"/>
  <c r="F27" i="107"/>
  <c r="F21" i="107"/>
  <c r="F16" i="107"/>
  <c r="F77" i="107"/>
  <c r="F59" i="107"/>
  <c r="F37" i="107"/>
  <c r="F33" i="107"/>
  <c r="F45" i="107"/>
  <c r="F22" i="107"/>
  <c r="F61" i="107"/>
  <c r="F30" i="107"/>
  <c r="F8" i="107"/>
  <c r="F23" i="107"/>
  <c r="F73" i="107"/>
  <c r="F63" i="107"/>
  <c r="F53" i="107"/>
  <c r="F19" i="107"/>
  <c r="F17" i="107"/>
  <c r="F41" i="107"/>
  <c r="F36" i="107"/>
  <c r="U20" i="107"/>
  <c r="V20" i="107" s="1"/>
  <c r="C24" i="107"/>
  <c r="S26" i="107"/>
  <c r="F34" i="107"/>
  <c r="F40" i="107"/>
  <c r="F55" i="107"/>
  <c r="F62" i="107"/>
  <c r="C72" i="107"/>
  <c r="F75" i="107"/>
  <c r="C19" i="107"/>
  <c r="D24" i="107"/>
  <c r="C35" i="107"/>
  <c r="C41" i="107"/>
  <c r="D72" i="107"/>
  <c r="C76" i="107"/>
  <c r="V143" i="107" a="1"/>
  <c r="V143" i="107" s="1"/>
  <c r="E10" i="107"/>
  <c r="F24" i="107"/>
  <c r="E32" i="107"/>
  <c r="E35" i="107"/>
  <c r="D49" i="107"/>
  <c r="D70" i="107"/>
  <c r="F72" i="107"/>
  <c r="E76" i="107"/>
  <c r="E178" i="107"/>
  <c r="U24" i="107"/>
  <c r="K41" i="107"/>
  <c r="K77" i="107" s="1"/>
  <c r="S515" i="107"/>
  <c r="V511" i="107"/>
  <c r="S91" i="107"/>
  <c r="S93" i="107"/>
  <c r="S95" i="107"/>
  <c r="F99" i="107" l="1"/>
  <c r="F115" i="107"/>
  <c r="F116" i="107"/>
  <c r="F121" i="107"/>
  <c r="F129" i="107"/>
  <c r="F105" i="107"/>
  <c r="F107" i="107"/>
  <c r="F118" i="107"/>
  <c r="F136" i="107"/>
  <c r="F82" i="107"/>
  <c r="F93" i="107"/>
  <c r="F134" i="107"/>
  <c r="U163" i="107"/>
  <c r="F97" i="107"/>
  <c r="F137" i="107"/>
  <c r="U106" i="107"/>
  <c r="F94" i="107"/>
  <c r="F108" i="107"/>
  <c r="F132" i="107"/>
  <c r="F84" i="107"/>
  <c r="F95" i="107"/>
  <c r="F110" i="107"/>
  <c r="F120" i="107"/>
  <c r="F123" i="107"/>
  <c r="F125" i="107"/>
  <c r="F131" i="107"/>
  <c r="F92" i="107"/>
  <c r="F86" i="107"/>
  <c r="F117" i="107"/>
  <c r="F119" i="107"/>
  <c r="F127" i="107"/>
  <c r="F90" i="107"/>
  <c r="F89" i="107"/>
  <c r="F126" i="107"/>
  <c r="F138" i="107"/>
  <c r="F100" i="107"/>
  <c r="F109" i="107"/>
  <c r="F104" i="107"/>
  <c r="F133" i="107"/>
  <c r="F135" i="107"/>
  <c r="F88" i="107"/>
  <c r="F83" i="107"/>
  <c r="F130" i="107"/>
  <c r="F103" i="107"/>
  <c r="S516" i="107"/>
  <c r="F122" i="107"/>
  <c r="F114" i="107"/>
  <c r="F101" i="107"/>
  <c r="F85" i="107"/>
  <c r="F106" i="107"/>
  <c r="F128" i="107"/>
  <c r="F124" i="107"/>
  <c r="F113" i="107"/>
  <c r="F96" i="107"/>
  <c r="F98" i="107"/>
  <c r="F81" i="107"/>
  <c r="F91" i="107"/>
  <c r="L176" i="107"/>
  <c r="L177" i="107" s="1"/>
  <c r="V18" i="107"/>
  <c r="U33" i="107"/>
  <c r="L119" i="107"/>
  <c r="F156" i="107"/>
  <c r="F141" i="107"/>
  <c r="F188" i="107"/>
  <c r="F186" i="107"/>
  <c r="F184" i="107"/>
  <c r="F182" i="107"/>
  <c r="F180" i="107"/>
  <c r="F178" i="107"/>
  <c r="F176" i="107"/>
  <c r="F174" i="107"/>
  <c r="F172" i="107"/>
  <c r="F158" i="107"/>
  <c r="F160" i="107"/>
  <c r="F201" i="107"/>
  <c r="F167" i="107"/>
  <c r="F163" i="107"/>
  <c r="F157" i="107"/>
  <c r="F152" i="107"/>
  <c r="F197" i="107"/>
  <c r="F200" i="107"/>
  <c r="F183" i="107"/>
  <c r="F171" i="107"/>
  <c r="F150" i="107"/>
  <c r="F143" i="107"/>
  <c r="F153" i="107"/>
  <c r="F177" i="107"/>
  <c r="F149" i="107"/>
  <c r="F164" i="107"/>
  <c r="F193" i="107"/>
  <c r="F185" i="107"/>
  <c r="F165" i="107"/>
  <c r="F162" i="107"/>
  <c r="F198" i="107"/>
  <c r="F190" i="107"/>
  <c r="F159" i="107"/>
  <c r="F145" i="107"/>
  <c r="F170" i="107"/>
  <c r="F155" i="107"/>
  <c r="F148" i="107"/>
  <c r="F179" i="107"/>
  <c r="F195" i="107"/>
  <c r="F191" i="107"/>
  <c r="F146" i="107"/>
  <c r="F202" i="107"/>
  <c r="F194" i="107"/>
  <c r="F181" i="107"/>
  <c r="F196" i="107"/>
  <c r="F187" i="107"/>
  <c r="F166" i="107"/>
  <c r="F173" i="107"/>
  <c r="F144" i="107"/>
  <c r="F199" i="107"/>
  <c r="F161" i="107"/>
  <c r="F192" i="107"/>
  <c r="F175" i="107"/>
  <c r="F189" i="107"/>
  <c r="F151" i="107"/>
  <c r="F154" i="107"/>
  <c r="F142" i="107"/>
  <c r="Q104" i="107"/>
  <c r="P103" i="107"/>
  <c r="Q105" i="107"/>
  <c r="Q92" i="107"/>
  <c r="P91" i="107"/>
  <c r="P99" i="107"/>
  <c r="P105" i="107"/>
  <c r="Q94" i="107"/>
  <c r="Q100" i="107"/>
  <c r="P94" i="107"/>
  <c r="I86" i="107"/>
  <c r="K86" i="107" s="1" a="1"/>
  <c r="K86" i="107" s="1"/>
  <c r="P100" i="107"/>
  <c r="Q95" i="107"/>
  <c r="Q93" i="107"/>
  <c r="P98" i="107"/>
  <c r="P93" i="107"/>
  <c r="Q101" i="107"/>
  <c r="P104" i="107"/>
  <c r="P101" i="107"/>
  <c r="Q98" i="107"/>
  <c r="Q97" i="107"/>
  <c r="Q102" i="107"/>
  <c r="P102" i="107"/>
  <c r="P97" i="107"/>
  <c r="P95" i="107"/>
  <c r="P92" i="107"/>
  <c r="Q91" i="107"/>
  <c r="Q103" i="107"/>
  <c r="Q99" i="107"/>
  <c r="P96" i="107"/>
  <c r="Q96" i="107"/>
  <c r="Q160" i="107"/>
  <c r="P159" i="107"/>
  <c r="Q162" i="107"/>
  <c r="P161" i="107"/>
  <c r="P158" i="107"/>
  <c r="P153" i="107"/>
  <c r="P154" i="107"/>
  <c r="Q159" i="107"/>
  <c r="Q154" i="107"/>
  <c r="I146" i="107"/>
  <c r="G145" i="107" s="1"/>
  <c r="P155" i="107"/>
  <c r="Q152" i="107"/>
  <c r="Q156" i="107"/>
  <c r="P152" i="107"/>
  <c r="Q153" i="107"/>
  <c r="P156" i="107"/>
  <c r="Q157" i="107"/>
  <c r="P157" i="107"/>
  <c r="P162" i="107"/>
  <c r="P160" i="107"/>
  <c r="Q151" i="107"/>
  <c r="Q155" i="107"/>
  <c r="P151" i="107"/>
  <c r="Q158" i="107"/>
  <c r="Q161" i="107"/>
  <c r="L45" i="107"/>
  <c r="L47" i="107" s="1"/>
  <c r="Q32" i="107"/>
  <c r="Q19" i="107"/>
  <c r="P18" i="107"/>
  <c r="Q21" i="107"/>
  <c r="P20" i="107"/>
  <c r="P28" i="107"/>
  <c r="P22" i="107"/>
  <c r="Q29" i="107"/>
  <c r="Q23" i="107"/>
  <c r="Q27" i="107"/>
  <c r="P23" i="107"/>
  <c r="Q24" i="107"/>
  <c r="Q20" i="107"/>
  <c r="Q31" i="107"/>
  <c r="P27" i="107"/>
  <c r="I13" i="107"/>
  <c r="K13" i="107" s="1" a="1"/>
  <c r="K13" i="107" s="1"/>
  <c r="P31" i="107"/>
  <c r="P30" i="107"/>
  <c r="Q28" i="107"/>
  <c r="P25" i="107"/>
  <c r="Q22" i="107"/>
  <c r="P26" i="107"/>
  <c r="Q18" i="107"/>
  <c r="Q25" i="107"/>
  <c r="Q26" i="107"/>
  <c r="Q30" i="107"/>
  <c r="P32" i="107"/>
  <c r="P24" i="107"/>
  <c r="P29" i="107"/>
  <c r="P21" i="107"/>
  <c r="P19" i="107"/>
  <c r="L178" i="107" l="1"/>
  <c r="L179" i="107" s="1"/>
  <c r="L182" i="107" s="1"/>
  <c r="L120" i="107"/>
  <c r="L122" i="107" s="1"/>
  <c r="L123" i="107" s="1"/>
  <c r="L49" i="107"/>
  <c r="D147" i="107"/>
  <c r="K146" i="107" a="1"/>
  <c r="K146" i="107" s="1"/>
  <c r="L124" i="107" l="1"/>
  <c r="D196" i="107"/>
  <c r="D154" i="107"/>
  <c r="D156" i="107"/>
  <c r="D141" i="107"/>
  <c r="D188" i="107"/>
  <c r="D186" i="107"/>
  <c r="D184" i="107"/>
  <c r="D182" i="107"/>
  <c r="D180" i="107"/>
  <c r="D178" i="107"/>
  <c r="D176" i="107"/>
  <c r="D174" i="107"/>
  <c r="D172" i="107"/>
  <c r="D158" i="107"/>
  <c r="D200" i="107"/>
  <c r="D190" i="107"/>
  <c r="D193" i="107"/>
  <c r="D191" i="107"/>
  <c r="D151" i="107"/>
  <c r="D201" i="107"/>
  <c r="D195" i="107"/>
  <c r="D181" i="107"/>
  <c r="D157" i="107"/>
  <c r="D167" i="107"/>
  <c r="D163" i="107"/>
  <c r="D152" i="107"/>
  <c r="D197" i="107"/>
  <c r="D150" i="107"/>
  <c r="D161" i="107"/>
  <c r="D162" i="107"/>
  <c r="D155" i="107"/>
  <c r="D145" i="107"/>
  <c r="D171" i="107"/>
  <c r="D149" i="107"/>
  <c r="D170" i="107"/>
  <c r="D164" i="107"/>
  <c r="D148" i="107"/>
  <c r="D177" i="107"/>
  <c r="D185" i="107"/>
  <c r="D165" i="107"/>
  <c r="D175" i="107"/>
  <c r="D187" i="107"/>
  <c r="D159" i="107"/>
  <c r="D194" i="107"/>
  <c r="D202" i="107"/>
  <c r="D166" i="107"/>
  <c r="D153" i="107"/>
  <c r="D144" i="107"/>
  <c r="D146" i="107"/>
  <c r="D160" i="107"/>
  <c r="D199" i="107"/>
  <c r="D173" i="107"/>
  <c r="D198" i="107"/>
  <c r="D143" i="107"/>
  <c r="D189" i="107"/>
  <c r="D183" i="107"/>
  <c r="D179" i="107"/>
  <c r="D142" i="107"/>
  <c r="D192" i="107"/>
  <c r="L50" i="107"/>
  <c r="L51" i="107" l="1"/>
  <c r="L125" i="107"/>
  <c r="L128" i="107" s="1"/>
  <c r="L129" i="107" s="1"/>
  <c r="L52" i="107" l="1"/>
  <c r="L130" i="107"/>
  <c r="L53" i="107" l="1"/>
  <c r="L54" i="107" s="1"/>
  <c r="L55" i="107" s="1"/>
  <c r="L56" i="107" s="1"/>
  <c r="S8" i="72" l="1"/>
  <c r="Q294" i="105" l="1"/>
  <c r="O294" i="105"/>
  <c r="M10" i="105" s="1"/>
  <c r="B119" i="105"/>
  <c r="B118" i="105"/>
  <c r="B117" i="105"/>
  <c r="A117" i="105"/>
  <c r="C107" i="105"/>
  <c r="A103" i="105"/>
  <c r="B64" i="105" s="1"/>
  <c r="B73" i="105"/>
  <c r="A71" i="105"/>
  <c r="B70" i="105"/>
  <c r="B62" i="105"/>
  <c r="A58" i="105"/>
  <c r="B58" i="105" s="1"/>
  <c r="P6" i="105"/>
  <c r="P5" i="105"/>
  <c r="Q2" i="105"/>
  <c r="N2" i="105"/>
  <c r="M2" i="105"/>
  <c r="L2" i="105"/>
  <c r="K2" i="105"/>
  <c r="J2" i="105"/>
  <c r="I2" i="105"/>
  <c r="H2" i="105"/>
  <c r="G2" i="105"/>
  <c r="F2" i="105"/>
  <c r="E2" i="105"/>
  <c r="D2" i="105"/>
  <c r="C2" i="105"/>
  <c r="B2" i="105"/>
  <c r="N1" i="105"/>
  <c r="M1" i="105"/>
  <c r="L1" i="105"/>
  <c r="K1" i="105"/>
  <c r="J1" i="105"/>
  <c r="I1" i="105"/>
  <c r="H1" i="105"/>
  <c r="G1" i="105"/>
  <c r="F1" i="105"/>
  <c r="E1" i="105"/>
  <c r="D1" i="105"/>
  <c r="C1" i="105"/>
  <c r="B1" i="105"/>
  <c r="A1" i="105"/>
  <c r="V300" i="104"/>
  <c r="T300" i="104"/>
  <c r="R7" i="104" s="1"/>
  <c r="M296" i="104"/>
  <c r="M294" i="104"/>
  <c r="M295" i="104" s="1"/>
  <c r="M290" i="104"/>
  <c r="M288" i="104"/>
  <c r="M289" i="104" s="1"/>
  <c r="M284" i="104"/>
  <c r="M282" i="104"/>
  <c r="M283" i="104" s="1"/>
  <c r="M278" i="104"/>
  <c r="M276" i="104"/>
  <c r="M277" i="104" s="1"/>
  <c r="M272" i="104"/>
  <c r="M270" i="104"/>
  <c r="M271" i="104" s="1"/>
  <c r="M266" i="104"/>
  <c r="M264" i="104"/>
  <c r="M265" i="104" s="1"/>
  <c r="M260" i="104"/>
  <c r="M258" i="104"/>
  <c r="M259" i="104" s="1"/>
  <c r="M254" i="104"/>
  <c r="M252" i="104"/>
  <c r="M253" i="104" s="1"/>
  <c r="M248" i="104"/>
  <c r="M246" i="104"/>
  <c r="M247" i="104" s="1"/>
  <c r="M242" i="104"/>
  <c r="M240" i="104"/>
  <c r="M241" i="104" s="1"/>
  <c r="M236" i="104"/>
  <c r="M234" i="104"/>
  <c r="M235" i="104" s="1"/>
  <c r="M230" i="104"/>
  <c r="M228" i="104"/>
  <c r="M229" i="104" s="1"/>
  <c r="M224" i="104"/>
  <c r="M222" i="104"/>
  <c r="M223" i="104" s="1"/>
  <c r="M218" i="104"/>
  <c r="M216" i="104"/>
  <c r="M217" i="104" s="1"/>
  <c r="M212" i="104"/>
  <c r="M210" i="104"/>
  <c r="M211" i="104" s="1"/>
  <c r="M206" i="104"/>
  <c r="M204" i="104"/>
  <c r="M205" i="104" s="1"/>
  <c r="M200" i="104"/>
  <c r="M198" i="104"/>
  <c r="M199" i="104" s="1"/>
  <c r="M194" i="104"/>
  <c r="M192" i="104"/>
  <c r="M193" i="104" s="1"/>
  <c r="M188" i="104"/>
  <c r="M186" i="104"/>
  <c r="M187" i="104" s="1"/>
  <c r="M182" i="104"/>
  <c r="M180" i="104"/>
  <c r="M181" i="104" s="1"/>
  <c r="M176" i="104"/>
  <c r="M174" i="104"/>
  <c r="M175" i="104" s="1"/>
  <c r="M170" i="104"/>
  <c r="M168" i="104"/>
  <c r="M169" i="104" s="1"/>
  <c r="M164" i="104"/>
  <c r="M162" i="104"/>
  <c r="M163" i="104" s="1"/>
  <c r="M158" i="104"/>
  <c r="M156" i="104"/>
  <c r="M157" i="104" s="1"/>
  <c r="M152" i="104"/>
  <c r="M150" i="104"/>
  <c r="M151" i="104" s="1"/>
  <c r="M146" i="104"/>
  <c r="M144" i="104"/>
  <c r="M145" i="104" s="1"/>
  <c r="M140" i="104"/>
  <c r="M138" i="104"/>
  <c r="M139" i="104" s="1"/>
  <c r="M134" i="104"/>
  <c r="M132" i="104"/>
  <c r="M133" i="104" s="1"/>
  <c r="M128" i="104"/>
  <c r="M126" i="104"/>
  <c r="M127" i="104" s="1"/>
  <c r="M122" i="104"/>
  <c r="M120" i="104"/>
  <c r="M121" i="104" s="1"/>
  <c r="M116" i="104"/>
  <c r="M114" i="104"/>
  <c r="M115" i="104" s="1"/>
  <c r="M110" i="104"/>
  <c r="M108" i="104"/>
  <c r="M109" i="104" s="1"/>
  <c r="M104" i="104"/>
  <c r="M102" i="104"/>
  <c r="M103" i="104" s="1"/>
  <c r="M98" i="104"/>
  <c r="M96" i="104"/>
  <c r="M97" i="104" s="1"/>
  <c r="M92" i="104"/>
  <c r="M90" i="104"/>
  <c r="M91" i="104" s="1"/>
  <c r="M86" i="104"/>
  <c r="M84" i="104"/>
  <c r="M85" i="104" s="1"/>
  <c r="M80" i="104"/>
  <c r="M78" i="104"/>
  <c r="M79" i="104" s="1"/>
  <c r="E76" i="104"/>
  <c r="E75" i="104" s="1"/>
  <c r="D76" i="104"/>
  <c r="C76" i="104"/>
  <c r="B76" i="104"/>
  <c r="P74" i="104"/>
  <c r="M74" i="104"/>
  <c r="F74" i="104"/>
  <c r="P294" i="104" s="1"/>
  <c r="D74" i="104"/>
  <c r="C74" i="104"/>
  <c r="P73" i="104"/>
  <c r="F73" i="104"/>
  <c r="P288" i="104" s="1"/>
  <c r="D73" i="104"/>
  <c r="R73" i="104" s="1"/>
  <c r="C73" i="104"/>
  <c r="M72" i="104"/>
  <c r="M73" i="104" s="1"/>
  <c r="F72" i="104"/>
  <c r="P282" i="104" s="1"/>
  <c r="D72" i="104"/>
  <c r="R72" i="104" s="1"/>
  <c r="C72" i="104"/>
  <c r="P71" i="104"/>
  <c r="F71" i="104"/>
  <c r="P276" i="104" s="1"/>
  <c r="D71" i="104"/>
  <c r="C71" i="104"/>
  <c r="P70" i="104"/>
  <c r="F70" i="104"/>
  <c r="P270" i="104" s="1"/>
  <c r="D70" i="104"/>
  <c r="R70" i="104" s="1"/>
  <c r="C70" i="104"/>
  <c r="P69" i="104"/>
  <c r="F69" i="104"/>
  <c r="P264" i="104" s="1"/>
  <c r="D69" i="104"/>
  <c r="Q69" i="104" s="1"/>
  <c r="C69" i="104"/>
  <c r="P68" i="104"/>
  <c r="M68" i="104"/>
  <c r="F68" i="104"/>
  <c r="P258" i="104" s="1"/>
  <c r="D68" i="104"/>
  <c r="C68" i="104"/>
  <c r="P67" i="104"/>
  <c r="F67" i="104"/>
  <c r="P252" i="104" s="1"/>
  <c r="D67" i="104"/>
  <c r="C67" i="104"/>
  <c r="M66" i="104"/>
  <c r="M67" i="104" s="1"/>
  <c r="F66" i="104"/>
  <c r="P246" i="104" s="1"/>
  <c r="D66" i="104"/>
  <c r="R66" i="104" s="1"/>
  <c r="C66" i="104"/>
  <c r="P65" i="104"/>
  <c r="F65" i="104"/>
  <c r="P240" i="104" s="1"/>
  <c r="D65" i="104"/>
  <c r="R65" i="104" s="1"/>
  <c r="C65" i="104"/>
  <c r="P64" i="104"/>
  <c r="F64" i="104"/>
  <c r="P234" i="104" s="1"/>
  <c r="D64" i="104"/>
  <c r="Q64" i="104" s="1"/>
  <c r="C64" i="104"/>
  <c r="P63" i="104"/>
  <c r="F63" i="104"/>
  <c r="P228" i="104" s="1"/>
  <c r="D63" i="104"/>
  <c r="R63" i="104" s="1"/>
  <c r="C63" i="104"/>
  <c r="P62" i="104"/>
  <c r="M62" i="104"/>
  <c r="F62" i="104"/>
  <c r="P222" i="104" s="1"/>
  <c r="D62" i="104"/>
  <c r="C62" i="104"/>
  <c r="P61" i="104"/>
  <c r="F61" i="104"/>
  <c r="P216" i="104" s="1"/>
  <c r="D61" i="104"/>
  <c r="C61" i="104"/>
  <c r="M60" i="104"/>
  <c r="M61" i="104" s="1"/>
  <c r="F60" i="104"/>
  <c r="P210" i="104" s="1"/>
  <c r="D60" i="104"/>
  <c r="R60" i="104" s="1"/>
  <c r="C60" i="104"/>
  <c r="P59" i="104"/>
  <c r="F59" i="104"/>
  <c r="P204" i="104" s="1"/>
  <c r="D59" i="104"/>
  <c r="R59" i="104" s="1"/>
  <c r="C59" i="104"/>
  <c r="P58" i="104"/>
  <c r="F58" i="104"/>
  <c r="P198" i="104" s="1"/>
  <c r="D58" i="104"/>
  <c r="C58" i="104"/>
  <c r="P57" i="104"/>
  <c r="F57" i="104"/>
  <c r="P192" i="104" s="1"/>
  <c r="D57" i="104"/>
  <c r="C57" i="104"/>
  <c r="P56" i="104"/>
  <c r="M56" i="104"/>
  <c r="F56" i="104"/>
  <c r="P186" i="104" s="1"/>
  <c r="D56" i="104"/>
  <c r="R56" i="104" s="1"/>
  <c r="C56" i="104"/>
  <c r="P55" i="104"/>
  <c r="F55" i="104"/>
  <c r="P180" i="104" s="1"/>
  <c r="D55" i="104"/>
  <c r="R55" i="104" s="1"/>
  <c r="C55" i="104"/>
  <c r="M54" i="104"/>
  <c r="M55" i="104" s="1"/>
  <c r="F54" i="104"/>
  <c r="P174" i="104" s="1"/>
  <c r="D54" i="104"/>
  <c r="C54" i="104"/>
  <c r="P53" i="104"/>
  <c r="F53" i="104"/>
  <c r="P168" i="104" s="1"/>
  <c r="D53" i="104"/>
  <c r="Q53" i="104" s="1"/>
  <c r="C53" i="104"/>
  <c r="P52" i="104"/>
  <c r="F52" i="104"/>
  <c r="P162" i="104" s="1"/>
  <c r="D52" i="104"/>
  <c r="R52" i="104" s="1"/>
  <c r="C52" i="104"/>
  <c r="P51" i="104"/>
  <c r="F51" i="104"/>
  <c r="P156" i="104" s="1"/>
  <c r="D51" i="104"/>
  <c r="C51" i="104"/>
  <c r="P50" i="104"/>
  <c r="M50" i="104"/>
  <c r="F50" i="104"/>
  <c r="P150" i="104" s="1"/>
  <c r="D50" i="104"/>
  <c r="C50" i="104"/>
  <c r="P49" i="104"/>
  <c r="F49" i="104"/>
  <c r="P144" i="104" s="1"/>
  <c r="D49" i="104"/>
  <c r="R49" i="104" s="1"/>
  <c r="C49" i="104"/>
  <c r="M48" i="104"/>
  <c r="M49" i="104" s="1"/>
  <c r="F48" i="104"/>
  <c r="P138" i="104" s="1"/>
  <c r="D48" i="104"/>
  <c r="R48" i="104" s="1"/>
  <c r="C48" i="104"/>
  <c r="P47" i="104"/>
  <c r="F47" i="104"/>
  <c r="P132" i="104" s="1"/>
  <c r="D47" i="104"/>
  <c r="Q47" i="104" s="1"/>
  <c r="C47" i="104"/>
  <c r="P46" i="104"/>
  <c r="F46" i="104"/>
  <c r="P126" i="104" s="1"/>
  <c r="D46" i="104"/>
  <c r="R46" i="104" s="1"/>
  <c r="C46" i="104"/>
  <c r="P45" i="104"/>
  <c r="F45" i="104"/>
  <c r="P120" i="104" s="1"/>
  <c r="D45" i="104"/>
  <c r="R45" i="104" s="1"/>
  <c r="C45" i="104"/>
  <c r="P44" i="104"/>
  <c r="M44" i="104"/>
  <c r="F44" i="104"/>
  <c r="P114" i="104" s="1"/>
  <c r="D44" i="104"/>
  <c r="Q44" i="104" s="1"/>
  <c r="C44" i="104"/>
  <c r="P43" i="104"/>
  <c r="F43" i="104"/>
  <c r="P108" i="104" s="1"/>
  <c r="D43" i="104"/>
  <c r="C43" i="104"/>
  <c r="M42" i="104"/>
  <c r="M43" i="104" s="1"/>
  <c r="F42" i="104"/>
  <c r="P102" i="104" s="1"/>
  <c r="D42" i="104"/>
  <c r="Q42" i="104" s="1"/>
  <c r="C42" i="104"/>
  <c r="P41" i="104"/>
  <c r="F41" i="104"/>
  <c r="P96" i="104" s="1"/>
  <c r="D41" i="104"/>
  <c r="Q41" i="104" s="1"/>
  <c r="C41" i="104"/>
  <c r="P40" i="104"/>
  <c r="F40" i="104"/>
  <c r="P90" i="104" s="1"/>
  <c r="D40" i="104"/>
  <c r="Q40" i="104" s="1"/>
  <c r="C40" i="104"/>
  <c r="P39" i="104"/>
  <c r="F39" i="104"/>
  <c r="P84" i="104" s="1"/>
  <c r="D39" i="104"/>
  <c r="C39" i="104"/>
  <c r="P38" i="104"/>
  <c r="M38" i="104"/>
  <c r="F38" i="104"/>
  <c r="P78" i="104" s="1"/>
  <c r="D38" i="104"/>
  <c r="C38" i="104"/>
  <c r="P37" i="104"/>
  <c r="F37" i="104"/>
  <c r="P72" i="104" s="1"/>
  <c r="D37" i="104"/>
  <c r="R37" i="104" s="1"/>
  <c r="C37" i="104"/>
  <c r="M36" i="104"/>
  <c r="M37" i="104" s="1"/>
  <c r="F36" i="104"/>
  <c r="P66" i="104" s="1"/>
  <c r="D36" i="104"/>
  <c r="R36" i="104" s="1"/>
  <c r="C36" i="104"/>
  <c r="P35" i="104"/>
  <c r="F35" i="104"/>
  <c r="P60" i="104" s="1"/>
  <c r="D35" i="104"/>
  <c r="C35" i="104"/>
  <c r="P34" i="104"/>
  <c r="F34" i="104"/>
  <c r="P54" i="104" s="1"/>
  <c r="D34" i="104"/>
  <c r="R34" i="104" s="1"/>
  <c r="C34" i="104"/>
  <c r="P33" i="104"/>
  <c r="F33" i="104"/>
  <c r="P48" i="104" s="1"/>
  <c r="D33" i="104"/>
  <c r="Q33" i="104" s="1"/>
  <c r="C33" i="104"/>
  <c r="P32" i="104"/>
  <c r="M32" i="104"/>
  <c r="F32" i="104"/>
  <c r="P42" i="104" s="1"/>
  <c r="D32" i="104"/>
  <c r="C32" i="104"/>
  <c r="P31" i="104"/>
  <c r="F31" i="104"/>
  <c r="P36" i="104" s="1"/>
  <c r="D31" i="104"/>
  <c r="C31" i="104"/>
  <c r="M30" i="104"/>
  <c r="M31" i="104" s="1"/>
  <c r="F30" i="104"/>
  <c r="P30" i="104" s="1"/>
  <c r="D30" i="104"/>
  <c r="Q30" i="104" s="1"/>
  <c r="C30" i="104"/>
  <c r="E29" i="104"/>
  <c r="E9" i="104" s="1"/>
  <c r="J26" i="104"/>
  <c r="E26" i="104"/>
  <c r="E17" i="104"/>
  <c r="U7" i="104"/>
  <c r="K7" i="104"/>
  <c r="U6" i="104"/>
  <c r="J2" i="104"/>
  <c r="E2" i="104"/>
  <c r="V1" i="104"/>
  <c r="U1" i="104"/>
  <c r="R1" i="104"/>
  <c r="Q1" i="104"/>
  <c r="P1" i="104"/>
  <c r="O1" i="104"/>
  <c r="N1" i="104"/>
  <c r="M1" i="104"/>
  <c r="L1" i="104"/>
  <c r="K1" i="104"/>
  <c r="J1" i="104"/>
  <c r="I1" i="104"/>
  <c r="H1" i="104"/>
  <c r="G1" i="104"/>
  <c r="F1" i="104"/>
  <c r="E1" i="104"/>
  <c r="D1" i="104"/>
  <c r="C1" i="104"/>
  <c r="B1" i="104"/>
  <c r="A1" i="104"/>
  <c r="BD239" i="103"/>
  <c r="BC5" i="103" s="1"/>
  <c r="H237" i="103"/>
  <c r="G237" i="103"/>
  <c r="F237" i="103"/>
  <c r="E237" i="103"/>
  <c r="D237" i="103"/>
  <c r="C237" i="103"/>
  <c r="T235" i="103"/>
  <c r="S235" i="103"/>
  <c r="R235" i="103"/>
  <c r="Q235" i="103"/>
  <c r="P235" i="103"/>
  <c r="O235" i="103"/>
  <c r="N235" i="103"/>
  <c r="G234" i="103"/>
  <c r="H234" i="103" s="1"/>
  <c r="G233" i="103"/>
  <c r="H233" i="103" s="1"/>
  <c r="G232" i="103"/>
  <c r="H232" i="103" s="1"/>
  <c r="G231" i="103"/>
  <c r="H231" i="103" s="1"/>
  <c r="R230" i="103"/>
  <c r="T230" i="103" s="1"/>
  <c r="G230" i="103"/>
  <c r="H230" i="103" s="1"/>
  <c r="D230" i="103"/>
  <c r="R229" i="103"/>
  <c r="T229" i="103" s="1"/>
  <c r="R228" i="103"/>
  <c r="T228" i="103" s="1"/>
  <c r="C228" i="103"/>
  <c r="R227" i="103"/>
  <c r="T227" i="103" s="1"/>
  <c r="R226" i="103"/>
  <c r="T226" i="103" s="1"/>
  <c r="R225" i="103"/>
  <c r="T225" i="103" s="1"/>
  <c r="K225" i="103"/>
  <c r="J225" i="103"/>
  <c r="I225" i="103"/>
  <c r="H225" i="103"/>
  <c r="G225" i="103"/>
  <c r="F225" i="103"/>
  <c r="E225" i="103"/>
  <c r="D225" i="103"/>
  <c r="C225" i="103"/>
  <c r="R224" i="103"/>
  <c r="T224" i="103" s="1"/>
  <c r="R223" i="103"/>
  <c r="T223" i="103" s="1"/>
  <c r="R222" i="103"/>
  <c r="T222" i="103" s="1"/>
  <c r="H222" i="103"/>
  <c r="R221" i="103"/>
  <c r="T221" i="103" s="1"/>
  <c r="K221" i="103"/>
  <c r="K222" i="103" s="1"/>
  <c r="H221" i="103"/>
  <c r="E221" i="103"/>
  <c r="E222" i="103" s="1"/>
  <c r="N220" i="103"/>
  <c r="T217" i="103" s="1"/>
  <c r="K218" i="103"/>
  <c r="K217" i="103" s="1"/>
  <c r="O217" i="103"/>
  <c r="H217" i="103"/>
  <c r="H218" i="103" s="1"/>
  <c r="E217" i="103"/>
  <c r="E218" i="103" s="1"/>
  <c r="N214" i="103"/>
  <c r="C214" i="103"/>
  <c r="K211" i="103"/>
  <c r="J211" i="103"/>
  <c r="I211" i="103"/>
  <c r="H211" i="103"/>
  <c r="G211" i="103"/>
  <c r="F211" i="103"/>
  <c r="E211" i="103"/>
  <c r="D211" i="103"/>
  <c r="C211" i="103"/>
  <c r="L208" i="103"/>
  <c r="H208" i="103"/>
  <c r="H207" i="103" s="1"/>
  <c r="L207" i="103"/>
  <c r="K207" i="103"/>
  <c r="K208" i="103" s="1"/>
  <c r="E207" i="103"/>
  <c r="E208" i="103" s="1"/>
  <c r="L203" i="103"/>
  <c r="H203" i="103"/>
  <c r="E203" i="103"/>
  <c r="L202" i="103"/>
  <c r="K202" i="103"/>
  <c r="K203" i="103" s="1"/>
  <c r="H202" i="103"/>
  <c r="E202" i="103"/>
  <c r="C199" i="103"/>
  <c r="H196" i="103"/>
  <c r="G196" i="103"/>
  <c r="F196" i="103"/>
  <c r="E196" i="103"/>
  <c r="D196" i="103"/>
  <c r="C196" i="103"/>
  <c r="E193" i="103"/>
  <c r="G182" i="103"/>
  <c r="F179" i="103"/>
  <c r="C167" i="103" s="1"/>
  <c r="E179" i="103"/>
  <c r="E165" i="103" s="1"/>
  <c r="E182" i="103" s="1"/>
  <c r="G177" i="103"/>
  <c r="E180" i="103" s="1"/>
  <c r="F167" i="103" s="1"/>
  <c r="F177" i="103"/>
  <c r="D174" i="103"/>
  <c r="F173" i="103"/>
  <c r="F180" i="103" s="1"/>
  <c r="F172" i="103"/>
  <c r="E166" i="103"/>
  <c r="H166" i="103" s="1"/>
  <c r="F165" i="103"/>
  <c r="C164" i="103"/>
  <c r="G163" i="103"/>
  <c r="H162" i="103"/>
  <c r="H160" i="103"/>
  <c r="G160" i="103"/>
  <c r="F160" i="103"/>
  <c r="E160" i="103"/>
  <c r="D160" i="103"/>
  <c r="C160" i="103"/>
  <c r="H157" i="103"/>
  <c r="I147" i="103"/>
  <c r="I146" i="103"/>
  <c r="G146" i="103"/>
  <c r="J147" i="103" s="1"/>
  <c r="M145" i="103"/>
  <c r="I145" i="103"/>
  <c r="F145" i="103"/>
  <c r="E145" i="103"/>
  <c r="E146" i="103" s="1"/>
  <c r="J146" i="103" s="1"/>
  <c r="I143" i="103"/>
  <c r="I142" i="103"/>
  <c r="G142" i="103"/>
  <c r="G145" i="103" s="1"/>
  <c r="F142" i="103"/>
  <c r="H142" i="103" s="1"/>
  <c r="I140" i="103"/>
  <c r="H140" i="103"/>
  <c r="G140" i="103"/>
  <c r="J140" i="103" s="1"/>
  <c r="I139" i="103"/>
  <c r="G139" i="103"/>
  <c r="J139" i="103" s="1"/>
  <c r="I137" i="103"/>
  <c r="I136" i="103"/>
  <c r="I135" i="103"/>
  <c r="I134" i="103"/>
  <c r="C134" i="103"/>
  <c r="I133" i="103"/>
  <c r="G133" i="103"/>
  <c r="J133" i="103" s="1"/>
  <c r="H132" i="103"/>
  <c r="H129" i="103"/>
  <c r="G129" i="103"/>
  <c r="F129" i="103"/>
  <c r="E129" i="103"/>
  <c r="D129" i="103"/>
  <c r="C129" i="103"/>
  <c r="H126" i="103"/>
  <c r="I116" i="103"/>
  <c r="I115" i="103"/>
  <c r="G115" i="103"/>
  <c r="J116" i="103" s="1"/>
  <c r="I114" i="103"/>
  <c r="F114" i="103"/>
  <c r="E114" i="103"/>
  <c r="E115" i="103" s="1"/>
  <c r="J115" i="103" s="1"/>
  <c r="I111" i="103"/>
  <c r="F111" i="103"/>
  <c r="E109" i="103" s="1"/>
  <c r="I109" i="103"/>
  <c r="I108" i="103"/>
  <c r="G108" i="103"/>
  <c r="J108" i="103" s="1"/>
  <c r="I106" i="103"/>
  <c r="I105" i="103"/>
  <c r="I104" i="103"/>
  <c r="I103" i="103"/>
  <c r="C103" i="103"/>
  <c r="I102" i="103"/>
  <c r="G102" i="103"/>
  <c r="J102" i="103" s="1"/>
  <c r="I101" i="103"/>
  <c r="I98" i="103"/>
  <c r="S79" i="103"/>
  <c r="R79" i="103"/>
  <c r="Q79" i="103"/>
  <c r="P79" i="103"/>
  <c r="O79" i="103"/>
  <c r="C77" i="103"/>
  <c r="C75" i="103"/>
  <c r="R74" i="103"/>
  <c r="C73" i="103"/>
  <c r="P64" i="103"/>
  <c r="O64" i="103"/>
  <c r="N64" i="103"/>
  <c r="M64" i="103"/>
  <c r="L64" i="103"/>
  <c r="K64" i="103"/>
  <c r="J64" i="103"/>
  <c r="C61" i="103"/>
  <c r="C58" i="103"/>
  <c r="C55" i="103"/>
  <c r="O53" i="103"/>
  <c r="O52" i="103"/>
  <c r="C52" i="103"/>
  <c r="O51" i="103"/>
  <c r="O50" i="103"/>
  <c r="C49" i="103"/>
  <c r="P47" i="103"/>
  <c r="P46" i="103"/>
  <c r="C46" i="103"/>
  <c r="D38" i="103"/>
  <c r="C38" i="103"/>
  <c r="E64" i="103" s="1"/>
  <c r="B38" i="103"/>
  <c r="D24" i="103"/>
  <c r="BE7" i="103"/>
  <c r="BE6" i="103"/>
  <c r="AZ2" i="103"/>
  <c r="AY2" i="103"/>
  <c r="AX2" i="103"/>
  <c r="AW2" i="103"/>
  <c r="AV2" i="103"/>
  <c r="AU2" i="103"/>
  <c r="AT2" i="103"/>
  <c r="AS2" i="103"/>
  <c r="AR2" i="103"/>
  <c r="AQ2" i="103"/>
  <c r="AP2" i="103"/>
  <c r="AO2" i="103"/>
  <c r="AN2" i="103"/>
  <c r="AM2" i="103"/>
  <c r="AL2" i="103"/>
  <c r="AJ2" i="103"/>
  <c r="AI2" i="103"/>
  <c r="AH2" i="103"/>
  <c r="AG2" i="103"/>
  <c r="AF2" i="103"/>
  <c r="AE2" i="103"/>
  <c r="AD2" i="103"/>
  <c r="AC2" i="103"/>
  <c r="AB2" i="103"/>
  <c r="AA2" i="103"/>
  <c r="Z2" i="103"/>
  <c r="Y2" i="103"/>
  <c r="X2" i="103"/>
  <c r="W2" i="103"/>
  <c r="V2" i="103"/>
  <c r="T2" i="103"/>
  <c r="S2" i="103"/>
  <c r="R2" i="103"/>
  <c r="Q2" i="103"/>
  <c r="P2" i="103"/>
  <c r="O2" i="103"/>
  <c r="N2" i="103"/>
  <c r="M2" i="103"/>
  <c r="L2" i="103"/>
  <c r="K2" i="103"/>
  <c r="J2" i="103"/>
  <c r="I2" i="103"/>
  <c r="H2" i="103"/>
  <c r="G2" i="103"/>
  <c r="F2" i="103"/>
  <c r="E2" i="103"/>
  <c r="D2" i="103"/>
  <c r="C2" i="103"/>
  <c r="BF1" i="103"/>
  <c r="BE1" i="103"/>
  <c r="AZ1" i="103"/>
  <c r="AY1" i="103"/>
  <c r="AX1" i="103"/>
  <c r="AW1" i="103"/>
  <c r="AV1" i="103"/>
  <c r="AU1" i="103"/>
  <c r="AT1" i="103"/>
  <c r="AS1" i="103"/>
  <c r="AR1" i="103"/>
  <c r="AQ1" i="103"/>
  <c r="AP1" i="103"/>
  <c r="AO1" i="103"/>
  <c r="AN1" i="103"/>
  <c r="AM1" i="103"/>
  <c r="AL1" i="103"/>
  <c r="AJ1" i="103"/>
  <c r="AI1" i="103"/>
  <c r="AH1" i="103"/>
  <c r="AG1" i="103"/>
  <c r="AF1" i="103"/>
  <c r="AE1" i="103"/>
  <c r="AD1" i="103"/>
  <c r="AC1" i="103"/>
  <c r="AB1" i="103"/>
  <c r="AA1" i="103"/>
  <c r="Z1" i="103"/>
  <c r="Y1" i="103"/>
  <c r="X1" i="103"/>
  <c r="W1" i="103"/>
  <c r="V1" i="103"/>
  <c r="T1" i="103"/>
  <c r="S1" i="103"/>
  <c r="R1" i="103"/>
  <c r="Q1" i="103"/>
  <c r="P1" i="103"/>
  <c r="O1" i="103"/>
  <c r="N1" i="103"/>
  <c r="M1" i="103"/>
  <c r="L1" i="103"/>
  <c r="K1" i="103"/>
  <c r="J1" i="103"/>
  <c r="I1" i="103"/>
  <c r="H1" i="103"/>
  <c r="G1" i="103"/>
  <c r="F1" i="103"/>
  <c r="E1" i="103"/>
  <c r="D1" i="103"/>
  <c r="C1" i="103"/>
  <c r="A1" i="103"/>
  <c r="G4" i="102"/>
  <c r="AA497" i="101"/>
  <c r="U6" i="101" s="1"/>
  <c r="I489" i="101"/>
  <c r="I490" i="101" s="1"/>
  <c r="H489" i="101"/>
  <c r="H490" i="101" s="1"/>
  <c r="G489" i="101"/>
  <c r="G490" i="101" s="1"/>
  <c r="F489" i="101"/>
  <c r="F490" i="101" s="1"/>
  <c r="J486" i="101"/>
  <c r="B482" i="101"/>
  <c r="J43" i="101" s="1"/>
  <c r="A482" i="101"/>
  <c r="C469" i="101"/>
  <c r="B469" i="101"/>
  <c r="C467" i="101" s="1"/>
  <c r="B449" i="101"/>
  <c r="J40" i="101" s="1"/>
  <c r="A449" i="101"/>
  <c r="K443" i="101"/>
  <c r="K441" i="101"/>
  <c r="K439" i="101"/>
  <c r="G437" i="101"/>
  <c r="F437" i="101"/>
  <c r="E437" i="101"/>
  <c r="D437" i="101"/>
  <c r="C437" i="101"/>
  <c r="K435" i="101"/>
  <c r="K434" i="101"/>
  <c r="K433" i="101"/>
  <c r="K432" i="101"/>
  <c r="K431" i="101"/>
  <c r="K427" i="101"/>
  <c r="I424" i="101"/>
  <c r="F424" i="101"/>
  <c r="B422" i="101"/>
  <c r="B419" i="101"/>
  <c r="J37" i="101" s="1"/>
  <c r="A419" i="101"/>
  <c r="F415" i="101"/>
  <c r="E414" i="101"/>
  <c r="F406" i="101"/>
  <c r="F412" i="101" s="1"/>
  <c r="G412" i="101" s="1"/>
  <c r="J412" i="101" s="1"/>
  <c r="B405" i="101"/>
  <c r="J34" i="101" s="1"/>
  <c r="A405" i="101"/>
  <c r="K396" i="101"/>
  <c r="G396" i="101"/>
  <c r="B396" i="101"/>
  <c r="M393" i="101"/>
  <c r="K395" i="101" s="1"/>
  <c r="M395" i="101" s="1"/>
  <c r="I393" i="101"/>
  <c r="G395" i="101" s="1"/>
  <c r="J395" i="101" s="1"/>
  <c r="D393" i="101"/>
  <c r="B395" i="101" s="1"/>
  <c r="N392" i="101"/>
  <c r="J392" i="101"/>
  <c r="B385" i="101"/>
  <c r="J31" i="101" s="1"/>
  <c r="A385" i="101"/>
  <c r="B384" i="101"/>
  <c r="B380" i="101"/>
  <c r="F375" i="101"/>
  <c r="B358" i="101"/>
  <c r="J25" i="101" s="1"/>
  <c r="A358" i="101"/>
  <c r="B357" i="101"/>
  <c r="C353" i="101"/>
  <c r="N347" i="101"/>
  <c r="L349" i="101" s="1"/>
  <c r="L352" i="101" s="1"/>
  <c r="E346" i="101"/>
  <c r="E353" i="101" s="1"/>
  <c r="H345" i="101"/>
  <c r="J28" i="101" s="1"/>
  <c r="G345" i="101"/>
  <c r="B345" i="101"/>
  <c r="C49" i="101" s="1"/>
  <c r="A345" i="101"/>
  <c r="C339" i="101"/>
  <c r="K332" i="101"/>
  <c r="J332" i="101"/>
  <c r="I332" i="101"/>
  <c r="H332" i="101"/>
  <c r="G332" i="101"/>
  <c r="M331" i="101"/>
  <c r="K329" i="101"/>
  <c r="J329" i="101"/>
  <c r="I329" i="101"/>
  <c r="H329" i="101"/>
  <c r="G329" i="101"/>
  <c r="M328" i="101"/>
  <c r="K328" i="101"/>
  <c r="K331" i="101" s="1"/>
  <c r="J328" i="101"/>
  <c r="J331" i="101" s="1"/>
  <c r="I328" i="101"/>
  <c r="I331" i="101" s="1"/>
  <c r="H328" i="101"/>
  <c r="H331" i="101" s="1"/>
  <c r="G328" i="101"/>
  <c r="G331" i="101" s="1"/>
  <c r="L327" i="101"/>
  <c r="K321" i="101"/>
  <c r="J321" i="101"/>
  <c r="I321" i="101"/>
  <c r="H321" i="101"/>
  <c r="G321" i="101"/>
  <c r="L320" i="101"/>
  <c r="B308" i="101"/>
  <c r="C46" i="101" s="1"/>
  <c r="A308" i="101"/>
  <c r="C302" i="101"/>
  <c r="K295" i="101"/>
  <c r="J295" i="101"/>
  <c r="I295" i="101"/>
  <c r="H295" i="101"/>
  <c r="G295" i="101"/>
  <c r="M294" i="101"/>
  <c r="K292" i="101"/>
  <c r="J292" i="101"/>
  <c r="I292" i="101"/>
  <c r="H292" i="101"/>
  <c r="G292" i="101"/>
  <c r="M291" i="101"/>
  <c r="K291" i="101"/>
  <c r="K294" i="101" s="1"/>
  <c r="J291" i="101"/>
  <c r="J294" i="101" s="1"/>
  <c r="I291" i="101"/>
  <c r="I294" i="101" s="1"/>
  <c r="H291" i="101"/>
  <c r="H294" i="101" s="1"/>
  <c r="G291" i="101"/>
  <c r="G294" i="101" s="1"/>
  <c r="L290" i="101"/>
  <c r="L289" i="101"/>
  <c r="B278" i="101"/>
  <c r="C43" i="101" s="1"/>
  <c r="A278" i="101"/>
  <c r="Q271" i="101"/>
  <c r="Q270" i="101"/>
  <c r="D268" i="101"/>
  <c r="D267" i="101"/>
  <c r="D266" i="101"/>
  <c r="D265" i="101"/>
  <c r="Q264" i="101"/>
  <c r="D264" i="101"/>
  <c r="Q263" i="101"/>
  <c r="D263" i="101"/>
  <c r="D262" i="101"/>
  <c r="D261" i="101"/>
  <c r="D260" i="101"/>
  <c r="D259" i="101"/>
  <c r="D258" i="101"/>
  <c r="D257" i="101"/>
  <c r="Q255" i="101"/>
  <c r="Q254" i="101"/>
  <c r="D254" i="101"/>
  <c r="M250" i="101"/>
  <c r="J22" i="101" s="1"/>
  <c r="B250" i="101"/>
  <c r="C40" i="101" s="1"/>
  <c r="A250" i="101"/>
  <c r="H246" i="101"/>
  <c r="G246" i="101"/>
  <c r="E246" i="101"/>
  <c r="J246" i="101" s="1"/>
  <c r="B241" i="101"/>
  <c r="C37" i="101" s="1"/>
  <c r="A241" i="101"/>
  <c r="T240" i="101"/>
  <c r="R240" i="101"/>
  <c r="Q240" i="101"/>
  <c r="T239" i="101"/>
  <c r="S239" i="101"/>
  <c r="U239" i="101" s="1"/>
  <c r="V239" i="101" s="1"/>
  <c r="Z236" i="101"/>
  <c r="N233" i="101"/>
  <c r="J19" i="101" s="1"/>
  <c r="M233" i="101"/>
  <c r="E233" i="101"/>
  <c r="B233" i="101"/>
  <c r="D233" i="101" s="1"/>
  <c r="P229" i="101"/>
  <c r="O229" i="101"/>
  <c r="N229" i="101"/>
  <c r="N221" i="101"/>
  <c r="J16" i="101" s="1"/>
  <c r="M221" i="101"/>
  <c r="B221" i="101"/>
  <c r="C34" i="101" s="1"/>
  <c r="A221" i="101"/>
  <c r="D212" i="101"/>
  <c r="C210" i="101"/>
  <c r="D209" i="101"/>
  <c r="C207" i="101"/>
  <c r="E206" i="101"/>
  <c r="D208" i="101" s="1"/>
  <c r="R205" i="101"/>
  <c r="N205" i="101"/>
  <c r="K205" i="101"/>
  <c r="N204" i="101" s="1"/>
  <c r="Q203" i="101"/>
  <c r="M203" i="101"/>
  <c r="O204" i="101" s="1"/>
  <c r="H202" i="101"/>
  <c r="J13" i="101" s="1"/>
  <c r="G202" i="101"/>
  <c r="B202" i="101"/>
  <c r="C31" i="101" s="1"/>
  <c r="A202" i="101"/>
  <c r="C193" i="101"/>
  <c r="C191" i="101"/>
  <c r="K190" i="101"/>
  <c r="N189" i="101" s="1"/>
  <c r="E190" i="101"/>
  <c r="D192" i="101" s="1"/>
  <c r="Q188" i="101"/>
  <c r="M188" i="101"/>
  <c r="R189" i="101" s="1"/>
  <c r="S189" i="101" s="1"/>
  <c r="H187" i="101"/>
  <c r="J10" i="101" s="1"/>
  <c r="G187" i="101"/>
  <c r="B187" i="101"/>
  <c r="C28" i="101" s="1"/>
  <c r="A187" i="101"/>
  <c r="C182" i="101"/>
  <c r="G176" i="101"/>
  <c r="F176" i="101"/>
  <c r="J176" i="101" s="1"/>
  <c r="F174" i="101"/>
  <c r="J172" i="101"/>
  <c r="B172" i="101"/>
  <c r="C25" i="101" s="1"/>
  <c r="A172" i="101"/>
  <c r="C168" i="101"/>
  <c r="I163" i="101"/>
  <c r="G163" i="101"/>
  <c r="F163" i="101"/>
  <c r="J163" i="101" s="1"/>
  <c r="G161" i="101"/>
  <c r="K159" i="101"/>
  <c r="B159" i="101"/>
  <c r="C22" i="101" s="1"/>
  <c r="A159" i="101"/>
  <c r="I147" i="101"/>
  <c r="H147" i="101" s="1"/>
  <c r="H153" i="101" s="1"/>
  <c r="G147" i="101"/>
  <c r="H152" i="101" s="1"/>
  <c r="F147" i="101"/>
  <c r="H151" i="101" s="1"/>
  <c r="F146" i="101"/>
  <c r="H150" i="101" s="1"/>
  <c r="F144" i="101"/>
  <c r="E144" i="101"/>
  <c r="D144" i="101"/>
  <c r="C144" i="101"/>
  <c r="F143" i="101"/>
  <c r="K142" i="101" s="1"/>
  <c r="E143" i="101"/>
  <c r="I142" i="101" s="1"/>
  <c r="B138" i="101"/>
  <c r="C19" i="101" s="1"/>
  <c r="A138" i="101"/>
  <c r="B123" i="101"/>
  <c r="C16" i="101" s="1"/>
  <c r="A123" i="101"/>
  <c r="M117" i="101"/>
  <c r="L117" i="101"/>
  <c r="M116" i="101"/>
  <c r="L116" i="101"/>
  <c r="O116" i="101" s="1"/>
  <c r="P116" i="101" s="1"/>
  <c r="M115" i="101"/>
  <c r="L115" i="101"/>
  <c r="M113" i="101"/>
  <c r="L113" i="101"/>
  <c r="O113" i="101" s="1"/>
  <c r="P113" i="101" s="1"/>
  <c r="M112" i="101"/>
  <c r="L112" i="101"/>
  <c r="M111" i="101"/>
  <c r="L111" i="101"/>
  <c r="O111" i="101" s="1"/>
  <c r="P111" i="101" s="1"/>
  <c r="M110" i="101"/>
  <c r="L110" i="101"/>
  <c r="L108" i="101"/>
  <c r="B103" i="101"/>
  <c r="C13" i="101" s="1"/>
  <c r="A103" i="101"/>
  <c r="B73" i="101"/>
  <c r="C10" i="101" s="1"/>
  <c r="A72" i="101"/>
  <c r="J56" i="101"/>
  <c r="J7" i="101" s="1"/>
  <c r="B56" i="101"/>
  <c r="C7" i="101" s="1"/>
  <c r="I55" i="101"/>
  <c r="A55" i="101"/>
  <c r="Q6" i="101"/>
  <c r="A4" i="101"/>
  <c r="Y2" i="101"/>
  <c r="X2" i="101"/>
  <c r="W2" i="101"/>
  <c r="V2" i="101"/>
  <c r="U2" i="101"/>
  <c r="T2" i="101"/>
  <c r="S2" i="101"/>
  <c r="R2" i="101"/>
  <c r="Q2" i="101"/>
  <c r="P2" i="101"/>
  <c r="O2" i="101"/>
  <c r="N2" i="101"/>
  <c r="M2" i="101"/>
  <c r="L2" i="101"/>
  <c r="K2" i="101"/>
  <c r="J2" i="101"/>
  <c r="I2" i="101"/>
  <c r="H2" i="101"/>
  <c r="G2" i="101"/>
  <c r="F2" i="101"/>
  <c r="E2" i="101"/>
  <c r="D2" i="101"/>
  <c r="C2" i="101"/>
  <c r="B2" i="101"/>
  <c r="A2" i="101"/>
  <c r="Y1" i="101"/>
  <c r="X1" i="101"/>
  <c r="W1" i="101"/>
  <c r="V1" i="101"/>
  <c r="U1" i="101"/>
  <c r="T1" i="101"/>
  <c r="S1" i="101"/>
  <c r="R1" i="101"/>
  <c r="Q1" i="101"/>
  <c r="P1" i="101"/>
  <c r="O1" i="101"/>
  <c r="N1" i="101"/>
  <c r="M1" i="101"/>
  <c r="L1" i="101"/>
  <c r="K1" i="101"/>
  <c r="J1" i="101"/>
  <c r="I1" i="101"/>
  <c r="H1" i="101"/>
  <c r="G1" i="101"/>
  <c r="F1" i="101"/>
  <c r="E1" i="101"/>
  <c r="D1" i="101"/>
  <c r="C1" i="101"/>
  <c r="B1" i="101"/>
  <c r="A1" i="101"/>
  <c r="R165" i="100"/>
  <c r="Q5" i="100" s="1"/>
  <c r="A136" i="100"/>
  <c r="N127" i="100"/>
  <c r="P127" i="100" s="1"/>
  <c r="N126" i="100"/>
  <c r="P126" i="100" s="1"/>
  <c r="N125" i="100"/>
  <c r="P125" i="100" s="1"/>
  <c r="N124" i="100"/>
  <c r="P124" i="100" s="1"/>
  <c r="N123" i="100"/>
  <c r="P123" i="100" s="1"/>
  <c r="N122" i="100"/>
  <c r="P122" i="100" s="1"/>
  <c r="N121" i="100"/>
  <c r="P121" i="100" s="1"/>
  <c r="N120" i="100"/>
  <c r="P120" i="100" s="1"/>
  <c r="N119" i="100"/>
  <c r="P119" i="100" s="1"/>
  <c r="F119" i="100"/>
  <c r="N118" i="100"/>
  <c r="P118" i="100" s="1"/>
  <c r="J117" i="100"/>
  <c r="P114" i="100" s="1"/>
  <c r="F116" i="100"/>
  <c r="F126" i="100" s="1"/>
  <c r="K114" i="100"/>
  <c r="J111" i="100"/>
  <c r="J82" i="100" s="1"/>
  <c r="I111" i="100"/>
  <c r="B111" i="100"/>
  <c r="C82" i="100" s="1"/>
  <c r="A111" i="100"/>
  <c r="A78" i="100"/>
  <c r="B76" i="100"/>
  <c r="C76" i="100" s="1"/>
  <c r="B73" i="100"/>
  <c r="C73" i="100" s="1"/>
  <c r="K69" i="100"/>
  <c r="L69" i="100" s="1"/>
  <c r="L66" i="100"/>
  <c r="C65" i="100"/>
  <c r="C66" i="100" s="1"/>
  <c r="C64" i="100"/>
  <c r="K61" i="100"/>
  <c r="J19" i="100" s="1"/>
  <c r="B61" i="100"/>
  <c r="C19" i="100" s="1"/>
  <c r="J60" i="100"/>
  <c r="A60" i="100"/>
  <c r="L56" i="100"/>
  <c r="L57" i="100" s="1"/>
  <c r="C56" i="100"/>
  <c r="C57" i="100" s="1"/>
  <c r="K53" i="100"/>
  <c r="J16" i="100" s="1"/>
  <c r="B53" i="100"/>
  <c r="C16" i="100" s="1"/>
  <c r="J52" i="100"/>
  <c r="A52" i="100"/>
  <c r="N46" i="100"/>
  <c r="E46" i="100"/>
  <c r="P45" i="100"/>
  <c r="P46" i="100" s="1"/>
  <c r="N45" i="100"/>
  <c r="L45" i="100"/>
  <c r="L46" i="100" s="1"/>
  <c r="G45" i="100"/>
  <c r="G46" i="100" s="1"/>
  <c r="E45" i="100"/>
  <c r="C45" i="100"/>
  <c r="C46" i="100" s="1"/>
  <c r="P42" i="100"/>
  <c r="P41" i="100" s="1"/>
  <c r="G42" i="100"/>
  <c r="G41" i="100" s="1"/>
  <c r="N41" i="100"/>
  <c r="N42" i="100" s="1"/>
  <c r="L41" i="100"/>
  <c r="L42" i="100" s="1"/>
  <c r="E41" i="100"/>
  <c r="E42" i="100" s="1"/>
  <c r="C41" i="100"/>
  <c r="C42" i="100" s="1"/>
  <c r="K38" i="100"/>
  <c r="J13" i="100" s="1"/>
  <c r="J38" i="100"/>
  <c r="B38" i="100"/>
  <c r="C13" i="100" s="1"/>
  <c r="A38" i="100"/>
  <c r="G32" i="100"/>
  <c r="G31" i="100" s="1"/>
  <c r="J31" i="100"/>
  <c r="J32" i="100" s="1"/>
  <c r="D31" i="100"/>
  <c r="D32" i="100" s="1"/>
  <c r="G27" i="100"/>
  <c r="D27" i="100"/>
  <c r="J26" i="100"/>
  <c r="J27" i="100" s="1"/>
  <c r="G26" i="100"/>
  <c r="D26" i="100"/>
  <c r="B23" i="100"/>
  <c r="C10" i="100" s="1"/>
  <c r="A23" i="100"/>
  <c r="Q8" i="100"/>
  <c r="A4" i="100"/>
  <c r="Q2" i="100"/>
  <c r="P2" i="100"/>
  <c r="O2" i="100"/>
  <c r="N2" i="100"/>
  <c r="M2" i="100"/>
  <c r="L2" i="100"/>
  <c r="K2" i="100"/>
  <c r="J2" i="100"/>
  <c r="I2" i="100"/>
  <c r="H2" i="100"/>
  <c r="G2" i="100"/>
  <c r="F2" i="100"/>
  <c r="E2" i="100"/>
  <c r="D2" i="100"/>
  <c r="C2" i="100"/>
  <c r="B2" i="100"/>
  <c r="A2" i="100"/>
  <c r="Q1" i="100"/>
  <c r="P1" i="100"/>
  <c r="O1" i="100"/>
  <c r="N1" i="100"/>
  <c r="M1" i="100"/>
  <c r="L1" i="100"/>
  <c r="K1" i="100"/>
  <c r="J1" i="100"/>
  <c r="I1" i="100"/>
  <c r="H1" i="100"/>
  <c r="G1" i="100"/>
  <c r="F1" i="100"/>
  <c r="E1" i="100"/>
  <c r="D1" i="100"/>
  <c r="C1" i="100"/>
  <c r="B1" i="100"/>
  <c r="A1" i="100"/>
  <c r="AS408" i="99"/>
  <c r="AQ408" i="99"/>
  <c r="AO406" i="99"/>
  <c r="AN406" i="99"/>
  <c r="AM406" i="99"/>
  <c r="AL406" i="99"/>
  <c r="AK406" i="99"/>
  <c r="AJ406" i="99"/>
  <c r="AH406" i="99"/>
  <c r="AG406" i="99"/>
  <c r="AF406" i="99"/>
  <c r="AE406" i="99"/>
  <c r="AD406" i="99"/>
  <c r="AC406" i="99"/>
  <c r="AA406" i="99"/>
  <c r="Z406" i="99"/>
  <c r="Y406" i="99"/>
  <c r="X406" i="99"/>
  <c r="W406" i="99"/>
  <c r="V406" i="99"/>
  <c r="Q12" i="99"/>
  <c r="AR7" i="99"/>
  <c r="AR6" i="99"/>
  <c r="AO2" i="99"/>
  <c r="AN2" i="99"/>
  <c r="AM2" i="99"/>
  <c r="AL2" i="99"/>
  <c r="AK2" i="99"/>
  <c r="AJ2" i="99"/>
  <c r="AH2" i="99"/>
  <c r="AG2" i="99"/>
  <c r="AF2" i="99"/>
  <c r="AE2" i="99"/>
  <c r="AD2" i="99"/>
  <c r="AC2" i="99"/>
  <c r="Z2" i="99"/>
  <c r="Y2" i="99"/>
  <c r="X2" i="99"/>
  <c r="W2" i="99"/>
  <c r="V2" i="99"/>
  <c r="T2" i="99"/>
  <c r="S2" i="99"/>
  <c r="R2" i="99"/>
  <c r="Q2" i="99"/>
  <c r="P2" i="99"/>
  <c r="O2" i="99"/>
  <c r="N2" i="99"/>
  <c r="M2" i="99"/>
  <c r="L2" i="99"/>
  <c r="K2" i="99"/>
  <c r="I2" i="99"/>
  <c r="H2" i="99"/>
  <c r="F2" i="99"/>
  <c r="E2" i="99"/>
  <c r="C2" i="99"/>
  <c r="B2" i="99"/>
  <c r="AS1" i="99"/>
  <c r="AR1" i="99"/>
  <c r="AO1" i="99"/>
  <c r="AN1" i="99"/>
  <c r="AM1" i="99"/>
  <c r="AL1" i="99"/>
  <c r="AK1" i="99"/>
  <c r="AJ1" i="99"/>
  <c r="AH1" i="99"/>
  <c r="AG1" i="99"/>
  <c r="AF1" i="99"/>
  <c r="AE1" i="99"/>
  <c r="AD1" i="99"/>
  <c r="AC1" i="99"/>
  <c r="Z1" i="99"/>
  <c r="Y1" i="99"/>
  <c r="X1" i="99"/>
  <c r="W1" i="99"/>
  <c r="V1" i="99"/>
  <c r="T1" i="99"/>
  <c r="S1" i="99"/>
  <c r="R1" i="99"/>
  <c r="Q1" i="99"/>
  <c r="P1" i="99"/>
  <c r="O1" i="99"/>
  <c r="N1" i="99"/>
  <c r="M1" i="99"/>
  <c r="L1" i="99"/>
  <c r="K1" i="99"/>
  <c r="I1" i="99"/>
  <c r="H1" i="99"/>
  <c r="F1" i="99"/>
  <c r="E1" i="99"/>
  <c r="C1" i="99"/>
  <c r="B1" i="99"/>
  <c r="A1" i="99"/>
  <c r="A89" i="98"/>
  <c r="A88" i="98"/>
  <c r="A87" i="98"/>
  <c r="A85" i="98"/>
  <c r="A84" i="98"/>
  <c r="A82" i="98"/>
  <c r="A81" i="98"/>
  <c r="A80" i="98"/>
  <c r="A78" i="98"/>
  <c r="A77" i="98"/>
  <c r="A75" i="98"/>
  <c r="A74" i="98"/>
  <c r="A73" i="98"/>
  <c r="A71" i="98"/>
  <c r="A70" i="98"/>
  <c r="A64" i="98"/>
  <c r="H4" i="98"/>
  <c r="AH469" i="97"/>
  <c r="AF469" i="97"/>
  <c r="AD7" i="97" s="1"/>
  <c r="N148" i="97"/>
  <c r="N146" i="97"/>
  <c r="N138" i="97"/>
  <c r="N139" i="97" s="1"/>
  <c r="N140" i="97" s="1"/>
  <c r="N141" i="97" s="1"/>
  <c r="N142" i="97" s="1"/>
  <c r="N143" i="97" s="1"/>
  <c r="N144" i="97" s="1"/>
  <c r="N128" i="97"/>
  <c r="N129" i="97" s="1"/>
  <c r="N130" i="97" s="1"/>
  <c r="N131" i="97" s="1"/>
  <c r="N132" i="97" s="1"/>
  <c r="N133" i="97" s="1"/>
  <c r="N134" i="97" s="1"/>
  <c r="N135" i="97" s="1"/>
  <c r="N136" i="97" s="1"/>
  <c r="N121" i="97"/>
  <c r="N122" i="97" s="1"/>
  <c r="N123" i="97" s="1"/>
  <c r="N124" i="97" s="1"/>
  <c r="N125" i="97" s="1"/>
  <c r="N117" i="97"/>
  <c r="N118" i="97" s="1"/>
  <c r="N112" i="97"/>
  <c r="N105" i="97"/>
  <c r="N103" i="97"/>
  <c r="N101" i="97"/>
  <c r="N98" i="97"/>
  <c r="N79" i="97"/>
  <c r="N80" i="97" s="1"/>
  <c r="N81" i="97" s="1"/>
  <c r="N82" i="97" s="1"/>
  <c r="N83" i="97" s="1"/>
  <c r="N84" i="97" s="1"/>
  <c r="N85" i="97" s="1"/>
  <c r="N86" i="97" s="1"/>
  <c r="N87" i="97" s="1"/>
  <c r="N88" i="97" s="1"/>
  <c r="N89" i="97" s="1"/>
  <c r="N90" i="97" s="1"/>
  <c r="N91" i="97" s="1"/>
  <c r="N92" i="97" s="1"/>
  <c r="N93" i="97" s="1"/>
  <c r="N94" i="97" s="1"/>
  <c r="N95" i="97" s="1"/>
  <c r="B75" i="97"/>
  <c r="B76" i="97" s="1"/>
  <c r="B77" i="97" s="1"/>
  <c r="B70" i="97"/>
  <c r="B71" i="97" s="1"/>
  <c r="B72" i="97" s="1"/>
  <c r="B64" i="97"/>
  <c r="B65" i="97" s="1"/>
  <c r="B66" i="97" s="1"/>
  <c r="B67" i="97" s="1"/>
  <c r="N61" i="97"/>
  <c r="N62" i="97" s="1"/>
  <c r="N63" i="97" s="1"/>
  <c r="N64" i="97" s="1"/>
  <c r="N65" i="97" s="1"/>
  <c r="N66" i="97" s="1"/>
  <c r="N67" i="97" s="1"/>
  <c r="N68" i="97" s="1"/>
  <c r="N69" i="97" s="1"/>
  <c r="N70" i="97" s="1"/>
  <c r="N71" i="97" s="1"/>
  <c r="N72" i="97" s="1"/>
  <c r="N73" i="97" s="1"/>
  <c r="N74" i="97" s="1"/>
  <c r="N75" i="97" s="1"/>
  <c r="N76" i="97" s="1"/>
  <c r="B61" i="97"/>
  <c r="B59" i="97"/>
  <c r="B57" i="97"/>
  <c r="B55" i="97"/>
  <c r="N49" i="97"/>
  <c r="N50" i="97" s="1"/>
  <c r="N51" i="97" s="1"/>
  <c r="N52" i="97" s="1"/>
  <c r="N53" i="97" s="1"/>
  <c r="N54" i="97" s="1"/>
  <c r="N55" i="97" s="1"/>
  <c r="N56" i="97" s="1"/>
  <c r="N57" i="97" s="1"/>
  <c r="N58" i="97" s="1"/>
  <c r="B49" i="97"/>
  <c r="B44" i="97"/>
  <c r="B41" i="97"/>
  <c r="B37" i="97"/>
  <c r="B38" i="97" s="1"/>
  <c r="B30" i="97"/>
  <c r="B31" i="97" s="1"/>
  <c r="B32" i="97" s="1"/>
  <c r="B33" i="97" s="1"/>
  <c r="B34" i="97" s="1"/>
  <c r="V27" i="97"/>
  <c r="Y26" i="97"/>
  <c r="W26" i="97"/>
  <c r="B17" i="97"/>
  <c r="B18" i="97" s="1"/>
  <c r="B19" i="97" s="1"/>
  <c r="B20" i="97" s="1"/>
  <c r="B21" i="97" s="1"/>
  <c r="B22" i="97" s="1"/>
  <c r="B23" i="97" s="1"/>
  <c r="B24" i="97" s="1"/>
  <c r="B25" i="97" s="1"/>
  <c r="B13" i="97"/>
  <c r="B11" i="97"/>
  <c r="N9" i="97"/>
  <c r="N10" i="97" s="1"/>
  <c r="N11" i="97" s="1"/>
  <c r="N12" i="97" s="1"/>
  <c r="N13" i="97" s="1"/>
  <c r="N14" i="97" s="1"/>
  <c r="N15" i="97" s="1"/>
  <c r="N16" i="97" s="1"/>
  <c r="N17" i="97" s="1"/>
  <c r="N18" i="97" s="1"/>
  <c r="N19" i="97" s="1"/>
  <c r="N20" i="97" s="1"/>
  <c r="N21" i="97" s="1"/>
  <c r="N22" i="97" s="1"/>
  <c r="N23" i="97" s="1"/>
  <c r="N24" i="97" s="1"/>
  <c r="N25" i="97" s="1"/>
  <c r="N26" i="97" s="1"/>
  <c r="N27" i="97" s="1"/>
  <c r="N28" i="97" s="1"/>
  <c r="N29" i="97" s="1"/>
  <c r="N30" i="97" s="1"/>
  <c r="N31" i="97" s="1"/>
  <c r="N32" i="97" s="1"/>
  <c r="N33" i="97" s="1"/>
  <c r="N34" i="97" s="1"/>
  <c r="N35" i="97" s="1"/>
  <c r="N36" i="97" s="1"/>
  <c r="N37" i="97" s="1"/>
  <c r="N38" i="97" s="1"/>
  <c r="N39" i="97" s="1"/>
  <c r="N40" i="97" s="1"/>
  <c r="N41" i="97" s="1"/>
  <c r="N42" i="97" s="1"/>
  <c r="N43" i="97" s="1"/>
  <c r="N44" i="97" s="1"/>
  <c r="N45" i="97" s="1"/>
  <c r="N46" i="97" s="1"/>
  <c r="AG7" i="97"/>
  <c r="AG6" i="97"/>
  <c r="AD2" i="97"/>
  <c r="AC2" i="97"/>
  <c r="AB2" i="97"/>
  <c r="AA2" i="97"/>
  <c r="Y2" i="97"/>
  <c r="X2" i="97"/>
  <c r="W2" i="97"/>
  <c r="V2" i="97"/>
  <c r="T2" i="97"/>
  <c r="S2" i="97"/>
  <c r="R2" i="97"/>
  <c r="Q2" i="97"/>
  <c r="P2" i="97"/>
  <c r="O2" i="97"/>
  <c r="N2" i="97"/>
  <c r="L2" i="97"/>
  <c r="K2" i="97"/>
  <c r="J2" i="97"/>
  <c r="H2" i="97"/>
  <c r="G2" i="97"/>
  <c r="F2" i="97"/>
  <c r="E2" i="97"/>
  <c r="D2" i="97"/>
  <c r="C2" i="97"/>
  <c r="B2" i="97"/>
  <c r="AH1" i="97"/>
  <c r="AG1" i="97"/>
  <c r="AD1" i="97"/>
  <c r="AC1" i="97"/>
  <c r="AB1" i="97"/>
  <c r="AA1" i="97"/>
  <c r="Y1" i="97"/>
  <c r="X1" i="97"/>
  <c r="W1" i="97"/>
  <c r="V1" i="97"/>
  <c r="T1" i="97"/>
  <c r="S1" i="97"/>
  <c r="R1" i="97"/>
  <c r="Q1" i="97"/>
  <c r="P1" i="97"/>
  <c r="O1" i="97"/>
  <c r="N1" i="97"/>
  <c r="L1" i="97"/>
  <c r="K1" i="97"/>
  <c r="J1" i="97"/>
  <c r="H1" i="97"/>
  <c r="G1" i="97"/>
  <c r="F1" i="97"/>
  <c r="E1" i="97"/>
  <c r="D1" i="97"/>
  <c r="C1" i="97"/>
  <c r="B1" i="97"/>
  <c r="A1" i="97"/>
  <c r="AH469" i="96"/>
  <c r="AF469" i="96"/>
  <c r="J7" i="96" s="1"/>
  <c r="W459" i="96"/>
  <c r="W460" i="96" s="1"/>
  <c r="W461" i="96" s="1"/>
  <c r="W462" i="96" s="1"/>
  <c r="W463" i="96" s="1"/>
  <c r="W464" i="96" s="1"/>
  <c r="W465" i="96" s="1"/>
  <c r="W456" i="96"/>
  <c r="W431" i="96"/>
  <c r="W432" i="96" s="1"/>
  <c r="W433" i="96" s="1"/>
  <c r="W434" i="96" s="1"/>
  <c r="W435" i="96" s="1"/>
  <c r="W436" i="96" s="1"/>
  <c r="W437" i="96" s="1"/>
  <c r="W438" i="96" s="1"/>
  <c r="W439" i="96" s="1"/>
  <c r="W440" i="96" s="1"/>
  <c r="W441" i="96" s="1"/>
  <c r="W442" i="96" s="1"/>
  <c r="W443" i="96" s="1"/>
  <c r="W444" i="96" s="1"/>
  <c r="W445" i="96" s="1"/>
  <c r="W446" i="96" s="1"/>
  <c r="W447" i="96" s="1"/>
  <c r="W448" i="96" s="1"/>
  <c r="W449" i="96" s="1"/>
  <c r="W450" i="96" s="1"/>
  <c r="W451" i="96" s="1"/>
  <c r="W452" i="96" s="1"/>
  <c r="W453" i="96" s="1"/>
  <c r="W405" i="96"/>
  <c r="W406" i="96" s="1"/>
  <c r="W407" i="96" s="1"/>
  <c r="W408" i="96" s="1"/>
  <c r="W409" i="96" s="1"/>
  <c r="W410" i="96" s="1"/>
  <c r="W411" i="96" s="1"/>
  <c r="W412" i="96" s="1"/>
  <c r="W413" i="96" s="1"/>
  <c r="W414" i="96" s="1"/>
  <c r="W415" i="96" s="1"/>
  <c r="W416" i="96" s="1"/>
  <c r="W417" i="96" s="1"/>
  <c r="W418" i="96" s="1"/>
  <c r="W419" i="96" s="1"/>
  <c r="W420" i="96" s="1"/>
  <c r="W421" i="96" s="1"/>
  <c r="W422" i="96" s="1"/>
  <c r="W423" i="96" s="1"/>
  <c r="W424" i="96" s="1"/>
  <c r="W425" i="96" s="1"/>
  <c r="W426" i="96" s="1"/>
  <c r="W427" i="96" s="1"/>
  <c r="W428" i="96" s="1"/>
  <c r="W401" i="96"/>
  <c r="W399" i="96"/>
  <c r="W397" i="96"/>
  <c r="W395" i="96"/>
  <c r="W393" i="96"/>
  <c r="W391" i="96"/>
  <c r="W389" i="96"/>
  <c r="W387" i="96"/>
  <c r="W385" i="96"/>
  <c r="W383" i="96"/>
  <c r="W381" i="96"/>
  <c r="W379" i="96"/>
  <c r="W377" i="96"/>
  <c r="W375" i="96"/>
  <c r="W373" i="96"/>
  <c r="W371" i="96"/>
  <c r="W369" i="96"/>
  <c r="W367" i="96"/>
  <c r="W365" i="96"/>
  <c r="W363" i="96"/>
  <c r="W361" i="96"/>
  <c r="W359" i="96"/>
  <c r="W357" i="96"/>
  <c r="W355" i="96"/>
  <c r="W353" i="96"/>
  <c r="W351" i="96"/>
  <c r="W349" i="96"/>
  <c r="W308" i="96"/>
  <c r="W309" i="96" s="1"/>
  <c r="W310" i="96" s="1"/>
  <c r="W311" i="96" s="1"/>
  <c r="W312" i="96" s="1"/>
  <c r="W313" i="96" s="1"/>
  <c r="W314" i="96" s="1"/>
  <c r="W315" i="96" s="1"/>
  <c r="W316" i="96" s="1"/>
  <c r="W317" i="96" s="1"/>
  <c r="W318" i="96" s="1"/>
  <c r="W319" i="96" s="1"/>
  <c r="W320" i="96" s="1"/>
  <c r="W321" i="96" s="1"/>
  <c r="W322" i="96" s="1"/>
  <c r="W323" i="96" s="1"/>
  <c r="W324" i="96" s="1"/>
  <c r="W325" i="96" s="1"/>
  <c r="W326" i="96" s="1"/>
  <c r="W327" i="96" s="1"/>
  <c r="W328" i="96" s="1"/>
  <c r="W329" i="96" s="1"/>
  <c r="W330" i="96" s="1"/>
  <c r="W331" i="96" s="1"/>
  <c r="W332" i="96" s="1"/>
  <c r="W333" i="96" s="1"/>
  <c r="W334" i="96" s="1"/>
  <c r="W335" i="96" s="1"/>
  <c r="W336" i="96" s="1"/>
  <c r="W337" i="96" s="1"/>
  <c r="W338" i="96" s="1"/>
  <c r="W339" i="96" s="1"/>
  <c r="W340" i="96" s="1"/>
  <c r="W341" i="96" s="1"/>
  <c r="W342" i="96" s="1"/>
  <c r="W302" i="96"/>
  <c r="W267" i="96"/>
  <c r="W268" i="96" s="1"/>
  <c r="W269" i="96" s="1"/>
  <c r="W270" i="96" s="1"/>
  <c r="W271" i="96" s="1"/>
  <c r="W272" i="96" s="1"/>
  <c r="W273" i="96" s="1"/>
  <c r="W274" i="96" s="1"/>
  <c r="W275" i="96" s="1"/>
  <c r="W276" i="96" s="1"/>
  <c r="W277" i="96" s="1"/>
  <c r="W278" i="96" s="1"/>
  <c r="W279" i="96" s="1"/>
  <c r="W280" i="96" s="1"/>
  <c r="W281" i="96" s="1"/>
  <c r="W282" i="96" s="1"/>
  <c r="W283" i="96" s="1"/>
  <c r="W284" i="96" s="1"/>
  <c r="W285" i="96" s="1"/>
  <c r="W286" i="96" s="1"/>
  <c r="W287" i="96" s="1"/>
  <c r="W288" i="96" s="1"/>
  <c r="W289" i="96" s="1"/>
  <c r="W290" i="96" s="1"/>
  <c r="W291" i="96" s="1"/>
  <c r="W292" i="96" s="1"/>
  <c r="W293" i="96" s="1"/>
  <c r="W294" i="96" s="1"/>
  <c r="W295" i="96" s="1"/>
  <c r="W296" i="96" s="1"/>
  <c r="W297" i="96" s="1"/>
  <c r="W298" i="96" s="1"/>
  <c r="W299" i="96" s="1"/>
  <c r="W256" i="96"/>
  <c r="W257" i="96" s="1"/>
  <c r="W258" i="96" s="1"/>
  <c r="W259" i="96" s="1"/>
  <c r="W260" i="96" s="1"/>
  <c r="W261" i="96" s="1"/>
  <c r="W262" i="96" s="1"/>
  <c r="W263" i="96" s="1"/>
  <c r="W264" i="96" s="1"/>
  <c r="W244" i="96"/>
  <c r="W245" i="96" s="1"/>
  <c r="W246" i="96" s="1"/>
  <c r="W247" i="96" s="1"/>
  <c r="W248" i="96" s="1"/>
  <c r="W249" i="96" s="1"/>
  <c r="W238" i="96"/>
  <c r="W239" i="96" s="1"/>
  <c r="W240" i="96" s="1"/>
  <c r="W227" i="96"/>
  <c r="W228" i="96" s="1"/>
  <c r="W229" i="96" s="1"/>
  <c r="W230" i="96" s="1"/>
  <c r="W231" i="96" s="1"/>
  <c r="W232" i="96" s="1"/>
  <c r="W233" i="96" s="1"/>
  <c r="W234" i="96" s="1"/>
  <c r="W235" i="96" s="1"/>
  <c r="W223" i="96"/>
  <c r="W221" i="96"/>
  <c r="W219" i="96"/>
  <c r="W217" i="96"/>
  <c r="W215" i="96"/>
  <c r="W213" i="96"/>
  <c r="W211" i="96"/>
  <c r="W209" i="96"/>
  <c r="W207" i="96"/>
  <c r="W205" i="96"/>
  <c r="W203" i="96"/>
  <c r="W201" i="96"/>
  <c r="W199" i="96"/>
  <c r="W197" i="96"/>
  <c r="W195" i="96"/>
  <c r="W158" i="96"/>
  <c r="W159" i="96" s="1"/>
  <c r="W160" i="96" s="1"/>
  <c r="W161" i="96" s="1"/>
  <c r="W162" i="96" s="1"/>
  <c r="W163" i="96" s="1"/>
  <c r="W164" i="96" s="1"/>
  <c r="W165" i="96" s="1"/>
  <c r="W166" i="96" s="1"/>
  <c r="W167" i="96" s="1"/>
  <c r="W168" i="96" s="1"/>
  <c r="W169" i="96" s="1"/>
  <c r="W170" i="96" s="1"/>
  <c r="W171" i="96" s="1"/>
  <c r="W172" i="96" s="1"/>
  <c r="W173" i="96" s="1"/>
  <c r="W174" i="96" s="1"/>
  <c r="W175" i="96" s="1"/>
  <c r="W176" i="96" s="1"/>
  <c r="W177" i="96" s="1"/>
  <c r="W178" i="96" s="1"/>
  <c r="W179" i="96" s="1"/>
  <c r="W180" i="96" s="1"/>
  <c r="W181" i="96" s="1"/>
  <c r="W182" i="96" s="1"/>
  <c r="W183" i="96" s="1"/>
  <c r="W184" i="96" s="1"/>
  <c r="W185" i="96" s="1"/>
  <c r="W186" i="96" s="1"/>
  <c r="W187" i="96" s="1"/>
  <c r="W188" i="96" s="1"/>
  <c r="W189" i="96" s="1"/>
  <c r="W190" i="96" s="1"/>
  <c r="W191" i="96" s="1"/>
  <c r="R108" i="96"/>
  <c r="W107" i="96"/>
  <c r="W108" i="96" s="1"/>
  <c r="W109" i="96" s="1"/>
  <c r="W110" i="96" s="1"/>
  <c r="W111" i="96" s="1"/>
  <c r="W112" i="96" s="1"/>
  <c r="W113" i="96" s="1"/>
  <c r="W114" i="96" s="1"/>
  <c r="W115" i="96" s="1"/>
  <c r="W116" i="96" s="1"/>
  <c r="W117" i="96" s="1"/>
  <c r="W118" i="96" s="1"/>
  <c r="W119" i="96" s="1"/>
  <c r="W120" i="96" s="1"/>
  <c r="W121" i="96" s="1"/>
  <c r="W122" i="96" s="1"/>
  <c r="W123" i="96" s="1"/>
  <c r="W124" i="96" s="1"/>
  <c r="W125" i="96" s="1"/>
  <c r="W126" i="96" s="1"/>
  <c r="W127" i="96" s="1"/>
  <c r="W128" i="96" s="1"/>
  <c r="W129" i="96" s="1"/>
  <c r="W130" i="96" s="1"/>
  <c r="W131" i="96" s="1"/>
  <c r="W132" i="96" s="1"/>
  <c r="W133" i="96" s="1"/>
  <c r="W134" i="96" s="1"/>
  <c r="W135" i="96" s="1"/>
  <c r="W136" i="96" s="1"/>
  <c r="W137" i="96" s="1"/>
  <c r="W138" i="96" s="1"/>
  <c r="W139" i="96" s="1"/>
  <c r="W140" i="96" s="1"/>
  <c r="W141" i="96" s="1"/>
  <c r="W142" i="96" s="1"/>
  <c r="W143" i="96" s="1"/>
  <c r="W144" i="96" s="1"/>
  <c r="W145" i="96" s="1"/>
  <c r="W146" i="96" s="1"/>
  <c r="W147" i="96" s="1"/>
  <c r="W148" i="96" s="1"/>
  <c r="W149" i="96" s="1"/>
  <c r="W150" i="96" s="1"/>
  <c r="W151" i="96" s="1"/>
  <c r="W152" i="96" s="1"/>
  <c r="W153" i="96" s="1"/>
  <c r="W154" i="96" s="1"/>
  <c r="W155" i="96" s="1"/>
  <c r="R102" i="96"/>
  <c r="R103" i="96" s="1"/>
  <c r="R95" i="96"/>
  <c r="R96" i="96" s="1"/>
  <c r="R97" i="96" s="1"/>
  <c r="R85" i="96"/>
  <c r="R86" i="96" s="1"/>
  <c r="R87" i="96" s="1"/>
  <c r="R88" i="96" s="1"/>
  <c r="R89" i="96" s="1"/>
  <c r="R90" i="96" s="1"/>
  <c r="R91" i="96" s="1"/>
  <c r="R92" i="96" s="1"/>
  <c r="R77" i="96"/>
  <c r="R78" i="96" s="1"/>
  <c r="R79" i="96" s="1"/>
  <c r="R80" i="96" s="1"/>
  <c r="R74" i="96"/>
  <c r="R67" i="96"/>
  <c r="R68" i="96" s="1"/>
  <c r="R69" i="96" s="1"/>
  <c r="R70" i="96" s="1"/>
  <c r="R71" i="96" s="1"/>
  <c r="W61" i="96"/>
  <c r="W62" i="96" s="1"/>
  <c r="W63" i="96" s="1"/>
  <c r="W64" i="96" s="1"/>
  <c r="W65" i="96" s="1"/>
  <c r="W66" i="96" s="1"/>
  <c r="W67" i="96" s="1"/>
  <c r="W68" i="96" s="1"/>
  <c r="W69" i="96" s="1"/>
  <c r="W70" i="96" s="1"/>
  <c r="W71" i="96" s="1"/>
  <c r="W72" i="96" s="1"/>
  <c r="W73" i="96" s="1"/>
  <c r="W74" i="96" s="1"/>
  <c r="W75" i="96" s="1"/>
  <c r="W76" i="96" s="1"/>
  <c r="W77" i="96" s="1"/>
  <c r="W78" i="96" s="1"/>
  <c r="W79" i="96" s="1"/>
  <c r="W80" i="96" s="1"/>
  <c r="W81" i="96" s="1"/>
  <c r="W82" i="96" s="1"/>
  <c r="W83" i="96" s="1"/>
  <c r="W84" i="96" s="1"/>
  <c r="W85" i="96" s="1"/>
  <c r="W86" i="96" s="1"/>
  <c r="W87" i="96" s="1"/>
  <c r="W88" i="96" s="1"/>
  <c r="W89" i="96" s="1"/>
  <c r="W90" i="96" s="1"/>
  <c r="W91" i="96" s="1"/>
  <c r="W92" i="96" s="1"/>
  <c r="W93" i="96" s="1"/>
  <c r="W94" i="96" s="1"/>
  <c r="W95" i="96" s="1"/>
  <c r="W96" i="96" s="1"/>
  <c r="W97" i="96" s="1"/>
  <c r="W98" i="96" s="1"/>
  <c r="W99" i="96" s="1"/>
  <c r="W100" i="96" s="1"/>
  <c r="W101" i="96" s="1"/>
  <c r="W102" i="96" s="1"/>
  <c r="W103" i="96" s="1"/>
  <c r="R59" i="96"/>
  <c r="R60" i="96" s="1"/>
  <c r="R61" i="96" s="1"/>
  <c r="R62" i="96" s="1"/>
  <c r="R63" i="96" s="1"/>
  <c r="R64" i="96" s="1"/>
  <c r="R54" i="96"/>
  <c r="R55" i="96" s="1"/>
  <c r="R56" i="96" s="1"/>
  <c r="R48" i="96"/>
  <c r="R49" i="96" s="1"/>
  <c r="R50" i="96" s="1"/>
  <c r="R51" i="96" s="1"/>
  <c r="W43" i="96"/>
  <c r="W44" i="96" s="1"/>
  <c r="W45" i="96" s="1"/>
  <c r="W46" i="96" s="1"/>
  <c r="W47" i="96" s="1"/>
  <c r="W48" i="96" s="1"/>
  <c r="W49" i="96" s="1"/>
  <c r="W50" i="96" s="1"/>
  <c r="W51" i="96" s="1"/>
  <c r="W52" i="96" s="1"/>
  <c r="W53" i="96" s="1"/>
  <c r="W54" i="96" s="1"/>
  <c r="W55" i="96" s="1"/>
  <c r="W56" i="96" s="1"/>
  <c r="W57" i="96" s="1"/>
  <c r="W58" i="96" s="1"/>
  <c r="L43" i="96"/>
  <c r="L44" i="96" s="1"/>
  <c r="L45" i="96" s="1"/>
  <c r="L46" i="96" s="1"/>
  <c r="L47" i="96" s="1"/>
  <c r="L48" i="96" s="1"/>
  <c r="L49" i="96" s="1"/>
  <c r="L50" i="96" s="1"/>
  <c r="L51" i="96" s="1"/>
  <c r="L52" i="96" s="1"/>
  <c r="L53" i="96" s="1"/>
  <c r="L54" i="96" s="1"/>
  <c r="L55" i="96" s="1"/>
  <c r="L56" i="96" s="1"/>
  <c r="L57" i="96" s="1"/>
  <c r="L58" i="96" s="1"/>
  <c r="L59" i="96" s="1"/>
  <c r="L60" i="96" s="1"/>
  <c r="L61" i="96" s="1"/>
  <c r="L62" i="96" s="1"/>
  <c r="L63" i="96" s="1"/>
  <c r="L64" i="96" s="1"/>
  <c r="L65" i="96" s="1"/>
  <c r="L66" i="96" s="1"/>
  <c r="L67" i="96" s="1"/>
  <c r="L68" i="96" s="1"/>
  <c r="L69" i="96" s="1"/>
  <c r="L70" i="96" s="1"/>
  <c r="L71" i="96" s="1"/>
  <c r="L72" i="96" s="1"/>
  <c r="R33" i="96"/>
  <c r="R34" i="96" s="1"/>
  <c r="R35" i="96" s="1"/>
  <c r="R36" i="96" s="1"/>
  <c r="R37" i="96" s="1"/>
  <c r="R38" i="96" s="1"/>
  <c r="R39" i="96" s="1"/>
  <c r="R40" i="96" s="1"/>
  <c r="R41" i="96" s="1"/>
  <c r="R42" i="96" s="1"/>
  <c r="R43" i="96" s="1"/>
  <c r="R44" i="96" s="1"/>
  <c r="R45" i="96" s="1"/>
  <c r="B27" i="96"/>
  <c r="E26" i="96"/>
  <c r="C26" i="96"/>
  <c r="R21" i="96"/>
  <c r="R22" i="96" s="1"/>
  <c r="R23" i="96" s="1"/>
  <c r="R24" i="96" s="1"/>
  <c r="R25" i="96" s="1"/>
  <c r="R26" i="96" s="1"/>
  <c r="R27" i="96" s="1"/>
  <c r="R28" i="96" s="1"/>
  <c r="R29" i="96" s="1"/>
  <c r="R30" i="96" s="1"/>
  <c r="W13" i="96"/>
  <c r="W14" i="96" s="1"/>
  <c r="W15" i="96" s="1"/>
  <c r="W16" i="96" s="1"/>
  <c r="W17" i="96" s="1"/>
  <c r="W18" i="96" s="1"/>
  <c r="W19" i="96" s="1"/>
  <c r="W20" i="96" s="1"/>
  <c r="W21" i="96" s="1"/>
  <c r="W22" i="96" s="1"/>
  <c r="W23" i="96" s="1"/>
  <c r="W24" i="96" s="1"/>
  <c r="W25" i="96" s="1"/>
  <c r="W26" i="96" s="1"/>
  <c r="W27" i="96" s="1"/>
  <c r="W28" i="96" s="1"/>
  <c r="W29" i="96" s="1"/>
  <c r="W30" i="96" s="1"/>
  <c r="W31" i="96" s="1"/>
  <c r="W32" i="96" s="1"/>
  <c r="W33" i="96" s="1"/>
  <c r="W34" i="96" s="1"/>
  <c r="W35" i="96" s="1"/>
  <c r="W36" i="96" s="1"/>
  <c r="W37" i="96" s="1"/>
  <c r="W38" i="96" s="1"/>
  <c r="W39" i="96" s="1"/>
  <c r="W40" i="96" s="1"/>
  <c r="R13" i="96"/>
  <c r="R14" i="96" s="1"/>
  <c r="R15" i="96" s="1"/>
  <c r="R16" i="96" s="1"/>
  <c r="R17" i="96" s="1"/>
  <c r="R18" i="96" s="1"/>
  <c r="L11" i="96"/>
  <c r="L12" i="96" s="1"/>
  <c r="L13" i="96" s="1"/>
  <c r="L14" i="96" s="1"/>
  <c r="L15" i="96" s="1"/>
  <c r="L16" i="96" s="1"/>
  <c r="L17" i="96" s="1"/>
  <c r="L18" i="96" s="1"/>
  <c r="L19" i="96" s="1"/>
  <c r="L20" i="96" s="1"/>
  <c r="L21" i="96" s="1"/>
  <c r="L22" i="96" s="1"/>
  <c r="L23" i="96" s="1"/>
  <c r="L24" i="96" s="1"/>
  <c r="L25" i="96" s="1"/>
  <c r="L26" i="96" s="1"/>
  <c r="L27" i="96" s="1"/>
  <c r="L28" i="96" s="1"/>
  <c r="L29" i="96" s="1"/>
  <c r="L30" i="96" s="1"/>
  <c r="L31" i="96" s="1"/>
  <c r="L32" i="96" s="1"/>
  <c r="L33" i="96" s="1"/>
  <c r="L34" i="96" s="1"/>
  <c r="L35" i="96" s="1"/>
  <c r="L36" i="96" s="1"/>
  <c r="L37" i="96" s="1"/>
  <c r="L38" i="96" s="1"/>
  <c r="L39" i="96" s="1"/>
  <c r="L40" i="96" s="1"/>
  <c r="AG7" i="96"/>
  <c r="AG6" i="96"/>
  <c r="AD2" i="96"/>
  <c r="AC2" i="96"/>
  <c r="AB2" i="96"/>
  <c r="AA2" i="96"/>
  <c r="Z2" i="96"/>
  <c r="Y2" i="96"/>
  <c r="X2" i="96"/>
  <c r="W2" i="96"/>
  <c r="U2" i="96"/>
  <c r="T2" i="96"/>
  <c r="S2" i="96"/>
  <c r="R2" i="96"/>
  <c r="P2" i="96"/>
  <c r="O2" i="96"/>
  <c r="N2" i="96"/>
  <c r="M2" i="96"/>
  <c r="L2" i="96"/>
  <c r="J2" i="96"/>
  <c r="I2" i="96"/>
  <c r="H2" i="96"/>
  <c r="G2" i="96"/>
  <c r="E2" i="96"/>
  <c r="D2" i="96"/>
  <c r="C2" i="96"/>
  <c r="B2" i="96"/>
  <c r="AH1" i="96"/>
  <c r="AG1" i="96"/>
  <c r="AD1" i="96"/>
  <c r="AC1" i="96"/>
  <c r="AB1" i="96"/>
  <c r="AA1" i="96"/>
  <c r="Z1" i="96"/>
  <c r="Y1" i="96"/>
  <c r="X1" i="96"/>
  <c r="W1" i="96"/>
  <c r="U1" i="96"/>
  <c r="T1" i="96"/>
  <c r="S1" i="96"/>
  <c r="R1" i="96"/>
  <c r="P1" i="96"/>
  <c r="O1" i="96"/>
  <c r="N1" i="96"/>
  <c r="M1" i="96"/>
  <c r="L1" i="96"/>
  <c r="J1" i="96"/>
  <c r="I1" i="96"/>
  <c r="H1" i="96"/>
  <c r="G1" i="96"/>
  <c r="E1" i="96"/>
  <c r="D1" i="96"/>
  <c r="C1" i="96"/>
  <c r="B1" i="96"/>
  <c r="A1" i="96"/>
  <c r="K139" i="103"/>
  <c r="K146" i="103"/>
  <c r="K136" i="103"/>
  <c r="K143" i="101"/>
  <c r="D46" i="103"/>
  <c r="P53" i="103"/>
  <c r="K105" i="103"/>
  <c r="K140" i="103"/>
  <c r="I150" i="101"/>
  <c r="D52" i="103"/>
  <c r="Q46" i="103"/>
  <c r="K135" i="103"/>
  <c r="B235" i="101"/>
  <c r="K143" i="103"/>
  <c r="I152" i="101"/>
  <c r="D77" i="103"/>
  <c r="P52" i="103"/>
  <c r="K142" i="103"/>
  <c r="M208" i="103"/>
  <c r="J99" i="103"/>
  <c r="K115" i="103"/>
  <c r="K145" i="103"/>
  <c r="M202" i="103"/>
  <c r="K108" i="103"/>
  <c r="I151" i="101"/>
  <c r="K102" i="103"/>
  <c r="E38" i="103"/>
  <c r="F235" i="101"/>
  <c r="J98" i="103"/>
  <c r="K133" i="103"/>
  <c r="D73" i="103"/>
  <c r="K116" i="103"/>
  <c r="N145" i="103"/>
  <c r="D49" i="103"/>
  <c r="P51" i="103"/>
  <c r="K104" i="103"/>
  <c r="K106" i="103"/>
  <c r="K137" i="103"/>
  <c r="D75" i="103"/>
  <c r="K103" i="103"/>
  <c r="I154" i="101"/>
  <c r="D61" i="103"/>
  <c r="M207" i="103"/>
  <c r="D55" i="103"/>
  <c r="K147" i="103"/>
  <c r="K111" i="103"/>
  <c r="G236" i="101"/>
  <c r="D107" i="105"/>
  <c r="D58" i="103"/>
  <c r="I143" i="101"/>
  <c r="I153" i="101"/>
  <c r="J235" i="101"/>
  <c r="I236" i="101"/>
  <c r="Q47" i="103"/>
  <c r="K109" i="103"/>
  <c r="K134" i="103"/>
  <c r="M203" i="103"/>
  <c r="H235" i="101"/>
  <c r="K114" i="103"/>
  <c r="D235" i="101"/>
  <c r="C468" i="101" l="1"/>
  <c r="I468" i="101" s="1"/>
  <c r="H468" i="101" s="1"/>
  <c r="B468" i="101" s="1"/>
  <c r="D468" i="101" s="1"/>
  <c r="N198" i="104"/>
  <c r="O198" i="104" s="1"/>
  <c r="N199" i="104" s="1"/>
  <c r="N216" i="104"/>
  <c r="I216" i="104" s="1"/>
  <c r="N258" i="104"/>
  <c r="O258" i="104" s="1"/>
  <c r="N259" i="104" s="1"/>
  <c r="C466" i="101"/>
  <c r="I466" i="101" s="1"/>
  <c r="H466" i="101" s="1"/>
  <c r="B466" i="101" s="1"/>
  <c r="C166" i="103"/>
  <c r="D166" i="103" s="1"/>
  <c r="G166" i="103" s="1"/>
  <c r="N78" i="104"/>
  <c r="O78" i="104" s="1"/>
  <c r="N79" i="104" s="1"/>
  <c r="O79" i="104" s="1"/>
  <c r="N80" i="104" s="1"/>
  <c r="N96" i="104"/>
  <c r="O96" i="104" s="1"/>
  <c r="N97" i="104" s="1"/>
  <c r="N240" i="104"/>
  <c r="O240" i="104" s="1"/>
  <c r="N241" i="104" s="1"/>
  <c r="N288" i="104"/>
  <c r="I288" i="104" s="1"/>
  <c r="N138" i="104"/>
  <c r="O138" i="104" s="1"/>
  <c r="N139" i="104" s="1"/>
  <c r="AS3" i="99"/>
  <c r="J8" i="104"/>
  <c r="R33" i="104"/>
  <c r="N222" i="104"/>
  <c r="I222" i="104" s="1"/>
  <c r="N180" i="104"/>
  <c r="O180" i="104" s="1"/>
  <c r="N181" i="104" s="1"/>
  <c r="O181" i="104" s="1"/>
  <c r="N182" i="104" s="1"/>
  <c r="N270" i="104"/>
  <c r="O270" i="104" s="1"/>
  <c r="N271" i="104" s="1"/>
  <c r="S240" i="101"/>
  <c r="U240" i="101" s="1"/>
  <c r="V240" i="101" s="1"/>
  <c r="N186" i="104"/>
  <c r="O186" i="104" s="1"/>
  <c r="N187" i="104" s="1"/>
  <c r="N228" i="104"/>
  <c r="N276" i="104"/>
  <c r="O276" i="104" s="1"/>
  <c r="N277" i="104" s="1"/>
  <c r="D167" i="103"/>
  <c r="N102" i="104"/>
  <c r="O102" i="104" s="1"/>
  <c r="N103" i="104" s="1"/>
  <c r="O103" i="104" s="1"/>
  <c r="N104" i="104" s="1"/>
  <c r="O104" i="104" s="1"/>
  <c r="N105" i="104" s="1"/>
  <c r="N150" i="104"/>
  <c r="O150" i="104" s="1"/>
  <c r="N151" i="104" s="1"/>
  <c r="F122" i="100"/>
  <c r="F114" i="100" s="1"/>
  <c r="E126" i="100" s="1"/>
  <c r="N120" i="104"/>
  <c r="I120" i="104" s="1"/>
  <c r="C464" i="101"/>
  <c r="I464" i="101" s="1"/>
  <c r="H464" i="101" s="1"/>
  <c r="B464" i="101" s="1"/>
  <c r="D464" i="101" s="1"/>
  <c r="C465" i="101"/>
  <c r="I465" i="101" s="1"/>
  <c r="H465" i="101" s="1"/>
  <c r="B465" i="101" s="1"/>
  <c r="N174" i="104"/>
  <c r="O174" i="104" s="1"/>
  <c r="N175" i="104" s="1"/>
  <c r="N264" i="104"/>
  <c r="O264" i="104" s="1"/>
  <c r="N265" i="104" s="1"/>
  <c r="AH3" i="97"/>
  <c r="N144" i="104"/>
  <c r="O144" i="104" s="1"/>
  <c r="N145" i="104" s="1"/>
  <c r="R202" i="101"/>
  <c r="R47" i="104"/>
  <c r="N66" i="104"/>
  <c r="O66" i="104" s="1"/>
  <c r="N67" i="104" s="1"/>
  <c r="O67" i="104" s="1"/>
  <c r="N68" i="104" s="1"/>
  <c r="N282" i="104"/>
  <c r="I282" i="104" s="1"/>
  <c r="N48" i="104"/>
  <c r="O48" i="104" s="1"/>
  <c r="N49" i="104" s="1"/>
  <c r="N156" i="104"/>
  <c r="I156" i="104" s="1"/>
  <c r="Q56" i="104"/>
  <c r="N60" i="104"/>
  <c r="O60" i="104" s="1"/>
  <c r="N61" i="104" s="1"/>
  <c r="N192" i="104"/>
  <c r="N234" i="104"/>
  <c r="O234" i="104" s="1"/>
  <c r="N235" i="104" s="1"/>
  <c r="L114" i="100"/>
  <c r="Q28" i="104"/>
  <c r="N36" i="104"/>
  <c r="O36" i="104" s="1"/>
  <c r="N37" i="104" s="1"/>
  <c r="O37" i="104" s="1"/>
  <c r="N38" i="104" s="1"/>
  <c r="N72" i="104"/>
  <c r="O72" i="104" s="1"/>
  <c r="N73" i="104" s="1"/>
  <c r="O73" i="104" s="1"/>
  <c r="N74" i="104" s="1"/>
  <c r="H154" i="101"/>
  <c r="J145" i="103"/>
  <c r="R41" i="104"/>
  <c r="R53" i="104"/>
  <c r="Q36" i="104"/>
  <c r="N54" i="104"/>
  <c r="I54" i="104" s="1"/>
  <c r="N90" i="104"/>
  <c r="O90" i="104" s="1"/>
  <c r="N91" i="104" s="1"/>
  <c r="N132" i="104"/>
  <c r="O132" i="104" s="1"/>
  <c r="N133" i="104" s="1"/>
  <c r="N252" i="104"/>
  <c r="I252" i="104" s="1"/>
  <c r="L331" i="101"/>
  <c r="Q63" i="104"/>
  <c r="Q66" i="104"/>
  <c r="F409" i="101"/>
  <c r="G409" i="101" s="1"/>
  <c r="J409" i="101" s="1"/>
  <c r="F411" i="101"/>
  <c r="G411" i="101" s="1"/>
  <c r="J411" i="101" s="1"/>
  <c r="R187" i="101"/>
  <c r="F413" i="101"/>
  <c r="G413" i="101" s="1"/>
  <c r="J413" i="101" s="1"/>
  <c r="Q46" i="104"/>
  <c r="Q52" i="104"/>
  <c r="F124" i="100"/>
  <c r="K163" i="101"/>
  <c r="J164" i="101" s="1"/>
  <c r="J114" i="103"/>
  <c r="J142" i="103"/>
  <c r="Q37" i="104"/>
  <c r="R40" i="104"/>
  <c r="Q49" i="104"/>
  <c r="Q70" i="104"/>
  <c r="N84" i="104"/>
  <c r="O84" i="104" s="1"/>
  <c r="N85" i="104" s="1"/>
  <c r="N204" i="104"/>
  <c r="I204" i="104" s="1"/>
  <c r="L294" i="101"/>
  <c r="F407" i="101"/>
  <c r="G407" i="101" s="1"/>
  <c r="J407" i="101" s="1"/>
  <c r="Q60" i="104"/>
  <c r="R204" i="101"/>
  <c r="S204" i="101" s="1"/>
  <c r="R64" i="104"/>
  <c r="O189" i="101"/>
  <c r="J490" i="101"/>
  <c r="Q73" i="104"/>
  <c r="N114" i="104"/>
  <c r="I114" i="104" s="1"/>
  <c r="Q72" i="104"/>
  <c r="N395" i="101"/>
  <c r="E104" i="103"/>
  <c r="F104" i="103" s="1"/>
  <c r="E135" i="103"/>
  <c r="J134" i="103" s="1"/>
  <c r="N42" i="104"/>
  <c r="I42" i="104" s="1"/>
  <c r="Q45" i="104"/>
  <c r="R69" i="104"/>
  <c r="Q34" i="104"/>
  <c r="D213" i="101"/>
  <c r="Q59" i="104"/>
  <c r="Q65" i="104"/>
  <c r="N294" i="104"/>
  <c r="O294" i="104" s="1"/>
  <c r="N295" i="104" s="1"/>
  <c r="F408" i="101"/>
  <c r="G408" i="101" s="1"/>
  <c r="J408" i="101" s="1"/>
  <c r="F410" i="101"/>
  <c r="G410" i="101" s="1"/>
  <c r="J410" i="101" s="1"/>
  <c r="D195" i="101"/>
  <c r="R44" i="104"/>
  <c r="P3" i="105"/>
  <c r="P4" i="105"/>
  <c r="P2" i="105"/>
  <c r="R38" i="104"/>
  <c r="Q38" i="104"/>
  <c r="Q71" i="104"/>
  <c r="R71" i="104"/>
  <c r="R68" i="104"/>
  <c r="Q68" i="104"/>
  <c r="R32" i="104"/>
  <c r="Q32" i="104"/>
  <c r="Q55" i="104"/>
  <c r="R30" i="104"/>
  <c r="R61" i="104"/>
  <c r="Q61" i="104"/>
  <c r="R50" i="104"/>
  <c r="Q50" i="104"/>
  <c r="V3" i="104"/>
  <c r="R57" i="104"/>
  <c r="Q57" i="104"/>
  <c r="Q35" i="104"/>
  <c r="R35" i="104"/>
  <c r="R58" i="104"/>
  <c r="Q58" i="104"/>
  <c r="N168" i="104"/>
  <c r="Q31" i="104"/>
  <c r="R31" i="104"/>
  <c r="R42" i="104"/>
  <c r="R51" i="104"/>
  <c r="Q51" i="104"/>
  <c r="R54" i="104"/>
  <c r="Q54" i="104"/>
  <c r="R74" i="104"/>
  <c r="Q74" i="104"/>
  <c r="R39" i="104"/>
  <c r="Q39" i="104"/>
  <c r="Q48" i="104"/>
  <c r="R43" i="104"/>
  <c r="Q43" i="104"/>
  <c r="R62" i="104"/>
  <c r="Q62" i="104"/>
  <c r="R67" i="104"/>
  <c r="Q67" i="104"/>
  <c r="N108" i="104"/>
  <c r="N126" i="104"/>
  <c r="N162" i="104"/>
  <c r="N30" i="104"/>
  <c r="N210" i="104"/>
  <c r="N246" i="104"/>
  <c r="J109" i="103"/>
  <c r="H101" i="103"/>
  <c r="H145" i="103"/>
  <c r="J143" i="103"/>
  <c r="H139" i="103"/>
  <c r="T220" i="103"/>
  <c r="H111" i="103"/>
  <c r="G173" i="103"/>
  <c r="G178" i="103" s="1"/>
  <c r="E181" i="103" s="1"/>
  <c r="H167" i="103" s="1"/>
  <c r="G111" i="103"/>
  <c r="H173" i="103"/>
  <c r="H177" i="103"/>
  <c r="E167" i="103" s="1"/>
  <c r="BF3" i="103"/>
  <c r="P217" i="103"/>
  <c r="X239" i="101"/>
  <c r="Y239" i="101" s="1"/>
  <c r="Z239" i="101" s="1"/>
  <c r="W239" i="101"/>
  <c r="G177" i="101"/>
  <c r="H177" i="101"/>
  <c r="J177" i="101" s="1"/>
  <c r="R111" i="101"/>
  <c r="S111" i="101" s="1"/>
  <c r="T111" i="101" s="1"/>
  <c r="Q111" i="101"/>
  <c r="I467" i="101"/>
  <c r="H467" i="101" s="1"/>
  <c r="B467" i="101" s="1"/>
  <c r="D467" i="101" s="1"/>
  <c r="R113" i="101"/>
  <c r="S113" i="101" s="1"/>
  <c r="T113" i="101" s="1"/>
  <c r="Q113" i="101"/>
  <c r="C395" i="101"/>
  <c r="E395" i="101"/>
  <c r="D395" i="101"/>
  <c r="F233" i="101"/>
  <c r="G233" i="101" s="1"/>
  <c r="Q116" i="101"/>
  <c r="R116" i="101"/>
  <c r="S116" i="101" s="1"/>
  <c r="T116" i="101" s="1"/>
  <c r="E192" i="101"/>
  <c r="H349" i="101"/>
  <c r="H352" i="101" s="1"/>
  <c r="I349" i="101"/>
  <c r="I352" i="101" s="1"/>
  <c r="H395" i="101"/>
  <c r="D194" i="101"/>
  <c r="E194" i="101" s="1"/>
  <c r="J349" i="101"/>
  <c r="J352" i="101" s="1"/>
  <c r="I395" i="101"/>
  <c r="R229" i="101"/>
  <c r="S229" i="101" s="1"/>
  <c r="L291" i="101"/>
  <c r="O110" i="101"/>
  <c r="P110" i="101" s="1"/>
  <c r="O112" i="101"/>
  <c r="P112" i="101" s="1"/>
  <c r="O115" i="101"/>
  <c r="P115" i="101" s="1"/>
  <c r="O117" i="101"/>
  <c r="P117" i="101" s="1"/>
  <c r="M349" i="101"/>
  <c r="M352" i="101" s="1"/>
  <c r="L395" i="101"/>
  <c r="J489" i="101"/>
  <c r="K349" i="101"/>
  <c r="K352" i="101" s="1"/>
  <c r="E208" i="101"/>
  <c r="L328" i="101"/>
  <c r="D211" i="101"/>
  <c r="E211" i="101" s="1"/>
  <c r="P117" i="100"/>
  <c r="B69" i="100"/>
  <c r="C69" i="100" s="1"/>
  <c r="AR5" i="99"/>
  <c r="AR3" i="99" a="1"/>
  <c r="AR3" i="99" s="1"/>
  <c r="AR4" i="99"/>
  <c r="AG3" i="97"/>
  <c r="AG4" i="97"/>
  <c r="AG5" i="97"/>
  <c r="AG4" i="96"/>
  <c r="AH3" i="96"/>
  <c r="AG5" i="96"/>
  <c r="AG3" i="96"/>
  <c r="O120" i="104" l="1"/>
  <c r="N121" i="104" s="1"/>
  <c r="I198" i="104"/>
  <c r="O216" i="104"/>
  <c r="N217" i="104" s="1"/>
  <c r="I217" i="104" s="1"/>
  <c r="D466" i="101"/>
  <c r="O288" i="104"/>
  <c r="N289" i="104" s="1"/>
  <c r="O289" i="104" s="1"/>
  <c r="N290" i="104" s="1"/>
  <c r="I240" i="104"/>
  <c r="J103" i="103"/>
  <c r="I138" i="104"/>
  <c r="I258" i="104"/>
  <c r="E122" i="100"/>
  <c r="I181" i="104"/>
  <c r="O222" i="104"/>
  <c r="N223" i="104" s="1"/>
  <c r="O223" i="104" s="1"/>
  <c r="N224" i="104" s="1"/>
  <c r="I186" i="104"/>
  <c r="I270" i="104"/>
  <c r="I174" i="104"/>
  <c r="O156" i="104"/>
  <c r="N157" i="104" s="1"/>
  <c r="O157" i="104" s="1"/>
  <c r="N158" i="104" s="1"/>
  <c r="I158" i="104" s="1"/>
  <c r="I144" i="104"/>
  <c r="E124" i="100"/>
  <c r="I180" i="104"/>
  <c r="I276" i="104"/>
  <c r="I264" i="104"/>
  <c r="I37" i="104"/>
  <c r="O228" i="104"/>
  <c r="N229" i="104" s="1"/>
  <c r="I228" i="104"/>
  <c r="I150" i="104"/>
  <c r="O114" i="104"/>
  <c r="N115" i="104" s="1"/>
  <c r="I115" i="104" s="1"/>
  <c r="I104" i="104"/>
  <c r="D465" i="101"/>
  <c r="F166" i="103"/>
  <c r="O282" i="104"/>
  <c r="N283" i="104" s="1"/>
  <c r="I283" i="104" s="1"/>
  <c r="O252" i="104"/>
  <c r="N253" i="104" s="1"/>
  <c r="O253" i="104" s="1"/>
  <c r="N254" i="104" s="1"/>
  <c r="J491" i="101"/>
  <c r="J492" i="101" s="1"/>
  <c r="I132" i="104"/>
  <c r="I294" i="104"/>
  <c r="O54" i="104"/>
  <c r="N55" i="104" s="1"/>
  <c r="I55" i="104" s="1"/>
  <c r="O42" i="104"/>
  <c r="N43" i="104" s="1"/>
  <c r="O43" i="104" s="1"/>
  <c r="N44" i="104" s="1"/>
  <c r="I234" i="104"/>
  <c r="O192" i="104"/>
  <c r="N193" i="104" s="1"/>
  <c r="I192" i="104"/>
  <c r="I164" i="101"/>
  <c r="H164" i="101" s="1"/>
  <c r="F135" i="103"/>
  <c r="H135" i="103" s="1"/>
  <c r="J137" i="103" s="1"/>
  <c r="F128" i="100"/>
  <c r="O259" i="104"/>
  <c r="N260" i="104" s="1"/>
  <c r="I259" i="104"/>
  <c r="O204" i="104"/>
  <c r="N205" i="104" s="1"/>
  <c r="I205" i="104" s="1"/>
  <c r="I295" i="104"/>
  <c r="O295" i="104"/>
  <c r="N296" i="104" s="1"/>
  <c r="I182" i="104"/>
  <c r="O182" i="104"/>
  <c r="N183" i="104" s="1"/>
  <c r="O85" i="104"/>
  <c r="N86" i="104" s="1"/>
  <c r="O74" i="104"/>
  <c r="N75" i="104" s="1"/>
  <c r="O61" i="104"/>
  <c r="N62" i="104" s="1"/>
  <c r="I168" i="104"/>
  <c r="O168" i="104"/>
  <c r="N169" i="104" s="1"/>
  <c r="I133" i="104"/>
  <c r="O133" i="104"/>
  <c r="N134" i="104" s="1"/>
  <c r="O187" i="104"/>
  <c r="N188" i="104" s="1"/>
  <c r="I187" i="104"/>
  <c r="O271" i="104"/>
  <c r="N272" i="104" s="1"/>
  <c r="I271" i="104"/>
  <c r="O175" i="104"/>
  <c r="N176" i="104" s="1"/>
  <c r="I175" i="104"/>
  <c r="O80" i="104"/>
  <c r="N81" i="104" s="1"/>
  <c r="O68" i="104"/>
  <c r="N69" i="104" s="1"/>
  <c r="I68" i="104"/>
  <c r="O199" i="104"/>
  <c r="N200" i="104" s="1"/>
  <c r="I199" i="104"/>
  <c r="I38" i="104"/>
  <c r="O38" i="104"/>
  <c r="N39" i="104" s="1"/>
  <c r="I145" i="104"/>
  <c r="O145" i="104"/>
  <c r="N146" i="104" s="1"/>
  <c r="I105" i="104"/>
  <c r="O105" i="104"/>
  <c r="N106" i="104" s="1"/>
  <c r="O246" i="104"/>
  <c r="N247" i="104" s="1"/>
  <c r="I246" i="104"/>
  <c r="O91" i="104"/>
  <c r="N92" i="104" s="1"/>
  <c r="O97" i="104"/>
  <c r="N98" i="104" s="1"/>
  <c r="O210" i="104"/>
  <c r="N211" i="104" s="1"/>
  <c r="I210" i="104"/>
  <c r="O30" i="104"/>
  <c r="N31" i="104" s="1"/>
  <c r="I30" i="104"/>
  <c r="O162" i="104"/>
  <c r="N163" i="104" s="1"/>
  <c r="I162" i="104"/>
  <c r="O126" i="104"/>
  <c r="N127" i="104" s="1"/>
  <c r="I126" i="104"/>
  <c r="O108" i="104"/>
  <c r="N109" i="104" s="1"/>
  <c r="I151" i="104"/>
  <c r="O151" i="104"/>
  <c r="N152" i="104" s="1"/>
  <c r="O241" i="104"/>
  <c r="N242" i="104" s="1"/>
  <c r="I241" i="104"/>
  <c r="O265" i="104"/>
  <c r="N266" i="104" s="1"/>
  <c r="I265" i="104"/>
  <c r="I121" i="104"/>
  <c r="O121" i="104"/>
  <c r="N122" i="104" s="1"/>
  <c r="O277" i="104"/>
  <c r="N278" i="104" s="1"/>
  <c r="I277" i="104"/>
  <c r="I235" i="104"/>
  <c r="O235" i="104"/>
  <c r="N236" i="104" s="1"/>
  <c r="I49" i="104"/>
  <c r="O49" i="104"/>
  <c r="N50" i="104" s="1"/>
  <c r="I139" i="104"/>
  <c r="O139" i="104"/>
  <c r="N140" i="104" s="1"/>
  <c r="G114" i="103"/>
  <c r="J111" i="103"/>
  <c r="H114" i="103"/>
  <c r="H108" i="103"/>
  <c r="I99" i="103" s="1"/>
  <c r="H104" i="103"/>
  <c r="J106" i="103" s="1"/>
  <c r="J104" i="103"/>
  <c r="F181" i="103"/>
  <c r="H178" i="103"/>
  <c r="G167" i="103" s="1"/>
  <c r="X240" i="101"/>
  <c r="Y240" i="101" s="1"/>
  <c r="Z240" i="101" s="1"/>
  <c r="W240" i="101"/>
  <c r="Q110" i="101"/>
  <c r="R110" i="101"/>
  <c r="S110" i="101" s="1"/>
  <c r="T110" i="101" s="1"/>
  <c r="Q112" i="101"/>
  <c r="R112" i="101"/>
  <c r="S112" i="101" s="1"/>
  <c r="T112" i="101" s="1"/>
  <c r="U229" i="101"/>
  <c r="V229" i="101" s="1"/>
  <c r="W229" i="101" s="1"/>
  <c r="T229" i="101"/>
  <c r="Q115" i="101"/>
  <c r="R115" i="101"/>
  <c r="S115" i="101" s="1"/>
  <c r="T115" i="101" s="1"/>
  <c r="I233" i="101"/>
  <c r="J233" i="101" s="1"/>
  <c r="K233" i="101" s="1"/>
  <c r="H233" i="101"/>
  <c r="N352" i="101"/>
  <c r="Q117" i="101"/>
  <c r="R117" i="101"/>
  <c r="S117" i="101" s="1"/>
  <c r="T117" i="101" s="1"/>
  <c r="O217" i="104" l="1"/>
  <c r="N218" i="104" s="1"/>
  <c r="K463" i="101"/>
  <c r="E465" i="101" s="1"/>
  <c r="J465" i="101" s="1"/>
  <c r="K465" i="101" s="1"/>
  <c r="E128" i="100"/>
  <c r="I289" i="104"/>
  <c r="I223" i="104"/>
  <c r="O158" i="104"/>
  <c r="N159" i="104" s="1"/>
  <c r="I159" i="104" s="1"/>
  <c r="O115" i="104"/>
  <c r="N116" i="104" s="1"/>
  <c r="I116" i="104" s="1"/>
  <c r="I157" i="104"/>
  <c r="O55" i="104"/>
  <c r="N56" i="104" s="1"/>
  <c r="O56" i="104" s="1"/>
  <c r="N57" i="104" s="1"/>
  <c r="O283" i="104"/>
  <c r="N284" i="104" s="1"/>
  <c r="O284" i="104" s="1"/>
  <c r="N285" i="104" s="1"/>
  <c r="O205" i="104"/>
  <c r="N206" i="104" s="1"/>
  <c r="I206" i="104" s="1"/>
  <c r="O229" i="104"/>
  <c r="N230" i="104" s="1"/>
  <c r="I229" i="104"/>
  <c r="I253" i="104"/>
  <c r="J135" i="103"/>
  <c r="I43" i="104"/>
  <c r="K164" i="101"/>
  <c r="O193" i="104"/>
  <c r="N194" i="104" s="1"/>
  <c r="I193" i="104"/>
  <c r="G135" i="103"/>
  <c r="J136" i="103" s="1"/>
  <c r="O260" i="104"/>
  <c r="N261" i="104" s="1"/>
  <c r="I260" i="104"/>
  <c r="O81" i="104"/>
  <c r="N82" i="104" s="1"/>
  <c r="I81" i="104"/>
  <c r="I266" i="104"/>
  <c r="O266" i="104"/>
  <c r="N267" i="104" s="1"/>
  <c r="O86" i="104"/>
  <c r="N87" i="104" s="1"/>
  <c r="O224" i="104"/>
  <c r="N225" i="104" s="1"/>
  <c r="I224" i="104"/>
  <c r="O50" i="104"/>
  <c r="N51" i="104" s="1"/>
  <c r="I50" i="104"/>
  <c r="O188" i="104"/>
  <c r="N189" i="104" s="1"/>
  <c r="I188" i="104"/>
  <c r="O200" i="104"/>
  <c r="N201" i="104" s="1"/>
  <c r="I200" i="104"/>
  <c r="O109" i="104"/>
  <c r="N110" i="104" s="1"/>
  <c r="I278" i="104"/>
  <c r="O278" i="104"/>
  <c r="N279" i="104" s="1"/>
  <c r="O69" i="104"/>
  <c r="N70" i="104" s="1"/>
  <c r="I69" i="104"/>
  <c r="O62" i="104"/>
  <c r="N63" i="104" s="1"/>
  <c r="I106" i="104"/>
  <c r="O106" i="104"/>
  <c r="N107" i="104" s="1"/>
  <c r="O31" i="104"/>
  <c r="N32" i="104" s="1"/>
  <c r="I31" i="104"/>
  <c r="O272" i="104"/>
  <c r="N273" i="104" s="1"/>
  <c r="I272" i="104"/>
  <c r="I183" i="104"/>
  <c r="O183" i="104"/>
  <c r="N184" i="104" s="1"/>
  <c r="I152" i="104"/>
  <c r="O152" i="104"/>
  <c r="N153" i="104" s="1"/>
  <c r="I211" i="104"/>
  <c r="O211" i="104"/>
  <c r="N212" i="104" s="1"/>
  <c r="I236" i="104"/>
  <c r="O236" i="104"/>
  <c r="N237" i="104" s="1"/>
  <c r="O98" i="104"/>
  <c r="N99" i="104" s="1"/>
  <c r="O296" i="104"/>
  <c r="N297" i="104" s="1"/>
  <c r="I296" i="104"/>
  <c r="O122" i="104"/>
  <c r="N123" i="104" s="1"/>
  <c r="I122" i="104"/>
  <c r="O169" i="104"/>
  <c r="N170" i="104" s="1"/>
  <c r="I169" i="104"/>
  <c r="O163" i="104"/>
  <c r="N164" i="104" s="1"/>
  <c r="I163" i="104"/>
  <c r="I247" i="104"/>
  <c r="O247" i="104"/>
  <c r="N248" i="104" s="1"/>
  <c r="O75" i="104"/>
  <c r="N76" i="104" s="1"/>
  <c r="I176" i="104"/>
  <c r="O176" i="104"/>
  <c r="N177" i="104" s="1"/>
  <c r="J30" i="104"/>
  <c r="I242" i="104"/>
  <c r="O242" i="104"/>
  <c r="N243" i="104" s="1"/>
  <c r="O140" i="104"/>
  <c r="N141" i="104" s="1"/>
  <c r="I140" i="104"/>
  <c r="I146" i="104"/>
  <c r="O146" i="104"/>
  <c r="N147" i="104" s="1"/>
  <c r="O39" i="104"/>
  <c r="N40" i="104" s="1"/>
  <c r="I39" i="104"/>
  <c r="I290" i="104"/>
  <c r="O290" i="104"/>
  <c r="N291" i="104" s="1"/>
  <c r="I218" i="104"/>
  <c r="O218" i="104"/>
  <c r="N219" i="104" s="1"/>
  <c r="O44" i="104"/>
  <c r="N45" i="104" s="1"/>
  <c r="I44" i="104"/>
  <c r="O134" i="104"/>
  <c r="N135" i="104" s="1"/>
  <c r="I134" i="104"/>
  <c r="I127" i="104"/>
  <c r="O127" i="104"/>
  <c r="N128" i="104" s="1"/>
  <c r="O92" i="104"/>
  <c r="N93" i="104" s="1"/>
  <c r="I254" i="104"/>
  <c r="O254" i="104"/>
  <c r="N255" i="104" s="1"/>
  <c r="G104" i="103"/>
  <c r="J105" i="103" s="1"/>
  <c r="E466" i="101" l="1"/>
  <c r="E467" i="101"/>
  <c r="E464" i="101"/>
  <c r="I56" i="104"/>
  <c r="F465" i="101"/>
  <c r="E468" i="101"/>
  <c r="E454" i="101" s="1"/>
  <c r="C458" i="101" s="1"/>
  <c r="O206" i="104"/>
  <c r="N207" i="104" s="1"/>
  <c r="O207" i="104" s="1"/>
  <c r="N208" i="104" s="1"/>
  <c r="I284" i="104"/>
  <c r="O116" i="104"/>
  <c r="N117" i="104" s="1"/>
  <c r="I117" i="104" s="1"/>
  <c r="O159" i="104"/>
  <c r="N160" i="104" s="1"/>
  <c r="I160" i="104" s="1"/>
  <c r="BE4" i="103"/>
  <c r="I230" i="104"/>
  <c r="O230" i="104"/>
  <c r="N231" i="104" s="1"/>
  <c r="I194" i="104"/>
  <c r="O194" i="104"/>
  <c r="N195" i="104" s="1"/>
  <c r="I261" i="104"/>
  <c r="O261" i="104"/>
  <c r="N262" i="104" s="1"/>
  <c r="I51" i="104"/>
  <c r="O51" i="104"/>
  <c r="N52" i="104" s="1"/>
  <c r="I212" i="104"/>
  <c r="O212" i="104"/>
  <c r="N213" i="104" s="1"/>
  <c r="I70" i="104"/>
  <c r="O70" i="104"/>
  <c r="N71" i="104" s="1"/>
  <c r="O291" i="104"/>
  <c r="N292" i="104" s="1"/>
  <c r="I291" i="104"/>
  <c r="I225" i="104"/>
  <c r="O225" i="104"/>
  <c r="N226" i="104" s="1"/>
  <c r="I279" i="104"/>
  <c r="O279" i="104"/>
  <c r="N280" i="104" s="1"/>
  <c r="G30" i="104"/>
  <c r="H30" i="104"/>
  <c r="I273" i="104"/>
  <c r="O273" i="104"/>
  <c r="N274" i="104" s="1"/>
  <c r="O147" i="104"/>
  <c r="N148" i="104" s="1"/>
  <c r="I147" i="104"/>
  <c r="I201" i="104"/>
  <c r="O201" i="104"/>
  <c r="N202" i="104" s="1"/>
  <c r="I177" i="104"/>
  <c r="O177" i="104"/>
  <c r="N178" i="104" s="1"/>
  <c r="O107" i="104"/>
  <c r="I107" i="104"/>
  <c r="O135" i="104"/>
  <c r="N136" i="104" s="1"/>
  <c r="I135" i="104"/>
  <c r="I141" i="104"/>
  <c r="O141" i="104"/>
  <c r="N142" i="104" s="1"/>
  <c r="I297" i="104"/>
  <c r="O297" i="104"/>
  <c r="N298" i="104" s="1"/>
  <c r="I76" i="104"/>
  <c r="O76" i="104"/>
  <c r="N77" i="104" s="1"/>
  <c r="I237" i="104"/>
  <c r="O237" i="104"/>
  <c r="N238" i="104" s="1"/>
  <c r="O63" i="104"/>
  <c r="N64" i="104" s="1"/>
  <c r="I248" i="104"/>
  <c r="O248" i="104"/>
  <c r="N249" i="104" s="1"/>
  <c r="I153" i="104"/>
  <c r="O153" i="104"/>
  <c r="N154" i="104" s="1"/>
  <c r="O184" i="104"/>
  <c r="N185" i="104" s="1"/>
  <c r="I184" i="104"/>
  <c r="I40" i="104"/>
  <c r="O40" i="104"/>
  <c r="N41" i="104" s="1"/>
  <c r="O87" i="104"/>
  <c r="N88" i="104" s="1"/>
  <c r="I128" i="104"/>
  <c r="O128" i="104"/>
  <c r="N129" i="104" s="1"/>
  <c r="I32" i="104"/>
  <c r="O32" i="104"/>
  <c r="N33" i="104" s="1"/>
  <c r="O243" i="104"/>
  <c r="N244" i="104" s="1"/>
  <c r="I243" i="104"/>
  <c r="O82" i="104"/>
  <c r="N83" i="104" s="1"/>
  <c r="I82" i="104"/>
  <c r="O219" i="104"/>
  <c r="N220" i="104" s="1"/>
  <c r="I219" i="104"/>
  <c r="I164" i="104"/>
  <c r="O164" i="104"/>
  <c r="N165" i="104" s="1"/>
  <c r="I255" i="104"/>
  <c r="O255" i="104"/>
  <c r="N256" i="104" s="1"/>
  <c r="I170" i="104"/>
  <c r="O170" i="104"/>
  <c r="N171" i="104" s="1"/>
  <c r="O93" i="104"/>
  <c r="N94" i="104" s="1"/>
  <c r="I110" i="104"/>
  <c r="O110" i="104"/>
  <c r="N111" i="104" s="1"/>
  <c r="O57" i="104"/>
  <c r="N58" i="104" s="1"/>
  <c r="I57" i="104"/>
  <c r="O123" i="104"/>
  <c r="N124" i="104" s="1"/>
  <c r="I123" i="104"/>
  <c r="I267" i="104"/>
  <c r="O267" i="104"/>
  <c r="N268" i="104" s="1"/>
  <c r="I45" i="104"/>
  <c r="O45" i="104"/>
  <c r="N46" i="104" s="1"/>
  <c r="I285" i="104"/>
  <c r="O285" i="104"/>
  <c r="N286" i="104" s="1"/>
  <c r="O99" i="104"/>
  <c r="N100" i="104" s="1"/>
  <c r="I99" i="104"/>
  <c r="I189" i="104"/>
  <c r="O189" i="104"/>
  <c r="N190" i="104" s="1"/>
  <c r="BE3" i="103"/>
  <c r="BE5" i="103"/>
  <c r="J466" i="101"/>
  <c r="K466" i="101" s="1"/>
  <c r="F466" i="101"/>
  <c r="J464" i="101"/>
  <c r="K464" i="101" s="1"/>
  <c r="F464" i="101"/>
  <c r="F467" i="101"/>
  <c r="J467" i="101"/>
  <c r="K467" i="101" s="1"/>
  <c r="F468" i="101" l="1"/>
  <c r="I207" i="104"/>
  <c r="J468" i="101"/>
  <c r="K468" i="101" s="1"/>
  <c r="O117" i="104"/>
  <c r="N118" i="104" s="1"/>
  <c r="O118" i="104" s="1"/>
  <c r="N119" i="104" s="1"/>
  <c r="O160" i="104"/>
  <c r="N161" i="104" s="1"/>
  <c r="O231" i="104"/>
  <c r="N232" i="104" s="1"/>
  <c r="I231" i="104"/>
  <c r="H454" i="101"/>
  <c r="K460" i="101" s="1"/>
  <c r="O195" i="104"/>
  <c r="N196" i="104" s="1"/>
  <c r="I195" i="104"/>
  <c r="I262" i="104"/>
  <c r="O262" i="104"/>
  <c r="N263" i="104" s="1"/>
  <c r="I33" i="104"/>
  <c r="O33" i="104"/>
  <c r="N34" i="104" s="1"/>
  <c r="I142" i="104"/>
  <c r="O142" i="104"/>
  <c r="N143" i="104" s="1"/>
  <c r="I136" i="104"/>
  <c r="O136" i="104"/>
  <c r="N137" i="104" s="1"/>
  <c r="I58" i="104"/>
  <c r="O58" i="104"/>
  <c r="N59" i="104" s="1"/>
  <c r="O178" i="104"/>
  <c r="N179" i="104" s="1"/>
  <c r="I178" i="104"/>
  <c r="I129" i="104"/>
  <c r="O129" i="104"/>
  <c r="N130" i="104" s="1"/>
  <c r="O238" i="104"/>
  <c r="N239" i="104" s="1"/>
  <c r="I238" i="104"/>
  <c r="O268" i="104"/>
  <c r="N269" i="104" s="1"/>
  <c r="I268" i="104"/>
  <c r="O171" i="104"/>
  <c r="N172" i="104" s="1"/>
  <c r="I171" i="104"/>
  <c r="I41" i="104"/>
  <c r="O41" i="104"/>
  <c r="O298" i="104"/>
  <c r="N299" i="104" s="1"/>
  <c r="I298" i="104"/>
  <c r="I165" i="104"/>
  <c r="O165" i="104"/>
  <c r="N166" i="104" s="1"/>
  <c r="O154" i="104"/>
  <c r="N155" i="104" s="1"/>
  <c r="I154" i="104"/>
  <c r="O83" i="104"/>
  <c r="I83" i="104"/>
  <c r="O208" i="104"/>
  <c r="N209" i="104" s="1"/>
  <c r="I208" i="104"/>
  <c r="O292" i="104"/>
  <c r="N293" i="104" s="1"/>
  <c r="I292" i="104"/>
  <c r="I111" i="104"/>
  <c r="O111" i="104"/>
  <c r="N112" i="104" s="1"/>
  <c r="O64" i="104"/>
  <c r="N65" i="104" s="1"/>
  <c r="O148" i="104"/>
  <c r="N149" i="104" s="1"/>
  <c r="I148" i="104"/>
  <c r="O94" i="104"/>
  <c r="N95" i="104" s="1"/>
  <c r="I94" i="104"/>
  <c r="I213" i="104"/>
  <c r="O213" i="104"/>
  <c r="N214" i="104" s="1"/>
  <c r="O77" i="104"/>
  <c r="I77" i="104"/>
  <c r="I52" i="104"/>
  <c r="O52" i="104"/>
  <c r="N53" i="104" s="1"/>
  <c r="I286" i="104"/>
  <c r="O286" i="104"/>
  <c r="N287" i="104" s="1"/>
  <c r="O124" i="104"/>
  <c r="N125" i="104" s="1"/>
  <c r="I124" i="104"/>
  <c r="I202" i="104"/>
  <c r="O202" i="104"/>
  <c r="N203" i="104" s="1"/>
  <c r="O280" i="104"/>
  <c r="N281" i="104" s="1"/>
  <c r="I280" i="104"/>
  <c r="O46" i="104"/>
  <c r="N47" i="104" s="1"/>
  <c r="I46" i="104"/>
  <c r="O185" i="104"/>
  <c r="I185" i="104"/>
  <c r="O220" i="104"/>
  <c r="N221" i="104" s="1"/>
  <c r="I220" i="104"/>
  <c r="I226" i="104"/>
  <c r="O226" i="104"/>
  <c r="N227" i="104" s="1"/>
  <c r="I249" i="104"/>
  <c r="O249" i="104"/>
  <c r="N250" i="104" s="1"/>
  <c r="O71" i="104"/>
  <c r="I71" i="104"/>
  <c r="O244" i="104"/>
  <c r="N245" i="104" s="1"/>
  <c r="I244" i="104"/>
  <c r="O190" i="104"/>
  <c r="N191" i="104" s="1"/>
  <c r="I190" i="104"/>
  <c r="O274" i="104"/>
  <c r="N275" i="104" s="1"/>
  <c r="I274" i="104"/>
  <c r="O100" i="104"/>
  <c r="N101" i="104" s="1"/>
  <c r="I100" i="104"/>
  <c r="O256" i="104"/>
  <c r="N257" i="104" s="1"/>
  <c r="I256" i="104"/>
  <c r="I88" i="104"/>
  <c r="O88" i="104"/>
  <c r="N89" i="104" s="1"/>
  <c r="J463" i="101"/>
  <c r="K452" i="101" s="1"/>
  <c r="I452" i="101" s="1"/>
  <c r="B458" i="101"/>
  <c r="C460" i="101"/>
  <c r="B460" i="101"/>
  <c r="H458" i="101"/>
  <c r="G458" i="101"/>
  <c r="I118" i="104" l="1"/>
  <c r="F458" i="101"/>
  <c r="I161" i="104"/>
  <c r="O161" i="104"/>
  <c r="O232" i="104"/>
  <c r="N233" i="104" s="1"/>
  <c r="I232" i="104"/>
  <c r="O196" i="104"/>
  <c r="N197" i="104" s="1"/>
  <c r="I196" i="104"/>
  <c r="O263" i="104"/>
  <c r="I263" i="104"/>
  <c r="O239" i="104"/>
  <c r="I239" i="104"/>
  <c r="I209" i="104"/>
  <c r="O209" i="104"/>
  <c r="O299" i="104"/>
  <c r="I299" i="104"/>
  <c r="O65" i="104"/>
  <c r="O59" i="104"/>
  <c r="I59" i="104"/>
  <c r="O245" i="104"/>
  <c r="I245" i="104"/>
  <c r="I214" i="104"/>
  <c r="O214" i="104"/>
  <c r="N215" i="104" s="1"/>
  <c r="O281" i="104"/>
  <c r="I281" i="104"/>
  <c r="O203" i="104"/>
  <c r="I203" i="104"/>
  <c r="O137" i="104"/>
  <c r="I137" i="104"/>
  <c r="O257" i="104"/>
  <c r="I257" i="104"/>
  <c r="O112" i="104"/>
  <c r="N113" i="104" s="1"/>
  <c r="I112" i="104"/>
  <c r="O269" i="104"/>
  <c r="I269" i="104"/>
  <c r="O101" i="104"/>
  <c r="I101" i="104"/>
  <c r="O47" i="104"/>
  <c r="I47" i="104"/>
  <c r="O166" i="104"/>
  <c r="N167" i="104" s="1"/>
  <c r="I166" i="104"/>
  <c r="O119" i="104"/>
  <c r="I119" i="104"/>
  <c r="O95" i="104"/>
  <c r="I95" i="104"/>
  <c r="O143" i="104"/>
  <c r="I143" i="104"/>
  <c r="I287" i="104"/>
  <c r="O287" i="104"/>
  <c r="O130" i="104"/>
  <c r="N131" i="104" s="1"/>
  <c r="I130" i="104"/>
  <c r="O250" i="104"/>
  <c r="N251" i="104" s="1"/>
  <c r="I250" i="104"/>
  <c r="I149" i="104"/>
  <c r="O149" i="104"/>
  <c r="I53" i="104"/>
  <c r="O53" i="104"/>
  <c r="I293" i="104"/>
  <c r="O293" i="104"/>
  <c r="I155" i="104"/>
  <c r="O155" i="104"/>
  <c r="I275" i="104"/>
  <c r="O275" i="104"/>
  <c r="O125" i="104"/>
  <c r="I125" i="104"/>
  <c r="I227" i="104"/>
  <c r="O227" i="104"/>
  <c r="O191" i="104"/>
  <c r="I191" i="104"/>
  <c r="O221" i="104"/>
  <c r="I221" i="104"/>
  <c r="O179" i="104"/>
  <c r="I179" i="104"/>
  <c r="I34" i="104"/>
  <c r="O34" i="104"/>
  <c r="N35" i="104" s="1"/>
  <c r="O89" i="104"/>
  <c r="I89" i="104"/>
  <c r="O172" i="104"/>
  <c r="N173" i="104" s="1"/>
  <c r="I172" i="104"/>
  <c r="I460" i="101"/>
  <c r="D460" i="101"/>
  <c r="D458" i="101" l="1"/>
  <c r="J458" i="101"/>
  <c r="I233" i="104"/>
  <c r="O233" i="104"/>
  <c r="O197" i="104"/>
  <c r="I197" i="104"/>
  <c r="I173" i="104"/>
  <c r="O173" i="104"/>
  <c r="I131" i="104"/>
  <c r="O131" i="104"/>
  <c r="I167" i="104"/>
  <c r="O167" i="104"/>
  <c r="O215" i="104"/>
  <c r="I215" i="104"/>
  <c r="I35" i="104"/>
  <c r="O35" i="104"/>
  <c r="O113" i="104"/>
  <c r="I113" i="104"/>
  <c r="O251" i="104"/>
  <c r="I251" i="104"/>
  <c r="G460" i="101"/>
  <c r="F460" i="101"/>
  <c r="J460" i="101" s="1"/>
  <c r="I36" i="104" l="1"/>
  <c r="I48" i="104" l="1"/>
  <c r="I60" i="104" l="1"/>
  <c r="I61" i="104" l="1"/>
  <c r="I62" i="104" l="1"/>
  <c r="I63" i="104" l="1"/>
  <c r="I64" i="104" l="1"/>
  <c r="I65" i="104" s="1"/>
  <c r="I66" i="104" s="1"/>
  <c r="I67" i="104" s="1"/>
  <c r="I72" i="104" s="1"/>
  <c r="I73" i="104" s="1"/>
  <c r="I74" i="104" s="1"/>
  <c r="I75" i="104" s="1"/>
  <c r="I78" i="104" s="1"/>
  <c r="I79" i="104" s="1"/>
  <c r="I80" i="104" s="1"/>
  <c r="I84" i="104" s="1"/>
  <c r="I85" i="104" s="1"/>
  <c r="I86" i="104" s="1"/>
  <c r="I87" i="104" s="1"/>
  <c r="I90" i="104" s="1"/>
  <c r="I91" i="104" s="1"/>
  <c r="I92" i="104" s="1"/>
  <c r="I93" i="104" s="1"/>
  <c r="I96" i="104" s="1"/>
  <c r="I97" i="104" s="1"/>
  <c r="I98" i="104" s="1"/>
  <c r="I102" i="104" s="1"/>
  <c r="I103" i="104" s="1"/>
  <c r="I108" i="104" s="1"/>
  <c r="I109" i="104" s="1"/>
  <c r="J194" i="104" s="1"/>
  <c r="H194" i="104" l="1"/>
  <c r="G194" i="104"/>
  <c r="J60" i="104"/>
  <c r="J216" i="104"/>
  <c r="J207" i="104"/>
  <c r="J217" i="104"/>
  <c r="J72" i="104"/>
  <c r="J210" i="104"/>
  <c r="J33" i="104"/>
  <c r="J230" i="104"/>
  <c r="J48" i="104"/>
  <c r="J105" i="104"/>
  <c r="J131" i="104"/>
  <c r="J255" i="104"/>
  <c r="J248" i="104"/>
  <c r="J239" i="104"/>
  <c r="J293" i="104"/>
  <c r="J223" i="104"/>
  <c r="J257" i="104"/>
  <c r="J59" i="104"/>
  <c r="J31" i="104"/>
  <c r="J221" i="104"/>
  <c r="J126" i="104"/>
  <c r="J150" i="104"/>
  <c r="J188" i="104"/>
  <c r="J250" i="104"/>
  <c r="J270" i="104"/>
  <c r="J282" i="104"/>
  <c r="J93" i="104"/>
  <c r="J65" i="104"/>
  <c r="J238" i="104"/>
  <c r="J54" i="104"/>
  <c r="J130" i="104"/>
  <c r="J265" i="104"/>
  <c r="J279" i="104"/>
  <c r="J273" i="104"/>
  <c r="J284" i="104"/>
  <c r="J192" i="104"/>
  <c r="J260" i="104"/>
  <c r="J172" i="104"/>
  <c r="J69" i="104"/>
  <c r="J287" i="104"/>
  <c r="J224" i="104"/>
  <c r="J297" i="104"/>
  <c r="J53" i="104"/>
  <c r="J169" i="104"/>
  <c r="J91" i="104"/>
  <c r="J264" i="104"/>
  <c r="J232" i="104"/>
  <c r="J211" i="104"/>
  <c r="J227" i="104"/>
  <c r="J45" i="104"/>
  <c r="J272" i="104"/>
  <c r="J196" i="104"/>
  <c r="J181" i="104"/>
  <c r="J178" i="104"/>
  <c r="J234" i="104"/>
  <c r="J199" i="104"/>
  <c r="J143" i="104"/>
  <c r="J185" i="104"/>
  <c r="J298" i="104"/>
  <c r="J202" i="104"/>
  <c r="J162" i="104"/>
  <c r="J127" i="104"/>
  <c r="J117" i="104"/>
  <c r="J121" i="104"/>
  <c r="J37" i="104"/>
  <c r="J190" i="104"/>
  <c r="J253" i="104"/>
  <c r="J103" i="104"/>
  <c r="J96" i="104"/>
  <c r="J266" i="104"/>
  <c r="J241" i="104"/>
  <c r="J245" i="104"/>
  <c r="J63" i="104"/>
  <c r="J40" i="104"/>
  <c r="J183" i="104"/>
  <c r="J39" i="104"/>
  <c r="J205" i="104"/>
  <c r="J236" i="104"/>
  <c r="J154" i="104"/>
  <c r="J152" i="104"/>
  <c r="J197" i="104"/>
  <c r="J189" i="104"/>
  <c r="J289" i="104"/>
  <c r="J32" i="104"/>
  <c r="J193" i="104"/>
  <c r="J52" i="104"/>
  <c r="J76" i="104"/>
  <c r="J145" i="104"/>
  <c r="J50" i="104"/>
  <c r="J161" i="104"/>
  <c r="J120" i="104"/>
  <c r="J254" i="104"/>
  <c r="J111" i="104"/>
  <c r="J101" i="104"/>
  <c r="J79" i="104"/>
  <c r="J228" i="104"/>
  <c r="J168" i="104"/>
  <c r="J123" i="104"/>
  <c r="J87" i="104"/>
  <c r="J136" i="104"/>
  <c r="J184" i="104"/>
  <c r="J35" i="104"/>
  <c r="J160" i="104"/>
  <c r="J140" i="104"/>
  <c r="J142" i="104"/>
  <c r="J112" i="104"/>
  <c r="J138" i="104"/>
  <c r="J73" i="104"/>
  <c r="J97" i="104"/>
  <c r="J153" i="104"/>
  <c r="J166" i="104"/>
  <c r="J283" i="104"/>
  <c r="J296" i="104"/>
  <c r="J229" i="104"/>
  <c r="J108" i="104"/>
  <c r="J277" i="104"/>
  <c r="J244" i="104"/>
  <c r="J243" i="104"/>
  <c r="J67" i="104"/>
  <c r="J156" i="104"/>
  <c r="J38" i="104"/>
  <c r="J159" i="104"/>
  <c r="J275" i="104"/>
  <c r="J231" i="104"/>
  <c r="J41" i="104"/>
  <c r="J271" i="104"/>
  <c r="J94" i="104"/>
  <c r="J133" i="104"/>
  <c r="J49" i="104"/>
  <c r="J51" i="104"/>
  <c r="J235" i="104"/>
  <c r="J252" i="104"/>
  <c r="J70" i="104"/>
  <c r="J92" i="104"/>
  <c r="J268" i="104"/>
  <c r="J84" i="104"/>
  <c r="J290" i="104"/>
  <c r="J71" i="104"/>
  <c r="J213" i="104"/>
  <c r="J191" i="104"/>
  <c r="J186" i="104"/>
  <c r="J128" i="104"/>
  <c r="J75" i="104"/>
  <c r="J292" i="104"/>
  <c r="J151" i="104"/>
  <c r="J291" i="104"/>
  <c r="J198" i="104"/>
  <c r="J209" i="104"/>
  <c r="J157" i="104"/>
  <c r="J200" i="104"/>
  <c r="J129" i="104"/>
  <c r="J158" i="104"/>
  <c r="J299" i="104"/>
  <c r="J36" i="104"/>
  <c r="J176" i="104"/>
  <c r="J57" i="104"/>
  <c r="J114" i="104"/>
  <c r="J34" i="104"/>
  <c r="J125" i="104"/>
  <c r="J66" i="104"/>
  <c r="J280" i="104"/>
  <c r="J146" i="104"/>
  <c r="J116" i="104"/>
  <c r="J110" i="104"/>
  <c r="J149" i="104"/>
  <c r="J212" i="104"/>
  <c r="J47" i="104"/>
  <c r="J144" i="104"/>
  <c r="J222" i="104"/>
  <c r="J247" i="104"/>
  <c r="J237" i="104"/>
  <c r="J118" i="104"/>
  <c r="J262" i="104"/>
  <c r="J180" i="104"/>
  <c r="J281" i="104"/>
  <c r="J195" i="104"/>
  <c r="J155" i="104"/>
  <c r="J220" i="104"/>
  <c r="J78" i="104"/>
  <c r="J276" i="104"/>
  <c r="J82" i="104"/>
  <c r="J249" i="104"/>
  <c r="J182" i="104"/>
  <c r="J225" i="104"/>
  <c r="J242" i="104"/>
  <c r="J294" i="104"/>
  <c r="J81" i="104"/>
  <c r="J177" i="104"/>
  <c r="J295" i="104"/>
  <c r="J95" i="104"/>
  <c r="J288" i="104"/>
  <c r="J58" i="104"/>
  <c r="J148" i="104"/>
  <c r="J174" i="104"/>
  <c r="J261" i="104"/>
  <c r="J215" i="104"/>
  <c r="J214" i="104"/>
  <c r="J102" i="104"/>
  <c r="J175" i="104"/>
  <c r="J109" i="104"/>
  <c r="J269" i="104"/>
  <c r="J179" i="104"/>
  <c r="J89" i="104"/>
  <c r="J141" i="104"/>
  <c r="J113" i="104"/>
  <c r="J167" i="104"/>
  <c r="J251" i="104"/>
  <c r="J278" i="104"/>
  <c r="J135" i="104"/>
  <c r="J90" i="104"/>
  <c r="J46" i="104"/>
  <c r="J74" i="104"/>
  <c r="J56" i="104"/>
  <c r="J240" i="104"/>
  <c r="J134" i="104"/>
  <c r="J104" i="104"/>
  <c r="J208" i="104"/>
  <c r="J187" i="104"/>
  <c r="J88" i="104"/>
  <c r="J204" i="104"/>
  <c r="J85" i="104"/>
  <c r="J43" i="104"/>
  <c r="J62" i="104"/>
  <c r="J263" i="104"/>
  <c r="J132" i="104"/>
  <c r="J98" i="104"/>
  <c r="J218" i="104"/>
  <c r="J171" i="104"/>
  <c r="J68" i="104"/>
  <c r="J267" i="104"/>
  <c r="J170" i="104"/>
  <c r="J64" i="104"/>
  <c r="J100" i="104"/>
  <c r="J115" i="104"/>
  <c r="J99" i="104"/>
  <c r="J285" i="104"/>
  <c r="J77" i="104"/>
  <c r="J147" i="104"/>
  <c r="J61" i="104"/>
  <c r="J173" i="104"/>
  <c r="J206" i="104"/>
  <c r="J258" i="104"/>
  <c r="J201" i="104"/>
  <c r="J165" i="104"/>
  <c r="J139" i="104"/>
  <c r="J203" i="104"/>
  <c r="J106" i="104"/>
  <c r="J80" i="104"/>
  <c r="J137" i="104"/>
  <c r="J119" i="104"/>
  <c r="J226" i="104"/>
  <c r="J233" i="104"/>
  <c r="J44" i="104"/>
  <c r="J83" i="104"/>
  <c r="J164" i="104"/>
  <c r="J86" i="104"/>
  <c r="J55" i="104"/>
  <c r="J286" i="104"/>
  <c r="J259" i="104"/>
  <c r="J42" i="104"/>
  <c r="J219" i="104"/>
  <c r="J246" i="104"/>
  <c r="J163" i="104"/>
  <c r="J256" i="104"/>
  <c r="J274" i="104"/>
  <c r="J107" i="104"/>
  <c r="J122" i="104"/>
  <c r="J124" i="104"/>
  <c r="H83" i="104" l="1"/>
  <c r="G83" i="104"/>
  <c r="G43" i="104"/>
  <c r="B43" i="104"/>
  <c r="H43" i="104"/>
  <c r="H34" i="104"/>
  <c r="G34" i="104"/>
  <c r="B34" i="104"/>
  <c r="G127" i="104"/>
  <c r="H127" i="104"/>
  <c r="H113" i="104"/>
  <c r="G113" i="104"/>
  <c r="G248" i="104"/>
  <c r="H248" i="104"/>
  <c r="G177" i="104"/>
  <c r="H177" i="104"/>
  <c r="H254" i="104"/>
  <c r="G254" i="104"/>
  <c r="H226" i="104"/>
  <c r="G226" i="104"/>
  <c r="H275" i="104"/>
  <c r="G275" i="104"/>
  <c r="G131" i="104"/>
  <c r="H131" i="104"/>
  <c r="G179" i="104"/>
  <c r="H179" i="104"/>
  <c r="B36" i="104"/>
  <c r="H36" i="104"/>
  <c r="G36" i="104"/>
  <c r="G297" i="104"/>
  <c r="H297" i="104"/>
  <c r="G137" i="104"/>
  <c r="H137" i="104"/>
  <c r="H242" i="104"/>
  <c r="G242" i="104"/>
  <c r="H38" i="104"/>
  <c r="B38" i="104"/>
  <c r="G38" i="104"/>
  <c r="H142" i="104"/>
  <c r="G142" i="104"/>
  <c r="H48" i="104"/>
  <c r="B48" i="104"/>
  <c r="G48" i="104"/>
  <c r="H64" i="104"/>
  <c r="B64" i="104"/>
  <c r="G64" i="104"/>
  <c r="G225" i="104"/>
  <c r="H225" i="104"/>
  <c r="H158" i="104"/>
  <c r="G158" i="104"/>
  <c r="H84" i="104"/>
  <c r="G84" i="104"/>
  <c r="H145" i="104"/>
  <c r="G145" i="104"/>
  <c r="H199" i="104"/>
  <c r="G199" i="104"/>
  <c r="H230" i="104"/>
  <c r="G230" i="104"/>
  <c r="H163" i="104"/>
  <c r="G163" i="104"/>
  <c r="H106" i="104"/>
  <c r="G106" i="104"/>
  <c r="H170" i="104"/>
  <c r="G170" i="104"/>
  <c r="H134" i="104"/>
  <c r="G134" i="104"/>
  <c r="H175" i="104"/>
  <c r="G175" i="104"/>
  <c r="H182" i="104"/>
  <c r="G182" i="104"/>
  <c r="G47" i="104"/>
  <c r="B47" i="104"/>
  <c r="H47" i="104"/>
  <c r="H129" i="104"/>
  <c r="G129" i="104"/>
  <c r="H268" i="104"/>
  <c r="G268" i="104"/>
  <c r="G67" i="104"/>
  <c r="H67" i="104"/>
  <c r="B67" i="104"/>
  <c r="G160" i="104"/>
  <c r="H160" i="104"/>
  <c r="H76" i="104"/>
  <c r="G76" i="104"/>
  <c r="G241" i="104"/>
  <c r="H241" i="104"/>
  <c r="H234" i="104"/>
  <c r="G234" i="104"/>
  <c r="B69" i="104"/>
  <c r="H69" i="104"/>
  <c r="G69" i="104"/>
  <c r="H188" i="104"/>
  <c r="G188" i="104"/>
  <c r="B33" i="104"/>
  <c r="H33" i="104"/>
  <c r="G33" i="104"/>
  <c r="H246" i="104"/>
  <c r="G246" i="104"/>
  <c r="H203" i="104"/>
  <c r="G203" i="104"/>
  <c r="H267" i="104"/>
  <c r="G267" i="104"/>
  <c r="H240" i="104"/>
  <c r="G240" i="104"/>
  <c r="H102" i="104"/>
  <c r="G102" i="104"/>
  <c r="G249" i="104"/>
  <c r="H249" i="104"/>
  <c r="H212" i="104"/>
  <c r="G212" i="104"/>
  <c r="H200" i="104"/>
  <c r="G200" i="104"/>
  <c r="H92" i="104"/>
  <c r="G92" i="104"/>
  <c r="H243" i="104"/>
  <c r="G243" i="104"/>
  <c r="H35" i="104"/>
  <c r="G35" i="104"/>
  <c r="B35" i="104"/>
  <c r="B52" i="104"/>
  <c r="H52" i="104"/>
  <c r="G52" i="104"/>
  <c r="H266" i="104"/>
  <c r="G266" i="104"/>
  <c r="H178" i="104"/>
  <c r="G178" i="104"/>
  <c r="H172" i="104"/>
  <c r="G172" i="104"/>
  <c r="H150" i="104"/>
  <c r="G150" i="104"/>
  <c r="H210" i="104"/>
  <c r="G210" i="104"/>
  <c r="H97" i="104"/>
  <c r="G97" i="104"/>
  <c r="G213" i="104"/>
  <c r="H213" i="104"/>
  <c r="H299" i="104"/>
  <c r="G299" i="104"/>
  <c r="H245" i="104"/>
  <c r="G245" i="104"/>
  <c r="G139" i="104"/>
  <c r="H139" i="104"/>
  <c r="H181" i="104"/>
  <c r="G181" i="104"/>
  <c r="H42" i="104"/>
  <c r="G42" i="104"/>
  <c r="B42" i="104"/>
  <c r="G165" i="104"/>
  <c r="H165" i="104"/>
  <c r="H74" i="104"/>
  <c r="G74" i="104"/>
  <c r="B74" i="104"/>
  <c r="G215" i="104"/>
  <c r="H215" i="104"/>
  <c r="H276" i="104"/>
  <c r="G276" i="104"/>
  <c r="H110" i="104"/>
  <c r="G110" i="104"/>
  <c r="H209" i="104"/>
  <c r="G209" i="104"/>
  <c r="H252" i="104"/>
  <c r="G252" i="104"/>
  <c r="H277" i="104"/>
  <c r="G277" i="104"/>
  <c r="G136" i="104"/>
  <c r="H136" i="104"/>
  <c r="B32" i="104"/>
  <c r="H32" i="104"/>
  <c r="G32" i="104"/>
  <c r="G103" i="104"/>
  <c r="H103" i="104"/>
  <c r="H196" i="104"/>
  <c r="G196" i="104"/>
  <c r="H192" i="104"/>
  <c r="G192" i="104"/>
  <c r="H221" i="104"/>
  <c r="G221" i="104"/>
  <c r="H217" i="104"/>
  <c r="G217" i="104"/>
  <c r="H95" i="104"/>
  <c r="G95" i="104"/>
  <c r="H101" i="104"/>
  <c r="G101" i="104"/>
  <c r="G77" i="104"/>
  <c r="H77" i="104"/>
  <c r="H114" i="104"/>
  <c r="G114" i="104"/>
  <c r="H111" i="104"/>
  <c r="G111" i="104"/>
  <c r="H124" i="104"/>
  <c r="G124" i="104"/>
  <c r="H118" i="104"/>
  <c r="G118" i="104"/>
  <c r="G202" i="104"/>
  <c r="H202" i="104"/>
  <c r="G99" i="104"/>
  <c r="H99" i="104"/>
  <c r="G237" i="104"/>
  <c r="H237" i="104"/>
  <c r="G298" i="104"/>
  <c r="H298" i="104"/>
  <c r="H187" i="104"/>
  <c r="G187" i="104"/>
  <c r="H112" i="104"/>
  <c r="G112" i="104"/>
  <c r="H282" i="104"/>
  <c r="G282" i="104"/>
  <c r="H100" i="104"/>
  <c r="G100" i="104"/>
  <c r="G222" i="104"/>
  <c r="H222" i="104"/>
  <c r="G143" i="104"/>
  <c r="H143" i="104"/>
  <c r="H256" i="104"/>
  <c r="G256" i="104"/>
  <c r="G104" i="104"/>
  <c r="H104" i="104"/>
  <c r="H287" i="104"/>
  <c r="G287" i="104"/>
  <c r="G157" i="104"/>
  <c r="H157" i="104"/>
  <c r="H259" i="104"/>
  <c r="G259" i="104"/>
  <c r="G201" i="104"/>
  <c r="H201" i="104"/>
  <c r="H218" i="104"/>
  <c r="G218" i="104"/>
  <c r="B46" i="104"/>
  <c r="G46" i="104"/>
  <c r="H46" i="104"/>
  <c r="G261" i="104"/>
  <c r="H261" i="104"/>
  <c r="H78" i="104"/>
  <c r="G78" i="104"/>
  <c r="H116" i="104"/>
  <c r="G116" i="104"/>
  <c r="H198" i="104"/>
  <c r="G198" i="104"/>
  <c r="H235" i="104"/>
  <c r="G235" i="104"/>
  <c r="G108" i="104"/>
  <c r="H108" i="104"/>
  <c r="H87" i="104"/>
  <c r="G87" i="104"/>
  <c r="H289" i="104"/>
  <c r="G289" i="104"/>
  <c r="G253" i="104"/>
  <c r="H253" i="104"/>
  <c r="H272" i="104"/>
  <c r="G272" i="104"/>
  <c r="G284" i="104"/>
  <c r="H284" i="104"/>
  <c r="H31" i="104"/>
  <c r="G31" i="104"/>
  <c r="B31" i="104"/>
  <c r="H207" i="104"/>
  <c r="G207" i="104"/>
  <c r="H167" i="104"/>
  <c r="G167" i="104"/>
  <c r="G153" i="104"/>
  <c r="H153" i="104"/>
  <c r="H54" i="104"/>
  <c r="G54" i="104"/>
  <c r="B54" i="104"/>
  <c r="H295" i="104"/>
  <c r="G295" i="104"/>
  <c r="H205" i="104"/>
  <c r="G205" i="104"/>
  <c r="H233" i="104"/>
  <c r="G233" i="104"/>
  <c r="H231" i="104"/>
  <c r="G231" i="104"/>
  <c r="H65" i="104"/>
  <c r="G65" i="104"/>
  <c r="B65" i="104"/>
  <c r="H81" i="104"/>
  <c r="G81" i="104"/>
  <c r="G183" i="104"/>
  <c r="H183" i="104"/>
  <c r="H119" i="104"/>
  <c r="G119" i="104"/>
  <c r="H159" i="104"/>
  <c r="G159" i="104"/>
  <c r="H105" i="104"/>
  <c r="G105" i="104"/>
  <c r="H208" i="104"/>
  <c r="G208" i="104"/>
  <c r="H290" i="104"/>
  <c r="G290" i="104"/>
  <c r="H224" i="104"/>
  <c r="G224" i="104"/>
  <c r="G80" i="104"/>
  <c r="H80" i="104"/>
  <c r="G109" i="104"/>
  <c r="H109" i="104"/>
  <c r="H144" i="104"/>
  <c r="G144" i="104"/>
  <c r="G250" i="104"/>
  <c r="H250" i="104"/>
  <c r="G219" i="104"/>
  <c r="H219" i="104"/>
  <c r="B68" i="104"/>
  <c r="G68" i="104"/>
  <c r="H68" i="104"/>
  <c r="H56" i="104"/>
  <c r="G56" i="104"/>
  <c r="B56" i="104"/>
  <c r="H214" i="104"/>
  <c r="G214" i="104"/>
  <c r="H82" i="104"/>
  <c r="G82" i="104"/>
  <c r="H149" i="104"/>
  <c r="G149" i="104"/>
  <c r="H70" i="104"/>
  <c r="G70" i="104"/>
  <c r="B70" i="104"/>
  <c r="G244" i="104"/>
  <c r="H244" i="104"/>
  <c r="H184" i="104"/>
  <c r="G184" i="104"/>
  <c r="H193" i="104"/>
  <c r="G193" i="104"/>
  <c r="G96" i="104"/>
  <c r="H96" i="104"/>
  <c r="H260" i="104"/>
  <c r="G260" i="104"/>
  <c r="G126" i="104"/>
  <c r="H126" i="104"/>
  <c r="G72" i="104"/>
  <c r="B72" i="104"/>
  <c r="H72" i="104"/>
  <c r="G171" i="104"/>
  <c r="H171" i="104"/>
  <c r="H286" i="104"/>
  <c r="G286" i="104"/>
  <c r="G258" i="104"/>
  <c r="H258" i="104"/>
  <c r="H98" i="104"/>
  <c r="G98" i="104"/>
  <c r="H90" i="104"/>
  <c r="G90" i="104"/>
  <c r="H174" i="104"/>
  <c r="G174" i="104"/>
  <c r="H220" i="104"/>
  <c r="G220" i="104"/>
  <c r="H146" i="104"/>
  <c r="G146" i="104"/>
  <c r="H291" i="104"/>
  <c r="G291" i="104"/>
  <c r="G51" i="104"/>
  <c r="B51" i="104"/>
  <c r="H51" i="104"/>
  <c r="H229" i="104"/>
  <c r="G229" i="104"/>
  <c r="H123" i="104"/>
  <c r="G123" i="104"/>
  <c r="G189" i="104"/>
  <c r="H189" i="104"/>
  <c r="H190" i="104"/>
  <c r="G190" i="104"/>
  <c r="H45" i="104"/>
  <c r="G45" i="104"/>
  <c r="B45" i="104"/>
  <c r="G273" i="104"/>
  <c r="H273" i="104"/>
  <c r="B59" i="104"/>
  <c r="G59" i="104"/>
  <c r="H59" i="104"/>
  <c r="H216" i="104"/>
  <c r="G216" i="104"/>
  <c r="H147" i="104"/>
  <c r="G147" i="104"/>
  <c r="H271" i="104"/>
  <c r="G271" i="104"/>
  <c r="H264" i="104"/>
  <c r="G264" i="104"/>
  <c r="H85" i="104"/>
  <c r="G85" i="104"/>
  <c r="H41" i="104"/>
  <c r="G41" i="104"/>
  <c r="B41" i="104"/>
  <c r="G91" i="104"/>
  <c r="H91" i="104"/>
  <c r="H204" i="104"/>
  <c r="G204" i="104"/>
  <c r="H191" i="104"/>
  <c r="G191" i="104"/>
  <c r="H39" i="104"/>
  <c r="G39" i="104"/>
  <c r="B39" i="104"/>
  <c r="H122" i="104"/>
  <c r="G122" i="104"/>
  <c r="G176" i="104"/>
  <c r="H176" i="104"/>
  <c r="H93" i="104"/>
  <c r="G93" i="104"/>
  <c r="H294" i="104"/>
  <c r="G294" i="104"/>
  <c r="H161" i="104"/>
  <c r="G161" i="104"/>
  <c r="H270" i="104"/>
  <c r="G270" i="104"/>
  <c r="B55" i="104"/>
  <c r="G55" i="104"/>
  <c r="H55" i="104"/>
  <c r="H206" i="104"/>
  <c r="G206" i="104"/>
  <c r="G132" i="104"/>
  <c r="H132" i="104"/>
  <c r="H135" i="104"/>
  <c r="G135" i="104"/>
  <c r="H148" i="104"/>
  <c r="G148" i="104"/>
  <c r="H155" i="104"/>
  <c r="G155" i="104"/>
  <c r="H280" i="104"/>
  <c r="G280" i="104"/>
  <c r="H151" i="104"/>
  <c r="G151" i="104"/>
  <c r="H49" i="104"/>
  <c r="G49" i="104"/>
  <c r="B49" i="104"/>
  <c r="H296" i="104"/>
  <c r="G296" i="104"/>
  <c r="H168" i="104"/>
  <c r="G168" i="104"/>
  <c r="G197" i="104"/>
  <c r="H197" i="104"/>
  <c r="H37" i="104"/>
  <c r="G37" i="104"/>
  <c r="B37" i="104"/>
  <c r="H227" i="104"/>
  <c r="G227" i="104"/>
  <c r="H279" i="104"/>
  <c r="G279" i="104"/>
  <c r="H257" i="104"/>
  <c r="G257" i="104"/>
  <c r="H60" i="104"/>
  <c r="G60" i="104"/>
  <c r="B60" i="104"/>
  <c r="H128" i="104"/>
  <c r="G128" i="104"/>
  <c r="H239" i="104"/>
  <c r="G239" i="104"/>
  <c r="H262" i="104"/>
  <c r="G262" i="104"/>
  <c r="H162" i="104"/>
  <c r="G162" i="104"/>
  <c r="G285" i="104"/>
  <c r="H285" i="104"/>
  <c r="H73" i="104"/>
  <c r="B73" i="104"/>
  <c r="G73" i="104"/>
  <c r="H169" i="104"/>
  <c r="G169" i="104"/>
  <c r="H88" i="104"/>
  <c r="G88" i="104"/>
  <c r="G138" i="104"/>
  <c r="H138" i="104"/>
  <c r="G53" i="104"/>
  <c r="H53" i="104"/>
  <c r="B53" i="104"/>
  <c r="G115" i="104"/>
  <c r="H115" i="104"/>
  <c r="B71" i="104"/>
  <c r="H71" i="104"/>
  <c r="G71" i="104"/>
  <c r="B40" i="104"/>
  <c r="H40" i="104"/>
  <c r="G40" i="104"/>
  <c r="G274" i="104"/>
  <c r="H274" i="104"/>
  <c r="H269" i="104"/>
  <c r="G269" i="104"/>
  <c r="H63" i="104"/>
  <c r="G63" i="104"/>
  <c r="B63" i="104"/>
  <c r="G140" i="104"/>
  <c r="H140" i="104"/>
  <c r="H86" i="104"/>
  <c r="G86" i="104"/>
  <c r="H173" i="104"/>
  <c r="G173" i="104"/>
  <c r="H263" i="104"/>
  <c r="G263" i="104"/>
  <c r="H278" i="104"/>
  <c r="G278" i="104"/>
  <c r="B58" i="104"/>
  <c r="H58" i="104"/>
  <c r="G58" i="104"/>
  <c r="H195" i="104"/>
  <c r="G195" i="104"/>
  <c r="H66" i="104"/>
  <c r="B66" i="104"/>
  <c r="G66" i="104"/>
  <c r="G292" i="104"/>
  <c r="H292" i="104"/>
  <c r="H133" i="104"/>
  <c r="G133" i="104"/>
  <c r="H283" i="104"/>
  <c r="G283" i="104"/>
  <c r="H228" i="104"/>
  <c r="G228" i="104"/>
  <c r="H152" i="104"/>
  <c r="G152" i="104"/>
  <c r="H121" i="104"/>
  <c r="G121" i="104"/>
  <c r="H211" i="104"/>
  <c r="G211" i="104"/>
  <c r="G265" i="104"/>
  <c r="H265" i="104"/>
  <c r="H223" i="104"/>
  <c r="G223" i="104"/>
  <c r="H180" i="104"/>
  <c r="G180" i="104"/>
  <c r="H236" i="104"/>
  <c r="G236" i="104"/>
  <c r="B44" i="104"/>
  <c r="H44" i="104"/>
  <c r="G44" i="104"/>
  <c r="H186" i="104"/>
  <c r="G186" i="104"/>
  <c r="H238" i="104"/>
  <c r="G238" i="104"/>
  <c r="G141" i="104"/>
  <c r="H141" i="104"/>
  <c r="H57" i="104"/>
  <c r="G57" i="104"/>
  <c r="B57" i="104"/>
  <c r="H255" i="104"/>
  <c r="G255" i="104"/>
  <c r="H89" i="104"/>
  <c r="G89" i="104"/>
  <c r="G120" i="104"/>
  <c r="H120" i="104"/>
  <c r="H107" i="104"/>
  <c r="G107" i="104"/>
  <c r="H247" i="104"/>
  <c r="G247" i="104"/>
  <c r="H185" i="104"/>
  <c r="G185" i="104"/>
  <c r="G50" i="104"/>
  <c r="B50" i="104"/>
  <c r="H50" i="104"/>
  <c r="H156" i="104"/>
  <c r="G156" i="104"/>
  <c r="H164" i="104"/>
  <c r="G164" i="104"/>
  <c r="G61" i="104"/>
  <c r="H61" i="104"/>
  <c r="B61" i="104"/>
  <c r="B62" i="104"/>
  <c r="G62" i="104"/>
  <c r="H62" i="104"/>
  <c r="G251" i="104"/>
  <c r="H251" i="104"/>
  <c r="H288" i="104"/>
  <c r="G288" i="104"/>
  <c r="H281" i="104"/>
  <c r="G281" i="104"/>
  <c r="G125" i="104"/>
  <c r="H125" i="104"/>
  <c r="G75" i="104"/>
  <c r="H75" i="104"/>
  <c r="G94" i="104"/>
  <c r="H94" i="104"/>
  <c r="H166" i="104"/>
  <c r="G166" i="104"/>
  <c r="G79" i="104"/>
  <c r="H79" i="104"/>
  <c r="H154" i="104"/>
  <c r="G154" i="104"/>
  <c r="H117" i="104"/>
  <c r="G117" i="104"/>
  <c r="G232" i="104"/>
  <c r="H232" i="104"/>
  <c r="G130" i="104"/>
  <c r="H130" i="104"/>
  <c r="H293" i="104"/>
  <c r="G293" i="104"/>
  <c r="U3" i="104" l="1"/>
  <c r="U5" i="104"/>
  <c r="U4" i="104"/>
  <c r="B52" i="63" l="1"/>
  <c r="B51" i="63"/>
  <c r="B50" i="63"/>
  <c r="B49" i="63"/>
  <c r="B48" i="63"/>
  <c r="B47" i="63"/>
  <c r="B46" i="63"/>
  <c r="B45" i="63"/>
  <c r="B44" i="63"/>
  <c r="B43" i="63"/>
  <c r="A1" i="63"/>
  <c r="B22" i="63"/>
  <c r="B23" i="63"/>
  <c r="B24" i="63"/>
  <c r="B25" i="63"/>
  <c r="B26" i="63"/>
  <c r="B21" i="63"/>
  <c r="B20" i="63"/>
  <c r="B19" i="63"/>
  <c r="B18" i="63"/>
  <c r="B17" i="63"/>
  <c r="A1" i="64"/>
  <c r="A1" i="66"/>
  <c r="A1" i="69"/>
  <c r="AD159" i="69"/>
  <c r="AC8" i="69" s="1"/>
  <c r="AB2" i="69"/>
  <c r="AA2" i="69"/>
  <c r="Z2" i="69"/>
  <c r="Y2" i="69"/>
  <c r="X2" i="69"/>
  <c r="W2" i="69"/>
  <c r="V2" i="69"/>
  <c r="U2" i="69"/>
  <c r="T2" i="69"/>
  <c r="AB1" i="69"/>
  <c r="AA1" i="69"/>
  <c r="Z1" i="69"/>
  <c r="Y1" i="69"/>
  <c r="X1" i="69"/>
  <c r="W1" i="69"/>
  <c r="V1" i="69"/>
  <c r="U1" i="69"/>
  <c r="T1" i="69"/>
  <c r="B121" i="69"/>
  <c r="B122" i="69"/>
  <c r="B123" i="69"/>
  <c r="B124" i="69"/>
  <c r="B125" i="69"/>
  <c r="B126" i="69"/>
  <c r="B127" i="69"/>
  <c r="B128" i="69"/>
  <c r="B129" i="69"/>
  <c r="B130" i="69"/>
  <c r="B131" i="69"/>
  <c r="B132" i="69"/>
  <c r="B133" i="69"/>
  <c r="B134" i="69"/>
  <c r="B135" i="69"/>
  <c r="B136" i="69"/>
  <c r="B137" i="69"/>
  <c r="B138" i="69"/>
  <c r="B139" i="69"/>
  <c r="B140" i="69"/>
  <c r="B141" i="69"/>
  <c r="B142" i="69"/>
  <c r="B143" i="69"/>
  <c r="B144" i="69"/>
  <c r="B145" i="69"/>
  <c r="B146" i="69"/>
  <c r="B147" i="69"/>
  <c r="B148" i="69"/>
  <c r="B149" i="69"/>
  <c r="B150" i="69"/>
  <c r="B151" i="69"/>
  <c r="B120" i="69"/>
  <c r="B119" i="69"/>
  <c r="B118" i="69"/>
  <c r="B117" i="69"/>
  <c r="B116" i="69"/>
  <c r="B115" i="69"/>
  <c r="U101" i="69"/>
  <c r="U100" i="69"/>
  <c r="U99" i="69"/>
  <c r="U98" i="69"/>
  <c r="T98" i="69"/>
  <c r="U97" i="69"/>
  <c r="T97" i="69"/>
  <c r="U96" i="69"/>
  <c r="T96" i="69"/>
  <c r="U95" i="69"/>
  <c r="T95" i="69"/>
  <c r="U94" i="69"/>
  <c r="T94" i="69"/>
  <c r="U93" i="69"/>
  <c r="T93" i="69"/>
  <c r="U92" i="69"/>
  <c r="T92" i="69"/>
  <c r="U91" i="69"/>
  <c r="T91" i="69"/>
  <c r="U90" i="69"/>
  <c r="T90" i="69"/>
  <c r="U89" i="69"/>
  <c r="T89" i="69"/>
  <c r="U88" i="69"/>
  <c r="T88" i="69"/>
  <c r="U87" i="69"/>
  <c r="T87" i="69"/>
  <c r="U86" i="69"/>
  <c r="T86" i="69"/>
  <c r="U85" i="69"/>
  <c r="T85" i="69"/>
  <c r="U84" i="69"/>
  <c r="T84" i="69"/>
  <c r="U83" i="69"/>
  <c r="T83" i="69"/>
  <c r="U82" i="69"/>
  <c r="T82" i="69"/>
  <c r="U81" i="69"/>
  <c r="T81" i="69"/>
  <c r="U80" i="69"/>
  <c r="T80" i="69"/>
  <c r="U79" i="69"/>
  <c r="T79" i="69"/>
  <c r="U78" i="69"/>
  <c r="T78" i="69"/>
  <c r="U77" i="69"/>
  <c r="T77" i="69"/>
  <c r="U76" i="69"/>
  <c r="T76" i="69"/>
  <c r="U75" i="69"/>
  <c r="T75" i="69"/>
  <c r="U74" i="69"/>
  <c r="T74" i="69"/>
  <c r="U73" i="69"/>
  <c r="T73" i="69"/>
  <c r="U72" i="69"/>
  <c r="T72" i="69"/>
  <c r="U71" i="69"/>
  <c r="T71" i="69"/>
  <c r="U70" i="69"/>
  <c r="T70" i="69"/>
  <c r="U69" i="69"/>
  <c r="T69" i="69"/>
  <c r="U68" i="69"/>
  <c r="U67" i="69"/>
  <c r="U51" i="69"/>
  <c r="U50" i="69"/>
  <c r="U49" i="69"/>
  <c r="U48" i="69"/>
  <c r="U47" i="69"/>
  <c r="U46" i="69"/>
  <c r="U45" i="69"/>
  <c r="U44" i="69"/>
  <c r="U43" i="69"/>
  <c r="U42" i="69"/>
  <c r="U41" i="69"/>
  <c r="U40" i="69"/>
  <c r="U39" i="69"/>
  <c r="U38" i="69"/>
  <c r="U37" i="69"/>
  <c r="U36" i="69"/>
  <c r="U35" i="69"/>
  <c r="U34" i="69"/>
  <c r="U33" i="69"/>
  <c r="U32" i="69"/>
  <c r="U31" i="69"/>
  <c r="U30" i="69"/>
  <c r="U29" i="69"/>
  <c r="U28" i="69"/>
  <c r="U27" i="69"/>
  <c r="U26" i="69"/>
  <c r="U25" i="69"/>
  <c r="U24" i="69"/>
  <c r="U23" i="69"/>
  <c r="U22" i="69"/>
  <c r="U21" i="69"/>
  <c r="U20" i="69"/>
  <c r="U19" i="69"/>
  <c r="U18" i="69"/>
  <c r="U17" i="69"/>
  <c r="B104" i="69"/>
  <c r="B103" i="69"/>
  <c r="B102" i="69"/>
  <c r="B101" i="69"/>
  <c r="B100" i="69"/>
  <c r="B99" i="69"/>
  <c r="B98" i="69"/>
  <c r="B97" i="69"/>
  <c r="B96" i="69"/>
  <c r="B95" i="69"/>
  <c r="B94" i="69"/>
  <c r="B93" i="69"/>
  <c r="B92" i="69"/>
  <c r="B91" i="69"/>
  <c r="B90" i="69"/>
  <c r="B89" i="69"/>
  <c r="B88" i="69"/>
  <c r="B87" i="69"/>
  <c r="B86" i="69"/>
  <c r="B85" i="69"/>
  <c r="B84" i="69"/>
  <c r="B83" i="69"/>
  <c r="B82" i="69"/>
  <c r="B81" i="69"/>
  <c r="B80" i="69"/>
  <c r="B79" i="69"/>
  <c r="B78" i="69"/>
  <c r="B77" i="69"/>
  <c r="B76" i="69"/>
  <c r="B75" i="69"/>
  <c r="B74" i="69"/>
  <c r="B73" i="69"/>
  <c r="B72" i="69"/>
  <c r="B71" i="69"/>
  <c r="B70" i="69"/>
  <c r="B69" i="69"/>
  <c r="B68" i="69"/>
  <c r="T48" i="69"/>
  <c r="T47" i="69"/>
  <c r="T46" i="69"/>
  <c r="T45" i="69"/>
  <c r="T44" i="69"/>
  <c r="T43" i="69"/>
  <c r="T42" i="69"/>
  <c r="T41" i="69"/>
  <c r="T40" i="69"/>
  <c r="T39" i="69"/>
  <c r="T38" i="69"/>
  <c r="T37" i="69"/>
  <c r="T36" i="69"/>
  <c r="T35" i="69"/>
  <c r="T34" i="69"/>
  <c r="T33" i="69"/>
  <c r="T32" i="69"/>
  <c r="T31" i="69"/>
  <c r="T30" i="69"/>
  <c r="T29" i="69"/>
  <c r="T28" i="69"/>
  <c r="T27" i="69"/>
  <c r="T26" i="69"/>
  <c r="T25" i="69"/>
  <c r="T24" i="69"/>
  <c r="T23" i="69"/>
  <c r="T22" i="69"/>
  <c r="T21" i="69"/>
  <c r="T20" i="69"/>
  <c r="T19" i="69"/>
  <c r="C1" i="69"/>
  <c r="D1" i="69"/>
  <c r="F1" i="69"/>
  <c r="G1" i="69"/>
  <c r="H1" i="69"/>
  <c r="I1" i="69"/>
  <c r="J1" i="69"/>
  <c r="K1" i="69"/>
  <c r="L1" i="69"/>
  <c r="M1" i="69"/>
  <c r="N1" i="69"/>
  <c r="O1" i="69"/>
  <c r="P1" i="69"/>
  <c r="Q1" i="69"/>
  <c r="R1" i="69"/>
  <c r="C2" i="69"/>
  <c r="D2" i="69"/>
  <c r="F2" i="69"/>
  <c r="G2" i="69"/>
  <c r="H2" i="69"/>
  <c r="I2" i="69"/>
  <c r="J2" i="69"/>
  <c r="K2" i="69"/>
  <c r="L2" i="69"/>
  <c r="M2" i="69"/>
  <c r="N2" i="69"/>
  <c r="O2" i="69"/>
  <c r="P2" i="69"/>
  <c r="Q2" i="69"/>
  <c r="R2" i="69"/>
  <c r="B2" i="69"/>
  <c r="B1" i="69"/>
  <c r="B20" i="69"/>
  <c r="B21" i="69"/>
  <c r="B22" i="69"/>
  <c r="B23" i="69"/>
  <c r="B24" i="69"/>
  <c r="B25" i="69"/>
  <c r="B26" i="69"/>
  <c r="B27" i="69"/>
  <c r="B28" i="69"/>
  <c r="B29" i="69"/>
  <c r="B30" i="69"/>
  <c r="B31" i="69"/>
  <c r="B32" i="69"/>
  <c r="B33" i="69"/>
  <c r="B34" i="69"/>
  <c r="B35" i="69"/>
  <c r="B36" i="69"/>
  <c r="B37" i="69"/>
  <c r="B38" i="69"/>
  <c r="B39" i="69"/>
  <c r="B40" i="69"/>
  <c r="B41" i="69"/>
  <c r="B42" i="69"/>
  <c r="B43" i="69"/>
  <c r="B44" i="69"/>
  <c r="B45" i="69"/>
  <c r="B46" i="69"/>
  <c r="B47" i="69"/>
  <c r="B48" i="69"/>
  <c r="B49" i="69"/>
  <c r="B50" i="69"/>
  <c r="B51" i="69"/>
  <c r="B52" i="69"/>
  <c r="B53" i="69"/>
  <c r="B54" i="69"/>
  <c r="B19" i="69"/>
  <c r="B18" i="69"/>
  <c r="W159" i="66"/>
  <c r="V5" i="66" s="1"/>
  <c r="U2" i="66"/>
  <c r="T2" i="66"/>
  <c r="S2" i="66"/>
  <c r="R2" i="66"/>
  <c r="Q2" i="66"/>
  <c r="P2" i="66"/>
  <c r="O2" i="66"/>
  <c r="N2" i="66"/>
  <c r="M2" i="66"/>
  <c r="K2" i="66"/>
  <c r="J2" i="66"/>
  <c r="I2" i="66"/>
  <c r="H2" i="66"/>
  <c r="G2" i="66"/>
  <c r="F2" i="66"/>
  <c r="D2" i="66"/>
  <c r="C2" i="66"/>
  <c r="B2" i="66"/>
  <c r="U1" i="66"/>
  <c r="T1" i="66"/>
  <c r="S1" i="66"/>
  <c r="R1" i="66"/>
  <c r="Q1" i="66"/>
  <c r="P1" i="66"/>
  <c r="O1" i="66"/>
  <c r="N1" i="66"/>
  <c r="M1" i="66"/>
  <c r="K1" i="66"/>
  <c r="J1" i="66"/>
  <c r="I1" i="66"/>
  <c r="H1" i="66"/>
  <c r="G1" i="66"/>
  <c r="F1" i="66"/>
  <c r="D1" i="66"/>
  <c r="C1" i="66"/>
  <c r="B1" i="66"/>
  <c r="O105" i="66"/>
  <c r="N102" i="66"/>
  <c r="N101" i="66"/>
  <c r="N100" i="66"/>
  <c r="M100" i="66"/>
  <c r="N99" i="66"/>
  <c r="M99" i="66"/>
  <c r="N98" i="66"/>
  <c r="M98" i="66"/>
  <c r="N97" i="66"/>
  <c r="M97" i="66"/>
  <c r="N96" i="66"/>
  <c r="M96" i="66"/>
  <c r="N95" i="66"/>
  <c r="M95" i="66"/>
  <c r="N94" i="66"/>
  <c r="M94" i="66"/>
  <c r="N93" i="66"/>
  <c r="M93" i="66"/>
  <c r="N92" i="66"/>
  <c r="M92" i="66"/>
  <c r="N91" i="66"/>
  <c r="M91" i="66"/>
  <c r="N90" i="66"/>
  <c r="M90" i="66"/>
  <c r="N89" i="66"/>
  <c r="M89" i="66"/>
  <c r="N88" i="66"/>
  <c r="M88" i="66"/>
  <c r="N87" i="66"/>
  <c r="M87" i="66"/>
  <c r="N86" i="66"/>
  <c r="M86" i="66"/>
  <c r="N85" i="66"/>
  <c r="M85" i="66"/>
  <c r="N84" i="66"/>
  <c r="M84" i="66"/>
  <c r="N83" i="66"/>
  <c r="M83" i="66"/>
  <c r="N82" i="66"/>
  <c r="M82" i="66"/>
  <c r="N81" i="66"/>
  <c r="M81" i="66"/>
  <c r="N80" i="66"/>
  <c r="M80" i="66"/>
  <c r="N79" i="66"/>
  <c r="M79" i="66"/>
  <c r="N78" i="66"/>
  <c r="M78" i="66"/>
  <c r="N77" i="66"/>
  <c r="M77" i="66"/>
  <c r="N76" i="66"/>
  <c r="M76" i="66"/>
  <c r="N75" i="66"/>
  <c r="M75" i="66"/>
  <c r="N74" i="66"/>
  <c r="M74" i="66"/>
  <c r="N73" i="66"/>
  <c r="M73" i="66"/>
  <c r="M72" i="66"/>
  <c r="M71" i="66"/>
  <c r="N70" i="66"/>
  <c r="N69" i="66"/>
  <c r="N65" i="66"/>
  <c r="U63" i="66"/>
  <c r="N63" i="66"/>
  <c r="F156" i="66"/>
  <c r="G128" i="66" s="1"/>
  <c r="B96" i="66"/>
  <c r="B97" i="66"/>
  <c r="B98" i="66"/>
  <c r="B99" i="66"/>
  <c r="B100" i="66"/>
  <c r="B101" i="66"/>
  <c r="B102" i="66"/>
  <c r="B103" i="66"/>
  <c r="B104" i="66"/>
  <c r="B105" i="66"/>
  <c r="B106" i="66"/>
  <c r="C107" i="66"/>
  <c r="C106" i="66"/>
  <c r="C105" i="66"/>
  <c r="C104" i="66"/>
  <c r="C103" i="66"/>
  <c r="C102" i="66"/>
  <c r="C101" i="66"/>
  <c r="C100" i="66"/>
  <c r="C99" i="66"/>
  <c r="C98" i="66"/>
  <c r="C97" i="66"/>
  <c r="C96" i="66"/>
  <c r="C95" i="66"/>
  <c r="C94" i="66"/>
  <c r="C93" i="66"/>
  <c r="C92" i="66"/>
  <c r="C91" i="66"/>
  <c r="C90" i="66"/>
  <c r="C89" i="66"/>
  <c r="C88" i="66"/>
  <c r="C87" i="66"/>
  <c r="C86" i="66"/>
  <c r="C85" i="66"/>
  <c r="C84" i="66"/>
  <c r="C83" i="66"/>
  <c r="C82" i="66"/>
  <c r="C81" i="66"/>
  <c r="C80" i="66"/>
  <c r="C79" i="66"/>
  <c r="C78" i="66"/>
  <c r="C77" i="66"/>
  <c r="C76" i="66"/>
  <c r="C75" i="66"/>
  <c r="C74" i="66"/>
  <c r="C73" i="66"/>
  <c r="C72" i="66"/>
  <c r="C71" i="66"/>
  <c r="C70" i="66"/>
  <c r="C69" i="66"/>
  <c r="B95" i="66"/>
  <c r="B94" i="66"/>
  <c r="B93" i="66"/>
  <c r="B92" i="66"/>
  <c r="B91" i="66"/>
  <c r="B90" i="66"/>
  <c r="B89" i="66"/>
  <c r="B88" i="66"/>
  <c r="B87" i="66"/>
  <c r="B86" i="66"/>
  <c r="B85" i="66"/>
  <c r="B84" i="66"/>
  <c r="B83" i="66"/>
  <c r="B82" i="66"/>
  <c r="B81" i="66"/>
  <c r="B80" i="66"/>
  <c r="B79" i="66"/>
  <c r="B78" i="66"/>
  <c r="B77" i="66"/>
  <c r="B76" i="66"/>
  <c r="B75" i="66"/>
  <c r="B74" i="66"/>
  <c r="B73" i="66"/>
  <c r="B72" i="66"/>
  <c r="B71" i="66"/>
  <c r="B70" i="66"/>
  <c r="C155" i="66"/>
  <c r="C154" i="66"/>
  <c r="B154" i="66"/>
  <c r="O153" i="66"/>
  <c r="C153" i="66"/>
  <c r="B153" i="66"/>
  <c r="C152" i="66"/>
  <c r="B152" i="66"/>
  <c r="C151" i="66"/>
  <c r="B151" i="66"/>
  <c r="N150" i="66"/>
  <c r="C150" i="66"/>
  <c r="B150" i="66"/>
  <c r="N149" i="66"/>
  <c r="C149" i="66"/>
  <c r="B149" i="66"/>
  <c r="N148" i="66"/>
  <c r="M148" i="66"/>
  <c r="C148" i="66"/>
  <c r="B148" i="66"/>
  <c r="N147" i="66"/>
  <c r="M147" i="66"/>
  <c r="C147" i="66"/>
  <c r="B147" i="66"/>
  <c r="N146" i="66"/>
  <c r="M146" i="66"/>
  <c r="C146" i="66"/>
  <c r="B146" i="66"/>
  <c r="N145" i="66"/>
  <c r="M145" i="66"/>
  <c r="C145" i="66"/>
  <c r="B145" i="66"/>
  <c r="N144" i="66"/>
  <c r="M144" i="66"/>
  <c r="C144" i="66"/>
  <c r="B144" i="66"/>
  <c r="N143" i="66"/>
  <c r="M143" i="66"/>
  <c r="C143" i="66"/>
  <c r="B143" i="66"/>
  <c r="N142" i="66"/>
  <c r="M142" i="66"/>
  <c r="C142" i="66"/>
  <c r="B142" i="66"/>
  <c r="N141" i="66"/>
  <c r="M141" i="66"/>
  <c r="C141" i="66"/>
  <c r="B141" i="66"/>
  <c r="N140" i="66"/>
  <c r="M140" i="66"/>
  <c r="C140" i="66"/>
  <c r="B140" i="66"/>
  <c r="N139" i="66"/>
  <c r="M139" i="66"/>
  <c r="C139" i="66"/>
  <c r="B139" i="66"/>
  <c r="N138" i="66"/>
  <c r="M138" i="66"/>
  <c r="C138" i="66"/>
  <c r="B138" i="66"/>
  <c r="N137" i="66"/>
  <c r="M137" i="66"/>
  <c r="C137" i="66"/>
  <c r="B137" i="66"/>
  <c r="N136" i="66"/>
  <c r="M136" i="66"/>
  <c r="C136" i="66"/>
  <c r="B136" i="66"/>
  <c r="N135" i="66"/>
  <c r="M135" i="66"/>
  <c r="C135" i="66"/>
  <c r="B135" i="66"/>
  <c r="N134" i="66"/>
  <c r="M134" i="66"/>
  <c r="C134" i="66"/>
  <c r="B134" i="66"/>
  <c r="N133" i="66"/>
  <c r="M133" i="66"/>
  <c r="C133" i="66"/>
  <c r="B133" i="66"/>
  <c r="N132" i="66"/>
  <c r="M132" i="66"/>
  <c r="C132" i="66"/>
  <c r="B132" i="66"/>
  <c r="N131" i="66"/>
  <c r="M131" i="66"/>
  <c r="C131" i="66"/>
  <c r="B131" i="66"/>
  <c r="N130" i="66"/>
  <c r="M130" i="66"/>
  <c r="C130" i="66"/>
  <c r="B130" i="66"/>
  <c r="N129" i="66"/>
  <c r="M129" i="66"/>
  <c r="C129" i="66"/>
  <c r="B129" i="66"/>
  <c r="N128" i="66"/>
  <c r="M128" i="66"/>
  <c r="C128" i="66"/>
  <c r="B128" i="66"/>
  <c r="N127" i="66"/>
  <c r="M127" i="66"/>
  <c r="C127" i="66"/>
  <c r="B127" i="66"/>
  <c r="N126" i="66"/>
  <c r="M126" i="66"/>
  <c r="C126" i="66"/>
  <c r="B126" i="66"/>
  <c r="N125" i="66"/>
  <c r="M125" i="66"/>
  <c r="C125" i="66"/>
  <c r="B125" i="66"/>
  <c r="N124" i="66"/>
  <c r="M124" i="66"/>
  <c r="C124" i="66"/>
  <c r="B124" i="66"/>
  <c r="N123" i="66"/>
  <c r="M123" i="66"/>
  <c r="C123" i="66"/>
  <c r="B123" i="66"/>
  <c r="N122" i="66"/>
  <c r="M122" i="66"/>
  <c r="C122" i="66"/>
  <c r="B122" i="66"/>
  <c r="N121" i="66"/>
  <c r="M121" i="66"/>
  <c r="C121" i="66"/>
  <c r="B121" i="66"/>
  <c r="M120" i="66"/>
  <c r="C120" i="66"/>
  <c r="B120" i="66"/>
  <c r="M119" i="66"/>
  <c r="C119" i="66"/>
  <c r="B119" i="66"/>
  <c r="N118" i="66"/>
  <c r="C118" i="66"/>
  <c r="B118" i="66"/>
  <c r="N117" i="66"/>
  <c r="C117" i="66"/>
  <c r="N113" i="66"/>
  <c r="U111" i="66"/>
  <c r="N111" i="66"/>
  <c r="N52" i="66"/>
  <c r="N51" i="66"/>
  <c r="N50" i="66"/>
  <c r="N49" i="66"/>
  <c r="N48" i="66"/>
  <c r="M49" i="66"/>
  <c r="M50" i="66"/>
  <c r="M48" i="66"/>
  <c r="N47" i="66"/>
  <c r="M47" i="66"/>
  <c r="N46" i="66"/>
  <c r="M46" i="66"/>
  <c r="N45" i="66"/>
  <c r="M45" i="66"/>
  <c r="N44" i="66"/>
  <c r="M44" i="66"/>
  <c r="N43" i="66"/>
  <c r="M43" i="66"/>
  <c r="N42" i="66"/>
  <c r="M42" i="66"/>
  <c r="N41" i="66"/>
  <c r="M41" i="66"/>
  <c r="N40" i="66"/>
  <c r="M40" i="66"/>
  <c r="N39" i="66"/>
  <c r="M39" i="66"/>
  <c r="N38" i="66"/>
  <c r="M38" i="66"/>
  <c r="N37" i="66"/>
  <c r="M37" i="66"/>
  <c r="N36" i="66"/>
  <c r="M36" i="66"/>
  <c r="N35" i="66"/>
  <c r="M35" i="66"/>
  <c r="N34" i="66"/>
  <c r="M34" i="66"/>
  <c r="N33" i="66"/>
  <c r="M33" i="66"/>
  <c r="N32" i="66"/>
  <c r="M32" i="66"/>
  <c r="N31" i="66"/>
  <c r="M31" i="66"/>
  <c r="N30" i="66"/>
  <c r="M30" i="66"/>
  <c r="N29" i="66"/>
  <c r="M29" i="66"/>
  <c r="N28" i="66"/>
  <c r="M28" i="66"/>
  <c r="N27" i="66"/>
  <c r="M27" i="66"/>
  <c r="N26" i="66"/>
  <c r="M26" i="66"/>
  <c r="N25" i="66"/>
  <c r="M25" i="66"/>
  <c r="N24" i="66"/>
  <c r="M24" i="66"/>
  <c r="N23" i="66"/>
  <c r="M23" i="66"/>
  <c r="M22" i="66"/>
  <c r="M21" i="66"/>
  <c r="N19" i="66"/>
  <c r="C57" i="66"/>
  <c r="C56" i="66"/>
  <c r="C55" i="66"/>
  <c r="C54" i="66"/>
  <c r="C53" i="66"/>
  <c r="C52" i="66"/>
  <c r="C51" i="66"/>
  <c r="C50" i="66"/>
  <c r="C49" i="66"/>
  <c r="C48" i="66"/>
  <c r="C47" i="66"/>
  <c r="C46" i="66"/>
  <c r="B47" i="66"/>
  <c r="B48" i="66"/>
  <c r="B49" i="66"/>
  <c r="B50" i="66"/>
  <c r="B51" i="66"/>
  <c r="B52" i="66"/>
  <c r="B53" i="66"/>
  <c r="B54" i="66"/>
  <c r="B55" i="66"/>
  <c r="B56" i="66"/>
  <c r="B46" i="66"/>
  <c r="C45" i="66"/>
  <c r="B45" i="66"/>
  <c r="C44" i="66"/>
  <c r="B44" i="66"/>
  <c r="C43" i="66"/>
  <c r="B43" i="66"/>
  <c r="C42" i="66"/>
  <c r="B42" i="66"/>
  <c r="C41" i="66"/>
  <c r="B41" i="66"/>
  <c r="C40" i="66"/>
  <c r="B40" i="66"/>
  <c r="C39" i="66"/>
  <c r="B39" i="66"/>
  <c r="C38" i="66"/>
  <c r="B38" i="66"/>
  <c r="C37" i="66"/>
  <c r="B37" i="66"/>
  <c r="C36" i="66"/>
  <c r="B36" i="66"/>
  <c r="C35" i="66"/>
  <c r="B35" i="66"/>
  <c r="C34" i="66"/>
  <c r="B34" i="66"/>
  <c r="C33" i="66"/>
  <c r="B33" i="66"/>
  <c r="C32" i="66"/>
  <c r="B32" i="66"/>
  <c r="C31" i="66"/>
  <c r="B31" i="66"/>
  <c r="C30" i="66"/>
  <c r="B30" i="66"/>
  <c r="C29" i="66"/>
  <c r="B29" i="66"/>
  <c r="C28" i="66"/>
  <c r="B28" i="66"/>
  <c r="C27" i="66"/>
  <c r="B27" i="66"/>
  <c r="C26" i="66"/>
  <c r="B26" i="66"/>
  <c r="C25" i="66"/>
  <c r="B25" i="66"/>
  <c r="C24" i="66"/>
  <c r="B24" i="66"/>
  <c r="C23" i="66"/>
  <c r="B23" i="66"/>
  <c r="C22" i="66"/>
  <c r="B22" i="66"/>
  <c r="C21" i="66"/>
  <c r="B21" i="66"/>
  <c r="C20" i="66"/>
  <c r="B20" i="66"/>
  <c r="C19" i="66"/>
  <c r="U187" i="64"/>
  <c r="T9" i="64" s="1"/>
  <c r="S185" i="64"/>
  <c r="R185" i="64"/>
  <c r="Q185" i="64"/>
  <c r="P185" i="64"/>
  <c r="O185" i="64"/>
  <c r="N185" i="64"/>
  <c r="M185" i="64"/>
  <c r="M175" i="64"/>
  <c r="M173" i="64"/>
  <c r="N167" i="64"/>
  <c r="N166" i="64"/>
  <c r="N165" i="64"/>
  <c r="N138" i="64"/>
  <c r="M129" i="64" a="1"/>
  <c r="M129" i="64" s="1"/>
  <c r="M125" i="64"/>
  <c r="M124" i="64"/>
  <c r="M123" i="64"/>
  <c r="M122" i="64"/>
  <c r="M121" i="64"/>
  <c r="M120" i="64"/>
  <c r="M119" i="64"/>
  <c r="M118" i="64"/>
  <c r="M117" i="64"/>
  <c r="M116" i="64"/>
  <c r="M115" i="64"/>
  <c r="M114" i="64"/>
  <c r="M113" i="64"/>
  <c r="M112" i="64"/>
  <c r="M111" i="64"/>
  <c r="M110" i="64"/>
  <c r="M109" i="64"/>
  <c r="M108" i="64"/>
  <c r="M107" i="64"/>
  <c r="M106" i="64"/>
  <c r="M105" i="64"/>
  <c r="M104" i="64"/>
  <c r="M103" i="64"/>
  <c r="M102" i="64"/>
  <c r="M101" i="64"/>
  <c r="M100" i="64"/>
  <c r="M99" i="64"/>
  <c r="O86" i="64"/>
  <c r="Q85" i="64"/>
  <c r="N87" i="64" s="1"/>
  <c r="O82" i="64"/>
  <c r="O81" i="64"/>
  <c r="Q78" i="64"/>
  <c r="N83" i="64" s="1"/>
  <c r="Q76" i="64"/>
  <c r="S2" i="64"/>
  <c r="R2" i="64"/>
  <c r="Q2" i="64"/>
  <c r="P2" i="64"/>
  <c r="O2" i="64"/>
  <c r="N2" i="64"/>
  <c r="M2" i="64"/>
  <c r="S1" i="64"/>
  <c r="R1" i="64"/>
  <c r="Q1" i="64"/>
  <c r="P1" i="64"/>
  <c r="O1" i="64"/>
  <c r="N1" i="64"/>
  <c r="M1" i="64"/>
  <c r="K2" i="64"/>
  <c r="J2" i="64"/>
  <c r="I2" i="64"/>
  <c r="H2" i="64"/>
  <c r="G2" i="64"/>
  <c r="F2" i="64"/>
  <c r="D2" i="64"/>
  <c r="C2" i="64"/>
  <c r="B2" i="64"/>
  <c r="K1" i="64"/>
  <c r="J1" i="64"/>
  <c r="I1" i="64"/>
  <c r="H1" i="64"/>
  <c r="G1" i="64"/>
  <c r="F1" i="64"/>
  <c r="D1" i="64"/>
  <c r="C1" i="64"/>
  <c r="B1" i="64"/>
  <c r="C177" i="64"/>
  <c r="C176" i="64"/>
  <c r="C175" i="64"/>
  <c r="C174" i="64"/>
  <c r="C173" i="64"/>
  <c r="C172" i="64"/>
  <c r="C171" i="64"/>
  <c r="C170" i="64"/>
  <c r="C169" i="64"/>
  <c r="C168" i="64"/>
  <c r="C167" i="64"/>
  <c r="C166" i="64"/>
  <c r="C165" i="64"/>
  <c r="C164" i="64"/>
  <c r="C163" i="64"/>
  <c r="C162" i="64"/>
  <c r="C161" i="64"/>
  <c r="C160" i="64"/>
  <c r="C159" i="64"/>
  <c r="C158" i="64"/>
  <c r="C157" i="64"/>
  <c r="C156" i="64"/>
  <c r="C155" i="64"/>
  <c r="C154" i="64"/>
  <c r="C153" i="64"/>
  <c r="C152" i="64"/>
  <c r="C151" i="64"/>
  <c r="C150" i="64"/>
  <c r="C149" i="64"/>
  <c r="C148" i="64"/>
  <c r="C144" i="64"/>
  <c r="C145" i="64" s="1"/>
  <c r="B176" i="64"/>
  <c r="B175" i="64"/>
  <c r="B174" i="64"/>
  <c r="B173" i="64"/>
  <c r="B172" i="64"/>
  <c r="B171" i="64"/>
  <c r="B170" i="64"/>
  <c r="B169" i="64"/>
  <c r="B168" i="64"/>
  <c r="B167" i="64"/>
  <c r="B166" i="64"/>
  <c r="B165" i="64"/>
  <c r="B164" i="64"/>
  <c r="B163" i="64"/>
  <c r="B162" i="64"/>
  <c r="B161" i="64"/>
  <c r="B160" i="64"/>
  <c r="B159" i="64"/>
  <c r="B158" i="64"/>
  <c r="B157" i="64"/>
  <c r="B156" i="64"/>
  <c r="B155" i="64"/>
  <c r="B154" i="64"/>
  <c r="B153" i="64"/>
  <c r="B152" i="64"/>
  <c r="B151" i="64"/>
  <c r="B150" i="64"/>
  <c r="B149" i="64"/>
  <c r="B148" i="64"/>
  <c r="B147" i="64"/>
  <c r="B146" i="64"/>
  <c r="B145" i="64"/>
  <c r="B134" i="64"/>
  <c r="B133" i="64"/>
  <c r="B132" i="64"/>
  <c r="B131" i="64"/>
  <c r="B130" i="64"/>
  <c r="B129" i="64"/>
  <c r="B128" i="64"/>
  <c r="B127" i="64"/>
  <c r="B126" i="64"/>
  <c r="B125" i="64"/>
  <c r="B124" i="64"/>
  <c r="B123" i="64"/>
  <c r="B122" i="64"/>
  <c r="B121" i="64"/>
  <c r="B120" i="64"/>
  <c r="B119" i="64"/>
  <c r="B118" i="64"/>
  <c r="B117" i="64"/>
  <c r="B116" i="64"/>
  <c r="B115" i="64"/>
  <c r="B114" i="64"/>
  <c r="B113" i="64"/>
  <c r="B112" i="64"/>
  <c r="B111" i="64"/>
  <c r="B110" i="64"/>
  <c r="B109" i="64"/>
  <c r="B108" i="64"/>
  <c r="B107" i="64"/>
  <c r="C89" i="64"/>
  <c r="C88" i="64"/>
  <c r="C87" i="64"/>
  <c r="C86" i="64"/>
  <c r="C85" i="64"/>
  <c r="C84" i="64"/>
  <c r="C83" i="64"/>
  <c r="C82" i="64"/>
  <c r="C81" i="64"/>
  <c r="C80" i="64"/>
  <c r="C79" i="64"/>
  <c r="C78" i="64"/>
  <c r="C77" i="64"/>
  <c r="C76" i="64"/>
  <c r="C75" i="64"/>
  <c r="C74" i="64"/>
  <c r="C73" i="64"/>
  <c r="C72" i="64"/>
  <c r="C71" i="64"/>
  <c r="C70" i="64"/>
  <c r="C69" i="64"/>
  <c r="C68" i="64"/>
  <c r="C67" i="64"/>
  <c r="C66" i="64"/>
  <c r="C65" i="64"/>
  <c r="C64" i="64"/>
  <c r="C63" i="64"/>
  <c r="C62" i="64"/>
  <c r="C61" i="64"/>
  <c r="C60" i="64"/>
  <c r="C47" i="64"/>
  <c r="C46" i="64"/>
  <c r="C45" i="64"/>
  <c r="C44" i="64"/>
  <c r="C43" i="64"/>
  <c r="C42" i="64"/>
  <c r="C41" i="64"/>
  <c r="C40" i="64"/>
  <c r="C39" i="64"/>
  <c r="C38" i="64"/>
  <c r="C37" i="64"/>
  <c r="C36" i="64"/>
  <c r="C35" i="64"/>
  <c r="C34" i="64"/>
  <c r="C33" i="64"/>
  <c r="C32" i="64"/>
  <c r="C31" i="64"/>
  <c r="C30" i="64"/>
  <c r="C29" i="64"/>
  <c r="C28" i="64"/>
  <c r="C27" i="64"/>
  <c r="C26" i="64"/>
  <c r="C25" i="64"/>
  <c r="C24" i="64"/>
  <c r="C23" i="64"/>
  <c r="C22" i="64"/>
  <c r="C21" i="64"/>
  <c r="C20" i="64"/>
  <c r="C19" i="64"/>
  <c r="C18" i="64"/>
  <c r="B58" i="64"/>
  <c r="B59" i="64"/>
  <c r="B60" i="64"/>
  <c r="B61" i="64"/>
  <c r="B62" i="64"/>
  <c r="B63" i="64"/>
  <c r="B64" i="64"/>
  <c r="B65" i="64"/>
  <c r="B66" i="64"/>
  <c r="B67" i="64"/>
  <c r="B68" i="64"/>
  <c r="B69" i="64"/>
  <c r="B70" i="64"/>
  <c r="B71" i="64"/>
  <c r="B72" i="64"/>
  <c r="B73" i="64"/>
  <c r="B74" i="64"/>
  <c r="B75" i="64"/>
  <c r="B76" i="64"/>
  <c r="B77" i="64"/>
  <c r="B78" i="64"/>
  <c r="B79" i="64"/>
  <c r="B80" i="64"/>
  <c r="B81" i="64"/>
  <c r="B82" i="64"/>
  <c r="B83" i="64"/>
  <c r="B84" i="64"/>
  <c r="B85" i="64"/>
  <c r="B86" i="64"/>
  <c r="B87" i="64"/>
  <c r="B88" i="64"/>
  <c r="B57" i="64"/>
  <c r="C56" i="64"/>
  <c r="C57" i="64" s="1"/>
  <c r="B21" i="64"/>
  <c r="B22" i="64"/>
  <c r="B23" i="64"/>
  <c r="B24" i="64"/>
  <c r="B25" i="64"/>
  <c r="B26" i="64"/>
  <c r="B27" i="64"/>
  <c r="B28" i="64"/>
  <c r="B29" i="64"/>
  <c r="B30" i="64"/>
  <c r="B31" i="64"/>
  <c r="B32" i="64"/>
  <c r="B33" i="64"/>
  <c r="B34" i="64"/>
  <c r="B35" i="64"/>
  <c r="B36" i="64"/>
  <c r="B37" i="64"/>
  <c r="B38" i="64"/>
  <c r="B39" i="64"/>
  <c r="B40" i="64"/>
  <c r="B41" i="64"/>
  <c r="B42" i="64"/>
  <c r="B43" i="64"/>
  <c r="B44" i="64"/>
  <c r="B45" i="64"/>
  <c r="B46" i="64"/>
  <c r="B19" i="64"/>
  <c r="B20" i="64"/>
  <c r="U60" i="63"/>
  <c r="S3" i="63" s="1"/>
  <c r="O165" i="64"/>
  <c r="O166" i="64"/>
  <c r="O167" i="64"/>
  <c r="O129" i="64"/>
  <c r="G132" i="66" l="1"/>
  <c r="H132" i="66"/>
  <c r="I132" i="66" s="1"/>
  <c r="K132" i="66" s="1"/>
  <c r="H151" i="66"/>
  <c r="I151" i="66" s="1"/>
  <c r="K151" i="66" s="1"/>
  <c r="H140" i="66"/>
  <c r="I140" i="66" s="1"/>
  <c r="K140" i="66" s="1"/>
  <c r="H120" i="66"/>
  <c r="I120" i="66" s="1"/>
  <c r="K120" i="66" s="1"/>
  <c r="H124" i="66"/>
  <c r="I124" i="66" s="1"/>
  <c r="K124" i="66" s="1"/>
  <c r="H144" i="66"/>
  <c r="I144" i="66" s="1"/>
  <c r="K144" i="66" s="1"/>
  <c r="G133" i="66"/>
  <c r="H136" i="66"/>
  <c r="I136" i="66" s="1"/>
  <c r="K136" i="66" s="1"/>
  <c r="G148" i="66"/>
  <c r="H148" i="66"/>
  <c r="I148" i="66" s="1"/>
  <c r="K148" i="66" s="1"/>
  <c r="G145" i="66"/>
  <c r="H152" i="66"/>
  <c r="I152" i="66" s="1"/>
  <c r="K152" i="66" s="1"/>
  <c r="G153" i="66"/>
  <c r="G120" i="66"/>
  <c r="G141" i="66"/>
  <c r="G124" i="66"/>
  <c r="G140" i="66"/>
  <c r="G125" i="66"/>
  <c r="N71" i="66"/>
  <c r="N72" i="66" s="1"/>
  <c r="G121" i="66"/>
  <c r="G144" i="66"/>
  <c r="H128" i="66"/>
  <c r="I128" i="66" s="1"/>
  <c r="K128" i="66" s="1"/>
  <c r="G149" i="66"/>
  <c r="G129" i="66"/>
  <c r="G152" i="66"/>
  <c r="G136" i="66"/>
  <c r="G137" i="66"/>
  <c r="G117" i="66"/>
  <c r="H149" i="66"/>
  <c r="I149" i="66" s="1"/>
  <c r="K149" i="66" s="1"/>
  <c r="G122" i="66"/>
  <c r="G126" i="66"/>
  <c r="G130" i="66"/>
  <c r="G134" i="66"/>
  <c r="G138" i="66"/>
  <c r="G142" i="66"/>
  <c r="G146" i="66"/>
  <c r="G154" i="66"/>
  <c r="H122" i="66"/>
  <c r="I122" i="66" s="1"/>
  <c r="K122" i="66" s="1"/>
  <c r="H130" i="66"/>
  <c r="I130" i="66" s="1"/>
  <c r="K130" i="66" s="1"/>
  <c r="H138" i="66"/>
  <c r="I138" i="66" s="1"/>
  <c r="K138" i="66" s="1"/>
  <c r="H142" i="66"/>
  <c r="I142" i="66" s="1"/>
  <c r="K142" i="66" s="1"/>
  <c r="H146" i="66"/>
  <c r="I146" i="66" s="1"/>
  <c r="K146" i="66" s="1"/>
  <c r="H154" i="66"/>
  <c r="I154" i="66" s="1"/>
  <c r="K154" i="66" s="1"/>
  <c r="G131" i="66"/>
  <c r="G151" i="66"/>
  <c r="H123" i="66"/>
  <c r="I123" i="66" s="1"/>
  <c r="K123" i="66" s="1"/>
  <c r="H131" i="66"/>
  <c r="I131" i="66" s="1"/>
  <c r="K131" i="66" s="1"/>
  <c r="H143" i="66"/>
  <c r="I143" i="66" s="1"/>
  <c r="K143" i="66" s="1"/>
  <c r="H147" i="66"/>
  <c r="I147" i="66" s="1"/>
  <c r="K147" i="66" s="1"/>
  <c r="H155" i="66"/>
  <c r="I155" i="66" s="1"/>
  <c r="K155" i="66" s="1"/>
  <c r="H117" i="66"/>
  <c r="H121" i="66"/>
  <c r="I121" i="66" s="1"/>
  <c r="K121" i="66" s="1"/>
  <c r="H125" i="66"/>
  <c r="I125" i="66" s="1"/>
  <c r="K125" i="66" s="1"/>
  <c r="H129" i="66"/>
  <c r="I129" i="66" s="1"/>
  <c r="K129" i="66" s="1"/>
  <c r="H133" i="66"/>
  <c r="I133" i="66" s="1"/>
  <c r="K133" i="66" s="1"/>
  <c r="H137" i="66"/>
  <c r="I137" i="66" s="1"/>
  <c r="K137" i="66" s="1"/>
  <c r="H141" i="66"/>
  <c r="I141" i="66" s="1"/>
  <c r="K141" i="66" s="1"/>
  <c r="H145" i="66"/>
  <c r="I145" i="66" s="1"/>
  <c r="K145" i="66" s="1"/>
  <c r="H153" i="66"/>
  <c r="I153" i="66" s="1"/>
  <c r="K153" i="66" s="1"/>
  <c r="G118" i="66"/>
  <c r="G150" i="66"/>
  <c r="H118" i="66"/>
  <c r="I118" i="66" s="1"/>
  <c r="K118" i="66" s="1"/>
  <c r="H126" i="66"/>
  <c r="I126" i="66" s="1"/>
  <c r="K126" i="66" s="1"/>
  <c r="H134" i="66"/>
  <c r="I134" i="66" s="1"/>
  <c r="K134" i="66" s="1"/>
  <c r="H150" i="66"/>
  <c r="I150" i="66" s="1"/>
  <c r="K150" i="66" s="1"/>
  <c r="G119" i="66"/>
  <c r="G123" i="66"/>
  <c r="G127" i="66"/>
  <c r="G135" i="66"/>
  <c r="G139" i="66"/>
  <c r="G143" i="66"/>
  <c r="G147" i="66"/>
  <c r="G155" i="66"/>
  <c r="H119" i="66"/>
  <c r="I119" i="66" s="1"/>
  <c r="K119" i="66" s="1"/>
  <c r="H127" i="66"/>
  <c r="I127" i="66" s="1"/>
  <c r="K127" i="66" s="1"/>
  <c r="H135" i="66"/>
  <c r="I135" i="66" s="1"/>
  <c r="K135" i="66" s="1"/>
  <c r="H139" i="66"/>
  <c r="I139" i="66" s="1"/>
  <c r="K139" i="66" s="1"/>
  <c r="N119" i="66"/>
  <c r="N120" i="66" s="1"/>
  <c r="N20" i="66"/>
  <c r="N21" i="66" s="1"/>
  <c r="N22" i="66" s="1"/>
  <c r="C58" i="64"/>
  <c r="C59" i="64" s="1"/>
  <c r="C146" i="64"/>
  <c r="C147" i="64"/>
  <c r="E1" i="63"/>
  <c r="F1" i="63"/>
  <c r="G1" i="63"/>
  <c r="H1" i="63"/>
  <c r="I1" i="63"/>
  <c r="J1" i="63"/>
  <c r="E2" i="63"/>
  <c r="F2" i="63"/>
  <c r="G2" i="63"/>
  <c r="H2" i="63"/>
  <c r="I2" i="63"/>
  <c r="J2" i="63"/>
  <c r="C2" i="63"/>
  <c r="C1" i="63"/>
  <c r="H156" i="66" l="1"/>
  <c r="G156" i="66"/>
  <c r="I117" i="66"/>
  <c r="I156" i="66" s="1"/>
  <c r="K117" i="66" l="1"/>
  <c r="K156" i="66" s="1"/>
  <c r="O8" i="94" l="1"/>
  <c r="AB1" i="93"/>
  <c r="Q135" i="92"/>
  <c r="D135" i="92"/>
  <c r="Q93" i="92"/>
  <c r="D93" i="92"/>
  <c r="Q51" i="92"/>
  <c r="D51" i="92"/>
  <c r="Q9" i="92"/>
  <c r="D9" i="92"/>
  <c r="B7" i="92"/>
  <c r="C824" i="90"/>
  <c r="K817" i="90"/>
  <c r="J817" i="90"/>
  <c r="I817" i="90"/>
  <c r="H817" i="90"/>
  <c r="G817" i="90"/>
  <c r="M816" i="90"/>
  <c r="K814" i="90"/>
  <c r="J814" i="90"/>
  <c r="I814" i="90"/>
  <c r="H814" i="90"/>
  <c r="G814" i="90"/>
  <c r="M813" i="90"/>
  <c r="K813" i="90"/>
  <c r="K816" i="90" s="1"/>
  <c r="J813" i="90"/>
  <c r="J816" i="90" s="1"/>
  <c r="I813" i="90"/>
  <c r="I816" i="90" s="1"/>
  <c r="H813" i="90"/>
  <c r="H816" i="90" s="1"/>
  <c r="G813" i="90"/>
  <c r="L812" i="90"/>
  <c r="K806" i="90"/>
  <c r="J806" i="90"/>
  <c r="I806" i="90"/>
  <c r="H806" i="90"/>
  <c r="G806" i="90"/>
  <c r="L805" i="90"/>
  <c r="C788" i="90"/>
  <c r="K781" i="90"/>
  <c r="J781" i="90"/>
  <c r="I781" i="90"/>
  <c r="H781" i="90"/>
  <c r="G781" i="90"/>
  <c r="M780" i="90"/>
  <c r="K778" i="90"/>
  <c r="J778" i="90"/>
  <c r="I778" i="90"/>
  <c r="H778" i="90"/>
  <c r="G778" i="90"/>
  <c r="M777" i="90"/>
  <c r="K777" i="90"/>
  <c r="K780" i="90" s="1"/>
  <c r="J777" i="90"/>
  <c r="J780" i="90" s="1"/>
  <c r="I777" i="90"/>
  <c r="I780" i="90" s="1"/>
  <c r="H777" i="90"/>
  <c r="H780" i="90" s="1"/>
  <c r="G777" i="90"/>
  <c r="G780" i="90" s="1"/>
  <c r="L776" i="90"/>
  <c r="L775" i="90"/>
  <c r="I754" i="90"/>
  <c r="I755" i="90" s="1"/>
  <c r="H754" i="90"/>
  <c r="H755" i="90" s="1"/>
  <c r="G754" i="90"/>
  <c r="G755" i="90" s="1"/>
  <c r="F754" i="90"/>
  <c r="J751" i="90"/>
  <c r="G738" i="90"/>
  <c r="G737" i="90"/>
  <c r="G736" i="90"/>
  <c r="G735" i="90"/>
  <c r="G734" i="90"/>
  <c r="G733" i="90"/>
  <c r="G732" i="90"/>
  <c r="G731" i="90"/>
  <c r="G730" i="90"/>
  <c r="G729" i="90"/>
  <c r="G728" i="90"/>
  <c r="G727" i="90"/>
  <c r="G724" i="90"/>
  <c r="M718" i="90"/>
  <c r="L718" i="90"/>
  <c r="J718" i="90"/>
  <c r="M717" i="90"/>
  <c r="L717" i="90"/>
  <c r="J717" i="90"/>
  <c r="L711" i="90"/>
  <c r="L710" i="90"/>
  <c r="D701" i="90"/>
  <c r="J701" i="90" s="1"/>
  <c r="I701" i="90" s="1"/>
  <c r="C701" i="90" s="1"/>
  <c r="D700" i="90"/>
  <c r="J700" i="90" s="1"/>
  <c r="I700" i="90" s="1"/>
  <c r="C700" i="90" s="1"/>
  <c r="E700" i="90" s="1"/>
  <c r="D699" i="90"/>
  <c r="J699" i="90" s="1"/>
  <c r="I699" i="90" s="1"/>
  <c r="C699" i="90" s="1"/>
  <c r="E699" i="90" s="1"/>
  <c r="D698" i="90"/>
  <c r="D697" i="90"/>
  <c r="J697" i="90" s="1"/>
  <c r="I697" i="90" s="1"/>
  <c r="C697" i="90" s="1"/>
  <c r="G671" i="90"/>
  <c r="G669" i="90"/>
  <c r="G667" i="90"/>
  <c r="L665" i="90"/>
  <c r="K665" i="90"/>
  <c r="J665" i="90"/>
  <c r="I665" i="90"/>
  <c r="H665" i="90"/>
  <c r="G663" i="90"/>
  <c r="G662" i="90"/>
  <c r="G661" i="90"/>
  <c r="G660" i="90"/>
  <c r="G659" i="90"/>
  <c r="G656" i="90"/>
  <c r="J653" i="90"/>
  <c r="G653" i="90"/>
  <c r="C651" i="90"/>
  <c r="F644" i="90"/>
  <c r="G636" i="90"/>
  <c r="G642" i="90" s="1"/>
  <c r="H642" i="90" s="1"/>
  <c r="K642" i="90" s="1"/>
  <c r="G634" i="90"/>
  <c r="F599" i="90"/>
  <c r="H599" i="90" s="1"/>
  <c r="F598" i="90"/>
  <c r="H598" i="90" s="1"/>
  <c r="F597" i="90"/>
  <c r="H597" i="90" s="1"/>
  <c r="F596" i="90"/>
  <c r="H596" i="90" s="1"/>
  <c r="F595" i="90"/>
  <c r="H595" i="90" s="1"/>
  <c r="F594" i="90"/>
  <c r="H594" i="90" s="1"/>
  <c r="B593" i="90"/>
  <c r="E592" i="90" s="1"/>
  <c r="G588" i="90"/>
  <c r="H588" i="90" s="1"/>
  <c r="H585" i="90"/>
  <c r="M578" i="90"/>
  <c r="N578" i="90" s="1"/>
  <c r="M575" i="90"/>
  <c r="N575" i="90" s="1"/>
  <c r="H574" i="90"/>
  <c r="H575" i="90" s="1"/>
  <c r="N567" i="90"/>
  <c r="M571" i="90" s="1"/>
  <c r="N571" i="90" s="1"/>
  <c r="H567" i="90"/>
  <c r="H568" i="90" s="1"/>
  <c r="N566" i="90"/>
  <c r="L543" i="90"/>
  <c r="E543" i="90"/>
  <c r="N542" i="90"/>
  <c r="N543" i="90" s="1"/>
  <c r="L542" i="90"/>
  <c r="J542" i="90"/>
  <c r="J543" i="90" s="1"/>
  <c r="G542" i="90"/>
  <c r="G543" i="90" s="1"/>
  <c r="E542" i="90"/>
  <c r="C542" i="90"/>
  <c r="C543" i="90" s="1"/>
  <c r="N539" i="90"/>
  <c r="N538" i="90" s="1"/>
  <c r="G539" i="90"/>
  <c r="G538" i="90" s="1"/>
  <c r="L538" i="90"/>
  <c r="L539" i="90" s="1"/>
  <c r="J538" i="90"/>
  <c r="J539" i="90" s="1"/>
  <c r="E538" i="90"/>
  <c r="E539" i="90" s="1"/>
  <c r="C538" i="90"/>
  <c r="C539" i="90" s="1"/>
  <c r="G530" i="90"/>
  <c r="G529" i="90" s="1"/>
  <c r="J529" i="90"/>
  <c r="J530" i="90" s="1"/>
  <c r="D529" i="90"/>
  <c r="D530" i="90" s="1"/>
  <c r="G525" i="90"/>
  <c r="D525" i="90"/>
  <c r="J524" i="90"/>
  <c r="J525" i="90" s="1"/>
  <c r="G524" i="90"/>
  <c r="D524" i="90"/>
  <c r="K511" i="90"/>
  <c r="G511" i="90"/>
  <c r="B511" i="90"/>
  <c r="M508" i="90"/>
  <c r="K510" i="90" s="1"/>
  <c r="I508" i="90"/>
  <c r="G510" i="90" s="1"/>
  <c r="J510" i="90" s="1"/>
  <c r="D508" i="90"/>
  <c r="B510" i="90" s="1"/>
  <c r="E510" i="90" s="1"/>
  <c r="N507" i="90"/>
  <c r="J507" i="90"/>
  <c r="A501" i="90"/>
  <c r="B500" i="90"/>
  <c r="B496" i="90"/>
  <c r="F491" i="90"/>
  <c r="A475" i="90"/>
  <c r="B474" i="90"/>
  <c r="C467" i="90"/>
  <c r="N461" i="90"/>
  <c r="K463" i="90" s="1"/>
  <c r="K466" i="90" s="1"/>
  <c r="E460" i="90"/>
  <c r="E467" i="90" s="1"/>
  <c r="L439" i="90"/>
  <c r="K439" i="90"/>
  <c r="M438" i="90"/>
  <c r="K438" i="90"/>
  <c r="M437" i="90"/>
  <c r="L437" i="90"/>
  <c r="H429" i="90"/>
  <c r="G429" i="90"/>
  <c r="F429" i="90"/>
  <c r="G428" i="90"/>
  <c r="I428" i="90" s="1"/>
  <c r="I427" i="90"/>
  <c r="H427" i="90"/>
  <c r="F427" i="90"/>
  <c r="G426" i="90"/>
  <c r="H426" i="90" s="1"/>
  <c r="I426" i="90" s="1"/>
  <c r="M416" i="90"/>
  <c r="N416" i="90" s="1"/>
  <c r="F416" i="90"/>
  <c r="G416" i="90" s="1"/>
  <c r="M415" i="90"/>
  <c r="N415" i="90" s="1"/>
  <c r="F415" i="90"/>
  <c r="G415" i="90" s="1"/>
  <c r="M414" i="90"/>
  <c r="N414" i="90" s="1"/>
  <c r="F414" i="90"/>
  <c r="G414" i="90" s="1"/>
  <c r="M413" i="90"/>
  <c r="N413" i="90" s="1"/>
  <c r="F413" i="90"/>
  <c r="G413" i="90" s="1"/>
  <c r="M412" i="90"/>
  <c r="N412" i="90" s="1"/>
  <c r="J412" i="90"/>
  <c r="F412" i="90"/>
  <c r="G412" i="90" s="1"/>
  <c r="C412" i="90"/>
  <c r="H384" i="90"/>
  <c r="J384" i="90" s="1"/>
  <c r="E359" i="90"/>
  <c r="L343" i="90" s="1"/>
  <c r="I347" i="90"/>
  <c r="F347" i="90" s="1"/>
  <c r="H347" i="90"/>
  <c r="E347" i="90" s="1"/>
  <c r="G347" i="90"/>
  <c r="D347" i="90"/>
  <c r="C347" i="90"/>
  <c r="M347" i="90" s="1"/>
  <c r="M345" i="90"/>
  <c r="C345" i="90"/>
  <c r="I339" i="90"/>
  <c r="F339" i="90" s="1"/>
  <c r="H339" i="90"/>
  <c r="E339" i="90" s="1"/>
  <c r="G339" i="90"/>
  <c r="D339" i="90"/>
  <c r="C339" i="90"/>
  <c r="M339" i="90" s="1"/>
  <c r="J318" i="90"/>
  <c r="K311" i="90"/>
  <c r="K307" i="90"/>
  <c r="M297" i="90"/>
  <c r="F295" i="90"/>
  <c r="M293" i="90"/>
  <c r="K289" i="90"/>
  <c r="M289" i="90" s="1"/>
  <c r="M275" i="90"/>
  <c r="K271" i="90"/>
  <c r="M271" i="90" s="1"/>
  <c r="E263" i="90"/>
  <c r="F263" i="90" s="1"/>
  <c r="I260" i="90"/>
  <c r="N256" i="90" s="1"/>
  <c r="E260" i="90"/>
  <c r="F260" i="90" s="1"/>
  <c r="N258" i="90"/>
  <c r="F257" i="90"/>
  <c r="F168" i="90"/>
  <c r="D168" i="90" s="1"/>
  <c r="D165" i="90"/>
  <c r="C117" i="90"/>
  <c r="C114" i="90"/>
  <c r="C111" i="90"/>
  <c r="D104" i="90"/>
  <c r="H102" i="90"/>
  <c r="E102" i="90"/>
  <c r="H100" i="90"/>
  <c r="E100" i="90"/>
  <c r="Q1" i="90"/>
  <c r="P1" i="90"/>
  <c r="O1" i="90"/>
  <c r="N1" i="90"/>
  <c r="M1" i="90"/>
  <c r="L1" i="90"/>
  <c r="K1" i="90"/>
  <c r="J1" i="90"/>
  <c r="I1" i="90"/>
  <c r="H1" i="90"/>
  <c r="G1" i="90"/>
  <c r="F1" i="90"/>
  <c r="E1" i="90"/>
  <c r="D1" i="90"/>
  <c r="C1" i="90"/>
  <c r="B1" i="90"/>
  <c r="A1" i="90"/>
  <c r="C182" i="89"/>
  <c r="B182" i="89"/>
  <c r="C181" i="89"/>
  <c r="B181" i="89"/>
  <c r="B180" i="89"/>
  <c r="C170" i="89"/>
  <c r="B170" i="89"/>
  <c r="C167" i="89"/>
  <c r="B167" i="89"/>
  <c r="B166" i="89"/>
  <c r="B159" i="89"/>
  <c r="B156" i="89"/>
  <c r="C149" i="89"/>
  <c r="C156" i="89" s="1"/>
  <c r="C159" i="89" s="1"/>
  <c r="B149" i="89"/>
  <c r="C146" i="89"/>
  <c r="B146" i="89"/>
  <c r="C143" i="89"/>
  <c r="B143" i="89"/>
  <c r="C140" i="89"/>
  <c r="B140" i="89"/>
  <c r="C137" i="89"/>
  <c r="B137" i="89"/>
  <c r="D131" i="89"/>
  <c r="D130" i="89"/>
  <c r="D129" i="89"/>
  <c r="D128" i="89"/>
  <c r="D127" i="89"/>
  <c r="B127" i="89"/>
  <c r="D118" i="89"/>
  <c r="D117" i="89"/>
  <c r="D116" i="89"/>
  <c r="D115" i="89"/>
  <c r="D114" i="89"/>
  <c r="B114" i="89"/>
  <c r="E107" i="89"/>
  <c r="B107" i="89"/>
  <c r="B101" i="89"/>
  <c r="C100" i="89"/>
  <c r="B95" i="89"/>
  <c r="C94" i="89"/>
  <c r="B89" i="89"/>
  <c r="C88" i="89"/>
  <c r="B83" i="89"/>
  <c r="C77" i="89"/>
  <c r="B77" i="89"/>
  <c r="B69" i="89"/>
  <c r="B64" i="89"/>
  <c r="C63" i="89" a="1"/>
  <c r="C63" i="89" s="1"/>
  <c r="B58" i="89"/>
  <c r="C57" i="89" a="1"/>
  <c r="C57" i="89" s="1"/>
  <c r="B52" i="89"/>
  <c r="C51" i="89"/>
  <c r="B46" i="89"/>
  <c r="C45" i="89" a="1"/>
  <c r="C45" i="89" s="1"/>
  <c r="B40" i="89"/>
  <c r="C39" i="89"/>
  <c r="B34" i="89"/>
  <c r="C33" i="89"/>
  <c r="F15" i="89"/>
  <c r="L13" i="89"/>
  <c r="E12" i="89"/>
  <c r="L10" i="89"/>
  <c r="E10" i="89"/>
  <c r="L8" i="89"/>
  <c r="E8" i="89"/>
  <c r="AA1" i="89"/>
  <c r="Z1" i="89"/>
  <c r="Y1" i="89"/>
  <c r="X1" i="89"/>
  <c r="W1" i="89"/>
  <c r="V1" i="89"/>
  <c r="U1" i="89"/>
  <c r="T1" i="89"/>
  <c r="S1" i="89"/>
  <c r="R1" i="89"/>
  <c r="Q1" i="89"/>
  <c r="P1" i="89"/>
  <c r="O1" i="89"/>
  <c r="N1" i="89"/>
  <c r="M1" i="89"/>
  <c r="L1" i="89"/>
  <c r="K1" i="89"/>
  <c r="J1" i="89"/>
  <c r="I1" i="89"/>
  <c r="H1" i="89"/>
  <c r="G1" i="89"/>
  <c r="F1" i="89"/>
  <c r="E1" i="89"/>
  <c r="D1" i="89"/>
  <c r="C1" i="89"/>
  <c r="B1" i="89"/>
  <c r="A1" i="89"/>
  <c r="U5" i="72"/>
  <c r="C107" i="64"/>
  <c r="C108" i="64" s="1"/>
  <c r="F136" i="64"/>
  <c r="G106" i="64" s="1"/>
  <c r="C138" i="64"/>
  <c r="K138" i="64"/>
  <c r="C140" i="64"/>
  <c r="C116" i="69"/>
  <c r="C68" i="69"/>
  <c r="C18" i="69"/>
  <c r="C19" i="69" s="1"/>
  <c r="H43" i="88"/>
  <c r="B43" i="88"/>
  <c r="O31" i="88" s="1"/>
  <c r="Q42" i="88"/>
  <c r="D42" i="88"/>
  <c r="D41" i="88"/>
  <c r="D40" i="88"/>
  <c r="D39" i="88"/>
  <c r="D38" i="88"/>
  <c r="D37" i="88"/>
  <c r="D36" i="88"/>
  <c r="D35" i="88"/>
  <c r="Q31" i="88"/>
  <c r="I31" i="88"/>
  <c r="H24" i="88"/>
  <c r="B24" i="88"/>
  <c r="D23" i="88"/>
  <c r="D22" i="88"/>
  <c r="D21" i="88"/>
  <c r="D20" i="88"/>
  <c r="D19" i="88"/>
  <c r="D18" i="88"/>
  <c r="D17" i="88"/>
  <c r="O16" i="88"/>
  <c r="D16" i="88"/>
  <c r="O15" i="88"/>
  <c r="I12" i="88"/>
  <c r="N8" i="89"/>
  <c r="C168" i="89"/>
  <c r="C78" i="89"/>
  <c r="C58" i="89"/>
  <c r="C52" i="89"/>
  <c r="C34" i="89"/>
  <c r="N10" i="89"/>
  <c r="G182" i="89"/>
  <c r="C157" i="89"/>
  <c r="G137" i="89"/>
  <c r="G12" i="89"/>
  <c r="G143" i="89"/>
  <c r="C101" i="89"/>
  <c r="G149" i="89"/>
  <c r="C95" i="89"/>
  <c r="C171" i="89"/>
  <c r="C160" i="89"/>
  <c r="G181" i="89"/>
  <c r="C89" i="89"/>
  <c r="E114" i="89"/>
  <c r="E127" i="89"/>
  <c r="G8" i="89"/>
  <c r="G140" i="89"/>
  <c r="G10" i="89"/>
  <c r="C64" i="89"/>
  <c r="C40" i="89"/>
  <c r="E108" i="89"/>
  <c r="C46" i="89"/>
  <c r="G146" i="89"/>
  <c r="F16" i="89"/>
  <c r="J754" i="90" l="1"/>
  <c r="N275" i="90"/>
  <c r="N271" i="90" s="1"/>
  <c r="L275" i="90" s="1"/>
  <c r="D592" i="90"/>
  <c r="L463" i="90"/>
  <c r="L466" i="90" s="1"/>
  <c r="M463" i="90"/>
  <c r="M466" i="90" s="1"/>
  <c r="I307" i="90"/>
  <c r="H463" i="90"/>
  <c r="H466" i="90" s="1"/>
  <c r="I463" i="90"/>
  <c r="I466" i="90" s="1"/>
  <c r="D43" i="88"/>
  <c r="D24" i="88"/>
  <c r="F428" i="90"/>
  <c r="J463" i="90"/>
  <c r="J466" i="90" s="1"/>
  <c r="N568" i="90"/>
  <c r="H593" i="90"/>
  <c r="Q41" i="88"/>
  <c r="L813" i="90"/>
  <c r="F755" i="90"/>
  <c r="J755" i="90" s="1"/>
  <c r="N510" i="90"/>
  <c r="M510" i="90"/>
  <c r="L510" i="90"/>
  <c r="L339" i="90"/>
  <c r="M340" i="90" s="1"/>
  <c r="C510" i="90"/>
  <c r="H510" i="90"/>
  <c r="G637" i="90"/>
  <c r="H637" i="90" s="1"/>
  <c r="K637" i="90" s="1"/>
  <c r="G641" i="90"/>
  <c r="H641" i="90" s="1"/>
  <c r="K641" i="90" s="1"/>
  <c r="E697" i="90"/>
  <c r="E701" i="90"/>
  <c r="L347" i="90"/>
  <c r="M348" i="90" s="1"/>
  <c r="D510" i="90"/>
  <c r="I510" i="90"/>
  <c r="G640" i="90"/>
  <c r="H640" i="90" s="1"/>
  <c r="K640" i="90" s="1"/>
  <c r="L780" i="90"/>
  <c r="G639" i="90"/>
  <c r="H639" i="90" s="1"/>
  <c r="K639" i="90" s="1"/>
  <c r="G643" i="90"/>
  <c r="H643" i="90" s="1"/>
  <c r="K643" i="90" s="1"/>
  <c r="J698" i="90"/>
  <c r="I698" i="90" s="1"/>
  <c r="C698" i="90" s="1"/>
  <c r="E698" i="90" s="1"/>
  <c r="L777" i="90"/>
  <c r="G638" i="90"/>
  <c r="H638" i="90" s="1"/>
  <c r="K638" i="90" s="1"/>
  <c r="G816" i="90"/>
  <c r="L816" i="90" s="1"/>
  <c r="C109" i="64"/>
  <c r="H135" i="64"/>
  <c r="I135" i="64" s="1"/>
  <c r="K135" i="64" s="1"/>
  <c r="H134" i="64"/>
  <c r="I134" i="64" s="1"/>
  <c r="K134" i="64" s="1"/>
  <c r="H133" i="64"/>
  <c r="I133" i="64" s="1"/>
  <c r="K133" i="64" s="1"/>
  <c r="H132" i="64"/>
  <c r="I132" i="64" s="1"/>
  <c r="K132" i="64" s="1"/>
  <c r="H131" i="64"/>
  <c r="I131" i="64" s="1"/>
  <c r="K131" i="64" s="1"/>
  <c r="H130" i="64"/>
  <c r="I130" i="64" s="1"/>
  <c r="K130" i="64" s="1"/>
  <c r="H129" i="64"/>
  <c r="I129" i="64" s="1"/>
  <c r="K129" i="64" s="1"/>
  <c r="H128" i="64"/>
  <c r="I128" i="64" s="1"/>
  <c r="K128" i="64" s="1"/>
  <c r="H127" i="64"/>
  <c r="I127" i="64" s="1"/>
  <c r="K127" i="64" s="1"/>
  <c r="H126" i="64"/>
  <c r="I126" i="64" s="1"/>
  <c r="K126" i="64" s="1"/>
  <c r="H125" i="64"/>
  <c r="I125" i="64" s="1"/>
  <c r="K125" i="64" s="1"/>
  <c r="H124" i="64"/>
  <c r="I124" i="64" s="1"/>
  <c r="K124" i="64" s="1"/>
  <c r="H123" i="64"/>
  <c r="I123" i="64" s="1"/>
  <c r="K123" i="64" s="1"/>
  <c r="H122" i="64"/>
  <c r="I122" i="64" s="1"/>
  <c r="K122" i="64" s="1"/>
  <c r="H121" i="64"/>
  <c r="I121" i="64" s="1"/>
  <c r="K121" i="64" s="1"/>
  <c r="H120" i="64"/>
  <c r="I120" i="64" s="1"/>
  <c r="K120" i="64" s="1"/>
  <c r="H119" i="64"/>
  <c r="I119" i="64" s="1"/>
  <c r="K119" i="64" s="1"/>
  <c r="H118" i="64"/>
  <c r="I118" i="64" s="1"/>
  <c r="K118" i="64" s="1"/>
  <c r="H117" i="64"/>
  <c r="I117" i="64" s="1"/>
  <c r="K117" i="64" s="1"/>
  <c r="H116" i="64"/>
  <c r="I116" i="64" s="1"/>
  <c r="K116" i="64" s="1"/>
  <c r="H115" i="64"/>
  <c r="I115" i="64" s="1"/>
  <c r="K115" i="64" s="1"/>
  <c r="H114" i="64"/>
  <c r="I114" i="64" s="1"/>
  <c r="K114" i="64" s="1"/>
  <c r="H113" i="64"/>
  <c r="I113" i="64" s="1"/>
  <c r="K113" i="64" s="1"/>
  <c r="H112" i="64"/>
  <c r="I112" i="64" s="1"/>
  <c r="K112" i="64" s="1"/>
  <c r="H111" i="64"/>
  <c r="I111" i="64" s="1"/>
  <c r="K111" i="64" s="1"/>
  <c r="H110" i="64"/>
  <c r="I110" i="64" s="1"/>
  <c r="K110" i="64" s="1"/>
  <c r="H109" i="64"/>
  <c r="I109" i="64" s="1"/>
  <c r="K109" i="64" s="1"/>
  <c r="H108" i="64"/>
  <c r="I108" i="64" s="1"/>
  <c r="K108" i="64" s="1"/>
  <c r="H107" i="64"/>
  <c r="I107" i="64" s="1"/>
  <c r="K107" i="64" s="1"/>
  <c r="H106" i="64"/>
  <c r="G135" i="64"/>
  <c r="G134" i="64"/>
  <c r="G133" i="64"/>
  <c r="G132" i="64"/>
  <c r="G131" i="64"/>
  <c r="G130" i="64"/>
  <c r="G129" i="64"/>
  <c r="G128" i="64"/>
  <c r="G127" i="64"/>
  <c r="G126" i="64"/>
  <c r="G125" i="64"/>
  <c r="G124" i="64"/>
  <c r="G123" i="64"/>
  <c r="G122" i="64"/>
  <c r="G121" i="64"/>
  <c r="G120" i="64"/>
  <c r="G119" i="64"/>
  <c r="G118" i="64"/>
  <c r="G117" i="64"/>
  <c r="G116" i="64"/>
  <c r="G115" i="64"/>
  <c r="G114" i="64"/>
  <c r="G113" i="64"/>
  <c r="G112" i="64"/>
  <c r="G111" i="64"/>
  <c r="G110" i="64"/>
  <c r="G109" i="64"/>
  <c r="G108" i="64"/>
  <c r="G107" i="64"/>
  <c r="C117" i="69"/>
  <c r="C69" i="69"/>
  <c r="C20" i="69"/>
  <c r="C21" i="69" s="1"/>
  <c r="C22" i="69" s="1"/>
  <c r="J756" i="90" l="1"/>
  <c r="J757" i="90" s="1"/>
  <c r="L336" i="90"/>
  <c r="M336" i="90"/>
  <c r="N466" i="90"/>
  <c r="G136" i="64"/>
  <c r="L696" i="90"/>
  <c r="F697" i="90" s="1"/>
  <c r="C110" i="64"/>
  <c r="I106" i="64"/>
  <c r="H136" i="64"/>
  <c r="C118" i="69"/>
  <c r="C70" i="69"/>
  <c r="C23" i="69"/>
  <c r="F698" i="90" l="1"/>
  <c r="G698" i="90" s="1"/>
  <c r="K697" i="90"/>
  <c r="L697" i="90" s="1"/>
  <c r="G697" i="90"/>
  <c r="F701" i="90"/>
  <c r="F699" i="90"/>
  <c r="F700" i="90"/>
  <c r="C111" i="64"/>
  <c r="K106" i="64"/>
  <c r="K136" i="64" s="1"/>
  <c r="I136" i="64"/>
  <c r="C119" i="69"/>
  <c r="C71" i="69"/>
  <c r="C72" i="69" s="1"/>
  <c r="C24" i="69"/>
  <c r="C25" i="69" s="1"/>
  <c r="K698" i="90" l="1"/>
  <c r="L698" i="90" s="1"/>
  <c r="F689" i="90"/>
  <c r="D692" i="90" s="1"/>
  <c r="C694" i="90" s="1"/>
  <c r="G700" i="90"/>
  <c r="K700" i="90"/>
  <c r="L700" i="90" s="1"/>
  <c r="G699" i="90"/>
  <c r="K701" i="90"/>
  <c r="L701" i="90" s="1"/>
  <c r="G701" i="90"/>
  <c r="C112" i="64"/>
  <c r="C120" i="69"/>
  <c r="C73" i="69"/>
  <c r="C74" i="69" s="1"/>
  <c r="C75" i="69" s="1"/>
  <c r="C26" i="69"/>
  <c r="E37" i="86"/>
  <c r="F37" i="86" s="1"/>
  <c r="AO36" i="86"/>
  <c r="AN36" i="86"/>
  <c r="AI36" i="86"/>
  <c r="AF36" i="86" a="1"/>
  <c r="AF36" i="86" s="1"/>
  <c r="AH36" i="86" s="1"/>
  <c r="AD36" i="86"/>
  <c r="AA36" i="86" a="1"/>
  <c r="AA36" i="86" s="1"/>
  <c r="AC36" i="86" s="1"/>
  <c r="Y36" i="86"/>
  <c r="V36" i="86"/>
  <c r="X36" i="86" s="1"/>
  <c r="T36" i="86"/>
  <c r="S36" i="86"/>
  <c r="R36" i="86"/>
  <c r="P36" i="86"/>
  <c r="N36" i="86"/>
  <c r="M36" i="86"/>
  <c r="E36" i="86"/>
  <c r="F36" i="86" s="1"/>
  <c r="G36" i="86" s="1"/>
  <c r="I36" i="86" s="1"/>
  <c r="H36" i="86" s="1"/>
  <c r="B36" i="86" s="1"/>
  <c r="O36" i="86" s="1"/>
  <c r="AO35" i="86"/>
  <c r="AN35" i="86"/>
  <c r="AI35" i="86"/>
  <c r="AF35" i="86" a="1"/>
  <c r="AF35" i="86" s="1"/>
  <c r="AH35" i="86" s="1"/>
  <c r="AD35" i="86"/>
  <c r="AA35" i="86" a="1"/>
  <c r="AA35" i="86" s="1"/>
  <c r="AC35" i="86" s="1"/>
  <c r="Y35" i="86"/>
  <c r="V35" i="86"/>
  <c r="X35" i="86" s="1"/>
  <c r="T35" i="86"/>
  <c r="S35" i="86"/>
  <c r="R35" i="86"/>
  <c r="P35" i="86"/>
  <c r="N35" i="86"/>
  <c r="M35" i="86"/>
  <c r="E35" i="86"/>
  <c r="F35" i="86" s="1"/>
  <c r="G35" i="86" s="1"/>
  <c r="I35" i="86" s="1"/>
  <c r="H35" i="86" s="1"/>
  <c r="B35" i="86" s="1"/>
  <c r="O35" i="86" s="1"/>
  <c r="AO34" i="86"/>
  <c r="AN34" i="86"/>
  <c r="AI34" i="86"/>
  <c r="AF34" i="86" a="1"/>
  <c r="AF34" i="86" s="1"/>
  <c r="AH34" i="86" s="1"/>
  <c r="AD34" i="86"/>
  <c r="AA34" i="86" a="1"/>
  <c r="AA34" i="86" s="1"/>
  <c r="AC34" i="86" s="1"/>
  <c r="Y34" i="86"/>
  <c r="V34" i="86"/>
  <c r="X34" i="86" s="1"/>
  <c r="T34" i="86"/>
  <c r="S34" i="86"/>
  <c r="R34" i="86"/>
  <c r="P34" i="86"/>
  <c r="N34" i="86"/>
  <c r="M34" i="86"/>
  <c r="E34" i="86"/>
  <c r="F34" i="86" s="1"/>
  <c r="G34" i="86" s="1"/>
  <c r="I34" i="86" s="1"/>
  <c r="H34" i="86" s="1"/>
  <c r="B34" i="86" s="1"/>
  <c r="O34" i="86" s="1"/>
  <c r="AO33" i="86"/>
  <c r="AN33" i="86"/>
  <c r="AI33" i="86"/>
  <c r="AF33" i="86" a="1"/>
  <c r="AF33" i="86" s="1"/>
  <c r="AH33" i="86" s="1"/>
  <c r="AD33" i="86"/>
  <c r="AA33" i="86" a="1"/>
  <c r="AA33" i="86" s="1"/>
  <c r="AC33" i="86" s="1"/>
  <c r="Y33" i="86"/>
  <c r="V33" i="86"/>
  <c r="X33" i="86" s="1"/>
  <c r="T33" i="86"/>
  <c r="S33" i="86"/>
  <c r="R33" i="86"/>
  <c r="P33" i="86"/>
  <c r="N33" i="86"/>
  <c r="M33" i="86"/>
  <c r="E33" i="86"/>
  <c r="F33" i="86" s="1"/>
  <c r="G33" i="86" s="1"/>
  <c r="I33" i="86" s="1"/>
  <c r="H33" i="86" s="1"/>
  <c r="B33" i="86" s="1"/>
  <c r="O33" i="86" s="1"/>
  <c r="AO32" i="86"/>
  <c r="AN32" i="86"/>
  <c r="AI32" i="86"/>
  <c r="AF32" i="86" a="1"/>
  <c r="AF32" i="86" s="1"/>
  <c r="AH32" i="86" s="1"/>
  <c r="AD32" i="86"/>
  <c r="AA32" i="86" a="1"/>
  <c r="AA32" i="86" s="1"/>
  <c r="AC32" i="86" s="1"/>
  <c r="Y32" i="86"/>
  <c r="V32" i="86"/>
  <c r="X32" i="86" s="1"/>
  <c r="T32" i="86"/>
  <c r="S32" i="86"/>
  <c r="R32" i="86"/>
  <c r="P32" i="86"/>
  <c r="N32" i="86"/>
  <c r="M32" i="86"/>
  <c r="E32" i="86"/>
  <c r="F32" i="86" s="1"/>
  <c r="G32" i="86" s="1"/>
  <c r="I32" i="86" s="1"/>
  <c r="H32" i="86" s="1"/>
  <c r="B32" i="86" s="1"/>
  <c r="O32" i="86" s="1"/>
  <c r="AO31" i="86"/>
  <c r="AN31" i="86"/>
  <c r="AI31" i="86"/>
  <c r="AF31" i="86" a="1"/>
  <c r="AF31" i="86" s="1"/>
  <c r="AH31" i="86" s="1"/>
  <c r="AD31" i="86"/>
  <c r="AA31" i="86" a="1"/>
  <c r="AA31" i="86" s="1"/>
  <c r="AC31" i="86" s="1"/>
  <c r="Y31" i="86"/>
  <c r="V31" i="86"/>
  <c r="X31" i="86" s="1"/>
  <c r="T31" i="86"/>
  <c r="S31" i="86"/>
  <c r="R31" i="86"/>
  <c r="P31" i="86"/>
  <c r="N31" i="86"/>
  <c r="M31" i="86"/>
  <c r="E31" i="86"/>
  <c r="F31" i="86" s="1"/>
  <c r="G31" i="86" s="1"/>
  <c r="I31" i="86" s="1"/>
  <c r="H31" i="86" s="1"/>
  <c r="B31" i="86" s="1"/>
  <c r="O31" i="86" s="1"/>
  <c r="AO30" i="86"/>
  <c r="AN30" i="86"/>
  <c r="AI30" i="86"/>
  <c r="AF30" i="86" a="1"/>
  <c r="AF30" i="86" s="1"/>
  <c r="AH30" i="86" s="1"/>
  <c r="AD30" i="86"/>
  <c r="AA30" i="86" a="1"/>
  <c r="AA30" i="86" s="1"/>
  <c r="AC30" i="86" s="1"/>
  <c r="Y30" i="86"/>
  <c r="V30" i="86"/>
  <c r="X30" i="86" s="1"/>
  <c r="T30" i="86"/>
  <c r="S30" i="86"/>
  <c r="R30" i="86"/>
  <c r="P30" i="86"/>
  <c r="N30" i="86"/>
  <c r="M30" i="86"/>
  <c r="E30" i="86"/>
  <c r="F30" i="86" s="1"/>
  <c r="G30" i="86" s="1"/>
  <c r="I30" i="86" s="1"/>
  <c r="H30" i="86" s="1"/>
  <c r="B30" i="86" s="1"/>
  <c r="O30" i="86" s="1"/>
  <c r="AO29" i="86"/>
  <c r="AN29" i="86"/>
  <c r="AI29" i="86"/>
  <c r="AF29" i="86" a="1"/>
  <c r="AF29" i="86" s="1"/>
  <c r="AH29" i="86" s="1"/>
  <c r="AD29" i="86"/>
  <c r="AA29" i="86" a="1"/>
  <c r="AA29" i="86" s="1"/>
  <c r="AC29" i="86" s="1"/>
  <c r="Y29" i="86"/>
  <c r="V29" i="86"/>
  <c r="X29" i="86" s="1"/>
  <c r="T29" i="86"/>
  <c r="S29" i="86"/>
  <c r="R29" i="86"/>
  <c r="P29" i="86"/>
  <c r="N29" i="86"/>
  <c r="M29" i="86"/>
  <c r="E29" i="86"/>
  <c r="F29" i="86" s="1"/>
  <c r="G29" i="86" s="1"/>
  <c r="I29" i="86" s="1"/>
  <c r="H29" i="86" s="1"/>
  <c r="B29" i="86" s="1"/>
  <c r="O29" i="86" s="1"/>
  <c r="AO28" i="86"/>
  <c r="AN28" i="86"/>
  <c r="AI28" i="86"/>
  <c r="AF28" i="86" a="1"/>
  <c r="AF28" i="86" s="1"/>
  <c r="AH28" i="86" s="1"/>
  <c r="AD28" i="86"/>
  <c r="AA28" i="86" a="1"/>
  <c r="AA28" i="86" s="1"/>
  <c r="AC28" i="86" s="1"/>
  <c r="Y28" i="86"/>
  <c r="V28" i="86"/>
  <c r="X28" i="86" s="1"/>
  <c r="T28" i="86"/>
  <c r="S28" i="86"/>
  <c r="R28" i="86"/>
  <c r="P28" i="86"/>
  <c r="N28" i="86"/>
  <c r="M28" i="86"/>
  <c r="E28" i="86"/>
  <c r="F28" i="86" s="1"/>
  <c r="G28" i="86" s="1"/>
  <c r="I28" i="86" s="1"/>
  <c r="H28" i="86" s="1"/>
  <c r="B28" i="86" s="1"/>
  <c r="O28" i="86" s="1"/>
  <c r="AO27" i="86"/>
  <c r="AN27" i="86"/>
  <c r="AI27" i="86"/>
  <c r="AF27" i="86" a="1"/>
  <c r="AF27" i="86" s="1"/>
  <c r="AH27" i="86" s="1"/>
  <c r="AD27" i="86"/>
  <c r="AA27" i="86" a="1"/>
  <c r="AA27" i="86" s="1"/>
  <c r="AC27" i="86" s="1"/>
  <c r="Y27" i="86"/>
  <c r="V27" i="86"/>
  <c r="X27" i="86" s="1"/>
  <c r="T27" i="86"/>
  <c r="S27" i="86"/>
  <c r="R27" i="86"/>
  <c r="P27" i="86"/>
  <c r="N27" i="86"/>
  <c r="M27" i="86"/>
  <c r="E27" i="86"/>
  <c r="F27" i="86" s="1"/>
  <c r="G27" i="86" s="1"/>
  <c r="I27" i="86" s="1"/>
  <c r="H27" i="86" s="1"/>
  <c r="B27" i="86" s="1"/>
  <c r="O27" i="86" s="1"/>
  <c r="AO26" i="86"/>
  <c r="AN26" i="86"/>
  <c r="AI26" i="86"/>
  <c r="AF26" i="86" a="1"/>
  <c r="AF26" i="86" s="1"/>
  <c r="AH26" i="86" s="1"/>
  <c r="AD26" i="86"/>
  <c r="AA26" i="86" a="1"/>
  <c r="AA26" i="86" s="1"/>
  <c r="AC26" i="86" s="1"/>
  <c r="Y26" i="86"/>
  <c r="V26" i="86"/>
  <c r="X26" i="86" s="1"/>
  <c r="T26" i="86"/>
  <c r="S26" i="86"/>
  <c r="R26" i="86"/>
  <c r="P26" i="86"/>
  <c r="N26" i="86"/>
  <c r="M26" i="86"/>
  <c r="E26" i="86"/>
  <c r="F26" i="86" s="1"/>
  <c r="G26" i="86" s="1"/>
  <c r="I26" i="86" s="1"/>
  <c r="H26" i="86" s="1"/>
  <c r="B26" i="86" s="1"/>
  <c r="O26" i="86" s="1"/>
  <c r="AI25" i="86"/>
  <c r="AF25" i="86" a="1"/>
  <c r="AF25" i="86" s="1"/>
  <c r="AH25" i="86" s="1"/>
  <c r="AD25" i="86"/>
  <c r="AA25" i="86" a="1"/>
  <c r="AA25" i="86" s="1"/>
  <c r="AC25" i="86" s="1"/>
  <c r="Y25" i="86"/>
  <c r="V25" i="86"/>
  <c r="X25" i="86" s="1"/>
  <c r="T25" i="86"/>
  <c r="S25" i="86"/>
  <c r="R25" i="86"/>
  <c r="P25" i="86"/>
  <c r="N25" i="86"/>
  <c r="M25" i="86"/>
  <c r="E25" i="86"/>
  <c r="F25" i="86" s="1"/>
  <c r="G25" i="86" s="1"/>
  <c r="I25" i="86" s="1"/>
  <c r="H25" i="86" s="1"/>
  <c r="B25" i="86" s="1"/>
  <c r="O25" i="86" s="1"/>
  <c r="AI24" i="86"/>
  <c r="AD24" i="86"/>
  <c r="Y24" i="86"/>
  <c r="P24" i="86"/>
  <c r="N24" i="86"/>
  <c r="M24" i="86"/>
  <c r="E24" i="86"/>
  <c r="F24" i="86" s="1"/>
  <c r="G24" i="86" s="1"/>
  <c r="I24" i="86" s="1"/>
  <c r="H24" i="86" s="1"/>
  <c r="B24" i="86" s="1"/>
  <c r="AI23" i="86"/>
  <c r="AD23" i="86"/>
  <c r="Y23" i="86"/>
  <c r="P23" i="86"/>
  <c r="N23" i="86"/>
  <c r="M23" i="86"/>
  <c r="E23" i="86"/>
  <c r="F23" i="86" s="1"/>
  <c r="G23" i="86" s="1"/>
  <c r="I23" i="86" s="1"/>
  <c r="H23" i="86" s="1"/>
  <c r="B23" i="86" s="1"/>
  <c r="AI22" i="86"/>
  <c r="AD22" i="86"/>
  <c r="Y22" i="86"/>
  <c r="P22" i="86"/>
  <c r="N22" i="86"/>
  <c r="M22" i="86"/>
  <c r="E22" i="86"/>
  <c r="F22" i="86" s="1"/>
  <c r="G22" i="86" s="1"/>
  <c r="I22" i="86" s="1"/>
  <c r="H22" i="86" s="1"/>
  <c r="B22" i="86" s="1"/>
  <c r="AI21" i="86"/>
  <c r="AD21" i="86"/>
  <c r="Y21" i="86"/>
  <c r="P21" i="86"/>
  <c r="N21" i="86"/>
  <c r="M21" i="86"/>
  <c r="E21" i="86"/>
  <c r="F21" i="86" s="1"/>
  <c r="G21" i="86" s="1"/>
  <c r="I21" i="86" s="1"/>
  <c r="H21" i="86" s="1"/>
  <c r="B21" i="86" s="1"/>
  <c r="AO20" i="86"/>
  <c r="AN20" i="86"/>
  <c r="AI20" i="86"/>
  <c r="AD20" i="86"/>
  <c r="Y20" i="86"/>
  <c r="P20" i="86"/>
  <c r="N20" i="86"/>
  <c r="M20" i="86"/>
  <c r="E20" i="86"/>
  <c r="F20" i="86" s="1"/>
  <c r="G20" i="86" s="1"/>
  <c r="I20" i="86" s="1"/>
  <c r="H20" i="86" s="1"/>
  <c r="B20" i="86" s="1"/>
  <c r="AO19" i="86"/>
  <c r="AN19" i="86"/>
  <c r="AI19" i="86"/>
  <c r="AF19" i="86" a="1"/>
  <c r="AF19" i="86" s="1"/>
  <c r="AH19" i="86" s="1"/>
  <c r="AD19" i="86"/>
  <c r="AA19" i="86" a="1"/>
  <c r="AA19" i="86" s="1"/>
  <c r="AC19" i="86" s="1"/>
  <c r="Y19" i="86"/>
  <c r="V19" i="86"/>
  <c r="X19" i="86" s="1"/>
  <c r="T19" i="86"/>
  <c r="S19" i="86"/>
  <c r="R19" i="86"/>
  <c r="P19" i="86"/>
  <c r="N19" i="86"/>
  <c r="M19" i="86"/>
  <c r="E19" i="86"/>
  <c r="F19" i="86" s="1"/>
  <c r="G19" i="86" s="1"/>
  <c r="I19" i="86" s="1"/>
  <c r="H19" i="86" s="1"/>
  <c r="B19" i="86" s="1"/>
  <c r="O19" i="86" s="1"/>
  <c r="AQ18" i="86"/>
  <c r="AP18" i="86"/>
  <c r="AO18" i="86"/>
  <c r="AI18" i="86"/>
  <c r="AD18" i="86"/>
  <c r="Y18" i="86"/>
  <c r="P18" i="86"/>
  <c r="N18" i="86"/>
  <c r="M18" i="86"/>
  <c r="E18" i="86"/>
  <c r="F18" i="86" s="1"/>
  <c r="G18" i="86" s="1"/>
  <c r="I18" i="86" s="1"/>
  <c r="H18" i="86" s="1"/>
  <c r="B18" i="86" s="1"/>
  <c r="AQ17" i="86"/>
  <c r="AP17" i="86"/>
  <c r="AO17" i="86"/>
  <c r="AN17" i="86"/>
  <c r="AI17" i="86"/>
  <c r="AF17" i="86" a="1"/>
  <c r="AF17" i="86" s="1"/>
  <c r="AH17" i="86" s="1"/>
  <c r="AD17" i="86"/>
  <c r="AA17" i="86" a="1"/>
  <c r="AA17" i="86" s="1"/>
  <c r="AC17" i="86" s="1"/>
  <c r="Y17" i="86"/>
  <c r="V17" i="86"/>
  <c r="X17" i="86" s="1"/>
  <c r="T17" i="86"/>
  <c r="S17" i="86"/>
  <c r="R17" i="86"/>
  <c r="P17" i="86"/>
  <c r="N17" i="86"/>
  <c r="M17" i="86"/>
  <c r="E17" i="86"/>
  <c r="F17" i="86" s="1"/>
  <c r="G17" i="86" s="1"/>
  <c r="I17" i="86" s="1"/>
  <c r="H17" i="86" s="1"/>
  <c r="B17" i="86" s="1"/>
  <c r="O17" i="86" s="1"/>
  <c r="AQ16" i="86"/>
  <c r="AP16" i="86"/>
  <c r="AO16" i="86"/>
  <c r="AI16" i="86"/>
  <c r="AD16" i="86"/>
  <c r="Y16" i="86"/>
  <c r="P16" i="86"/>
  <c r="N16" i="86"/>
  <c r="M16" i="86"/>
  <c r="E16" i="86"/>
  <c r="F16" i="86" s="1"/>
  <c r="G16" i="86" s="1"/>
  <c r="I16" i="86" s="1"/>
  <c r="H16" i="86" s="1"/>
  <c r="B16" i="86" s="1"/>
  <c r="AQ15" i="86"/>
  <c r="AP15" i="86"/>
  <c r="AO15" i="86"/>
  <c r="AN15" i="86"/>
  <c r="AI15" i="86"/>
  <c r="AF15" i="86" a="1"/>
  <c r="AF15" i="86" s="1"/>
  <c r="AH15" i="86" s="1"/>
  <c r="AD15" i="86"/>
  <c r="AA15" i="86" a="1"/>
  <c r="AA15" i="86" s="1"/>
  <c r="AC15" i="86" s="1"/>
  <c r="Y15" i="86"/>
  <c r="V15" i="86"/>
  <c r="X15" i="86" s="1"/>
  <c r="T15" i="86"/>
  <c r="S15" i="86"/>
  <c r="R15" i="86"/>
  <c r="P15" i="86"/>
  <c r="N15" i="86"/>
  <c r="M15" i="86"/>
  <c r="E15" i="86"/>
  <c r="F15" i="86" s="1"/>
  <c r="G15" i="86" s="1"/>
  <c r="I15" i="86" s="1"/>
  <c r="H15" i="86" s="1"/>
  <c r="B15" i="86" s="1"/>
  <c r="O15" i="86" s="1"/>
  <c r="AQ14" i="86"/>
  <c r="AP14" i="86"/>
  <c r="AO14" i="86"/>
  <c r="AI14" i="86"/>
  <c r="AD14" i="86"/>
  <c r="Y14" i="86"/>
  <c r="P14" i="86"/>
  <c r="N14" i="86"/>
  <c r="M14" i="86"/>
  <c r="E14" i="86"/>
  <c r="F14" i="86" s="1"/>
  <c r="G14" i="86" s="1"/>
  <c r="I14" i="86" s="1"/>
  <c r="H14" i="86" s="1"/>
  <c r="B14" i="86" s="1"/>
  <c r="AM9" i="86"/>
  <c r="AL9" i="86"/>
  <c r="AO13" i="86" s="1"/>
  <c r="AG9" i="86"/>
  <c r="AF9" i="86"/>
  <c r="AI13" i="86" s="1"/>
  <c r="AB9" i="86"/>
  <c r="AA9" i="86"/>
  <c r="AD13" i="86" s="1"/>
  <c r="W9" i="86"/>
  <c r="V9" i="86"/>
  <c r="Y13" i="86" s="1"/>
  <c r="T9" i="86"/>
  <c r="R9" i="86"/>
  <c r="Q9" i="86"/>
  <c r="O9" i="86"/>
  <c r="M9" i="86"/>
  <c r="K9" i="86"/>
  <c r="D9" i="86"/>
  <c r="C9" i="86"/>
  <c r="B9" i="86"/>
  <c r="D694" i="90" l="1"/>
  <c r="H692" i="90"/>
  <c r="C692" i="90"/>
  <c r="I692" i="90"/>
  <c r="I689" i="90"/>
  <c r="G692" i="90" s="1"/>
  <c r="K692" i="90" s="1"/>
  <c r="K699" i="90"/>
  <c r="L699" i="90" s="1"/>
  <c r="K696" i="90" s="1"/>
  <c r="E689" i="90" s="1"/>
  <c r="C689" i="90" s="1"/>
  <c r="J694" i="90"/>
  <c r="E694" i="90"/>
  <c r="C113" i="64"/>
  <c r="C114" i="64" s="1"/>
  <c r="C121" i="69"/>
  <c r="C122" i="69" s="1"/>
  <c r="C76" i="69"/>
  <c r="C27" i="69"/>
  <c r="V14" i="86"/>
  <c r="X14" i="86" s="1"/>
  <c r="AL14" i="86"/>
  <c r="AN14" i="86" s="1"/>
  <c r="O14" i="86"/>
  <c r="AL18" i="86"/>
  <c r="AN18" i="86" s="1"/>
  <c r="O18" i="86"/>
  <c r="V18" i="86"/>
  <c r="X18" i="86" s="1"/>
  <c r="V22" i="86"/>
  <c r="X22" i="86" s="1"/>
  <c r="O22" i="86"/>
  <c r="O23" i="86"/>
  <c r="V23" i="86"/>
  <c r="X23" i="86" s="1"/>
  <c r="V16" i="86"/>
  <c r="X16" i="86" s="1"/>
  <c r="AL16" i="86"/>
  <c r="AN16" i="86" s="1"/>
  <c r="O16" i="86"/>
  <c r="O24" i="86"/>
  <c r="V24" i="86"/>
  <c r="X24" i="86" s="1"/>
  <c r="O21" i="86"/>
  <c r="V21" i="86"/>
  <c r="X21" i="86" s="1"/>
  <c r="V20" i="86"/>
  <c r="X20" i="86" s="1"/>
  <c r="O20" i="86"/>
  <c r="I121" i="69"/>
  <c r="AF16" i="86" a="1"/>
  <c r="AA22" i="86" a="1"/>
  <c r="AA21" i="86" a="1"/>
  <c r="AF23" i="86" a="1"/>
  <c r="AA23" i="86" a="1"/>
  <c r="AF21" i="86" a="1"/>
  <c r="AA16" i="86" a="1"/>
  <c r="AA20" i="86" a="1"/>
  <c r="AF24" i="86" a="1"/>
  <c r="AF14" i="86" a="1"/>
  <c r="AA18" i="86" a="1"/>
  <c r="AF22" i="86" a="1"/>
  <c r="AF20" i="86" a="1"/>
  <c r="AF18" i="86" a="1"/>
  <c r="AA24" i="86" a="1"/>
  <c r="AA14" i="86" a="1"/>
  <c r="E692" i="90" l="1"/>
  <c r="H694" i="90"/>
  <c r="G694" i="90"/>
  <c r="K694" i="90" s="1"/>
  <c r="C115" i="64"/>
  <c r="C116" i="64" s="1"/>
  <c r="C117" i="64" s="1"/>
  <c r="C123" i="69"/>
  <c r="C124" i="69" s="1"/>
  <c r="C77" i="69"/>
  <c r="C78" i="69" s="1"/>
  <c r="C79" i="69" s="1"/>
  <c r="C80" i="69" s="1"/>
  <c r="C81" i="69" s="1"/>
  <c r="C28" i="69"/>
  <c r="AF21" i="86"/>
  <c r="AH21" i="86" s="1"/>
  <c r="AA24" i="86"/>
  <c r="AC24" i="86" s="1"/>
  <c r="AF23" i="86"/>
  <c r="AH23" i="86" s="1"/>
  <c r="AA23" i="86"/>
  <c r="AC23" i="86" s="1"/>
  <c r="AF18" i="86"/>
  <c r="AH18" i="86" s="1"/>
  <c r="AA14" i="86"/>
  <c r="AC14" i="86" s="1"/>
  <c r="AA16" i="86"/>
  <c r="AC16" i="86" s="1"/>
  <c r="AA22" i="86"/>
  <c r="AC22" i="86" s="1"/>
  <c r="AA18" i="86"/>
  <c r="AC18" i="86" s="1"/>
  <c r="AA21" i="86"/>
  <c r="AC21" i="86" s="1"/>
  <c r="AA20" i="86"/>
  <c r="AC20" i="86" s="1"/>
  <c r="AF20" i="86"/>
  <c r="AH20" i="86" s="1"/>
  <c r="AF24" i="86"/>
  <c r="AH24" i="86" s="1"/>
  <c r="AF16" i="86"/>
  <c r="AH16" i="86" s="1"/>
  <c r="AF22" i="86"/>
  <c r="AH22" i="86" s="1"/>
  <c r="AF14" i="86"/>
  <c r="AH14" i="86" s="1"/>
  <c r="T16" i="86"/>
  <c r="S16" i="86"/>
  <c r="R16" i="86"/>
  <c r="S24" i="86"/>
  <c r="R24" i="86"/>
  <c r="T24" i="86"/>
  <c r="S22" i="86"/>
  <c r="R22" i="86"/>
  <c r="T22" i="86"/>
  <c r="S14" i="86"/>
  <c r="R14" i="86"/>
  <c r="T14" i="86"/>
  <c r="T20" i="86"/>
  <c r="R20" i="86"/>
  <c r="S20" i="86"/>
  <c r="S21" i="86"/>
  <c r="R21" i="86"/>
  <c r="T21" i="86"/>
  <c r="S23" i="86"/>
  <c r="R23" i="86"/>
  <c r="T23" i="86"/>
  <c r="T18" i="86"/>
  <c r="S18" i="86"/>
  <c r="R18" i="86"/>
  <c r="C118" i="64" l="1"/>
  <c r="C119" i="64" s="1"/>
  <c r="C120" i="64" s="1"/>
  <c r="C121" i="64" s="1"/>
  <c r="C122" i="64" s="1"/>
  <c r="C123" i="64" s="1"/>
  <c r="C124" i="64" s="1"/>
  <c r="C125" i="69"/>
  <c r="C82" i="69"/>
  <c r="C83" i="69" s="1"/>
  <c r="C29" i="69"/>
  <c r="C30" i="69" s="1"/>
  <c r="C31" i="69" s="1"/>
  <c r="C32" i="69" s="1"/>
  <c r="C33" i="69" s="1"/>
  <c r="C34" i="69" s="1"/>
  <c r="C35" i="69" s="1"/>
  <c r="C36" i="69" s="1"/>
  <c r="C37" i="69" s="1"/>
  <c r="C38" i="69" s="1"/>
  <c r="C39" i="69" s="1"/>
  <c r="C40" i="69" s="1"/>
  <c r="C41" i="69" s="1"/>
  <c r="C42" i="69" s="1"/>
  <c r="C43" i="69" s="1"/>
  <c r="C44" i="69" s="1"/>
  <c r="C45" i="69" s="1"/>
  <c r="C46" i="69" s="1"/>
  <c r="C47" i="69" s="1"/>
  <c r="C48" i="69" s="1"/>
  <c r="C49" i="69" s="1"/>
  <c r="C50" i="69" s="1"/>
  <c r="C51" i="69" s="1"/>
  <c r="C52" i="69" s="1"/>
  <c r="C53" i="69" s="1"/>
  <c r="C54" i="69" s="1"/>
  <c r="C55" i="69" s="1"/>
  <c r="D18" i="81"/>
  <c r="F17" i="81" s="1"/>
  <c r="G17" i="81" s="1"/>
  <c r="I17" i="81" s="1"/>
  <c r="D18" i="80"/>
  <c r="F17" i="80" s="1"/>
  <c r="G17" i="80" s="1"/>
  <c r="I17" i="80" s="1"/>
  <c r="D18" i="79"/>
  <c r="F17" i="79" s="1"/>
  <c r="G17" i="79" s="1"/>
  <c r="I17" i="79" s="1"/>
  <c r="D17" i="78"/>
  <c r="F16" i="78" s="1"/>
  <c r="G16" i="78" s="1"/>
  <c r="I16" i="78" s="1"/>
  <c r="D17" i="76"/>
  <c r="E16" i="76" s="1"/>
  <c r="D17" i="75"/>
  <c r="F16" i="75" s="1"/>
  <c r="G16" i="75" s="1"/>
  <c r="I16" i="75" s="1"/>
  <c r="D17" i="74"/>
  <c r="F16" i="74" s="1"/>
  <c r="G16" i="74" s="1"/>
  <c r="I16" i="74" s="1"/>
  <c r="E11" i="81" l="1"/>
  <c r="E13" i="81"/>
  <c r="E14" i="81"/>
  <c r="E15" i="81"/>
  <c r="F12" i="76"/>
  <c r="G12" i="76" s="1"/>
  <c r="I12" i="76" s="1"/>
  <c r="E8" i="74"/>
  <c r="E13" i="76"/>
  <c r="E17" i="81"/>
  <c r="E13" i="80"/>
  <c r="E10" i="80"/>
  <c r="F14" i="76"/>
  <c r="G14" i="76" s="1"/>
  <c r="I14" i="76" s="1"/>
  <c r="E8" i="78"/>
  <c r="E11" i="80"/>
  <c r="E9" i="78"/>
  <c r="E12" i="78"/>
  <c r="E15" i="80"/>
  <c r="F16" i="76"/>
  <c r="G16" i="76" s="1"/>
  <c r="I16" i="76" s="1"/>
  <c r="E16" i="78"/>
  <c r="E13" i="79"/>
  <c r="E13" i="75"/>
  <c r="E12" i="74"/>
  <c r="E14" i="79"/>
  <c r="E16" i="74"/>
  <c r="E17" i="79"/>
  <c r="E17" i="80"/>
  <c r="E7" i="80"/>
  <c r="E11" i="76"/>
  <c r="E9" i="80"/>
  <c r="E9" i="75"/>
  <c r="E13" i="78"/>
  <c r="E14" i="80"/>
  <c r="C84" i="69"/>
  <c r="C85" i="69" s="1"/>
  <c r="C86" i="69" s="1"/>
  <c r="C87" i="69" s="1"/>
  <c r="C88" i="69" s="1"/>
  <c r="C89" i="69" s="1"/>
  <c r="C90" i="69" s="1"/>
  <c r="C91" i="69" s="1"/>
  <c r="C92" i="69" s="1"/>
  <c r="C93" i="69" s="1"/>
  <c r="C94" i="69" s="1"/>
  <c r="C95" i="69" s="1"/>
  <c r="C96" i="69" s="1"/>
  <c r="C97" i="69" s="1"/>
  <c r="C98" i="69" s="1"/>
  <c r="C99" i="69" s="1"/>
  <c r="C100" i="69" s="1"/>
  <c r="C101" i="69" s="1"/>
  <c r="C102" i="69" s="1"/>
  <c r="C103" i="69" s="1"/>
  <c r="C104" i="69" s="1"/>
  <c r="C105" i="69" s="1"/>
  <c r="F8" i="76"/>
  <c r="G8" i="76" s="1"/>
  <c r="I8" i="76" s="1"/>
  <c r="E7" i="81"/>
  <c r="E9" i="76"/>
  <c r="E10" i="79"/>
  <c r="E9" i="81"/>
  <c r="E7" i="76"/>
  <c r="E7" i="79"/>
  <c r="E9" i="79"/>
  <c r="F10" i="76"/>
  <c r="G10" i="76" s="1"/>
  <c r="I10" i="76" s="1"/>
  <c r="E11" i="79"/>
  <c r="E10" i="81"/>
  <c r="C125" i="64"/>
  <c r="C126" i="64" s="1"/>
  <c r="C127" i="64" s="1"/>
  <c r="C128" i="64" s="1"/>
  <c r="C129" i="64" s="1"/>
  <c r="C130" i="64" s="1"/>
  <c r="C131" i="64" s="1"/>
  <c r="C132" i="64" s="1"/>
  <c r="C133" i="64" s="1"/>
  <c r="C134" i="64" s="1"/>
  <c r="C135" i="64" s="1"/>
  <c r="C126" i="69"/>
  <c r="C127" i="69" s="1"/>
  <c r="C128" i="69" s="1"/>
  <c r="C129" i="69" s="1"/>
  <c r="C130" i="69" s="1"/>
  <c r="C131" i="69" s="1"/>
  <c r="C132" i="69" s="1"/>
  <c r="C133" i="69" s="1"/>
  <c r="C134" i="69" s="1"/>
  <c r="C135" i="69" s="1"/>
  <c r="C136" i="69" s="1"/>
  <c r="C137" i="69" s="1"/>
  <c r="C138" i="69" s="1"/>
  <c r="C139" i="69" s="1"/>
  <c r="C140" i="69" s="1"/>
  <c r="C141" i="69" s="1"/>
  <c r="C142" i="69" s="1"/>
  <c r="C143" i="69" s="1"/>
  <c r="C144" i="69" s="1"/>
  <c r="C145" i="69" s="1"/>
  <c r="C146" i="69" s="1"/>
  <c r="C147" i="69" s="1"/>
  <c r="C148" i="69" s="1"/>
  <c r="C149" i="69" s="1"/>
  <c r="C150" i="69" s="1"/>
  <c r="C151" i="69" s="1"/>
  <c r="C152" i="69" s="1"/>
  <c r="C153" i="69" s="1"/>
  <c r="E13" i="74"/>
  <c r="E10" i="75"/>
  <c r="E7" i="75"/>
  <c r="F7" i="76"/>
  <c r="G7" i="76" s="1"/>
  <c r="F11" i="76"/>
  <c r="G11" i="76" s="1"/>
  <c r="I11" i="76" s="1"/>
  <c r="F15" i="76"/>
  <c r="G15" i="76" s="1"/>
  <c r="I15" i="76" s="1"/>
  <c r="E10" i="78"/>
  <c r="E14" i="78"/>
  <c r="E15" i="79"/>
  <c r="E9" i="74"/>
  <c r="E14" i="75"/>
  <c r="E15" i="76"/>
  <c r="E10" i="74"/>
  <c r="E14" i="74"/>
  <c r="E11" i="75"/>
  <c r="E15" i="75"/>
  <c r="F9" i="76"/>
  <c r="G9" i="76" s="1"/>
  <c r="I9" i="76" s="1"/>
  <c r="F13" i="76"/>
  <c r="G13" i="76" s="1"/>
  <c r="I13" i="76" s="1"/>
  <c r="E7" i="74"/>
  <c r="E11" i="74"/>
  <c r="E15" i="74"/>
  <c r="E8" i="75"/>
  <c r="E12" i="75"/>
  <c r="E16" i="75"/>
  <c r="E8" i="76"/>
  <c r="E10" i="76"/>
  <c r="E12" i="76"/>
  <c r="E14" i="76"/>
  <c r="E7" i="78"/>
  <c r="E11" i="78"/>
  <c r="E15" i="78"/>
  <c r="E8" i="79"/>
  <c r="E12" i="79"/>
  <c r="E16" i="79"/>
  <c r="E8" i="80"/>
  <c r="E12" i="80"/>
  <c r="E16" i="80"/>
  <c r="E8" i="81"/>
  <c r="E12" i="81"/>
  <c r="E16" i="81"/>
  <c r="F7" i="81"/>
  <c r="F8" i="81"/>
  <c r="G8" i="81" s="1"/>
  <c r="I8" i="81" s="1"/>
  <c r="F9" i="81"/>
  <c r="G9" i="81" s="1"/>
  <c r="I9" i="81" s="1"/>
  <c r="F10" i="81"/>
  <c r="G10" i="81" s="1"/>
  <c r="I10" i="81" s="1"/>
  <c r="F11" i="81"/>
  <c r="G11" i="81" s="1"/>
  <c r="I11" i="81" s="1"/>
  <c r="F12" i="81"/>
  <c r="G12" i="81" s="1"/>
  <c r="I12" i="81" s="1"/>
  <c r="F13" i="81"/>
  <c r="G13" i="81" s="1"/>
  <c r="I13" i="81" s="1"/>
  <c r="F14" i="81"/>
  <c r="G14" i="81" s="1"/>
  <c r="I14" i="81" s="1"/>
  <c r="F15" i="81"/>
  <c r="G15" i="81" s="1"/>
  <c r="I15" i="81" s="1"/>
  <c r="F16" i="81"/>
  <c r="G16" i="81" s="1"/>
  <c r="I16" i="81" s="1"/>
  <c r="F7" i="80"/>
  <c r="F8" i="80"/>
  <c r="G8" i="80" s="1"/>
  <c r="I8" i="80" s="1"/>
  <c r="F9" i="80"/>
  <c r="G9" i="80" s="1"/>
  <c r="I9" i="80" s="1"/>
  <c r="F10" i="80"/>
  <c r="G10" i="80" s="1"/>
  <c r="I10" i="80" s="1"/>
  <c r="F11" i="80"/>
  <c r="G11" i="80" s="1"/>
  <c r="I11" i="80" s="1"/>
  <c r="F12" i="80"/>
  <c r="G12" i="80" s="1"/>
  <c r="I12" i="80" s="1"/>
  <c r="F13" i="80"/>
  <c r="G13" i="80" s="1"/>
  <c r="I13" i="80" s="1"/>
  <c r="F14" i="80"/>
  <c r="G14" i="80" s="1"/>
  <c r="I14" i="80" s="1"/>
  <c r="F15" i="80"/>
  <c r="G15" i="80" s="1"/>
  <c r="I15" i="80" s="1"/>
  <c r="F16" i="80"/>
  <c r="G16" i="80" s="1"/>
  <c r="I16" i="80" s="1"/>
  <c r="F7" i="79"/>
  <c r="F8" i="79"/>
  <c r="G8" i="79" s="1"/>
  <c r="I8" i="79" s="1"/>
  <c r="F9" i="79"/>
  <c r="G9" i="79" s="1"/>
  <c r="I9" i="79" s="1"/>
  <c r="F10" i="79"/>
  <c r="G10" i="79" s="1"/>
  <c r="I10" i="79" s="1"/>
  <c r="F11" i="79"/>
  <c r="G11" i="79" s="1"/>
  <c r="I11" i="79" s="1"/>
  <c r="F12" i="79"/>
  <c r="G12" i="79" s="1"/>
  <c r="I12" i="79" s="1"/>
  <c r="F13" i="79"/>
  <c r="G13" i="79" s="1"/>
  <c r="I13" i="79" s="1"/>
  <c r="F14" i="79"/>
  <c r="G14" i="79" s="1"/>
  <c r="I14" i="79" s="1"/>
  <c r="F15" i="79"/>
  <c r="G15" i="79" s="1"/>
  <c r="I15" i="79" s="1"/>
  <c r="F16" i="79"/>
  <c r="G16" i="79" s="1"/>
  <c r="I16" i="79" s="1"/>
  <c r="F7" i="78"/>
  <c r="F8" i="78"/>
  <c r="G8" i="78" s="1"/>
  <c r="I8" i="78" s="1"/>
  <c r="F9" i="78"/>
  <c r="G9" i="78" s="1"/>
  <c r="I9" i="78" s="1"/>
  <c r="F10" i="78"/>
  <c r="G10" i="78" s="1"/>
  <c r="I10" i="78" s="1"/>
  <c r="F11" i="78"/>
  <c r="G11" i="78" s="1"/>
  <c r="I11" i="78" s="1"/>
  <c r="F12" i="78"/>
  <c r="G12" i="78" s="1"/>
  <c r="I12" i="78" s="1"/>
  <c r="F13" i="78"/>
  <c r="G13" i="78" s="1"/>
  <c r="I13" i="78" s="1"/>
  <c r="F14" i="78"/>
  <c r="G14" i="78" s="1"/>
  <c r="I14" i="78" s="1"/>
  <c r="F15" i="78"/>
  <c r="G15" i="78" s="1"/>
  <c r="I15" i="78" s="1"/>
  <c r="F7" i="75"/>
  <c r="F8" i="75"/>
  <c r="G8" i="75" s="1"/>
  <c r="I8" i="75" s="1"/>
  <c r="F9" i="75"/>
  <c r="G9" i="75" s="1"/>
  <c r="I9" i="75" s="1"/>
  <c r="F10" i="75"/>
  <c r="G10" i="75" s="1"/>
  <c r="I10" i="75" s="1"/>
  <c r="F11" i="75"/>
  <c r="G11" i="75" s="1"/>
  <c r="I11" i="75" s="1"/>
  <c r="F12" i="75"/>
  <c r="G12" i="75" s="1"/>
  <c r="I12" i="75" s="1"/>
  <c r="F13" i="75"/>
  <c r="G13" i="75" s="1"/>
  <c r="I13" i="75" s="1"/>
  <c r="F14" i="75"/>
  <c r="G14" i="75" s="1"/>
  <c r="I14" i="75" s="1"/>
  <c r="F15" i="75"/>
  <c r="G15" i="75" s="1"/>
  <c r="I15" i="75" s="1"/>
  <c r="F7" i="74"/>
  <c r="F8" i="74"/>
  <c r="G8" i="74" s="1"/>
  <c r="I8" i="74" s="1"/>
  <c r="F9" i="74"/>
  <c r="G9" i="74" s="1"/>
  <c r="I9" i="74" s="1"/>
  <c r="F10" i="74"/>
  <c r="G10" i="74" s="1"/>
  <c r="I10" i="74" s="1"/>
  <c r="F11" i="74"/>
  <c r="G11" i="74" s="1"/>
  <c r="I11" i="74" s="1"/>
  <c r="F12" i="74"/>
  <c r="G12" i="74" s="1"/>
  <c r="I12" i="74" s="1"/>
  <c r="F13" i="74"/>
  <c r="G13" i="74" s="1"/>
  <c r="I13" i="74" s="1"/>
  <c r="F14" i="74"/>
  <c r="G14" i="74" s="1"/>
  <c r="I14" i="74" s="1"/>
  <c r="F15" i="74"/>
  <c r="G15" i="74" s="1"/>
  <c r="I15" i="74" s="1"/>
  <c r="E17" i="76" l="1"/>
  <c r="E18" i="81"/>
  <c r="E18" i="79"/>
  <c r="E18" i="80"/>
  <c r="E17" i="75"/>
  <c r="E17" i="74"/>
  <c r="E17" i="78"/>
  <c r="F17" i="76"/>
  <c r="F18" i="81"/>
  <c r="G7" i="81"/>
  <c r="F18" i="80"/>
  <c r="G7" i="80"/>
  <c r="F18" i="79"/>
  <c r="G7" i="79"/>
  <c r="F17" i="78"/>
  <c r="G7" i="78"/>
  <c r="G17" i="76"/>
  <c r="I7" i="76"/>
  <c r="I17" i="76" s="1"/>
  <c r="F17" i="75"/>
  <c r="G7" i="75"/>
  <c r="F17" i="74"/>
  <c r="G7" i="74"/>
  <c r="H17" i="76" l="1"/>
  <c r="G18" i="81"/>
  <c r="I7" i="81"/>
  <c r="I18" i="81" s="1"/>
  <c r="G18" i="80"/>
  <c r="I7" i="80"/>
  <c r="I18" i="80" s="1"/>
  <c r="G18" i="79"/>
  <c r="I7" i="79"/>
  <c r="I18" i="79" s="1"/>
  <c r="G17" i="78"/>
  <c r="I7" i="78"/>
  <c r="I17" i="78" s="1"/>
  <c r="G17" i="75"/>
  <c r="I7" i="75"/>
  <c r="I17" i="75" s="1"/>
  <c r="G17" i="74"/>
  <c r="I7" i="74"/>
  <c r="I17" i="74" s="1"/>
  <c r="H18" i="81" l="1"/>
  <c r="H18" i="80"/>
  <c r="H17" i="74"/>
  <c r="H18" i="79"/>
  <c r="H17" i="75"/>
  <c r="H17" i="78"/>
  <c r="I115" i="69"/>
  <c r="K115" i="69" s="1"/>
  <c r="I116" i="69"/>
  <c r="K116" i="69" s="1"/>
  <c r="I117" i="69"/>
  <c r="K117" i="69" s="1"/>
  <c r="I118" i="69"/>
  <c r="K118" i="69" s="1"/>
  <c r="I119" i="69"/>
  <c r="K119" i="69" s="1"/>
  <c r="I120" i="69"/>
  <c r="K120" i="69" s="1"/>
  <c r="K121" i="69"/>
  <c r="I122" i="69"/>
  <c r="K122" i="69" s="1"/>
  <c r="I123" i="69"/>
  <c r="K123" i="69" s="1"/>
  <c r="I124" i="69"/>
  <c r="K124" i="69" s="1"/>
  <c r="I125" i="69"/>
  <c r="K125" i="69" s="1"/>
  <c r="I126" i="69"/>
  <c r="K126" i="69" s="1"/>
  <c r="I127" i="69"/>
  <c r="K127" i="69" s="1"/>
  <c r="I128" i="69"/>
  <c r="K128" i="69" s="1"/>
  <c r="I129" i="69"/>
  <c r="K129" i="69" s="1"/>
  <c r="I130" i="69"/>
  <c r="K130" i="69" s="1"/>
  <c r="I131" i="69"/>
  <c r="K131" i="69" s="1"/>
  <c r="I132" i="69"/>
  <c r="K132" i="69" s="1"/>
  <c r="I133" i="69"/>
  <c r="K133" i="69" s="1"/>
  <c r="I134" i="69"/>
  <c r="K134" i="69" s="1"/>
  <c r="I135" i="69"/>
  <c r="K135" i="69" s="1"/>
  <c r="I136" i="69"/>
  <c r="K136" i="69" s="1"/>
  <c r="I137" i="69"/>
  <c r="K137" i="69" s="1"/>
  <c r="I138" i="69"/>
  <c r="K138" i="69" s="1"/>
  <c r="I139" i="69"/>
  <c r="K139" i="69" s="1"/>
  <c r="I140" i="69"/>
  <c r="K140" i="69" s="1"/>
  <c r="I141" i="69"/>
  <c r="K141" i="69" s="1"/>
  <c r="I142" i="69"/>
  <c r="K142" i="69" s="1"/>
  <c r="I143" i="69"/>
  <c r="K143" i="69" s="1"/>
  <c r="I144" i="69"/>
  <c r="K144" i="69" s="1"/>
  <c r="I145" i="69"/>
  <c r="K145" i="69" s="1"/>
  <c r="I146" i="69"/>
  <c r="K146" i="69" s="1"/>
  <c r="I147" i="69"/>
  <c r="K147" i="69" s="1"/>
  <c r="I148" i="69"/>
  <c r="K148" i="69" s="1"/>
  <c r="I149" i="69"/>
  <c r="K149" i="69" s="1"/>
  <c r="I150" i="69"/>
  <c r="K150" i="69" s="1"/>
  <c r="I151" i="69"/>
  <c r="K151" i="69" s="1"/>
  <c r="I152" i="69"/>
  <c r="K152" i="69" s="1"/>
  <c r="I153" i="69"/>
  <c r="K153" i="69" s="1"/>
  <c r="F154" i="69"/>
  <c r="H106" i="69"/>
  <c r="M68" i="69" s="1"/>
  <c r="N68" i="69" s="1"/>
  <c r="R68" i="69" s="1"/>
  <c r="F106" i="69"/>
  <c r="V103" i="69"/>
  <c r="L67" i="69"/>
  <c r="U63" i="69"/>
  <c r="AB61" i="69"/>
  <c r="U61" i="69"/>
  <c r="I17" i="69"/>
  <c r="I18" i="69"/>
  <c r="I19" i="69"/>
  <c r="I20" i="69"/>
  <c r="I21" i="69"/>
  <c r="I22" i="69"/>
  <c r="I23" i="69"/>
  <c r="I24" i="69"/>
  <c r="I25" i="69"/>
  <c r="I26" i="69"/>
  <c r="I27" i="69"/>
  <c r="I28" i="69"/>
  <c r="I29" i="69"/>
  <c r="I30" i="69"/>
  <c r="I31" i="69"/>
  <c r="I32" i="69"/>
  <c r="I33" i="69"/>
  <c r="I34" i="69"/>
  <c r="I35" i="69"/>
  <c r="I36" i="69"/>
  <c r="I37" i="69"/>
  <c r="I38" i="69"/>
  <c r="I39" i="69"/>
  <c r="I40" i="69"/>
  <c r="I41" i="69"/>
  <c r="I42" i="69"/>
  <c r="I43" i="69"/>
  <c r="I44" i="69"/>
  <c r="I45" i="69"/>
  <c r="I46" i="69"/>
  <c r="I47" i="69"/>
  <c r="I48" i="69"/>
  <c r="I49" i="69"/>
  <c r="I50" i="69"/>
  <c r="I51" i="69"/>
  <c r="I52" i="69"/>
  <c r="I53" i="69"/>
  <c r="I54" i="69"/>
  <c r="I55" i="69"/>
  <c r="H56" i="69"/>
  <c r="P55" i="69"/>
  <c r="L55" i="69"/>
  <c r="P54" i="69"/>
  <c r="L54" i="69"/>
  <c r="V53" i="69"/>
  <c r="P53" i="69"/>
  <c r="L53" i="69"/>
  <c r="P52" i="69"/>
  <c r="L52" i="69"/>
  <c r="P51" i="69"/>
  <c r="L51" i="69"/>
  <c r="P50" i="69"/>
  <c r="L50" i="69"/>
  <c r="P49" i="69"/>
  <c r="L49" i="69"/>
  <c r="P48" i="69"/>
  <c r="L48" i="69"/>
  <c r="P47" i="69"/>
  <c r="L47" i="69"/>
  <c r="P46" i="69"/>
  <c r="L46" i="69"/>
  <c r="P45" i="69"/>
  <c r="L45" i="69"/>
  <c r="P44" i="69"/>
  <c r="L44" i="69"/>
  <c r="P43" i="69"/>
  <c r="L43" i="69"/>
  <c r="P42" i="69"/>
  <c r="L42" i="69"/>
  <c r="P41" i="69"/>
  <c r="L41" i="69"/>
  <c r="P40" i="69"/>
  <c r="L40" i="69"/>
  <c r="P39" i="69"/>
  <c r="L39" i="69"/>
  <c r="P38" i="69"/>
  <c r="L38" i="69"/>
  <c r="P37" i="69"/>
  <c r="L37" i="69"/>
  <c r="P36" i="69"/>
  <c r="L36" i="69"/>
  <c r="P35" i="69"/>
  <c r="L35" i="69"/>
  <c r="P34" i="69"/>
  <c r="L34" i="69"/>
  <c r="P33" i="69"/>
  <c r="L33" i="69"/>
  <c r="P32" i="69"/>
  <c r="L32" i="69"/>
  <c r="P31" i="69"/>
  <c r="L31" i="69"/>
  <c r="P30" i="69"/>
  <c r="L30" i="69"/>
  <c r="P29" i="69"/>
  <c r="L29" i="69"/>
  <c r="P28" i="69"/>
  <c r="L28" i="69"/>
  <c r="P27" i="69"/>
  <c r="L27" i="69"/>
  <c r="P26" i="69"/>
  <c r="L26" i="69"/>
  <c r="P25" i="69"/>
  <c r="L25" i="69"/>
  <c r="P24" i="69"/>
  <c r="L24" i="69"/>
  <c r="P23" i="69"/>
  <c r="L23" i="69"/>
  <c r="P22" i="69"/>
  <c r="L22" i="69"/>
  <c r="P21" i="69"/>
  <c r="L21" i="69"/>
  <c r="P20" i="69"/>
  <c r="L20" i="69"/>
  <c r="P19" i="69"/>
  <c r="L19" i="69"/>
  <c r="P18" i="69"/>
  <c r="L18" i="69"/>
  <c r="P17" i="69"/>
  <c r="L17" i="69"/>
  <c r="U13" i="69"/>
  <c r="AB11" i="69"/>
  <c r="U11" i="69"/>
  <c r="U198" i="68"/>
  <c r="T198" i="68"/>
  <c r="R198" i="68"/>
  <c r="Q198" i="68"/>
  <c r="P198" i="68"/>
  <c r="O198" i="68"/>
  <c r="I198" i="68"/>
  <c r="S198" i="68" s="1"/>
  <c r="U197" i="68"/>
  <c r="T197" i="68"/>
  <c r="R197" i="68"/>
  <c r="Q197" i="68"/>
  <c r="P197" i="68"/>
  <c r="O197" i="68"/>
  <c r="I197" i="68"/>
  <c r="S197" i="68" s="1"/>
  <c r="U196" i="68"/>
  <c r="T196" i="68"/>
  <c r="R196" i="68"/>
  <c r="Q196" i="68"/>
  <c r="P196" i="68"/>
  <c r="O196" i="68"/>
  <c r="I196" i="68"/>
  <c r="S196" i="68" s="1"/>
  <c r="U195" i="68"/>
  <c r="T195" i="68"/>
  <c r="R195" i="68"/>
  <c r="Q195" i="68"/>
  <c r="P195" i="68"/>
  <c r="O195" i="68"/>
  <c r="I195" i="68"/>
  <c r="S195" i="68" s="1"/>
  <c r="U194" i="68"/>
  <c r="T194" i="68"/>
  <c r="R194" i="68"/>
  <c r="Q194" i="68"/>
  <c r="P194" i="68"/>
  <c r="O194" i="68"/>
  <c r="I194" i="68"/>
  <c r="S194" i="68" s="1"/>
  <c r="U193" i="68"/>
  <c r="T193" i="68"/>
  <c r="R193" i="68"/>
  <c r="Q193" i="68"/>
  <c r="P193" i="68"/>
  <c r="O193" i="68"/>
  <c r="I193" i="68"/>
  <c r="S193" i="68" s="1"/>
  <c r="U192" i="68"/>
  <c r="T192" i="68"/>
  <c r="R192" i="68"/>
  <c r="Q192" i="68"/>
  <c r="P192" i="68"/>
  <c r="O192" i="68"/>
  <c r="I192" i="68"/>
  <c r="S192" i="68" s="1"/>
  <c r="U191" i="68"/>
  <c r="T191" i="68"/>
  <c r="R191" i="68"/>
  <c r="Q191" i="68"/>
  <c r="P191" i="68"/>
  <c r="O191" i="68"/>
  <c r="I191" i="68"/>
  <c r="S191" i="68" s="1"/>
  <c r="U190" i="68"/>
  <c r="T190" i="68"/>
  <c r="R190" i="68"/>
  <c r="Q190" i="68"/>
  <c r="P190" i="68"/>
  <c r="O190" i="68"/>
  <c r="I190" i="68"/>
  <c r="S190" i="68" s="1"/>
  <c r="U189" i="68"/>
  <c r="T189" i="68"/>
  <c r="R189" i="68"/>
  <c r="Q189" i="68"/>
  <c r="P189" i="68"/>
  <c r="O189" i="68"/>
  <c r="I189" i="68"/>
  <c r="S189" i="68" s="1"/>
  <c r="P187" i="68"/>
  <c r="U186" i="68"/>
  <c r="T186" i="68"/>
  <c r="R186" i="68"/>
  <c r="Q186" i="68"/>
  <c r="P186" i="68"/>
  <c r="O186" i="68"/>
  <c r="I186" i="68"/>
  <c r="S186" i="68" s="1"/>
  <c r="P184" i="68"/>
  <c r="U183" i="68"/>
  <c r="T183" i="68"/>
  <c r="R183" i="68"/>
  <c r="Q183" i="68"/>
  <c r="P183" i="68"/>
  <c r="O183" i="68"/>
  <c r="I183" i="68"/>
  <c r="S183" i="68" s="1"/>
  <c r="U182" i="68"/>
  <c r="T182" i="68"/>
  <c r="R182" i="68"/>
  <c r="Q182" i="68"/>
  <c r="P182" i="68"/>
  <c r="O182" i="68"/>
  <c r="I182" i="68"/>
  <c r="S182" i="68" s="1"/>
  <c r="U181" i="68"/>
  <c r="T181" i="68"/>
  <c r="R181" i="68"/>
  <c r="Q181" i="68"/>
  <c r="P181" i="68"/>
  <c r="O181" i="68"/>
  <c r="I181" i="68"/>
  <c r="S181" i="68" s="1"/>
  <c r="U180" i="68"/>
  <c r="T180" i="68"/>
  <c r="R180" i="68"/>
  <c r="Q180" i="68"/>
  <c r="P180" i="68"/>
  <c r="O180" i="68"/>
  <c r="I180" i="68"/>
  <c r="S180" i="68" s="1"/>
  <c r="U179" i="68"/>
  <c r="T179" i="68"/>
  <c r="R179" i="68"/>
  <c r="Q179" i="68"/>
  <c r="P179" i="68"/>
  <c r="O179" i="68"/>
  <c r="I179" i="68"/>
  <c r="S179" i="68" s="1"/>
  <c r="U178" i="68"/>
  <c r="T178" i="68"/>
  <c r="R178" i="68"/>
  <c r="Q178" i="68"/>
  <c r="P178" i="68"/>
  <c r="O178" i="68"/>
  <c r="I178" i="68"/>
  <c r="S178" i="68" s="1"/>
  <c r="U177" i="68"/>
  <c r="T177" i="68"/>
  <c r="R177" i="68"/>
  <c r="Q177" i="68"/>
  <c r="P177" i="68"/>
  <c r="O177" i="68"/>
  <c r="I177" i="68"/>
  <c r="S177" i="68" s="1"/>
  <c r="U176" i="68"/>
  <c r="T176" i="68"/>
  <c r="R176" i="68"/>
  <c r="Q176" i="68"/>
  <c r="P176" i="68"/>
  <c r="O176" i="68"/>
  <c r="I176" i="68"/>
  <c r="S176" i="68" s="1"/>
  <c r="P174" i="68"/>
  <c r="U173" i="68"/>
  <c r="T173" i="68"/>
  <c r="R173" i="68"/>
  <c r="Q173" i="68"/>
  <c r="P173" i="68"/>
  <c r="O173" i="68"/>
  <c r="I173" i="68"/>
  <c r="S173" i="68" s="1"/>
  <c r="U172" i="68"/>
  <c r="T172" i="68"/>
  <c r="R172" i="68"/>
  <c r="Q172" i="68"/>
  <c r="P172" i="68"/>
  <c r="O172" i="68"/>
  <c r="I172" i="68"/>
  <c r="S172" i="68" s="1"/>
  <c r="U171" i="68"/>
  <c r="T171" i="68"/>
  <c r="R171" i="68"/>
  <c r="Q171" i="68"/>
  <c r="P171" i="68"/>
  <c r="O171" i="68"/>
  <c r="I171" i="68"/>
  <c r="S171" i="68" s="1"/>
  <c r="U170" i="68"/>
  <c r="T170" i="68"/>
  <c r="R170" i="68"/>
  <c r="Q170" i="68"/>
  <c r="P170" i="68"/>
  <c r="O170" i="68"/>
  <c r="I170" i="68"/>
  <c r="S170" i="68" s="1"/>
  <c r="P168" i="68"/>
  <c r="U167" i="68"/>
  <c r="T167" i="68"/>
  <c r="R167" i="68"/>
  <c r="Q167" i="68"/>
  <c r="P167" i="68"/>
  <c r="O167" i="68"/>
  <c r="I167" i="68"/>
  <c r="S167" i="68" s="1"/>
  <c r="U166" i="68"/>
  <c r="T166" i="68"/>
  <c r="R166" i="68"/>
  <c r="Q166" i="68"/>
  <c r="P166" i="68"/>
  <c r="O166" i="68"/>
  <c r="I166" i="68"/>
  <c r="S166" i="68" s="1"/>
  <c r="U165" i="68"/>
  <c r="T165" i="68"/>
  <c r="R165" i="68"/>
  <c r="Q165" i="68"/>
  <c r="P165" i="68"/>
  <c r="O165" i="68"/>
  <c r="I165" i="68"/>
  <c r="S165" i="68" s="1"/>
  <c r="U164" i="68"/>
  <c r="T164" i="68"/>
  <c r="R164" i="68"/>
  <c r="Q164" i="68"/>
  <c r="P164" i="68"/>
  <c r="O164" i="68"/>
  <c r="I164" i="68"/>
  <c r="S164" i="68" s="1"/>
  <c r="U163" i="68"/>
  <c r="T163" i="68"/>
  <c r="R163" i="68"/>
  <c r="Q163" i="68"/>
  <c r="P163" i="68"/>
  <c r="O163" i="68"/>
  <c r="I163" i="68"/>
  <c r="S163" i="68" s="1"/>
  <c r="U162" i="68"/>
  <c r="T162" i="68"/>
  <c r="R162" i="68"/>
  <c r="Q162" i="68"/>
  <c r="P162" i="68"/>
  <c r="O162" i="68"/>
  <c r="I162" i="68"/>
  <c r="S162" i="68" s="1"/>
  <c r="U161" i="68"/>
  <c r="T161" i="68"/>
  <c r="R161" i="68"/>
  <c r="Q161" i="68"/>
  <c r="P161" i="68"/>
  <c r="O161" i="68"/>
  <c r="I161" i="68"/>
  <c r="S161" i="68" s="1"/>
  <c r="U160" i="68"/>
  <c r="T160" i="68"/>
  <c r="R160" i="68"/>
  <c r="Q160" i="68"/>
  <c r="P160" i="68"/>
  <c r="O160" i="68"/>
  <c r="I160" i="68"/>
  <c r="S160" i="68" s="1"/>
  <c r="U159" i="68"/>
  <c r="T159" i="68"/>
  <c r="R159" i="68"/>
  <c r="Q159" i="68"/>
  <c r="P159" i="68"/>
  <c r="O159" i="68"/>
  <c r="I159" i="68"/>
  <c r="S159" i="68" s="1"/>
  <c r="U158" i="68"/>
  <c r="T158" i="68"/>
  <c r="R158" i="68"/>
  <c r="Q158" i="68"/>
  <c r="P158" i="68"/>
  <c r="O158" i="68"/>
  <c r="I158" i="68"/>
  <c r="S158" i="68" s="1"/>
  <c r="P156" i="68"/>
  <c r="U155" i="68"/>
  <c r="T155" i="68"/>
  <c r="R155" i="68"/>
  <c r="Q155" i="68"/>
  <c r="P155" i="68"/>
  <c r="O155" i="68"/>
  <c r="I155" i="68"/>
  <c r="S155" i="68" s="1"/>
  <c r="U154" i="68"/>
  <c r="T154" i="68"/>
  <c r="R154" i="68"/>
  <c r="Q154" i="68"/>
  <c r="P154" i="68"/>
  <c r="O154" i="68"/>
  <c r="I154" i="68"/>
  <c r="S154" i="68" s="1"/>
  <c r="U153" i="68"/>
  <c r="T153" i="68"/>
  <c r="R153" i="68"/>
  <c r="Q153" i="68"/>
  <c r="P153" i="68"/>
  <c r="O153" i="68"/>
  <c r="I153" i="68"/>
  <c r="S153" i="68" s="1"/>
  <c r="U152" i="68"/>
  <c r="T152" i="68"/>
  <c r="R152" i="68"/>
  <c r="Q152" i="68"/>
  <c r="P152" i="68"/>
  <c r="O152" i="68"/>
  <c r="I152" i="68"/>
  <c r="S152" i="68" s="1"/>
  <c r="U151" i="68"/>
  <c r="T151" i="68"/>
  <c r="R151" i="68"/>
  <c r="Q151" i="68"/>
  <c r="P151" i="68"/>
  <c r="O151" i="68"/>
  <c r="I151" i="68"/>
  <c r="S151" i="68" s="1"/>
  <c r="U150" i="68"/>
  <c r="T150" i="68"/>
  <c r="R150" i="68"/>
  <c r="Q150" i="68"/>
  <c r="P150" i="68"/>
  <c r="O150" i="68"/>
  <c r="I150" i="68"/>
  <c r="S150" i="68" s="1"/>
  <c r="U149" i="68"/>
  <c r="T149" i="68"/>
  <c r="R149" i="68"/>
  <c r="Q149" i="68"/>
  <c r="P149" i="68"/>
  <c r="O149" i="68"/>
  <c r="I149" i="68"/>
  <c r="S149" i="68" s="1"/>
  <c r="U148" i="68"/>
  <c r="T148" i="68"/>
  <c r="R148" i="68"/>
  <c r="Q148" i="68"/>
  <c r="P148" i="68"/>
  <c r="O148" i="68"/>
  <c r="I148" i="68"/>
  <c r="S148" i="68" s="1"/>
  <c r="P146" i="68"/>
  <c r="U145" i="68"/>
  <c r="T145" i="68"/>
  <c r="R145" i="68"/>
  <c r="Q145" i="68"/>
  <c r="P145" i="68"/>
  <c r="O145" i="68"/>
  <c r="I145" i="68"/>
  <c r="S145" i="68" s="1"/>
  <c r="U144" i="68"/>
  <c r="T144" i="68"/>
  <c r="R144" i="68"/>
  <c r="Q144" i="68"/>
  <c r="P144" i="68"/>
  <c r="O144" i="68"/>
  <c r="I144" i="68"/>
  <c r="S144" i="68" s="1"/>
  <c r="U143" i="68"/>
  <c r="T143" i="68"/>
  <c r="R143" i="68"/>
  <c r="Q143" i="68"/>
  <c r="P143" i="68"/>
  <c r="O143" i="68"/>
  <c r="I143" i="68"/>
  <c r="S143" i="68" s="1"/>
  <c r="U142" i="68"/>
  <c r="T142" i="68"/>
  <c r="R142" i="68"/>
  <c r="Q142" i="68"/>
  <c r="P142" i="68"/>
  <c r="O142" i="68"/>
  <c r="I142" i="68"/>
  <c r="S142" i="68" s="1"/>
  <c r="U141" i="68"/>
  <c r="T141" i="68"/>
  <c r="R141" i="68"/>
  <c r="Q141" i="68"/>
  <c r="P141" i="68"/>
  <c r="O141" i="68"/>
  <c r="I141" i="68"/>
  <c r="S141" i="68" s="1"/>
  <c r="P139" i="68"/>
  <c r="U138" i="68"/>
  <c r="T138" i="68"/>
  <c r="R138" i="68"/>
  <c r="Q138" i="68"/>
  <c r="P138" i="68"/>
  <c r="O138" i="68"/>
  <c r="I138" i="68"/>
  <c r="S138" i="68" s="1"/>
  <c r="U137" i="68"/>
  <c r="T137" i="68"/>
  <c r="R137" i="68"/>
  <c r="Q137" i="68"/>
  <c r="P137" i="68"/>
  <c r="O137" i="68"/>
  <c r="I137" i="68"/>
  <c r="S137" i="68" s="1"/>
  <c r="P135" i="68"/>
  <c r="U134" i="68"/>
  <c r="T134" i="68"/>
  <c r="R134" i="68"/>
  <c r="Q134" i="68"/>
  <c r="P134" i="68"/>
  <c r="O134" i="68"/>
  <c r="I134" i="68"/>
  <c r="S134" i="68" s="1"/>
  <c r="U133" i="68"/>
  <c r="T133" i="68"/>
  <c r="R133" i="68"/>
  <c r="Q133" i="68"/>
  <c r="P133" i="68"/>
  <c r="O133" i="68"/>
  <c r="I133" i="68"/>
  <c r="S133" i="68" s="1"/>
  <c r="P131" i="68"/>
  <c r="U130" i="68"/>
  <c r="T130" i="68"/>
  <c r="R130" i="68"/>
  <c r="Q130" i="68"/>
  <c r="P130" i="68"/>
  <c r="O130" i="68"/>
  <c r="I130" i="68"/>
  <c r="S130" i="68" s="1"/>
  <c r="U129" i="68"/>
  <c r="T129" i="68"/>
  <c r="R129" i="68"/>
  <c r="Q129" i="68"/>
  <c r="P129" i="68"/>
  <c r="O129" i="68"/>
  <c r="I129" i="68"/>
  <c r="S129" i="68" s="1"/>
  <c r="U128" i="68"/>
  <c r="T128" i="68"/>
  <c r="R128" i="68"/>
  <c r="Q128" i="68"/>
  <c r="P128" i="68"/>
  <c r="O128" i="68"/>
  <c r="I128" i="68"/>
  <c r="S128" i="68" s="1"/>
  <c r="U127" i="68"/>
  <c r="T127" i="68"/>
  <c r="R127" i="68"/>
  <c r="Q127" i="68"/>
  <c r="P127" i="68"/>
  <c r="O127" i="68"/>
  <c r="I127" i="68"/>
  <c r="S127" i="68" s="1"/>
  <c r="U126" i="68"/>
  <c r="T126" i="68"/>
  <c r="R126" i="68"/>
  <c r="Q126" i="68"/>
  <c r="P126" i="68"/>
  <c r="O126" i="68"/>
  <c r="I126" i="68"/>
  <c r="S126" i="68" s="1"/>
  <c r="U125" i="68"/>
  <c r="T125" i="68"/>
  <c r="R125" i="68"/>
  <c r="Q125" i="68"/>
  <c r="P125" i="68"/>
  <c r="O125" i="68"/>
  <c r="I125" i="68"/>
  <c r="S125" i="68" s="1"/>
  <c r="U124" i="68"/>
  <c r="T124" i="68"/>
  <c r="R124" i="68"/>
  <c r="Q124" i="68"/>
  <c r="P124" i="68"/>
  <c r="O124" i="68"/>
  <c r="I124" i="68"/>
  <c r="S124" i="68" s="1"/>
  <c r="U123" i="68"/>
  <c r="T123" i="68"/>
  <c r="R123" i="68"/>
  <c r="Q123" i="68"/>
  <c r="P123" i="68"/>
  <c r="O123" i="68"/>
  <c r="I123" i="68"/>
  <c r="S123" i="68" s="1"/>
  <c r="U122" i="68"/>
  <c r="T122" i="68"/>
  <c r="R122" i="68"/>
  <c r="Q122" i="68"/>
  <c r="P122" i="68"/>
  <c r="O122" i="68"/>
  <c r="I122" i="68"/>
  <c r="S122" i="68" s="1"/>
  <c r="U121" i="68"/>
  <c r="T121" i="68"/>
  <c r="R121" i="68"/>
  <c r="Q121" i="68"/>
  <c r="P121" i="68"/>
  <c r="O121" i="68"/>
  <c r="I121" i="68"/>
  <c r="S121" i="68" s="1"/>
  <c r="U120" i="68"/>
  <c r="T120" i="68"/>
  <c r="R120" i="68"/>
  <c r="Q120" i="68"/>
  <c r="P120" i="68"/>
  <c r="O120" i="68"/>
  <c r="I120" i="68"/>
  <c r="S120" i="68" s="1"/>
  <c r="U119" i="68"/>
  <c r="T119" i="68"/>
  <c r="R119" i="68"/>
  <c r="Q119" i="68"/>
  <c r="P119" i="68"/>
  <c r="O119" i="68"/>
  <c r="I119" i="68"/>
  <c r="S119" i="68" s="1"/>
  <c r="U118" i="68"/>
  <c r="T118" i="68"/>
  <c r="R118" i="68"/>
  <c r="Q118" i="68"/>
  <c r="P118" i="68"/>
  <c r="O118" i="68"/>
  <c r="I118" i="68"/>
  <c r="S118" i="68" s="1"/>
  <c r="U117" i="68"/>
  <c r="T117" i="68"/>
  <c r="R117" i="68"/>
  <c r="Q117" i="68"/>
  <c r="P117" i="68"/>
  <c r="O117" i="68"/>
  <c r="I117" i="68"/>
  <c r="S117" i="68" s="1"/>
  <c r="U116" i="68"/>
  <c r="T116" i="68"/>
  <c r="R116" i="68"/>
  <c r="Q116" i="68"/>
  <c r="P116" i="68"/>
  <c r="O116" i="68"/>
  <c r="I116" i="68"/>
  <c r="S116" i="68" s="1"/>
  <c r="P114" i="68"/>
  <c r="U113" i="68"/>
  <c r="T113" i="68"/>
  <c r="R113" i="68"/>
  <c r="Q113" i="68"/>
  <c r="P113" i="68"/>
  <c r="O113" i="68"/>
  <c r="I113" i="68"/>
  <c r="S113" i="68" s="1"/>
  <c r="U112" i="68"/>
  <c r="T112" i="68"/>
  <c r="R112" i="68"/>
  <c r="Q112" i="68"/>
  <c r="P112" i="68"/>
  <c r="O112" i="68"/>
  <c r="I112" i="68"/>
  <c r="S112" i="68" s="1"/>
  <c r="U111" i="68"/>
  <c r="T111" i="68"/>
  <c r="R111" i="68"/>
  <c r="Q111" i="68"/>
  <c r="P111" i="68"/>
  <c r="O111" i="68"/>
  <c r="I111" i="68"/>
  <c r="S111" i="68" s="1"/>
  <c r="U110" i="68"/>
  <c r="T110" i="68"/>
  <c r="R110" i="68"/>
  <c r="Q110" i="68"/>
  <c r="P110" i="68"/>
  <c r="O110" i="68"/>
  <c r="I110" i="68"/>
  <c r="S110" i="68" s="1"/>
  <c r="U109" i="68"/>
  <c r="T109" i="68"/>
  <c r="R109" i="68"/>
  <c r="Q109" i="68"/>
  <c r="P109" i="68"/>
  <c r="O109" i="68"/>
  <c r="I109" i="68"/>
  <c r="S109" i="68" s="1"/>
  <c r="U108" i="68"/>
  <c r="T108" i="68"/>
  <c r="R108" i="68"/>
  <c r="Q108" i="68"/>
  <c r="P108" i="68"/>
  <c r="O108" i="68"/>
  <c r="I108" i="68"/>
  <c r="S108" i="68" s="1"/>
  <c r="U107" i="68"/>
  <c r="T107" i="68"/>
  <c r="R107" i="68"/>
  <c r="Q107" i="68"/>
  <c r="P107" i="68"/>
  <c r="O107" i="68"/>
  <c r="I107" i="68"/>
  <c r="S107" i="68" s="1"/>
  <c r="U106" i="68"/>
  <c r="T106" i="68"/>
  <c r="R106" i="68"/>
  <c r="Q106" i="68"/>
  <c r="P106" i="68"/>
  <c r="O106" i="68"/>
  <c r="I106" i="68"/>
  <c r="S106" i="68" s="1"/>
  <c r="U105" i="68"/>
  <c r="T105" i="68"/>
  <c r="R105" i="68"/>
  <c r="Q105" i="68"/>
  <c r="P105" i="68"/>
  <c r="O105" i="68"/>
  <c r="I105" i="68"/>
  <c r="S105" i="68" s="1"/>
  <c r="U104" i="68"/>
  <c r="T104" i="68"/>
  <c r="R104" i="68"/>
  <c r="Q104" i="68"/>
  <c r="P104" i="68"/>
  <c r="O104" i="68"/>
  <c r="I104" i="68"/>
  <c r="S104" i="68" s="1"/>
  <c r="P102" i="68"/>
  <c r="U101" i="68"/>
  <c r="T101" i="68"/>
  <c r="R101" i="68"/>
  <c r="Q101" i="68"/>
  <c r="P101" i="68"/>
  <c r="O101" i="68"/>
  <c r="I101" i="68"/>
  <c r="S101" i="68" s="1"/>
  <c r="U100" i="68"/>
  <c r="T100" i="68"/>
  <c r="R100" i="68"/>
  <c r="Q100" i="68"/>
  <c r="P100" i="68"/>
  <c r="O100" i="68"/>
  <c r="I100" i="68"/>
  <c r="S100" i="68" s="1"/>
  <c r="U99" i="68"/>
  <c r="T99" i="68"/>
  <c r="R99" i="68"/>
  <c r="Q99" i="68"/>
  <c r="P99" i="68"/>
  <c r="O99" i="68"/>
  <c r="I99" i="68"/>
  <c r="S99" i="68" s="1"/>
  <c r="U98" i="68"/>
  <c r="T98" i="68"/>
  <c r="R98" i="68"/>
  <c r="Q98" i="68"/>
  <c r="P98" i="68"/>
  <c r="O98" i="68"/>
  <c r="I98" i="68"/>
  <c r="S98" i="68" s="1"/>
  <c r="U97" i="68"/>
  <c r="T97" i="68"/>
  <c r="R97" i="68"/>
  <c r="Q97" i="68"/>
  <c r="P97" i="68"/>
  <c r="O97" i="68"/>
  <c r="I97" i="68"/>
  <c r="S97" i="68" s="1"/>
  <c r="U96" i="68"/>
  <c r="T96" i="68"/>
  <c r="R96" i="68"/>
  <c r="Q96" i="68"/>
  <c r="P96" i="68"/>
  <c r="O96" i="68"/>
  <c r="I96" i="68"/>
  <c r="S96" i="68" s="1"/>
  <c r="U95" i="68"/>
  <c r="T95" i="68"/>
  <c r="R95" i="68"/>
  <c r="Q95" i="68"/>
  <c r="P95" i="68"/>
  <c r="O95" i="68"/>
  <c r="I95" i="68"/>
  <c r="S95" i="68" s="1"/>
  <c r="P93" i="68"/>
  <c r="U92" i="68"/>
  <c r="T92" i="68"/>
  <c r="R92" i="68"/>
  <c r="Q92" i="68"/>
  <c r="P92" i="68"/>
  <c r="O92" i="68"/>
  <c r="I92" i="68"/>
  <c r="S92" i="68" s="1"/>
  <c r="U91" i="68"/>
  <c r="T91" i="68"/>
  <c r="R91" i="68"/>
  <c r="Q91" i="68"/>
  <c r="P91" i="68"/>
  <c r="O91" i="68"/>
  <c r="I91" i="68"/>
  <c r="S91" i="68" s="1"/>
  <c r="U90" i="68"/>
  <c r="T90" i="68"/>
  <c r="R90" i="68"/>
  <c r="Q90" i="68"/>
  <c r="P90" i="68"/>
  <c r="O90" i="68"/>
  <c r="I90" i="68"/>
  <c r="S90" i="68" s="1"/>
  <c r="U89" i="68"/>
  <c r="T89" i="68"/>
  <c r="R89" i="68"/>
  <c r="Q89" i="68"/>
  <c r="P89" i="68"/>
  <c r="O89" i="68"/>
  <c r="I89" i="68"/>
  <c r="S89" i="68" s="1"/>
  <c r="U88" i="68"/>
  <c r="T88" i="68"/>
  <c r="R88" i="68"/>
  <c r="Q88" i="68"/>
  <c r="P88" i="68"/>
  <c r="O88" i="68"/>
  <c r="I88" i="68"/>
  <c r="S88" i="68" s="1"/>
  <c r="P86" i="68"/>
  <c r="U85" i="68"/>
  <c r="T85" i="68"/>
  <c r="R85" i="68"/>
  <c r="Q85" i="68"/>
  <c r="P85" i="68"/>
  <c r="O85" i="68"/>
  <c r="I85" i="68"/>
  <c r="S85" i="68" s="1"/>
  <c r="U84" i="68"/>
  <c r="T84" i="68"/>
  <c r="R84" i="68"/>
  <c r="Q84" i="68"/>
  <c r="P84" i="68"/>
  <c r="O84" i="68"/>
  <c r="I84" i="68"/>
  <c r="S84" i="68" s="1"/>
  <c r="U83" i="68"/>
  <c r="T83" i="68"/>
  <c r="R83" i="68"/>
  <c r="Q83" i="68"/>
  <c r="P83" i="68"/>
  <c r="O83" i="68"/>
  <c r="I83" i="68"/>
  <c r="S83" i="68" s="1"/>
  <c r="U82" i="68"/>
  <c r="T82" i="68"/>
  <c r="R82" i="68"/>
  <c r="Q82" i="68"/>
  <c r="P82" i="68"/>
  <c r="O82" i="68"/>
  <c r="I82" i="68"/>
  <c r="S82" i="68" s="1"/>
  <c r="U81" i="68"/>
  <c r="T81" i="68"/>
  <c r="R81" i="68"/>
  <c r="Q81" i="68"/>
  <c r="P81" i="68"/>
  <c r="O81" i="68"/>
  <c r="I81" i="68"/>
  <c r="S81" i="68" s="1"/>
  <c r="U80" i="68"/>
  <c r="T80" i="68"/>
  <c r="R80" i="68"/>
  <c r="Q80" i="68"/>
  <c r="P80" i="68"/>
  <c r="O80" i="68"/>
  <c r="I80" i="68"/>
  <c r="S80" i="68" s="1"/>
  <c r="U79" i="68"/>
  <c r="T79" i="68"/>
  <c r="R79" i="68"/>
  <c r="Q79" i="68"/>
  <c r="P79" i="68"/>
  <c r="O79" i="68"/>
  <c r="I79" i="68"/>
  <c r="S79" i="68" s="1"/>
  <c r="P77" i="68"/>
  <c r="P75" i="68"/>
  <c r="U74" i="68"/>
  <c r="T74" i="68"/>
  <c r="R74" i="68"/>
  <c r="Q74" i="68"/>
  <c r="P74" i="68"/>
  <c r="O74" i="68"/>
  <c r="I74" i="68"/>
  <c r="S74" i="68" s="1"/>
  <c r="U73" i="68"/>
  <c r="T73" i="68"/>
  <c r="R73" i="68"/>
  <c r="Q73" i="68"/>
  <c r="P73" i="68"/>
  <c r="O73" i="68"/>
  <c r="I73" i="68"/>
  <c r="S73" i="68" s="1"/>
  <c r="U72" i="68"/>
  <c r="T72" i="68"/>
  <c r="R72" i="68"/>
  <c r="Q72" i="68"/>
  <c r="P72" i="68"/>
  <c r="O72" i="68"/>
  <c r="I72" i="68"/>
  <c r="S72" i="68" s="1"/>
  <c r="U71" i="68"/>
  <c r="T71" i="68"/>
  <c r="R71" i="68"/>
  <c r="Q71" i="68"/>
  <c r="P71" i="68"/>
  <c r="O71" i="68"/>
  <c r="I71" i="68"/>
  <c r="S71" i="68" s="1"/>
  <c r="U70" i="68"/>
  <c r="T70" i="68"/>
  <c r="R70" i="68"/>
  <c r="Q70" i="68"/>
  <c r="P70" i="68"/>
  <c r="O70" i="68"/>
  <c r="I70" i="68"/>
  <c r="S70" i="68" s="1"/>
  <c r="U69" i="68"/>
  <c r="T69" i="68"/>
  <c r="R69" i="68"/>
  <c r="Q69" i="68"/>
  <c r="P69" i="68"/>
  <c r="O69" i="68"/>
  <c r="I69" i="68"/>
  <c r="S69" i="68" s="1"/>
  <c r="P67" i="68"/>
  <c r="U66" i="68"/>
  <c r="T66" i="68"/>
  <c r="S66" i="68"/>
  <c r="R66" i="68"/>
  <c r="Q66" i="68"/>
  <c r="P66" i="68"/>
  <c r="O66" i="68"/>
  <c r="U65" i="68"/>
  <c r="T65" i="68"/>
  <c r="R65" i="68"/>
  <c r="Q65" i="68"/>
  <c r="P65" i="68"/>
  <c r="O65" i="68"/>
  <c r="I65" i="68"/>
  <c r="S65" i="68" s="1"/>
  <c r="U64" i="68"/>
  <c r="T64" i="68"/>
  <c r="R64" i="68"/>
  <c r="Q64" i="68"/>
  <c r="P64" i="68"/>
  <c r="O64" i="68"/>
  <c r="I64" i="68"/>
  <c r="S64" i="68" s="1"/>
  <c r="U63" i="68"/>
  <c r="T63" i="68"/>
  <c r="R63" i="68"/>
  <c r="Q63" i="68"/>
  <c r="P63" i="68"/>
  <c r="O63" i="68"/>
  <c r="I63" i="68"/>
  <c r="S63" i="68" s="1"/>
  <c r="U62" i="68"/>
  <c r="T62" i="68"/>
  <c r="R62" i="68"/>
  <c r="Q62" i="68"/>
  <c r="P62" i="68"/>
  <c r="O62" i="68"/>
  <c r="I62" i="68"/>
  <c r="S62" i="68" s="1"/>
  <c r="U61" i="68"/>
  <c r="T61" i="68"/>
  <c r="R61" i="68"/>
  <c r="Q61" i="68"/>
  <c r="P61" i="68"/>
  <c r="O61" i="68"/>
  <c r="I61" i="68"/>
  <c r="S61" i="68" s="1"/>
  <c r="U60" i="68"/>
  <c r="T60" i="68"/>
  <c r="R60" i="68"/>
  <c r="Q60" i="68"/>
  <c r="P60" i="68"/>
  <c r="O60" i="68"/>
  <c r="I60" i="68"/>
  <c r="S60" i="68" s="1"/>
  <c r="U59" i="68"/>
  <c r="T59" i="68"/>
  <c r="R59" i="68"/>
  <c r="Q59" i="68"/>
  <c r="P59" i="68"/>
  <c r="O59" i="68"/>
  <c r="I59" i="68"/>
  <c r="S59" i="68" s="1"/>
  <c r="U58" i="68"/>
  <c r="T58" i="68"/>
  <c r="R58" i="68"/>
  <c r="Q58" i="68"/>
  <c r="P58" i="68"/>
  <c r="O58" i="68"/>
  <c r="I58" i="68"/>
  <c r="S58" i="68" s="1"/>
  <c r="U57" i="68"/>
  <c r="T57" i="68"/>
  <c r="R57" i="68"/>
  <c r="Q57" i="68"/>
  <c r="P57" i="68"/>
  <c r="O57" i="68"/>
  <c r="I57" i="68"/>
  <c r="S57" i="68" s="1"/>
  <c r="U56" i="68"/>
  <c r="T56" i="68"/>
  <c r="R56" i="68"/>
  <c r="Q56" i="68"/>
  <c r="P56" i="68"/>
  <c r="O56" i="68"/>
  <c r="I56" i="68"/>
  <c r="S56" i="68" s="1"/>
  <c r="U55" i="68"/>
  <c r="T55" i="68"/>
  <c r="R55" i="68"/>
  <c r="Q55" i="68"/>
  <c r="P55" i="68"/>
  <c r="O55" i="68"/>
  <c r="I55" i="68"/>
  <c r="S55" i="68" s="1"/>
  <c r="P53" i="68"/>
  <c r="U52" i="68"/>
  <c r="T52" i="68"/>
  <c r="R52" i="68"/>
  <c r="Q52" i="68"/>
  <c r="P52" i="68"/>
  <c r="I52" i="68"/>
  <c r="S52" i="68" s="1"/>
  <c r="P50" i="68"/>
  <c r="U49" i="68"/>
  <c r="T49" i="68"/>
  <c r="R49" i="68"/>
  <c r="Q49" i="68"/>
  <c r="P49" i="68"/>
  <c r="O49" i="68"/>
  <c r="I49" i="68"/>
  <c r="S49" i="68" s="1"/>
  <c r="U48" i="68"/>
  <c r="T48" i="68"/>
  <c r="R48" i="68"/>
  <c r="Q48" i="68"/>
  <c r="P48" i="68"/>
  <c r="O48" i="68"/>
  <c r="I48" i="68"/>
  <c r="S48" i="68" s="1"/>
  <c r="U47" i="68"/>
  <c r="T47" i="68"/>
  <c r="R47" i="68"/>
  <c r="Q47" i="68"/>
  <c r="P47" i="68"/>
  <c r="O47" i="68"/>
  <c r="I47" i="68"/>
  <c r="S47" i="68" s="1"/>
  <c r="U46" i="68"/>
  <c r="T46" i="68"/>
  <c r="R46" i="68"/>
  <c r="Q46" i="68"/>
  <c r="P46" i="68"/>
  <c r="O46" i="68"/>
  <c r="I46" i="68"/>
  <c r="S46" i="68" s="1"/>
  <c r="U45" i="68"/>
  <c r="T45" i="68"/>
  <c r="R45" i="68"/>
  <c r="Q45" i="68"/>
  <c r="P45" i="68"/>
  <c r="O45" i="68"/>
  <c r="I45" i="68"/>
  <c r="S45" i="68" s="1"/>
  <c r="U44" i="68"/>
  <c r="T44" i="68"/>
  <c r="R44" i="68"/>
  <c r="Q44" i="68"/>
  <c r="P44" i="68"/>
  <c r="O44" i="68"/>
  <c r="I44" i="68"/>
  <c r="S44" i="68" s="1"/>
  <c r="U43" i="68"/>
  <c r="T43" i="68"/>
  <c r="R43" i="68"/>
  <c r="Q43" i="68"/>
  <c r="P43" i="68"/>
  <c r="O43" i="68"/>
  <c r="I43" i="68"/>
  <c r="S43" i="68" s="1"/>
  <c r="U42" i="68"/>
  <c r="T42" i="68"/>
  <c r="R42" i="68"/>
  <c r="Q42" i="68"/>
  <c r="P42" i="68"/>
  <c r="O42" i="68"/>
  <c r="I42" i="68"/>
  <c r="S42" i="68" s="1"/>
  <c r="U41" i="68"/>
  <c r="T41" i="68"/>
  <c r="R41" i="68"/>
  <c r="Q41" i="68"/>
  <c r="P41" i="68"/>
  <c r="O41" i="68"/>
  <c r="I41" i="68"/>
  <c r="S41" i="68" s="1"/>
  <c r="U40" i="68"/>
  <c r="T40" i="68"/>
  <c r="R40" i="68"/>
  <c r="Q40" i="68"/>
  <c r="P40" i="68"/>
  <c r="O40" i="68"/>
  <c r="I40" i="68"/>
  <c r="S40" i="68" s="1"/>
  <c r="U39" i="68"/>
  <c r="T39" i="68"/>
  <c r="R39" i="68"/>
  <c r="Q39" i="68"/>
  <c r="P39" i="68"/>
  <c r="O39" i="68"/>
  <c r="I39" i="68"/>
  <c r="S39" i="68" s="1"/>
  <c r="U38" i="68"/>
  <c r="T38" i="68"/>
  <c r="R38" i="68"/>
  <c r="Q38" i="68"/>
  <c r="P38" i="68"/>
  <c r="O38" i="68"/>
  <c r="I38" i="68"/>
  <c r="S38" i="68" s="1"/>
  <c r="U37" i="68"/>
  <c r="T37" i="68"/>
  <c r="R37" i="68"/>
  <c r="Q37" i="68"/>
  <c r="P37" i="68"/>
  <c r="O37" i="68"/>
  <c r="I37" i="68"/>
  <c r="S37" i="68" s="1"/>
  <c r="U36" i="68"/>
  <c r="T36" i="68"/>
  <c r="R36" i="68"/>
  <c r="Q36" i="68"/>
  <c r="P36" i="68"/>
  <c r="O36" i="68"/>
  <c r="I36" i="68"/>
  <c r="S36" i="68" s="1"/>
  <c r="U35" i="68"/>
  <c r="T35" i="68"/>
  <c r="R35" i="68"/>
  <c r="Q35" i="68"/>
  <c r="P35" i="68"/>
  <c r="O35" i="68"/>
  <c r="I35" i="68"/>
  <c r="S35" i="68" s="1"/>
  <c r="P33" i="68"/>
  <c r="U32" i="68"/>
  <c r="T32" i="68"/>
  <c r="R32" i="68"/>
  <c r="Q32" i="68"/>
  <c r="P32" i="68"/>
  <c r="O32" i="68"/>
  <c r="I32" i="68"/>
  <c r="S32" i="68" s="1"/>
  <c r="U31" i="68"/>
  <c r="T31" i="68"/>
  <c r="R31" i="68"/>
  <c r="Q31" i="68"/>
  <c r="P31" i="68"/>
  <c r="O31" i="68"/>
  <c r="I31" i="68"/>
  <c r="S31" i="68" s="1"/>
  <c r="U30" i="68"/>
  <c r="T30" i="68"/>
  <c r="R30" i="68"/>
  <c r="Q30" i="68"/>
  <c r="P30" i="68"/>
  <c r="O30" i="68"/>
  <c r="I30" i="68"/>
  <c r="S30" i="68" s="1"/>
  <c r="U29" i="68"/>
  <c r="T29" i="68"/>
  <c r="R29" i="68"/>
  <c r="Q29" i="68"/>
  <c r="P29" i="68"/>
  <c r="O29" i="68"/>
  <c r="I29" i="68"/>
  <c r="S29" i="68" s="1"/>
  <c r="U28" i="68"/>
  <c r="T28" i="68"/>
  <c r="R28" i="68"/>
  <c r="Q28" i="68"/>
  <c r="P28" i="68"/>
  <c r="O28" i="68"/>
  <c r="I28" i="68"/>
  <c r="S28" i="68" s="1"/>
  <c r="U27" i="68"/>
  <c r="T27" i="68"/>
  <c r="R27" i="68"/>
  <c r="Q27" i="68"/>
  <c r="P27" i="68"/>
  <c r="O27" i="68"/>
  <c r="I27" i="68"/>
  <c r="S27" i="68" s="1"/>
  <c r="U26" i="68"/>
  <c r="T26" i="68"/>
  <c r="R26" i="68"/>
  <c r="Q26" i="68"/>
  <c r="P26" i="68"/>
  <c r="O26" i="68"/>
  <c r="I26" i="68"/>
  <c r="S26" i="68" s="1"/>
  <c r="U25" i="68"/>
  <c r="T25" i="68"/>
  <c r="R25" i="68"/>
  <c r="Q25" i="68"/>
  <c r="P25" i="68"/>
  <c r="O25" i="68"/>
  <c r="I25" i="68"/>
  <c r="S25" i="68" s="1"/>
  <c r="U24" i="68"/>
  <c r="T24" i="68"/>
  <c r="R24" i="68"/>
  <c r="Q24" i="68"/>
  <c r="P24" i="68"/>
  <c r="O24" i="68"/>
  <c r="I24" i="68"/>
  <c r="S24" i="68" s="1"/>
  <c r="U23" i="68"/>
  <c r="T23" i="68"/>
  <c r="R23" i="68"/>
  <c r="Q23" i="68"/>
  <c r="P23" i="68"/>
  <c r="O23" i="68"/>
  <c r="I23" i="68"/>
  <c r="S23" i="68" s="1"/>
  <c r="U22" i="68"/>
  <c r="T22" i="68"/>
  <c r="R22" i="68"/>
  <c r="Q22" i="68"/>
  <c r="P22" i="68"/>
  <c r="O22" i="68"/>
  <c r="I22" i="68"/>
  <c r="S22" i="68" s="1"/>
  <c r="U21" i="68"/>
  <c r="T21" i="68"/>
  <c r="R21" i="68"/>
  <c r="Q21" i="68"/>
  <c r="P21" i="68"/>
  <c r="O21" i="68"/>
  <c r="I21" i="68"/>
  <c r="S21" i="68" s="1"/>
  <c r="U20" i="68"/>
  <c r="T20" i="68"/>
  <c r="R20" i="68"/>
  <c r="Q20" i="68"/>
  <c r="P20" i="68"/>
  <c r="O20" i="68"/>
  <c r="I20" i="68"/>
  <c r="S20" i="68" s="1"/>
  <c r="P18" i="68"/>
  <c r="U17" i="68"/>
  <c r="T17" i="68"/>
  <c r="R17" i="68"/>
  <c r="Q17" i="68"/>
  <c r="P17" i="68"/>
  <c r="O17" i="68"/>
  <c r="I17" i="68"/>
  <c r="S17" i="68" s="1"/>
  <c r="V16" i="68"/>
  <c r="B8" i="68"/>
  <c r="V7" i="68"/>
  <c r="U7" i="68"/>
  <c r="T7" i="68"/>
  <c r="S7" i="68"/>
  <c r="R7" i="68"/>
  <c r="Q7" i="68"/>
  <c r="P7" i="68"/>
  <c r="L7" i="68"/>
  <c r="K7" i="68"/>
  <c r="J7" i="68"/>
  <c r="I7" i="68"/>
  <c r="H7" i="68"/>
  <c r="G7" i="68"/>
  <c r="F7" i="68"/>
  <c r="E7" i="68"/>
  <c r="D7" i="68"/>
  <c r="C7" i="68"/>
  <c r="B7" i="68"/>
  <c r="C2" i="68"/>
  <c r="C145" i="67"/>
  <c r="O143" i="67"/>
  <c r="N143" i="67"/>
  <c r="M143" i="67"/>
  <c r="L143" i="67"/>
  <c r="K143" i="67"/>
  <c r="J143" i="67"/>
  <c r="I143" i="67"/>
  <c r="H143" i="67"/>
  <c r="G143" i="67"/>
  <c r="F143" i="67"/>
  <c r="E143" i="67"/>
  <c r="D143" i="67"/>
  <c r="C143" i="67"/>
  <c r="B143" i="67"/>
  <c r="C123" i="67"/>
  <c r="C136" i="67" s="1"/>
  <c r="F136" i="67" s="1"/>
  <c r="C122" i="67"/>
  <c r="C135" i="67" s="1"/>
  <c r="F135" i="67" s="1"/>
  <c r="C121" i="67"/>
  <c r="L134" i="67" s="1"/>
  <c r="C120" i="67"/>
  <c r="C119" i="67"/>
  <c r="I119" i="67" s="1"/>
  <c r="G132" i="67" s="1"/>
  <c r="C118" i="67"/>
  <c r="I118" i="67" s="1"/>
  <c r="G131" i="67" s="1"/>
  <c r="H98" i="67"/>
  <c r="C98" i="67"/>
  <c r="C111" i="67" s="1"/>
  <c r="F111" i="67" s="1"/>
  <c r="H97" i="67"/>
  <c r="C97" i="67"/>
  <c r="I97" i="67" s="1"/>
  <c r="G110" i="67" s="1"/>
  <c r="H96" i="67"/>
  <c r="C96" i="67"/>
  <c r="H95" i="67"/>
  <c r="C95" i="67"/>
  <c r="C108" i="67" s="1"/>
  <c r="F108" i="67" s="1"/>
  <c r="H94" i="67"/>
  <c r="C94" i="67"/>
  <c r="H93" i="67"/>
  <c r="C93" i="67"/>
  <c r="F93" i="67" s="1"/>
  <c r="K93" i="67" s="1"/>
  <c r="M84" i="67"/>
  <c r="N84" i="67" s="1"/>
  <c r="O84" i="67" s="1"/>
  <c r="L84" i="67"/>
  <c r="C84" i="67"/>
  <c r="F84" i="67" s="1"/>
  <c r="M83" i="67"/>
  <c r="N83" i="67" s="1"/>
  <c r="O83" i="67" s="1"/>
  <c r="L83" i="67"/>
  <c r="C83" i="67"/>
  <c r="F83" i="67" s="1"/>
  <c r="M82" i="67"/>
  <c r="N82" i="67" s="1"/>
  <c r="O82" i="67" s="1"/>
  <c r="L82" i="67"/>
  <c r="C82" i="67"/>
  <c r="F82" i="67" s="1"/>
  <c r="M81" i="67"/>
  <c r="N81" i="67" s="1"/>
  <c r="O81" i="67" s="1"/>
  <c r="L81" i="67"/>
  <c r="C81" i="67"/>
  <c r="F81" i="67" s="1"/>
  <c r="M80" i="67"/>
  <c r="N80" i="67" s="1"/>
  <c r="O80" i="67" s="1"/>
  <c r="L80" i="67"/>
  <c r="C80" i="67"/>
  <c r="F80" i="67" s="1"/>
  <c r="M79" i="67"/>
  <c r="N79" i="67" s="1"/>
  <c r="L79" i="67"/>
  <c r="C79" i="67"/>
  <c r="C68" i="67"/>
  <c r="I66" i="67"/>
  <c r="G84" i="67" s="1"/>
  <c r="G66" i="67"/>
  <c r="K66" i="67" s="1"/>
  <c r="I65" i="67"/>
  <c r="G83" i="67" s="1"/>
  <c r="G65" i="67"/>
  <c r="K65" i="67" s="1"/>
  <c r="D64" i="67"/>
  <c r="I64" i="67" s="1"/>
  <c r="I63" i="67"/>
  <c r="G81" i="67" s="1"/>
  <c r="G63" i="67"/>
  <c r="K63" i="67" s="1"/>
  <c r="I62" i="67"/>
  <c r="G80" i="67" s="1"/>
  <c r="G62" i="67"/>
  <c r="K62" i="67" s="1"/>
  <c r="I61" i="67"/>
  <c r="G61" i="67"/>
  <c r="K61" i="67" s="1"/>
  <c r="C52" i="67"/>
  <c r="N44" i="67"/>
  <c r="K44" i="67"/>
  <c r="M44" i="67" s="1"/>
  <c r="O44" i="67" s="1"/>
  <c r="M37" i="67"/>
  <c r="L37" i="67"/>
  <c r="O37" i="67" s="1"/>
  <c r="K37" i="67"/>
  <c r="M31" i="67"/>
  <c r="K31" i="67"/>
  <c r="J31" i="67"/>
  <c r="I31" i="67"/>
  <c r="H31" i="67"/>
  <c r="G31" i="67"/>
  <c r="N30" i="67"/>
  <c r="M30" i="67"/>
  <c r="L30" i="67"/>
  <c r="O30" i="67" s="1"/>
  <c r="P30" i="67" s="1"/>
  <c r="M25" i="67"/>
  <c r="L25" i="67"/>
  <c r="M24" i="67"/>
  <c r="L24" i="67"/>
  <c r="O24" i="67" s="1"/>
  <c r="M23" i="67"/>
  <c r="L23" i="67"/>
  <c r="O23" i="67" s="1"/>
  <c r="M21" i="67"/>
  <c r="L21" i="67"/>
  <c r="O21" i="67" s="1"/>
  <c r="M20" i="67"/>
  <c r="L20" i="67"/>
  <c r="M19" i="67"/>
  <c r="L19" i="67"/>
  <c r="O19" i="67" s="1"/>
  <c r="P19" i="67" s="1"/>
  <c r="M18" i="67"/>
  <c r="L18" i="67"/>
  <c r="M17" i="67"/>
  <c r="L17" i="67"/>
  <c r="M16" i="67"/>
  <c r="L16" i="67"/>
  <c r="O16" i="67" s="1"/>
  <c r="M15" i="67"/>
  <c r="L15" i="67"/>
  <c r="M14" i="67"/>
  <c r="L14" i="67"/>
  <c r="L12" i="67"/>
  <c r="F108" i="66"/>
  <c r="H107" i="66" s="1"/>
  <c r="F58" i="66"/>
  <c r="O55" i="66"/>
  <c r="N15" i="66"/>
  <c r="U13" i="66"/>
  <c r="N13" i="66"/>
  <c r="D180" i="64"/>
  <c r="K50" i="64"/>
  <c r="C52" i="64"/>
  <c r="C50" i="64"/>
  <c r="D92" i="64"/>
  <c r="F48" i="64"/>
  <c r="H43" i="64" s="1"/>
  <c r="I43" i="64" s="1"/>
  <c r="K43" i="64" s="1"/>
  <c r="E55" i="63"/>
  <c r="E53" i="63"/>
  <c r="G52" i="63" s="1"/>
  <c r="H52" i="63" s="1"/>
  <c r="J52" i="63" s="1"/>
  <c r="E29" i="63"/>
  <c r="E27" i="63"/>
  <c r="G25" i="63" s="1"/>
  <c r="H25" i="63" s="1"/>
  <c r="J25" i="63" s="1"/>
  <c r="L846" i="62"/>
  <c r="K846" i="62"/>
  <c r="N846" i="62" s="1"/>
  <c r="O846" i="62" s="1"/>
  <c r="L845" i="62"/>
  <c r="K845" i="62"/>
  <c r="N845" i="62" s="1"/>
  <c r="L844" i="62"/>
  <c r="K844" i="62"/>
  <c r="N844" i="62" s="1"/>
  <c r="O844" i="62" s="1"/>
  <c r="L842" i="62"/>
  <c r="K842" i="62"/>
  <c r="N842" i="62" s="1"/>
  <c r="O842" i="62" s="1"/>
  <c r="L841" i="62"/>
  <c r="K841" i="62"/>
  <c r="N841" i="62" s="1"/>
  <c r="O841" i="62" s="1"/>
  <c r="L840" i="62"/>
  <c r="K840" i="62"/>
  <c r="N840" i="62" s="1"/>
  <c r="O840" i="62" s="1"/>
  <c r="L839" i="62"/>
  <c r="K839" i="62"/>
  <c r="N839" i="62" s="1"/>
  <c r="O839" i="62" s="1"/>
  <c r="P839" i="62" s="1"/>
  <c r="K837" i="62"/>
  <c r="C826" i="62"/>
  <c r="K819" i="62"/>
  <c r="J819" i="62"/>
  <c r="I819" i="62"/>
  <c r="H819" i="62"/>
  <c r="G819" i="62"/>
  <c r="M818" i="62"/>
  <c r="K816" i="62"/>
  <c r="J816" i="62"/>
  <c r="I816" i="62"/>
  <c r="H816" i="62"/>
  <c r="G816" i="62"/>
  <c r="M815" i="62"/>
  <c r="K815" i="62"/>
  <c r="K818" i="62" s="1"/>
  <c r="J815" i="62"/>
  <c r="J818" i="62" s="1"/>
  <c r="I815" i="62"/>
  <c r="I818" i="62" s="1"/>
  <c r="H815" i="62"/>
  <c r="H818" i="62" s="1"/>
  <c r="G815" i="62"/>
  <c r="G818" i="62" s="1"/>
  <c r="L814" i="62"/>
  <c r="K808" i="62"/>
  <c r="J808" i="62"/>
  <c r="I808" i="62"/>
  <c r="H808" i="62"/>
  <c r="G808" i="62"/>
  <c r="L807" i="62"/>
  <c r="C790" i="62"/>
  <c r="K783" i="62"/>
  <c r="J783" i="62"/>
  <c r="I783" i="62"/>
  <c r="H783" i="62"/>
  <c r="G783" i="62"/>
  <c r="M782" i="62"/>
  <c r="K780" i="62"/>
  <c r="J780" i="62"/>
  <c r="I780" i="62"/>
  <c r="H780" i="62"/>
  <c r="G780" i="62"/>
  <c r="M779" i="62"/>
  <c r="K779" i="62"/>
  <c r="K782" i="62" s="1"/>
  <c r="J779" i="62"/>
  <c r="J782" i="62" s="1"/>
  <c r="I779" i="62"/>
  <c r="I782" i="62" s="1"/>
  <c r="H779" i="62"/>
  <c r="H782" i="62" s="1"/>
  <c r="G779" i="62"/>
  <c r="G782" i="62" s="1"/>
  <c r="L778" i="62"/>
  <c r="L777" i="62"/>
  <c r="I756" i="62"/>
  <c r="I757" i="62" s="1"/>
  <c r="H756" i="62"/>
  <c r="H757" i="62" s="1"/>
  <c r="G756" i="62"/>
  <c r="G757" i="62" s="1"/>
  <c r="F756" i="62"/>
  <c r="F757" i="62" s="1"/>
  <c r="J753" i="62"/>
  <c r="G740" i="62"/>
  <c r="G739" i="62"/>
  <c r="G738" i="62"/>
  <c r="G737" i="62"/>
  <c r="G736" i="62"/>
  <c r="G735" i="62"/>
  <c r="G734" i="62"/>
  <c r="G733" i="62"/>
  <c r="G732" i="62"/>
  <c r="G731" i="62"/>
  <c r="G730" i="62"/>
  <c r="G729" i="62"/>
  <c r="G726" i="62"/>
  <c r="M720" i="62"/>
  <c r="L720" i="62"/>
  <c r="J720" i="62"/>
  <c r="M719" i="62"/>
  <c r="L719" i="62"/>
  <c r="J719" i="62"/>
  <c r="L713" i="62"/>
  <c r="L712" i="62"/>
  <c r="D703" i="62"/>
  <c r="J703" i="62" s="1"/>
  <c r="I703" i="62" s="1"/>
  <c r="C703" i="62" s="1"/>
  <c r="E703" i="62" s="1"/>
  <c r="D702" i="62"/>
  <c r="J702" i="62" s="1"/>
  <c r="I702" i="62" s="1"/>
  <c r="C702" i="62" s="1"/>
  <c r="E702" i="62" s="1"/>
  <c r="D701" i="62"/>
  <c r="J701" i="62" s="1"/>
  <c r="I701" i="62" s="1"/>
  <c r="C701" i="62" s="1"/>
  <c r="E701" i="62" s="1"/>
  <c r="D700" i="62"/>
  <c r="J700" i="62" s="1"/>
  <c r="I700" i="62" s="1"/>
  <c r="C700" i="62" s="1"/>
  <c r="D699" i="62"/>
  <c r="J699" i="62" s="1"/>
  <c r="I699" i="62" s="1"/>
  <c r="C699" i="62" s="1"/>
  <c r="E699" i="62" s="1"/>
  <c r="G673" i="62"/>
  <c r="G671" i="62"/>
  <c r="G669" i="62"/>
  <c r="L667" i="62"/>
  <c r="K667" i="62"/>
  <c r="J667" i="62"/>
  <c r="I667" i="62"/>
  <c r="H667" i="62"/>
  <c r="G665" i="62"/>
  <c r="G664" i="62"/>
  <c r="G663" i="62"/>
  <c r="G662" i="62"/>
  <c r="G661" i="62"/>
  <c r="G658" i="62"/>
  <c r="J655" i="62"/>
  <c r="G655" i="62"/>
  <c r="C653" i="62"/>
  <c r="F646" i="62"/>
  <c r="G638" i="62"/>
  <c r="G641" i="62" s="1"/>
  <c r="H641" i="62" s="1"/>
  <c r="K641" i="62" s="1"/>
  <c r="G636" i="62"/>
  <c r="F601" i="62"/>
  <c r="H601" i="62" s="1"/>
  <c r="F600" i="62"/>
  <c r="H600" i="62" s="1"/>
  <c r="F599" i="62"/>
  <c r="H599" i="62" s="1"/>
  <c r="F598" i="62"/>
  <c r="H598" i="62" s="1"/>
  <c r="F597" i="62"/>
  <c r="H597" i="62" s="1"/>
  <c r="F596" i="62"/>
  <c r="H596" i="62" s="1"/>
  <c r="B595" i="62"/>
  <c r="E594" i="62" s="1"/>
  <c r="G590" i="62"/>
  <c r="H590" i="62" s="1"/>
  <c r="H587" i="62"/>
  <c r="M580" i="62"/>
  <c r="N580" i="62" s="1"/>
  <c r="M577" i="62"/>
  <c r="N577" i="62" s="1"/>
  <c r="H576" i="62"/>
  <c r="H577" i="62" s="1"/>
  <c r="N569" i="62"/>
  <c r="N570" i="62" s="1"/>
  <c r="H569" i="62"/>
  <c r="H570" i="62" s="1"/>
  <c r="N568" i="62"/>
  <c r="L545" i="62"/>
  <c r="E545" i="62"/>
  <c r="N544" i="62"/>
  <c r="N545" i="62" s="1"/>
  <c r="L544" i="62"/>
  <c r="J544" i="62"/>
  <c r="J545" i="62" s="1"/>
  <c r="G544" i="62"/>
  <c r="G545" i="62" s="1"/>
  <c r="E544" i="62"/>
  <c r="C544" i="62"/>
  <c r="C545" i="62" s="1"/>
  <c r="N541" i="62"/>
  <c r="N540" i="62" s="1"/>
  <c r="G541" i="62"/>
  <c r="G540" i="62" s="1"/>
  <c r="L540" i="62"/>
  <c r="L541" i="62" s="1"/>
  <c r="J540" i="62"/>
  <c r="J541" i="62" s="1"/>
  <c r="E540" i="62"/>
  <c r="E541" i="62" s="1"/>
  <c r="C540" i="62"/>
  <c r="C541" i="62" s="1"/>
  <c r="G532" i="62"/>
  <c r="G531" i="62" s="1"/>
  <c r="J531" i="62"/>
  <c r="J532" i="62" s="1"/>
  <c r="D531" i="62"/>
  <c r="D532" i="62" s="1"/>
  <c r="G527" i="62"/>
  <c r="D527" i="62"/>
  <c r="J526" i="62"/>
  <c r="J527" i="62" s="1"/>
  <c r="G526" i="62"/>
  <c r="D526" i="62"/>
  <c r="K513" i="62"/>
  <c r="G513" i="62"/>
  <c r="B513" i="62"/>
  <c r="M510" i="62"/>
  <c r="K512" i="62" s="1"/>
  <c r="I510" i="62"/>
  <c r="G512" i="62" s="1"/>
  <c r="D510" i="62"/>
  <c r="B512" i="62" s="1"/>
  <c r="C512" i="62" s="1"/>
  <c r="N509" i="62"/>
  <c r="J509" i="62"/>
  <c r="A503" i="62"/>
  <c r="B502" i="62"/>
  <c r="B498" i="62"/>
  <c r="F493" i="62"/>
  <c r="A477" i="62"/>
  <c r="B476" i="62"/>
  <c r="C469" i="62"/>
  <c r="N463" i="62"/>
  <c r="M465" i="62" s="1"/>
  <c r="M468" i="62" s="1"/>
  <c r="E462" i="62"/>
  <c r="E469" i="62" s="1"/>
  <c r="L441" i="62"/>
  <c r="K441" i="62"/>
  <c r="M440" i="62"/>
  <c r="K440" i="62"/>
  <c r="M439" i="62"/>
  <c r="L439" i="62"/>
  <c r="H431" i="62"/>
  <c r="G431" i="62"/>
  <c r="F431" i="62"/>
  <c r="G430" i="62"/>
  <c r="I430" i="62" s="1"/>
  <c r="I429" i="62"/>
  <c r="H429" i="62"/>
  <c r="F429" i="62"/>
  <c r="G428" i="62"/>
  <c r="H428" i="62" s="1"/>
  <c r="I428" i="62" s="1"/>
  <c r="M418" i="62"/>
  <c r="N418" i="62" s="1"/>
  <c r="F418" i="62"/>
  <c r="G418" i="62" s="1"/>
  <c r="M417" i="62"/>
  <c r="N417" i="62" s="1"/>
  <c r="F417" i="62"/>
  <c r="G417" i="62" s="1"/>
  <c r="M416" i="62"/>
  <c r="N416" i="62" s="1"/>
  <c r="F416" i="62"/>
  <c r="G416" i="62" s="1"/>
  <c r="M415" i="62"/>
  <c r="N415" i="62" s="1"/>
  <c r="F415" i="62"/>
  <c r="G415" i="62" s="1"/>
  <c r="M414" i="62"/>
  <c r="N414" i="62" s="1"/>
  <c r="J414" i="62"/>
  <c r="F414" i="62"/>
  <c r="G414" i="62" s="1"/>
  <c r="C414" i="62"/>
  <c r="H386" i="62"/>
  <c r="J386" i="62" s="1"/>
  <c r="E361" i="62"/>
  <c r="L345" i="62" s="1"/>
  <c r="I349" i="62"/>
  <c r="F349" i="62" s="1"/>
  <c r="H349" i="62"/>
  <c r="E349" i="62" s="1"/>
  <c r="G349" i="62"/>
  <c r="D349" i="62"/>
  <c r="C349" i="62"/>
  <c r="M349" i="62" s="1"/>
  <c r="M347" i="62"/>
  <c r="C347" i="62"/>
  <c r="I341" i="62"/>
  <c r="F341" i="62" s="1"/>
  <c r="H341" i="62"/>
  <c r="E341" i="62" s="1"/>
  <c r="G341" i="62"/>
  <c r="D341" i="62"/>
  <c r="C341" i="62"/>
  <c r="M341" i="62" s="1"/>
  <c r="J320" i="62"/>
  <c r="K313" i="62"/>
  <c r="K309" i="62"/>
  <c r="M299" i="62"/>
  <c r="F297" i="62"/>
  <c r="M295" i="62"/>
  <c r="K291" i="62"/>
  <c r="M291" i="62" s="1"/>
  <c r="M277" i="62"/>
  <c r="K273" i="62"/>
  <c r="M273" i="62" s="1"/>
  <c r="E265" i="62"/>
  <c r="F265" i="62" s="1"/>
  <c r="I262" i="62"/>
  <c r="N258" i="62" s="1"/>
  <c r="E262" i="62"/>
  <c r="F262" i="62" s="1"/>
  <c r="N260" i="62"/>
  <c r="F259" i="62"/>
  <c r="F170" i="62"/>
  <c r="D170" i="62" s="1"/>
  <c r="D167" i="62"/>
  <c r="C119" i="62"/>
  <c r="C116" i="62"/>
  <c r="C113" i="62"/>
  <c r="D106" i="62"/>
  <c r="H104" i="62"/>
  <c r="E104" i="62"/>
  <c r="H102" i="62"/>
  <c r="E102" i="62"/>
  <c r="Q1" i="62"/>
  <c r="P1" i="62"/>
  <c r="O1" i="62"/>
  <c r="N1" i="62"/>
  <c r="M1" i="62"/>
  <c r="L1" i="62"/>
  <c r="K1" i="62"/>
  <c r="J1" i="62"/>
  <c r="I1" i="62"/>
  <c r="H1" i="62"/>
  <c r="G1" i="62"/>
  <c r="F1" i="62"/>
  <c r="E1" i="62"/>
  <c r="D1" i="62"/>
  <c r="C1" i="62"/>
  <c r="B1" i="62"/>
  <c r="A1" i="62"/>
  <c r="I166" i="52"/>
  <c r="I165" i="52"/>
  <c r="I164" i="52"/>
  <c r="I163" i="52"/>
  <c r="I162" i="52"/>
  <c r="I161" i="52"/>
  <c r="I160" i="52"/>
  <c r="I159" i="52"/>
  <c r="I158" i="52"/>
  <c r="I157" i="52"/>
  <c r="I155" i="52"/>
  <c r="I153" i="52"/>
  <c r="I152" i="52"/>
  <c r="I151" i="52"/>
  <c r="I150" i="52"/>
  <c r="I149" i="52"/>
  <c r="I148" i="52"/>
  <c r="I147" i="52"/>
  <c r="I146" i="52"/>
  <c r="I144" i="52"/>
  <c r="I143" i="52"/>
  <c r="I142" i="52"/>
  <c r="I141" i="52"/>
  <c r="I139" i="52"/>
  <c r="I138" i="52"/>
  <c r="I137" i="52"/>
  <c r="I136" i="52"/>
  <c r="I135" i="52"/>
  <c r="I134" i="52"/>
  <c r="I133" i="52"/>
  <c r="I132" i="52"/>
  <c r="I131" i="52"/>
  <c r="I130" i="52"/>
  <c r="I128" i="52"/>
  <c r="I127" i="52"/>
  <c r="I126" i="52"/>
  <c r="I125" i="52"/>
  <c r="I124" i="52"/>
  <c r="I123" i="52"/>
  <c r="I121" i="52"/>
  <c r="I120" i="52"/>
  <c r="I119" i="52"/>
  <c r="I118" i="52"/>
  <c r="I117" i="52"/>
  <c r="I115" i="52"/>
  <c r="I114" i="52"/>
  <c r="I112" i="52"/>
  <c r="I111" i="52"/>
  <c r="I109" i="52"/>
  <c r="I108" i="52"/>
  <c r="I107" i="52"/>
  <c r="I106" i="52"/>
  <c r="I105" i="52"/>
  <c r="I104" i="52"/>
  <c r="I103" i="52"/>
  <c r="I102" i="52"/>
  <c r="I101" i="52"/>
  <c r="I100" i="52"/>
  <c r="I99" i="52"/>
  <c r="I98" i="52"/>
  <c r="I97" i="52"/>
  <c r="I96" i="52"/>
  <c r="I95" i="52"/>
  <c r="I93" i="52"/>
  <c r="I92" i="52"/>
  <c r="I91" i="52"/>
  <c r="I90" i="52"/>
  <c r="I89" i="52"/>
  <c r="I88" i="52"/>
  <c r="I87" i="52"/>
  <c r="I86" i="52"/>
  <c r="I85" i="52"/>
  <c r="I84" i="52"/>
  <c r="I82" i="52"/>
  <c r="I81" i="52"/>
  <c r="I80" i="52"/>
  <c r="I79" i="52"/>
  <c r="I78" i="52"/>
  <c r="I77" i="52"/>
  <c r="I76" i="52"/>
  <c r="I74" i="52"/>
  <c r="I73" i="52"/>
  <c r="I72" i="52"/>
  <c r="I71" i="52"/>
  <c r="I70" i="52"/>
  <c r="I68" i="52"/>
  <c r="I67" i="52"/>
  <c r="I66" i="52"/>
  <c r="I65" i="52"/>
  <c r="I64" i="52"/>
  <c r="I63" i="52"/>
  <c r="I62" i="52"/>
  <c r="I59" i="52"/>
  <c r="I58" i="52"/>
  <c r="I57" i="52"/>
  <c r="I56" i="52"/>
  <c r="I55" i="52"/>
  <c r="I54" i="52"/>
  <c r="I52" i="52"/>
  <c r="I51" i="52"/>
  <c r="I50" i="52"/>
  <c r="I49" i="52"/>
  <c r="I48" i="52"/>
  <c r="I47" i="52"/>
  <c r="I46" i="52"/>
  <c r="I45" i="52"/>
  <c r="I44" i="52"/>
  <c r="I43" i="52"/>
  <c r="I42" i="52"/>
  <c r="I40" i="52"/>
  <c r="I38" i="52"/>
  <c r="I37" i="52"/>
  <c r="I36" i="52"/>
  <c r="I35" i="52"/>
  <c r="I34" i="52"/>
  <c r="I33" i="52"/>
  <c r="I32" i="52"/>
  <c r="I31" i="52"/>
  <c r="I30" i="52"/>
  <c r="I29" i="52"/>
  <c r="I28" i="52"/>
  <c r="I27" i="52"/>
  <c r="I26" i="52"/>
  <c r="I25" i="52"/>
  <c r="I24" i="52"/>
  <c r="I22" i="52"/>
  <c r="I21" i="52"/>
  <c r="I20" i="52"/>
  <c r="I19" i="52"/>
  <c r="I18" i="52"/>
  <c r="I17" i="52"/>
  <c r="I16" i="52"/>
  <c r="I15" i="52"/>
  <c r="I14" i="52"/>
  <c r="I13" i="52"/>
  <c r="I12" i="52"/>
  <c r="I11" i="52"/>
  <c r="I10" i="52"/>
  <c r="I8" i="52"/>
  <c r="B5" i="52"/>
  <c r="C2" i="52"/>
  <c r="M8" i="18"/>
  <c r="N8" i="18" s="1"/>
  <c r="M9" i="18"/>
  <c r="N9" i="18" s="1"/>
  <c r="M10" i="18"/>
  <c r="N10" i="18" s="1"/>
  <c r="M11" i="18"/>
  <c r="N11" i="18" s="1"/>
  <c r="M12" i="18"/>
  <c r="N12" i="18" s="1"/>
  <c r="M13" i="18"/>
  <c r="N13" i="18" s="1"/>
  <c r="M14" i="18"/>
  <c r="N14" i="18" s="1"/>
  <c r="M15" i="18"/>
  <c r="N15" i="18" s="1"/>
  <c r="M16" i="18"/>
  <c r="N16" i="18" s="1"/>
  <c r="M17" i="18"/>
  <c r="N17" i="18" s="1"/>
  <c r="M18" i="18"/>
  <c r="N18" i="18" s="1"/>
  <c r="M19" i="18"/>
  <c r="N19" i="18" s="1"/>
  <c r="M20" i="18"/>
  <c r="N20" i="18" s="1"/>
  <c r="M21" i="18"/>
  <c r="N21" i="18" s="1"/>
  <c r="M22" i="18"/>
  <c r="N22" i="18" s="1"/>
  <c r="M23" i="18"/>
  <c r="N23" i="18" s="1"/>
  <c r="M24" i="18"/>
  <c r="N24" i="18" s="1"/>
  <c r="M25" i="18"/>
  <c r="N25" i="18" s="1"/>
  <c r="M26" i="18"/>
  <c r="N26" i="18" s="1"/>
  <c r="M27" i="18"/>
  <c r="N27" i="18" s="1"/>
  <c r="M28" i="18"/>
  <c r="N28" i="18" s="1"/>
  <c r="M29" i="18"/>
  <c r="N29" i="18" s="1"/>
  <c r="M30" i="18"/>
  <c r="N30" i="18" s="1"/>
  <c r="M31" i="18"/>
  <c r="N31" i="18" s="1"/>
  <c r="M32" i="18"/>
  <c r="N32" i="18" s="1"/>
  <c r="M33" i="18"/>
  <c r="N33" i="18" s="1"/>
  <c r="M34" i="18"/>
  <c r="N34" i="18" s="1"/>
  <c r="M35" i="18"/>
  <c r="N35" i="18" s="1"/>
  <c r="M36" i="18"/>
  <c r="N36" i="18" s="1"/>
  <c r="M37" i="18"/>
  <c r="N37" i="18" s="1"/>
  <c r="M38" i="18"/>
  <c r="N38" i="18" s="1"/>
  <c r="M39" i="18"/>
  <c r="N39" i="18" s="1"/>
  <c r="M40" i="18"/>
  <c r="N40" i="18" s="1"/>
  <c r="M41" i="18"/>
  <c r="N41" i="18" s="1"/>
  <c r="M42" i="18"/>
  <c r="N42" i="18" s="1"/>
  <c r="M43" i="18"/>
  <c r="N43" i="18" s="1"/>
  <c r="M44" i="18"/>
  <c r="N44" i="18" s="1"/>
  <c r="M45" i="18"/>
  <c r="N45" i="18" s="1"/>
  <c r="M46" i="18"/>
  <c r="N46" i="18" s="1"/>
  <c r="M47" i="18"/>
  <c r="N47" i="18" s="1"/>
  <c r="M48" i="18"/>
  <c r="N48" i="18" s="1"/>
  <c r="M49" i="18"/>
  <c r="N49" i="18" s="1"/>
  <c r="M50" i="18"/>
  <c r="N50" i="18" s="1"/>
  <c r="M51" i="18"/>
  <c r="N51" i="18" s="1"/>
  <c r="M52" i="18"/>
  <c r="N52" i="18" s="1"/>
  <c r="M53" i="18"/>
  <c r="N53" i="18" s="1"/>
  <c r="M54" i="18"/>
  <c r="N54" i="18" s="1"/>
  <c r="M55" i="18"/>
  <c r="N55" i="18" s="1"/>
  <c r="M56" i="18"/>
  <c r="N56" i="18" s="1"/>
  <c r="M57" i="18"/>
  <c r="N57" i="18" s="1"/>
  <c r="M58" i="18"/>
  <c r="N58" i="18" s="1"/>
  <c r="M59" i="18"/>
  <c r="N59" i="18" s="1"/>
  <c r="M60" i="18"/>
  <c r="N60" i="18" s="1"/>
  <c r="M61" i="18"/>
  <c r="N61" i="18" s="1"/>
  <c r="M62" i="18"/>
  <c r="N62" i="18" s="1"/>
  <c r="M63" i="18"/>
  <c r="N63" i="18" s="1"/>
  <c r="M64" i="18"/>
  <c r="N64" i="18" s="1"/>
  <c r="M65" i="18"/>
  <c r="N65" i="18" s="1"/>
  <c r="M66" i="18"/>
  <c r="N66" i="18" s="1"/>
  <c r="M67" i="18"/>
  <c r="N67" i="18" s="1"/>
  <c r="M68" i="18"/>
  <c r="N68" i="18" s="1"/>
  <c r="T58" i="18"/>
  <c r="U58" i="18" s="1"/>
  <c r="T57" i="18"/>
  <c r="U57" i="18" s="1"/>
  <c r="T56" i="18"/>
  <c r="U56" i="18" s="1"/>
  <c r="T55" i="18"/>
  <c r="U55" i="18" s="1"/>
  <c r="T54" i="18"/>
  <c r="U54" i="18" s="1"/>
  <c r="T53" i="18"/>
  <c r="U53" i="18" s="1"/>
  <c r="T52" i="18"/>
  <c r="U52" i="18" s="1"/>
  <c r="T51" i="18"/>
  <c r="U51" i="18" s="1"/>
  <c r="T50" i="18"/>
  <c r="U50" i="18" s="1"/>
  <c r="T49" i="18"/>
  <c r="U49" i="18" s="1"/>
  <c r="T48" i="18"/>
  <c r="U48" i="18" s="1"/>
  <c r="T47" i="18"/>
  <c r="U47" i="18" s="1"/>
  <c r="T46" i="18"/>
  <c r="U46" i="18" s="1"/>
  <c r="T45" i="18"/>
  <c r="U45" i="18" s="1"/>
  <c r="T44" i="18"/>
  <c r="U44" i="18" s="1"/>
  <c r="T43" i="18"/>
  <c r="U43" i="18" s="1"/>
  <c r="T42" i="18"/>
  <c r="U42" i="18" s="1"/>
  <c r="T41" i="18"/>
  <c r="U41" i="18" s="1"/>
  <c r="T40" i="18"/>
  <c r="U40" i="18" s="1"/>
  <c r="T39" i="18"/>
  <c r="U39" i="18" s="1"/>
  <c r="T38" i="18"/>
  <c r="U38" i="18" s="1"/>
  <c r="T37" i="18"/>
  <c r="U37" i="18" s="1"/>
  <c r="T36" i="18"/>
  <c r="U36" i="18" s="1"/>
  <c r="T35" i="18"/>
  <c r="U35" i="18" s="1"/>
  <c r="T34" i="18"/>
  <c r="U34" i="18" s="1"/>
  <c r="T33" i="18"/>
  <c r="U33" i="18" s="1"/>
  <c r="T32" i="18"/>
  <c r="U32" i="18" s="1"/>
  <c r="T31" i="18"/>
  <c r="U31" i="18" s="1"/>
  <c r="T30" i="18"/>
  <c r="U30" i="18" s="1"/>
  <c r="T29" i="18"/>
  <c r="U29" i="18" s="1"/>
  <c r="T28" i="18"/>
  <c r="U28" i="18" s="1"/>
  <c r="T27" i="18"/>
  <c r="U27" i="18" s="1"/>
  <c r="T26" i="18"/>
  <c r="U26" i="18" s="1"/>
  <c r="T25" i="18"/>
  <c r="U25" i="18" s="1"/>
  <c r="T24" i="18"/>
  <c r="U24" i="18" s="1"/>
  <c r="T23" i="18"/>
  <c r="U23" i="18" s="1"/>
  <c r="T22" i="18"/>
  <c r="U22" i="18" s="1"/>
  <c r="T21" i="18"/>
  <c r="U21" i="18" s="1"/>
  <c r="T20" i="18"/>
  <c r="U20" i="18" s="1"/>
  <c r="T19" i="18"/>
  <c r="U19" i="18" s="1"/>
  <c r="T18" i="18"/>
  <c r="U18" i="18" s="1"/>
  <c r="T17" i="18"/>
  <c r="U17" i="18" s="1"/>
  <c r="T16" i="18"/>
  <c r="U16" i="18" s="1"/>
  <c r="T15" i="18"/>
  <c r="U15" i="18" s="1"/>
  <c r="T14" i="18"/>
  <c r="U14" i="18" s="1"/>
  <c r="T13" i="18"/>
  <c r="U13" i="18" s="1"/>
  <c r="T12" i="18"/>
  <c r="U12" i="18" s="1"/>
  <c r="T11" i="18"/>
  <c r="U11" i="18" s="1"/>
  <c r="T10" i="18"/>
  <c r="U10" i="18" s="1"/>
  <c r="T9" i="18"/>
  <c r="U9" i="18" s="1"/>
  <c r="T8" i="18"/>
  <c r="U8" i="18" s="1"/>
  <c r="T7" i="18"/>
  <c r="U7" i="18" s="1"/>
  <c r="F9" i="18"/>
  <c r="G9" i="18" s="1"/>
  <c r="F10" i="18"/>
  <c r="G10" i="18" s="1"/>
  <c r="F11" i="18"/>
  <c r="G11" i="18" s="1"/>
  <c r="F12" i="18"/>
  <c r="G12" i="18" s="1"/>
  <c r="F13" i="18"/>
  <c r="G13" i="18" s="1"/>
  <c r="F14" i="18"/>
  <c r="G14" i="18" s="1"/>
  <c r="F15" i="18"/>
  <c r="G15" i="18" s="1"/>
  <c r="F16" i="18"/>
  <c r="G16" i="18" s="1"/>
  <c r="F17" i="18"/>
  <c r="G17" i="18" s="1"/>
  <c r="F18" i="18"/>
  <c r="G18" i="18" s="1"/>
  <c r="F19" i="18"/>
  <c r="G19" i="18" s="1"/>
  <c r="F20" i="18"/>
  <c r="G20" i="18" s="1"/>
  <c r="F21" i="18"/>
  <c r="G21" i="18" s="1"/>
  <c r="F22" i="18"/>
  <c r="G22" i="18" s="1"/>
  <c r="F23" i="18"/>
  <c r="G23" i="18" s="1"/>
  <c r="F24" i="18"/>
  <c r="G24" i="18" s="1"/>
  <c r="F25" i="18"/>
  <c r="G25" i="18" s="1"/>
  <c r="F26" i="18"/>
  <c r="G26" i="18" s="1"/>
  <c r="F27" i="18"/>
  <c r="G27" i="18" s="1"/>
  <c r="F28" i="18"/>
  <c r="G28" i="18" s="1"/>
  <c r="F29" i="18"/>
  <c r="G29" i="18" s="1"/>
  <c r="F30" i="18"/>
  <c r="G30" i="18" s="1"/>
  <c r="F31" i="18"/>
  <c r="G31" i="18" s="1"/>
  <c r="F32" i="18"/>
  <c r="G32" i="18" s="1"/>
  <c r="F33" i="18"/>
  <c r="G33" i="18" s="1"/>
  <c r="F34" i="18"/>
  <c r="G34" i="18" s="1"/>
  <c r="F35" i="18"/>
  <c r="G35" i="18" s="1"/>
  <c r="F36" i="18"/>
  <c r="G36" i="18" s="1"/>
  <c r="F37" i="18"/>
  <c r="G37" i="18" s="1"/>
  <c r="F38" i="18"/>
  <c r="G38" i="18" s="1"/>
  <c r="F39" i="18"/>
  <c r="G39" i="18" s="1"/>
  <c r="F40" i="18"/>
  <c r="G40" i="18" s="1"/>
  <c r="F41" i="18"/>
  <c r="G41" i="18" s="1"/>
  <c r="F42" i="18"/>
  <c r="G42" i="18" s="1"/>
  <c r="F43" i="18"/>
  <c r="G43" i="18" s="1"/>
  <c r="F44" i="18"/>
  <c r="G44" i="18" s="1"/>
  <c r="F45" i="18"/>
  <c r="G45" i="18" s="1"/>
  <c r="F46" i="18"/>
  <c r="G46" i="18" s="1"/>
  <c r="F47" i="18"/>
  <c r="G47" i="18" s="1"/>
  <c r="F48" i="18"/>
  <c r="G48" i="18" s="1"/>
  <c r="F49" i="18"/>
  <c r="G49" i="18" s="1"/>
  <c r="F50" i="18"/>
  <c r="G50" i="18" s="1"/>
  <c r="F51" i="18"/>
  <c r="G51" i="18" s="1"/>
  <c r="F52" i="18"/>
  <c r="G52" i="18" s="1"/>
  <c r="F53" i="18"/>
  <c r="G53" i="18" s="1"/>
  <c r="F54" i="18"/>
  <c r="G54" i="18" s="1"/>
  <c r="F55" i="18"/>
  <c r="G55" i="18" s="1"/>
  <c r="F56" i="18"/>
  <c r="G56" i="18" s="1"/>
  <c r="F57" i="18"/>
  <c r="G57" i="18" s="1"/>
  <c r="F58" i="18"/>
  <c r="G58" i="18" s="1"/>
  <c r="F59" i="18"/>
  <c r="G59" i="18" s="1"/>
  <c r="F60" i="18"/>
  <c r="G60" i="18" s="1"/>
  <c r="F61" i="18"/>
  <c r="G61" i="18" s="1"/>
  <c r="F62" i="18"/>
  <c r="G62" i="18" s="1"/>
  <c r="F63" i="18"/>
  <c r="G63" i="18" s="1"/>
  <c r="F64" i="18"/>
  <c r="G64" i="18" s="1"/>
  <c r="F65" i="18"/>
  <c r="G65" i="18" s="1"/>
  <c r="F66" i="18"/>
  <c r="G66" i="18" s="1"/>
  <c r="M7" i="18"/>
  <c r="N7" i="18" s="1"/>
  <c r="F8" i="18"/>
  <c r="G8" i="18" s="1"/>
  <c r="F7" i="18"/>
  <c r="G7" i="18" s="1"/>
  <c r="H81" i="67" l="1"/>
  <c r="I81" i="67" s="1"/>
  <c r="J81" i="67" s="1"/>
  <c r="V162" i="68"/>
  <c r="G64" i="67"/>
  <c r="K64" i="67" s="1"/>
  <c r="K68" i="67" s="1"/>
  <c r="V144" i="68"/>
  <c r="V155" i="68"/>
  <c r="V191" i="68"/>
  <c r="N277" i="62"/>
  <c r="N273" i="62" s="1"/>
  <c r="L277" i="62" s="1"/>
  <c r="L465" i="62"/>
  <c r="L468" i="62" s="1"/>
  <c r="V32" i="68"/>
  <c r="M573" i="62"/>
  <c r="N573" i="62" s="1"/>
  <c r="L31" i="67"/>
  <c r="O31" i="67" s="1"/>
  <c r="F52" i="63"/>
  <c r="L111" i="67"/>
  <c r="M111" i="67" s="1"/>
  <c r="N111" i="67" s="1"/>
  <c r="O111" i="67" s="1"/>
  <c r="V41" i="68"/>
  <c r="P37" i="67"/>
  <c r="Q37" i="67" s="1"/>
  <c r="V63" i="68"/>
  <c r="H83" i="67"/>
  <c r="I83" i="67" s="1"/>
  <c r="J83" i="67" s="1"/>
  <c r="V121" i="68"/>
  <c r="V97" i="68"/>
  <c r="V82" i="68"/>
  <c r="J74" i="69"/>
  <c r="I93" i="67"/>
  <c r="G106" i="67" s="1"/>
  <c r="V198" i="68"/>
  <c r="V129" i="68"/>
  <c r="C106" i="67"/>
  <c r="F106" i="67" s="1"/>
  <c r="H465" i="62"/>
  <c r="H468" i="62" s="1"/>
  <c r="V35" i="68"/>
  <c r="L131" i="67"/>
  <c r="V42" i="68"/>
  <c r="L818" i="62"/>
  <c r="G640" i="62"/>
  <c r="H640" i="62" s="1"/>
  <c r="K640" i="62" s="1"/>
  <c r="V158" i="68"/>
  <c r="V190" i="68"/>
  <c r="L107" i="67"/>
  <c r="M107" i="67" s="1"/>
  <c r="N107" i="67" s="1"/>
  <c r="O107" i="67" s="1"/>
  <c r="F94" i="67"/>
  <c r="K94" i="67" s="1"/>
  <c r="V134" i="68"/>
  <c r="H93" i="66"/>
  <c r="I93" i="66" s="1"/>
  <c r="K93" i="66" s="1"/>
  <c r="H88" i="66"/>
  <c r="I88" i="66" s="1"/>
  <c r="K88" i="66" s="1"/>
  <c r="G644" i="62"/>
  <c r="H644" i="62" s="1"/>
  <c r="K644" i="62" s="1"/>
  <c r="C107" i="67"/>
  <c r="F107" i="67" s="1"/>
  <c r="K465" i="62"/>
  <c r="K468" i="62" s="1"/>
  <c r="M86" i="67"/>
  <c r="V120" i="68"/>
  <c r="V124" i="68"/>
  <c r="V152" i="68"/>
  <c r="H70" i="66"/>
  <c r="I70" i="66" s="1"/>
  <c r="K70" i="66" s="1"/>
  <c r="L110" i="67"/>
  <c r="M110" i="67" s="1"/>
  <c r="N110" i="67" s="1"/>
  <c r="O110" i="67" s="1"/>
  <c r="H80" i="67"/>
  <c r="I80" i="67" s="1"/>
  <c r="J80" i="67" s="1"/>
  <c r="V107" i="68"/>
  <c r="V195" i="68"/>
  <c r="F47" i="63"/>
  <c r="F48" i="63"/>
  <c r="M100" i="69"/>
  <c r="N100" i="69" s="1"/>
  <c r="R100" i="69" s="1"/>
  <c r="M96" i="69"/>
  <c r="N96" i="69" s="1"/>
  <c r="R96" i="69" s="1"/>
  <c r="M84" i="69"/>
  <c r="N84" i="69" s="1"/>
  <c r="R84" i="69" s="1"/>
  <c r="M80" i="69"/>
  <c r="N80" i="69" s="1"/>
  <c r="R80" i="69" s="1"/>
  <c r="I56" i="69"/>
  <c r="J37" i="69" s="1"/>
  <c r="G94" i="66"/>
  <c r="G71" i="66"/>
  <c r="G75" i="66"/>
  <c r="H87" i="66"/>
  <c r="I87" i="66" s="1"/>
  <c r="K87" i="66" s="1"/>
  <c r="G89" i="66"/>
  <c r="G95" i="66"/>
  <c r="G93" i="66"/>
  <c r="H92" i="66"/>
  <c r="I92" i="66" s="1"/>
  <c r="K92" i="66" s="1"/>
  <c r="H95" i="66"/>
  <c r="I95" i="66" s="1"/>
  <c r="K95" i="66" s="1"/>
  <c r="G80" i="66"/>
  <c r="G106" i="66"/>
  <c r="G101" i="66"/>
  <c r="H81" i="66"/>
  <c r="I81" i="66" s="1"/>
  <c r="K81" i="66" s="1"/>
  <c r="G105" i="66"/>
  <c r="H73" i="66"/>
  <c r="I73" i="66" s="1"/>
  <c r="K73" i="66" s="1"/>
  <c r="G74" i="66"/>
  <c r="G90" i="66"/>
  <c r="G102" i="66"/>
  <c r="H74" i="66"/>
  <c r="I74" i="66" s="1"/>
  <c r="K74" i="66" s="1"/>
  <c r="H106" i="66"/>
  <c r="I106" i="66" s="1"/>
  <c r="K106" i="66" s="1"/>
  <c r="G83" i="66"/>
  <c r="H103" i="66"/>
  <c r="I103" i="66" s="1"/>
  <c r="K103" i="66" s="1"/>
  <c r="H71" i="66"/>
  <c r="I71" i="66" s="1"/>
  <c r="K71" i="66" s="1"/>
  <c r="H72" i="66"/>
  <c r="I72" i="66" s="1"/>
  <c r="K72" i="66" s="1"/>
  <c r="H76" i="66"/>
  <c r="I76" i="66" s="1"/>
  <c r="K76" i="66" s="1"/>
  <c r="G77" i="66"/>
  <c r="H79" i="66"/>
  <c r="I79" i="66" s="1"/>
  <c r="K79" i="66" s="1"/>
  <c r="G70" i="66"/>
  <c r="H83" i="66"/>
  <c r="I83" i="66" s="1"/>
  <c r="K83" i="66" s="1"/>
  <c r="G85" i="66"/>
  <c r="G98" i="66"/>
  <c r="G99" i="66"/>
  <c r="G103" i="66"/>
  <c r="G100" i="66"/>
  <c r="H105" i="66"/>
  <c r="I105" i="66" s="1"/>
  <c r="K105" i="66" s="1"/>
  <c r="H69" i="66"/>
  <c r="I69" i="66" s="1"/>
  <c r="K69" i="66" s="1"/>
  <c r="H57" i="66"/>
  <c r="I57" i="66" s="1"/>
  <c r="K57" i="66" s="1"/>
  <c r="G52" i="66"/>
  <c r="H40" i="66"/>
  <c r="I40" i="66" s="1"/>
  <c r="K40" i="66" s="1"/>
  <c r="H32" i="66"/>
  <c r="I32" i="66" s="1"/>
  <c r="K32" i="66" s="1"/>
  <c r="G25" i="66"/>
  <c r="G55" i="66"/>
  <c r="H28" i="66"/>
  <c r="I28" i="66" s="1"/>
  <c r="K28" i="66" s="1"/>
  <c r="G33" i="66"/>
  <c r="G57" i="66"/>
  <c r="H46" i="66"/>
  <c r="I46" i="66" s="1"/>
  <c r="K46" i="66" s="1"/>
  <c r="G40" i="66"/>
  <c r="G32" i="66"/>
  <c r="H44" i="66"/>
  <c r="I44" i="66" s="1"/>
  <c r="K44" i="66" s="1"/>
  <c r="G29" i="66"/>
  <c r="G21" i="66"/>
  <c r="G41" i="66"/>
  <c r="H25" i="66"/>
  <c r="I25" i="66" s="1"/>
  <c r="K25" i="66" s="1"/>
  <c r="H51" i="66"/>
  <c r="I51" i="66" s="1"/>
  <c r="K51" i="66" s="1"/>
  <c r="G46" i="66"/>
  <c r="H39" i="66"/>
  <c r="I39" i="66" s="1"/>
  <c r="K39" i="66" s="1"/>
  <c r="H31" i="66"/>
  <c r="I31" i="66" s="1"/>
  <c r="K31" i="66" s="1"/>
  <c r="H24" i="66"/>
  <c r="I24" i="66" s="1"/>
  <c r="K24" i="66" s="1"/>
  <c r="H29" i="66"/>
  <c r="I29" i="66" s="1"/>
  <c r="K29" i="66" s="1"/>
  <c r="G22" i="66"/>
  <c r="G44" i="66"/>
  <c r="H54" i="66"/>
  <c r="I54" i="66" s="1"/>
  <c r="K54" i="66" s="1"/>
  <c r="G36" i="66"/>
  <c r="G26" i="66"/>
  <c r="H56" i="66"/>
  <c r="I56" i="66" s="1"/>
  <c r="K56" i="66" s="1"/>
  <c r="G51" i="66"/>
  <c r="G39" i="66"/>
  <c r="G31" i="66"/>
  <c r="G24" i="66"/>
  <c r="H37" i="66"/>
  <c r="I37" i="66" s="1"/>
  <c r="K37" i="66" s="1"/>
  <c r="G37" i="66"/>
  <c r="H49" i="66"/>
  <c r="I49" i="66" s="1"/>
  <c r="K49" i="66" s="1"/>
  <c r="H36" i="66"/>
  <c r="I36" i="66" s="1"/>
  <c r="K36" i="66" s="1"/>
  <c r="H21" i="66"/>
  <c r="I21" i="66" s="1"/>
  <c r="K21" i="66" s="1"/>
  <c r="H43" i="66"/>
  <c r="I43" i="66" s="1"/>
  <c r="K43" i="66" s="1"/>
  <c r="H33" i="66"/>
  <c r="I33" i="66" s="1"/>
  <c r="K33" i="66" s="1"/>
  <c r="G56" i="66"/>
  <c r="H45" i="66"/>
  <c r="I45" i="66" s="1"/>
  <c r="K45" i="66" s="1"/>
  <c r="H38" i="66"/>
  <c r="I38" i="66" s="1"/>
  <c r="K38" i="66" s="1"/>
  <c r="H30" i="66"/>
  <c r="I30" i="66" s="1"/>
  <c r="K30" i="66" s="1"/>
  <c r="H23" i="66"/>
  <c r="I23" i="66" s="1"/>
  <c r="K23" i="66" s="1"/>
  <c r="G50" i="66"/>
  <c r="H22" i="66"/>
  <c r="I22" i="66" s="1"/>
  <c r="K22" i="66" s="1"/>
  <c r="G49" i="66"/>
  <c r="H50" i="66"/>
  <c r="I50" i="66" s="1"/>
  <c r="K50" i="66" s="1"/>
  <c r="G45" i="66"/>
  <c r="G38" i="66"/>
  <c r="G30" i="66"/>
  <c r="G23" i="66"/>
  <c r="H55" i="66"/>
  <c r="I55" i="66" s="1"/>
  <c r="K55" i="66" s="1"/>
  <c r="H47" i="66"/>
  <c r="I47" i="66" s="1"/>
  <c r="K47" i="66" s="1"/>
  <c r="G47" i="66"/>
  <c r="G54" i="66"/>
  <c r="G43" i="66"/>
  <c r="H35" i="66"/>
  <c r="I35" i="66" s="1"/>
  <c r="K35" i="66" s="1"/>
  <c r="G28" i="66"/>
  <c r="H20" i="66"/>
  <c r="I20" i="66" s="1"/>
  <c r="K20" i="66" s="1"/>
  <c r="H48" i="66"/>
  <c r="I48" i="66" s="1"/>
  <c r="K48" i="66" s="1"/>
  <c r="H42" i="66"/>
  <c r="I42" i="66" s="1"/>
  <c r="K42" i="66" s="1"/>
  <c r="G35" i="66"/>
  <c r="H27" i="66"/>
  <c r="I27" i="66" s="1"/>
  <c r="K27" i="66" s="1"/>
  <c r="G20" i="66"/>
  <c r="H53" i="66"/>
  <c r="I53" i="66" s="1"/>
  <c r="K53" i="66" s="1"/>
  <c r="G48" i="66"/>
  <c r="G42" i="66"/>
  <c r="H34" i="66"/>
  <c r="I34" i="66" s="1"/>
  <c r="K34" i="66" s="1"/>
  <c r="G27" i="66"/>
  <c r="H19" i="66"/>
  <c r="I19" i="66" s="1"/>
  <c r="K19" i="66" s="1"/>
  <c r="G53" i="66"/>
  <c r="H41" i="66"/>
  <c r="I41" i="66" s="1"/>
  <c r="K41" i="66" s="1"/>
  <c r="G34" i="66"/>
  <c r="H26" i="66"/>
  <c r="I26" i="66" s="1"/>
  <c r="K26" i="66" s="1"/>
  <c r="G19" i="66"/>
  <c r="H52" i="66"/>
  <c r="I52" i="66" s="1"/>
  <c r="K52" i="66" s="1"/>
  <c r="G51" i="63"/>
  <c r="H51" i="63" s="1"/>
  <c r="J51" i="63" s="1"/>
  <c r="G45" i="63"/>
  <c r="H45" i="63" s="1"/>
  <c r="J45" i="63" s="1"/>
  <c r="G43" i="63"/>
  <c r="H43" i="63" s="1"/>
  <c r="J43" i="63" s="1"/>
  <c r="G42" i="63"/>
  <c r="H42" i="63" s="1"/>
  <c r="J42" i="63" s="1"/>
  <c r="G26" i="63"/>
  <c r="H26" i="63" s="1"/>
  <c r="J26" i="63" s="1"/>
  <c r="F43" i="63"/>
  <c r="G44" i="63"/>
  <c r="H44" i="63" s="1"/>
  <c r="J44" i="63" s="1"/>
  <c r="F44" i="63"/>
  <c r="G50" i="63"/>
  <c r="H50" i="63" s="1"/>
  <c r="J50" i="63" s="1"/>
  <c r="F45" i="63"/>
  <c r="N512" i="62"/>
  <c r="M512" i="62"/>
  <c r="L512" i="62"/>
  <c r="H82" i="67"/>
  <c r="I82" i="67" s="1"/>
  <c r="J82" i="67" s="1"/>
  <c r="G82" i="67"/>
  <c r="H84" i="67"/>
  <c r="I84" i="67" s="1"/>
  <c r="J84" i="67" s="1"/>
  <c r="V47" i="68"/>
  <c r="G21" i="63"/>
  <c r="H21" i="63" s="1"/>
  <c r="J21" i="63" s="1"/>
  <c r="G17" i="63"/>
  <c r="H17" i="63" s="1"/>
  <c r="J17" i="63" s="1"/>
  <c r="H78" i="66"/>
  <c r="I78" i="66" s="1"/>
  <c r="K78" i="66" s="1"/>
  <c r="H104" i="66"/>
  <c r="I104" i="66" s="1"/>
  <c r="K104" i="66" s="1"/>
  <c r="H98" i="66"/>
  <c r="I98" i="66" s="1"/>
  <c r="K98" i="66" s="1"/>
  <c r="H100" i="66"/>
  <c r="I100" i="66" s="1"/>
  <c r="K100" i="66" s="1"/>
  <c r="G118" i="67"/>
  <c r="K118" i="67" s="1"/>
  <c r="V28" i="68"/>
  <c r="V153" i="68"/>
  <c r="V166" i="68"/>
  <c r="E512" i="62"/>
  <c r="L815" i="62"/>
  <c r="F17" i="63"/>
  <c r="F49" i="63"/>
  <c r="H77" i="66"/>
  <c r="I77" i="66" s="1"/>
  <c r="K77" i="66" s="1"/>
  <c r="G79" i="66"/>
  <c r="H84" i="66"/>
  <c r="I84" i="66" s="1"/>
  <c r="K84" i="66" s="1"/>
  <c r="H101" i="66"/>
  <c r="I101" i="66" s="1"/>
  <c r="K101" i="66" s="1"/>
  <c r="G97" i="66"/>
  <c r="G69" i="66"/>
  <c r="H96" i="66"/>
  <c r="I96" i="66" s="1"/>
  <c r="K96" i="66" s="1"/>
  <c r="V119" i="68"/>
  <c r="V123" i="68"/>
  <c r="D512" i="62"/>
  <c r="F18" i="63"/>
  <c r="F51" i="63"/>
  <c r="G78" i="66"/>
  <c r="H82" i="66"/>
  <c r="I82" i="66" s="1"/>
  <c r="K82" i="66" s="1"/>
  <c r="G88" i="66"/>
  <c r="H99" i="66"/>
  <c r="I99" i="66" s="1"/>
  <c r="K99" i="66" s="1"/>
  <c r="G72" i="66"/>
  <c r="L136" i="67"/>
  <c r="M131" i="67"/>
  <c r="N131" i="67" s="1"/>
  <c r="O131" i="67" s="1"/>
  <c r="L106" i="67"/>
  <c r="M106" i="67" s="1"/>
  <c r="N106" i="67" s="1"/>
  <c r="V95" i="68"/>
  <c r="F98" i="67"/>
  <c r="K98" i="67" s="1"/>
  <c r="H86" i="66"/>
  <c r="I86" i="66" s="1"/>
  <c r="K86" i="66" s="1"/>
  <c r="G81" i="66"/>
  <c r="G48" i="63"/>
  <c r="H48" i="63" s="1"/>
  <c r="J48" i="63" s="1"/>
  <c r="F24" i="63"/>
  <c r="H85" i="66"/>
  <c r="I85" i="66" s="1"/>
  <c r="K85" i="66" s="1"/>
  <c r="H90" i="66"/>
  <c r="I90" i="66" s="1"/>
  <c r="K90" i="66" s="1"/>
  <c r="G84" i="66"/>
  <c r="G107" i="66"/>
  <c r="H80" i="66"/>
  <c r="I80" i="66" s="1"/>
  <c r="K80" i="66" s="1"/>
  <c r="G92" i="66"/>
  <c r="I94" i="67"/>
  <c r="G107" i="67" s="1"/>
  <c r="I123" i="67"/>
  <c r="G136" i="67" s="1"/>
  <c r="C131" i="67"/>
  <c r="F131" i="67" s="1"/>
  <c r="H131" i="67" s="1"/>
  <c r="I131" i="67" s="1"/>
  <c r="V66" i="68"/>
  <c r="J94" i="69"/>
  <c r="C110" i="67"/>
  <c r="F110" i="67" s="1"/>
  <c r="H110" i="67" s="1"/>
  <c r="O845" i="62"/>
  <c r="G82" i="66"/>
  <c r="G73" i="66"/>
  <c r="H97" i="66"/>
  <c r="I97" i="66" s="1"/>
  <c r="K97" i="66" s="1"/>
  <c r="G49" i="63"/>
  <c r="H49" i="63" s="1"/>
  <c r="J49" i="63" s="1"/>
  <c r="G87" i="66"/>
  <c r="H75" i="66"/>
  <c r="I75" i="66" s="1"/>
  <c r="K75" i="66" s="1"/>
  <c r="V111" i="68"/>
  <c r="V128" i="68"/>
  <c r="G47" i="63"/>
  <c r="H47" i="63" s="1"/>
  <c r="J47" i="63" s="1"/>
  <c r="G24" i="63"/>
  <c r="H24" i="63" s="1"/>
  <c r="J24" i="63" s="1"/>
  <c r="G86" i="66"/>
  <c r="G91" i="66"/>
  <c r="H91" i="66"/>
  <c r="I91" i="66" s="1"/>
  <c r="K91" i="66" s="1"/>
  <c r="G104" i="66"/>
  <c r="G96" i="66"/>
  <c r="G76" i="66"/>
  <c r="M136" i="67"/>
  <c r="N136" i="67" s="1"/>
  <c r="O136" i="67" s="1"/>
  <c r="V27" i="68"/>
  <c r="V29" i="68"/>
  <c r="V38" i="68"/>
  <c r="V49" i="68"/>
  <c r="V167" i="68"/>
  <c r="J90" i="69"/>
  <c r="G23" i="63"/>
  <c r="H23" i="63" s="1"/>
  <c r="J23" i="63" s="1"/>
  <c r="G18" i="63"/>
  <c r="H18" i="63" s="1"/>
  <c r="J18" i="63" s="1"/>
  <c r="G20" i="63"/>
  <c r="H20" i="63" s="1"/>
  <c r="J20" i="63" s="1"/>
  <c r="V104" i="68"/>
  <c r="F22" i="63"/>
  <c r="F430" i="62"/>
  <c r="L779" i="62"/>
  <c r="G46" i="63"/>
  <c r="H46" i="63" s="1"/>
  <c r="J46" i="63" s="1"/>
  <c r="F25" i="63"/>
  <c r="H89" i="66"/>
  <c r="I89" i="66" s="1"/>
  <c r="K89" i="66" s="1"/>
  <c r="H94" i="66"/>
  <c r="I94" i="66" s="1"/>
  <c r="K94" i="66" s="1"/>
  <c r="H102" i="66"/>
  <c r="I102" i="66" s="1"/>
  <c r="K102" i="66" s="1"/>
  <c r="C86" i="67"/>
  <c r="V20" i="68"/>
  <c r="V85" i="68"/>
  <c r="J78" i="69"/>
  <c r="P842" i="62"/>
  <c r="Q842" i="62"/>
  <c r="R842" i="62" s="1"/>
  <c r="S842" i="62" s="1"/>
  <c r="L782" i="62"/>
  <c r="I309" i="62"/>
  <c r="L341" i="62"/>
  <c r="M342" i="62" s="1"/>
  <c r="I107" i="66"/>
  <c r="K107" i="66" s="1"/>
  <c r="L349" i="62"/>
  <c r="M350" i="62" s="1"/>
  <c r="G642" i="62"/>
  <c r="H642" i="62" s="1"/>
  <c r="K642" i="62" s="1"/>
  <c r="G16" i="63"/>
  <c r="H16" i="63" s="1"/>
  <c r="J16" i="63" s="1"/>
  <c r="F19" i="63"/>
  <c r="F23" i="63"/>
  <c r="G29" i="64"/>
  <c r="G45" i="64"/>
  <c r="O18" i="67"/>
  <c r="P18" i="67" s="1"/>
  <c r="P16" i="67"/>
  <c r="R16" i="67" s="1"/>
  <c r="S16" i="67" s="1"/>
  <c r="T16" i="67" s="1"/>
  <c r="P21" i="67"/>
  <c r="Q21" i="67" s="1"/>
  <c r="V59" i="68"/>
  <c r="V64" i="68"/>
  <c r="V65" i="68"/>
  <c r="V113" i="68"/>
  <c r="V116" i="68"/>
  <c r="V117" i="68"/>
  <c r="V196" i="68"/>
  <c r="H31" i="64"/>
  <c r="I31" i="64" s="1"/>
  <c r="K31" i="64" s="1"/>
  <c r="H47" i="64"/>
  <c r="I47" i="64" s="1"/>
  <c r="K47" i="64" s="1"/>
  <c r="V30" i="68"/>
  <c r="V52" i="68"/>
  <c r="V74" i="68"/>
  <c r="V106" i="68"/>
  <c r="V108" i="68"/>
  <c r="V109" i="68"/>
  <c r="V110" i="68"/>
  <c r="V127" i="68"/>
  <c r="V130" i="68"/>
  <c r="V137" i="68"/>
  <c r="V150" i="68"/>
  <c r="V151" i="68"/>
  <c r="V159" i="68"/>
  <c r="V163" i="68"/>
  <c r="V170" i="68"/>
  <c r="V182" i="68"/>
  <c r="G639" i="62"/>
  <c r="H639" i="62" s="1"/>
  <c r="K639" i="62" s="1"/>
  <c r="G21" i="64"/>
  <c r="G37" i="64"/>
  <c r="P24" i="67"/>
  <c r="R24" i="67" s="1"/>
  <c r="S24" i="67" s="1"/>
  <c r="T24" i="67" s="1"/>
  <c r="F97" i="67"/>
  <c r="K97" i="67" s="1"/>
  <c r="V17" i="68"/>
  <c r="V21" i="68"/>
  <c r="V24" i="68"/>
  <c r="V25" i="68"/>
  <c r="V40" i="68"/>
  <c r="V43" i="68"/>
  <c r="V69" i="68"/>
  <c r="V80" i="68"/>
  <c r="V81" i="68"/>
  <c r="V122" i="68"/>
  <c r="V125" i="68"/>
  <c r="V145" i="68"/>
  <c r="V176" i="68"/>
  <c r="V177" i="68"/>
  <c r="V181" i="68"/>
  <c r="V193" i="68"/>
  <c r="V194" i="68"/>
  <c r="J102" i="69"/>
  <c r="J86" i="69"/>
  <c r="J70" i="69"/>
  <c r="M92" i="69"/>
  <c r="N92" i="69" s="1"/>
  <c r="R92" i="69" s="1"/>
  <c r="M76" i="69"/>
  <c r="N76" i="69" s="1"/>
  <c r="R76" i="69" s="1"/>
  <c r="G643" i="62"/>
  <c r="H643" i="62" s="1"/>
  <c r="K643" i="62" s="1"/>
  <c r="J757" i="62"/>
  <c r="H23" i="64"/>
  <c r="I23" i="64" s="1"/>
  <c r="K23" i="64" s="1"/>
  <c r="H39" i="64"/>
  <c r="I39" i="64" s="1"/>
  <c r="K39" i="64" s="1"/>
  <c r="V26" i="68"/>
  <c r="V72" i="68"/>
  <c r="V84" i="68"/>
  <c r="V90" i="68"/>
  <c r="V100" i="68"/>
  <c r="V105" i="68"/>
  <c r="V160" i="68"/>
  <c r="V164" i="68"/>
  <c r="V171" i="68"/>
  <c r="V172" i="68"/>
  <c r="V173" i="68"/>
  <c r="V180" i="68"/>
  <c r="J98" i="69"/>
  <c r="J82" i="69"/>
  <c r="M104" i="69"/>
  <c r="N104" i="69" s="1"/>
  <c r="R104" i="69" s="1"/>
  <c r="M88" i="69"/>
  <c r="N88" i="69" s="1"/>
  <c r="R88" i="69" s="1"/>
  <c r="M72" i="69"/>
  <c r="N72" i="69" s="1"/>
  <c r="R72" i="69" s="1"/>
  <c r="I154" i="69"/>
  <c r="Q841" i="62"/>
  <c r="R841" i="62" s="1"/>
  <c r="S841" i="62" s="1"/>
  <c r="P841" i="62"/>
  <c r="H595" i="62"/>
  <c r="P844" i="62"/>
  <c r="Q844" i="62"/>
  <c r="R844" i="62" s="1"/>
  <c r="S844" i="62" s="1"/>
  <c r="P840" i="62"/>
  <c r="Q840" i="62"/>
  <c r="R840" i="62" s="1"/>
  <c r="S840" i="62" s="1"/>
  <c r="H512" i="62"/>
  <c r="J512" i="62"/>
  <c r="I512" i="62"/>
  <c r="Q846" i="62"/>
  <c r="R846" i="62" s="1"/>
  <c r="S846" i="62" s="1"/>
  <c r="P846" i="62"/>
  <c r="I120" i="67"/>
  <c r="G120" i="67"/>
  <c r="K120" i="67" s="1"/>
  <c r="M133" i="67"/>
  <c r="N133" i="67" s="1"/>
  <c r="O133" i="67" s="1"/>
  <c r="L133" i="67"/>
  <c r="Q839" i="62"/>
  <c r="R839" i="62" s="1"/>
  <c r="S839" i="62" s="1"/>
  <c r="J465" i="62"/>
  <c r="J468" i="62" s="1"/>
  <c r="G645" i="62"/>
  <c r="H645" i="62" s="1"/>
  <c r="K645" i="62" s="1"/>
  <c r="E700" i="62"/>
  <c r="L698" i="62" s="1"/>
  <c r="C133" i="67"/>
  <c r="F133" i="67" s="1"/>
  <c r="P44" i="67"/>
  <c r="O79" i="67"/>
  <c r="N86" i="67"/>
  <c r="O86" i="67" s="1"/>
  <c r="V62" i="68"/>
  <c r="V178" i="68"/>
  <c r="V183" i="68"/>
  <c r="Q30" i="67"/>
  <c r="R30" i="67"/>
  <c r="S30" i="67" s="1"/>
  <c r="T30" i="67" s="1"/>
  <c r="D594" i="62"/>
  <c r="O17" i="67"/>
  <c r="P17" i="67" s="1"/>
  <c r="Q19" i="67"/>
  <c r="R19" i="67"/>
  <c r="S19" i="67" s="1"/>
  <c r="T19" i="67" s="1"/>
  <c r="O25" i="67"/>
  <c r="P25" i="67" s="1"/>
  <c r="L135" i="67"/>
  <c r="G122" i="67"/>
  <c r="K122" i="67" s="1"/>
  <c r="M135" i="67"/>
  <c r="N135" i="67" s="1"/>
  <c r="O135" i="67" s="1"/>
  <c r="V36" i="68"/>
  <c r="V142" i="68"/>
  <c r="J756" i="62"/>
  <c r="I465" i="62"/>
  <c r="I468" i="62" s="1"/>
  <c r="I122" i="67"/>
  <c r="P23" i="67"/>
  <c r="O14" i="67"/>
  <c r="P14" i="67" s="1"/>
  <c r="F96" i="67"/>
  <c r="K96" i="67" s="1"/>
  <c r="C109" i="67"/>
  <c r="F109" i="67" s="1"/>
  <c r="I96" i="67"/>
  <c r="L109" i="67"/>
  <c r="M109" i="67" s="1"/>
  <c r="N109" i="67" s="1"/>
  <c r="O109" i="67" s="1"/>
  <c r="C99" i="67"/>
  <c r="V48" i="68"/>
  <c r="V58" i="68"/>
  <c r="H18" i="64"/>
  <c r="H21" i="64"/>
  <c r="I21" i="64" s="1"/>
  <c r="K21" i="64" s="1"/>
  <c r="G24" i="64"/>
  <c r="H26" i="64"/>
  <c r="I26" i="64" s="1"/>
  <c r="K26" i="64" s="1"/>
  <c r="H29" i="64"/>
  <c r="I29" i="64" s="1"/>
  <c r="K29" i="64" s="1"/>
  <c r="G32" i="64"/>
  <c r="H34" i="64"/>
  <c r="I34" i="64" s="1"/>
  <c r="K34" i="64" s="1"/>
  <c r="H37" i="64"/>
  <c r="I37" i="64" s="1"/>
  <c r="K37" i="64" s="1"/>
  <c r="G40" i="64"/>
  <c r="H42" i="64"/>
  <c r="I42" i="64" s="1"/>
  <c r="K42" i="64" s="1"/>
  <c r="H45" i="64"/>
  <c r="I45" i="64" s="1"/>
  <c r="K45" i="64" s="1"/>
  <c r="V23" i="68"/>
  <c r="V31" i="68"/>
  <c r="V56" i="68"/>
  <c r="V57" i="68"/>
  <c r="V73" i="68"/>
  <c r="V79" i="68"/>
  <c r="V83" i="68"/>
  <c r="V96" i="68"/>
  <c r="V112" i="68"/>
  <c r="V126" i="68"/>
  <c r="V149" i="68"/>
  <c r="G19" i="63"/>
  <c r="H19" i="63" s="1"/>
  <c r="J19" i="63" s="1"/>
  <c r="F26" i="63"/>
  <c r="F16" i="63"/>
  <c r="F20" i="63"/>
  <c r="F21" i="63"/>
  <c r="G22" i="63"/>
  <c r="H22" i="63" s="1"/>
  <c r="J22" i="63" s="1"/>
  <c r="F42" i="63"/>
  <c r="F46" i="63"/>
  <c r="F50" i="63"/>
  <c r="H19" i="64"/>
  <c r="I19" i="64" s="1"/>
  <c r="K19" i="64" s="1"/>
  <c r="G25" i="64"/>
  <c r="H27" i="64"/>
  <c r="I27" i="64" s="1"/>
  <c r="K27" i="64" s="1"/>
  <c r="G33" i="64"/>
  <c r="H35" i="64"/>
  <c r="I35" i="64" s="1"/>
  <c r="K35" i="64" s="1"/>
  <c r="G41" i="64"/>
  <c r="O15" i="67"/>
  <c r="P15" i="67" s="1"/>
  <c r="F79" i="67"/>
  <c r="I95" i="67"/>
  <c r="L108" i="67"/>
  <c r="F95" i="67"/>
  <c r="K95" i="67" s="1"/>
  <c r="C132" i="67"/>
  <c r="F132" i="67" s="1"/>
  <c r="L132" i="67"/>
  <c r="G119" i="67"/>
  <c r="K119" i="67" s="1"/>
  <c r="M132" i="67"/>
  <c r="C124" i="67"/>
  <c r="M134" i="67"/>
  <c r="N134" i="67" s="1"/>
  <c r="O134" i="67" s="1"/>
  <c r="I121" i="67"/>
  <c r="G121" i="67"/>
  <c r="K121" i="67" s="1"/>
  <c r="C134" i="67"/>
  <c r="F134" i="67" s="1"/>
  <c r="V22" i="68"/>
  <c r="V37" i="68"/>
  <c r="V39" i="68"/>
  <c r="V44" i="68"/>
  <c r="V61" i="68"/>
  <c r="V70" i="68"/>
  <c r="V71" i="68"/>
  <c r="V92" i="68"/>
  <c r="V99" i="68"/>
  <c r="G46" i="64"/>
  <c r="H44" i="64"/>
  <c r="I44" i="64" s="1"/>
  <c r="K44" i="64" s="1"/>
  <c r="G42" i="64"/>
  <c r="H40" i="64"/>
  <c r="I40" i="64" s="1"/>
  <c r="K40" i="64" s="1"/>
  <c r="G38" i="64"/>
  <c r="H36" i="64"/>
  <c r="I36" i="64" s="1"/>
  <c r="K36" i="64" s="1"/>
  <c r="G34" i="64"/>
  <c r="H32" i="64"/>
  <c r="I32" i="64" s="1"/>
  <c r="K32" i="64" s="1"/>
  <c r="G30" i="64"/>
  <c r="H28" i="64"/>
  <c r="I28" i="64" s="1"/>
  <c r="K28" i="64" s="1"/>
  <c r="G26" i="64"/>
  <c r="H24" i="64"/>
  <c r="I24" i="64" s="1"/>
  <c r="K24" i="64" s="1"/>
  <c r="G22" i="64"/>
  <c r="H20" i="64"/>
  <c r="I20" i="64" s="1"/>
  <c r="K20" i="64" s="1"/>
  <c r="G18" i="64"/>
  <c r="G47" i="64"/>
  <c r="G43" i="64"/>
  <c r="G39" i="64"/>
  <c r="G35" i="64"/>
  <c r="G31" i="64"/>
  <c r="G27" i="64"/>
  <c r="G23" i="64"/>
  <c r="G19" i="64"/>
  <c r="G20" i="64"/>
  <c r="H22" i="64"/>
  <c r="I22" i="64" s="1"/>
  <c r="K22" i="64" s="1"/>
  <c r="H25" i="64"/>
  <c r="I25" i="64" s="1"/>
  <c r="K25" i="64" s="1"/>
  <c r="G28" i="64"/>
  <c r="H30" i="64"/>
  <c r="I30" i="64" s="1"/>
  <c r="K30" i="64" s="1"/>
  <c r="H33" i="64"/>
  <c r="I33" i="64" s="1"/>
  <c r="K33" i="64" s="1"/>
  <c r="G36" i="64"/>
  <c r="H38" i="64"/>
  <c r="I38" i="64" s="1"/>
  <c r="K38" i="64" s="1"/>
  <c r="H41" i="64"/>
  <c r="I41" i="64" s="1"/>
  <c r="K41" i="64" s="1"/>
  <c r="G44" i="64"/>
  <c r="H46" i="64"/>
  <c r="I46" i="64" s="1"/>
  <c r="K46" i="64" s="1"/>
  <c r="O20" i="67"/>
  <c r="P20" i="67" s="1"/>
  <c r="G79" i="67"/>
  <c r="I68" i="67"/>
  <c r="L86" i="67"/>
  <c r="I98" i="67"/>
  <c r="G123" i="67"/>
  <c r="K123" i="67" s="1"/>
  <c r="V45" i="68"/>
  <c r="V46" i="68"/>
  <c r="V55" i="68"/>
  <c r="V60" i="68"/>
  <c r="V88" i="68"/>
  <c r="V89" i="68"/>
  <c r="V91" i="68"/>
  <c r="V98" i="68"/>
  <c r="V186" i="68"/>
  <c r="V197" i="68"/>
  <c r="V143" i="68"/>
  <c r="V148" i="68"/>
  <c r="V161" i="68"/>
  <c r="V165" i="68"/>
  <c r="V179" i="68"/>
  <c r="V189" i="68"/>
  <c r="V101" i="68"/>
  <c r="V118" i="68"/>
  <c r="V133" i="68"/>
  <c r="V138" i="68"/>
  <c r="V141" i="68"/>
  <c r="V154" i="68"/>
  <c r="V192" i="68"/>
  <c r="M67" i="69"/>
  <c r="M71" i="69"/>
  <c r="N71" i="69" s="1"/>
  <c r="R71" i="69" s="1"/>
  <c r="M75" i="69"/>
  <c r="N75" i="69" s="1"/>
  <c r="R75" i="69" s="1"/>
  <c r="M79" i="69"/>
  <c r="N79" i="69" s="1"/>
  <c r="R79" i="69" s="1"/>
  <c r="M83" i="69"/>
  <c r="N83" i="69" s="1"/>
  <c r="R83" i="69" s="1"/>
  <c r="M87" i="69"/>
  <c r="N87" i="69" s="1"/>
  <c r="R87" i="69" s="1"/>
  <c r="M91" i="69"/>
  <c r="N91" i="69" s="1"/>
  <c r="R91" i="69" s="1"/>
  <c r="M95" i="69"/>
  <c r="N95" i="69" s="1"/>
  <c r="R95" i="69" s="1"/>
  <c r="M99" i="69"/>
  <c r="N99" i="69" s="1"/>
  <c r="R99" i="69" s="1"/>
  <c r="M103" i="69"/>
  <c r="N103" i="69" s="1"/>
  <c r="R103" i="69" s="1"/>
  <c r="J67" i="69"/>
  <c r="J71" i="69"/>
  <c r="J75" i="69"/>
  <c r="J79" i="69"/>
  <c r="J83" i="69"/>
  <c r="J87" i="69"/>
  <c r="J91" i="69"/>
  <c r="J95" i="69"/>
  <c r="J99" i="69"/>
  <c r="J103" i="69"/>
  <c r="G106" i="69"/>
  <c r="M70" i="69"/>
  <c r="N70" i="69" s="1"/>
  <c r="R70" i="69" s="1"/>
  <c r="M74" i="69"/>
  <c r="N74" i="69" s="1"/>
  <c r="R74" i="69" s="1"/>
  <c r="M78" i="69"/>
  <c r="N78" i="69" s="1"/>
  <c r="R78" i="69" s="1"/>
  <c r="M82" i="69"/>
  <c r="N82" i="69" s="1"/>
  <c r="R82" i="69" s="1"/>
  <c r="M86" i="69"/>
  <c r="N86" i="69" s="1"/>
  <c r="R86" i="69" s="1"/>
  <c r="M90" i="69"/>
  <c r="N90" i="69" s="1"/>
  <c r="R90" i="69" s="1"/>
  <c r="M94" i="69"/>
  <c r="N94" i="69" s="1"/>
  <c r="R94" i="69" s="1"/>
  <c r="M98" i="69"/>
  <c r="N98" i="69" s="1"/>
  <c r="R98" i="69" s="1"/>
  <c r="M102" i="69"/>
  <c r="N102" i="69" s="1"/>
  <c r="R102" i="69" s="1"/>
  <c r="J68" i="69"/>
  <c r="J72" i="69"/>
  <c r="J76" i="69"/>
  <c r="J80" i="69"/>
  <c r="J84" i="69"/>
  <c r="J88" i="69"/>
  <c r="J92" i="69"/>
  <c r="J96" i="69"/>
  <c r="J100" i="69"/>
  <c r="J104" i="69"/>
  <c r="M69" i="69"/>
  <c r="N69" i="69" s="1"/>
  <c r="R69" i="69" s="1"/>
  <c r="M73" i="69"/>
  <c r="N73" i="69" s="1"/>
  <c r="R73" i="69" s="1"/>
  <c r="M77" i="69"/>
  <c r="N77" i="69" s="1"/>
  <c r="R77" i="69" s="1"/>
  <c r="M81" i="69"/>
  <c r="N81" i="69" s="1"/>
  <c r="R81" i="69" s="1"/>
  <c r="M85" i="69"/>
  <c r="N85" i="69" s="1"/>
  <c r="R85" i="69" s="1"/>
  <c r="M89" i="69"/>
  <c r="N89" i="69" s="1"/>
  <c r="R89" i="69" s="1"/>
  <c r="M93" i="69"/>
  <c r="N93" i="69" s="1"/>
  <c r="R93" i="69" s="1"/>
  <c r="M97" i="69"/>
  <c r="N97" i="69" s="1"/>
  <c r="R97" i="69" s="1"/>
  <c r="M101" i="69"/>
  <c r="N101" i="69" s="1"/>
  <c r="R101" i="69" s="1"/>
  <c r="M105" i="69"/>
  <c r="N105" i="69" s="1"/>
  <c r="R105" i="69" s="1"/>
  <c r="J69" i="69"/>
  <c r="J73" i="69"/>
  <c r="J77" i="69"/>
  <c r="J81" i="69"/>
  <c r="J85" i="69"/>
  <c r="J89" i="69"/>
  <c r="J93" i="69"/>
  <c r="J97" i="69"/>
  <c r="J101" i="69"/>
  <c r="J105" i="69"/>
  <c r="K155" i="69"/>
  <c r="J41" i="69" l="1"/>
  <c r="R37" i="67"/>
  <c r="S37" i="67" s="1"/>
  <c r="T37" i="67" s="1"/>
  <c r="P31" i="67"/>
  <c r="R31" i="67" s="1"/>
  <c r="S31" i="67" s="1"/>
  <c r="T31" i="67" s="1"/>
  <c r="J25" i="69"/>
  <c r="J49" i="69"/>
  <c r="M33" i="69"/>
  <c r="N33" i="69" s="1"/>
  <c r="R33" i="69" s="1"/>
  <c r="R21" i="67"/>
  <c r="S21" i="67" s="1"/>
  <c r="T21" i="67" s="1"/>
  <c r="H106" i="67"/>
  <c r="I106" i="67" s="1"/>
  <c r="J106" i="67" s="1"/>
  <c r="M19" i="69"/>
  <c r="N19" i="69" s="1"/>
  <c r="M53" i="69"/>
  <c r="N53" i="69" s="1"/>
  <c r="L112" i="67"/>
  <c r="M31" i="69"/>
  <c r="N31" i="69" s="1"/>
  <c r="R31" i="69" s="1"/>
  <c r="J22" i="69"/>
  <c r="J30" i="69"/>
  <c r="K25" i="69"/>
  <c r="M28" i="69"/>
  <c r="N28" i="69" s="1"/>
  <c r="R28" i="69" s="1"/>
  <c r="M44" i="69"/>
  <c r="N44" i="69" s="1"/>
  <c r="M48" i="69"/>
  <c r="N48" i="69" s="1"/>
  <c r="J35" i="69"/>
  <c r="M42" i="69"/>
  <c r="N42" i="69" s="1"/>
  <c r="J47" i="69"/>
  <c r="J28" i="69"/>
  <c r="M38" i="69"/>
  <c r="N38" i="69" s="1"/>
  <c r="R38" i="69" s="1"/>
  <c r="H107" i="67"/>
  <c r="I107" i="67" s="1"/>
  <c r="J107" i="67" s="1"/>
  <c r="Q16" i="67"/>
  <c r="J45" i="69"/>
  <c r="J51" i="69"/>
  <c r="J44" i="69"/>
  <c r="M34" i="69"/>
  <c r="N34" i="69" s="1"/>
  <c r="R34" i="69" s="1"/>
  <c r="K38" i="69"/>
  <c r="M35" i="69"/>
  <c r="N35" i="69" s="1"/>
  <c r="R35" i="69" s="1"/>
  <c r="I110" i="67"/>
  <c r="J110" i="67" s="1"/>
  <c r="M54" i="69"/>
  <c r="N54" i="69" s="1"/>
  <c r="J46" i="69"/>
  <c r="K22" i="69"/>
  <c r="M51" i="69"/>
  <c r="N51" i="69" s="1"/>
  <c r="M50" i="69"/>
  <c r="N50" i="69" s="1"/>
  <c r="J54" i="69"/>
  <c r="J19" i="69"/>
  <c r="J20" i="69"/>
  <c r="M46" i="69"/>
  <c r="N46" i="69" s="1"/>
  <c r="K47" i="69"/>
  <c r="J29" i="69"/>
  <c r="J55" i="69"/>
  <c r="J48" i="69"/>
  <c r="M17" i="69"/>
  <c r="N17" i="69" s="1"/>
  <c r="K34" i="69"/>
  <c r="K37" i="69"/>
  <c r="K48" i="69"/>
  <c r="H136" i="67"/>
  <c r="I136" i="67" s="1"/>
  <c r="K33" i="69"/>
  <c r="K30" i="69"/>
  <c r="J52" i="69"/>
  <c r="K46" i="69"/>
  <c r="K54" i="69"/>
  <c r="K44" i="69"/>
  <c r="K53" i="69"/>
  <c r="M25" i="69"/>
  <c r="N25" i="69" s="1"/>
  <c r="R25" i="69" s="1"/>
  <c r="K23" i="69"/>
  <c r="M52" i="69"/>
  <c r="N52" i="69" s="1"/>
  <c r="J38" i="69"/>
  <c r="M47" i="69"/>
  <c r="N47" i="69" s="1"/>
  <c r="G53" i="63"/>
  <c r="M41" i="69"/>
  <c r="N41" i="69" s="1"/>
  <c r="M21" i="69"/>
  <c r="N21" i="69" s="1"/>
  <c r="R21" i="69" s="1"/>
  <c r="K50" i="69"/>
  <c r="J24" i="69"/>
  <c r="F86" i="67"/>
  <c r="K52" i="69"/>
  <c r="K27" i="69"/>
  <c r="K41" i="69"/>
  <c r="K26" i="69"/>
  <c r="K29" i="69"/>
  <c r="J758" i="62"/>
  <c r="J759" i="62" s="1"/>
  <c r="M37" i="69"/>
  <c r="N37" i="69" s="1"/>
  <c r="R37" i="69" s="1"/>
  <c r="J17" i="69"/>
  <c r="L338" i="62"/>
  <c r="J34" i="69"/>
  <c r="J42" i="69"/>
  <c r="M23" i="69"/>
  <c r="N23" i="69" s="1"/>
  <c r="K49" i="69"/>
  <c r="M26" i="69"/>
  <c r="N26" i="69" s="1"/>
  <c r="R26" i="69" s="1"/>
  <c r="K39" i="69"/>
  <c r="M18" i="69"/>
  <c r="N18" i="69" s="1"/>
  <c r="R18" i="69" s="1"/>
  <c r="M27" i="69"/>
  <c r="N27" i="69" s="1"/>
  <c r="K45" i="69"/>
  <c r="M22" i="69"/>
  <c r="N22" i="69" s="1"/>
  <c r="K35" i="69"/>
  <c r="J39" i="69"/>
  <c r="M39" i="69"/>
  <c r="N39" i="69" s="1"/>
  <c r="M20" i="69"/>
  <c r="N20" i="69" s="1"/>
  <c r="J43" i="69"/>
  <c r="M43" i="69"/>
  <c r="N43" i="69" s="1"/>
  <c r="M24" i="69"/>
  <c r="N24" i="69" s="1"/>
  <c r="R24" i="69" s="1"/>
  <c r="M29" i="69"/>
  <c r="N29" i="69" s="1"/>
  <c r="M45" i="69"/>
  <c r="N45" i="69" s="1"/>
  <c r="J26" i="69"/>
  <c r="M49" i="69"/>
  <c r="N49" i="69" s="1"/>
  <c r="K40" i="69"/>
  <c r="M55" i="69"/>
  <c r="N55" i="69" s="1"/>
  <c r="K20" i="69"/>
  <c r="M30" i="69"/>
  <c r="N30" i="69" s="1"/>
  <c r="K55" i="69"/>
  <c r="J33" i="69"/>
  <c r="J18" i="69"/>
  <c r="J32" i="69"/>
  <c r="K31" i="69"/>
  <c r="K42" i="69"/>
  <c r="J50" i="69"/>
  <c r="J21" i="69"/>
  <c r="J23" i="69"/>
  <c r="M32" i="69"/>
  <c r="N32" i="69" s="1"/>
  <c r="R32" i="69" s="1"/>
  <c r="J27" i="69"/>
  <c r="K19" i="69"/>
  <c r="J36" i="69"/>
  <c r="M36" i="69"/>
  <c r="N36" i="69" s="1"/>
  <c r="R36" i="69" s="1"/>
  <c r="K21" i="69"/>
  <c r="K36" i="69"/>
  <c r="K51" i="69"/>
  <c r="J53" i="69"/>
  <c r="K24" i="69"/>
  <c r="J31" i="69"/>
  <c r="K18" i="69"/>
  <c r="J40" i="69"/>
  <c r="M40" i="69"/>
  <c r="N40" i="69" s="1"/>
  <c r="K32" i="69"/>
  <c r="K43" i="69"/>
  <c r="K108" i="66"/>
  <c r="G108" i="66"/>
  <c r="J53" i="63"/>
  <c r="Q24" i="67"/>
  <c r="Q845" i="62"/>
  <c r="R845" i="62" s="1"/>
  <c r="S845" i="62" s="1"/>
  <c r="P845" i="62"/>
  <c r="H108" i="66"/>
  <c r="C112" i="67"/>
  <c r="M338" i="62"/>
  <c r="H53" i="63"/>
  <c r="I108" i="66"/>
  <c r="F703" i="62"/>
  <c r="K703" i="62" s="1"/>
  <c r="L703" i="62" s="1"/>
  <c r="F699" i="62"/>
  <c r="K699" i="62" s="1"/>
  <c r="L699" i="62" s="1"/>
  <c r="Q18" i="67"/>
  <c r="R18" i="67"/>
  <c r="S18" i="67" s="1"/>
  <c r="T18" i="67" s="1"/>
  <c r="M137" i="67"/>
  <c r="K99" i="67"/>
  <c r="K124" i="67"/>
  <c r="M108" i="67"/>
  <c r="N108" i="67" s="1"/>
  <c r="O108" i="67" s="1"/>
  <c r="R14" i="67"/>
  <c r="S14" i="67" s="1"/>
  <c r="T14" i="67" s="1"/>
  <c r="Q14" i="67"/>
  <c r="Q15" i="67"/>
  <c r="R15" i="67"/>
  <c r="S15" i="67" s="1"/>
  <c r="T15" i="67" s="1"/>
  <c r="Q25" i="67"/>
  <c r="R25" i="67"/>
  <c r="S25" i="67" s="1"/>
  <c r="T25" i="67" s="1"/>
  <c r="H134" i="67"/>
  <c r="I134" i="67" s="1"/>
  <c r="G134" i="67"/>
  <c r="I18" i="64"/>
  <c r="H48" i="64"/>
  <c r="H109" i="67"/>
  <c r="G109" i="67"/>
  <c r="G58" i="66"/>
  <c r="J106" i="69"/>
  <c r="K67" i="69" s="1"/>
  <c r="K28" i="69" s="1"/>
  <c r="N132" i="67"/>
  <c r="G108" i="67"/>
  <c r="H108" i="67"/>
  <c r="I108" i="67" s="1"/>
  <c r="J108" i="67" s="1"/>
  <c r="I99" i="67"/>
  <c r="I124" i="67"/>
  <c r="F53" i="63"/>
  <c r="F27" i="63"/>
  <c r="F700" i="62"/>
  <c r="G133" i="67"/>
  <c r="H133" i="67"/>
  <c r="I133" i="67" s="1"/>
  <c r="H27" i="63"/>
  <c r="F702" i="62"/>
  <c r="F701" i="62"/>
  <c r="R20" i="67"/>
  <c r="S20" i="67" s="1"/>
  <c r="T20" i="67" s="1"/>
  <c r="Q20" i="67"/>
  <c r="Q17" i="67"/>
  <c r="R17" i="67"/>
  <c r="S17" i="67" s="1"/>
  <c r="T17" i="67" s="1"/>
  <c r="O106" i="67"/>
  <c r="J27" i="63"/>
  <c r="K156" i="69"/>
  <c r="K157" i="69" s="1"/>
  <c r="N67" i="69"/>
  <c r="M106" i="69"/>
  <c r="G48" i="64"/>
  <c r="C137" i="67"/>
  <c r="R23" i="67"/>
  <c r="S23" i="67" s="1"/>
  <c r="T23" i="67" s="1"/>
  <c r="Q23" i="67"/>
  <c r="H111" i="67"/>
  <c r="I111" i="67" s="1"/>
  <c r="J111" i="67" s="1"/>
  <c r="G111" i="67"/>
  <c r="G27" i="63"/>
  <c r="R44" i="67"/>
  <c r="S44" i="67" s="1"/>
  <c r="T44" i="67" s="1"/>
  <c r="Q44" i="67"/>
  <c r="H79" i="67"/>
  <c r="H86" i="67" s="1"/>
  <c r="L137" i="67"/>
  <c r="H132" i="67"/>
  <c r="G135" i="67"/>
  <c r="H135" i="67"/>
  <c r="I135" i="67" s="1"/>
  <c r="N468" i="62"/>
  <c r="H58" i="66"/>
  <c r="Q31" i="67" l="1"/>
  <c r="N112" i="67"/>
  <c r="O112" i="67" s="1"/>
  <c r="M112" i="67"/>
  <c r="M56" i="69"/>
  <c r="J56" i="69"/>
  <c r="K56" i="69" s="1"/>
  <c r="K17" i="69" s="1"/>
  <c r="G703" i="62"/>
  <c r="G699" i="62"/>
  <c r="H137" i="67"/>
  <c r="I132" i="67"/>
  <c r="I137" i="67" s="1"/>
  <c r="G112" i="67"/>
  <c r="G137" i="67"/>
  <c r="H112" i="67"/>
  <c r="G701" i="62"/>
  <c r="K701" i="62" s="1"/>
  <c r="L701" i="62" s="1"/>
  <c r="I79" i="67"/>
  <c r="R67" i="69"/>
  <c r="R106" i="69" s="1"/>
  <c r="N106" i="69"/>
  <c r="K702" i="62"/>
  <c r="L702" i="62" s="1"/>
  <c r="G702" i="62"/>
  <c r="I109" i="67"/>
  <c r="J109" i="67" s="1"/>
  <c r="K58" i="66"/>
  <c r="I58" i="66"/>
  <c r="G700" i="62"/>
  <c r="K700" i="62"/>
  <c r="L700" i="62" s="1"/>
  <c r="N56" i="69"/>
  <c r="R17" i="69"/>
  <c r="O132" i="67"/>
  <c r="N137" i="67"/>
  <c r="O137" i="67" s="1"/>
  <c r="F691" i="62"/>
  <c r="D694" i="62" s="1"/>
  <c r="K18" i="64"/>
  <c r="K48" i="64" s="1"/>
  <c r="I48" i="64"/>
  <c r="I112" i="67" l="1"/>
  <c r="J112" i="67" s="1"/>
  <c r="I691" i="62"/>
  <c r="G694" i="62" s="1"/>
  <c r="E694" i="62" s="1"/>
  <c r="K698" i="62"/>
  <c r="E691" i="62" s="1"/>
  <c r="C691" i="62" s="1"/>
  <c r="O39" i="69"/>
  <c r="R39" i="69" s="1"/>
  <c r="O41" i="69"/>
  <c r="R41" i="69" s="1"/>
  <c r="O43" i="69"/>
  <c r="R43" i="69" s="1"/>
  <c r="O45" i="69"/>
  <c r="R45" i="69" s="1"/>
  <c r="O47" i="69"/>
  <c r="R47" i="69" s="1"/>
  <c r="O49" i="69"/>
  <c r="R49" i="69" s="1"/>
  <c r="O51" i="69"/>
  <c r="R51" i="69" s="1"/>
  <c r="O53" i="69"/>
  <c r="R53" i="69" s="1"/>
  <c r="O55" i="69"/>
  <c r="R55" i="69" s="1"/>
  <c r="O26" i="69"/>
  <c r="O25" i="69"/>
  <c r="O24" i="69"/>
  <c r="O18" i="69"/>
  <c r="O17" i="69"/>
  <c r="O28" i="69"/>
  <c r="O29" i="69"/>
  <c r="R29" i="69" s="1"/>
  <c r="O32" i="69"/>
  <c r="O36" i="69"/>
  <c r="O50" i="69"/>
  <c r="R50" i="69" s="1"/>
  <c r="O42" i="69"/>
  <c r="R42" i="69" s="1"/>
  <c r="O27" i="69"/>
  <c r="R27" i="69" s="1"/>
  <c r="O38" i="69"/>
  <c r="O54" i="69"/>
  <c r="R54" i="69" s="1"/>
  <c r="O19" i="69"/>
  <c r="R19" i="69" s="1"/>
  <c r="O33" i="69"/>
  <c r="O37" i="69"/>
  <c r="O22" i="69"/>
  <c r="R22" i="69" s="1"/>
  <c r="O48" i="69"/>
  <c r="R48" i="69" s="1"/>
  <c r="O40" i="69"/>
  <c r="R40" i="69" s="1"/>
  <c r="O34" i="69"/>
  <c r="O30" i="69"/>
  <c r="R30" i="69" s="1"/>
  <c r="O23" i="69"/>
  <c r="R23" i="69" s="1"/>
  <c r="O31" i="69"/>
  <c r="O35" i="69"/>
  <c r="O21" i="69"/>
  <c r="O52" i="69"/>
  <c r="R52" i="69" s="1"/>
  <c r="O44" i="69"/>
  <c r="R44" i="69" s="1"/>
  <c r="O20" i="69"/>
  <c r="R20" i="69" s="1"/>
  <c r="O46" i="69"/>
  <c r="R46" i="69" s="1"/>
  <c r="C696" i="62"/>
  <c r="D696" i="62"/>
  <c r="I694" i="62"/>
  <c r="H694" i="62"/>
  <c r="C694" i="62"/>
  <c r="J79" i="67"/>
  <c r="G86" i="67" s="1"/>
  <c r="I86" i="67"/>
  <c r="J86" i="67" s="1"/>
  <c r="R56" i="69" l="1"/>
  <c r="K694" i="62"/>
  <c r="E696" i="62"/>
  <c r="J696" i="62"/>
  <c r="H696" i="62" l="1"/>
  <c r="G696" i="62"/>
  <c r="K696" i="6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<sst xmlns="http://schemas.openxmlformats.org/spreadsheetml/2006/main" count="30877" uniqueCount="17894">
  <si>
    <t>Cuisson &gt;</t>
  </si>
  <si>
    <t>Préparation &gt;</t>
  </si>
  <si>
    <t>.</t>
  </si>
  <si>
    <t>si vous n'utilisez pas toutes les lignes vous pouvez masquer cette valeur par une couleur de police BLANC</t>
  </si>
  <si>
    <t xml:space="preserve">les valeurs #DIV/0!  indiquent seulement que les recettes sont "vierges" sur la feuille de saisie </t>
  </si>
  <si>
    <t>Lien internet</t>
  </si>
  <si>
    <t>❻</t>
  </si>
  <si>
    <t>Adresse PC</t>
  </si>
  <si>
    <t>Adaptation : Joël Leboucher..UPRT "Union des Personnels de la Restauration Territoriale"  membre du réseau RESTAU'CO</t>
  </si>
  <si>
    <t>http://www.cuisinealafrancaise.com/fr/2-poids-et-mesures</t>
  </si>
  <si>
    <t>0,125 kg</t>
  </si>
  <si>
    <t>1,25 dl</t>
  </si>
  <si>
    <t>12, 5 c</t>
  </si>
  <si>
    <t>1/8 litre</t>
  </si>
  <si>
    <t>Mise à jour</t>
  </si>
  <si>
    <t>0,250 kg</t>
  </si>
  <si>
    <t>2,5 dl</t>
  </si>
  <si>
    <t>25 cl</t>
  </si>
  <si>
    <t>1/4 litre</t>
  </si>
  <si>
    <t>%</t>
  </si>
  <si>
    <t>Total</t>
  </si>
  <si>
    <t>3 cl = 30g = 0.03kg    /    30 cl = 300g = 0.3kg     /     3 dl = 300g = 0.3 kg</t>
  </si>
  <si>
    <t>0,500 kg</t>
  </si>
  <si>
    <t>5 dl</t>
  </si>
  <si>
    <t>50 cl</t>
  </si>
  <si>
    <t>1/2 litre</t>
  </si>
  <si>
    <t xml:space="preserve">Aide mémoire sur la base eau : 1L = 1Kg - 1 gr = 0.001Kg  &gt; 2 zéros après la virgule du Kg </t>
  </si>
  <si>
    <t>1 kg</t>
  </si>
  <si>
    <t>10 dl</t>
  </si>
  <si>
    <t>100 cl</t>
  </si>
  <si>
    <t>1litre</t>
  </si>
  <si>
    <t>ml</t>
  </si>
  <si>
    <t>cl</t>
  </si>
  <si>
    <t>dl</t>
  </si>
  <si>
    <t>L</t>
  </si>
  <si>
    <t xml:space="preserve">Kilogrammes (kg.) </t>
  </si>
  <si>
    <t xml:space="preserve">Décilitres (dl.) </t>
  </si>
  <si>
    <t xml:space="preserve">Centilitres (cl.) </t>
  </si>
  <si>
    <t xml:space="preserve">Litres (l.) </t>
  </si>
  <si>
    <t>gr</t>
  </si>
  <si>
    <t>dag</t>
  </si>
  <si>
    <t>hg</t>
  </si>
  <si>
    <t>,</t>
  </si>
  <si>
    <t>Kg</t>
  </si>
  <si>
    <t xml:space="preserve">sur la base eau : 1L = 1Kg </t>
  </si>
  <si>
    <t>Net cuit</t>
  </si>
  <si>
    <t>Poids brut à mettre en œuvre</t>
  </si>
  <si>
    <t>Poids net</t>
  </si>
  <si>
    <t>%  de perte</t>
  </si>
  <si>
    <t xml:space="preserve"> Poids de perte</t>
  </si>
  <si>
    <t>%  de PERTE</t>
  </si>
  <si>
    <t>POIDS de PERTE</t>
  </si>
  <si>
    <t>POIDS NET</t>
  </si>
  <si>
    <t>POIDS BRUT</t>
  </si>
  <si>
    <t>Poids brut</t>
  </si>
  <si>
    <t>Pourcentages NET / BRUT et BRUT / NET</t>
  </si>
  <si>
    <t>Aide à la décision en Gr</t>
  </si>
  <si>
    <t>pommes</t>
  </si>
  <si>
    <t>Quoi</t>
  </si>
  <si>
    <t>Unités</t>
  </si>
  <si>
    <t>Poids Unitaire</t>
  </si>
  <si>
    <t>Poids</t>
  </si>
  <si>
    <t>PHASES ESSENTIELLES  DE PROGRESSION</t>
  </si>
  <si>
    <t>Poids en Gr</t>
  </si>
  <si>
    <t>?</t>
  </si>
  <si>
    <t>N°1</t>
  </si>
  <si>
    <t>❶</t>
  </si>
  <si>
    <t>ICI</t>
  </si>
  <si>
    <t>œufs</t>
  </si>
  <si>
    <t>poids de perte</t>
  </si>
  <si>
    <t>pour</t>
  </si>
  <si>
    <t>Cuisiniers : PESEZ …..Evitez les volumes , n'utilisez que les poids comme les pâtissiers</t>
  </si>
  <si>
    <t>Les cuisiniers "sont des artistes"……..ce qui ne doit pas les empêcher … d'UTILISEZ UNE BALANCE…...les résultats seront plus réguliers</t>
  </si>
  <si>
    <t>Cuisiniers : PESEZ …..même le sel…..on ne sale pas 50L de sauce à la "chichette" au "pif" ou à l'expérience</t>
  </si>
  <si>
    <t xml:space="preserve"> la sauce crémée ne se sale pas comme la sauce tomatée etc…….</t>
  </si>
  <si>
    <t>Les unités pifométriques</t>
  </si>
  <si>
    <t>ATTENTION : les saisies des poids unitaires se font en gramme</t>
  </si>
  <si>
    <t>❹ ingrédients</t>
  </si>
  <si>
    <t>quelques numérotation pour les process</t>
  </si>
  <si>
    <t>pour 1.050Kg  saisissez 1050 la cellule est formatée pour ajouter g</t>
  </si>
  <si>
    <t>bœuf</t>
  </si>
  <si>
    <t>❷</t>
  </si>
  <si>
    <t>Vous pouvez coller ces formes dans vos fiches</t>
  </si>
  <si>
    <t>veau</t>
  </si>
  <si>
    <t>❸</t>
  </si>
  <si>
    <t>❹</t>
  </si>
  <si>
    <t>le poids UNITAIRE pour les RECETTES AU POIDS est indispensable</t>
  </si>
  <si>
    <t>❺</t>
  </si>
  <si>
    <t>(pas le poids des 2 œufs "100g" mais le poids d'UN œuf de 50g par exemple)</t>
  </si>
  <si>
    <t>❼</t>
  </si>
  <si>
    <t>❽</t>
  </si>
  <si>
    <t>Œufs de 50 g</t>
  </si>
  <si>
    <t>❾</t>
  </si>
  <si>
    <t xml:space="preserve">saisir QUOI pour les œufs n'est pas obligatoire </t>
  </si>
  <si>
    <t>❿</t>
  </si>
  <si>
    <t>mais pour une pincée d'épices…une cuillère à café….une brindille c'est indispensable</t>
  </si>
  <si>
    <t>⓫</t>
  </si>
  <si>
    <t>⓬</t>
  </si>
  <si>
    <t>Recettes à la PORTION</t>
  </si>
  <si>
    <t>⓭</t>
  </si>
  <si>
    <t>pour les recettes à la portion vous avez la possibilité de ne pas ajouter le poids unitaire de certains ingrédients</t>
  </si>
  <si>
    <t>⓮</t>
  </si>
  <si>
    <t xml:space="preserve">si vous saisissez 2 œufs c'est possible; mais pas dans la même colonne cela fausserait le poids total </t>
  </si>
  <si>
    <t>⓯</t>
  </si>
  <si>
    <t>Excel calculera 2 comme 2 Kg</t>
  </si>
  <si>
    <t>⓰</t>
  </si>
  <si>
    <t>donc pour les produits à l'unité saisissez vos valeurs dans la première colonne</t>
  </si>
  <si>
    <t>⓱</t>
  </si>
  <si>
    <t>⓲</t>
  </si>
  <si>
    <t>⓳</t>
  </si>
  <si>
    <t>⓴</t>
  </si>
  <si>
    <t>C/C</t>
  </si>
  <si>
    <t>vinaigre</t>
  </si>
  <si>
    <t>pincée</t>
  </si>
  <si>
    <t>paprika</t>
  </si>
  <si>
    <t>branche</t>
  </si>
  <si>
    <t>laurier</t>
  </si>
  <si>
    <t xml:space="preserve">symbole diamètre </t>
  </si>
  <si>
    <t>pied</t>
  </si>
  <si>
    <t>pied de veau</t>
  </si>
  <si>
    <t xml:space="preserve"> Ø</t>
  </si>
  <si>
    <t>les ¼ de botte de fines herbes en 0,25 les demi = 0.5 les 3/4 = 0.75</t>
  </si>
  <si>
    <t>cuillère/Café</t>
  </si>
  <si>
    <t xml:space="preserve"> idem pour les feuilles de gélatine les pieds de veau -les feuilles de basilic etc….</t>
  </si>
  <si>
    <t>C/P</t>
  </si>
  <si>
    <t>cuillère/Potage</t>
  </si>
  <si>
    <t>feuilles</t>
  </si>
  <si>
    <t>gélatine</t>
  </si>
  <si>
    <t>botte</t>
  </si>
  <si>
    <t>fines herbes</t>
  </si>
  <si>
    <t>Avant de saisir quoi que ce soit dans une cellule cliquez dessus pour vérifier qu'il n'y ait pas de formule</t>
  </si>
  <si>
    <t xml:space="preserve"> Nb de portions Si vous estimez que les grammages sont trop ou pas assez copieux pour vos convives : modifiez les sur ces tableaux les modifications se feront sur le tableau à imprimer</t>
  </si>
  <si>
    <t xml:space="preserve">Convertissez tout de suite les volumes en poids sur la base de 1L = 1Kg </t>
  </si>
  <si>
    <t>5 cl = 50g</t>
  </si>
  <si>
    <t xml:space="preserve">sauf cas exeptionnel pour recettes de précision </t>
  </si>
  <si>
    <t>Pas assez copieux : diminuez le nombre de portions cela augmentera les grammages à la portion sur le tableau à imprimer</t>
  </si>
  <si>
    <t>Donc la masse d'un litre de lait demi-écrémé doit être de 1,015 Kg (1015 g).</t>
  </si>
  <si>
    <t>Pour imprimer : sélectionnez les recettes qui vous conviennent : définir la zone d'impression -Mise à l'échelle : Ajuster la feuille à 1 page</t>
  </si>
  <si>
    <t>l'huile = 0,920 Kg/L</t>
  </si>
  <si>
    <t>Trop copieux : augmentez le nombre de portions cela diminuera les grammages à la portion sur le tableau à imprimer</t>
  </si>
  <si>
    <t>Alcool = 0,800 Kg/L</t>
  </si>
  <si>
    <t>eau salée nature = 1,130 Kg/L en fonction du sel ajouté</t>
  </si>
  <si>
    <t>densité des liquides pour cocktails</t>
  </si>
  <si>
    <t>Poids des aliments sur internet</t>
  </si>
  <si>
    <t>http://www.aliments.org/poids.htm</t>
  </si>
  <si>
    <t>http://www.nubel.be/fra/manual/liste_des_denrees_alimentaires.asp</t>
  </si>
  <si>
    <t>Tableau des calibres Fruits Frais</t>
  </si>
  <si>
    <t>http://www.crenoexpert.fr/flipbooks/expproduit/TABLEAUX-CALIBRES-FRUITS-2.pdf</t>
  </si>
  <si>
    <t>LIAISON AU TAPIOCA</t>
  </si>
  <si>
    <t>Saisissez votre volume</t>
  </si>
  <si>
    <t>POUR 1 LITRE DE SAUCE TERMINÉE</t>
  </si>
  <si>
    <t>30 gr</t>
  </si>
  <si>
    <t xml:space="preserve">pour lier 1L de soupe à l'oignon </t>
  </si>
  <si>
    <t xml:space="preserve">pour lier 200g de chair à saucisse pour tomates farcies </t>
  </si>
  <si>
    <t xml:space="preserve">pour lier 1Kg de tomates concassées avec jus </t>
  </si>
  <si>
    <t>40 gr</t>
  </si>
  <si>
    <t>pour quiche avec 2 œufs</t>
  </si>
  <si>
    <t>50 gr</t>
  </si>
  <si>
    <t>sauce bien liée épaisse</t>
  </si>
  <si>
    <t>SERVICE DES SAUCES</t>
  </si>
  <si>
    <t>Plat mode de cuisson</t>
  </si>
  <si>
    <t>Grammages sauce p.p.</t>
  </si>
  <si>
    <t>1 Kg pour :</t>
  </si>
  <si>
    <t>60 gr</t>
  </si>
  <si>
    <t>plus 8 œufs pour crème patissière</t>
  </si>
  <si>
    <t>un velouté ou une sauce veloutée</t>
  </si>
  <si>
    <t>Sans sauce</t>
  </si>
  <si>
    <t>grillé,frit,nature</t>
  </si>
  <si>
    <t>70/80 gr</t>
  </si>
  <si>
    <t>béchamelle gluante, solidification à froid, donc épaississement important lors de la chute en température</t>
  </si>
  <si>
    <t>Déglaçage</t>
  </si>
  <si>
    <t>roti,poélé</t>
  </si>
  <si>
    <t>20/30 g</t>
  </si>
  <si>
    <t>33 à 50 p.</t>
  </si>
  <si>
    <t>Sauce courte</t>
  </si>
  <si>
    <t>pièces sautées</t>
  </si>
  <si>
    <t>40/50 g</t>
  </si>
  <si>
    <t>20 à 25 p.</t>
  </si>
  <si>
    <t>90 gr</t>
  </si>
  <si>
    <t>pour lier 1L de lait pour gratin d'épinards avec 4 œufs et 120g de gruyère</t>
  </si>
  <si>
    <t>Sauce longue</t>
  </si>
  <si>
    <t>ragoûts,braisés</t>
  </si>
  <si>
    <t>60/80 g</t>
  </si>
  <si>
    <t>12 à 16 p.</t>
  </si>
  <si>
    <t>Bouillon</t>
  </si>
  <si>
    <t>pochés,plats complets</t>
  </si>
  <si>
    <t>90/150 g</t>
  </si>
  <si>
    <t>6 à 11 p.</t>
  </si>
  <si>
    <t>PURÉE DÉSHYDRATÉE</t>
  </si>
  <si>
    <t>Grammages nets</t>
  </si>
  <si>
    <t xml:space="preserve">Quantité Totale </t>
  </si>
  <si>
    <t>Purée déshydratée</t>
  </si>
  <si>
    <t>Eau</t>
  </si>
  <si>
    <t>Lait déshydraté</t>
  </si>
  <si>
    <t>Lait frais</t>
  </si>
  <si>
    <t>Crème fraiche</t>
  </si>
  <si>
    <t>Beurre</t>
  </si>
  <si>
    <t>Poids reconstitué</t>
  </si>
  <si>
    <t>Maternelles</t>
  </si>
  <si>
    <t>Primaires</t>
  </si>
  <si>
    <t xml:space="preserve">Adultes </t>
  </si>
  <si>
    <t>Adultes +</t>
  </si>
  <si>
    <t>Poids à l'arrondi supérieur</t>
  </si>
  <si>
    <t xml:space="preserve"> Effectifs</t>
  </si>
  <si>
    <t>Parts Adultes</t>
  </si>
  <si>
    <t>Saisissez vos valeurs dans les cellules fond ivoire ou jaune</t>
  </si>
  <si>
    <t>Combien faut-il commander pour des effectifs et des grammages différents</t>
  </si>
  <si>
    <t>Petit utilitaire d'Aide à la décision</t>
  </si>
  <si>
    <t xml:space="preserve">Saisissez vos effectifs </t>
  </si>
  <si>
    <t>couverts</t>
  </si>
  <si>
    <t xml:space="preserve"> et vos grammages nets à servir</t>
  </si>
  <si>
    <t>% de perte</t>
  </si>
  <si>
    <t>@</t>
  </si>
  <si>
    <t>Familles de convives</t>
  </si>
  <si>
    <t>Mater</t>
  </si>
  <si>
    <t>Prim</t>
  </si>
  <si>
    <t>Adultes</t>
  </si>
  <si>
    <t>Quantités à Prévoir</t>
  </si>
  <si>
    <t>Net à servir :</t>
  </si>
  <si>
    <t>Net</t>
  </si>
  <si>
    <t>Brut à Commander</t>
  </si>
  <si>
    <t>Brut</t>
  </si>
  <si>
    <t>en moyenne par convive</t>
  </si>
  <si>
    <t>Facultatif Mais si vous saisissez un % la question à vous poser c'est : le produit brut ou cru perd comblien au parage ou en cuisson</t>
  </si>
  <si>
    <t>Vous obtiendrez le poids brut à commander</t>
  </si>
  <si>
    <t>j'ai volontairement ajouté cette colonne..si vous supprimez une ligne le tableau fonctionnera quand même</t>
  </si>
  <si>
    <t>Composition d'une garniture "COUSCOUS"</t>
  </si>
  <si>
    <t>POIDS NET A FABRIQUER</t>
  </si>
  <si>
    <t>perte en cuisson</t>
  </si>
  <si>
    <t>carottes coupées</t>
  </si>
  <si>
    <t>courgettescoupées</t>
  </si>
  <si>
    <t>navets coupé</t>
  </si>
  <si>
    <t>pois chiches pré-cuits</t>
  </si>
  <si>
    <t>garniture de céléri branche</t>
  </si>
  <si>
    <t>poivrons rouges coupés</t>
  </si>
  <si>
    <t>poivrons verts coupés</t>
  </si>
  <si>
    <t>COMPOSITION ET SERVICE D'UN PLAT COMPLET</t>
  </si>
  <si>
    <t xml:space="preserve">Veullez saisir les informations dans les cellules fond de couleur ivoire. </t>
  </si>
  <si>
    <t>SERVICE EN FONCTION DES EFFECTIFS</t>
  </si>
  <si>
    <t>COUSCOUS</t>
  </si>
  <si>
    <t>Document édité le :</t>
  </si>
  <si>
    <t>Effectifs  à saisir</t>
  </si>
  <si>
    <t>Famille de convives</t>
  </si>
  <si>
    <t>Ainés</t>
  </si>
  <si>
    <t>Total Effectifs</t>
  </si>
  <si>
    <t>grammages ou nombre de Morceaux ou tranches à saisir</t>
  </si>
  <si>
    <t>haut de cuisse de poulet</t>
  </si>
  <si>
    <t>pilon de poulet</t>
  </si>
  <si>
    <t>merguez</t>
  </si>
  <si>
    <t>Agneau en morceaux</t>
  </si>
  <si>
    <t>Agneau boulettes</t>
  </si>
  <si>
    <t>Total Mx par convive</t>
  </si>
  <si>
    <t>légumes couscous cuits</t>
  </si>
  <si>
    <t>Semoule cuite</t>
  </si>
  <si>
    <t>Comment respecter un grammage à servir Exemple N° 1</t>
  </si>
  <si>
    <t>Police de couleur pour saisir vos valeurs    Noir ou gris = formules</t>
  </si>
  <si>
    <t>Les quantités consommées par les enfants dépendent :de l'âge, de la saison, du goût, de l'influence des camarades,de l'activité phisique et/ou du grignotage en récréation sans parler du verre de lait (long à digérer) servi parfois trop près de l'heure du repas</t>
  </si>
  <si>
    <t>Au repas si l'enfant mange beaucoup de pain avec ou en remplacement du plat proposé; les quantités ingérées seront d'autant diminuées. Pour limiter le "gaspillage" et satisfaire les "gourmants"; vous pouvez avoir recours à cet exemple de service.</t>
  </si>
  <si>
    <t>POSSON PANÉ</t>
  </si>
  <si>
    <t xml:space="preserve">Poids unitaire du produit </t>
  </si>
  <si>
    <t>Grammages à servir</t>
  </si>
  <si>
    <t>parts</t>
  </si>
  <si>
    <t>enfants</t>
  </si>
  <si>
    <t>Poids  produit à servir</t>
  </si>
  <si>
    <t>Poids  produit envoyé</t>
  </si>
  <si>
    <t>Écart de poids</t>
  </si>
  <si>
    <t>Meilleur rapport</t>
  </si>
  <si>
    <t>produits entiers</t>
  </si>
  <si>
    <t>Tableaux pour service ou cuisson</t>
  </si>
  <si>
    <t>1 = saisissez le poids dans un contenant (une louche une barquette etc,,)</t>
  </si>
  <si>
    <t>2 =  saisissez le poids de la portion à servir par convive</t>
  </si>
  <si>
    <t>Police de couleur pour saisir vos valeurs    Noir = formules</t>
  </si>
  <si>
    <t xml:space="preserve"> Poids dans 1 contenant</t>
  </si>
  <si>
    <t>Poids d' une Portion</t>
  </si>
  <si>
    <t xml:space="preserve">1 louche ou 1 contenant pour </t>
  </si>
  <si>
    <t>2 =  saisissez le nombre de portions à servir</t>
  </si>
  <si>
    <t>Nb de Portions à servir</t>
  </si>
  <si>
    <t>Exemples</t>
  </si>
  <si>
    <t>Poids de la portion</t>
  </si>
  <si>
    <t xml:space="preserve">1 melon de </t>
  </si>
  <si>
    <t xml:space="preserve">1 plaque hachis parmentier </t>
  </si>
  <si>
    <t>Total Mx dans 1 contenant</t>
  </si>
  <si>
    <t>Portion Nb de Mx par portion</t>
  </si>
  <si>
    <t>Nb portions</t>
  </si>
  <si>
    <t>QUOI ?</t>
  </si>
  <si>
    <t>EXEMPLES</t>
  </si>
  <si>
    <t>32 tranches par plaque ( 1 plaque pour 26 maternelles)</t>
  </si>
  <si>
    <t>table de 12</t>
  </si>
  <si>
    <t>32 tranches par plaque ( 1 plaque pour 16 adultes)</t>
  </si>
  <si>
    <t>1 plaque pour 25 ( 1 tranche par maternelle plus RAB )</t>
  </si>
  <si>
    <t>33 tranches par plaque ( 1.5 tranches par primaire)</t>
  </si>
  <si>
    <t>1 plaque pour 25 ( 1 morceau par maternelle plus RAB )</t>
  </si>
  <si>
    <t>1 plaque pour 20 ( 1 morceau par primaire plus RAB )</t>
  </si>
  <si>
    <t>1 plaque pour 16 ( 1 morceau par adulte plus RAB )</t>
  </si>
  <si>
    <t>1 plaque pour 8 ( 6 morceau par adulte + )</t>
  </si>
  <si>
    <t>1 CITRON POUR 4</t>
  </si>
  <si>
    <t>1 Boite de compote pour 25</t>
  </si>
  <si>
    <t>Le contenant peut être une louche pour le service un gastro pour la cuisson  etc…</t>
  </si>
  <si>
    <t>Les Mx cela peut s'appliquer à des morceaux de bourguignon mais aussi des tomates farcies ou des oreillons de pêches au sirop pour le dessert etc..</t>
  </si>
  <si>
    <t>QUANTITÉS A SERVIR OU A COMMANDER</t>
  </si>
  <si>
    <t>DESCRIPTIF</t>
  </si>
  <si>
    <t xml:space="preserve"> Saisissez vos effectifs Saisissez vos quantités pour vos familles de convives et vous obtiendrez le net à servir. Avez-vous un pourcentage de perte (à l'épluchage -au parage en cuisson ou autre)…saisissez le et vous obtiendrez les quantités brutes à commander</t>
  </si>
  <si>
    <t>Que traitez vous : des Kg des litres des pièces des portions …des poires etc…</t>
  </si>
  <si>
    <t>Seniors</t>
  </si>
  <si>
    <t>Saisissez vos quantités nets à servir</t>
  </si>
  <si>
    <t>de moyenne</t>
  </si>
  <si>
    <t>Net à préparer :</t>
  </si>
  <si>
    <t>Collez une des unités suivante ou saisissez un nom de produit</t>
  </si>
  <si>
    <t>litres</t>
  </si>
  <si>
    <t>Portions</t>
  </si>
  <si>
    <t>Pièce(s)</t>
  </si>
  <si>
    <t>si vous n'avez pas de perte ne saisissez rien</t>
  </si>
  <si>
    <t>Familles de convives :Mater = enfants Maternelles Prim = enfants de l'enseignement Primaire Adulte = sédentaire Adulte + = travailleur de force Seniors = nos Ainés je classe les Adolescennts en Adultes +</t>
  </si>
  <si>
    <t>du 03-01-2017 Annule et remplace les versions précédentes</t>
  </si>
  <si>
    <t>COMBIEN POURRIEZ VOUS SERVIR AVEC</t>
  </si>
  <si>
    <t>Vous avez préparé ou il vous reste un poids X d'une préparation. Avec ce poids combien de convives ou combien de portions pourrez vous servir</t>
  </si>
  <si>
    <t xml:space="preserve">Poids de votre préparation </t>
  </si>
  <si>
    <t>Saisissez vos grammages nets à servir</t>
  </si>
  <si>
    <t>Vous pourrIez servir</t>
  </si>
  <si>
    <t>Portions / pièces / parts</t>
  </si>
  <si>
    <t>A vous de saisir un poids</t>
  </si>
  <si>
    <t>BONUS</t>
  </si>
  <si>
    <t>Vous devriez préparer :</t>
  </si>
  <si>
    <t>Prix D'ACHAT / Prix de VENTE</t>
  </si>
  <si>
    <t>PRIX D'ACHAT</t>
  </si>
  <si>
    <t>PRIX VENTE</t>
  </si>
  <si>
    <t>%  d'augmentation</t>
  </si>
  <si>
    <t>Augmentation</t>
  </si>
  <si>
    <t>Créer un ou plusieurs répertoires n'est pas tâche facile…à chacun de classer comme il le souhaite</t>
  </si>
  <si>
    <t>par famille de produits</t>
  </si>
  <si>
    <t>par technique</t>
  </si>
  <si>
    <t xml:space="preserve">par ingrédients </t>
  </si>
  <si>
    <t>etc...autant de possibilités que de façons de penser</t>
  </si>
  <si>
    <t>vous pouvez utiliser un disque dur externe qui vous suivra partout</t>
  </si>
  <si>
    <t>Répertoire Patisserie</t>
  </si>
  <si>
    <t>Répertoire "Postits" Alpha par type de fabrication si possible</t>
  </si>
  <si>
    <t>Entremets</t>
  </si>
  <si>
    <t>A</t>
  </si>
  <si>
    <t>C</t>
  </si>
  <si>
    <t>B</t>
  </si>
  <si>
    <t>Cracker (Pâte à)</t>
  </si>
  <si>
    <t>Cracker (Poudre à)</t>
  </si>
  <si>
    <t>D</t>
  </si>
  <si>
    <t>F</t>
  </si>
  <si>
    <t>Etc…</t>
  </si>
  <si>
    <t>Fraises des bois dans leur jus</t>
  </si>
  <si>
    <t>I</t>
  </si>
  <si>
    <t>Tartes</t>
  </si>
  <si>
    <t>Insert Kappa fraise</t>
  </si>
  <si>
    <t>J</t>
  </si>
  <si>
    <t>Jus de fraise</t>
  </si>
  <si>
    <t>K</t>
  </si>
  <si>
    <t>Kappa fraise</t>
  </si>
  <si>
    <t>S</t>
  </si>
  <si>
    <t>Sorbet Avocat</t>
  </si>
  <si>
    <t>Gros Gateaux</t>
  </si>
  <si>
    <t>Siphon Fraise</t>
  </si>
  <si>
    <t>Sauce Fraise</t>
  </si>
  <si>
    <t>Sirop à Crackers</t>
  </si>
  <si>
    <t>Coussin Cœur St Valentin 2014 François Perret Journal du Patissier N° 292 page 40</t>
  </si>
  <si>
    <t>Pièces individuelles</t>
  </si>
  <si>
    <t>Utilitaire pour supprimer les espace vides dans une phrase</t>
  </si>
  <si>
    <t xml:space="preserve">•Contamination microbiologique (B)             •Multiplication des germes (B)      </t>
  </si>
  <si>
    <t>Caractères</t>
  </si>
  <si>
    <t xml:space="preserve">Récupérez votre texte dans la cellule verte </t>
  </si>
  <si>
    <t>portions</t>
  </si>
  <si>
    <t>sel</t>
  </si>
  <si>
    <t>BRUT</t>
  </si>
  <si>
    <t>NET</t>
  </si>
  <si>
    <t>largeur de colonnes</t>
  </si>
  <si>
    <t>Aide à la décision en Kg</t>
  </si>
  <si>
    <t>% Perte</t>
  </si>
  <si>
    <t>PRODUITS</t>
  </si>
  <si>
    <t>kg</t>
  </si>
  <si>
    <t>Œufs entiers</t>
  </si>
  <si>
    <t>Calculer un pourcentage - exemple</t>
  </si>
  <si>
    <t>lien vidéo Youtube</t>
  </si>
  <si>
    <t>Pourcentages : Calculer un pourcentage</t>
  </si>
  <si>
    <t>90% ? On multiplie 140 par 0.9</t>
  </si>
  <si>
    <t>https://www.mathematiquesfaciles.com/pourcentages-calculer-un-pourcentage_2_19885.htm</t>
  </si>
  <si>
    <t>http://www.lyc-monnet-juvisy.ac-versailles.fr/Diapomath.pdf</t>
  </si>
  <si>
    <t>Révisez, et entrainez vous.</t>
  </si>
  <si>
    <t>sans calculatrice...</t>
  </si>
  <si>
    <t>D.CATROU 2010</t>
  </si>
  <si>
    <t>Lycée Jean Monnet…Juvisy - académie de Versailles</t>
  </si>
  <si>
    <t>Comprendre les maths!</t>
  </si>
  <si>
    <t>Florent Gouachon</t>
  </si>
  <si>
    <t>Liam Dauchat</t>
  </si>
  <si>
    <t>https://www.cmath.fr/cesite/presentation.php</t>
  </si>
  <si>
    <t>https://www.cmath.fr/6eme/pourcentages/cours.php</t>
  </si>
  <si>
    <t>Besançon</t>
  </si>
  <si>
    <t>Comment compter le pourcentage de tête vite et facilement</t>
  </si>
  <si>
    <t>http://www.un-calcul.fr/calcul-comptabilite/comment-calculer-un-pourcentage-338</t>
  </si>
  <si>
    <t>http://calc.name/blog/comment-compter-le-pourcentage-de-tete-vite-et-facilement/</t>
  </si>
  <si>
    <t>Comment retrouver la valeur de départ ?</t>
  </si>
  <si>
    <t>http://www.capte-les-maths.com/pourcentage/les_pourcentages_p10.php</t>
  </si>
  <si>
    <t>Les Maths ? Je capte pas ! Les chiffres ? J'y comprends rien ! Vous vous reconnaissez ?</t>
  </si>
  <si>
    <t>Vous qui désespérez... Vous que les Maths n'intéressent pas... Et pourtant il faudrait...</t>
  </si>
  <si>
    <t>Alors capte-les-maths.com est fait pour vous !</t>
  </si>
  <si>
    <t>500 x (8/100) = 40</t>
  </si>
  <si>
    <t>ou alors</t>
  </si>
  <si>
    <t>500 x 0.08 = 40</t>
  </si>
  <si>
    <t>0.08 = (8/100)</t>
  </si>
  <si>
    <t>http://www.slate.fr/story/82029/soldes-calculer-rabais</t>
  </si>
  <si>
    <t>Comment calculer combien on va payer pendant les soldes?</t>
  </si>
  <si>
    <t>https://fr.wikipedia.org/wiki/Pourcentage</t>
  </si>
  <si>
    <t>wikipedia.org</t>
  </si>
  <si>
    <t>http://fabie.info.pagesperso-orange.fr/math/cours7.htm</t>
  </si>
  <si>
    <t>fabie.info.pagesperso-orange</t>
  </si>
  <si>
    <t>https://www.maths-et-tiques.fr/telech/Pourcent.pdf</t>
  </si>
  <si>
    <t>http://www.maths-et-tiques.fr/index.php/cours-en-videos</t>
  </si>
  <si>
    <t>https://www.youtube.com/c/YMONKA</t>
  </si>
  <si>
    <t>Calculer un pourcentage avec Excel</t>
  </si>
  <si>
    <t>http://fortimelp.fr/content/44-calculer-un-pourcentage</t>
  </si>
  <si>
    <t>Valeur d'un pourcentage, calcul simplifié</t>
  </si>
  <si>
    <t>Au lieu de multiplier par 5, puis de diviser par 100,</t>
  </si>
  <si>
    <t>Le calcul se réduit maintenant à une seule opération arithmétique, a savoir</t>
  </si>
  <si>
    <t xml:space="preserve"> il est plus simple de multiplier par </t>
  </si>
  <si>
    <t>opération qu'on peut réaliser mentalement.</t>
  </si>
  <si>
    <t>Commencer par un calcul oral: quand on déduit le</t>
  </si>
  <si>
    <t xml:space="preserve"> 5 %, il reste le 95 %     ( 100 - 5 )</t>
  </si>
  <si>
    <t xml:space="preserve">On peut alors calculer directement le résultat, à savoir: </t>
  </si>
  <si>
    <t xml:space="preserve">Avec cette manière de faire, la calculatrice n'a été utilisée que pour une seule opération arithmétique : </t>
  </si>
  <si>
    <t>une multiplication, ce qui augmente la vitesse et réduit les occasions de se tromper.</t>
  </si>
  <si>
    <t xml:space="preserve">5 / 100 = 0.05, </t>
  </si>
  <si>
    <t>(87 Kg) × 0.95 = 82.65 kg</t>
  </si>
  <si>
    <t>(87 Kg) x 0.05 = 4.35 Kg</t>
  </si>
  <si>
    <t>https://www.deleze.name/marcel/culture/taux_composes/taux_simple.html</t>
  </si>
  <si>
    <t>https://www.youtube.com/watch?v=dWC54hCv0pc</t>
  </si>
  <si>
    <t>https://www.youtube.com/watch?v=psIZ0y_8VVc</t>
  </si>
  <si>
    <t>https://www.youtube.com/watch?v=mGDjvAcvigc</t>
  </si>
  <si>
    <t>https://www.youtube.com/watch?v=PyDvkMr3qfg</t>
  </si>
  <si>
    <t>https://www.youtube.com/watch?v=_PTjJ7UD4eo</t>
  </si>
  <si>
    <t>Comment convertir en pourcentage</t>
  </si>
  <si>
    <t>https://fr.wikihow.com/convertir-en-pourcentage</t>
  </si>
  <si>
    <t>mode d'emploi simple pour appliquer un pourcentage d'augmentation avec la Calculatrice de Windows.</t>
  </si>
  <si>
    <t>http://www.astuceshebdo.com/2012/03/comment-calculer-un-pourcentage-cas-n-1.html</t>
  </si>
  <si>
    <t>https://www.youtube.com/watch?v=dQafvb2O01U</t>
  </si>
  <si>
    <t>https://www.youtube.com/watch?v=QTGvjmAhEHo</t>
  </si>
  <si>
    <t>https://www.youtube.com/watch?v=tSp2xkS-tKs</t>
  </si>
  <si>
    <t>http://www.capte-les-maths.com/pourcentage/les_pourcentages_p6.php</t>
  </si>
  <si>
    <t>Comment appliquer une augmentation en pourcentage ?</t>
  </si>
  <si>
    <t>Pour prendre 20% de 140</t>
  </si>
  <si>
    <t>il suffit de multiplier 140 par 20 %</t>
  </si>
  <si>
    <t>c'est-à-dire faire : (140 * 20) / 100</t>
  </si>
  <si>
    <t xml:space="preserve">ou plus simplement : </t>
  </si>
  <si>
    <t>140 * 0.2(On obtient : 28)</t>
  </si>
  <si>
    <t xml:space="preserve">Si on avait à trouver 40% de 140, </t>
  </si>
  <si>
    <t>on aurait multiplié 140 par 0.4</t>
  </si>
  <si>
    <t xml:space="preserve">Voici la formule pour calculer un pourcentage, </t>
  </si>
  <si>
    <t>par exemple 8% de 500 :</t>
  </si>
  <si>
    <t>A chacun d'utiliser le lien qui lui convient le mieux</t>
  </si>
  <si>
    <t>Pour prendre, par exemple, le 5 % de 87 Kg</t>
  </si>
  <si>
    <t>Pour déduire, par exemple, le 5 % de 87 Kg</t>
  </si>
  <si>
    <t>Poids brut ou poids net ? Ne payez pas l'emballage !</t>
  </si>
  <si>
    <t>https://www.economie.gouv.fr/files/files/directions_services/dgccrf/documentation/publications/depliants/poidsbrut_poidsnet.pdf</t>
  </si>
  <si>
    <t>exemple de texte avec espaces (83 caractères en comptant les espaces)</t>
  </si>
  <si>
    <t xml:space="preserve">Pour le lait entier, la densité donnée habituellement est de 1,030 par rapport à l'eau qui est de 1. </t>
  </si>
  <si>
    <t xml:space="preserve">On peut donc considérer que les 0,030 corespondent à la graisse du lait entier. </t>
  </si>
  <si>
    <t xml:space="preserve">Pour le lait demi-écrémé, la graisse ne devrait représenter que 0,030/2, donc 0,015. </t>
  </si>
  <si>
    <t>87-5%</t>
  </si>
  <si>
    <t>coefficient</t>
  </si>
  <si>
    <t>densité</t>
  </si>
  <si>
    <t>Volume</t>
  </si>
  <si>
    <t>huile</t>
  </si>
  <si>
    <t>alcool</t>
  </si>
  <si>
    <t>produit</t>
  </si>
  <si>
    <t>conversion : volume / poids</t>
  </si>
  <si>
    <t>lait entier</t>
  </si>
  <si>
    <t>lait 1/2 écrémé</t>
  </si>
  <si>
    <t>Publié le</t>
  </si>
  <si>
    <t>Vues</t>
  </si>
  <si>
    <t>Rechercher une Fonction</t>
  </si>
  <si>
    <t>T() - Tester et renvoyer du texte</t>
  </si>
  <si>
    <t>EPURAGE() - Supprimer certains caractères indésirables</t>
  </si>
  <si>
    <t>REMPLACER() - Echanger une chaîne de caractères par une autre</t>
  </si>
  <si>
    <t>CTXT() - Convertir un nombre en texte</t>
  </si>
  <si>
    <t>REPT() - Répéter des caractères un certain nombre de fois</t>
  </si>
  <si>
    <t>L'Assistant Somme Conditionnelle</t>
  </si>
  <si>
    <t>CELLULE() - Nom de l'onglet, du fichier ou du répertoire dans une cellule</t>
  </si>
  <si>
    <t>EXACT() - Comparer deux chaînes de texte</t>
  </si>
  <si>
    <t>Purgez les espaces inutiles !</t>
  </si>
  <si>
    <t>SUPPRESPACE() - Supprimer les espaces inutiles dans une cellule</t>
  </si>
  <si>
    <t>STXT() - Extraire une chaîne de caractères au sein d'une autre</t>
  </si>
  <si>
    <t>CHERCHE() TROUVE() - Retourne la position d'une chaîne de caractères</t>
  </si>
  <si>
    <t>NBCAR() - Compter les caractères d'une chaîne de texte ou d'une plage de cellules</t>
  </si>
  <si>
    <t>SUBSTITUE() - Remplacer une chaîne de texte par une autre</t>
  </si>
  <si>
    <t>CAR() - CODE() : Utilisation des codes caractères</t>
  </si>
  <si>
    <t>CONCATENER() - Assembler plusieurs chaînes de texte en une seule.</t>
  </si>
  <si>
    <t>TEXTE() - Convertir une valeur numérique en texte formaté</t>
  </si>
  <si>
    <t>DROITE() - GAUCHE() : Extraire les premiers ou derniers caractères d'une chaîne.</t>
  </si>
  <si>
    <t>MAJUSCULE() - MINUSCULE() - NOMPROPRE(): Modifier la casse d'un texte</t>
  </si>
  <si>
    <t>CNUM() - Convertir une chaîne en valeur numérique</t>
  </si>
  <si>
    <t>DATEDIF() : Calculer la différence entre deux dates</t>
  </si>
  <si>
    <t>Nommer une Plage Dynamique</t>
  </si>
  <si>
    <t>Nommer une Plage de Cellules</t>
  </si>
  <si>
    <t>Références Relatives &amp; Absolues</t>
  </si>
  <si>
    <t>Formule pour Nombres Premiers</t>
  </si>
  <si>
    <t>Quelques fonctions d'excel</t>
  </si>
  <si>
    <t>Excel Québec : Formules et fonctions Excel</t>
  </si>
  <si>
    <t>https://web.archive.org/web/20150919082310/http://www.excelabo.net/</t>
  </si>
  <si>
    <t>http://www.mdf-xlpages.com/modules/publisher/</t>
  </si>
  <si>
    <t xml:space="preserve">3 sites à conserver pour vos recherches de formules Excel </t>
  </si>
  <si>
    <t>Adresse de cellule</t>
  </si>
  <si>
    <t>N° de ligne</t>
  </si>
  <si>
    <t>A chacun de faire évoluer ces documents et de les modifier pour son utilisation.......</t>
  </si>
  <si>
    <t>Transmettez votre savoir et votre savoir faire  peu importe qui le récupère; pourvu qu'un plus grand nombre puisse en bénéficier.</t>
  </si>
  <si>
    <t>Joël LEBOUCHER …Octobre 2015</t>
  </si>
  <si>
    <t></t>
  </si>
  <si>
    <t></t>
  </si>
  <si>
    <t></t>
  </si>
  <si>
    <t>N°</t>
  </si>
  <si>
    <t>Produits</t>
  </si>
  <si>
    <t>Nb d'unités</t>
  </si>
  <si>
    <t>Poids unitaire</t>
  </si>
  <si>
    <t>G</t>
  </si>
  <si>
    <t>R</t>
  </si>
  <si>
    <t>Abricot</t>
  </si>
  <si>
    <t>Hareng</t>
  </si>
  <si>
    <t>Raisin sec Tasse thé de 15 cl</t>
  </si>
  <si>
    <t>Ail gousse</t>
  </si>
  <si>
    <t>Haricot sec Verre de 20 cl</t>
  </si>
  <si>
    <t>Riz long Verre de 20 cl</t>
  </si>
  <si>
    <t>Ail gousse moyenne</t>
  </si>
  <si>
    <t>Homard moyen</t>
  </si>
  <si>
    <t>Ail tête</t>
  </si>
  <si>
    <t>Homard petit</t>
  </si>
  <si>
    <t>Sardine</t>
  </si>
  <si>
    <t>Ananas</t>
  </si>
  <si>
    <t>Sel 1 pincée</t>
  </si>
  <si>
    <t>Artichaut</t>
  </si>
  <si>
    <t>Lapin vidé</t>
  </si>
  <si>
    <t>Sel fin 1 cuillère café rase</t>
  </si>
  <si>
    <t>Avocat 1/2</t>
  </si>
  <si>
    <t>Lentilles Verre de 20 cl</t>
  </si>
  <si>
    <t>Sel fin 1 cuillère soupe rase</t>
  </si>
  <si>
    <t>Avocat entier</t>
  </si>
  <si>
    <t>M</t>
  </si>
  <si>
    <t>Sel fin 1 tasse</t>
  </si>
  <si>
    <t>Maizena 1 cuillère soupe</t>
  </si>
  <si>
    <t>Sel pour 1 Kg Blé</t>
  </si>
  <si>
    <t>Banane</t>
  </si>
  <si>
    <t>Melon gros</t>
  </si>
  <si>
    <t>Sel pour 1 Kg Foie gras</t>
  </si>
  <si>
    <t>Baton de vanille</t>
  </si>
  <si>
    <t>Melon portion</t>
  </si>
  <si>
    <t>Sel pour 1 Kg Merguez</t>
  </si>
  <si>
    <t>Beurre 1 cuillère café</t>
  </si>
  <si>
    <t>Merlan</t>
  </si>
  <si>
    <t>Sel pour 1 Kg Pâtes alimentaires</t>
  </si>
  <si>
    <t>Beurre 1 cuillère soupe</t>
  </si>
  <si>
    <t>Mouton 1/2 carcasse</t>
  </si>
  <si>
    <t>Sel pour 1 Kg Pommes terre</t>
  </si>
  <si>
    <t>Beurre 1 noisette</t>
  </si>
  <si>
    <t>Mouton carré couvert (5+3)</t>
  </si>
  <si>
    <t>Sel pour 1 Kg Saucisse a griller</t>
  </si>
  <si>
    <t>Beurre 1 noix</t>
  </si>
  <si>
    <t>Mouton carré découvert (5)</t>
  </si>
  <si>
    <t>Sel pour 1 Kg Semoule a couscous</t>
  </si>
  <si>
    <t>Beurre 1 tasse</t>
  </si>
  <si>
    <t xml:space="preserve">Mouton cervelle </t>
  </si>
  <si>
    <t>Semoule Tasse thé de 15 cl</t>
  </si>
  <si>
    <t>Bœuf Cervelle</t>
  </si>
  <si>
    <t>Mouton cœur</t>
  </si>
  <si>
    <t>Semoule Verre de 20 cl</t>
  </si>
  <si>
    <t>Bœuf cœur</t>
  </si>
  <si>
    <t>Mouton épaule</t>
  </si>
  <si>
    <t>Sole T1</t>
  </si>
  <si>
    <t>Bœuf entrecôte</t>
  </si>
  <si>
    <t>Mouton gigot raccourci</t>
  </si>
  <si>
    <t>Sole T2</t>
  </si>
  <si>
    <t>Bœuf faux filet</t>
  </si>
  <si>
    <t>Mouton selle anglaise</t>
  </si>
  <si>
    <t>Sole T3</t>
  </si>
  <si>
    <t>Bœuf filet</t>
  </si>
  <si>
    <t>N</t>
  </si>
  <si>
    <t>Sole T4 + de</t>
  </si>
  <si>
    <t>Bœuf foie</t>
  </si>
  <si>
    <t>Noix</t>
  </si>
  <si>
    <t>Bœuf langue</t>
  </si>
  <si>
    <t>Noix épluchées Tasse thé de 15 cl</t>
  </si>
  <si>
    <t>Sucre morceaux</t>
  </si>
  <si>
    <t>Bœuf rognon</t>
  </si>
  <si>
    <t>O</t>
  </si>
  <si>
    <t>Sucre semoule 1 cuillère café</t>
  </si>
  <si>
    <t>Bœuf train côtes milieu</t>
  </si>
  <si>
    <t>Oeuf  le blanc</t>
  </si>
  <si>
    <t>Sucre semoule 1 cuillère soupe</t>
  </si>
  <si>
    <t>Brochet</t>
  </si>
  <si>
    <t>Oeuf gros</t>
  </si>
  <si>
    <t>Sucre semoule 1 tasse</t>
  </si>
  <si>
    <t>Oeuf moyen</t>
  </si>
  <si>
    <t>Sucre Verre de 20 cl</t>
  </si>
  <si>
    <t>Cacao poudre 1 cuillère soupe</t>
  </si>
  <si>
    <t>Oeuf petit</t>
  </si>
  <si>
    <t>T</t>
  </si>
  <si>
    <t>Cacao Tasse thé de 15 cl</t>
  </si>
  <si>
    <t>Œufs 1 douzaine</t>
  </si>
  <si>
    <t>Tapioca Tasse thé de 15 cl</t>
  </si>
  <si>
    <t>Canard vidé</t>
  </si>
  <si>
    <t>Œufs blanc d'</t>
  </si>
  <si>
    <t>Thon boite 1/10</t>
  </si>
  <si>
    <t>Carotte moyenne</t>
  </si>
  <si>
    <t>Thon boite 1/3 saladière</t>
  </si>
  <si>
    <t>Céléri 1 branche</t>
  </si>
  <si>
    <t>Œufs jaune</t>
  </si>
  <si>
    <t>Thon boite 1/5</t>
  </si>
  <si>
    <t>Céléri rave</t>
  </si>
  <si>
    <t>Oignon moyen</t>
  </si>
  <si>
    <t>Thon boite 1/6 basse</t>
  </si>
  <si>
    <t>Cerises</t>
  </si>
  <si>
    <t>Olives</t>
  </si>
  <si>
    <t>Thon boite 1/8</t>
  </si>
  <si>
    <t>Choux fleur</t>
  </si>
  <si>
    <t>Orange</t>
  </si>
  <si>
    <t>Thon boite 4/4 saladière</t>
  </si>
  <si>
    <t>Choux vert</t>
  </si>
  <si>
    <t>Orange moyenne</t>
  </si>
  <si>
    <t>Tomate grosse</t>
  </si>
  <si>
    <t>Citron moyen</t>
  </si>
  <si>
    <t>P</t>
  </si>
  <si>
    <t>Tomate moyenne</t>
  </si>
  <si>
    <t>Clémentine</t>
  </si>
  <si>
    <t>Pamplemousse</t>
  </si>
  <si>
    <t>Tomate petite</t>
  </si>
  <si>
    <t>Colin</t>
  </si>
  <si>
    <t>Pêche</t>
  </si>
  <si>
    <t>Truite portion</t>
  </si>
  <si>
    <t>Concombre</t>
  </si>
  <si>
    <t>Pied veau</t>
  </si>
  <si>
    <t>Turbot</t>
  </si>
  <si>
    <t>Coquillette Verre de 20 cl</t>
  </si>
  <si>
    <t>Poireau beau</t>
  </si>
  <si>
    <t>V</t>
  </si>
  <si>
    <t>Courgette</t>
  </si>
  <si>
    <t>Poireau blanc de</t>
  </si>
  <si>
    <t>Veau carré couvert (5+3)</t>
  </si>
  <si>
    <t>Cresson botte</t>
  </si>
  <si>
    <t>Poireau moyen</t>
  </si>
  <si>
    <t>Veau carré découvert (5)</t>
  </si>
  <si>
    <t>Cuillère café liquide</t>
  </si>
  <si>
    <t>Poivron</t>
  </si>
  <si>
    <t>Veau cervelle</t>
  </si>
  <si>
    <t>Cuillère soupe liquide</t>
  </si>
  <si>
    <t>Pomelos 1/2</t>
  </si>
  <si>
    <t>Veau cœur</t>
  </si>
  <si>
    <t>Pomme</t>
  </si>
  <si>
    <t>Veau Foie</t>
  </si>
  <si>
    <t>Daurade</t>
  </si>
  <si>
    <t>Pomme de terre moyenne</t>
  </si>
  <si>
    <t>Veau langue</t>
  </si>
  <si>
    <t>E</t>
  </si>
  <si>
    <t>Pomme fruit grosse</t>
  </si>
  <si>
    <t>Veau noix</t>
  </si>
  <si>
    <t>Eau grand verre à eau</t>
  </si>
  <si>
    <t>Pomme fruit moyenne</t>
  </si>
  <si>
    <t>Veau noix patissière</t>
  </si>
  <si>
    <t>Echalote belle</t>
  </si>
  <si>
    <t>Pomme terre grosse</t>
  </si>
  <si>
    <t>Veau ris</t>
  </si>
  <si>
    <t>Echalote moyenne</t>
  </si>
  <si>
    <t>Pomme terre moyenne</t>
  </si>
  <si>
    <t>Veau rognon</t>
  </si>
  <si>
    <t>Echalote petite</t>
  </si>
  <si>
    <t>Pomme terre petite</t>
  </si>
  <si>
    <t>Veau sous noix</t>
  </si>
  <si>
    <t>Ecrevisse</t>
  </si>
  <si>
    <t xml:space="preserve">Porc cervelle </t>
  </si>
  <si>
    <t>Porc cœur</t>
  </si>
  <si>
    <t>Farine 1 cuillère café</t>
  </si>
  <si>
    <t>Porc foie</t>
  </si>
  <si>
    <t>Farine 1 cuillère soupe</t>
  </si>
  <si>
    <t>Porc jambon</t>
  </si>
  <si>
    <t>Farine 1 tasse</t>
  </si>
  <si>
    <t>Porc longe</t>
  </si>
  <si>
    <t>Farine Tasse thé de 15 cl</t>
  </si>
  <si>
    <t>Porc poitrine</t>
  </si>
  <si>
    <t>Farine Verre de 20 cl</t>
  </si>
  <si>
    <t>Porc rognon</t>
  </si>
  <si>
    <t>Fraise</t>
  </si>
  <si>
    <t>Poulet 4/4</t>
  </si>
  <si>
    <t>Poulet pac</t>
  </si>
  <si>
    <t>Pruneau</t>
  </si>
  <si>
    <t>LIENS</t>
  </si>
  <si>
    <t>https://www.nubel.be/fra/default.aspx</t>
  </si>
  <si>
    <t>POIDS MOYEN BRUT DE LA PIÈCE</t>
  </si>
  <si>
    <t>http://www.basesdelacuisine.com/Cadre1/z1/pp80.htm</t>
  </si>
  <si>
    <t>Fruits et légumes frais Poids moyen d'une pièce</t>
  </si>
  <si>
    <t>http://lahalledepessac.com/content/14-fruits-et-legumes-frais-poids-moyen-d-une-piece</t>
  </si>
  <si>
    <t>TABLES DE GRAMMAGES</t>
  </si>
  <si>
    <t>http://etab.ac-poitiers.fr/lycee-hotelier-la-rochelle/IMG/pdf/Grammage_4.pdf</t>
  </si>
  <si>
    <t xml:space="preserve">POIDS MOYEN BRUT LEGUMES ET FRUITS </t>
  </si>
  <si>
    <t>http://dmcwilshim.canalblog.com/archives/2009/01/18/12131475.html</t>
  </si>
  <si>
    <t>Correspondance Calibre/ Poids fruits legumes</t>
  </si>
  <si>
    <t>Ananas (frais)/ananas (boîte)</t>
  </si>
  <si>
    <t>1 tranche moyenne</t>
  </si>
  <si>
    <t>100 g/35 g</t>
  </si>
  <si>
    <t>Mandarine</t>
  </si>
  <si>
    <t>1 moyenne</t>
  </si>
  <si>
    <t>60 g</t>
  </si>
  <si>
    <t>Avocat</t>
  </si>
  <si>
    <t>1 moyen</t>
  </si>
  <si>
    <t>160 g</t>
  </si>
  <si>
    <t>Mangue</t>
  </si>
  <si>
    <t>200 g</t>
  </si>
  <si>
    <t>Abricot (sans noyau)</t>
  </si>
  <si>
    <t>150 g</t>
  </si>
  <si>
    <t>Maquereau fumé</t>
  </si>
  <si>
    <t>1 filet</t>
  </si>
  <si>
    <t>145 g</t>
  </si>
  <si>
    <t>Margarine</t>
  </si>
  <si>
    <t>1 cuillère</t>
  </si>
  <si>
    <t>18 g</t>
  </si>
  <si>
    <t>Bacon</t>
  </si>
  <si>
    <t>1 fine tranche</t>
  </si>
  <si>
    <t>11 g</t>
  </si>
  <si>
    <t>Mayonnaise</t>
  </si>
  <si>
    <t>25 g</t>
  </si>
  <si>
    <t>130 g</t>
  </si>
  <si>
    <t>Melon</t>
  </si>
  <si>
    <t>540 g</t>
  </si>
  <si>
    <t>100 g</t>
  </si>
  <si>
    <t>Beurre de cacahuète</t>
  </si>
  <si>
    <t>15 g</t>
  </si>
  <si>
    <t>Miel</t>
  </si>
  <si>
    <t>27 g</t>
  </si>
  <si>
    <t>Bière (pils)</t>
  </si>
  <si>
    <t>1 verre à bière</t>
  </si>
  <si>
    <t>250 ml</t>
  </si>
  <si>
    <t>Milk-shake</t>
  </si>
  <si>
    <t>1 verre</t>
  </si>
  <si>
    <t>150 ml</t>
  </si>
  <si>
    <t>Biscotte blanche/complète</t>
  </si>
  <si>
    <t>8 g/10 g</t>
  </si>
  <si>
    <t>Moule</t>
  </si>
  <si>
    <t>1 pièce</t>
  </si>
  <si>
    <t>4 g</t>
  </si>
  <si>
    <t>Biscuit</t>
  </si>
  <si>
    <t>10 g</t>
  </si>
  <si>
    <t>Muesli</t>
  </si>
  <si>
    <t>1 tasse à café</t>
  </si>
  <si>
    <t>50 g</t>
  </si>
  <si>
    <t>Biscuit apéritif</t>
  </si>
  <si>
    <t>Biscuit au chocolat</t>
  </si>
  <si>
    <t>20 g</t>
  </si>
  <si>
    <t>Nectarine</t>
  </si>
  <si>
    <t>95 g</t>
  </si>
  <si>
    <t>Boudin blanc</t>
  </si>
  <si>
    <t>Noisettes</t>
  </si>
  <si>
    <t>10 pièces</t>
  </si>
  <si>
    <t>12 g</t>
  </si>
  <si>
    <t>Boudin noir</t>
  </si>
  <si>
    <t>Boudoir</t>
  </si>
  <si>
    <t>5,5 g</t>
  </si>
  <si>
    <t>Oeuf cuit</t>
  </si>
  <si>
    <t>Oignon</t>
  </si>
  <si>
    <t>115 g</t>
  </si>
  <si>
    <t>Cabillaud</t>
  </si>
  <si>
    <t>1 darne</t>
  </si>
  <si>
    <t>175 g</t>
  </si>
  <si>
    <t>Olive</t>
  </si>
  <si>
    <t>Cacahuètes</t>
  </si>
  <si>
    <t>1 cuillère/10 pièces</t>
  </si>
  <si>
    <t>20 g/20 g</t>
  </si>
  <si>
    <t>Omelette (1 œuf)</t>
  </si>
  <si>
    <t>Café/thé</t>
  </si>
  <si>
    <t>1 tasse</t>
  </si>
  <si>
    <t>125g</t>
  </si>
  <si>
    <t>140 g</t>
  </si>
  <si>
    <t>Cake</t>
  </si>
  <si>
    <t>30 g</t>
  </si>
  <si>
    <t>Cake fourré aux fruits</t>
  </si>
  <si>
    <t>35 g</t>
  </si>
  <si>
    <t>Pain blanc/gris</t>
  </si>
  <si>
    <t>1 tranche carrée</t>
  </si>
  <si>
    <t>Canard/faisan</t>
  </si>
  <si>
    <t>1 portion</t>
  </si>
  <si>
    <t>125 g</t>
  </si>
  <si>
    <t>1 tranche ronde</t>
  </si>
  <si>
    <t>29 g</t>
  </si>
  <si>
    <t>Carambole</t>
  </si>
  <si>
    <t>155 g</t>
  </si>
  <si>
    <t>Pain complet</t>
  </si>
  <si>
    <t>Carotte</t>
  </si>
  <si>
    <t>45 g</t>
  </si>
  <si>
    <t>Céleri rave, cru</t>
  </si>
  <si>
    <t>85 g</t>
  </si>
  <si>
    <t>Pain grillé blanc/gris</t>
  </si>
  <si>
    <t>21 g</t>
  </si>
  <si>
    <t>Céréales de petit déjeuner</t>
  </si>
  <si>
    <t>40 g</t>
  </si>
  <si>
    <t>Pain d'épices</t>
  </si>
  <si>
    <t>1 tranche</t>
  </si>
  <si>
    <t>23 g</t>
  </si>
  <si>
    <t>Cerise (sans noyau)</t>
  </si>
  <si>
    <t>Pain de seigle</t>
  </si>
  <si>
    <t>Cervelas</t>
  </si>
  <si>
    <t>Pain de viande</t>
  </si>
  <si>
    <t>Champignon, cuit</t>
  </si>
  <si>
    <t>Pain français (baguette)</t>
  </si>
  <si>
    <t>260 g</t>
  </si>
  <si>
    <t>Chicon</t>
  </si>
  <si>
    <t>Chips</t>
  </si>
  <si>
    <t>1 paquet</t>
  </si>
  <si>
    <t>Papaye</t>
  </si>
  <si>
    <t>Chocolat</t>
  </si>
  <si>
    <t>1 barre</t>
  </si>
  <si>
    <t>Parmesan</t>
  </si>
  <si>
    <t>Chou de Bruxelles, cuit</t>
  </si>
  <si>
    <t>Pastèque</t>
  </si>
  <si>
    <t>1125 g</t>
  </si>
  <si>
    <t>Chou-fleur/brocoli, cuit</t>
  </si>
  <si>
    <t>Pâte à tartiner (choco)</t>
  </si>
  <si>
    <t>33 g</t>
  </si>
  <si>
    <t>Citron</t>
  </si>
  <si>
    <t>70 g</t>
  </si>
  <si>
    <t>Pâté de foie</t>
  </si>
  <si>
    <t>Pâtes, cuites</t>
  </si>
  <si>
    <t>210 g</t>
  </si>
  <si>
    <t>Compote de pommes</t>
  </si>
  <si>
    <t>Pâtes, sèches</t>
  </si>
  <si>
    <t>Concombre, cru</t>
  </si>
  <si>
    <t>Pêche (sans noyau)</t>
  </si>
  <si>
    <t>Confiture</t>
  </si>
  <si>
    <t>Pickles</t>
  </si>
  <si>
    <t>Corned-beef</t>
  </si>
  <si>
    <t>Pistolet</t>
  </si>
  <si>
    <t>Corn Flakes</t>
  </si>
  <si>
    <t>Plie</t>
  </si>
  <si>
    <t>135 g</t>
  </si>
  <si>
    <t>Couque à la crème</t>
  </si>
  <si>
    <t>80 g</t>
  </si>
  <si>
    <t>Poire</t>
  </si>
  <si>
    <t>Couque au beurre</t>
  </si>
  <si>
    <t>75 g</t>
  </si>
  <si>
    <t>Poireau, cuit</t>
  </si>
  <si>
    <t>Couque suisse</t>
  </si>
  <si>
    <t>1 longue / ronde</t>
  </si>
  <si>
    <t>75 g / 90 g</t>
  </si>
  <si>
    <t>Poivron vert/jaune/rouge</t>
  </si>
  <si>
    <t>185 g</t>
  </si>
  <si>
    <t>Courgette, cuite</t>
  </si>
  <si>
    <t>Cramique</t>
  </si>
  <si>
    <t>Pomme de terre, cuite (ovale)</t>
  </si>
  <si>
    <t>Crème</t>
  </si>
  <si>
    <t>24 g</t>
  </si>
  <si>
    <t>Pomme de terre, rôtie</t>
  </si>
  <si>
    <t>Crème à fouetter</t>
  </si>
  <si>
    <t>Porto</t>
  </si>
  <si>
    <t>1 petit verre</t>
  </si>
  <si>
    <t>75 ml</t>
  </si>
  <si>
    <t>Crème glacée</t>
  </si>
  <si>
    <t>1 boule</t>
  </si>
  <si>
    <t>Poulet, poitrine (sans peau)</t>
  </si>
  <si>
    <t>Crêpe</t>
  </si>
  <si>
    <t>Poulet, cuisse(sans peau)</t>
  </si>
  <si>
    <t>1 cuisse</t>
  </si>
  <si>
    <t>165 g</t>
  </si>
  <si>
    <t>Crevettes</t>
  </si>
  <si>
    <t>Praline</t>
  </si>
  <si>
    <t>Croissant</t>
  </si>
  <si>
    <t>Prune, sans noyau</t>
  </si>
  <si>
    <t>55 g</t>
  </si>
  <si>
    <t>Croque-monsieur</t>
  </si>
  <si>
    <t>Prune, sèche</t>
  </si>
  <si>
    <t>6 g</t>
  </si>
  <si>
    <t>Croquette de pomme de terre (c)</t>
  </si>
  <si>
    <t>Pudding</t>
  </si>
  <si>
    <t>125 g/200 g</t>
  </si>
  <si>
    <t>Purée de pommes de terre</t>
  </si>
  <si>
    <t>1 cuillère/portion</t>
  </si>
  <si>
    <t>50 g/160 g</t>
  </si>
  <si>
    <t>Datte sèche (sans noyau)</t>
  </si>
  <si>
    <t>9 g</t>
  </si>
  <si>
    <t>Radis</t>
  </si>
  <si>
    <t>Raisin</t>
  </si>
  <si>
    <t>7 g</t>
  </si>
  <si>
    <t>Éclair au chocolat</t>
  </si>
  <si>
    <t>Raisin, sec</t>
  </si>
  <si>
    <t>Edam jeune</t>
  </si>
  <si>
    <t>Ravioli</t>
  </si>
  <si>
    <t>400 g</t>
  </si>
  <si>
    <t>Riz au lait, vanille</t>
  </si>
  <si>
    <t>100 g/200 g</t>
  </si>
  <si>
    <t>Farine</t>
  </si>
  <si>
    <t>Riz, cuit</t>
  </si>
  <si>
    <t>Fécule de pomme de terre</t>
  </si>
  <si>
    <t>Riz, non cuit</t>
  </si>
  <si>
    <t>1 sachet</t>
  </si>
  <si>
    <t>62,5 g</t>
  </si>
  <si>
    <t>Fenouil</t>
  </si>
  <si>
    <t>Fève de soja, cuite</t>
  </si>
  <si>
    <t>Salami</t>
  </si>
  <si>
    <t>Figue, sèche</t>
  </si>
  <si>
    <t>Sandwich sucré</t>
  </si>
  <si>
    <t>Filet d'Anvers</t>
  </si>
  <si>
    <t>Flétan, fumé</t>
  </si>
  <si>
    <t>Saumon</t>
  </si>
  <si>
    <t>180 g</t>
  </si>
  <si>
    <t>Flocons d'avoine</t>
  </si>
  <si>
    <t>Saumon, fumé</t>
  </si>
  <si>
    <t>Sel</t>
  </si>
  <si>
    <t>Frangipane</t>
  </si>
  <si>
    <t>1 part</t>
  </si>
  <si>
    <t>Soupe</t>
  </si>
  <si>
    <t>1 tasse/1 assiette</t>
  </si>
  <si>
    <t>300 ml/250 ml</t>
  </si>
  <si>
    <t>Frites</t>
  </si>
  <si>
    <t>250 g</t>
  </si>
  <si>
    <t>Spaghetti, préparé</t>
  </si>
  <si>
    <t>1 assiette</t>
  </si>
  <si>
    <t>300 g</t>
  </si>
  <si>
    <t>Fromage frais</t>
  </si>
  <si>
    <t>Spéculoos</t>
  </si>
  <si>
    <t>Fromage fondu</t>
  </si>
  <si>
    <t>1 portion/cuillère</t>
  </si>
  <si>
    <t>20 g/15 g</t>
  </si>
  <si>
    <t>Sucre</t>
  </si>
  <si>
    <t>1 cuillère/morceau</t>
  </si>
  <si>
    <t>15 g/6 g</t>
  </si>
  <si>
    <t>Fruit de la passion</t>
  </si>
  <si>
    <t>Sucre impalpable</t>
  </si>
  <si>
    <t>Galette de riz</t>
  </si>
  <si>
    <t>Tarte à la confiture</t>
  </si>
  <si>
    <t>Gaufre au chocolat</t>
  </si>
  <si>
    <t>Tarte au riz</t>
  </si>
  <si>
    <t>Gaufre de Liège</t>
  </si>
  <si>
    <t>Tarte aux fruits</t>
  </si>
  <si>
    <t>Gouda</t>
  </si>
  <si>
    <t>Tarte aux mattons</t>
  </si>
  <si>
    <t>1 morceau</t>
  </si>
  <si>
    <t>120 g</t>
  </si>
  <si>
    <t>Graisse de cuisson</t>
  </si>
  <si>
    <t>Toast</t>
  </si>
  <si>
    <t>3 g</t>
  </si>
  <si>
    <t>Gruyère</t>
  </si>
  <si>
    <t>Tomate</t>
  </si>
  <si>
    <t>Gruyère, râpé</t>
  </si>
  <si>
    <t>Truite</t>
  </si>
  <si>
    <t>Hamburger + sandwich</t>
  </si>
  <si>
    <t>Viande de porc, côtelette</t>
  </si>
  <si>
    <t>1 avec/sans côte</t>
  </si>
  <si>
    <t>175g /160 g</t>
  </si>
  <si>
    <t>Haricot blanc, cuit /sec</t>
  </si>
  <si>
    <t>35 g/105 g</t>
  </si>
  <si>
    <t>Viande de porc, tranche</t>
  </si>
  <si>
    <t>Hareng/maatje</t>
  </si>
  <si>
    <t>Vin de table blanc/rouge</t>
  </si>
  <si>
    <t>125 ml</t>
  </si>
  <si>
    <t>Huile</t>
  </si>
  <si>
    <t>Yaourt</t>
  </si>
  <si>
    <t>Jambon, cru, fumé</t>
  </si>
  <si>
    <t>4. MESURES DE CAPACITE*</t>
  </si>
  <si>
    <t>Jambon, cuit</t>
  </si>
  <si>
    <t>Jambon de dinde</t>
  </si>
  <si>
    <t>Jambon de poulet</t>
  </si>
  <si>
    <t>Cuillère à café</t>
  </si>
  <si>
    <t>4,5 g</t>
  </si>
  <si>
    <t>Jus de pomme/jus d'orange</t>
  </si>
  <si>
    <t>Cuillère à soupe</t>
  </si>
  <si>
    <t>Ketchup</t>
  </si>
  <si>
    <t>Cuillère à dessert</t>
  </si>
  <si>
    <t>8 g</t>
  </si>
  <si>
    <t>Kiwi</t>
  </si>
  <si>
    <t>Cuillère à sauce</t>
  </si>
  <si>
    <t>Louche</t>
  </si>
  <si>
    <t>Lait</t>
  </si>
  <si>
    <t>Tasse à ras bord</t>
  </si>
  <si>
    <t>Lait battu nature</t>
  </si>
  <si>
    <t>Tasse liquide</t>
  </si>
  <si>
    <t>Lait chocolaté</t>
  </si>
  <si>
    <t>1 petite bouteille</t>
  </si>
  <si>
    <t>200 ml</t>
  </si>
  <si>
    <t>Grande tasse à ras bord</t>
  </si>
  <si>
    <t>Lait concentré</t>
  </si>
  <si>
    <t>1 portion individuelle</t>
  </si>
  <si>
    <t>7,5 g</t>
  </si>
  <si>
    <t>Grande tasse liquide</t>
  </si>
  <si>
    <t>225 g</t>
  </si>
  <si>
    <t>Langue de bœuf</t>
  </si>
  <si>
    <t>Gobelet plastique à ras bord</t>
  </si>
  <si>
    <t>Lapin/lièvre (cuisse)</t>
  </si>
  <si>
    <t>Gobelet plastique liquide</t>
  </si>
  <si>
    <t>Lard fumé</t>
  </si>
  <si>
    <t>1 petite tranche</t>
  </si>
  <si>
    <t>Bol de soupe à ras bord</t>
  </si>
  <si>
    <t>Lasagne</t>
  </si>
  <si>
    <t>Bol de soupe liquide</t>
  </si>
  <si>
    <t>Levure fraîche</t>
  </si>
  <si>
    <t>1 petit paquet</t>
  </si>
  <si>
    <t>42 g</t>
  </si>
  <si>
    <t>Ravier à dessert</t>
  </si>
  <si>
    <t>Limonade/cola/eau</t>
  </si>
  <si>
    <t>Verre à limonade/eau</t>
  </si>
  <si>
    <t>Litchi</t>
  </si>
  <si>
    <t>Verre à limonade grand</t>
  </si>
  <si>
    <t>Verre à vin rouge</t>
  </si>
  <si>
    <t>Verre à vin blanc</t>
  </si>
  <si>
    <t>Verre à champagne</t>
  </si>
  <si>
    <t>Verre à bière petit</t>
  </si>
  <si>
    <t>Verre à bière grand</t>
  </si>
  <si>
    <t>330 g</t>
  </si>
  <si>
    <t>* Source:</t>
  </si>
  <si>
    <t>Groupe de travail « Poids et mesures », Conseil Supérieur d’Hygiène.</t>
  </si>
  <si>
    <t>https://portal.health.fgov.be/pls/portal/docs/PAGE/INTERNET_PG/HOMEPAGE_MENU/ABOUTUS1_MENU/INSTITUTIONSAPPARENTEES1_MENU/HOGEGEZONDHEIDSRAAD1_MENU/ADVIEZENENAANBEVELINGEN1_MENU/ADVIEZENENAANBEVELINGEN1_DOCS/6545-2_POIDSETMESURES_FR_2005_2.PDF</t>
  </si>
  <si>
    <t>Poids moyen (à la pièce, en grammes).  </t>
  </si>
  <si>
    <t>Modification.   Poids brut d'aliments résultant de la cuisson de:</t>
  </si>
  <si>
    <t>Verres</t>
  </si>
  <si>
    <t>Petit verre à eau/limonade, rempli normalement 150</t>
  </si>
  <si>
    <t>Grand verre à eau/limonade, rempli normalement 250</t>
  </si>
  <si>
    <t>Verre à vin: blanc/rouge, rempli normalement 125</t>
  </si>
  <si>
    <t>Verre à mousseux, rempli normalement 100</t>
  </si>
  <si>
    <t>Lors de l’établissement du poids des denrées alimentaires liquides (boissons alcoolisées,</t>
  </si>
  <si>
    <t>lait, lait chocolaté et lait de soja, milkshake et yaourt) les "ml" ont été assimilés aux "g"</t>
  </si>
  <si>
    <t>(source 7.104).</t>
  </si>
  <si>
    <t>Pour la crème glacée et la mousse, le facteur de conversion est mentionné dans la colonne</t>
  </si>
  <si>
    <t>précisions.</t>
  </si>
  <si>
    <t>Besoins journaliers (limites moyennes)</t>
  </si>
  <si>
    <t>En grammes</t>
  </si>
  <si>
    <t>En milligrammes</t>
  </si>
  <si>
    <t>Protides</t>
  </si>
  <si>
    <t>Lipides</t>
  </si>
  <si>
    <t>Glucides</t>
  </si>
  <si>
    <t>Phosphore</t>
  </si>
  <si>
    <t>Fer</t>
  </si>
  <si>
    <t>Vit. C</t>
  </si>
  <si>
    <t>Jeunes</t>
  </si>
  <si>
    <t> 2 à 4 ans</t>
  </si>
  <si>
    <t>30/35</t>
  </si>
  <si>
    <t>200/250</t>
  </si>
  <si>
    <t>700/750</t>
  </si>
  <si>
    <t>650/700</t>
  </si>
  <si>
    <t>40/60</t>
  </si>
  <si>
    <t> 4 à 6 ans</t>
  </si>
  <si>
    <t>35/40</t>
  </si>
  <si>
    <t>600/800</t>
  </si>
  <si>
    <t> 6 à 10 ans</t>
  </si>
  <si>
    <t>45/55</t>
  </si>
  <si>
    <t>300/340</t>
  </si>
  <si>
    <t>850/950</t>
  </si>
  <si>
    <t>10 à 12 ans (filles 9 à 11)</t>
  </si>
  <si>
    <t>60/65</t>
  </si>
  <si>
    <t>1 000/1 200</t>
  </si>
  <si>
    <t>1 100/1 300</t>
  </si>
  <si>
    <t>20/30</t>
  </si>
  <si>
    <t>60/100</t>
  </si>
  <si>
    <t>12 à 15 ans (filles 11 à 13)</t>
  </si>
  <si>
    <t>1 200/1 400</t>
  </si>
  <si>
    <t>1 300/1 500</t>
  </si>
  <si>
    <t>15 à 20 ans (filles 13 à 18)</t>
  </si>
  <si>
    <t>1 400/1 600</t>
  </si>
  <si>
    <t>1 500/1 700</t>
  </si>
  <si>
    <t>Hommes</t>
  </si>
  <si>
    <t>Vie sédentaire</t>
  </si>
  <si>
    <t>400/500</t>
  </si>
  <si>
    <t>800/900</t>
  </si>
  <si>
    <t>18/20</t>
  </si>
  <si>
    <t>70/80</t>
  </si>
  <si>
    <t>Travail de force</t>
  </si>
  <si>
    <t>85/110</t>
  </si>
  <si>
    <t>550/700</t>
  </si>
  <si>
    <t>1 500/1 800</t>
  </si>
  <si>
    <t>23/26</t>
  </si>
  <si>
    <t>90/110</t>
  </si>
  <si>
    <t>100/110</t>
  </si>
  <si>
    <t>850/1 000</t>
  </si>
  <si>
    <t>2 000/2 400</t>
  </si>
  <si>
    <t>30/45</t>
  </si>
  <si>
    <t>130/150</t>
  </si>
  <si>
    <t>Femmes</t>
  </si>
  <si>
    <t>350/400</t>
  </si>
  <si>
    <t>15/20</t>
  </si>
  <si>
    <t>60/70</t>
  </si>
  <si>
    <t>500/550</t>
  </si>
  <si>
    <t>1 500/2 000</t>
  </si>
  <si>
    <t>20/25</t>
  </si>
  <si>
    <t>100/150</t>
  </si>
  <si>
    <t>300/400</t>
  </si>
  <si>
    <t>900/1 000</t>
  </si>
  <si>
    <t>14/16</t>
  </si>
  <si>
    <t>50/60</t>
  </si>
  <si>
    <t>http://www.astro.ulg.ac.be/cours/magain/stat/stat52.html</t>
  </si>
  <si>
    <t>Saisissez votre nombre d'unité (encre rouge)Modifiez le poids unitaire (encre verte) s'il n'est pas excact</t>
  </si>
  <si>
    <t>Poids en Kg</t>
  </si>
  <si>
    <t>POIDS DES FRUITS ET LÉGUMES  …décembre 2017 annule et remplace les versions précédentes</t>
  </si>
  <si>
    <t>Aliment</t>
  </si>
  <si>
    <t>Mesure de capacité </t>
  </si>
  <si>
    <t xml:space="preserve">Mesures de capacité calculées à partir d’eau             </t>
  </si>
  <si>
    <t>Poids en grammes</t>
  </si>
  <si>
    <r>
      <t xml:space="preserve">4.1. Poids et mesures </t>
    </r>
    <r>
      <rPr>
        <i/>
        <sz val="14"/>
        <rFont val="Arial"/>
        <family val="2"/>
      </rPr>
      <t>(A-C)</t>
    </r>
  </si>
  <si>
    <r>
      <t>Calcium </t>
    </r>
    <r>
      <rPr>
        <b/>
        <vertAlign val="superscript"/>
        <sz val="12"/>
        <rFont val="Calibri"/>
        <family val="2"/>
        <scheme val="minor"/>
      </rPr>
      <t>7</t>
    </r>
  </si>
  <si>
    <r>
      <t>350/400 </t>
    </r>
    <r>
      <rPr>
        <b/>
        <vertAlign val="superscript"/>
        <sz val="12"/>
        <rFont val="Calibri"/>
        <family val="2"/>
        <scheme val="minor"/>
      </rPr>
      <t>1</t>
    </r>
  </si>
  <si>
    <r>
      <t>5/9 </t>
    </r>
    <r>
      <rPr>
        <b/>
        <vertAlign val="superscript"/>
        <sz val="12"/>
        <rFont val="Calibri"/>
        <family val="2"/>
        <scheme val="minor"/>
      </rPr>
      <t>2</t>
    </r>
  </si>
  <si>
    <r>
      <t>440/550 </t>
    </r>
    <r>
      <rPr>
        <b/>
        <vertAlign val="superscript"/>
        <sz val="12"/>
        <rFont val="Calibri"/>
        <family val="2"/>
        <scheme val="minor"/>
      </rPr>
      <t>3</t>
    </r>
  </si>
  <si>
    <r>
      <t>75/100 </t>
    </r>
    <r>
      <rPr>
        <b/>
        <vertAlign val="superscript"/>
        <sz val="12"/>
        <rFont val="Calibri"/>
        <family val="2"/>
        <scheme val="minor"/>
      </rPr>
      <t>4</t>
    </r>
  </si>
  <si>
    <r>
      <t>550/600 </t>
    </r>
    <r>
      <rPr>
        <b/>
        <vertAlign val="superscript"/>
        <sz val="12"/>
        <rFont val="Calibri"/>
        <family val="2"/>
        <scheme val="minor"/>
      </rPr>
      <t>5</t>
    </r>
  </si>
  <si>
    <r>
      <t>75/85 </t>
    </r>
    <r>
      <rPr>
        <b/>
        <vertAlign val="superscript"/>
        <sz val="12"/>
        <rFont val="Calibri"/>
        <family val="2"/>
        <scheme val="minor"/>
      </rPr>
      <t>4</t>
    </r>
  </si>
  <si>
    <r>
      <t>65/75 </t>
    </r>
    <r>
      <rPr>
        <b/>
        <vertAlign val="superscript"/>
        <sz val="12"/>
        <rFont val="Calibri"/>
        <family val="2"/>
        <scheme val="minor"/>
      </rPr>
      <t>4</t>
    </r>
  </si>
  <si>
    <r>
      <t>Allaitant </t>
    </r>
    <r>
      <rPr>
        <b/>
        <vertAlign val="superscript"/>
        <sz val="12"/>
        <rFont val="Calibri"/>
        <family val="2"/>
        <scheme val="minor"/>
      </rPr>
      <t>6</t>
    </r>
    <r>
      <rPr>
        <b/>
        <sz val="12"/>
        <rFont val="Calibri"/>
        <family val="2"/>
        <scheme val="minor"/>
      </rPr>
      <t xml:space="preserve"> </t>
    </r>
  </si>
  <si>
    <r>
      <t>Nota :</t>
    </r>
    <r>
      <rPr>
        <sz val="12"/>
        <color theme="1"/>
        <rFont val="Calibri"/>
        <family val="2"/>
        <scheme val="minor"/>
      </rPr>
      <t xml:space="preserve"> Pour les filles : </t>
    </r>
    <r>
      <rPr>
        <b/>
        <sz val="12"/>
        <rFont val="Calibri"/>
        <family val="2"/>
        <scheme val="minor"/>
      </rPr>
      <t>(1)</t>
    </r>
    <r>
      <rPr>
        <sz val="12"/>
        <color theme="1"/>
        <rFont val="Calibri"/>
        <family val="2"/>
        <scheme val="minor"/>
      </rPr>
      <t xml:space="preserve"> 330/350, </t>
    </r>
    <r>
      <rPr>
        <b/>
        <sz val="12"/>
        <rFont val="Calibri"/>
        <family val="2"/>
        <scheme val="minor"/>
      </rPr>
      <t>(2)</t>
    </r>
    <r>
      <rPr>
        <sz val="12"/>
        <color theme="1"/>
        <rFont val="Calibri"/>
        <family val="2"/>
        <scheme val="minor"/>
      </rPr>
      <t xml:space="preserve"> 80/85, </t>
    </r>
    <r>
      <rPr>
        <b/>
        <sz val="12"/>
        <rFont val="Calibri"/>
        <family val="2"/>
        <scheme val="minor"/>
      </rPr>
      <t>(3)</t>
    </r>
    <r>
      <rPr>
        <sz val="12"/>
        <color theme="1"/>
        <rFont val="Calibri"/>
        <family val="2"/>
        <scheme val="minor"/>
      </rPr>
      <t xml:space="preserve"> 400/500, </t>
    </r>
    <r>
      <rPr>
        <b/>
        <sz val="12"/>
        <rFont val="Calibri"/>
        <family val="2"/>
        <scheme val="minor"/>
      </rPr>
      <t>(4)</t>
    </r>
    <r>
      <rPr>
        <sz val="12"/>
        <color theme="1"/>
        <rFont val="Calibri"/>
        <family val="2"/>
        <scheme val="minor"/>
      </rPr>
      <t xml:space="preserve"> 85-90, </t>
    </r>
    <r>
      <rPr>
        <b/>
        <sz val="12"/>
        <rFont val="Calibri"/>
        <family val="2"/>
        <scheme val="minor"/>
      </rPr>
      <t>(5)</t>
    </r>
    <r>
      <rPr>
        <sz val="12"/>
        <color theme="1"/>
        <rFont val="Calibri"/>
        <family val="2"/>
        <scheme val="minor"/>
      </rPr>
      <t xml:space="preserve"> 500/550. </t>
    </r>
    <r>
      <rPr>
        <b/>
        <sz val="12"/>
        <rFont val="Calibri"/>
        <family val="2"/>
        <scheme val="minor"/>
      </rPr>
      <t>(6)</t>
    </r>
    <r>
      <rPr>
        <sz val="12"/>
        <color theme="1"/>
        <rFont val="Calibri"/>
        <family val="2"/>
        <scheme val="minor"/>
      </rPr>
      <t xml:space="preserve"> Vie sédentaire ou légère activité. </t>
    </r>
    <r>
      <rPr>
        <b/>
        <sz val="12"/>
        <rFont val="Calibri"/>
        <family val="2"/>
        <scheme val="minor"/>
      </rPr>
      <t>(7)</t>
    </r>
    <r>
      <rPr>
        <sz val="12"/>
        <color theme="1"/>
        <rFont val="Calibri"/>
        <family val="2"/>
        <scheme val="minor"/>
      </rPr>
      <t> Contenu surtout dans le fromage et le lait.</t>
    </r>
  </si>
  <si>
    <r>
      <t xml:space="preserve">Fruits : </t>
    </r>
    <r>
      <rPr>
        <sz val="14"/>
        <color theme="1"/>
        <rFont val="Calibri"/>
        <family val="2"/>
        <scheme val="minor"/>
      </rPr>
      <t xml:space="preserve">abricot 55, banane 150, citron 125, datte 10, figue sèche 42, figue fraîche 45, mandarine 100, noix 13, orange 180, pamplemousse 400, pêche 130, poire 180, pomme 120, pruneau 15. </t>
    </r>
    <r>
      <rPr>
        <b/>
        <sz val="10"/>
        <rFont val="Arial"/>
        <family val="2"/>
      </rPr>
      <t/>
    </r>
  </si>
  <si>
    <r>
      <t xml:space="preserve">Biscuit sec : </t>
    </r>
    <r>
      <rPr>
        <sz val="14"/>
        <color theme="1"/>
        <rFont val="Calibri"/>
        <family val="2"/>
        <scheme val="minor"/>
      </rPr>
      <t xml:space="preserve">10. </t>
    </r>
    <r>
      <rPr>
        <b/>
        <sz val="14"/>
        <rFont val="Calibri"/>
        <family val="2"/>
        <scheme val="minor"/>
      </rPr>
      <t xml:space="preserve">Biscotte : </t>
    </r>
    <r>
      <rPr>
        <sz val="14"/>
        <color theme="1"/>
        <rFont val="Calibri"/>
        <family val="2"/>
        <scheme val="minor"/>
      </rPr>
      <t xml:space="preserve">18. </t>
    </r>
    <r>
      <rPr>
        <b/>
        <sz val="14"/>
        <rFont val="Calibri"/>
        <family val="2"/>
        <scheme val="minor"/>
      </rPr>
      <t xml:space="preserve">Croissant : </t>
    </r>
    <r>
      <rPr>
        <sz val="14"/>
        <color theme="1"/>
        <rFont val="Calibri"/>
        <family val="2"/>
        <scheme val="minor"/>
      </rPr>
      <t xml:space="preserve">50. </t>
    </r>
    <r>
      <rPr>
        <b/>
        <sz val="10"/>
        <rFont val="Arial"/>
        <family val="2"/>
      </rPr>
      <t/>
    </r>
  </si>
  <si>
    <r>
      <t xml:space="preserve"> </t>
    </r>
    <r>
      <rPr>
        <b/>
        <sz val="14"/>
        <rFont val="Calibri"/>
        <family val="2"/>
        <scheme val="minor"/>
      </rPr>
      <t xml:space="preserve">Crustacés (entiers) : </t>
    </r>
    <r>
      <rPr>
        <sz val="14"/>
        <color theme="1"/>
        <rFont val="Calibri"/>
        <family val="2"/>
        <scheme val="minor"/>
      </rPr>
      <t xml:space="preserve">écrevisse 34, homard 885. </t>
    </r>
    <r>
      <rPr>
        <b/>
        <sz val="10"/>
        <rFont val="Arial"/>
        <family val="2"/>
      </rPr>
      <t/>
    </r>
  </si>
  <si>
    <r>
      <t xml:space="preserve"> </t>
    </r>
    <r>
      <rPr>
        <b/>
        <sz val="14"/>
        <rFont val="Calibri"/>
        <family val="2"/>
        <scheme val="minor"/>
      </rPr>
      <t xml:space="preserve">Fromages : </t>
    </r>
    <r>
      <rPr>
        <sz val="14"/>
        <color theme="1"/>
        <rFont val="Calibri"/>
        <family val="2"/>
        <scheme val="minor"/>
      </rPr>
      <t xml:space="preserve">camembert 250, livarot 500, pont-l'évêque 320, petit-suisse 25-30, yaourt (petit pot) 120-150. </t>
    </r>
    <r>
      <rPr>
        <b/>
        <sz val="10"/>
        <rFont val="Arial"/>
        <family val="2"/>
      </rPr>
      <t/>
    </r>
  </si>
  <si>
    <r>
      <t xml:space="preserve"> </t>
    </r>
    <r>
      <rPr>
        <b/>
        <sz val="14"/>
        <rFont val="Calibri"/>
        <family val="2"/>
        <scheme val="minor"/>
      </rPr>
      <t xml:space="preserve">Légumes : </t>
    </r>
    <r>
      <rPr>
        <sz val="14"/>
        <color theme="1"/>
        <rFont val="Calibri"/>
        <family val="2"/>
        <scheme val="minor"/>
      </rPr>
      <t xml:space="preserve">artichaut 250, aubergine 225, chou 1 000, chou-fleur 1 200, laitue 500, romaine 400, chicorée frisée 400, melon 700-1 000, radis (la botte) 350, tomate 100, oignon 125. </t>
    </r>
    <r>
      <rPr>
        <b/>
        <sz val="10"/>
        <rFont val="Arial"/>
        <family val="2"/>
      </rPr>
      <t/>
    </r>
  </si>
  <si>
    <r>
      <t xml:space="preserve"> </t>
    </r>
    <r>
      <rPr>
        <b/>
        <sz val="14"/>
        <rFont val="Calibri"/>
        <family val="2"/>
        <scheme val="minor"/>
      </rPr>
      <t xml:space="preserve">Poissons (entiers) : </t>
    </r>
    <r>
      <rPr>
        <sz val="14"/>
        <color theme="1"/>
        <rFont val="Calibri"/>
        <family val="2"/>
        <scheme val="minor"/>
      </rPr>
      <t xml:space="preserve">brochet 1 250, carpe 775, colin 2 000, daurade 600, églefin 350, hareng 170, saur 130, limande 150, maquereau 250, merlan 230, plie 160, sardine 45, truite 450, turbot 2 350. </t>
    </r>
    <r>
      <rPr>
        <b/>
        <sz val="10"/>
        <rFont val="Arial"/>
        <family val="2"/>
      </rPr>
      <t/>
    </r>
  </si>
  <si>
    <r>
      <t xml:space="preserve">Sucre </t>
    </r>
    <r>
      <rPr>
        <sz val="14"/>
        <color theme="1"/>
        <rFont val="Calibri"/>
        <family val="2"/>
        <scheme val="minor"/>
      </rPr>
      <t>(morceau) : 6.</t>
    </r>
  </si>
  <si>
    <r>
      <t xml:space="preserve">Viandes : </t>
    </r>
    <r>
      <rPr>
        <sz val="14"/>
        <color theme="1"/>
        <rFont val="Calibri"/>
        <family val="2"/>
        <scheme val="minor"/>
      </rPr>
      <t xml:space="preserve">lapin (vidé) 1 500 ; oie (entière) 5 500 ; poulet (entier) 1 800. </t>
    </r>
    <r>
      <rPr>
        <i/>
        <sz val="14"/>
        <rFont val="Calibri"/>
        <family val="2"/>
        <scheme val="minor"/>
      </rPr>
      <t xml:space="preserve">Cervelle : </t>
    </r>
    <r>
      <rPr>
        <sz val="14"/>
        <color theme="1"/>
        <rFont val="Calibri"/>
        <family val="2"/>
        <scheme val="minor"/>
      </rPr>
      <t>bœuf 500, veau 300, mouton 100, porc 110.</t>
    </r>
  </si>
  <si>
    <r>
      <t xml:space="preserve">Cœur : </t>
    </r>
    <r>
      <rPr>
        <sz val="14"/>
        <color theme="1"/>
        <rFont val="Calibri"/>
        <family val="2"/>
        <scheme val="minor"/>
      </rPr>
      <t xml:space="preserve">bœuf 2 750, veau 500, mouton 230, porc 225. </t>
    </r>
    <r>
      <rPr>
        <i/>
        <sz val="14"/>
        <rFont val="Calibri"/>
        <family val="2"/>
        <scheme val="minor"/>
      </rPr>
      <t xml:space="preserve">Foie : </t>
    </r>
    <r>
      <rPr>
        <sz val="14"/>
        <color theme="1"/>
        <rFont val="Calibri"/>
        <family val="2"/>
        <scheme val="minor"/>
      </rPr>
      <t xml:space="preserve">bœuf 8 500, veau 2 500, porc 750. </t>
    </r>
    <r>
      <rPr>
        <i/>
        <sz val="10"/>
        <rFont val="Arial"/>
        <family val="2"/>
      </rPr>
      <t/>
    </r>
  </si>
  <si>
    <r>
      <t xml:space="preserve"> </t>
    </r>
    <r>
      <rPr>
        <i/>
        <sz val="14"/>
        <rFont val="Calibri"/>
        <family val="2"/>
        <scheme val="minor"/>
      </rPr>
      <t xml:space="preserve">Langue : </t>
    </r>
    <r>
      <rPr>
        <sz val="14"/>
        <color theme="1"/>
        <rFont val="Calibri"/>
        <family val="2"/>
        <scheme val="minor"/>
      </rPr>
      <t xml:space="preserve">bœuf 4 000, veau 1 000. </t>
    </r>
    <r>
      <rPr>
        <i/>
        <sz val="14"/>
        <rFont val="Calibri"/>
        <family val="2"/>
        <scheme val="minor"/>
      </rPr>
      <t xml:space="preserve">Pied </t>
    </r>
    <r>
      <rPr>
        <sz val="14"/>
        <color theme="1"/>
        <rFont val="Calibri"/>
        <family val="2"/>
        <scheme val="minor"/>
      </rPr>
      <t xml:space="preserve">de porc 200. </t>
    </r>
    <r>
      <rPr>
        <i/>
        <sz val="14"/>
        <rFont val="Calibri"/>
        <family val="2"/>
        <scheme val="minor"/>
      </rPr>
      <t xml:space="preserve">Ris </t>
    </r>
    <r>
      <rPr>
        <sz val="14"/>
        <color theme="1"/>
        <rFont val="Calibri"/>
        <family val="2"/>
        <scheme val="minor"/>
      </rPr>
      <t xml:space="preserve">de veau 750. </t>
    </r>
    <r>
      <rPr>
        <i/>
        <sz val="14"/>
        <rFont val="Calibri"/>
        <family val="2"/>
        <scheme val="minor"/>
      </rPr>
      <t xml:space="preserve">Rognon : </t>
    </r>
    <r>
      <rPr>
        <sz val="14"/>
        <color theme="1"/>
        <rFont val="Calibri"/>
        <family val="2"/>
        <scheme val="minor"/>
      </rPr>
      <t>bœuf 1 000, veau 250, porc 170.</t>
    </r>
  </si>
  <si>
    <r>
      <t xml:space="preserve">100 g d'aliments crus. </t>
    </r>
    <r>
      <rPr>
        <b/>
        <sz val="14"/>
        <rFont val="Calibri"/>
        <family val="2"/>
        <scheme val="minor"/>
      </rPr>
      <t xml:space="preserve">Farineux : </t>
    </r>
    <r>
      <rPr>
        <sz val="14"/>
        <color theme="1"/>
        <rFont val="Calibri"/>
        <family val="2"/>
        <scheme val="minor"/>
      </rPr>
      <t xml:space="preserve">coquillettes 385, macaronis 400, nouilles 385, riz 295, spaghettis 385. </t>
    </r>
    <r>
      <rPr>
        <b/>
        <sz val="10"/>
        <rFont val="Arial"/>
        <family val="2"/>
      </rPr>
      <t/>
    </r>
  </si>
  <si>
    <r>
      <t>100 g d'aliments crus.</t>
    </r>
    <r>
      <rPr>
        <sz val="14"/>
        <color theme="1"/>
        <rFont val="Calibri"/>
        <family val="2"/>
        <scheme val="minor"/>
      </rPr>
      <t xml:space="preserve"> </t>
    </r>
    <r>
      <rPr>
        <b/>
        <sz val="14"/>
        <rFont val="Calibri"/>
        <family val="2"/>
        <scheme val="minor"/>
      </rPr>
      <t xml:space="preserve">Légumes frais : </t>
    </r>
    <r>
      <rPr>
        <sz val="14"/>
        <color theme="1"/>
        <rFont val="Calibri"/>
        <family val="2"/>
        <scheme val="minor"/>
      </rPr>
      <t xml:space="preserve">artichauts 87, asperges 87, bettes 90, betteraves rouges à l'eau 91, au four 57, carottes à l'eau 100, à l'étouffée 64, </t>
    </r>
  </si>
  <si>
    <r>
      <t>100 g d'aliments crus. l</t>
    </r>
    <r>
      <rPr>
        <b/>
        <sz val="14"/>
        <rFont val="Calibri"/>
        <family val="2"/>
        <scheme val="minor"/>
      </rPr>
      <t xml:space="preserve">égumes frais : </t>
    </r>
    <r>
      <rPr>
        <sz val="14"/>
        <color theme="1"/>
        <rFont val="Calibri"/>
        <family val="2"/>
        <scheme val="minor"/>
      </rPr>
      <t xml:space="preserve">, céleris (côtes) 94, raves cuites à l'eau 91, sautées 54, champignons de couche frits 83, </t>
    </r>
  </si>
  <si>
    <r>
      <t>100 g d'aliments crus. l</t>
    </r>
    <r>
      <rPr>
        <b/>
        <sz val="14"/>
        <rFont val="Calibri"/>
        <family val="2"/>
        <scheme val="minor"/>
      </rPr>
      <t xml:space="preserve">égumes frais : </t>
    </r>
    <r>
      <rPr>
        <sz val="14"/>
        <color theme="1"/>
        <rFont val="Calibri"/>
        <family val="2"/>
        <scheme val="minor"/>
      </rPr>
      <t xml:space="preserve"> chou vert, cuit à l'eau 92, à l'étouffée 64, de Bruxelles 86, -fleur 92, </t>
    </r>
  </si>
  <si>
    <r>
      <t>100 g d'aliments crus. l</t>
    </r>
    <r>
      <rPr>
        <b/>
        <sz val="14"/>
        <rFont val="Calibri"/>
        <family val="2"/>
        <scheme val="minor"/>
      </rPr>
      <t>égumes frais :</t>
    </r>
    <r>
      <rPr>
        <sz val="14"/>
        <color theme="1"/>
        <rFont val="Calibri"/>
        <family val="2"/>
        <scheme val="minor"/>
      </rPr>
      <t xml:space="preserve"> épinards cuits à l'eau ou au jus 83, haricots verts cuits à l'eau 104, à l'étouffée 90, navets, cuits à l'eau 95, à l'étouffée 92,</t>
    </r>
  </si>
  <si>
    <r>
      <t>100 g d'aliments crus. l</t>
    </r>
    <r>
      <rPr>
        <b/>
        <sz val="14"/>
        <rFont val="Calibri"/>
        <family val="2"/>
        <scheme val="minor"/>
      </rPr>
      <t>égumes frais :</t>
    </r>
    <r>
      <rPr>
        <sz val="14"/>
        <color theme="1"/>
        <rFont val="Calibri"/>
        <family val="2"/>
        <scheme val="minor"/>
      </rPr>
      <t xml:space="preserve"> poireaux 81, p. de terre en robe des champs 98, à l'anglaise 95, au four 80, en purée 119, en ragoût 154, frites 44 </t>
    </r>
    <r>
      <rPr>
        <vertAlign val="superscript"/>
        <sz val="14"/>
        <rFont val="Calibri"/>
        <family val="2"/>
        <scheme val="minor"/>
      </rPr>
      <t>1</t>
    </r>
    <r>
      <rPr>
        <sz val="14"/>
        <color theme="1"/>
        <rFont val="Calibri"/>
        <family val="2"/>
        <scheme val="minor"/>
      </rPr>
      <t xml:space="preserve">, </t>
    </r>
  </si>
  <si>
    <r>
      <t>100 g d'aliments crus. l</t>
    </r>
    <r>
      <rPr>
        <b/>
        <sz val="14"/>
        <rFont val="Calibri"/>
        <family val="2"/>
        <scheme val="minor"/>
      </rPr>
      <t>égumes frais :</t>
    </r>
    <r>
      <rPr>
        <sz val="14"/>
        <color theme="1"/>
        <rFont val="Calibri"/>
        <family val="2"/>
        <scheme val="minor"/>
      </rPr>
      <t xml:space="preserve"> , potiron 55, scarole 71, tomates frites 69. </t>
    </r>
    <r>
      <rPr>
        <b/>
        <sz val="14"/>
        <rFont val="Calibri"/>
        <family val="2"/>
        <scheme val="minor"/>
      </rPr>
      <t xml:space="preserve">Légumes secs : </t>
    </r>
    <r>
      <rPr>
        <sz val="14"/>
        <color theme="1"/>
        <rFont val="Calibri"/>
        <family val="2"/>
        <scheme val="minor"/>
      </rPr>
      <t>fèves 310, haricots 270,</t>
    </r>
  </si>
  <si>
    <r>
      <t>100 g d'aliments crus. l</t>
    </r>
    <r>
      <rPr>
        <b/>
        <sz val="14"/>
        <rFont val="Calibri"/>
        <family val="2"/>
        <scheme val="minor"/>
      </rPr>
      <t>égumes frais :</t>
    </r>
    <r>
      <rPr>
        <sz val="14"/>
        <color theme="1"/>
        <rFont val="Calibri"/>
        <family val="2"/>
        <scheme val="minor"/>
      </rPr>
      <t xml:space="preserve"> ,, pois cassés 400. </t>
    </r>
    <r>
      <rPr>
        <b/>
        <sz val="10"/>
        <rFont val="Arial"/>
        <family val="2"/>
      </rPr>
      <t/>
    </r>
  </si>
  <si>
    <r>
      <t>100 g d'aliments crus. l</t>
    </r>
    <r>
      <rPr>
        <sz val="14"/>
        <color theme="1"/>
        <rFont val="Calibri"/>
        <family val="2"/>
        <scheme val="minor"/>
      </rPr>
      <t xml:space="preserve"> </t>
    </r>
    <r>
      <rPr>
        <b/>
        <sz val="14"/>
        <rFont val="Calibri"/>
        <family val="2"/>
        <scheme val="minor"/>
      </rPr>
      <t xml:space="preserve">Poissons : </t>
    </r>
    <r>
      <rPr>
        <sz val="14"/>
        <color theme="1"/>
        <rFont val="Calibri"/>
        <family val="2"/>
        <scheme val="minor"/>
      </rPr>
      <t xml:space="preserve">au court-bouillon 95, frits 81. </t>
    </r>
    <r>
      <rPr>
        <i/>
        <sz val="14"/>
        <rFont val="Calibri"/>
        <family val="2"/>
        <scheme val="minor"/>
      </rPr>
      <t xml:space="preserve">Crevettes : </t>
    </r>
    <r>
      <rPr>
        <sz val="14"/>
        <color theme="1"/>
        <rFont val="Calibri"/>
        <family val="2"/>
        <scheme val="minor"/>
      </rPr>
      <t xml:space="preserve">97. </t>
    </r>
    <r>
      <rPr>
        <b/>
        <sz val="10"/>
        <rFont val="Arial"/>
        <family val="2"/>
      </rPr>
      <t/>
    </r>
  </si>
  <si>
    <r>
      <t xml:space="preserve">100 g d'aliments crus. </t>
    </r>
    <r>
      <rPr>
        <sz val="14"/>
        <color theme="1"/>
        <rFont val="Calibri"/>
        <family val="2"/>
        <scheme val="minor"/>
      </rPr>
      <t xml:space="preserve"> </t>
    </r>
    <r>
      <rPr>
        <b/>
        <sz val="14"/>
        <rFont val="Calibri"/>
        <family val="2"/>
        <scheme val="minor"/>
      </rPr>
      <t xml:space="preserve">Viandes : </t>
    </r>
    <r>
      <rPr>
        <i/>
        <sz val="14"/>
        <rFont val="Calibri"/>
        <family val="2"/>
        <scheme val="minor"/>
      </rPr>
      <t xml:space="preserve">bœuf : </t>
    </r>
    <r>
      <rPr>
        <sz val="14"/>
        <color theme="1"/>
        <rFont val="Calibri"/>
        <family val="2"/>
        <scheme val="minor"/>
      </rPr>
      <t xml:space="preserve">bifteck grillé 88, au gril 83, au plat 88, rôti (1/2 h) 77, bouilli 83. </t>
    </r>
    <r>
      <rPr>
        <i/>
        <sz val="10"/>
        <rFont val="Arial"/>
        <family val="2"/>
      </rPr>
      <t/>
    </r>
  </si>
  <si>
    <r>
      <t xml:space="preserve">100 g d'aliments crus. </t>
    </r>
    <r>
      <rPr>
        <sz val="14"/>
        <color theme="1"/>
        <rFont val="Calibri"/>
        <family val="2"/>
        <scheme val="minor"/>
      </rPr>
      <t xml:space="preserve"> </t>
    </r>
    <r>
      <rPr>
        <b/>
        <sz val="14"/>
        <rFont val="Calibri"/>
        <family val="2"/>
        <scheme val="minor"/>
      </rPr>
      <t xml:space="preserve">Viandes : </t>
    </r>
    <r>
      <rPr>
        <sz val="14"/>
        <color theme="1"/>
        <rFont val="Calibri"/>
        <family val="2"/>
        <scheme val="minor"/>
      </rPr>
      <t xml:space="preserve"> </t>
    </r>
    <r>
      <rPr>
        <i/>
        <sz val="14"/>
        <rFont val="Calibri"/>
        <family val="2"/>
        <scheme val="minor"/>
      </rPr>
      <t xml:space="preserve">Veau : </t>
    </r>
    <r>
      <rPr>
        <sz val="14"/>
        <color theme="1"/>
        <rFont val="Calibri"/>
        <family val="2"/>
        <scheme val="minor"/>
      </rPr>
      <t xml:space="preserve">à la poêle 93, rôti (3/4 d'h) 74. </t>
    </r>
    <r>
      <rPr>
        <i/>
        <sz val="14"/>
        <rFont val="Calibri"/>
        <family val="2"/>
        <scheme val="minor"/>
      </rPr>
      <t xml:space="preserve">Mouton : </t>
    </r>
    <r>
      <rPr>
        <sz val="14"/>
        <color theme="1"/>
        <rFont val="Calibri"/>
        <family val="2"/>
        <scheme val="minor"/>
      </rPr>
      <t xml:space="preserve">rôti 73, sauté 69. </t>
    </r>
    <r>
      <rPr>
        <i/>
        <sz val="10"/>
        <rFont val="Arial"/>
        <family val="2"/>
      </rPr>
      <t/>
    </r>
  </si>
  <si>
    <r>
      <t xml:space="preserve">100 g d'aliments crus. </t>
    </r>
    <r>
      <rPr>
        <sz val="14"/>
        <color theme="1"/>
        <rFont val="Calibri"/>
        <family val="2"/>
        <scheme val="minor"/>
      </rPr>
      <t xml:space="preserve"> </t>
    </r>
    <r>
      <rPr>
        <b/>
        <sz val="14"/>
        <rFont val="Calibri"/>
        <family val="2"/>
        <scheme val="minor"/>
      </rPr>
      <t xml:space="preserve">Viandes : </t>
    </r>
    <r>
      <rPr>
        <sz val="14"/>
        <color theme="1"/>
        <rFont val="Calibri"/>
        <family val="2"/>
        <scheme val="minor"/>
      </rPr>
      <t xml:space="preserve"> </t>
    </r>
    <r>
      <rPr>
        <i/>
        <sz val="14"/>
        <rFont val="Calibri"/>
        <family val="2"/>
        <scheme val="minor"/>
      </rPr>
      <t xml:space="preserve">Porc : </t>
    </r>
    <r>
      <rPr>
        <sz val="14"/>
        <color theme="1"/>
        <rFont val="Calibri"/>
        <family val="2"/>
        <scheme val="minor"/>
      </rPr>
      <t xml:space="preserve">côtelette 83, rôti 64. </t>
    </r>
    <r>
      <rPr>
        <i/>
        <sz val="14"/>
        <rFont val="Calibri"/>
        <family val="2"/>
        <scheme val="minor"/>
      </rPr>
      <t xml:space="preserve">Cheval : </t>
    </r>
    <r>
      <rPr>
        <sz val="14"/>
        <color theme="1"/>
        <rFont val="Calibri"/>
        <family val="2"/>
        <scheme val="minor"/>
      </rPr>
      <t xml:space="preserve">bifteck à la poêle 93. </t>
    </r>
    <r>
      <rPr>
        <i/>
        <sz val="14"/>
        <rFont val="Calibri"/>
        <family val="2"/>
        <scheme val="minor"/>
      </rPr>
      <t xml:space="preserve">Foie : </t>
    </r>
    <r>
      <rPr>
        <sz val="14"/>
        <color theme="1"/>
        <rFont val="Calibri"/>
        <family val="2"/>
        <scheme val="minor"/>
      </rPr>
      <t xml:space="preserve">91. </t>
    </r>
    <r>
      <rPr>
        <i/>
        <sz val="14"/>
        <rFont val="Calibri"/>
        <family val="2"/>
        <scheme val="minor"/>
      </rPr>
      <t xml:space="preserve">Boudin : </t>
    </r>
    <r>
      <rPr>
        <sz val="14"/>
        <color theme="1"/>
        <rFont val="Calibri"/>
        <family val="2"/>
        <scheme val="minor"/>
      </rPr>
      <t xml:space="preserve">94. </t>
    </r>
    <r>
      <rPr>
        <i/>
        <sz val="14"/>
        <rFont val="Calibri"/>
        <family val="2"/>
        <scheme val="minor"/>
      </rPr>
      <t xml:space="preserve">Saucisse fraîche : </t>
    </r>
    <r>
      <rPr>
        <sz val="14"/>
        <color theme="1"/>
        <rFont val="Calibri"/>
        <family val="2"/>
        <scheme val="minor"/>
      </rPr>
      <t>92.</t>
    </r>
  </si>
  <si>
    <r>
      <t> 4</t>
    </r>
    <r>
      <rPr>
        <b/>
        <vertAlign val="superscript"/>
        <sz val="12"/>
        <rFont val="Calibri"/>
        <family val="2"/>
        <scheme val="minor"/>
      </rPr>
      <t>e</t>
    </r>
    <r>
      <rPr>
        <b/>
        <sz val="12"/>
        <color theme="1"/>
        <rFont val="Calibri"/>
        <family val="2"/>
        <scheme val="minor"/>
      </rPr>
      <t xml:space="preserve"> et 3</t>
    </r>
    <r>
      <rPr>
        <b/>
        <vertAlign val="superscript"/>
        <sz val="12"/>
        <rFont val="Calibri"/>
        <family val="2"/>
        <scheme val="minor"/>
      </rPr>
      <t>e</t>
    </r>
    <r>
      <rPr>
        <b/>
        <sz val="12"/>
        <color theme="1"/>
        <rFont val="Calibri"/>
        <family val="2"/>
        <scheme val="minor"/>
      </rPr>
      <t> cat.</t>
    </r>
  </si>
  <si>
    <r>
      <t> 2</t>
    </r>
    <r>
      <rPr>
        <b/>
        <vertAlign val="superscript"/>
        <sz val="12"/>
        <rFont val="Calibri"/>
        <family val="2"/>
        <scheme val="minor"/>
      </rPr>
      <t>e</t>
    </r>
    <r>
      <rPr>
        <b/>
        <sz val="12"/>
        <color theme="1"/>
        <rFont val="Calibri"/>
        <family val="2"/>
        <scheme val="minor"/>
      </rPr>
      <t xml:space="preserve"> et 1</t>
    </r>
    <r>
      <rPr>
        <b/>
        <vertAlign val="superscript"/>
        <sz val="12"/>
        <rFont val="Calibri"/>
        <family val="2"/>
        <scheme val="minor"/>
      </rPr>
      <t>re</t>
    </r>
    <r>
      <rPr>
        <b/>
        <sz val="12"/>
        <color theme="1"/>
        <rFont val="Calibri"/>
        <family val="2"/>
        <scheme val="minor"/>
      </rPr>
      <t> cat.</t>
    </r>
  </si>
  <si>
    <r>
      <t>Enceintes (5</t>
    </r>
    <r>
      <rPr>
        <b/>
        <vertAlign val="superscript"/>
        <sz val="12"/>
        <rFont val="Calibri"/>
        <family val="2"/>
        <scheme val="minor"/>
      </rPr>
      <t>e</t>
    </r>
    <r>
      <rPr>
        <b/>
        <sz val="12"/>
        <color theme="1"/>
        <rFont val="Calibri"/>
        <family val="2"/>
        <scheme val="minor"/>
      </rPr>
      <t>-9</t>
    </r>
    <r>
      <rPr>
        <b/>
        <vertAlign val="superscript"/>
        <sz val="12"/>
        <rFont val="Calibri"/>
        <family val="2"/>
        <scheme val="minor"/>
      </rPr>
      <t>e</t>
    </r>
    <r>
      <rPr>
        <b/>
        <sz val="12"/>
        <color theme="1"/>
        <rFont val="Calibri"/>
        <family val="2"/>
        <scheme val="minor"/>
      </rPr>
      <t> mois) </t>
    </r>
    <r>
      <rPr>
        <b/>
        <vertAlign val="superscript"/>
        <sz val="12"/>
        <rFont val="Calibri"/>
        <family val="2"/>
        <scheme val="minor"/>
      </rPr>
      <t>6</t>
    </r>
  </si>
  <si>
    <r>
      <t>Vieillards</t>
    </r>
    <r>
      <rPr>
        <sz val="14"/>
        <color theme="1"/>
        <rFont val="Calibri"/>
        <family val="2"/>
        <scheme val="minor"/>
      </rPr>
      <t> </t>
    </r>
    <r>
      <rPr>
        <b/>
        <vertAlign val="superscript"/>
        <sz val="14"/>
        <rFont val="Calibri"/>
        <family val="2"/>
        <scheme val="minor"/>
      </rPr>
      <t>6</t>
    </r>
    <r>
      <rPr>
        <b/>
        <sz val="14"/>
        <rFont val="Calibri"/>
        <family val="2"/>
        <scheme val="minor"/>
      </rPr>
      <t xml:space="preserve"> </t>
    </r>
  </si>
  <si>
    <t>40/94</t>
  </si>
  <si>
    <r>
      <t>Nota :</t>
    </r>
    <r>
      <rPr>
        <b/>
        <sz val="12"/>
        <color theme="1"/>
        <rFont val="Calibri"/>
        <family val="2"/>
        <scheme val="minor"/>
      </rPr>
      <t> (1) En cuisant, les pommes frites absorbent 8 à 10 % de matières grasses.</t>
    </r>
  </si>
  <si>
    <t>Verre à bière, rempli normalement 250 et 330</t>
  </si>
  <si>
    <t>Transmettez vos savoirs faires peut importe qui les récupèrent pourvu qu'ils servent à un plus grand nombre</t>
  </si>
  <si>
    <t>Bonne utilisation et… à chacun d'améliorer et d'adapter ces documents.  J Leboucher</t>
  </si>
  <si>
    <t>rapportez tout au Kg = 0,400 Kg de viande</t>
  </si>
  <si>
    <t>FORMATS POUR LES FICHES AU Kg</t>
  </si>
  <si>
    <t>lien : une portion c'est combien   sur la nutrition.fr</t>
  </si>
  <si>
    <r>
      <t xml:space="preserve">COMMENT CHOISIR SA POLICE DE SYMBOLES  </t>
    </r>
    <r>
      <rPr>
        <b/>
        <sz val="12"/>
        <rFont val="Verdana"/>
        <family val="2"/>
      </rPr>
      <t>UPRM 1991. Servez vous du pinceau pour reproduire les symboles que vous souhaitez utiliser.Attention saisissez la bonne lettre ou le bon chiffre pour la reproduction</t>
    </r>
  </si>
  <si>
    <t>Saisir lettre ou nombre</t>
  </si>
  <si>
    <t>Correspondance</t>
  </si>
  <si>
    <t>Police Wingdins</t>
  </si>
  <si>
    <t xml:space="preserve">Police Wingdins 2 </t>
  </si>
  <si>
    <t>=</t>
  </si>
  <si>
    <t>Pour reproduire la police de caractère vous pouvez utiliser le pinceau</t>
  </si>
  <si>
    <t>Aa</t>
  </si>
  <si>
    <t>Majuscules</t>
  </si>
  <si>
    <t>correspondance</t>
  </si>
  <si>
    <t>Minuscules</t>
  </si>
  <si>
    <t>Chiffres</t>
  </si>
  <si>
    <t>nombres</t>
  </si>
  <si>
    <t>a</t>
  </si>
  <si>
    <t>formats personnalisés</t>
  </si>
  <si>
    <t>TEST POLICE DE CARACTERES</t>
  </si>
  <si>
    <t>b</t>
  </si>
  <si>
    <t>0.00\ " cm³"</t>
  </si>
  <si>
    <t>Dans caractères spéciaux =&gt; symboles =&gt; Nombres et symboles. Là tu descends (tu as d'abord une série de nombre entourés, puis des nombres sous fractions, ...) et enfin tu as deux lignes de 0 à 9 écrit petit, ceux sont eux, les exposants et les indices.</t>
  </si>
  <si>
    <t>Saisir une ou des lettres / nombres ou une phrase cellule C jaune</t>
  </si>
  <si>
    <t>c</t>
  </si>
  <si>
    <t>le ³ se fait en tapant alt+0179</t>
  </si>
  <si>
    <t>Saisir ICI</t>
  </si>
  <si>
    <t>d</t>
  </si>
  <si>
    <t>le ² se fait en tapant alt+0178</t>
  </si>
  <si>
    <t>Sélectionnez toute les cellules  ci-dessous et changez de police de caractère pour voir</t>
  </si>
  <si>
    <t>e</t>
  </si>
  <si>
    <t>ou en copier-coller</t>
  </si>
  <si>
    <t xml:space="preserve">m² </t>
  </si>
  <si>
    <t xml:space="preserve">M² </t>
  </si>
  <si>
    <t>m³ </t>
  </si>
  <si>
    <t>M³ </t>
  </si>
  <si>
    <t xml:space="preserve">cm² </t>
  </si>
  <si>
    <t>cm³ </t>
  </si>
  <si>
    <t>f</t>
  </si>
  <si>
    <t>Format | cellule | personnalisé | 0" m²"</t>
  </si>
  <si>
    <t>X</t>
  </si>
  <si>
    <t>t</t>
  </si>
  <si>
    <t>g</t>
  </si>
  <si>
    <t>Z</t>
  </si>
  <si>
    <t>q</t>
  </si>
  <si>
    <t>H</t>
  </si>
  <si>
    <t>h</t>
  </si>
  <si>
    <t>u</t>
  </si>
  <si>
    <t>p</t>
  </si>
  <si>
    <t>i</t>
  </si>
  <si>
    <t>Fonction : Adresse colonne</t>
  </si>
  <si>
    <t>j</t>
  </si>
  <si>
    <t>k</t>
  </si>
  <si>
    <t>l</t>
  </si>
  <si>
    <t>Numérotation Format : Images pour compléter parce que les Symboles sont limités au N° 20</t>
  </si>
  <si>
    <t>m</t>
  </si>
  <si>
    <t>n</t>
  </si>
  <si>
    <t>o</t>
  </si>
  <si>
    <t>Q</t>
  </si>
  <si>
    <t>r</t>
  </si>
  <si>
    <t>s</t>
  </si>
  <si>
    <t>U</t>
  </si>
  <si>
    <t>v</t>
  </si>
  <si>
    <t>W</t>
  </si>
  <si>
    <t>w</t>
  </si>
  <si>
    <t>x</t>
  </si>
  <si>
    <t xml:space="preserve">Sélection de polices pour l'école </t>
  </si>
  <si>
    <t>Y</t>
  </si>
  <si>
    <t>y</t>
  </si>
  <si>
    <t>https://pragmatice.net/kitinstit/3_installer_produire_polices_selection.htm</t>
  </si>
  <si>
    <t>z</t>
  </si>
  <si>
    <t>http://www.philing.net/</t>
  </si>
  <si>
    <t>&amp;</t>
  </si>
  <si>
    <t>£</t>
  </si>
  <si>
    <t>;</t>
  </si>
  <si>
    <t>é</t>
  </si>
  <si>
    <t>#</t>
  </si>
  <si>
    <t>:</t>
  </si>
  <si>
    <t>Petites leçons de Typographie</t>
  </si>
  <si>
    <t>è</t>
  </si>
  <si>
    <t>(</t>
  </si>
  <si>
    <t>!</t>
  </si>
  <si>
    <t>-</t>
  </si>
  <si>
    <t>http://jacques-andre.fr/faqtypo/lessons.pdf</t>
  </si>
  <si>
    <t>ù</t>
  </si>
  <si>
    <t>)</t>
  </si>
  <si>
    <t>ç</t>
  </si>
  <si>
    <t>[</t>
  </si>
  <si>
    <t>&gt;</t>
  </si>
  <si>
    <t>~</t>
  </si>
  <si>
    <t>Document à télécharger</t>
  </si>
  <si>
    <t>à</t>
  </si>
  <si>
    <t>]</t>
  </si>
  <si>
    <t>&lt;</t>
  </si>
  <si>
    <t>"</t>
  </si>
  <si>
    <t xml:space="preserve">Mémo caractères spéciaux sous Windows </t>
  </si>
  <si>
    <t>µ</t>
  </si>
  <si>
    <t>{</t>
  </si>
  <si>
    <t>\</t>
  </si>
  <si>
    <t>*</t>
  </si>
  <si>
    <t>§</t>
  </si>
  <si>
    <t>}</t>
  </si>
  <si>
    <t>/</t>
  </si>
  <si>
    <t>Polices de Caractères à Télécharger</t>
  </si>
  <si>
    <t>|</t>
  </si>
  <si>
    <t>_</t>
  </si>
  <si>
    <t>http://fr.fontriver.com/</t>
  </si>
  <si>
    <t>http://fr.fonts2u.com/category.html?id=21</t>
  </si>
  <si>
    <t>Police Wending 3</t>
  </si>
  <si>
    <t>Police Webdings</t>
  </si>
  <si>
    <t xml:space="preserve">Retrouver une police utilisée - TechTour : Démo </t>
  </si>
  <si>
    <t>https://www.youtube.com/watch?v=wMgBzUHzKvM</t>
  </si>
  <si>
    <t>Police ZDingbats</t>
  </si>
  <si>
    <t>Police Marlett</t>
  </si>
  <si>
    <t>Police MT Extra</t>
  </si>
  <si>
    <t>Police Symbol</t>
  </si>
  <si>
    <t>Copiez / collez le symbole sur votre document ou faites un imprim'écran</t>
  </si>
  <si>
    <t>ff-documents-apprentis-Patissiers.xlsx</t>
  </si>
  <si>
    <t>ff-Croquis.xlsx</t>
  </si>
  <si>
    <t>ff-qualiterecettes2007.xls</t>
  </si>
  <si>
    <t>ff-tableau-cuisson.pdf</t>
  </si>
  <si>
    <t>https://www.excel-downloads.com/resources/</t>
  </si>
  <si>
    <r>
      <rPr>
        <sz val="12"/>
        <color indexed="10"/>
        <rFont val="Times New Roman"/>
        <family val="1"/>
      </rPr>
      <t xml:space="preserve">1855 OLIDA </t>
    </r>
    <r>
      <rPr>
        <sz val="12"/>
        <color indexed="56"/>
        <rFont val="Bookman Old Style"/>
        <family val="1"/>
      </rPr>
      <t>11 rue Drouot Paris. Monsieur Ernest OLIDA ouvre un petit magasin gastronomique dans le cadre élégant du Palais Royal</t>
    </r>
  </si>
  <si>
    <t>Compositon</t>
  </si>
  <si>
    <t>Somme</t>
  </si>
  <si>
    <t>Maigre de volaille</t>
  </si>
  <si>
    <t>Poitrine de porc extra</t>
  </si>
  <si>
    <t>Gorge parée</t>
  </si>
  <si>
    <t>Lait entier 60°C ( aromatisé)</t>
  </si>
  <si>
    <t>Sel fin</t>
  </si>
  <si>
    <t>Poivre blanc</t>
  </si>
  <si>
    <t>4 épices</t>
  </si>
  <si>
    <t xml:space="preserve">Eau de fleurs d' oranger </t>
  </si>
  <si>
    <r>
      <rPr>
        <sz val="11"/>
        <color indexed="60"/>
        <rFont val="Times New Roman"/>
        <family val="1"/>
      </rPr>
      <t>OLIDA</t>
    </r>
    <r>
      <rPr>
        <sz val="11"/>
        <color indexed="56"/>
        <rFont val="Bookman Old Style"/>
        <family val="1"/>
      </rPr>
      <t>. Un art de vivre à la Française, c'est un parfum de gastronomie , de notoriété, un parfum qui évoque la qualité des produits et la confiance</t>
    </r>
  </si>
  <si>
    <t>Rhum</t>
  </si>
  <si>
    <t>Cognac</t>
  </si>
  <si>
    <r>
      <rPr>
        <sz val="14"/>
        <color indexed="10"/>
        <rFont val="Times New Roman"/>
        <family val="1"/>
      </rPr>
      <t>OLIDA Levallois 1892/ 1984</t>
    </r>
    <r>
      <rPr>
        <sz val="14"/>
        <color indexed="56"/>
        <rFont val="Times New Roman"/>
        <family val="1"/>
      </rPr>
      <t xml:space="preserve"> </t>
    </r>
    <r>
      <rPr>
        <sz val="10"/>
        <color indexed="56"/>
        <rFont val="Times New Roman"/>
        <family val="1"/>
      </rPr>
      <t xml:space="preserve"> Mr Michel MARIETTE 1958/1984</t>
    </r>
  </si>
  <si>
    <t>Pages et documents de Michel MARIETTE</t>
  </si>
  <si>
    <t>j'ai sauvegardé ces documents sur la nouvelle version d'Excel .xlsx</t>
  </si>
  <si>
    <t>pour que tout ce travail ne disparaisse pas mais puisse se transmettre</t>
  </si>
  <si>
    <t>les documents d'origine sont en .xls  à cette adresse :</t>
  </si>
  <si>
    <t>Le blog de la charcuterie - salaison de Michel Mariette</t>
  </si>
  <si>
    <t>contact :</t>
  </si>
  <si>
    <t>http://michelmariette.over-blog.fr/contact</t>
  </si>
  <si>
    <t>GPAO SALAISON jambon cuit -</t>
  </si>
  <si>
    <t>http://michelmariette.over-blog.fr/page/2</t>
  </si>
  <si>
    <t>http://michelmariette.over-blog.fr/article-gpao-de-la-salaison-40710259.html</t>
  </si>
  <si>
    <t>1990 OLIDA Illkirsch-Graffenstaden. Monsieur Michel Mariette Chef de fabrication</t>
  </si>
  <si>
    <t>Jus d'orange</t>
  </si>
  <si>
    <t>N°2</t>
  </si>
  <si>
    <t>http://michelmariette.over-blog.fr/</t>
  </si>
  <si>
    <t>POUR LES FICHES RECETTES A LA PORTION</t>
  </si>
  <si>
    <t>pour 1 Kg</t>
  </si>
  <si>
    <t>lien &gt;</t>
  </si>
  <si>
    <t>Mise à jour du 16 décembre 2017 - Annule ou complète les versions précédentes lies liens sont parfois éphémères; pas de panique…..demandez à Google …il vous retrouvera un lien équivalent</t>
  </si>
  <si>
    <t>J'attire votre attention pour la saisie des quantités    supposons qu'il y ait 400g de viande 2 œufs ou 2 pieds de veau et 5 cl de crème dans la recette …..Excel aura du mal à faire la différence</t>
  </si>
  <si>
    <t>Tables des caractères Unicode - Alphanumériques cerclés</t>
  </si>
  <si>
    <t>caractères  Alphanumériques cerclés</t>
  </si>
  <si>
    <t>http://unicode.org/</t>
  </si>
  <si>
    <t>visualiseur d'Emoji et de symboles</t>
  </si>
  <si>
    <t>PT-bonnes-pratiques.doc   </t>
  </si>
  <si>
    <t>Banque d'images pour agrémenter vos documents</t>
  </si>
  <si>
    <t>Convertir des temps</t>
  </si>
  <si>
    <t>Heures</t>
  </si>
  <si>
    <t>Minutes</t>
  </si>
  <si>
    <t>Centièmes</t>
  </si>
  <si>
    <t xml:space="preserve">Quantités nettes à prévoir : Mater Prim Adul Adul +  </t>
  </si>
  <si>
    <t>Décriptage d'une recette par les pourcentages</t>
  </si>
  <si>
    <t>Pourcentages</t>
  </si>
  <si>
    <t>POIDS DE LA RECETTE A DÉCRYPTER</t>
  </si>
  <si>
    <t>Sucre de cannes</t>
  </si>
  <si>
    <t>Jus de pamplemousse</t>
  </si>
  <si>
    <t>Citron vert</t>
  </si>
  <si>
    <t>RÉFLEXION SUR DES MODÈLE DE RÉPERTOIRES</t>
  </si>
  <si>
    <t>Asperges</t>
  </si>
  <si>
    <t>Betteraves</t>
  </si>
  <si>
    <t>Champignons</t>
  </si>
  <si>
    <t>DATE :</t>
  </si>
  <si>
    <t xml:space="preserve">GEM/RCN   POUR FICHES TECHNIQUES </t>
  </si>
  <si>
    <t>FICHE :</t>
  </si>
  <si>
    <t xml:space="preserve">PRODUITS  prêts à consommer  en Kg ou à la pièce </t>
  </si>
  <si>
    <t>M.  Maternelle    Enfants en maternelle</t>
  </si>
  <si>
    <t>P.   Primaire  Enfants en classe élémentaire</t>
  </si>
  <si>
    <t>A .  Ado/Adult   Adolescents,adultes,personnes agées si portage à domicile</t>
  </si>
  <si>
    <t>PAM.   Personnes Agées en institution déjeuner Midi</t>
  </si>
  <si>
    <t>PAS.   Personnes Agées en institution diner Soir</t>
  </si>
  <si>
    <t>Adultes + = GEM/RCN grammages (Adolescents - Adultes) + %</t>
  </si>
  <si>
    <t>RECOMMANDATIONS RELATIVES A LA NUTRTION (N°J5-07DU 4 MAI 2007) approuvé par décision n° 2007-17 du comité exécutif de l'OEAP</t>
  </si>
  <si>
    <t>A +</t>
  </si>
  <si>
    <t>PAM</t>
  </si>
  <si>
    <t>PAS</t>
  </si>
  <si>
    <t>% A+</t>
  </si>
  <si>
    <t>PAIN</t>
  </si>
  <si>
    <t>CRUDITÉS sans assaisonnement</t>
  </si>
  <si>
    <r>
      <t>Avocat (à l</t>
    </r>
    <r>
      <rPr>
        <b/>
        <vertAlign val="superscript"/>
        <sz val="12"/>
        <color indexed="17"/>
        <rFont val="Arial"/>
        <family val="2"/>
      </rPr>
      <t>'</t>
    </r>
    <r>
      <rPr>
        <b/>
        <sz val="12"/>
        <color indexed="17"/>
        <rFont val="Arial"/>
        <family val="2"/>
      </rPr>
      <t>unité)</t>
    </r>
  </si>
  <si>
    <t>Carottes, céleri et autres racines râpées</t>
  </si>
  <si>
    <t>Choux rouge et choux blanc émincé</t>
  </si>
  <si>
    <t>Endive</t>
  </si>
  <si>
    <t>Melon, Pastèque</t>
  </si>
  <si>
    <r>
      <t>Pamplemousse (à l</t>
    </r>
    <r>
      <rPr>
        <b/>
        <vertAlign val="superscript"/>
        <sz val="12"/>
        <color indexed="17"/>
        <rFont val="Arial"/>
        <family val="2"/>
      </rPr>
      <t>'</t>
    </r>
    <r>
      <rPr>
        <b/>
        <sz val="12"/>
        <color indexed="17"/>
        <rFont val="Arial"/>
        <family val="2"/>
      </rPr>
      <t>unité)</t>
    </r>
  </si>
  <si>
    <t>Salade verte</t>
  </si>
  <si>
    <t>Salade composée à base de crudités</t>
  </si>
  <si>
    <t>Champignons crus</t>
  </si>
  <si>
    <t>CUIDITES sans assaisonnement</t>
  </si>
  <si>
    <t>Potage à base de légumes (en litres/Kg)</t>
  </si>
  <si>
    <r>
      <t>Artichaut entier (à l</t>
    </r>
    <r>
      <rPr>
        <b/>
        <vertAlign val="superscript"/>
        <sz val="12"/>
        <color indexed="17"/>
        <rFont val="Arial"/>
        <family val="2"/>
      </rPr>
      <t>'</t>
    </r>
    <r>
      <rPr>
        <b/>
        <sz val="12"/>
        <color indexed="17"/>
        <rFont val="Arial"/>
        <family val="2"/>
      </rPr>
      <t>unité)</t>
    </r>
  </si>
  <si>
    <r>
      <t>Fond d</t>
    </r>
    <r>
      <rPr>
        <vertAlign val="superscript"/>
        <sz val="12"/>
        <rFont val="Arial"/>
        <family val="2"/>
      </rPr>
      <t>'</t>
    </r>
    <r>
      <rPr>
        <sz val="12"/>
        <rFont val="Arial"/>
        <family val="2"/>
      </rPr>
      <t>artichaut</t>
    </r>
  </si>
  <si>
    <t>Céleri</t>
  </si>
  <si>
    <t>Choux fleurs</t>
  </si>
  <si>
    <t>Cœurs de palmier</t>
  </si>
  <si>
    <t>Haricots verts</t>
  </si>
  <si>
    <t>Poireaux (blancs de poireaux)</t>
  </si>
  <si>
    <t>Salade composée à base de légumes cuits</t>
  </si>
  <si>
    <t>Soja (germes de haricots mungo)</t>
  </si>
  <si>
    <t>Terrine de légumes</t>
  </si>
  <si>
    <t xml:space="preserve">ENTRÉES DE FÉCULENT </t>
  </si>
  <si>
    <t>Salades composées à base de P. de T., blé, riz, semoule ou pâtes</t>
  </si>
  <si>
    <t>ENTREES PROTIDIQUES DIVERSES</t>
  </si>
  <si>
    <r>
      <t>Œuf dur (à l</t>
    </r>
    <r>
      <rPr>
        <b/>
        <vertAlign val="superscript"/>
        <sz val="12"/>
        <color indexed="17"/>
        <rFont val="Arial"/>
        <family val="2"/>
      </rPr>
      <t>'</t>
    </r>
    <r>
      <rPr>
        <b/>
        <sz val="12"/>
        <color indexed="17"/>
        <rFont val="Arial"/>
        <family val="2"/>
      </rPr>
      <t>unité)</t>
    </r>
  </si>
  <si>
    <t>Hareng/garniture</t>
  </si>
  <si>
    <t>Maquereau</t>
  </si>
  <si>
    <r>
      <t>Sardines (à l</t>
    </r>
    <r>
      <rPr>
        <b/>
        <vertAlign val="superscript"/>
        <sz val="12"/>
        <color indexed="17"/>
        <rFont val="Arial"/>
        <family val="2"/>
      </rPr>
      <t>'</t>
    </r>
    <r>
      <rPr>
        <b/>
        <sz val="12"/>
        <color indexed="17"/>
        <rFont val="Arial"/>
        <family val="2"/>
      </rPr>
      <t>unité) sauf exception mentionnée</t>
    </r>
  </si>
  <si>
    <t>Thon au naturel</t>
  </si>
  <si>
    <t>Jambon cru de pays</t>
  </si>
  <si>
    <t>Jambon blanc</t>
  </si>
  <si>
    <t>Pâté, terrine , mousse</t>
  </si>
  <si>
    <t>Pâté en croûte</t>
  </si>
  <si>
    <t>Rillettes</t>
  </si>
  <si>
    <t>Salami – Saucisson – Mortadelle</t>
  </si>
  <si>
    <t>PREPARATIONS PATISSIERES SALEES</t>
  </si>
  <si>
    <t>Nems</t>
  </si>
  <si>
    <t>Crêpes</t>
  </si>
  <si>
    <t>Friand, feuilleté</t>
  </si>
  <si>
    <t>Pizza</t>
  </si>
  <si>
    <t>Tarte salée</t>
  </si>
  <si>
    <r>
      <t>ASSAISONNEMENT HORS D</t>
    </r>
    <r>
      <rPr>
        <b/>
        <vertAlign val="superscript"/>
        <sz val="12"/>
        <rFont val="Arial"/>
        <family val="2"/>
      </rPr>
      <t>'</t>
    </r>
    <r>
      <rPr>
        <b/>
        <sz val="12"/>
        <rFont val="Arial"/>
        <family val="2"/>
      </rPr>
      <t>OEUVRE(</t>
    </r>
    <r>
      <rPr>
        <sz val="12"/>
        <rFont val="Arial"/>
        <family val="2"/>
      </rPr>
      <t>poids</t>
    </r>
    <r>
      <rPr>
        <b/>
        <sz val="12"/>
        <rFont val="Arial"/>
        <family val="2"/>
      </rPr>
      <t xml:space="preserve"> </t>
    </r>
    <r>
      <rPr>
        <sz val="12"/>
        <rFont val="Arial"/>
        <family val="2"/>
      </rPr>
      <t>de la matière grasse)</t>
    </r>
  </si>
  <si>
    <t>VIANDES SANS SAUCE</t>
  </si>
  <si>
    <t>BŒUF</t>
  </si>
  <si>
    <t>Bœuf braisé, bœuf sauté, bouilli de bœuf</t>
  </si>
  <si>
    <t>Rôti de bœuf, steak</t>
  </si>
  <si>
    <t>Steak haché</t>
  </si>
  <si>
    <t>Hamburger</t>
  </si>
  <si>
    <r>
      <t>Boulettes de bœuf de 30g pièce crues (à l</t>
    </r>
    <r>
      <rPr>
        <vertAlign val="superscript"/>
        <sz val="12"/>
        <rFont val="Arial"/>
        <family val="2"/>
      </rPr>
      <t>'</t>
    </r>
    <r>
      <rPr>
        <sz val="12"/>
        <rFont val="Arial"/>
        <family val="2"/>
      </rPr>
      <t>unité)</t>
    </r>
  </si>
  <si>
    <t>Boulettes de bœuf de 30g pièce crues (au poids)</t>
  </si>
  <si>
    <t>Bolognaise viande</t>
  </si>
  <si>
    <t>VEAU</t>
  </si>
  <si>
    <t>Sauté de veau ou blanquette (sans os)</t>
  </si>
  <si>
    <t>Escalope de veau, rôti de veau</t>
  </si>
  <si>
    <t>Steak haché de veau</t>
  </si>
  <si>
    <t>Hamburger veau, Rissolette veau</t>
  </si>
  <si>
    <t>Paupiette de veau</t>
  </si>
  <si>
    <t>AGNEAU-MOUTON</t>
  </si>
  <si>
    <t>Gigot</t>
  </si>
  <si>
    <t>Sauté (sans os)</t>
  </si>
  <si>
    <r>
      <t>Côte d</t>
    </r>
    <r>
      <rPr>
        <vertAlign val="superscript"/>
        <sz val="12"/>
        <rFont val="Arial"/>
        <family val="2"/>
      </rPr>
      <t>'</t>
    </r>
    <r>
      <rPr>
        <sz val="12"/>
        <rFont val="Arial"/>
        <family val="2"/>
      </rPr>
      <t>agneau avec os</t>
    </r>
  </si>
  <si>
    <r>
      <t>Boulettes d</t>
    </r>
    <r>
      <rPr>
        <vertAlign val="superscript"/>
        <sz val="12"/>
        <rFont val="Arial"/>
        <family val="2"/>
      </rPr>
      <t>'</t>
    </r>
    <r>
      <rPr>
        <sz val="12"/>
        <rFont val="Arial"/>
        <family val="2"/>
      </rPr>
      <t>agneau-mouton de 30g pièce crues (à l</t>
    </r>
    <r>
      <rPr>
        <vertAlign val="superscript"/>
        <sz val="12"/>
        <rFont val="Arial"/>
        <family val="2"/>
      </rPr>
      <t>'</t>
    </r>
    <r>
      <rPr>
        <sz val="12"/>
        <rFont val="Arial"/>
        <family val="2"/>
      </rPr>
      <t>unité )</t>
    </r>
  </si>
  <si>
    <r>
      <t>Boulettes d</t>
    </r>
    <r>
      <rPr>
        <vertAlign val="superscript"/>
        <sz val="12"/>
        <rFont val="Arial"/>
        <family val="2"/>
      </rPr>
      <t>'</t>
    </r>
    <r>
      <rPr>
        <sz val="12"/>
        <rFont val="Arial"/>
        <family val="2"/>
      </rPr>
      <t>agneau-mouton de 30g pièce crues (au Kg )</t>
    </r>
  </si>
  <si>
    <r>
      <t>Merguez de 50 g pièce crues (à l</t>
    </r>
    <r>
      <rPr>
        <vertAlign val="superscript"/>
        <sz val="12"/>
        <rFont val="Arial"/>
        <family val="2"/>
      </rPr>
      <t>'</t>
    </r>
    <r>
      <rPr>
        <sz val="12"/>
        <rFont val="Arial"/>
        <family val="2"/>
      </rPr>
      <t>unité)</t>
    </r>
  </si>
  <si>
    <t>Merguez de 50 g pièce crues (au Kg)</t>
  </si>
  <si>
    <t>PORC</t>
  </si>
  <si>
    <t>Rôti de porc, grillade (sans os)</t>
  </si>
  <si>
    <t>Côte de porc</t>
  </si>
  <si>
    <t>Jambon DD, palette de porc</t>
  </si>
  <si>
    <t>Andouillettes</t>
  </si>
  <si>
    <r>
      <t>Saucisse chipolatas de 50 g pièce crue ( à l</t>
    </r>
    <r>
      <rPr>
        <vertAlign val="superscript"/>
        <sz val="12"/>
        <rFont val="Arial"/>
        <family val="2"/>
      </rPr>
      <t>'</t>
    </r>
    <r>
      <rPr>
        <sz val="12"/>
        <rFont val="Arial"/>
        <family val="2"/>
      </rPr>
      <t>unité)</t>
    </r>
  </si>
  <si>
    <t>Saucisse chipolatas de 50 g pièce crue ( au Kg)</t>
  </si>
  <si>
    <r>
      <t>Saucisse de Francfort Strasbourg de 50 g pièce crue (à l</t>
    </r>
    <r>
      <rPr>
        <vertAlign val="superscript"/>
        <sz val="12"/>
        <rFont val="Arial"/>
        <family val="2"/>
      </rPr>
      <t>'</t>
    </r>
    <r>
      <rPr>
        <sz val="12"/>
        <rFont val="Arial"/>
        <family val="2"/>
      </rPr>
      <t>unité)</t>
    </r>
  </si>
  <si>
    <t>Saucisse Toulouse, Montbéliard, Morteau</t>
  </si>
  <si>
    <t>VOLAILLE-LAPIN</t>
  </si>
  <si>
    <t>Rôti de volaille, escalope de volaille, blanc de
poulet</t>
  </si>
  <si>
    <t>Sauté</t>
  </si>
  <si>
    <t>Jambon de volaille</t>
  </si>
  <si>
    <t>Cordon bleu</t>
  </si>
  <si>
    <t>Cuisse de poulet, de pintade, de canard</t>
  </si>
  <si>
    <t>Brochette</t>
  </si>
  <si>
    <t>Paupiette de volaille</t>
  </si>
  <si>
    <t>Fingers, beignets, nuggets de 20 g pièce crus</t>
  </si>
  <si>
    <t>Fingers, beignets, nuggets de 20 g (Kg) crus</t>
  </si>
  <si>
    <t>Escalope panée</t>
  </si>
  <si>
    <t>Cuisse de lapin</t>
  </si>
  <si>
    <t>Lapin sauté</t>
  </si>
  <si>
    <t>Paupiette de lapin</t>
  </si>
  <si>
    <r>
      <t>Saucisse de volaille de 50g pièce crue (à l</t>
    </r>
    <r>
      <rPr>
        <vertAlign val="superscript"/>
        <sz val="12"/>
        <rFont val="Arial"/>
        <family val="2"/>
      </rPr>
      <t>’</t>
    </r>
    <r>
      <rPr>
        <sz val="12"/>
        <rFont val="Arial"/>
        <family val="2"/>
      </rPr>
      <t>unité)</t>
    </r>
  </si>
  <si>
    <t>Saucisse de volaille de 50g pièce crue (Kg)</t>
  </si>
  <si>
    <t>ABATS</t>
  </si>
  <si>
    <t>Foie, langue, rognons, boudin</t>
  </si>
  <si>
    <t>Tripes avec sauce</t>
  </si>
  <si>
    <t>OEUFS (plat principal)</t>
  </si>
  <si>
    <r>
      <t>Œufs durs (à l</t>
    </r>
    <r>
      <rPr>
        <b/>
        <vertAlign val="superscript"/>
        <sz val="12"/>
        <rFont val="Arial"/>
        <family val="2"/>
      </rPr>
      <t>'</t>
    </r>
    <r>
      <rPr>
        <b/>
        <sz val="12"/>
        <rFont val="Arial"/>
        <family val="2"/>
      </rPr>
      <t>unité)</t>
    </r>
  </si>
  <si>
    <t>Omelette</t>
  </si>
  <si>
    <t>POISSONS (Sans sauce)</t>
  </si>
  <si>
    <t>Poissons non enrobés sans arêtes (filets, rôtis,
steaks, brochettes, cubes)</t>
  </si>
  <si>
    <t>Brochettes de poisson</t>
  </si>
  <si>
    <t>Darne</t>
  </si>
  <si>
    <t>Beignets, poissons panés ou enrobés (croquettes,
paupiettes,…)</t>
  </si>
  <si>
    <t>Poissons entiers</t>
  </si>
  <si>
    <r>
      <t xml:space="preserve">PLATS COMPOSES </t>
    </r>
    <r>
      <rPr>
        <sz val="12"/>
        <rFont val="Arial"/>
        <family val="2"/>
      </rPr>
      <t>(denrée protidique et garniture)</t>
    </r>
  </si>
  <si>
    <r>
      <t>Plat composé, choucroute, paëlla, etc. (poids minimum d</t>
    </r>
    <r>
      <rPr>
        <vertAlign val="superscript"/>
        <sz val="12"/>
        <rFont val="Arial"/>
        <family val="2"/>
      </rPr>
      <t>’</t>
    </r>
    <r>
      <rPr>
        <sz val="12"/>
        <rFont val="Arial"/>
        <family val="2"/>
      </rPr>
      <t>aliment protidique)</t>
    </r>
  </si>
  <si>
    <r>
      <t>Hachis Parmentier, Brandade, Légumes farcis (poids minimum d</t>
    </r>
    <r>
      <rPr>
        <vertAlign val="superscript"/>
        <sz val="12"/>
        <rFont val="Arial"/>
        <family val="2"/>
      </rPr>
      <t>’</t>
    </r>
    <r>
      <rPr>
        <sz val="12"/>
        <rFont val="Arial"/>
        <family val="2"/>
      </rPr>
      <t>aliment protidique)</t>
    </r>
  </si>
  <si>
    <t>Raviolis, Cannellonis, Lasagnes ... (poids ration avec sauce)</t>
  </si>
  <si>
    <t>Préparations pâtissières (crêpes, pizzas, croque- monsieur, friands, quiches)</t>
  </si>
  <si>
    <t>Quenelle</t>
  </si>
  <si>
    <t>LEGUMES CUITS</t>
  </si>
  <si>
    <t>FÉCULENTS CUITS</t>
  </si>
  <si>
    <t>Riz – Pâtes – Pommes de terre</t>
  </si>
  <si>
    <t>Purée de pomme de terre, fraiche ou reconstituée</t>
  </si>
  <si>
    <t>Légumes secs</t>
  </si>
  <si>
    <t xml:space="preserve">SAUCES POUR PLATS </t>
  </si>
  <si>
    <t>SAUCES POUR PLATS (mayonnaise, ketchup, etc.) Poids de la matière grasse</t>
  </si>
  <si>
    <t>SAUCES POUR PLATS (sauce tomate, béchamel)</t>
  </si>
  <si>
    <t>SAUCES POUR PLATS (jus de viande)</t>
  </si>
  <si>
    <t>SAUCES POUR PLATS (beurre blanc, sauce crème,sauce forestière)</t>
  </si>
  <si>
    <t>FROMAGES</t>
  </si>
  <si>
    <t>PRODUITS LAITIERS FRAIS</t>
  </si>
  <si>
    <t>Fromage blanc, fromages frais</t>
  </si>
  <si>
    <t>Petit suisse</t>
  </si>
  <si>
    <t>Lait demi-écrémé en ml des menus 4 composantes</t>
  </si>
  <si>
    <t>DESSERTS</t>
  </si>
  <si>
    <t>Desserts lactés</t>
  </si>
  <si>
    <t>Mousse (en Litre)</t>
  </si>
  <si>
    <t>Fruits crus</t>
  </si>
  <si>
    <t>Fruits cuits</t>
  </si>
  <si>
    <t>Pâtisseries fraiches ou surgelées en portions</t>
  </si>
  <si>
    <t>Pâtisseries fraiches ou surgelées à portionner</t>
  </si>
  <si>
    <t>Pâtisserie sèche emballée</t>
  </si>
  <si>
    <r>
      <t>Biscuits d</t>
    </r>
    <r>
      <rPr>
        <vertAlign val="superscript"/>
        <sz val="12"/>
        <rFont val="Arial"/>
        <family val="2"/>
      </rPr>
      <t>'</t>
    </r>
    <r>
      <rPr>
        <sz val="12"/>
        <rFont val="Arial"/>
        <family val="2"/>
      </rPr>
      <t>accompagnement</t>
    </r>
  </si>
  <si>
    <t>GOUTER, COLLATION (enfants, adolescents et personnes âgées en institution)</t>
  </si>
  <si>
    <t>Pain</t>
  </si>
  <si>
    <t>Biscuits secs</t>
  </si>
  <si>
    <t>Céréales (enfants et adolescents uniquement)</t>
  </si>
  <si>
    <t>Pâtisseries sèches emballées</t>
  </si>
  <si>
    <t>Confiture, chocolat, miel</t>
  </si>
  <si>
    <t>Fruit cru</t>
  </si>
  <si>
    <t>Fruit cuit</t>
  </si>
  <si>
    <t>Lait 1/2 écrémé (en Litre)</t>
  </si>
  <si>
    <t>Fromage blanc</t>
  </si>
  <si>
    <t>Fromage</t>
  </si>
  <si>
    <t>UPRT : Union des Personnels de la Restauration Territoriale</t>
  </si>
  <si>
    <t>DAUBES ET ESTOUFFADES</t>
  </si>
  <si>
    <t>VIANDES EN SAUCES LONGUES (ragouts-estouffades-bourguignons etc…)                      Cuisine Centrale de Clamart 1993</t>
  </si>
  <si>
    <t>INFOS GLANÉES DANS DIFFÉRENTS OUVRAGES</t>
  </si>
  <si>
    <t>ORT organisation raisonnée du travail pour 3000 couverts</t>
  </si>
  <si>
    <t>d'origine provençale elles exigent la présence d'un morceau de zeste d'orange</t>
  </si>
  <si>
    <t>J moins 1</t>
  </si>
  <si>
    <t>faites en provision en faisant sécher des rubans de zestes prélevés sur des oranges non traitées</t>
  </si>
  <si>
    <t>préparer la garniture aromatique - faire rissoler les oignons à brun</t>
  </si>
  <si>
    <t>lorsque les morceaux de bœuf  à braiser ou mijoter proviennt de l'aloyau ou des cotes et sont donc persillées, vous aurez la certitude d'avoir une viande tendre et moelleuse sans qu'il soit nécessaire de la larder,</t>
  </si>
  <si>
    <t>conditionner les légumes en filets -a jeter après cuisson dans un sac séparé</t>
  </si>
  <si>
    <t>d'autres morceaux provenant de la cuisse ou du paleron; excellents mais un peu secs, ont besoin d'^etre préalablement lardés, pour être "nourris" en éléments gras pendant la cuisson,</t>
  </si>
  <si>
    <t>une partie des légumes non fibreux sera mixée pour lier la sauce(100g cuit /l maxi- au dela cela devient du potage)</t>
  </si>
  <si>
    <t>le boucher peut se charger de cette opération et larder le bœuf,avant de le ficeler, pour un bœuf à la mode par exemple, ou de le couper en morceaux pour une daube ou estouffade,</t>
  </si>
  <si>
    <t>pour confectionner un filet (3000 couverts) = 1m de mousseline stockinette - 6 louches de 2 l de légumes cuisinés; 2 nœuds (un à chaque extrémité)</t>
  </si>
  <si>
    <t>si vous possédez un "lardoire" faites mariner pendant 2h, dans du cognac, du persil ciselé, de l'ail pilé, poivre,muscade et épices,des petits batonnets de lard gras que vous introduirez dans la viande, parallèlement aux fibres</t>
  </si>
  <si>
    <t>faire rissoler la viande (6kg maxi par grille double gastronorme  2/1) soit 2 louches de 2l</t>
  </si>
  <si>
    <t>il est toujours préférable de préparer une daube avec le même vin que celui que vous servirez à table</t>
  </si>
  <si>
    <t>rissolage four direct 220° - 20mn</t>
  </si>
  <si>
    <t>la daube est l'un des plats les plus exquis de l'art populaire</t>
  </si>
  <si>
    <t>passer la viande en cellule- récupérer l'exsudat 35%</t>
  </si>
  <si>
    <t>on ignore l'origine de ce mot provenant peut-être du vieux français adouber, ou de l'italien addobbo</t>
  </si>
  <si>
    <t>peser l'amidon- les aromatisants et déshydratés- préparer le matériel jauge - écumoirs - louches etc..</t>
  </si>
  <si>
    <t>ce procédé de cuisson des viandes qui est sans doute le plus ancien a fait la gloire de la cuisine provençale et les délices de l'ancienne cuisine</t>
  </si>
  <si>
    <t>jour J</t>
  </si>
  <si>
    <t>il mérite que l'on continue de l'adopter ou qu'on apprenne à le connaître:</t>
  </si>
  <si>
    <t>préparer la cuisson en vérifiant les quantités - exsudat- tomates -jus légumes - compléter avec de l'eau</t>
  </si>
  <si>
    <t xml:space="preserve">il s'agit de cuire à l'étouffée, le plus longuement et le plus lentement possible, des viandes qui ont mariné ou pas dans le vin rouge ou blanc </t>
  </si>
  <si>
    <t>faire bouillir</t>
  </si>
  <si>
    <t xml:space="preserve"> relevé parfois de vinaigre avec bouquet garni, légumes et épices après avoir été revenues - ou pas- dans l'huile</t>
  </si>
  <si>
    <t>ajouter la viande</t>
  </si>
  <si>
    <t>en ce qui nous concerne nous avons choisi d'intituler "daubes" les plats de viande mijotés sans rissolage préalable et "estouffades" les plas de viande mijotés avec rissolage préalable,</t>
  </si>
  <si>
    <t>jauger et marquer le niveau de liquide qu'il faudrat maintenir par ajout d'eau jusqu'au moment de servir pour compenser l'évaporation</t>
  </si>
  <si>
    <t>toutes les daubes sont meilleures réchauffées et toutes peuvent être mangées froides avec des salades aux chapons (croûtons aillés)</t>
  </si>
  <si>
    <t>assaisonner</t>
  </si>
  <si>
    <t>si l'on veut qu'elles prennent en gelée, il faut y ajouter 1 ou 2 pieds de veau préalablement blanchis,</t>
  </si>
  <si>
    <t>ajouter les sacs de garniture aromatique</t>
  </si>
  <si>
    <t xml:space="preserve">l'ustensile idéal pour les pièces de viande braisées, les estouffades, les daubes, est la traditionnelle cocotte en terre ou la terrine à couvercle, </t>
  </si>
  <si>
    <t>laisser cuire et dégraisser souvent</t>
  </si>
  <si>
    <t>juste assez grande pour contenir les éléments de la recette, pour éviter l'emploi de trop de liquide - et donc avoir un jus court mais très riche</t>
  </si>
  <si>
    <t>récupérer les légumes à mixer; jeter les autres fibreux</t>
  </si>
  <si>
    <t>cocotte fermant le mieux possible afin d'éviter l'évaporation trop rapide des jus et des sucs</t>
  </si>
  <si>
    <t>lier - ajouter tomate en poudre - ketchup s'il y en a - rectifier l'assaisonnement</t>
  </si>
  <si>
    <t>vous pouvez pour plus de sécurité, luter l'ustensile avec une pâte faite de farine et d'eau ou poser entre la cocotte et son couvercle un papier sulfurisé huilé</t>
  </si>
  <si>
    <t>les anciennes braisières en fonte, que l'on posait sur le fourneau pour de longues heures, étaient munies d'un couvercle creux destiné à recevoir des braises, afin que la cuisson s'effectue par-dessus et par dessous, uniformément et à la même température</t>
  </si>
  <si>
    <t>aujourd'hui, le four doux est le substitut idéal des braises</t>
  </si>
  <si>
    <t xml:space="preserve">en provence, les daubières appelées parfois "toupis" ou "toupins" sont des marmites ventrues se resserrant vers le haut, </t>
  </si>
  <si>
    <t xml:space="preserve"> munies de deux petites anses ou d'un manche long, permettant de les retirer facilement des braises de la cheminée où on les enfouissait</t>
  </si>
  <si>
    <t>•Contaminationmicrobiologique(B)•Multiplicationdesgermes(B)</t>
  </si>
  <si>
    <t>59 caractères en comptant les points</t>
  </si>
  <si>
    <t>Collez votre texte avec espaces dans la cellule blanche</t>
  </si>
  <si>
    <t xml:space="preserve">cliquez sur la cellule verte puis sur sur Copier </t>
  </si>
  <si>
    <t xml:space="preserve">placez vous dans votre document : </t>
  </si>
  <si>
    <t xml:space="preserve"> puis collage spécial Valeur pour ne pas copier la formule</t>
  </si>
  <si>
    <t xml:space="preserve">la formule utilisée : </t>
  </si>
  <si>
    <t>SUBSTITUE(G525;" ";"")</t>
  </si>
  <si>
    <t>AIDES A LA DÉCISION</t>
  </si>
  <si>
    <t>Gélatine alimentaire</t>
  </si>
  <si>
    <t>Mickaël Rabeau Formateur AFPA Rochefort sur mer 2016</t>
  </si>
  <si>
    <t>n'hésitez pas a cliquer sur les liens internet</t>
  </si>
  <si>
    <t>Obtenue par hydrolyse du collagène contenu dans les peaux et os des animaux. Se vend en feuilles ou en poudre.</t>
  </si>
  <si>
    <t>Gélatine feuille</t>
  </si>
  <si>
    <t>La gélatine gonfle dans l'eau froide, se dissout dans l'eau chaude et se prend en gelée en refroidissant.</t>
  </si>
  <si>
    <t>Emplois  : Sert à la préparation de certains entremets, pour la confection de gelées et la stabilisation des glaces. Pastillage.</t>
  </si>
  <si>
    <t>Une feuille pèse environ 2 g ou 2,5 g</t>
  </si>
  <si>
    <t>Attention pour les pulpes de Kiwi, ananas, papaye : cuire les pulpes à 60°C pour détruire l'enzyme qu'elles contiennent.</t>
  </si>
  <si>
    <t>La gélatine prend 5-6 fois son poids en eau (10 g de gélatine et 50- 60 g d'eau)</t>
  </si>
  <si>
    <t>GELATINE en feuille</t>
  </si>
  <si>
    <t>Liens internet 2013</t>
  </si>
  <si>
    <t>Feuille entière (1 =</t>
  </si>
  <si>
    <t>feuilles de gélatine - Le Salon du Blog Culinaire</t>
  </si>
  <si>
    <t>Gélatine et agar-agar : principes et utilisations</t>
  </si>
  <si>
    <t>Agar Agar</t>
  </si>
  <si>
    <t>Glaçage brillant au chocolat - Fiche recette ... - Meilleur du Chef</t>
  </si>
  <si>
    <t>si vous n'êtes pas d'accord avec le poids d'une feuille - saisissez ce qui vous convient</t>
  </si>
  <si>
    <t>Combien de feuilles - à vous de saisir un nombre</t>
  </si>
  <si>
    <t>Adaptation : Joël Leboucher..UPRT "Union des Professionnels de la Restauration Territoriale"  membre du réseau RESTAU'CO</t>
  </si>
  <si>
    <t>ŒUFS poids et %</t>
  </si>
  <si>
    <t>Œuf entier  ( 1 =</t>
  </si>
  <si>
    <t>Jaunes d'œufs ( 1 =</t>
  </si>
  <si>
    <t>Blancs d'œufs  ( 1 =</t>
  </si>
  <si>
    <t>œufs =</t>
  </si>
  <si>
    <t>jaunes =</t>
  </si>
  <si>
    <t>blancs =</t>
  </si>
  <si>
    <t>Protéines</t>
  </si>
  <si>
    <t>M.Grasse</t>
  </si>
  <si>
    <t>eau</t>
  </si>
  <si>
    <t>si vous n'êtes pas d'accord avec les grammages saisis - saisissez ce qui vous convient</t>
  </si>
  <si>
    <t>Combien d'œufs - de jaunes ou de blancs - à vous de saisir un nombre</t>
  </si>
  <si>
    <t>Lien internet :</t>
  </si>
  <si>
    <t>Œufs 101 - Introduction aux œufs » Lesoeufs.ca</t>
  </si>
  <si>
    <t>N° de colonne</t>
  </si>
  <si>
    <t>UN EXEMPLE DE GRAPHIQUE - cliquez dessus pour le modifier</t>
  </si>
  <si>
    <t>TABLEAUX  DIVERS A COPIER / COLLER DANS VOS DOCUMENTS</t>
  </si>
  <si>
    <t>Certains tableaux ont à peu près les mêmes fonctions pour vous laisser le libre choix  en fonction de votre utilisation</t>
  </si>
  <si>
    <t>LIENS INTERNET POUR RECHERCHE DE FORMULES</t>
  </si>
  <si>
    <t>http://matoumatheux.ac-rennes.fr/sommaire.php?niv=6</t>
  </si>
  <si>
    <t>Le sirop de menthe</t>
  </si>
  <si>
    <t>Le gâteau de riz</t>
  </si>
  <si>
    <t>Les rubans</t>
  </si>
  <si>
    <t>http://matoumatheux.ac-rennes.fr/admin/capture/chargement.htm</t>
  </si>
  <si>
    <t>Le cocktail mi-raisin</t>
  </si>
  <si>
    <t>Le far breton</t>
  </si>
  <si>
    <t>L'aire d'un disque</t>
  </si>
  <si>
    <t>http://matoumatheux.ac-rennes.fr/accueil.htm</t>
  </si>
  <si>
    <t>Le cocktail verger</t>
  </si>
  <si>
    <t>La boulangerie</t>
  </si>
  <si>
    <t>Le rayon d'un disque</t>
  </si>
  <si>
    <t>http://matoumatheux.ac-rennes.fr/divers/general/accueil.htm</t>
  </si>
  <si>
    <t>Le cocktail banane</t>
  </si>
  <si>
    <t>http://matoumatheux.ac-rennes.fr/geom/unite/accueil6.htm</t>
  </si>
  <si>
    <t>L'aire d'une couronne</t>
  </si>
  <si>
    <t>http://matoumatheux.ac-rennes.fr/divers/liens/liens.htm</t>
  </si>
  <si>
    <t> Le cocktail rouge</t>
  </si>
  <si>
    <t>L'aire latérale d'un cylindre</t>
  </si>
  <si>
    <t>La multiplication avec les doigts</t>
  </si>
  <si>
    <t>Conversions d'unités de longueur</t>
  </si>
  <si>
    <t>Le volume d'un cylindre</t>
  </si>
  <si>
    <t>Classer des questions</t>
  </si>
  <si>
    <t>Rectangle ou disque</t>
  </si>
  <si>
    <t>Conversion d'unités de masse</t>
  </si>
  <si>
    <t>Les seringues</t>
  </si>
  <si>
    <t>Segment</t>
  </si>
  <si>
    <t>Attaché à un piquet</t>
  </si>
  <si>
    <t>Le mille-feuille</t>
  </si>
  <si>
    <t>Les étiquettes</t>
  </si>
  <si>
    <t>Colorier un poisson</t>
  </si>
  <si>
    <t>Attaché à un piquet (1)</t>
  </si>
  <si>
    <t>L'aire d'un rectangle</t>
  </si>
  <si>
    <t>Le verre mesureur</t>
  </si>
  <si>
    <t>La crème pâtissière</t>
  </si>
  <si>
    <t>Le chien fait le tour de son domaine</t>
  </si>
  <si>
    <t>Le gâteau</t>
  </si>
  <si>
    <t>La casserole</t>
  </si>
  <si>
    <t>177 vidéos dans cette partie</t>
  </si>
  <si>
    <t>http://webtv.ac-versailles.fr/restauration/Patisserie</t>
  </si>
  <si>
    <t>http://chefsimon.lemonde.fr/recettes/tag/dessert</t>
  </si>
  <si>
    <t>https://www.google.fr/webhp?sourceid=chrome-instant&amp;ion=1&amp;espv=2&amp;ie=UTF-8#q=RECETTES+PATISSERIE</t>
  </si>
  <si>
    <t>cake design</t>
  </si>
  <si>
    <t>wedding cake photos</t>
  </si>
  <si>
    <t>wedding cake youtube</t>
  </si>
  <si>
    <t>FAIRE UN GÂTEAU VÉGÉTAL AVEC LES FLEURS DU JARDIN</t>
  </si>
  <si>
    <t>Vous recherchez un décor  &gt;</t>
  </si>
  <si>
    <t>Différentes formules pour calculer l'Aire ou surface du cercle</t>
  </si>
  <si>
    <t>PI()*(Rayon^2)</t>
  </si>
  <si>
    <t>PI()*(Rayon*Rayon)</t>
  </si>
  <si>
    <t>PI()*(Diamètre/2)*(Diamètre/2)</t>
  </si>
  <si>
    <t>Différentes formules pour calculer le volume d'un entremet</t>
  </si>
  <si>
    <t>((PI()*(Rayon^2)*Hauteur))</t>
  </si>
  <si>
    <t>(PI()*(Rayon*Rayon)*Hauteur)</t>
  </si>
  <si>
    <t>((Diamètre/2)*(Diamètre/2)*3.1416)*Hauteur</t>
  </si>
  <si>
    <t>L'aire d'un cercle de 22cm est égale à 3,14 x (11x11) = 379,94 cm2</t>
  </si>
  <si>
    <t>L'aire d'un cercle de 22cm est égale à PI() x (11x11) = 380.13 cm2</t>
  </si>
  <si>
    <t>PI()*(11*11)</t>
  </si>
  <si>
    <t>Nb de cercles</t>
  </si>
  <si>
    <t>Diamètre</t>
  </si>
  <si>
    <t>rayon</t>
  </si>
  <si>
    <t>Aire ou Surface</t>
  </si>
  <si>
    <t>Pour intégrer ce tableau sous des documents Modèle B3-B -2015 réduisez la largeur des colonnes à 9</t>
  </si>
  <si>
    <t>Sinon : Pour une meilleure lisibilité vous pouvez élargir les colonnes à 15 -ou Affichage Zoom 125%</t>
  </si>
  <si>
    <t>CONVERSIONS</t>
  </si>
  <si>
    <t>1m2 = 10.000 cm2 </t>
  </si>
  <si>
    <t>1 cm = 0,01 m donc </t>
  </si>
  <si>
    <t>ou </t>
  </si>
  <si>
    <t>1 cm² = 0,01 x 0,01 = 0,0001 m² = 10^-4 m² </t>
  </si>
  <si>
    <t>1cm2=1/10.000 m2</t>
  </si>
  <si>
    <t>1cm^2=0.0001m^2</t>
  </si>
  <si>
    <t>Pour passer de m² en cm² il faut faire l'inverse </t>
  </si>
  <si>
    <t>17 cm²=0.0017 m². </t>
  </si>
  <si>
    <t>1 m = 100 cm </t>
  </si>
  <si>
    <t>1 m² = 100 x 100 = 10 000 cm²</t>
  </si>
  <si>
    <t>10 000 cm2 = 100 dm2 = 1 m2 </t>
  </si>
  <si>
    <t>1 cm2 = 0.001 dm2 = 0.00001 m2</t>
  </si>
  <si>
    <t>copier/coller</t>
  </si>
  <si>
    <t>Gastro Norm</t>
  </si>
  <si>
    <t>https://fr.wikipedia.org/wiki/Gastro_Norm</t>
  </si>
  <si>
    <t>Le format de base est le GN 1/1, qui fait 530 x 325 mm. Les autres sont des multiples ou des sous-multiples de ce module de base. Les formats généralement rencontrés chez les professionnels sont1 :</t>
  </si>
  <si>
    <t>Les profondeurs les plus courantes sont 20, 40, 65, 100, 150 et 200 mm.</t>
  </si>
  <si>
    <t>Nombre de parts et poids d'une portion</t>
  </si>
  <si>
    <t>Poids Total</t>
  </si>
  <si>
    <t>poids d'1 portion</t>
  </si>
  <si>
    <t>Nb de parts</t>
  </si>
  <si>
    <t>la portion</t>
  </si>
  <si>
    <t xml:space="preserve">Saisissez les valeurs dans les cellules fond jaune encre rouge </t>
  </si>
  <si>
    <t>Transférer  des cercles dans des cadres</t>
  </si>
  <si>
    <t>CERCLES A TRANSFÉRER</t>
  </si>
  <si>
    <t>Poids crème liquide</t>
  </si>
  <si>
    <t>Coeff.</t>
  </si>
  <si>
    <t>dans des moules et caisses rectangles</t>
  </si>
  <si>
    <t>Nb de moules</t>
  </si>
  <si>
    <t>Longueur</t>
  </si>
  <si>
    <t>Largeur</t>
  </si>
  <si>
    <t>Saisissez vos valeurs dans les cellules fond jaune encre rouge</t>
  </si>
  <si>
    <t>Lien Auteur:</t>
  </si>
  <si>
    <t>http://www.cestmafournee.com/2013/06/quelles-quantites-pour-mon-moule.html</t>
  </si>
  <si>
    <t>Différentes formules pour calculer le volume d'un cylindre (cercle à tarte)</t>
  </si>
  <si>
    <t>Hauteur</t>
  </si>
  <si>
    <t>Calculez le volume des moules et cadres rectangles</t>
  </si>
  <si>
    <t>FORMAT DE CELLULES CARRÉES</t>
  </si>
  <si>
    <t>Je voudrais que toutes les cellules de la feuille aient la forme de 'carrés'. Comment régler la largeur et la hauteur des cellules pour constituer des carrés ? Autrement dit y-a-t-il un rapport à observer entre les valeurs à donner aux largeurs et hauteurs des cellules? </t>
  </si>
  <si>
    <t>méthode bidouillage : </t>
  </si>
  <si>
    <t>Les lignes doivent être environ 5.51 fois plus hautes que les colonnes </t>
  </si>
  <si>
    <t>5.694 </t>
  </si>
  <si>
    <t>donc sélectionne toutes tes colonnes que tu veux homogénéiser, et fait clic droit dans l'en-tete des colonnes / largeur de colonne. Là tu mets la valeur que tu veux. </t>
  </si>
  <si>
    <t>puis tu sélectionnes toutes tes lignes que tu veux, clic droit dans l'en-tête des lignes/ hauteur de ligne, et là tu mets ta valeur précédente x 5,51. </t>
  </si>
  <si>
    <t>largeur colonne</t>
  </si>
  <si>
    <t>multiplicateur</t>
  </si>
  <si>
    <t>hauteur de ligne</t>
  </si>
  <si>
    <t>valeur</t>
  </si>
  <si>
    <t>Je me suis interrogé comment vous faisiez pour être si précis, je suppose que ce n'est à l'oeil ? </t>
  </si>
  <si>
    <t>Je comprends qu'il n'y a pas de possibilité de décider : </t>
  </si>
  <si>
    <t>de l'unité de mesure des largeurs et hauteurs, </t>
  </si>
  <si>
    <t>du nombre d'unités.</t>
  </si>
  <si>
    <t>En fait je dessine un carré avec l'outil dessin (en enfoncant la touche Shift), puis je fait concorder exactement les traits de ligne et colonne sur le carré. Enfin, je regarde les largeur et hauteur que celà me donne, et je divise le plus grand par le plus petit. Voilà! </t>
  </si>
  <si>
    <t>Je viens à nouveau de vérifier en faisant vraiment un grand carré, et le ratio est de 5,3 (ne pas mettre trop de virgule, en fait ça ne sert à rien). </t>
  </si>
  <si>
    <t>Pour les lignes, un pixel = 0.75 </t>
  </si>
  <si>
    <t>pour les colonne, un pixel = 0.08 </t>
  </si>
  <si>
    <t>Pour t'aider un peu plus, a peu près : </t>
  </si>
  <si>
    <t>Pour un carré de 1cm sur 1 cm, il faut </t>
  </si>
  <si>
    <t>28.35 en hauteur de ligne </t>
  </si>
  <si>
    <t>5.35 en largeur de colonne. </t>
  </si>
  <si>
    <t>Après, celà va dépendre de comment tu imprimes, tes ajustements sur ta feuille, la taille de ton carré à de grandes chances de ne pas être de 1cm de coté. </t>
  </si>
  <si>
    <t>http://forum.excel-pratique.com/excel/donner-la-forme-de-carres-reguliers-a-toutes-les-cellules-t9229.html</t>
  </si>
  <si>
    <t>forum.excel-pratique.com/excel/donner-la-forme-de-carres-reguliers-a-toutes-les-cellules</t>
  </si>
  <si>
    <t>Quel poids de pâte ou de liquide faut-il dans un ou des cercle (s)</t>
  </si>
  <si>
    <t>QUE VOULEZ VOUS FAIRE</t>
  </si>
  <si>
    <t>Poids de pâte ou liquide en Kg</t>
  </si>
  <si>
    <t xml:space="preserve">VALEURS DE RÉFÉRENCE </t>
  </si>
  <si>
    <t>Encre bleue valeurs de base - encre rouge vos besoins</t>
  </si>
  <si>
    <t>Saisissez votre diamètre -le nombre de cercles à faire et la hauteur sur cette ligne</t>
  </si>
  <si>
    <t>Valeurs de référence pour un fond de tarte standard de 26 cm..j'ai pris pour exemple une tarte classique  comme base de calculs pour ce tableau. Vous pouvez saisir sur cette ligne des valeurs qui correspondent à votre échantillon ou votre modèle standard</t>
  </si>
  <si>
    <t>Pâte brisée sucrée</t>
  </si>
  <si>
    <t>farine</t>
  </si>
  <si>
    <t>sucre semoule</t>
  </si>
  <si>
    <t>beurre</t>
  </si>
  <si>
    <t>œuf (1 jaune)</t>
  </si>
  <si>
    <t>POIDS DE PATE NECESSAIRE POUR FONCER DES CADRES OU DES BACS GATRO (ici en référence : bacs gastro 1/1 pour Exemple)</t>
  </si>
  <si>
    <t>NE PAS CONFONDRE CADRES ET CERCLES</t>
  </si>
  <si>
    <t>Saisissez vos proportions cellules jaunes encre rouge</t>
  </si>
  <si>
    <t>Combien de cadres voulez vous faire - passe au bleu si supérieur à 1 cadre pour attirer votre attention</t>
  </si>
  <si>
    <t>Nb de cadres/bacs</t>
  </si>
  <si>
    <t>Largeur en cm</t>
  </si>
  <si>
    <t>Longueur en cm</t>
  </si>
  <si>
    <t>Hauteur en cm</t>
  </si>
  <si>
    <t>Epaisseur de l'abaisse en millimètre</t>
  </si>
  <si>
    <t>hauteur de crête en millimètre</t>
  </si>
  <si>
    <t>largeur de "rognures" en millimètre</t>
  </si>
  <si>
    <t xml:space="preserve">Poids de pâte prévu </t>
  </si>
  <si>
    <t>Avec votre poids de pâte</t>
  </si>
  <si>
    <t>Volume de pâte avec vos données</t>
  </si>
  <si>
    <t>Si vous n'êtes pas d'accord avec le poids prévu pour 4 bacs gastro - Saisissez votre poids de pâte</t>
  </si>
  <si>
    <t>Valeurs de référence fond gris encre bleue</t>
  </si>
  <si>
    <t>Volume de pâte de Référence</t>
  </si>
  <si>
    <t>Surface du fond des cadres</t>
  </si>
  <si>
    <t>Epaisseur de l'abaisse en cm</t>
  </si>
  <si>
    <t>Volume des cadres/bacs en litres</t>
  </si>
  <si>
    <t>Surface de la hauteur des cadres</t>
  </si>
  <si>
    <t>largeur de crête en cm</t>
  </si>
  <si>
    <t>surface de crête</t>
  </si>
  <si>
    <t>largeur de "rognures" en cm</t>
  </si>
  <si>
    <t>Volume de pâte en cm³ </t>
  </si>
  <si>
    <t>surface de "rognures"</t>
  </si>
  <si>
    <t>Surface de pâte</t>
  </si>
  <si>
    <t xml:space="preserve">RÉFÉRENCE </t>
  </si>
  <si>
    <t>Référence bac GN 1/1 perforés - largeur 325mm (32cm) - longueur 530 mm (53cm) - H25mm (2.5cm) tarte au citron pour 100 "La cuisine de Collectivité" page294 -Michel Grossmann et Alain Le franc - Edt.BPI  2006 - Poids de pâte sablée pour 4 bacs gastro</t>
  </si>
  <si>
    <t>Pâte sablée</t>
  </si>
  <si>
    <t>œufs liquides 0.5L</t>
  </si>
  <si>
    <t>levure chimique</t>
  </si>
  <si>
    <t xml:space="preserve">sucre semoule </t>
  </si>
  <si>
    <t>sel fin</t>
  </si>
  <si>
    <t>Le poids de l’oeuf</t>
  </si>
  <si>
    <t>Equivalences en litre - 1 litre = environ</t>
  </si>
  <si>
    <t>20 oeufs entiers (x 55g =1.100Kg)</t>
  </si>
  <si>
    <t>ou 50 jaunes (x 20g = 1Kg)</t>
  </si>
  <si>
    <t>ou 32 blancs (x 30g = 0.960Kg)</t>
  </si>
  <si>
    <t>http://www.mylittlerecettes.com/cap-patissier-les-oeufs-en-patisserie/</t>
  </si>
  <si>
    <t>En pâtisserie les ingrédients se mesure à l’unité ou au poids pour les recettes professionnnelles. Les oeufs font environ 55g</t>
  </si>
  <si>
    <t>1 jaune d’oeuf pèse envrion : 20g  – 1 blanc d’oeuf pèse environ : 30g – 1 coquille 5g</t>
  </si>
  <si>
    <t>ff-conditionnement.xls</t>
  </si>
  <si>
    <t>Gastronormes tableau N° 1</t>
  </si>
  <si>
    <t>Estimation des contenants</t>
  </si>
  <si>
    <t>Partie du document réservée à la saisie</t>
  </si>
  <si>
    <t>En fonction des informations saisies : nombre de gasto à utiliser</t>
  </si>
  <si>
    <t>Contenance 1 Gastro</t>
  </si>
  <si>
    <t>Quoi?</t>
  </si>
  <si>
    <t>EFFECTIFS</t>
  </si>
  <si>
    <t>A conditionner</t>
  </si>
  <si>
    <t>Total gastronormes au choix</t>
  </si>
  <si>
    <t>Quantité - Grammage ou Nb de Mx ou tranche par convive</t>
  </si>
  <si>
    <t>Service à la portion</t>
  </si>
  <si>
    <t xml:space="preserve">Paupiettes de dindes 120g </t>
  </si>
  <si>
    <t>paupiettes</t>
  </si>
  <si>
    <t>Cuisses de canard cuites 200g  GN 1/1 H65</t>
  </si>
  <si>
    <t>Cuisses</t>
  </si>
  <si>
    <t>Viande tranchée</t>
  </si>
  <si>
    <t>tranches</t>
  </si>
  <si>
    <t>Tomates farcies</t>
  </si>
  <si>
    <t>tomates</t>
  </si>
  <si>
    <t>Service au poids</t>
  </si>
  <si>
    <t>Sautés en morceaux</t>
  </si>
  <si>
    <t>Tartiflette  GN 1/1 H65</t>
  </si>
  <si>
    <t>Brandade de morue</t>
  </si>
  <si>
    <t xml:space="preserve"> Tableaux inspirés du modèle de Michel Mariette </t>
  </si>
  <si>
    <t>Boudin blanc au coganc "très bonne qualité "  Fiche de fabrication  :  OLIDA   recette  1936</t>
  </si>
  <si>
    <t>AUTEUR  : Michel MARIETTE</t>
  </si>
  <si>
    <t>❷ VOTRE  POIDS en Kg</t>
  </si>
  <si>
    <t>❶ Recette</t>
  </si>
  <si>
    <t>à mettre en œuvre</t>
  </si>
  <si>
    <t>❹ LIEN</t>
  </si>
  <si>
    <t>hauteur de lignes conseillée 18.00 (24 pixels)</t>
  </si>
  <si>
    <t>❷ VOTRE  POIDS en Gr</t>
  </si>
  <si>
    <t xml:space="preserve"> Tableau inspiré du modèle de Michel Mariette Mise à jour du 30-12-2017 </t>
  </si>
  <si>
    <t>Collez le lien ICI</t>
  </si>
  <si>
    <t>Arial 14</t>
  </si>
  <si>
    <t>Prix au Kg</t>
  </si>
  <si>
    <t>NOM DE VOTRE RECETTE</t>
  </si>
  <si>
    <t>AUTEUR  :</t>
  </si>
  <si>
    <t>Les cellules réservées à la saisies de vos données sont à fond IVOIRE  et les Produit encre bleue</t>
  </si>
  <si>
    <t>Combien de gastronormes devez vous utiliser pour la cuisson ou le service</t>
  </si>
  <si>
    <t>Poulet 4/4 Cuisses CRUES</t>
  </si>
  <si>
    <t>Poulet 4/4 Cuisses petites CUITES</t>
  </si>
  <si>
    <t>Poulet 4/4 Cuisses Grosses CUITES</t>
  </si>
  <si>
    <t>escalopes de volailles cuites 120g</t>
  </si>
  <si>
    <t>escalopes</t>
  </si>
  <si>
    <t>Hachis Parmentier</t>
  </si>
  <si>
    <t>Service au choix : au poids ou à la portion</t>
  </si>
  <si>
    <t xml:space="preserve">Poids standard d'une Portion Adulte </t>
  </si>
  <si>
    <t>Combien de portions standard dans un GN 1/1 H65</t>
  </si>
  <si>
    <t>Grammage à servir par personne</t>
  </si>
  <si>
    <t>Equivalence en nombre de portions standards</t>
  </si>
  <si>
    <t>Gastronormes tableau N° 2</t>
  </si>
  <si>
    <t xml:space="preserve">Conditionnement pour service ou cuisson </t>
  </si>
  <si>
    <t>A LA PORTION</t>
  </si>
  <si>
    <t>Quantité ou Grammage p.p.</t>
  </si>
  <si>
    <t>Effectif</t>
  </si>
  <si>
    <t>1 Gastro pour :</t>
  </si>
  <si>
    <t xml:space="preserve">Poulet 4/4 Cuisses </t>
  </si>
  <si>
    <t>Gastronormes tableau N° 3</t>
  </si>
  <si>
    <t>Conditionnement pour service ou cuisson</t>
  </si>
  <si>
    <t>AU POIDS</t>
  </si>
  <si>
    <t>Combien de portions dans un gastro</t>
  </si>
  <si>
    <t xml:space="preserve">FICHE DE CONDITIONNEMENT </t>
  </si>
  <si>
    <t xml:space="preserve">NAVARIN D'AGNEAU PRINTANIER (JP.Domergues) </t>
  </si>
  <si>
    <t>PC</t>
  </si>
  <si>
    <t>Elément principal : AGNEAU :  "Sauté d'agneau sans os- épaule - collier"  -   Choux Fleur- Pâte à choux etc….. OU Famille : Hors d'œuvre - Plat - Légume - Dessert</t>
  </si>
  <si>
    <t>AGNEAU : Sauté d'agneau sans os- épaule - collier</t>
  </si>
  <si>
    <t>Saisissez vos valeurs dans les cellules fond jaune ou ivoire</t>
  </si>
  <si>
    <t>VIANDE NET A SERVIR ET BRUT A COMMANDER</t>
  </si>
  <si>
    <t>Poids NET p.p.</t>
  </si>
  <si>
    <t>Nb Mx p.p..</t>
  </si>
  <si>
    <t xml:space="preserve">% Perte </t>
  </si>
  <si>
    <t>Poids BRUT  1 portion</t>
  </si>
  <si>
    <t>NET Total à servir / conditionner</t>
  </si>
  <si>
    <t>Total Brut à commander/conditionner</t>
  </si>
  <si>
    <t>Observations :</t>
  </si>
  <si>
    <t>Hauteur de ligne = 18</t>
  </si>
  <si>
    <t>%  pour A+</t>
  </si>
  <si>
    <t>Quel % supplémentaire ajoutez vous a une portion Adulte sédentaire pour un Adulte +</t>
  </si>
  <si>
    <t>PAS.</t>
  </si>
  <si>
    <t>POIDS DE VIANDE A SERVIR ET A COMMANDER</t>
  </si>
  <si>
    <t>TOTAUX</t>
  </si>
  <si>
    <t>CONTENANTS</t>
  </si>
  <si>
    <t>Saisissez le type de contenant et le poids BRUT par contenant si vous avez saisi des % de perte (si vous faites de la cuisson) ou poids NETS</t>
  </si>
  <si>
    <t>Type de contenant</t>
  </si>
  <si>
    <t>Cuisson Poids. Brut 1 cont.*</t>
  </si>
  <si>
    <t>Poids Net dans 1 contenant *</t>
  </si>
  <si>
    <t>Total NET à servir</t>
  </si>
  <si>
    <t>Total contenants * service au poids</t>
  </si>
  <si>
    <t>Nb Pce ou Mx dans 1 Cont</t>
  </si>
  <si>
    <t>Total Pce / Mx</t>
  </si>
  <si>
    <t>Total contenants * service a la pièce ou au morceaux</t>
  </si>
  <si>
    <t>Gastro 1/1</t>
  </si>
  <si>
    <t>TOTAL CONTENANTS A PRÉVOIR</t>
  </si>
  <si>
    <t>SAUCE</t>
  </si>
  <si>
    <t>Poids de sauce dans une louche</t>
  </si>
  <si>
    <t>1 louche pour</t>
  </si>
  <si>
    <t>Poids NET Total à servir / conditionner</t>
  </si>
  <si>
    <t>SAUCE - POIDS  - NOMBRE DE GASTRO ET DE LOUCHES POUR LE SERVICE</t>
  </si>
  <si>
    <t>Poids Brut 1 cont.*</t>
  </si>
  <si>
    <t>Nb de louches dans 1 Cont</t>
  </si>
  <si>
    <t>Total louches</t>
  </si>
  <si>
    <t>Total contenants * service a la louche</t>
  </si>
  <si>
    <t>GARNITURE DE FINITION</t>
  </si>
  <si>
    <t>Nb louche /Mx p.p</t>
  </si>
  <si>
    <t>GARNITURE DE FINITION - POIDS  - NOMBRE DE GASTRO ET DE LOUCHES POUR LE SERVICE</t>
  </si>
  <si>
    <t>Nb louches/Mx dans 1 Cont</t>
  </si>
  <si>
    <t>Total contenants * service a la louche ou aux morceaux</t>
  </si>
  <si>
    <t>M.  Enfants en maternelle</t>
  </si>
  <si>
    <t>A .     Adolescents,adultes,personnes agées si portage à domicile</t>
  </si>
  <si>
    <t>P.  Enfants en classe élémentaire</t>
  </si>
  <si>
    <t>Fonction N° de colonne Alpha =SUBSTITUE(ADRESSE(1;COLONNE();4);"1";"")</t>
  </si>
  <si>
    <t>du 13-02-2017- Annule et remplace les versions précédentes</t>
  </si>
  <si>
    <t xml:space="preserve">GRAMMAGES GEM/RCN  </t>
  </si>
  <si>
    <t>A vous de modifier les grammages en fonction des modifications futures ou de votre établissement</t>
  </si>
  <si>
    <t>ATTENTION ces tableaux n'ont pas le même nombre de colonnes que les fiches recettes . DONC évitez de coller les cellules  dans vos fiches</t>
  </si>
  <si>
    <t>TOTAL</t>
  </si>
  <si>
    <t>Saisissez vos EFFECTIFS</t>
  </si>
  <si>
    <t>*- CRUDITÉS sans assaisonnement</t>
  </si>
  <si>
    <r>
      <t>Avocat (à l</t>
    </r>
    <r>
      <rPr>
        <b/>
        <vertAlign val="superscript"/>
        <sz val="11"/>
        <color indexed="17"/>
        <rFont val="Arial"/>
        <family val="2"/>
      </rPr>
      <t>'</t>
    </r>
    <r>
      <rPr>
        <b/>
        <sz val="11"/>
        <color indexed="17"/>
        <rFont val="Arial"/>
        <family val="2"/>
      </rPr>
      <t>unité)</t>
    </r>
  </si>
  <si>
    <r>
      <t>Pamplemousse (à l</t>
    </r>
    <r>
      <rPr>
        <b/>
        <vertAlign val="superscript"/>
        <sz val="11"/>
        <color indexed="17"/>
        <rFont val="Arial"/>
        <family val="2"/>
      </rPr>
      <t>'</t>
    </r>
    <r>
      <rPr>
        <b/>
        <sz val="11"/>
        <color indexed="17"/>
        <rFont val="Arial"/>
        <family val="2"/>
      </rPr>
      <t>unité)</t>
    </r>
  </si>
  <si>
    <t>*- CUIDITES sans assaisonnement</t>
  </si>
  <si>
    <r>
      <t>Artichaut entier (à l</t>
    </r>
    <r>
      <rPr>
        <b/>
        <vertAlign val="superscript"/>
        <sz val="11"/>
        <color indexed="12"/>
        <rFont val="Arial"/>
        <family val="2"/>
      </rPr>
      <t>'</t>
    </r>
    <r>
      <rPr>
        <b/>
        <sz val="11"/>
        <color indexed="12"/>
        <rFont val="Arial"/>
        <family val="2"/>
      </rPr>
      <t>unité)</t>
    </r>
  </si>
  <si>
    <r>
      <t>Fond d</t>
    </r>
    <r>
      <rPr>
        <vertAlign val="superscript"/>
        <sz val="11"/>
        <color indexed="12"/>
        <rFont val="Arial"/>
        <family val="2"/>
      </rPr>
      <t>'</t>
    </r>
    <r>
      <rPr>
        <sz val="11"/>
        <color indexed="12"/>
        <rFont val="Arial"/>
        <family val="2"/>
      </rPr>
      <t>artichaut</t>
    </r>
  </si>
  <si>
    <t xml:space="preserve">*- ENTRÉES DE FÉCULENT </t>
  </si>
  <si>
    <t>*- ENTREES PROTIDIQUES DIVERSES</t>
  </si>
  <si>
    <r>
      <t>Œuf dur (à l</t>
    </r>
    <r>
      <rPr>
        <sz val="10"/>
        <rFont val="Arial"/>
        <family val="2"/>
      </rPr>
      <t>'unité)</t>
    </r>
  </si>
  <si>
    <r>
      <t>Sardines (à l</t>
    </r>
    <r>
      <rPr>
        <b/>
        <vertAlign val="superscript"/>
        <sz val="8"/>
        <color indexed="17"/>
        <rFont val="Arial"/>
        <family val="2"/>
      </rPr>
      <t>'</t>
    </r>
    <r>
      <rPr>
        <b/>
        <sz val="8"/>
        <color indexed="17"/>
        <rFont val="Arial"/>
        <family val="2"/>
      </rPr>
      <t>unité) sauf exception mentionnée</t>
    </r>
  </si>
  <si>
    <t>*- PREPARATIONS PATISSIERES SALEES</t>
  </si>
  <si>
    <r>
      <t>ASSAISONNEMENT HORS D</t>
    </r>
    <r>
      <rPr>
        <b/>
        <vertAlign val="superscript"/>
        <sz val="9"/>
        <rFont val="Arial"/>
        <family val="2"/>
      </rPr>
      <t>'</t>
    </r>
    <r>
      <rPr>
        <b/>
        <sz val="9"/>
        <rFont val="Arial"/>
        <family val="2"/>
      </rPr>
      <t>OEUVRE(</t>
    </r>
    <r>
      <rPr>
        <sz val="9"/>
        <rFont val="Arial"/>
        <family val="2"/>
      </rPr>
      <t>poids</t>
    </r>
    <r>
      <rPr>
        <b/>
        <sz val="9"/>
        <rFont val="Arial"/>
        <family val="2"/>
      </rPr>
      <t xml:space="preserve"> </t>
    </r>
    <r>
      <rPr>
        <sz val="9"/>
        <rFont val="Arial"/>
        <family val="2"/>
      </rPr>
      <t>de la matière grasse)</t>
    </r>
  </si>
  <si>
    <t>*- VIANDES SANS SAUCE</t>
  </si>
  <si>
    <r>
      <t>Boulettes de bœuf de 30g pièce crues (à l</t>
    </r>
    <r>
      <rPr>
        <vertAlign val="superscript"/>
        <sz val="8"/>
        <rFont val="Arial"/>
        <family val="2"/>
      </rPr>
      <t>'</t>
    </r>
    <r>
      <rPr>
        <sz val="8"/>
        <rFont val="Arial"/>
        <family val="2"/>
      </rPr>
      <t>unité)</t>
    </r>
  </si>
  <si>
    <r>
      <t>Boulettes de bœuf de 30g pièce crues (au poids</t>
    </r>
    <r>
      <rPr>
        <sz val="9"/>
        <rFont val="Arial"/>
        <family val="2"/>
      </rPr>
      <t>)</t>
    </r>
  </si>
  <si>
    <r>
      <t>Côte d</t>
    </r>
    <r>
      <rPr>
        <vertAlign val="superscript"/>
        <sz val="9"/>
        <rFont val="Arial"/>
        <family val="2"/>
      </rPr>
      <t>'</t>
    </r>
    <r>
      <rPr>
        <sz val="9"/>
        <rFont val="Arial"/>
        <family val="2"/>
      </rPr>
      <t>agneau avec os</t>
    </r>
  </si>
  <si>
    <r>
      <t>Boulettes d</t>
    </r>
    <r>
      <rPr>
        <vertAlign val="superscript"/>
        <sz val="9"/>
        <rFont val="Arial"/>
        <family val="2"/>
      </rPr>
      <t>'</t>
    </r>
    <r>
      <rPr>
        <sz val="9"/>
        <rFont val="Arial"/>
        <family val="2"/>
      </rPr>
      <t>agneau-mouton de 30g pièce crues (à l</t>
    </r>
    <r>
      <rPr>
        <vertAlign val="superscript"/>
        <sz val="9"/>
        <rFont val="Arial"/>
        <family val="2"/>
      </rPr>
      <t>'</t>
    </r>
    <r>
      <rPr>
        <sz val="9"/>
        <rFont val="Arial"/>
        <family val="2"/>
      </rPr>
      <t>unité )</t>
    </r>
  </si>
  <si>
    <r>
      <t>Boulettes d</t>
    </r>
    <r>
      <rPr>
        <vertAlign val="superscript"/>
        <sz val="9"/>
        <rFont val="Arial"/>
        <family val="2"/>
      </rPr>
      <t>'</t>
    </r>
    <r>
      <rPr>
        <sz val="9"/>
        <rFont val="Arial"/>
        <family val="2"/>
      </rPr>
      <t>agneau-mouton de 30g pièce crues (au Kg )</t>
    </r>
  </si>
  <si>
    <r>
      <t>Merguez de 50 g pièce crues (à l</t>
    </r>
    <r>
      <rPr>
        <vertAlign val="superscript"/>
        <sz val="9"/>
        <rFont val="Arial"/>
        <family val="2"/>
      </rPr>
      <t>'</t>
    </r>
    <r>
      <rPr>
        <sz val="9"/>
        <rFont val="Arial"/>
        <family val="2"/>
      </rPr>
      <t>unité)</t>
    </r>
  </si>
  <si>
    <r>
      <t>Merguez de 50 g pièce crues (au Kg</t>
    </r>
    <r>
      <rPr>
        <sz val="9"/>
        <rFont val="Arial"/>
        <family val="2"/>
      </rPr>
      <t>)</t>
    </r>
  </si>
  <si>
    <r>
      <t>Saucisse chipolatas de 50 g pièce crue ( à l</t>
    </r>
    <r>
      <rPr>
        <vertAlign val="superscript"/>
        <sz val="9"/>
        <rFont val="Arial"/>
        <family val="2"/>
      </rPr>
      <t>'</t>
    </r>
    <r>
      <rPr>
        <sz val="9"/>
        <rFont val="Arial"/>
        <family val="2"/>
      </rPr>
      <t>unité)</t>
    </r>
  </si>
  <si>
    <r>
      <t>Saucisse chipolatas de 50 g pièce crue ( au Kg</t>
    </r>
    <r>
      <rPr>
        <sz val="9"/>
        <rFont val="Arial"/>
        <family val="2"/>
      </rPr>
      <t>)</t>
    </r>
  </si>
  <si>
    <r>
      <t>Saucisse de Francfort Strasbourg de 50 g pièce crue (à l</t>
    </r>
    <r>
      <rPr>
        <vertAlign val="superscript"/>
        <sz val="9"/>
        <rFont val="Arial"/>
        <family val="2"/>
      </rPr>
      <t>'</t>
    </r>
    <r>
      <rPr>
        <sz val="9"/>
        <rFont val="Arial"/>
        <family val="2"/>
      </rPr>
      <t>unité)</t>
    </r>
  </si>
  <si>
    <r>
      <t>Saucisse de volaille de 50g pièce crue (à l</t>
    </r>
    <r>
      <rPr>
        <vertAlign val="superscript"/>
        <sz val="9"/>
        <rFont val="Arial"/>
        <family val="2"/>
      </rPr>
      <t>’</t>
    </r>
    <r>
      <rPr>
        <sz val="9"/>
        <rFont val="Arial"/>
        <family val="2"/>
      </rPr>
      <t>unité)</t>
    </r>
  </si>
  <si>
    <r>
      <t>Œufs durs (à l</t>
    </r>
    <r>
      <rPr>
        <b/>
        <vertAlign val="superscript"/>
        <sz val="8"/>
        <rFont val="Arial"/>
        <family val="2"/>
      </rPr>
      <t>'</t>
    </r>
    <r>
      <rPr>
        <b/>
        <sz val="8"/>
        <rFont val="Arial"/>
        <family val="2"/>
      </rPr>
      <t>unité)</t>
    </r>
  </si>
  <si>
    <t>*- PLATS COMPOSES (denrée protidique et garniture)</t>
  </si>
  <si>
    <r>
      <t>Plat composé, choucroute, paëlla, etc. (poids minimum d</t>
    </r>
    <r>
      <rPr>
        <vertAlign val="superscript"/>
        <sz val="9"/>
        <rFont val="Arial"/>
        <family val="2"/>
      </rPr>
      <t>’</t>
    </r>
    <r>
      <rPr>
        <sz val="9"/>
        <rFont val="Arial"/>
        <family val="2"/>
      </rPr>
      <t>aliment protidique)</t>
    </r>
  </si>
  <si>
    <r>
      <t>Hachis Parmentier, Brandade, Légumes farcis (poids minimum d</t>
    </r>
    <r>
      <rPr>
        <vertAlign val="superscript"/>
        <sz val="8"/>
        <rFont val="Arial"/>
        <family val="2"/>
      </rPr>
      <t>’</t>
    </r>
    <r>
      <rPr>
        <sz val="8"/>
        <rFont val="Arial"/>
        <family val="2"/>
      </rPr>
      <t>aliment protidique)</t>
    </r>
  </si>
  <si>
    <t>Raviolis, Cannellonis, Lasagnes ... (poids ration
avec sauce)</t>
  </si>
  <si>
    <t>Préparations pâtissières (crêpes, pizzas, croque-
monsieur, friands, quiches)</t>
  </si>
  <si>
    <t>*- FÉCULENTS CUITS</t>
  </si>
  <si>
    <r>
      <t>SAUCES POUR PLATS (</t>
    </r>
    <r>
      <rPr>
        <sz val="9"/>
        <rFont val="Arial"/>
        <family val="2"/>
      </rPr>
      <t>mayonnaise, ketchup, etc.) Poids de la matière grasse</t>
    </r>
  </si>
  <si>
    <r>
      <t xml:space="preserve">SAUCES POUR PLATS </t>
    </r>
    <r>
      <rPr>
        <sz val="9"/>
        <rFont val="Arial"/>
        <family val="2"/>
      </rPr>
      <t>(sauce tomate, béchamel)</t>
    </r>
  </si>
  <si>
    <r>
      <t xml:space="preserve">SAUCES POUR PLATS </t>
    </r>
    <r>
      <rPr>
        <sz val="9"/>
        <rFont val="Arial"/>
        <family val="2"/>
      </rPr>
      <t>(jus de viande)</t>
    </r>
  </si>
  <si>
    <r>
      <t xml:space="preserve">SAUCES POUR PLATS </t>
    </r>
    <r>
      <rPr>
        <sz val="9"/>
        <rFont val="Arial"/>
        <family val="2"/>
      </rPr>
      <t>(beurre blanc, sauce crème,sauce forestière)</t>
    </r>
  </si>
  <si>
    <t>*- PRODUITS LAITIERS FRAIS</t>
  </si>
  <si>
    <t>*- DESSERTS</t>
  </si>
  <si>
    <r>
      <t>Biscuits d</t>
    </r>
    <r>
      <rPr>
        <vertAlign val="superscript"/>
        <sz val="9"/>
        <rFont val="Arial"/>
        <family val="2"/>
      </rPr>
      <t>'</t>
    </r>
    <r>
      <rPr>
        <sz val="9"/>
        <rFont val="Arial"/>
        <family val="2"/>
      </rPr>
      <t>accompagnement</t>
    </r>
  </si>
  <si>
    <t>ETAPE 1 : Sorbet bergamote à la coriandre et à l'estragon</t>
  </si>
  <si>
    <t>AUTEUR  : Christian FRECHEDE  lycée hôtelier de La Rochelle</t>
  </si>
  <si>
    <t>AgarAgar</t>
  </si>
  <si>
    <t>Avocat tropical</t>
  </si>
  <si>
    <t>pièce</t>
  </si>
  <si>
    <t>Coriandre</t>
  </si>
  <si>
    <t>Échalote</t>
  </si>
  <si>
    <t>Estragon</t>
  </si>
  <si>
    <t>Feuille Spring roll</t>
  </si>
  <si>
    <t>Glucose</t>
  </si>
  <si>
    <t>Huile de curry</t>
  </si>
  <si>
    <t>Huile de tournesol</t>
  </si>
  <si>
    <t>Moutarde</t>
  </si>
  <si>
    <t>Œuf</t>
  </si>
  <si>
    <t>œuf</t>
  </si>
  <si>
    <t>Piment de cayenne</t>
  </si>
  <si>
    <t>pm</t>
  </si>
  <si>
    <t>Pince de tourteau</t>
  </si>
  <si>
    <t>Poireau</t>
  </si>
  <si>
    <t>poireaux</t>
  </si>
  <si>
    <t>Purée de bergamote</t>
  </si>
  <si>
    <t>Purée de mangue</t>
  </si>
  <si>
    <t>Purée passion</t>
  </si>
  <si>
    <t>Vinaigre balsamique blanc</t>
  </si>
  <si>
    <t>Vinaigre de xérès</t>
  </si>
  <si>
    <t>http://etab.ac-poitiers.fr/lycee-hotelier-la-rochelle/spip.php?article64</t>
  </si>
  <si>
    <t>litre</t>
  </si>
  <si>
    <t>Liste de tous les ingrédients employés dans la recette</t>
  </si>
  <si>
    <t>COMPRESSION DE TOURTEAU AVOCAT TROPICAL MANGUE ACIDULEE, SORBET BERGAMOTE CORIANDRE ESTRAGON</t>
  </si>
  <si>
    <t xml:space="preserve"> Recette pour</t>
  </si>
  <si>
    <t>Prix HT</t>
  </si>
  <si>
    <t xml:space="preserve">TOTAL POUR </t>
  </si>
  <si>
    <t>Assisonnement</t>
  </si>
  <si>
    <t>COUT MATIERE PORTION</t>
  </si>
  <si>
    <t>Palette de couleurs, Excel</t>
  </si>
  <si>
    <t>http://translate.google.fr/translate?hl=fr&amp;langpair=en|fr&amp;u=http://dmcritchie.mvps.org/excel/colors.htm</t>
  </si>
  <si>
    <t>[Couleur 15]</t>
  </si>
  <si>
    <t>[Couleur 30]</t>
  </si>
  <si>
    <t>[Couleur 45]</t>
  </si>
  <si>
    <t>[Couleur 1]</t>
  </si>
  <si>
    <t>[Couleur 16]</t>
  </si>
  <si>
    <t>[Couleur 31]</t>
  </si>
  <si>
    <t>[Couleur 46]</t>
  </si>
  <si>
    <t>[Couleur 2]</t>
  </si>
  <si>
    <t>[Couleur 17]</t>
  </si>
  <si>
    <t>[Couleur 32]</t>
  </si>
  <si>
    <t>[Couleur 47]</t>
  </si>
  <si>
    <t>[Couleur 3]</t>
  </si>
  <si>
    <t>[Couleur 18]</t>
  </si>
  <si>
    <t>[Couleur 33]</t>
  </si>
  <si>
    <t>[Couleur 48]</t>
  </si>
  <si>
    <t>[Couleur 4]</t>
  </si>
  <si>
    <t>[Couleur 19]</t>
  </si>
  <si>
    <t>[Couleur 34]</t>
  </si>
  <si>
    <t>[Couleur 49]</t>
  </si>
  <si>
    <t>[Couleur 5]</t>
  </si>
  <si>
    <t>[Couleur 20]</t>
  </si>
  <si>
    <t>[Couleur 35]</t>
  </si>
  <si>
    <t>[Couleur 50]</t>
  </si>
  <si>
    <t>[Couleur 6]</t>
  </si>
  <si>
    <t>[Couleur 21]</t>
  </si>
  <si>
    <t>[Couleur 36]</t>
  </si>
  <si>
    <t>[Couleur 7]</t>
  </si>
  <si>
    <t>[Couleur 22]</t>
  </si>
  <si>
    <t>[Couleur 37]</t>
  </si>
  <si>
    <t>[Couleur 52]</t>
  </si>
  <si>
    <t>[Couleur 8]</t>
  </si>
  <si>
    <t>[Couleur 23]</t>
  </si>
  <si>
    <t>[Couleur 38]</t>
  </si>
  <si>
    <t>[Couleur 53]</t>
  </si>
  <si>
    <t>[Couleur 9]</t>
  </si>
  <si>
    <t>[Couleur 24]</t>
  </si>
  <si>
    <t>[Couleur 39]</t>
  </si>
  <si>
    <t>[Couleur 54]</t>
  </si>
  <si>
    <t>Code couleur Rouge Vert Bleu RVB</t>
  </si>
  <si>
    <t>[Couleur 10]</t>
  </si>
  <si>
    <t>[Couleur 25]</t>
  </si>
  <si>
    <t>[Couleur 40]</t>
  </si>
  <si>
    <t>[Couleur 55]</t>
  </si>
  <si>
    <t>R51-V153 B102</t>
  </si>
  <si>
    <t>[Couleur 11]</t>
  </si>
  <si>
    <t>[Couleur 26]</t>
  </si>
  <si>
    <t>[Couleur 41]</t>
  </si>
  <si>
    <t>[Couleur 56]</t>
  </si>
  <si>
    <t>R50-V204 B255</t>
  </si>
  <si>
    <t>[Couleur 12]</t>
  </si>
  <si>
    <t>[Couleur 27]</t>
  </si>
  <si>
    <t>[Couleur 42]</t>
  </si>
  <si>
    <t>R255-V204 B0</t>
  </si>
  <si>
    <t>[Couleur 13]</t>
  </si>
  <si>
    <t>[Couleur 28]</t>
  </si>
  <si>
    <t>[Couleur 43]</t>
  </si>
  <si>
    <t>R255-V0 B0</t>
  </si>
  <si>
    <t>[Couleur 14]</t>
  </si>
  <si>
    <t>[Couleur 29]</t>
  </si>
  <si>
    <t>[Couleur 44]</t>
  </si>
  <si>
    <t>R255-V102 B0</t>
  </si>
  <si>
    <t>R0-V255 B0</t>
  </si>
  <si>
    <t>Vert</t>
  </si>
  <si>
    <t>Bleu</t>
  </si>
  <si>
    <t>R255-V204 B153</t>
  </si>
  <si>
    <t>R255-V153 B204</t>
  </si>
  <si>
    <t>Blanc</t>
  </si>
  <si>
    <t>R255-V0 B255</t>
  </si>
  <si>
    <t>Rouge</t>
  </si>
  <si>
    <t>R0-V128 B0</t>
  </si>
  <si>
    <t>R153-V204 B0</t>
  </si>
  <si>
    <t># 0000FF</t>
  </si>
  <si>
    <t>Jaune</t>
  </si>
  <si>
    <t># FFFF00</t>
  </si>
  <si>
    <t>Magenta</t>
  </si>
  <si>
    <t># FF00FF</t>
  </si>
  <si>
    <t>R0-V0 B255</t>
  </si>
  <si>
    <t>Cyan</t>
  </si>
  <si>
    <t># 00FFFF</t>
  </si>
  <si>
    <t>R153-V204 B255</t>
  </si>
  <si>
    <t># 800000</t>
  </si>
  <si>
    <t>R0-V102 B204</t>
  </si>
  <si>
    <t>R204-V153 B255</t>
  </si>
  <si>
    <t># 000080</t>
  </si>
  <si>
    <t># 808000</t>
  </si>
  <si>
    <t># 800080</t>
  </si>
  <si>
    <t># 008080</t>
  </si>
  <si>
    <t># C0C0C0</t>
  </si>
  <si>
    <t># 808080</t>
  </si>
  <si>
    <t># 9999FF</t>
  </si>
  <si>
    <t># 993366</t>
  </si>
  <si>
    <t># CCFFFF</t>
  </si>
  <si>
    <t># 660066</t>
  </si>
  <si>
    <t># FF8080</t>
  </si>
  <si>
    <t># 0066CC</t>
  </si>
  <si>
    <t># CCCCFF</t>
  </si>
  <si>
    <t># 00CCFF</t>
  </si>
  <si>
    <t># CCFFCC</t>
  </si>
  <si>
    <t># FFFF99</t>
  </si>
  <si>
    <t># 99CCFF</t>
  </si>
  <si>
    <t># FF99CC</t>
  </si>
  <si>
    <t># CC99FF</t>
  </si>
  <si>
    <t># FFCC99</t>
  </si>
  <si>
    <t># 3366FF</t>
  </si>
  <si>
    <t># 33CCCC</t>
  </si>
  <si>
    <t># 99CC00</t>
  </si>
  <si>
    <t># FFCC00</t>
  </si>
  <si>
    <t># FF9900</t>
  </si>
  <si>
    <t># FF6600</t>
  </si>
  <si>
    <t># 666699</t>
  </si>
  <si>
    <t># 969696</t>
  </si>
  <si>
    <t># 003366</t>
  </si>
  <si>
    <t># 333300</t>
  </si>
  <si>
    <t># 993300</t>
  </si>
  <si>
    <t># 333399</t>
  </si>
  <si>
    <t># 333333</t>
  </si>
  <si>
    <t>Abaisser la temp. à coeur</t>
  </si>
  <si>
    <t>①</t>
  </si>
  <si>
    <t>Parfumer</t>
  </si>
  <si>
    <t>Respecter le délai de 2 H</t>
  </si>
  <si>
    <t>Abaisser</t>
  </si>
  <si>
    <t>Dépouiller</t>
  </si>
  <si>
    <t>Habiller</t>
  </si>
  <si>
    <t>Dauber</t>
  </si>
  <si>
    <t>Façonner</t>
  </si>
  <si>
    <t>Macérer</t>
  </si>
  <si>
    <t>Rabattre</t>
  </si>
  <si>
    <t>Accompagner</t>
  </si>
  <si>
    <t>②</t>
  </si>
  <si>
    <t>Parsemer</t>
  </si>
  <si>
    <t>Retirer</t>
  </si>
  <si>
    <t>Abricoter</t>
  </si>
  <si>
    <t>Hacher</t>
  </si>
  <si>
    <t>Décanter</t>
  </si>
  <si>
    <t>Faire bouillir</t>
  </si>
  <si>
    <t>Maintenir en temp. sup à 63°</t>
  </si>
  <si>
    <t>Raccourcir</t>
  </si>
  <si>
    <t>Tailler</t>
  </si>
  <si>
    <t>Additionner</t>
  </si>
  <si>
    <t>③</t>
  </si>
  <si>
    <t>Enfourner</t>
  </si>
  <si>
    <t>Peler</t>
  </si>
  <si>
    <t>Retourner</t>
  </si>
  <si>
    <t>Arroser</t>
  </si>
  <si>
    <t>Désosser</t>
  </si>
  <si>
    <t>Historier</t>
  </si>
  <si>
    <t>Remonter</t>
  </si>
  <si>
    <t>Décercler</t>
  </si>
  <si>
    <t>Farcir</t>
  </si>
  <si>
    <t>Manchonner</t>
  </si>
  <si>
    <t>Rafraîchir</t>
  </si>
  <si>
    <t>Tamiser</t>
  </si>
  <si>
    <t>Adjoindre</t>
  </si>
  <si>
    <t>④</t>
  </si>
  <si>
    <t>Porter à ébullition</t>
  </si>
  <si>
    <t>Rincer</t>
  </si>
  <si>
    <t>Assaisonner</t>
  </si>
  <si>
    <t>Dessécher</t>
  </si>
  <si>
    <t>Revenir</t>
  </si>
  <si>
    <t>Décorer</t>
  </si>
  <si>
    <t>Farder</t>
  </si>
  <si>
    <t>Raidir</t>
  </si>
  <si>
    <t>Tamponner</t>
  </si>
  <si>
    <t>Agir rapidement</t>
  </si>
  <si>
    <t>⑤</t>
  </si>
  <si>
    <t>Préchauffer</t>
  </si>
  <si>
    <t>Détendre</t>
  </si>
  <si>
    <t>Inciser</t>
  </si>
  <si>
    <t>Rissoler</t>
  </si>
  <si>
    <t>Décortiquer</t>
  </si>
  <si>
    <t>Fariner</t>
  </si>
  <si>
    <t>Manipuler</t>
  </si>
  <si>
    <t>Rassir</t>
  </si>
  <si>
    <t>Tapisser</t>
  </si>
  <si>
    <t>Ajouter</t>
  </si>
  <si>
    <t>Prélever</t>
  </si>
  <si>
    <t>Saupoudrer</t>
  </si>
  <si>
    <t>Barder</t>
  </si>
  <si>
    <t>⑥</t>
  </si>
  <si>
    <t>Dorer</t>
  </si>
  <si>
    <t>Rompre</t>
  </si>
  <si>
    <t>Festonner</t>
  </si>
  <si>
    <t>Marbrer</t>
  </si>
  <si>
    <t>Rayer</t>
  </si>
  <si>
    <t>Terminer</t>
  </si>
  <si>
    <t>Aplatir</t>
  </si>
  <si>
    <t>Préparer</t>
  </si>
  <si>
    <t>Servir</t>
  </si>
  <si>
    <t>Beurrer</t>
  </si>
  <si>
    <t>⑦</t>
  </si>
  <si>
    <t>Dresser</t>
  </si>
  <si>
    <t>Lier</t>
  </si>
  <si>
    <t>Rôtir</t>
  </si>
  <si>
    <t>Fileter</t>
  </si>
  <si>
    <t>Mariner</t>
  </si>
  <si>
    <t>Réaliser</t>
  </si>
  <si>
    <t>Protéger</t>
  </si>
  <si>
    <t>Snacker</t>
  </si>
  <si>
    <t>Blanchir</t>
  </si>
  <si>
    <t>Limoner</t>
  </si>
  <si>
    <t>Déglacer</t>
  </si>
  <si>
    <t>Fixer</t>
  </si>
  <si>
    <t>Marquer</t>
  </si>
  <si>
    <t>Réchauffer en moins d'1 H</t>
  </si>
  <si>
    <t>Torréfier</t>
  </si>
  <si>
    <t>Battre</t>
  </si>
  <si>
    <t>Garnir</t>
  </si>
  <si>
    <t>Blondir</t>
  </si>
  <si>
    <t>Lisser</t>
  </si>
  <si>
    <t>Saigner</t>
  </si>
  <si>
    <t>Dégorger</t>
  </si>
  <si>
    <t>Flamber</t>
  </si>
  <si>
    <t>Masquer</t>
  </si>
  <si>
    <t>Recouvrir</t>
  </si>
  <si>
    <t>Bouler</t>
  </si>
  <si>
    <t>Lustrer</t>
  </si>
  <si>
    <t>Saisir</t>
  </si>
  <si>
    <t>Aromatiser</t>
  </si>
  <si>
    <t>Dégourdir</t>
  </si>
  <si>
    <t>Masser</t>
  </si>
  <si>
    <t>Chauffer</t>
  </si>
  <si>
    <t>Incorporer</t>
  </si>
  <si>
    <t>Braiser</t>
  </si>
  <si>
    <t>Sangler</t>
  </si>
  <si>
    <t>Dégraisser</t>
  </si>
  <si>
    <t>Fleurer</t>
  </si>
  <si>
    <t>Mélanger</t>
  </si>
  <si>
    <t>Travailler</t>
  </si>
  <si>
    <t>Conserver</t>
  </si>
  <si>
    <t>Indications packaging</t>
  </si>
  <si>
    <t>Utiliser</t>
  </si>
  <si>
    <t>Brider</t>
  </si>
  <si>
    <t>Sauter</t>
  </si>
  <si>
    <t>Déhousser</t>
  </si>
  <si>
    <t>Foisonner</t>
  </si>
  <si>
    <t>Meringuer</t>
  </si>
  <si>
    <t>Refroidir</t>
  </si>
  <si>
    <t>Tremper</t>
  </si>
  <si>
    <t>Contrôler</t>
  </si>
  <si>
    <t>Serrer</t>
  </si>
  <si>
    <t>Délayer</t>
  </si>
  <si>
    <t>Régénérer</t>
  </si>
  <si>
    <t>Tronçonner</t>
  </si>
  <si>
    <t>Jeter</t>
  </si>
  <si>
    <t>Vérifier la temp.</t>
  </si>
  <si>
    <t>Canneler</t>
  </si>
  <si>
    <t>Singer</t>
  </si>
  <si>
    <t>Démouler</t>
  </si>
  <si>
    <t>Fondre</t>
  </si>
  <si>
    <t>Mettre en cuisson</t>
  </si>
  <si>
    <t>Réhydrater</t>
  </si>
  <si>
    <t>Verser</t>
  </si>
  <si>
    <t>Caraméliser</t>
  </si>
  <si>
    <t>Effilandrer</t>
  </si>
  <si>
    <t>Suer</t>
  </si>
  <si>
    <t>Dénerver</t>
  </si>
  <si>
    <t>Fouetter</t>
  </si>
  <si>
    <t>Mijoter</t>
  </si>
  <si>
    <t>Relâcher</t>
  </si>
  <si>
    <t>Turbiner</t>
  </si>
  <si>
    <t>Laver</t>
  </si>
  <si>
    <t>Remonter en température</t>
  </si>
  <si>
    <t>Châtrer</t>
  </si>
  <si>
    <t>⑧</t>
  </si>
  <si>
    <t>Effiler</t>
  </si>
  <si>
    <t>Dénoyauter</t>
  </si>
  <si>
    <t>Fouler</t>
  </si>
  <si>
    <t>Mixer</t>
  </si>
  <si>
    <t>Disperser</t>
  </si>
  <si>
    <t>Remplacer</t>
  </si>
  <si>
    <t>Chaufroiter</t>
  </si>
  <si>
    <t>⑨</t>
  </si>
  <si>
    <t>Denteler</t>
  </si>
  <si>
    <t>Fourrer</t>
  </si>
  <si>
    <t>Modeler</t>
  </si>
  <si>
    <t>Disposer</t>
  </si>
  <si>
    <t>Remuer</t>
  </si>
  <si>
    <t>Chemiser</t>
  </si>
  <si>
    <t>⑩</t>
  </si>
  <si>
    <t>Egoutter</t>
  </si>
  <si>
    <t>Moiner</t>
  </si>
  <si>
    <t>Upériser</t>
  </si>
  <si>
    <t>Répartir</t>
  </si>
  <si>
    <t>Chiqueter</t>
  </si>
  <si>
    <t>⑪</t>
  </si>
  <si>
    <t>Frapper</t>
  </si>
  <si>
    <t>Monder</t>
  </si>
  <si>
    <t>Repasser</t>
  </si>
  <si>
    <t>Ciseler</t>
  </si>
  <si>
    <t>⑫</t>
  </si>
  <si>
    <t>Monter</t>
  </si>
  <si>
    <t>Citronner</t>
  </si>
  <si>
    <t>⑬</t>
  </si>
  <si>
    <t>Frémir</t>
  </si>
  <si>
    <t>Mortifier</t>
  </si>
  <si>
    <t>Clarifier</t>
  </si>
  <si>
    <t>⑭</t>
  </si>
  <si>
    <t>Enrober</t>
  </si>
  <si>
    <t>Détailler</t>
  </si>
  <si>
    <t>Frire</t>
  </si>
  <si>
    <t>Réserver</t>
  </si>
  <si>
    <t>Vanner</t>
  </si>
  <si>
    <t>Coller</t>
  </si>
  <si>
    <t>⑮</t>
  </si>
  <si>
    <t>Eplucher</t>
  </si>
  <si>
    <t>Broyer</t>
  </si>
  <si>
    <t>Mousser</t>
  </si>
  <si>
    <t>Compoter</t>
  </si>
  <si>
    <t>⑯</t>
  </si>
  <si>
    <t>Escaloper</t>
  </si>
  <si>
    <t>Brûler</t>
  </si>
  <si>
    <t>Détremper</t>
  </si>
  <si>
    <t>Concasser</t>
  </si>
  <si>
    <t>⑰</t>
  </si>
  <si>
    <t>Retomber</t>
  </si>
  <si>
    <t>Videler</t>
  </si>
  <si>
    <t>Confire</t>
  </si>
  <si>
    <t>⑱</t>
  </si>
  <si>
    <t>Napper</t>
  </si>
  <si>
    <t>Gerber</t>
  </si>
  <si>
    <t>Voiler</t>
  </si>
  <si>
    <t>Contiser</t>
  </si>
  <si>
    <t>⑲</t>
  </si>
  <si>
    <t>Exprimer</t>
  </si>
  <si>
    <t>Glacer</t>
  </si>
  <si>
    <t>Corner</t>
  </si>
  <si>
    <t>Doubler</t>
  </si>
  <si>
    <t>Gommer</t>
  </si>
  <si>
    <t>Corser</t>
  </si>
  <si>
    <t>Paner</t>
  </si>
  <si>
    <t>Cerner</t>
  </si>
  <si>
    <t>Graisser</t>
  </si>
  <si>
    <t>Panacher</t>
  </si>
  <si>
    <t>Rioler</t>
  </si>
  <si>
    <t>Zester</t>
  </si>
  <si>
    <t>Coucher</t>
  </si>
  <si>
    <t>Papilloter</t>
  </si>
  <si>
    <t>Gratiner</t>
  </si>
  <si>
    <t>Passer</t>
  </si>
  <si>
    <t>Griller</t>
  </si>
  <si>
    <t>Crémer</t>
  </si>
  <si>
    <t>Persiller</t>
  </si>
  <si>
    <t>Parer</t>
  </si>
  <si>
    <t>Crever</t>
  </si>
  <si>
    <t>Piler</t>
  </si>
  <si>
    <t>Rouler</t>
  </si>
  <si>
    <t>Cuire</t>
  </si>
  <si>
    <t>Pincer</t>
  </si>
  <si>
    <t>Chevaucher</t>
  </si>
  <si>
    <t>Roussir</t>
  </si>
  <si>
    <t>Piquer</t>
  </si>
  <si>
    <t>Pocher</t>
  </si>
  <si>
    <t>Pasteuriser</t>
  </si>
  <si>
    <t>Poêler</t>
  </si>
  <si>
    <t>Huiler</t>
  </si>
  <si>
    <t>Sabler</t>
  </si>
  <si>
    <t>Pousser</t>
  </si>
  <si>
    <t>Puncher</t>
  </si>
  <si>
    <t>Clouter</t>
  </si>
  <si>
    <t>Peser</t>
  </si>
  <si>
    <t>Pétrir</t>
  </si>
  <si>
    <t>Quadriller</t>
  </si>
  <si>
    <t>Saumurer</t>
  </si>
  <si>
    <t>Infuser</t>
  </si>
  <si>
    <t>Plaquer</t>
  </si>
  <si>
    <t>Poudrer</t>
  </si>
  <si>
    <t>Siroter</t>
  </si>
  <si>
    <t>Craquer</t>
  </si>
  <si>
    <t>Larder</t>
  </si>
  <si>
    <t>Praliner</t>
  </si>
  <si>
    <t>Stériliser</t>
  </si>
  <si>
    <t>Lever</t>
  </si>
  <si>
    <t>Surgeler</t>
  </si>
  <si>
    <t>Culotter</t>
  </si>
  <si>
    <t>Luter</t>
  </si>
  <si>
    <t>Lyophiliser</t>
  </si>
  <si>
    <t>un lien rompu ou devenu obsolète…..pas de panique…Google saura vous retrouver un document équivalent</t>
  </si>
  <si>
    <t>Quelques polices de caractères utilisées</t>
  </si>
  <si>
    <t>Quelques formats utilisés</t>
  </si>
  <si>
    <t>Arial</t>
  </si>
  <si>
    <t>Calibri</t>
  </si>
  <si>
    <t>Rockwell</t>
  </si>
  <si>
    <t>Verdana</t>
  </si>
  <si>
    <t>15.5 &gt;</t>
  </si>
  <si>
    <t>ARIAL</t>
  </si>
  <si>
    <t>CALIBRI</t>
  </si>
  <si>
    <t>ROCKWELL</t>
  </si>
  <si>
    <t>VERDANA</t>
  </si>
  <si>
    <t>personnalisés &gt;</t>
  </si>
  <si>
    <t>0.000" Kg"</t>
  </si>
  <si>
    <t>0" %"</t>
  </si>
  <si>
    <t>Monétaire</t>
  </si>
  <si>
    <t>Autres polices à découvrir</t>
  </si>
  <si>
    <t>ARIAL NARROW    Arial Narrow</t>
  </si>
  <si>
    <t>COMIC SANS MF  Comic Sans MF</t>
  </si>
  <si>
    <t>GIL SANS MT  Gill Sans MT</t>
  </si>
  <si>
    <t>PALATINO LINOTYPE  Palatino Linotype</t>
  </si>
  <si>
    <t>TAHOMA   Tahoma</t>
  </si>
  <si>
    <t>TIMES NEW ROMAN Times New Roman</t>
  </si>
  <si>
    <t>TRBUCHET MF  Trébuchet MF</t>
  </si>
  <si>
    <t>TW CEN MT  Tw Cen MT</t>
  </si>
  <si>
    <t>VRINDA   Vrinda</t>
  </si>
  <si>
    <t>Une numérotation avec couleur de police modifiable</t>
  </si>
  <si>
    <t>2</t>
  </si>
  <si>
    <t>3</t>
  </si>
  <si>
    <t>4</t>
  </si>
  <si>
    <t>5</t>
  </si>
  <si>
    <t>6</t>
  </si>
  <si>
    <t>7</t>
  </si>
  <si>
    <t>8</t>
  </si>
  <si>
    <t>9</t>
  </si>
  <si>
    <t>10</t>
  </si>
  <si>
    <t>11</t>
  </si>
  <si>
    <t>12</t>
  </si>
  <si>
    <t>13</t>
  </si>
  <si>
    <t>14</t>
  </si>
  <si>
    <t>15</t>
  </si>
  <si>
    <t>16</t>
  </si>
  <si>
    <t>17</t>
  </si>
  <si>
    <t>18</t>
  </si>
  <si>
    <t>19</t>
  </si>
  <si>
    <t>20</t>
  </si>
  <si>
    <t>des caractères spéciaux</t>
  </si>
  <si>
    <t>$</t>
  </si>
  <si>
    <t>‰</t>
  </si>
  <si>
    <t>≈</t>
  </si>
  <si>
    <t>±</t>
  </si>
  <si>
    <t>»</t>
  </si>
  <si>
    <t>¼</t>
  </si>
  <si>
    <t>½</t>
  </si>
  <si>
    <t>¾</t>
  </si>
  <si>
    <t>ø</t>
  </si>
  <si>
    <t>►</t>
  </si>
  <si>
    <t>◄</t>
  </si>
  <si>
    <t>▲</t>
  </si>
  <si>
    <t>▼</t>
  </si>
  <si>
    <t>Φ</t>
  </si>
  <si>
    <t>des fonctions</t>
  </si>
  <si>
    <t>Format | cellule | personnalisé | 0" cm³"</t>
  </si>
  <si>
    <t>ou copier-coller</t>
  </si>
  <si>
    <t>²</t>
  </si>
  <si>
    <t>Police Wingdings 3</t>
  </si>
  <si>
    <t>Adresse colonne</t>
  </si>
  <si>
    <t>³</t>
  </si>
  <si>
    <t>Fonctions complémentaires XLP</t>
  </si>
  <si>
    <t>Site à découvrir</t>
  </si>
  <si>
    <r>
      <t xml:space="preserve">SPACE pour </t>
    </r>
    <r>
      <rPr>
        <b/>
        <sz val="22"/>
        <color theme="0"/>
        <rFont val="Arial"/>
        <family val="2"/>
      </rPr>
      <t>S</t>
    </r>
    <r>
      <rPr>
        <sz val="22"/>
        <color theme="0"/>
        <rFont val="Arial"/>
        <family val="2"/>
      </rPr>
      <t xml:space="preserve">uivi et </t>
    </r>
    <r>
      <rPr>
        <b/>
        <sz val="22"/>
        <color theme="0"/>
        <rFont val="Arial"/>
        <family val="2"/>
      </rPr>
      <t>P</t>
    </r>
    <r>
      <rPr>
        <sz val="22"/>
        <color theme="0"/>
        <rFont val="Arial"/>
        <family val="2"/>
      </rPr>
      <t>rogrammation d'</t>
    </r>
    <r>
      <rPr>
        <b/>
        <sz val="22"/>
        <color theme="0"/>
        <rFont val="Arial"/>
        <family val="2"/>
      </rPr>
      <t>AC</t>
    </r>
    <r>
      <rPr>
        <sz val="22"/>
        <color theme="0"/>
        <rFont val="Arial"/>
        <family val="2"/>
      </rPr>
      <t xml:space="preserve">tivités en </t>
    </r>
    <r>
      <rPr>
        <b/>
        <sz val="22"/>
        <color theme="0"/>
        <rFont val="Arial"/>
        <family val="2"/>
      </rPr>
      <t>E</t>
    </r>
    <r>
      <rPr>
        <sz val="22"/>
        <color theme="0"/>
        <rFont val="Arial"/>
        <family val="2"/>
      </rPr>
      <t>quipe est un outil destiné à permettre un suivi exhaustif des activités d'une équipe.</t>
    </r>
  </si>
  <si>
    <t xml:space="preserve">Fil de discussion dédié à ce programme </t>
  </si>
  <si>
    <t>http://www.excel-downloads.com/remository/Download/Professionnels/Planification-et-gestion-de-projets/SPACE.html</t>
  </si>
  <si>
    <t>de Michel MARIETTE</t>
  </si>
  <si>
    <t>Je les ai adaptés pour les mettre à disposition des professionnels et des jeunes cuisiniers en formation .</t>
  </si>
  <si>
    <t>et pour que toutes ces recettes ne tombent pas dans l'oubli</t>
  </si>
  <si>
    <t>Ces documents sont les fruits du travail :</t>
  </si>
  <si>
    <t xml:space="preserve">Fiche de fabrication  :  OLIDA   </t>
  </si>
  <si>
    <t>Boutique 11 Rue Drouot  PARIS</t>
  </si>
  <si>
    <t>recette  1936</t>
  </si>
  <si>
    <t>Désignation de l' article  :  Boudin blanc  au madére "très bonne qualité "</t>
  </si>
  <si>
    <t>Fabrication :</t>
  </si>
  <si>
    <t>Base</t>
  </si>
  <si>
    <t>Résiduel</t>
  </si>
  <si>
    <t xml:space="preserve">Mêlée </t>
  </si>
  <si>
    <t>Prix</t>
  </si>
  <si>
    <t>Madére</t>
  </si>
  <si>
    <t>Méthode de travail</t>
  </si>
  <si>
    <t xml:space="preserve">Faire bouillir le lait et y mettre à cuire les légumes ( oignons,thym,clous de girofle, carottes, persil ,baton de vanille). </t>
  </si>
  <si>
    <t>Tous ces éléments sont retirés lorsque le lait s' est bien imprégné de leurs principes arômatiques.</t>
  </si>
  <si>
    <t>Ensuite, dans la cutter tournant à grande vitesse, l' incorporation des composants s' effectue dans l' ordre suivant</t>
  </si>
  <si>
    <t>Maigre de volaille et poitrine hachés ensemble à la plaque fine, sel et épices, œufs entiers, le travail se termine par</t>
  </si>
  <si>
    <t>l' introduction progressive du lait maintenu aux environs de 60°C et madére</t>
  </si>
  <si>
    <r>
      <t>Embossage   :</t>
    </r>
    <r>
      <rPr>
        <sz val="12"/>
        <color indexed="12"/>
        <rFont val="Bookman Old Style"/>
        <family val="1"/>
      </rPr>
      <t xml:space="preserve">  menu de porc calibre 32/34,  poids de poussage : 110 grs piéce</t>
    </r>
  </si>
  <si>
    <t>clayette</t>
  </si>
  <si>
    <t xml:space="preserve">Cuisson  : </t>
  </si>
  <si>
    <t>Tp eau</t>
  </si>
  <si>
    <t>Temps</t>
  </si>
  <si>
    <t>82°c</t>
  </si>
  <si>
    <t>20 mn</t>
  </si>
  <si>
    <r>
      <t>Refroidissement :</t>
    </r>
    <r>
      <rPr>
        <sz val="12"/>
        <color indexed="12"/>
        <rFont val="Bookman Old Style"/>
        <family val="1"/>
      </rPr>
      <t xml:space="preserve">   dans un bac ( Eau + glace  )</t>
    </r>
  </si>
  <si>
    <t>Quelques conseils culinaires</t>
  </si>
  <si>
    <t>Au four</t>
  </si>
  <si>
    <t xml:space="preserve">  bac de cuisson</t>
  </si>
  <si>
    <t>*  Piquer les boudins sur toute leur surface , afin qu' ils n' éclatent pas</t>
  </si>
  <si>
    <t>*  Enduire d' une fine pellicule de beurre des feuilles de papier aluminium et y envelopper les boudins.</t>
  </si>
  <si>
    <t>*   Pour les servir, les extraire du papier et les glisser sur le plat très chaud.</t>
  </si>
  <si>
    <t>Variante original</t>
  </si>
  <si>
    <t>*  Réchauffer les boudins dans de l' eau légèrement salée et maintenue à 40-50°C;</t>
  </si>
  <si>
    <t>*  Puis les faire rissoler doucement dans la poêle avec du beurre ou une autre matière grasse.</t>
  </si>
  <si>
    <t>*   Pour les servir,  les glisser sur le plat de service réchauffé.</t>
  </si>
  <si>
    <t>Boutique 11 Rue Drouot PARIS</t>
  </si>
  <si>
    <t>Désignation de l' article  :  Boudin blanc  au porto"très bonne qualité "</t>
  </si>
  <si>
    <t>Maigre de veau</t>
  </si>
  <si>
    <t>Maigre de volaille, maigre de veau hachés ensemble à la plaque fine, sel et épices, œufs entiers le travail se termine par</t>
  </si>
  <si>
    <t>l' introduction progressive du lait maintenu aux environs de 60°C et porto</t>
  </si>
  <si>
    <t>Désignation de l' article  :  Boudin blanc  au kirch  "très bonne qualité "</t>
  </si>
  <si>
    <t>Maigre de porc (jambon)</t>
  </si>
  <si>
    <t>Kirch</t>
  </si>
  <si>
    <t>Maigre de vollaille et maigre de veau hachés ensemble à la plaque fine, sel et épices, œufs entiers, le travail se termine par</t>
  </si>
  <si>
    <t>l' introduction progressive du lait maintenu aux environs de 60°C et l' alcools</t>
  </si>
  <si>
    <t>Désignation de l' article  :  Boudin blanc  orange cointreau  "très bonne qualité "</t>
  </si>
  <si>
    <t>Maigre  de jambon</t>
  </si>
  <si>
    <t>Orange cointreau</t>
  </si>
  <si>
    <t>Maigre de volaille et maigre de jambon  hachés ensemble à la plaque fine, sel et épices, œufs entiers, le travail se termine par</t>
  </si>
  <si>
    <t>Désignation de l' article  :  Boudin blanc aux cêpes et au  rhum "très bonne qualité "</t>
  </si>
  <si>
    <t>Maigre de jambon</t>
  </si>
  <si>
    <t>Poudre de cêpes</t>
  </si>
  <si>
    <t>Maigre de volaille et maigre de jambon hachés ensemble à la plaque fine, sel et épices, œufs entiers, le travail se termine par</t>
  </si>
  <si>
    <t>Désignation de l' article  :  Boudin blanc au coganc "très bonne qualité "</t>
  </si>
  <si>
    <t>Maigre de volaille  et poitrine hachés ensemble à la plaque fine, sel et épices, œufs entiers, le travail se termine par</t>
  </si>
  <si>
    <t>Désignation de l' article  :  Boudin blanc  truffé  "très bonne qualité "</t>
  </si>
  <si>
    <t>Truffes</t>
  </si>
  <si>
    <t>Maigre de volaille et maigre de veau hachés ensemble à la plaque fine, sel et épices, œufs entiers, le travail se termine par</t>
  </si>
  <si>
    <t>l' introduction progressive du lait maintenu aux environs de 60°C, madére et truffes</t>
  </si>
  <si>
    <t>Quelques sites Excel pour vous aider à créer vos documents</t>
  </si>
  <si>
    <t>liens &gt;</t>
  </si>
  <si>
    <t xml:space="preserve">Frédéric LE GUEN -  </t>
  </si>
  <si>
    <t xml:space="preserve">https://www.excel-exercice.com/ </t>
  </si>
  <si>
    <t>https://www.youtube.com/user/ExcelExercice/videos</t>
  </si>
  <si>
    <t>Fonction SOMME.SI.ENS</t>
  </si>
  <si>
    <t>https://www.excel-exercice.com/somme-si-ens/</t>
  </si>
  <si>
    <t xml:space="preserve">Formation informatique avec Cedric - </t>
  </si>
  <si>
    <t>https://www.youtube.com/watch?v=e2kzRDcW5iI</t>
  </si>
  <si>
    <t xml:space="preserve">Kévin Brundu - </t>
  </si>
  <si>
    <t>https://www.youtube.com/c/K%C3%A9vinBrundu/videos</t>
  </si>
  <si>
    <t xml:space="preserve">Aide &amp; apprentissage d'Excel - </t>
  </si>
  <si>
    <t>https://support.microsoft.com/fr-fr/excel</t>
  </si>
  <si>
    <t xml:space="preserve">Tuto De Rien - </t>
  </si>
  <si>
    <t>https://www.youtube.com/c/TutoDeRien/playlists</t>
  </si>
  <si>
    <t xml:space="preserve">prof couillon - </t>
  </si>
  <si>
    <t>https://www.youtube.com/channel/UCK4qfUuh9kpBByJFIMBPTtA/playlists</t>
  </si>
  <si>
    <t>https://www.youtube.com/watch?v=YfGrccEQGKk</t>
  </si>
  <si>
    <t>https://www.youtube.com/watch?v=li4XNespLxg</t>
  </si>
  <si>
    <t>Trouver les liens externes d’un classeur</t>
  </si>
  <si>
    <t>DIFFÉRENCE ENTRE SERVICE A LA PORTION ET SERVICE AU POIDS</t>
  </si>
  <si>
    <t>NOM DE LA RECETTE</t>
  </si>
  <si>
    <t>SERVICE A LA PORTION</t>
  </si>
  <si>
    <t>Comment remplir cette fiche en respectant un ordre logique</t>
  </si>
  <si>
    <t>fiche de fabrication SERVICE A LA PORTION</t>
  </si>
  <si>
    <t>Simplissime :</t>
  </si>
  <si>
    <t>AVANT de saisir quoique ce soit dans une cellule vérifiez bien qu'il n'y ait pas de formule en cliquant dessus</t>
  </si>
  <si>
    <t xml:space="preserve">Portions Auteur </t>
  </si>
  <si>
    <t>Dupliquée pour</t>
  </si>
  <si>
    <t xml:space="preserve">Vous pouvez saisir ce que vous voulez un poids  </t>
  </si>
  <si>
    <t>un nombre de cuillères ou de branches de thym</t>
  </si>
  <si>
    <t>Matière d'œuvre</t>
  </si>
  <si>
    <t>1 - saisir les Denrées</t>
  </si>
  <si>
    <t>une poignée etc…tout cela n'a pas d'incidence</t>
  </si>
  <si>
    <t>Denrées</t>
  </si>
  <si>
    <t>Quantité</t>
  </si>
  <si>
    <t>Parce que :</t>
  </si>
  <si>
    <t>Quantités</t>
  </si>
  <si>
    <t>2 - saisir les quantités de la recette  dans cette colonne</t>
  </si>
  <si>
    <t xml:space="preserve"> l'Auteur à pensé sa recette pour </t>
  </si>
  <si>
    <t xml:space="preserve">Vous voulez la dupliquer pour </t>
  </si>
  <si>
    <t xml:space="preserve"> ¼ de botte de fines herbes -  allez expliquer cela à Excel (0.25)</t>
  </si>
  <si>
    <t>Formule :</t>
  </si>
  <si>
    <t xml:space="preserve">Quantité de chaque produit  </t>
  </si>
  <si>
    <t>X par le nombre de portions que vous voulez dupliquer</t>
  </si>
  <si>
    <t>C a C</t>
  </si>
  <si>
    <t>cuillère a café</t>
  </si>
  <si>
    <t>C à S</t>
  </si>
  <si>
    <t>cuillère a soupe</t>
  </si>
  <si>
    <t>Nombre de portions de l'Auteur</t>
  </si>
  <si>
    <t>Astuce :</t>
  </si>
  <si>
    <t>si vous estimez que les portions sont trop importantes pour vos convives :</t>
  </si>
  <si>
    <t xml:space="preserve">Dupliquée pour : </t>
  </si>
  <si>
    <t>à vous de saisir la quantité à fabriquer en fonction de votre utilisation</t>
  </si>
  <si>
    <t>augmentez le nombre de portion prévues par l'Auteur cela diminuera vos quantités par personne</t>
  </si>
  <si>
    <t>Etc….</t>
  </si>
  <si>
    <t>si vous estimez que les portions ne sont pas assez copieuses  :</t>
  </si>
  <si>
    <t xml:space="preserve">diminuez le nombre de portion prévues par l'Auteur cela augmentera vos quantités </t>
  </si>
  <si>
    <t>? - - n'oubliez pas d'indiquer pour combien de portion ou quel nombre de couverts était prévue la recette que vous avez saisie</t>
  </si>
  <si>
    <t>SERVICE AU POIDS</t>
  </si>
  <si>
    <t>fiche de fabrication SERVICE AU POIDS</t>
  </si>
  <si>
    <t>Cela demande un peu plus d'attention que pour le service à la portion</t>
  </si>
  <si>
    <t xml:space="preserve">Poids Auteur </t>
  </si>
  <si>
    <t>les poids - les cuillères à café le nombre de pièces : tout est mélangé</t>
  </si>
  <si>
    <t xml:space="preserve">si bien que vous obtenez un poids total de </t>
  </si>
  <si>
    <t>cellule</t>
  </si>
  <si>
    <t xml:space="preserve">si vous n'aviez que des poids vous pourriez saisir ce total dans la cellule Poids Auteur </t>
  </si>
  <si>
    <t>d'agneau</t>
  </si>
  <si>
    <t xml:space="preserve">mais si vous souhaitez dupliquer cette recette pour un poids d'agneau saisir ce poids d'agneau </t>
  </si>
  <si>
    <t>vous auriez très bien pu dupliquer cette recette pour un poids de haricots coco</t>
  </si>
  <si>
    <t>X par le poids que vous voulez dupliquer</t>
  </si>
  <si>
    <t>Poids de l'Auteur</t>
  </si>
  <si>
    <t>si dans votre recette vous n'avez saisi que des poids alors saisissez le total</t>
  </si>
  <si>
    <t>de la cellule</t>
  </si>
  <si>
    <t>CONTENU DU CLASSEUR</t>
  </si>
  <si>
    <t>Mode d'emploi</t>
  </si>
  <si>
    <t>VOCABULAIRE PROFESSIONNEL</t>
  </si>
  <si>
    <t>Codes couleurs : Palette de couleurs, Excel</t>
  </si>
  <si>
    <t>Exemples Michel Mariette</t>
  </si>
  <si>
    <t>Modèle progression en suivant</t>
  </si>
  <si>
    <t>Modèle progression à côté</t>
  </si>
  <si>
    <t>Modèle de récap AUTEUR  : Christian FRECHEDE  lycée hôtelier de La Rochelle</t>
  </si>
  <si>
    <t>Boudin blanc  au madére</t>
  </si>
  <si>
    <t>Boudin blanc  au porto</t>
  </si>
  <si>
    <t>Boudin blanc  au kirch</t>
  </si>
  <si>
    <t>Boudin blanc  orange cointreau</t>
  </si>
  <si>
    <t>Boudin blanc aux cêpes et au  rhum</t>
  </si>
  <si>
    <t>Boudin blanc  truffé</t>
  </si>
  <si>
    <t>Boutique Olida Paris</t>
  </si>
  <si>
    <t>Produits Olida</t>
  </si>
  <si>
    <t>OLIDA Levallois 1892/ 1984  Mr Michel MARIETTE 1958/1984</t>
  </si>
  <si>
    <t>Formats formules et pourcentages</t>
  </si>
  <si>
    <t xml:space="preserve">Grammages GEM/RCN   POUR FICHES TECHNIQUES </t>
  </si>
  <si>
    <t>Grammages GEM/RCN Bis</t>
  </si>
  <si>
    <t>A SAVOIR</t>
  </si>
  <si>
    <t>POIDS DES FRUITS ET LÉGUMES</t>
  </si>
  <si>
    <t>COMMENT CHOISIR SA POLICE DE SYMBOLES</t>
  </si>
  <si>
    <t>Epurer un texte : tableau pour "nettoyer" un texte récupéré sur le net</t>
  </si>
  <si>
    <t>EPURER UN TEXTE</t>
  </si>
  <si>
    <t>annule ou remplace les versions précédentes</t>
  </si>
  <si>
    <t>le seul collage autorisé :</t>
  </si>
  <si>
    <t>Collage spécial Valeurs 123</t>
  </si>
  <si>
    <t>Madame…Monsieur..Bonjour</t>
  </si>
  <si>
    <t>Vous récupérez parfois du texte sur le net pour vos fiches recettes ( des quantités ou un mode opératoire)</t>
  </si>
  <si>
    <t>Ce texte est souvent formaté avec des espaces        des points….  des tirets _  que vous voulez supprimer</t>
  </si>
  <si>
    <t xml:space="preserve">Souvent ce texte est trop long pour vos fiches, il faut donc le couper </t>
  </si>
  <si>
    <t>Ce n'est pas compliqué : utilisez la feuille EPURER UN TEXTE</t>
  </si>
  <si>
    <t>1 - Collez votre texte dans la colonne K du tableau</t>
  </si>
  <si>
    <t>2 - Saisissez ce que vous voulez supprimer dans les cellules E9  F9  G9  (pour toutes les lignes)  vous n'êtes pas obligés de saisir les 3 cellules</t>
  </si>
  <si>
    <t>3 - En complément que souhaitez vous supprimer ligne par ligne colonne C</t>
  </si>
  <si>
    <t>4 - En option si vous le souhaitez, saisissez du texte - une valeur de remplacement ou rien colonne D</t>
  </si>
  <si>
    <t>5 - Récupérez votre texte "nettoyé" colonne B</t>
  </si>
  <si>
    <t>6 - Collez ce texte dans votre document . Collage Spécial 123 Valeurs . Sinon vous coller les formules</t>
  </si>
  <si>
    <t>Une astuce  pour adapter le nombre de caractères à la dimension de votre tableau</t>
  </si>
  <si>
    <t xml:space="preserve">Autre astuce : collez votre texte dans word </t>
  </si>
  <si>
    <t>collez le texte dans votre tableau (collage spécial Valeurs)</t>
  </si>
  <si>
    <t>Cliquer sur Mise en page colonnes et en bas de la liste</t>
  </si>
  <si>
    <t xml:space="preserve">dans la barre de formule coupez le texte qui dépasse votre tableau </t>
  </si>
  <si>
    <t>et collez ce texte dans la ligne suivante</t>
  </si>
  <si>
    <t>et ainsi de suite</t>
  </si>
  <si>
    <t>Copiez une colonne et coller Valeurs dans votre feuille Excel</t>
  </si>
  <si>
    <t>https://www.youtube.com/watch?v=ImOnZNKHBNU&amp;ab_channel=Tutech</t>
  </si>
  <si>
    <t>7 ZIP pour Zipper vos documents</t>
  </si>
  <si>
    <t>Spécifications et limites relatives à Excel</t>
  </si>
  <si>
    <t>https://support.office.com/fr-fr/article/Sp%C3%A9cifications-et-limites-relatives-%C3%A0-Excel-1672b34d-7043-467e-8e27-269d656771c3#ID0EBABAAA=Excel%C2%A02016-2013</t>
  </si>
  <si>
    <t>Afficher les relations entre formules et cellules</t>
  </si>
  <si>
    <t>https://support.office.com/fr-fr/article/Afficher-les-relations-entre-formules-et-cellules-a59bef2b-3701-46bf-8ff1-d3518771d507</t>
  </si>
  <si>
    <t>Auditer-et-espionner-des-formules-sous-excel</t>
  </si>
  <si>
    <t>http://lecompagnon.info/excel/analyse.htm</t>
  </si>
  <si>
    <t>Joël LEBOUCHER …Octobre 2020</t>
  </si>
  <si>
    <t>L'UPRT : la diffusion des savoirs - le partage des savoir-faire</t>
  </si>
  <si>
    <t xml:space="preserve">             TABLEAU POUR ÉPURER UN TEXTE BRUT RÉCUPÉRÉ SUR LE NET                                                                                                                                                    TABLEAU POUR ÉPURER UN TEXTE BRUT RÉCUPÉRÉ SUR LE NET                             </t>
  </si>
  <si>
    <t>3 - Récupérez votre texte dans cette colonne</t>
  </si>
  <si>
    <t>2 - Que voulez vous supprimer dans le texte</t>
  </si>
  <si>
    <t xml:space="preserve">Astuce : copiez dans la ligne de texte brut l'élément à supprimer pour le coller dans une des cellules 1-2 ou 3 parce qu'il arrive parfois </t>
  </si>
  <si>
    <t>Saisissez ce que vous voulez supprimer dans toutes les lignes   vous n'êtes pas obligés de saisir les 3 cellules</t>
  </si>
  <si>
    <t>1 - Collez le texte brut dans cette colonne</t>
  </si>
  <si>
    <t>que cela ne soit pas reconnu si vous le saisissez vous-même</t>
  </si>
  <si>
    <t>pour le coller dans une feuille choisir Collage Spécial 123 Valeurs sinon vous coller les formules</t>
  </si>
  <si>
    <t>A PARTIR DE CETTE COLONNE les tableaux suivant sont un bonus pour vous présenter d'autres formules possibles récupérées sur le net</t>
  </si>
  <si>
    <t>—</t>
  </si>
  <si>
    <t>...</t>
  </si>
  <si>
    <t>Fonction 1ère lettre Majuscule</t>
  </si>
  <si>
    <t>Remplacement ligne par ligne</t>
  </si>
  <si>
    <t>Fonction SUBSTITUE 1</t>
  </si>
  <si>
    <t>Fonction SUBSTITUE 2</t>
  </si>
  <si>
    <t>Fonction SUBSTITUE 3</t>
  </si>
  <si>
    <t>Fonction SUPPRESPACE</t>
  </si>
  <si>
    <t>Coller votre texte brut ICI  COLLAGE SPÉCIAL VALEURS</t>
  </si>
  <si>
    <t>Nombre de caractères et d'espaces dans le texte modifié colonne B</t>
  </si>
  <si>
    <t>Combien de caractères souhaitez vous dans une cellule.Maxi 255</t>
  </si>
  <si>
    <r>
      <t xml:space="preserve">Suggestion : au dela de 255 caractères Excel tronque la cellule </t>
    </r>
    <r>
      <rPr>
        <i/>
        <sz val="22"/>
        <rFont val="Calibri"/>
        <family val="2"/>
        <scheme val="minor"/>
      </rPr>
      <t>(Coupe en retranchant une partie importante)</t>
    </r>
  </si>
  <si>
    <t>Exemple de fractionnement en fonction du nombre de caractères saisis colonne U en respectant les mots entiers</t>
  </si>
  <si>
    <t>SI(ESTVIDE(K14);"";GAUCHE(B14;MAX(SI(ESTERREUR(CHERCHE(" ";GAUCHE(B14;AB14);LIGNE(DECALER(INDIRECT("v14");;;NBCAR(B14)))));0;CHERCHE(" ";GAUCHE(B14;AB14);LIGNE(DECALER(INDIRECT("v14");;;NBCAR(B14))))))))</t>
  </si>
  <si>
    <t>SI(ESTVIDE(K14);"";GAUCHE(B14;MIN(AG14;SOMMEPROD(MAX((STXT(B14;LIGNE(INDIRECT("1:"&amp;AG14));1)=" ")*(LIGNE(INDIRECT("1:"&amp;AG14))))))))</t>
  </si>
  <si>
    <t>Autres possibilités avec divers résultats</t>
  </si>
  <si>
    <t>SI(K14="";"";MAJUSCULE(GAUCHE(H14;1))&amp;DROITE(H14;NBCAR(H14)-1))</t>
  </si>
  <si>
    <t>Que souhaitez vous supprimer ligne par ligne</t>
  </si>
  <si>
    <t xml:space="preserve">à Remplacer par </t>
  </si>
  <si>
    <t>CONCATENER(MAJUSCULE(GAUCHE(H14;1));DROITE(H14;(NBCAR(H14))-1))</t>
  </si>
  <si>
    <t>SUBSTITUE(K14;E$9;"")</t>
  </si>
  <si>
    <t>SUBSTITUE(E14;F$9;"")</t>
  </si>
  <si>
    <t>SUBSTITUE(F14;G$9;"")</t>
  </si>
  <si>
    <t>SUPPRESPACE(I14)</t>
  </si>
  <si>
    <t>Copiez votre texte nettoyé ICI pour Collage spécial Valeurs dans votre document</t>
  </si>
  <si>
    <t>"Nettoyage" dans ces colonnes</t>
  </si>
  <si>
    <t>↓       ↓       ↓      ↓       ↓</t>
  </si>
  <si>
    <t>Total caractères colonne J</t>
  </si>
  <si>
    <t>dans la colonne B vous avez</t>
  </si>
  <si>
    <t>SI(ESTVIDE(K14);"";STXT(B14;1;W14-NBCAR(DROITE(STXT(B14;1;W14);NBCAR(STXT(B14;1;W14))-CHERCHE("§";SUBSTITUE(B14;" ";"§";NBCAR(STXT(B14;1;W14))-NBCAR(SUBSTITUE(STXT(B14;1;W14);" ";""))))))))</t>
  </si>
  <si>
    <t xml:space="preserve">colonne </t>
  </si>
  <si>
    <t>formules utilisées colonne AK</t>
  </si>
  <si>
    <t>Texte de la colonne B modifié en fonction des formules</t>
  </si>
  <si>
    <t>colonne J</t>
  </si>
  <si>
    <t>300g</t>
  </si>
  <si>
    <t>100 Gr</t>
  </si>
  <si>
    <t>exemple / — équeuter, laver,      cuire 300g de haricots   ...  à l'anglaise les égoutter</t>
  </si>
  <si>
    <t>"-"&amp;GAUCHE(B14;AM14)</t>
  </si>
  <si>
    <t>quatre</t>
  </si>
  <si>
    <t>2 et en six</t>
  </si>
  <si>
    <t>... laver, parer les aubergines,    les couper en quatre dans la longueur /</t>
  </si>
  <si>
    <t>"-"&amp;STXT(B16;17;15)</t>
  </si>
  <si>
    <t>haricots</t>
  </si>
  <si>
    <t>fèves</t>
  </si>
  <si>
    <t xml:space="preserve">      cuire les haricots   ...  à l'anglaise les égoutter EXEMPLE / — équeuter, laver,      cuire les haricots   ...  à l'anglaise les égoutter EXEMPLE / — équeuter, laver,                    cuire les haricots   ...  à l'anglaise les égoutterEXEMPLE / — équeuter, laver,      cuire les haricots   ...  à l'anglaise les égoutter</t>
  </si>
  <si>
    <t>DROITE(B18;NBCAR(B18)-AM18)</t>
  </si>
  <si>
    <t>1. litre de</t>
  </si>
  <si>
    <t>1. litre de lait</t>
  </si>
  <si>
    <t>Source du Net pour les formules - cliquez sur le lien</t>
  </si>
  <si>
    <t>0.500 kg de</t>
  </si>
  <si>
    <t>0.500 kg de pain sec (avec le moins de croute colorée possible)</t>
  </si>
  <si>
    <t>Bonjour le forum,chaque cellule de la colonne A contient une chêne de plus de 50 caractères.mon but est de les fractionner de sort d'avoir 3 colonne B, C et D</t>
  </si>
  <si>
    <t>2 œufs</t>
  </si>
  <si>
    <t xml:space="preserve">Colonne B: les 16 premiers caractères précédés par le signe "-" Colonne C: les 15 caractères qui suivent "du 17 au 31" précédés par le signe "-" Colonne D: </t>
  </si>
  <si>
    <t xml:space="preserve">100 g </t>
  </si>
  <si>
    <t>100 g Noisette en poudre</t>
  </si>
  <si>
    <t>les reste des caracteres de la cellule A.</t>
  </si>
  <si>
    <t>et demi</t>
  </si>
  <si>
    <t>1  banane et demi</t>
  </si>
  <si>
    <t>Exemple: 001430010606201018839040003715201011988BOUS devient : -0014300106062010 -188390400037152 01011988BOUS</t>
  </si>
  <si>
    <t>https://forum.excel-pratique.com/excel/fractionner-colonne-suivant-nombre-de-caracteres-t43147.html</t>
  </si>
  <si>
    <t xml:space="preserve">choisissez le nombre de colonne qui vous scindera le texte au nombre </t>
  </si>
  <si>
    <t>de caractères pour votre tableau</t>
  </si>
  <si>
    <t>SERVICE A LA PORTION Explication</t>
  </si>
  <si>
    <t>SERVICE AU POIDS Explication</t>
  </si>
  <si>
    <t>Utilitaire pour "nettoyer" du texte</t>
  </si>
  <si>
    <t>Et voila…c'est pas compliqué…...Transmettez  "vos savoir faire"  peu importe qui les récupère;</t>
  </si>
  <si>
    <t>pourvu qu'un plus grand nombre puisse en bénéficier.</t>
  </si>
  <si>
    <t>⓪①②③④⑤⑥⑦⑧⑨⑩⑪⑫⑬⑭⑮⑯⑰⑱⑲⑳</t>
  </si>
  <si>
    <t>couleur de police blanc sur fond gris à modifier pour vos documents</t>
  </si>
  <si>
    <t>cliquez sur la colonne  C et sélectionnez dans la barre le numéro qui vous intéresse</t>
  </si>
  <si>
    <t>⓿❶❷❸❹❺❻❼❽❾❿⓫⓬⓭⓮⓯⓰⓱⓲⓳⓴</t>
  </si>
  <si>
    <t>Adresses</t>
  </si>
  <si>
    <t>http://www.mdf-xlpages.com/modules/publisher/item.php?itemid=91</t>
  </si>
  <si>
    <t>Pour avoir le nom du répertoire:</t>
  </si>
  <si>
    <t>Pour avoir le nom du répertoire et du fichier:</t>
  </si>
  <si>
    <t xml:space="preserve">pour s'assurer que le fichier est bien l'original, utiliser cette formule qui récupère le nom complet du fichier.  </t>
  </si>
  <si>
    <t>Si vous avez besoin de retirer les crochets vous pouvez utiliser la fonction SUBSTITUE():</t>
  </si>
  <si>
    <t xml:space="preserve">pour marquer vos copies remplacez dans la formule les références en vert par les votres </t>
  </si>
  <si>
    <t>Si vous souhaitez retirer les crochets:</t>
  </si>
  <si>
    <t>pour copier ou modifier une formule supprimez le signe = puis ajoutez le lorsque vous aurez terminé</t>
  </si>
  <si>
    <t>Dates - heures</t>
  </si>
  <si>
    <t>ce qui vous permettra de modifier en toute sécurité  - sans ce signe = Excel considère que c'est du texte</t>
  </si>
  <si>
    <t>Inverser la position du nom et du prénom</t>
  </si>
  <si>
    <t>Format de cellule &gt; Nombre &gt; Date</t>
  </si>
  <si>
    <t>il ne doit y avoir qu'un espace dans la chaine de caractères pour que cela fonctionne</t>
  </si>
  <si>
    <t xml:space="preserve">legendre paul </t>
  </si>
  <si>
    <t>afficher le classement de toutes les cellules de la plage</t>
  </si>
  <si>
    <t>Format de cellule &gt;</t>
  </si>
  <si>
    <t>jjjj mm mmm aaaa - hh"H"mm</t>
  </si>
  <si>
    <t>remplacer 1 par 0 pour avoir un ordre croissant</t>
  </si>
  <si>
    <t>Format de cellule &gt; Nombre &gt; Heure</t>
  </si>
  <si>
    <t>indiquer de façon visuelle le rang d'un nombre dans une série</t>
  </si>
  <si>
    <t>la fonction Rang permet de déterminer la position d'un nombre dans une liste d'arguments</t>
  </si>
  <si>
    <t>mais vous pouvez aussi y associer les fonctions REPT et CAR afin de donner un aspect visuel au résultat</t>
  </si>
  <si>
    <t>si par exemple la série de nombre en colonne C</t>
  </si>
  <si>
    <t>Format de cellule &gt; Personnalisée &gt; Semaine N °0</t>
  </si>
  <si>
    <t>Lien &gt;</t>
  </si>
  <si>
    <t>https://support.office.com/fr-fr/article/combiner-le-texte-de-deux-cellules-ou-plus-en-une-cellule-81ba0946-ce78-42ed-b3c3-21340eb164a6</t>
  </si>
  <si>
    <t>1;1=samedi</t>
  </si>
  <si>
    <t>1;5=mardi</t>
  </si>
  <si>
    <t>https://www.youtube.com/watch?v=yk_ypXvUaHo</t>
  </si>
  <si>
    <t>Excel - fonctions date/heure</t>
  </si>
  <si>
    <t>1;2= vendredi</t>
  </si>
  <si>
    <t>1;6=lundi</t>
  </si>
  <si>
    <t>1;3=jeudi</t>
  </si>
  <si>
    <t>1;7=dimanche</t>
  </si>
  <si>
    <t>FENÊTRE EXCEL</t>
  </si>
  <si>
    <t>Formation Excel 2016 Faire un tableau</t>
  </si>
  <si>
    <t>1;4=mercredi</t>
  </si>
  <si>
    <t>Fonction INDIRECT - Exemples d'application</t>
  </si>
  <si>
    <t>autre solution</t>
  </si>
  <si>
    <t>Pour une hauteur de 15 mm,vous pouvez donc régler sur 42,5.</t>
  </si>
  <si>
    <t>La largeur de colonne est mesurée en caractères standards. Valeur d'exemple par défaut, de 10,71 correspondant à 60 points.</t>
  </si>
  <si>
    <t>Vous pouvez donc régler : pour 50 mm =&gt; 25,29 ; pour 30 mm =&gt; 15,14 ; pour 10 mm =&gt; 5.</t>
  </si>
  <si>
    <t>Format pesonnalisé coller : +[bleu]Standard;-[rouge]Standard;"" ;Standard</t>
  </si>
  <si>
    <t>&lt; = imprim écran avec Greenshot</t>
  </si>
  <si>
    <t>https://www.clubic.com/telecharger-fiche189780-greenshot.html</t>
  </si>
  <si>
    <t>Forum Bureautique</t>
  </si>
  <si>
    <t>Alternatives à Microsoft Excel : 5 programmes gratuits et convaincants</t>
  </si>
  <si>
    <t>Excel SI-ALORS: comment fonctionne la formule SI ?</t>
  </si>
  <si>
    <t>Les 20 meilleurs Tricks Mathématiques</t>
  </si>
  <si>
    <t>Afficher les formules avec une fonction</t>
  </si>
  <si>
    <t>FORMULETEXTE(B2)</t>
  </si>
  <si>
    <t xml:space="preserve">Quelques format - formules et fonctions </t>
  </si>
  <si>
    <t>pour vous aider dans la conception de vos documents</t>
  </si>
  <si>
    <r>
      <t>[</t>
    </r>
    <r>
      <rPr>
        <sz val="16"/>
        <color theme="1"/>
        <rFont val="Calibri"/>
        <family val="2"/>
        <scheme val="minor"/>
      </rPr>
      <t>ff-97-formats-formules-pourcentages.xlsx]sites";"";"ff-97-formats-formules-pourcentages COPIE"</t>
    </r>
  </si>
  <si>
    <t>Adresse classeur &gt;</t>
  </si>
  <si>
    <t xml:space="preserve"> &gt;</t>
  </si>
  <si>
    <t>Fonction</t>
  </si>
  <si>
    <t>à copier</t>
  </si>
  <si>
    <t>pour marquer vos documents</t>
  </si>
  <si>
    <t>Je remercie chaleureusement les internautes passionnés qui élaborent et proposent des formules et fonctions imbriquées</t>
  </si>
  <si>
    <t xml:space="preserve">Récupérer le nom du dossier (sans le chemin complet) </t>
  </si>
  <si>
    <t>afficher ler dernier vendredi du mois, pour une date saisie dans une autre cellule</t>
  </si>
  <si>
    <t>N° de semaine - collez les cellules vertes dans votre tableau</t>
  </si>
  <si>
    <t>collez les cellules vertes dans votre tableau</t>
  </si>
  <si>
    <t>Lignes</t>
  </si>
  <si>
    <t>Ligne</t>
  </si>
  <si>
    <t>Copiez la cellule jaune puis collage spécial Valeurs 1 2 3 dans votre cellule et conservez "A1"</t>
  </si>
  <si>
    <t>Copiez la cellule verte puis collez la directement dans votre document</t>
  </si>
  <si>
    <t>Copiez la cellule jaune puis collez la directement dans votre document</t>
  </si>
  <si>
    <t>Copiez la cellule jaune puis collage spécial Valeurs 1 2 3 dans votre cellule et modifiez le N°de cellule</t>
  </si>
  <si>
    <t>Copiez la cellule jaune puis collez la dans votre cellule ne changez pas le N° de cellule</t>
  </si>
  <si>
    <t>Pour récupérer des formules : 2 choix OU vous collez les 2 ou 3  lignes correspondantes dans votre feuille . OU vous cliquez dans la cellule de couleur , Copiez ...puis dans votre feuille : Collage spécial 1.2.3.Valeurs supprimez =  Modifiez les Numéros de cellules dans la barre de formule PUIS CLIQUEZ A LA FIN DE LA FORMULE AVANT d'ajouter de nouveau = (ce qui modifie votre valeur en fonction)  OU ajouter tout de suite = puis modifier les N° de cellules</t>
  </si>
  <si>
    <t>Pour avoir le nom du fichier</t>
  </si>
  <si>
    <t>Pour avoir le nom de l'onglet</t>
  </si>
  <si>
    <t>Pour avoir le nom de l'onglet et du fichier</t>
  </si>
  <si>
    <t xml:space="preserve">Copiez les 4 cellules encadrées puis collage dans votre feuille. Changez Nom et prénon dans la cellule fond noir </t>
  </si>
  <si>
    <t>recette de qui ?</t>
  </si>
  <si>
    <t>à saisir</t>
  </si>
  <si>
    <t>Procédure</t>
  </si>
  <si>
    <t>u    Police Wingdings 3</t>
  </si>
  <si>
    <t>si vous voulez refaire la</t>
  </si>
  <si>
    <t>Recette de l'Auteur  saisissez la valeur de la cellule</t>
  </si>
  <si>
    <t>QU'EST-CE QU'UNE FICHE DE FABRICATION  DE TYPE "POSTIT"©</t>
  </si>
  <si>
    <t>Tel un Postit © c'est une fiche Excel autonome facilement copiable et transposable dans n'importe quelle feuille</t>
  </si>
  <si>
    <t>Mettez la collaboration au coeur de votre environnement de travail</t>
  </si>
  <si>
    <t xml:space="preserve">"POSTIT"   QUEL INTÉRÊT </t>
  </si>
  <si>
    <t xml:space="preserve">Chaque postit étant indépendant vous pouvez  le copier et le coller dans n'importe quelle feuille Excel </t>
  </si>
  <si>
    <t>pour vous constituer un répertoire</t>
  </si>
  <si>
    <t>Vous pouvez assembler plusieurs postit(s) sur une même feuille pour créer votre recette</t>
  </si>
  <si>
    <t>Exemple : pour une recette de gateau…allez chercher dans vos répertoires la recette du biscuit qui vous convient</t>
  </si>
  <si>
    <t xml:space="preserve"> le mieux ajoutez une ou deux crèmes qui vont bien et terminez en ajoutant un postit éléments de décor</t>
  </si>
  <si>
    <t>Idem pour des recettes de cuisine faites des répertoires :</t>
  </si>
  <si>
    <t>de garnitures aromatiques de cuisson</t>
  </si>
  <si>
    <t>de sauces diverses et variées</t>
  </si>
  <si>
    <t xml:space="preserve"> de garnitures de finitions ou de décor</t>
  </si>
  <si>
    <t>Faites "votre marché" dans vos répertoires et assemblez le tout sur une même feuille Excel</t>
  </si>
  <si>
    <t xml:space="preserve">comment copier un "Postit" : cliquez sur la cellule ICI dans l'angle gauche puis déportez la souris vers la droit le postit </t>
  </si>
  <si>
    <t>est sélectionné  il ne vous reste plus qu'a le copier et le coller dans votre répertoire</t>
  </si>
  <si>
    <t xml:space="preserve">ne sont "postit" que les fiches avec cellule </t>
  </si>
  <si>
    <t>Bonne utilisation. A vous de faire évoluer ces documents…et n'hésitez pas à tramsmettre vos savoirs faire……</t>
  </si>
  <si>
    <t>pour aider les jeunes en formation ou donner des idées à vos collègues des métiers de bouche</t>
  </si>
  <si>
    <t>Largeurs de colonnes</t>
  </si>
  <si>
    <t>Joël Leboucher</t>
  </si>
  <si>
    <t>Adaptation 2016 : Joël Leboucher..UPRT "Union des Personnels de la Restauration Territoriale"  membre du réseau RESTAU'CO</t>
  </si>
  <si>
    <t>Mise à jour du 14 Décembre 2021</t>
  </si>
  <si>
    <t>Page &amp;FEUILLE()&amp;" sur "&amp;FEUILLES()</t>
  </si>
  <si>
    <t>Aide mémoire : sur une  Équivalence litre / Kg</t>
  </si>
  <si>
    <t>1 Kg</t>
  </si>
  <si>
    <t>1000 ml</t>
  </si>
  <si>
    <t>0</t>
  </si>
  <si>
    <t>0.1Kg</t>
  </si>
  <si>
    <t>10 cl</t>
  </si>
  <si>
    <t>100 ml</t>
  </si>
  <si>
    <t xml:space="preserve">0 </t>
  </si>
  <si>
    <t>0.01Kg</t>
  </si>
  <si>
    <t>1 cl</t>
  </si>
  <si>
    <t>10ml</t>
  </si>
  <si>
    <t>0.001Kg</t>
  </si>
  <si>
    <t>0.1 cl</t>
  </si>
  <si>
    <t>1ml</t>
  </si>
  <si>
    <t>1 gr = 0.002Kg  &gt; 2 zéros après la virgule du Kg</t>
  </si>
  <si>
    <t>Collez l'ensemble de ces cellules dans votre document et ajoutez des lignes. N'oubliez pas de figer par  votre plage</t>
  </si>
  <si>
    <t>faire court …1 verbe = 1 action</t>
  </si>
  <si>
    <t>accomplir</t>
  </si>
  <si>
    <t>générer</t>
  </si>
  <si>
    <t>acheter</t>
  </si>
  <si>
    <t>gérer</t>
  </si>
  <si>
    <t>achever</t>
  </si>
  <si>
    <t>identifier</t>
  </si>
  <si>
    <t>habiller les soles</t>
  </si>
  <si>
    <t>activer</t>
  </si>
  <si>
    <t>imaginer</t>
  </si>
  <si>
    <t>Mise en place du poste de travail</t>
  </si>
  <si>
    <t>agrandir</t>
  </si>
  <si>
    <t>inscrire</t>
  </si>
  <si>
    <t>ajuster</t>
  </si>
  <si>
    <t>insérer</t>
  </si>
  <si>
    <t>peser les denrées</t>
  </si>
  <si>
    <t>améliorer</t>
  </si>
  <si>
    <t>inspecter</t>
  </si>
  <si>
    <t>sélectionner le matériel</t>
  </si>
  <si>
    <t>aménager</t>
  </si>
  <si>
    <t>installer</t>
  </si>
  <si>
    <t>désinfecter le matériel et le poste de travail suivant la procédure</t>
  </si>
  <si>
    <t>analyser</t>
  </si>
  <si>
    <t>inventer</t>
  </si>
  <si>
    <t>appliquer</t>
  </si>
  <si>
    <t>inventorier</t>
  </si>
  <si>
    <t>approuver</t>
  </si>
  <si>
    <t>localiser</t>
  </si>
  <si>
    <t>Préparations préliminaires</t>
  </si>
  <si>
    <t>archiver</t>
  </si>
  <si>
    <t>assembler</t>
  </si>
  <si>
    <t>manier</t>
  </si>
  <si>
    <t>attacher</t>
  </si>
  <si>
    <t>manœuvrer</t>
  </si>
  <si>
    <t>attribuer</t>
  </si>
  <si>
    <t>mesurer</t>
  </si>
  <si>
    <t>brancher</t>
  </si>
  <si>
    <t>mettre</t>
  </si>
  <si>
    <t>monter au beurre</t>
  </si>
  <si>
    <t>calculer</t>
  </si>
  <si>
    <t>moderniser</t>
  </si>
  <si>
    <t>cataloguer</t>
  </si>
  <si>
    <t>centraliser</t>
  </si>
  <si>
    <t>naviguer</t>
  </si>
  <si>
    <t>chercher</t>
  </si>
  <si>
    <t>nettoyer</t>
  </si>
  <si>
    <t>classifier</t>
  </si>
  <si>
    <t>optimiser</t>
  </si>
  <si>
    <t>commander</t>
  </si>
  <si>
    <t>ordonnancer</t>
  </si>
  <si>
    <t>compiler</t>
  </si>
  <si>
    <t>organiser</t>
  </si>
  <si>
    <t>Mouler</t>
  </si>
  <si>
    <t>compter</t>
  </si>
  <si>
    <t>planifier</t>
  </si>
  <si>
    <t>concevoir</t>
  </si>
  <si>
    <t>préparer</t>
  </si>
  <si>
    <t>conduire</t>
  </si>
  <si>
    <t>présenter</t>
  </si>
  <si>
    <t>consigner</t>
  </si>
  <si>
    <t>prévoir</t>
  </si>
  <si>
    <t>Préparer la purée</t>
  </si>
  <si>
    <t>constituer</t>
  </si>
  <si>
    <t>produire</t>
  </si>
  <si>
    <t>construire</t>
  </si>
  <si>
    <t>programmer</t>
  </si>
  <si>
    <t>Grainer</t>
  </si>
  <si>
    <t>contrôler</t>
  </si>
  <si>
    <t>rebâtir</t>
  </si>
  <si>
    <t>couper</t>
  </si>
  <si>
    <t>créer</t>
  </si>
  <si>
    <t>reconstruire</t>
  </si>
  <si>
    <t>Chablonner</t>
  </si>
  <si>
    <t>creuser</t>
  </si>
  <si>
    <t>réduire</t>
  </si>
  <si>
    <t>cultiver</t>
  </si>
  <si>
    <t>régler</t>
  </si>
  <si>
    <t>décentraliser</t>
  </si>
  <si>
    <t>réguler</t>
  </si>
  <si>
    <t>Quelques expressions</t>
  </si>
  <si>
    <t>remodeler</t>
  </si>
  <si>
    <t>Confectionner la brandade de morue</t>
  </si>
  <si>
    <t>dessiner</t>
  </si>
  <si>
    <t>remplacer</t>
  </si>
  <si>
    <t>désinfecter le matériel</t>
  </si>
  <si>
    <t>documenter</t>
  </si>
  <si>
    <t>rénover</t>
  </si>
  <si>
    <t>désinfecter le poste de travail</t>
  </si>
  <si>
    <t>Cuire les filets à la vapeur 7 minutes environ</t>
  </si>
  <si>
    <t>écouler</t>
  </si>
  <si>
    <t>réorganiser</t>
  </si>
  <si>
    <t>écrire</t>
  </si>
  <si>
    <t>réparer</t>
  </si>
  <si>
    <t>édifier</t>
  </si>
  <si>
    <t>résoudre</t>
  </si>
  <si>
    <t>suivre les protocoles</t>
  </si>
  <si>
    <t>effectuer</t>
  </si>
  <si>
    <t>réviser</t>
  </si>
  <si>
    <t>élaborer</t>
  </si>
  <si>
    <t>revoir</t>
  </si>
  <si>
    <t>emplir</t>
  </si>
  <si>
    <t>sensibiliser</t>
  </si>
  <si>
    <t>employer</t>
  </si>
  <si>
    <t>simplifier</t>
  </si>
  <si>
    <t>faire tremper</t>
  </si>
  <si>
    <t>enregistrer</t>
  </si>
  <si>
    <t>soulever</t>
  </si>
  <si>
    <t>entretenir</t>
  </si>
  <si>
    <t>standardiser</t>
  </si>
  <si>
    <t>hacher finement</t>
  </si>
  <si>
    <t>envoyer</t>
  </si>
  <si>
    <t>superviser</t>
  </si>
  <si>
    <t>laver à grande eau</t>
  </si>
  <si>
    <t>Émulsionner</t>
  </si>
  <si>
    <t>ériger</t>
  </si>
  <si>
    <t>surveiller</t>
  </si>
  <si>
    <t>établir</t>
  </si>
  <si>
    <t>tester</t>
  </si>
  <si>
    <t>trier et tremper</t>
  </si>
  <si>
    <t>étendre</t>
  </si>
  <si>
    <t>transformer</t>
  </si>
  <si>
    <t>vérifier les DLC</t>
  </si>
  <si>
    <t>examiner</t>
  </si>
  <si>
    <t>trier</t>
  </si>
  <si>
    <t>exécuter</t>
  </si>
  <si>
    <t>utiliser</t>
  </si>
  <si>
    <t>ciseler finement</t>
  </si>
  <si>
    <t>exploiter</t>
  </si>
  <si>
    <t>vaporiser</t>
  </si>
  <si>
    <t>Poivrer et muscader</t>
  </si>
  <si>
    <t>extraire</t>
  </si>
  <si>
    <t>vérifier</t>
  </si>
  <si>
    <t xml:space="preserve"> Rectifier la consistance</t>
  </si>
  <si>
    <t>arroser de beurre noisette</t>
  </si>
  <si>
    <t>Décanter la préparation</t>
  </si>
  <si>
    <t>beurrer grassement</t>
  </si>
  <si>
    <t>passer la sauce</t>
  </si>
  <si>
    <t>Parsemer de parcelles de beurre</t>
  </si>
  <si>
    <t>saler en cours de cuisson</t>
  </si>
  <si>
    <t>saupoudrer légèrement</t>
  </si>
  <si>
    <t>vérifier la consistance</t>
  </si>
  <si>
    <t>Respecter la procédure de fin de cuisson</t>
  </si>
  <si>
    <t>déglacer au vin blanc</t>
  </si>
  <si>
    <t>dégraisser en partie</t>
  </si>
  <si>
    <t>égoutter et débarrasser</t>
  </si>
  <si>
    <t>étuver au beurre</t>
  </si>
  <si>
    <t>Dresser et servir</t>
  </si>
  <si>
    <t>faire sauter vivement</t>
  </si>
  <si>
    <t>Détailler chaque bac GN en 12 portions</t>
  </si>
  <si>
    <t>incorporer dans la sauce</t>
  </si>
  <si>
    <t>lier la cuisson</t>
  </si>
  <si>
    <t xml:space="preserve">❽ </t>
  </si>
  <si>
    <t>Commentaires</t>
  </si>
  <si>
    <t>Ⓐ</t>
  </si>
  <si>
    <t>mouiller au vin blanc</t>
  </si>
  <si>
    <t>napper de sauce</t>
  </si>
  <si>
    <t>Ⓑ</t>
  </si>
  <si>
    <t>porter à ébullition</t>
  </si>
  <si>
    <t>Ⓒ</t>
  </si>
  <si>
    <t>réduire le vin</t>
  </si>
  <si>
    <t>cuire à couvert</t>
  </si>
  <si>
    <t>cuire à feu doux</t>
  </si>
  <si>
    <t>cuire à four moyen</t>
  </si>
  <si>
    <t>cuire à la vapeur</t>
  </si>
  <si>
    <t>cuire sans coloration</t>
  </si>
  <si>
    <t>enfourner et cuire</t>
  </si>
  <si>
    <t>finir de cuire</t>
  </si>
  <si>
    <t>griller et finir au four</t>
  </si>
  <si>
    <t>laisser cuire</t>
  </si>
  <si>
    <t>passer au four très chaud</t>
  </si>
  <si>
    <t>piquer la sonde à cœur</t>
  </si>
  <si>
    <t>préchauffer le four</t>
  </si>
  <si>
    <t>disperser au fouet</t>
  </si>
  <si>
    <t>dresser à la poche</t>
  </si>
  <si>
    <t>dresser sur assiette</t>
  </si>
  <si>
    <t>mélanger et porter à ébullition</t>
  </si>
  <si>
    <t>mixer et passer au chinois</t>
  </si>
  <si>
    <t>http://devenir.patissier.free.fr/cours-CAP-vocabulaire-professionnel-eleve.pdf</t>
  </si>
  <si>
    <t>répartir le fond de cuisson</t>
  </si>
  <si>
    <t>débarrasser dans un récipient</t>
  </si>
  <si>
    <t>https://devenirpatissier.fr/vocabulaire-professionnel/</t>
  </si>
  <si>
    <t>filmer et stocker en chambre froide</t>
  </si>
  <si>
    <t>refroidir en cellule</t>
  </si>
  <si>
    <t>https://www.encoreungateau.com/pourquoi-un-blog-de-patisserie/vocabulaire-du-patissier/</t>
  </si>
  <si>
    <t>réserver au frais</t>
  </si>
  <si>
    <t>réserver au froid</t>
  </si>
  <si>
    <t>stocker en chambre froide</t>
  </si>
  <si>
    <t>servir tiède</t>
  </si>
  <si>
    <t>PREMIERE RANGÉE DU CLAVIER</t>
  </si>
  <si>
    <t>Raccourcis</t>
  </si>
  <si>
    <t>Alt + 0169</t>
  </si>
  <si>
    <t>ALT + 0171</t>
  </si>
  <si>
    <t>ALT + 0172</t>
  </si>
  <si>
    <t>ALT + 0174</t>
  </si>
  <si>
    <t>ALT + 0177</t>
  </si>
  <si>
    <t>ALT + 0179</t>
  </si>
  <si>
    <t>ALT + 0182</t>
  </si>
  <si>
    <t>ALT + 0183</t>
  </si>
  <si>
    <t>ALT + 0185</t>
  </si>
  <si>
    <t>ALT + 0187</t>
  </si>
  <si>
    <t>ALT + 0188</t>
  </si>
  <si>
    <t>ALT + 0189</t>
  </si>
  <si>
    <t>Arial Narrow</t>
  </si>
  <si>
    <t>°</t>
  </si>
  <si>
    <t>+</t>
  </si>
  <si>
    <t xml:space="preserve">' </t>
  </si>
  <si>
    <t>`</t>
  </si>
  <si>
    <t>^</t>
  </si>
  <si>
    <t>©</t>
  </si>
  <si>
    <t>«</t>
  </si>
  <si>
    <t>¬</t>
  </si>
  <si>
    <t>®</t>
  </si>
  <si>
    <t>¶</t>
  </si>
  <si>
    <t>·</t>
  </si>
  <si>
    <t>¹</t>
  </si>
  <si>
    <t>Webdings</t>
  </si>
  <si>
    <t>Windgins</t>
  </si>
  <si>
    <t>Windgings</t>
  </si>
  <si>
    <t>Windings 2</t>
  </si>
  <si>
    <t>Windgings 2</t>
  </si>
  <si>
    <t>Windgings 3</t>
  </si>
  <si>
    <t>ABSENT DU CLAVIER</t>
  </si>
  <si>
    <t>Alt + 0190</t>
  </si>
  <si>
    <t>Alt + 0191</t>
  </si>
  <si>
    <t>Alt + 0192</t>
  </si>
  <si>
    <t>Alt + 0194</t>
  </si>
  <si>
    <t>Alt + 0195</t>
  </si>
  <si>
    <t>Alt + 0196</t>
  </si>
  <si>
    <t>Alt + 0197</t>
  </si>
  <si>
    <t>Alt + 0198</t>
  </si>
  <si>
    <t>Alt + 0199</t>
  </si>
  <si>
    <t>Alt + 0200</t>
  </si>
  <si>
    <t>Alt + 0201</t>
  </si>
  <si>
    <t>Alt + 0202</t>
  </si>
  <si>
    <t>¿</t>
  </si>
  <si>
    <t>À</t>
  </si>
  <si>
    <t>Â</t>
  </si>
  <si>
    <t>Ã</t>
  </si>
  <si>
    <t>Ä</t>
  </si>
  <si>
    <t>Å</t>
  </si>
  <si>
    <t>Æ</t>
  </si>
  <si>
    <t>Ç</t>
  </si>
  <si>
    <t>È</t>
  </si>
  <si>
    <t>É</t>
  </si>
  <si>
    <t>Ê</t>
  </si>
  <si>
    <t>DEUXIÈME RANGÉE  DU CLAVIER</t>
  </si>
  <si>
    <t>¨</t>
  </si>
  <si>
    <t>¤</t>
  </si>
  <si>
    <t>Alt + 0203</t>
  </si>
  <si>
    <t>Alt + 0204</t>
  </si>
  <si>
    <t>Alt + 0205</t>
  </si>
  <si>
    <t>Alt + 0206</t>
  </si>
  <si>
    <t>Alt + 0207</t>
  </si>
  <si>
    <t>Alt + 0209</t>
  </si>
  <si>
    <t>Alt + 0212</t>
  </si>
  <si>
    <t>Alt + 0214</t>
  </si>
  <si>
    <t>Alt + 0215</t>
  </si>
  <si>
    <t>Alt + 0216</t>
  </si>
  <si>
    <t>Alt + 0217</t>
  </si>
  <si>
    <t>Alt + 0219</t>
  </si>
  <si>
    <t>Ë</t>
  </si>
  <si>
    <t>Ì</t>
  </si>
  <si>
    <t>Í</t>
  </si>
  <si>
    <t>Î</t>
  </si>
  <si>
    <t>Ï</t>
  </si>
  <si>
    <t>Ñ</t>
  </si>
  <si>
    <t>Ô</t>
  </si>
  <si>
    <t>Ö</t>
  </si>
  <si>
    <t>×</t>
  </si>
  <si>
    <t>Ø</t>
  </si>
  <si>
    <t>Ù</t>
  </si>
  <si>
    <t>Û</t>
  </si>
  <si>
    <t xml:space="preserve">TROISIÈME RANGÉE </t>
  </si>
  <si>
    <t>Alt + 0220</t>
  </si>
  <si>
    <t>Alt + 0223</t>
  </si>
  <si>
    <t>Alt + 0230</t>
  </si>
  <si>
    <t>Alt + 0237</t>
  </si>
  <si>
    <t>Alt + 0247</t>
  </si>
  <si>
    <t>Alt + 0140</t>
  </si>
  <si>
    <t>Alt + 0156</t>
  </si>
  <si>
    <t>Alt + 11</t>
  </si>
  <si>
    <t>Alt + 12</t>
  </si>
  <si>
    <t>Alt + 13</t>
  </si>
  <si>
    <t>Alt + 14</t>
  </si>
  <si>
    <t>Alt + 6</t>
  </si>
  <si>
    <t>Ü</t>
  </si>
  <si>
    <t>ß</t>
  </si>
  <si>
    <t>æ</t>
  </si>
  <si>
    <t>í</t>
  </si>
  <si>
    <t>÷</t>
  </si>
  <si>
    <t>Œ</t>
  </si>
  <si>
    <t>œ</t>
  </si>
  <si>
    <t>♂</t>
  </si>
  <si>
    <t>♀</t>
  </si>
  <si>
    <t>♪</t>
  </si>
  <si>
    <t>♫</t>
  </si>
  <si>
    <t>♠</t>
  </si>
  <si>
    <t xml:space="preserve">QUATRIÈME RANGÉE </t>
  </si>
  <si>
    <t>Pour la couleur de numérotation cliquez sur Couleur de police et choisissez la couleur qui vous convient</t>
  </si>
  <si>
    <t xml:space="preserve">Polices de caractèes utilisées : ARIAL et CALIBRI en fonction de la largeur de colonne </t>
  </si>
  <si>
    <t>arial</t>
  </si>
  <si>
    <t>calibri</t>
  </si>
  <si>
    <t>Copiez / Collez les N° dans vos fiches</t>
  </si>
  <si>
    <t>⑳</t>
  </si>
  <si>
    <t>Copiez/Collez des émoticones dans vos documents</t>
  </si>
  <si>
    <t>Insérer des émojis dans Excel</t>
  </si>
  <si>
    <t>Lien&gt;</t>
  </si>
  <si>
    <t>https://www.excel-exercice.com/ajouter-des-emojis-emoticones-dans-vos-formules-feuilles-graphiques/</t>
  </si>
  <si>
    <t>https://emojis.wiki/fr/</t>
  </si>
  <si>
    <t>https://fr.emojiguide.com/nourriture-boissons/</t>
  </si>
  <si>
    <t>https://www.facebook.com/GetEmoji/</t>
  </si>
  <si>
    <t>https://emojiterra.com/fr/liste-fr/</t>
  </si>
  <si>
    <t>https://www.emojiall.com/fr/all-emojis</t>
  </si>
  <si>
    <t>https://emojiguide.org/fr/</t>
  </si>
  <si>
    <t>http://www.get-emoji.com/</t>
  </si>
  <si>
    <t>https://wprock.fr/t/emoji/</t>
  </si>
  <si>
    <t>https://www.caracteres-speciaux.org/</t>
  </si>
  <si>
    <t>https://emojipedia.org/</t>
  </si>
  <si>
    <t>https://emojipedia.org/food-drink/</t>
  </si>
  <si>
    <t>Police &gt; Segoe UI Emoji</t>
  </si>
  <si>
    <t>🍏 🍎 🍐 🍊 🍋 🍌 🍉 🍇 🍓 🫐 🍈 🍒 🍑 🥭 🍍 🥥 🥝 🍅 🍆 🥑 🥦 🥬 🥒 🌶 🫑 🌽 🥕 🫒 🧄 🧅 🥔 🍠 🥐 🥯 🍞 🥖 🥨 🧀 🥚 🍳 🧈 🥞 🧇 🥓 🥩 🍗 🍖 🦴 🌭 🍔 🍟 🍕 🫓 🥪 🥙 🧆 🌮 🌯 🫔 🥗 🥘 🫕 🥫 🍝 🍜 🍲 🍛 🍣 🍱 🥟 🦪 🍤 🍙 🍚 🍘 🍥 🥠 🥮 🍢 🍡 🍧 🍨 🍦 🥧 🧁 🍰 🎂 🍮 🍭 🍬 🍫 🍿 🍩 🍪 🌰 🥜 🍯 🥛 🍼 🫖 ☕️ 🍵 🧃 🥤 🧋 🍶 🍺 🍻 🥂 🍷 🥃 🍸 🍹 🧉 🍾 🧊 🥄 🍴 🍽 🥣 🥡 🥢 🧂</t>
  </si>
  <si>
    <t>🚾 ♿️ 🅿️ 🛗 🈳 🈂️ 🛂 🛃 🛄 🛅 🚹 🚺 🚼 ⚧ 🚻 🚮 🎦 📶 🈁 🔣 ℹ️ 🔤 🔡 🔠 🆖 🆗 🆙 🆒 🆕 🆓 0️⃣ 1️⃣ 2️⃣ 3️⃣ 4️⃣ 5️⃣ 6️⃣ 7️⃣ 8️⃣ 9️⃣ 🔟 🔢 #️⃣ *️⃣ ⏏️ ▶️ ⏸ ⏯ ⏹ ⏺ ⏭ ⏮ ⏩ ⏪ ⏫ ⏬ ◀️ 🔼 🔽 ➡️ ⬅️ ⬆️ ⬇️ ↗️ ↘️ ↙️ ↖️ ↕️ ↔️ ↪️ ↩️ ⤴️ ⤵️ 🔀 🔁 🔂 🔄 🔃 🎵 🎶 ➕ ➖ ➗ ✖️ </t>
  </si>
  <si>
    <t>🤢</t>
  </si>
  <si>
    <t>🥴</t>
  </si>
  <si>
    <t>🥱</t>
  </si>
  <si>
    <t>😁</t>
  </si>
  <si>
    <t>😃</t>
  </si>
  <si>
    <t>😂</t>
  </si>
  <si>
    <t>🤓</t>
  </si>
  <si>
    <t>😴</t>
  </si>
  <si>
    <t>👨‍🍳</t>
  </si>
  <si>
    <t>&lt; images</t>
  </si>
  <si>
    <t>26BD</t>
  </si>
  <si>
    <t>⚽</t>
  </si>
  <si>
    <t>ballon de football</t>
  </si>
  <si>
    <t>1F37E</t>
  </si>
  <si>
    <t>🍾</t>
  </si>
  <si>
    <t>bouteille avec bouchon éclatant</t>
  </si>
  <si>
    <t>1F4CF</t>
  </si>
  <si>
    <t>📏</t>
  </si>
  <si>
    <t>règle droite</t>
  </si>
  <si>
    <t>1F6BA</t>
  </si>
  <si>
    <t>🚺</t>
  </si>
  <si>
    <t>chambre des femmes</t>
  </si>
  <si>
    <t>Comment insérer des émojis avec la formule UNICAR() d’Excel</t>
  </si>
  <si>
    <t>26BE</t>
  </si>
  <si>
    <t>⚾</t>
  </si>
  <si>
    <t>base-ball</t>
  </si>
  <si>
    <t>1F37F</t>
  </si>
  <si>
    <t>🍿</t>
  </si>
  <si>
    <t>pop-corn</t>
  </si>
  <si>
    <t>1F4D0</t>
  </si>
  <si>
    <t>📐</t>
  </si>
  <si>
    <t>règle triangulaire</t>
  </si>
  <si>
    <t>1F6BB</t>
  </si>
  <si>
    <t>🚻</t>
  </si>
  <si>
    <t>toilettes</t>
  </si>
  <si>
    <t>https://www.youtube.com/watch?v=6YvO8zQjX6Y</t>
  </si>
  <si>
    <t>23F8</t>
  </si>
  <si>
    <t>⏸</t>
  </si>
  <si>
    <t>bouton pause</t>
  </si>
  <si>
    <t>1F380</t>
  </si>
  <si>
    <t>🎀</t>
  </si>
  <si>
    <t>ruban</t>
  </si>
  <si>
    <t>1F4D1</t>
  </si>
  <si>
    <t>📑</t>
  </si>
  <si>
    <t>onglets de signets</t>
  </si>
  <si>
    <t>1F6BC</t>
  </si>
  <si>
    <t>🚼</t>
  </si>
  <si>
    <t>symbole bébé</t>
  </si>
  <si>
    <t>23F9</t>
  </si>
  <si>
    <t>⏹</t>
  </si>
  <si>
    <t>bouton d’arrêt</t>
  </si>
  <si>
    <t>1F381</t>
  </si>
  <si>
    <t>🎁</t>
  </si>
  <si>
    <t>cadeau emballé</t>
  </si>
  <si>
    <t>1F4D2</t>
  </si>
  <si>
    <t>📒</t>
  </si>
  <si>
    <t>grand livre</t>
  </si>
  <si>
    <t>1F6BD</t>
  </si>
  <si>
    <t>🚽</t>
  </si>
  <si>
    <t>toilette</t>
  </si>
  <si>
    <t>23FA</t>
  </si>
  <si>
    <t>⏺</t>
  </si>
  <si>
    <t>bouton d’enregistrement</t>
  </si>
  <si>
    <t>1F382</t>
  </si>
  <si>
    <t>🎂</t>
  </si>
  <si>
    <t>gâteau d'anniversaire</t>
  </si>
  <si>
    <t>1F4D3</t>
  </si>
  <si>
    <t>📓</t>
  </si>
  <si>
    <t>carnet de notes</t>
  </si>
  <si>
    <t>1F6BE</t>
  </si>
  <si>
    <t>🚾</t>
  </si>
  <si>
    <t>WC</t>
  </si>
  <si>
    <t>Le plus simple c'est d'utiliser le clavier virtuel ou visuel de Windows 10.</t>
  </si>
  <si>
    <t>➕</t>
  </si>
  <si>
    <t>plus</t>
  </si>
  <si>
    <t>1F383</t>
  </si>
  <si>
    <t>🎃</t>
  </si>
  <si>
    <t>jack-o-lantern</t>
  </si>
  <si>
    <t>1F4D4</t>
  </si>
  <si>
    <t>📔</t>
  </si>
  <si>
    <t>carnet avec couverture décorative</t>
  </si>
  <si>
    <t>1F6BF</t>
  </si>
  <si>
    <t>🚿</t>
  </si>
  <si>
    <t>douche</t>
  </si>
  <si>
    <t>➖</t>
  </si>
  <si>
    <t>moins</t>
  </si>
  <si>
    <t>1F384</t>
  </si>
  <si>
    <t>🎄</t>
  </si>
  <si>
    <t>Arbre de Noël</t>
  </si>
  <si>
    <t>1F4D5</t>
  </si>
  <si>
    <t>📕</t>
  </si>
  <si>
    <t>livre fermé</t>
  </si>
  <si>
    <t>1F6C0</t>
  </si>
  <si>
    <t>🛀</t>
  </si>
  <si>
    <t>personne prenant un bain</t>
  </si>
  <si>
    <t>➗</t>
  </si>
  <si>
    <t>diviser</t>
  </si>
  <si>
    <t>1F385</t>
  </si>
  <si>
    <t>🎅</t>
  </si>
  <si>
    <t>Père Noël</t>
  </si>
  <si>
    <t>1F4D6</t>
  </si>
  <si>
    <t>📖</t>
  </si>
  <si>
    <t>livre ouvert</t>
  </si>
  <si>
    <t>1F6C1</t>
  </si>
  <si>
    <t>🛁</t>
  </si>
  <si>
    <t>baignoire</t>
  </si>
  <si>
    <t>Comment utiliser les émoticônes sur Windows 10</t>
  </si>
  <si>
    <t>27B0</t>
  </si>
  <si>
    <t>➰</t>
  </si>
  <si>
    <t>boucle bouclée</t>
  </si>
  <si>
    <t>1F386</t>
  </si>
  <si>
    <t>🎆</t>
  </si>
  <si>
    <t>feu d’artifice</t>
  </si>
  <si>
    <t>1F4D7</t>
  </si>
  <si>
    <t>📗</t>
  </si>
  <si>
    <t>livre vert</t>
  </si>
  <si>
    <t>1F6C2</t>
  </si>
  <si>
    <t>🛂</t>
  </si>
  <si>
    <t>contrôle des passeports</t>
  </si>
  <si>
    <t>. Appuyez sur l'un de ces raccourcis clavier :</t>
  </si>
  <si>
    <t>27BF</t>
  </si>
  <si>
    <t>➿</t>
  </si>
  <si>
    <t>1F387</t>
  </si>
  <si>
    <t>🎇</t>
  </si>
  <si>
    <t>Cierge</t>
  </si>
  <si>
    <t>1F4D8</t>
  </si>
  <si>
    <t>📘</t>
  </si>
  <si>
    <t>livre bleu</t>
  </si>
  <si>
    <t>1F6C3</t>
  </si>
  <si>
    <t>🛃</t>
  </si>
  <si>
    <t>douane</t>
  </si>
  <si>
    <t>Touche Windows et point/touche d'arrêt ( . )</t>
  </si>
  <si>
    <t>FE0F</t>
  </si>
  <si>
    <t>️</t>
  </si>
  <si>
    <t>1F388</t>
  </si>
  <si>
    <t>🎈</t>
  </si>
  <si>
    <t>ballon</t>
  </si>
  <si>
    <t>1F4D9</t>
  </si>
  <si>
    <t>📙</t>
  </si>
  <si>
    <t>livre orange</t>
  </si>
  <si>
    <t>1F6C4</t>
  </si>
  <si>
    <t>🛄</t>
  </si>
  <si>
    <t>Bagages</t>
  </si>
  <si>
    <t>ou Touche Windows et touche point-virgule ( ; )</t>
  </si>
  <si>
    <t>〰</t>
  </si>
  <si>
    <t>1F389</t>
  </si>
  <si>
    <t>🎉</t>
  </si>
  <si>
    <t>popper de fête</t>
  </si>
  <si>
    <t>1F4DA</t>
  </si>
  <si>
    <t>📚</t>
  </si>
  <si>
    <t>Livres</t>
  </si>
  <si>
    <t>1F6C5</t>
  </si>
  <si>
    <t>🛅</t>
  </si>
  <si>
    <t>consigne à bagages</t>
  </si>
  <si>
    <t>303D</t>
  </si>
  <si>
    <t>〽</t>
  </si>
  <si>
    <t>1F38A</t>
  </si>
  <si>
    <t>🎊</t>
  </si>
  <si>
    <t>boule de confettis</t>
  </si>
  <si>
    <t>1F4DB</t>
  </si>
  <si>
    <t>📛</t>
  </si>
  <si>
    <t>badge nominatif</t>
  </si>
  <si>
    <t>1F6CB</t>
  </si>
  <si>
    <t>🛋</t>
  </si>
  <si>
    <t>canapé et lampe</t>
  </si>
  <si>
    <t>203C</t>
  </si>
  <si>
    <t>‼</t>
  </si>
  <si>
    <t>1F38B</t>
  </si>
  <si>
    <t>🎋</t>
  </si>
  <si>
    <t>arbre tanabata</t>
  </si>
  <si>
    <t>1F4DC</t>
  </si>
  <si>
    <t>📜</t>
  </si>
  <si>
    <t>faire défiler</t>
  </si>
  <si>
    <t>1F6CC</t>
  </si>
  <si>
    <t>🛌</t>
  </si>
  <si>
    <t>personne au lit</t>
  </si>
  <si>
    <t>⁉</t>
  </si>
  <si>
    <t>1F38C</t>
  </si>
  <si>
    <t>🎌</t>
  </si>
  <si>
    <t>drapeaux croisés</t>
  </si>
  <si>
    <t>1F4DD</t>
  </si>
  <si>
    <t>📝</t>
  </si>
  <si>
    <t>mémo</t>
  </si>
  <si>
    <t>1F6CD</t>
  </si>
  <si>
    <t>🛍</t>
  </si>
  <si>
    <t>sacs à provisions</t>
  </si>
  <si>
    <t>2B1B</t>
  </si>
  <si>
    <t>⬛</t>
  </si>
  <si>
    <t>1F38D</t>
  </si>
  <si>
    <t>🎍</t>
  </si>
  <si>
    <t>décoration en pin</t>
  </si>
  <si>
    <t>1F4DE</t>
  </si>
  <si>
    <t>📞</t>
  </si>
  <si>
    <t>récepteur téléphonique</t>
  </si>
  <si>
    <t>1F6CE</t>
  </si>
  <si>
    <t>🛎</t>
  </si>
  <si>
    <t>cloche</t>
  </si>
  <si>
    <t>2B1C</t>
  </si>
  <si>
    <t>⬜</t>
  </si>
  <si>
    <t>1F38E</t>
  </si>
  <si>
    <t>🎎</t>
  </si>
  <si>
    <t>Poupées japonaises</t>
  </si>
  <si>
    <t>1F4DF</t>
  </si>
  <si>
    <t>📟</t>
  </si>
  <si>
    <t>téléavertisseur</t>
  </si>
  <si>
    <t>1F6CF</t>
  </si>
  <si>
    <t>🛏</t>
  </si>
  <si>
    <t>lit</t>
  </si>
  <si>
    <t>23EA</t>
  </si>
  <si>
    <t>⏪</t>
  </si>
  <si>
    <t>1F38F</t>
  </si>
  <si>
    <t>🎏</t>
  </si>
  <si>
    <t>streamer de carpes</t>
  </si>
  <si>
    <t>1F4E0</t>
  </si>
  <si>
    <t>📠</t>
  </si>
  <si>
    <t>télécopieur</t>
  </si>
  <si>
    <t>1F6D0</t>
  </si>
  <si>
    <t>🛐</t>
  </si>
  <si>
    <t>lieu de culte</t>
  </si>
  <si>
    <t>23EB</t>
  </si>
  <si>
    <t>⏫</t>
  </si>
  <si>
    <t>1F390</t>
  </si>
  <si>
    <t>🎐</t>
  </si>
  <si>
    <t>carillon éolien</t>
  </si>
  <si>
    <t>1F4E1</t>
  </si>
  <si>
    <t>📡</t>
  </si>
  <si>
    <t>antenne satellite</t>
  </si>
  <si>
    <t>1F6D1</t>
  </si>
  <si>
    <t>🛑</t>
  </si>
  <si>
    <t>Panneau stop</t>
  </si>
  <si>
    <t>23EC</t>
  </si>
  <si>
    <t>⏬</t>
  </si>
  <si>
    <t>1F391</t>
  </si>
  <si>
    <t>🎑</t>
  </si>
  <si>
    <t>cérémonie d’observation de la lune</t>
  </si>
  <si>
    <t>1F4E2</t>
  </si>
  <si>
    <t>📢</t>
  </si>
  <si>
    <t>haut-parleur</t>
  </si>
  <si>
    <t>1F6D2</t>
  </si>
  <si>
    <t>🛒</t>
  </si>
  <si>
    <t>caddie</t>
  </si>
  <si>
    <t>23ED</t>
  </si>
  <si>
    <t>⏭</t>
  </si>
  <si>
    <t>1F392</t>
  </si>
  <si>
    <t>🎒</t>
  </si>
  <si>
    <t>sac à dos</t>
  </si>
  <si>
    <t>1F4E3</t>
  </si>
  <si>
    <t>📣</t>
  </si>
  <si>
    <t>mégaphone</t>
  </si>
  <si>
    <t>1F6D5</t>
  </si>
  <si>
    <t>🛕</t>
  </si>
  <si>
    <t>temple hindou</t>
  </si>
  <si>
    <t>23EE</t>
  </si>
  <si>
    <t>⏮</t>
  </si>
  <si>
    <t>1F393</t>
  </si>
  <si>
    <t>🎓</t>
  </si>
  <si>
    <t>casquette de graduation</t>
  </si>
  <si>
    <t>1F4E4</t>
  </si>
  <si>
    <t>📤</t>
  </si>
  <si>
    <t>bac d’envoi</t>
  </si>
  <si>
    <t>1F6D6</t>
  </si>
  <si>
    <t>🛖</t>
  </si>
  <si>
    <t>hutte</t>
  </si>
  <si>
    <t>23EF</t>
  </si>
  <si>
    <t>⏯</t>
  </si>
  <si>
    <t>1F396</t>
  </si>
  <si>
    <t>🎖</t>
  </si>
  <si>
    <t>médaille militaire</t>
  </si>
  <si>
    <t>1F4E5</t>
  </si>
  <si>
    <t>📥</t>
  </si>
  <si>
    <t>bac de la boîte de réception</t>
  </si>
  <si>
    <t>1F6D7</t>
  </si>
  <si>
    <t>🛗</t>
  </si>
  <si>
    <t>ascenseur</t>
  </si>
  <si>
    <t>23F0</t>
  </si>
  <si>
    <t>⏰</t>
  </si>
  <si>
    <t>réveille-matin</t>
  </si>
  <si>
    <t>1F397</t>
  </si>
  <si>
    <t>🎗</t>
  </si>
  <si>
    <t>ruban de rappel</t>
  </si>
  <si>
    <t>1F4E6</t>
  </si>
  <si>
    <t>📦</t>
  </si>
  <si>
    <t>colis</t>
  </si>
  <si>
    <t>1F6DD</t>
  </si>
  <si>
    <t>🛝</t>
  </si>
  <si>
    <t>23F1</t>
  </si>
  <si>
    <t>⏱</t>
  </si>
  <si>
    <t>chronomètre</t>
  </si>
  <si>
    <t>1F399</t>
  </si>
  <si>
    <t>🎙</t>
  </si>
  <si>
    <t>microphone de studio</t>
  </si>
  <si>
    <t>1F4E7</t>
  </si>
  <si>
    <t>📧</t>
  </si>
  <si>
    <t>Messagerie électronique</t>
  </si>
  <si>
    <t>1F6DE</t>
  </si>
  <si>
    <t>🛞</t>
  </si>
  <si>
    <t>23F2</t>
  </si>
  <si>
    <t>⏲</t>
  </si>
  <si>
    <t>1F39A</t>
  </si>
  <si>
    <t>🎚</t>
  </si>
  <si>
    <t>curseur de niveau</t>
  </si>
  <si>
    <t>1F4E8</t>
  </si>
  <si>
    <t>📨</t>
  </si>
  <si>
    <t>enveloppe entrante</t>
  </si>
  <si>
    <t>1F6DF</t>
  </si>
  <si>
    <t>🛟</t>
  </si>
  <si>
    <t>23F3</t>
  </si>
  <si>
    <t>⏳</t>
  </si>
  <si>
    <t>horloge de minuterie</t>
  </si>
  <si>
    <t>1F39B</t>
  </si>
  <si>
    <t>🎛</t>
  </si>
  <si>
    <t>boutons de commande</t>
  </si>
  <si>
    <t>1F4E9</t>
  </si>
  <si>
    <t>📩</t>
  </si>
  <si>
    <t>enveloppe avec flèche</t>
  </si>
  <si>
    <t>1F6E0</t>
  </si>
  <si>
    <t>🛠</t>
  </si>
  <si>
    <t>marteau et clé</t>
  </si>
  <si>
    <t>231A</t>
  </si>
  <si>
    <t>⌚</t>
  </si>
  <si>
    <t>sablier pas fait</t>
  </si>
  <si>
    <t>1F39E</t>
  </si>
  <si>
    <t>🎞</t>
  </si>
  <si>
    <t>cadres de film</t>
  </si>
  <si>
    <t>1F4EA</t>
  </si>
  <si>
    <t>📪</t>
  </si>
  <si>
    <t>boîte aux lettres fermée avec indicateur abaissé</t>
  </si>
  <si>
    <t>1F6E1</t>
  </si>
  <si>
    <t>🛡</t>
  </si>
  <si>
    <t>bouclier</t>
  </si>
  <si>
    <t>231B</t>
  </si>
  <si>
    <t>⌛</t>
  </si>
  <si>
    <t>montre</t>
  </si>
  <si>
    <t>1F39F</t>
  </si>
  <si>
    <t>🎟</t>
  </si>
  <si>
    <t>billets d’entrée</t>
  </si>
  <si>
    <t>1F4EB</t>
  </si>
  <si>
    <t>📫</t>
  </si>
  <si>
    <t>boîte aux lettres fermée avec indicateur levé</t>
  </si>
  <si>
    <t>1F6E2</t>
  </si>
  <si>
    <t>🛢</t>
  </si>
  <si>
    <t>tambour d’huile</t>
  </si>
  <si>
    <t>⌨</t>
  </si>
  <si>
    <t>sablier fait</t>
  </si>
  <si>
    <t>1F3A0</t>
  </si>
  <si>
    <t>🎠</t>
  </si>
  <si>
    <t>cheval de carrousel</t>
  </si>
  <si>
    <t>1F4EC</t>
  </si>
  <si>
    <t>📬</t>
  </si>
  <si>
    <t>ouvrir une boîte aux lettres avec un indicateur en relief</t>
  </si>
  <si>
    <t>1F6E3</t>
  </si>
  <si>
    <t>🛣</t>
  </si>
  <si>
    <t>autoroute</t>
  </si>
  <si>
    <t>⤵</t>
  </si>
  <si>
    <t>clavier</t>
  </si>
  <si>
    <t>1F3A1</t>
  </si>
  <si>
    <t>🎡</t>
  </si>
  <si>
    <t>grande roue</t>
  </si>
  <si>
    <t>1F4ED</t>
  </si>
  <si>
    <t>📭</t>
  </si>
  <si>
    <t>ouvrir une boîte aux lettres avec un indicateur abaissé</t>
  </si>
  <si>
    <t>1F6E4</t>
  </si>
  <si>
    <t>🛤</t>
  </si>
  <si>
    <t>voie ferrée</t>
  </si>
  <si>
    <t>⤴</t>
  </si>
  <si>
    <t>flèche droite courbée vers le bas</t>
  </si>
  <si>
    <t>1F3A2</t>
  </si>
  <si>
    <t>🎢</t>
  </si>
  <si>
    <t>montagnes russes</t>
  </si>
  <si>
    <t>1F4EE</t>
  </si>
  <si>
    <t>📮</t>
  </si>
  <si>
    <t>Postbox</t>
  </si>
  <si>
    <t>1F6E5</t>
  </si>
  <si>
    <t>🛥</t>
  </si>
  <si>
    <t>bateau à moteur</t>
  </si>
  <si>
    <t>2B05</t>
  </si>
  <si>
    <t>⬅</t>
  </si>
  <si>
    <t>flèche droite courbée vers le haut</t>
  </si>
  <si>
    <t>1F3A3</t>
  </si>
  <si>
    <t>🎣</t>
  </si>
  <si>
    <t>canne à pêche</t>
  </si>
  <si>
    <t>1F4EF</t>
  </si>
  <si>
    <t>📯</t>
  </si>
  <si>
    <t>corne postale</t>
  </si>
  <si>
    <t>1F6E9</t>
  </si>
  <si>
    <t>🛩</t>
  </si>
  <si>
    <t>petit avion</t>
  </si>
  <si>
    <t>2B06</t>
  </si>
  <si>
    <t>⬆</t>
  </si>
  <si>
    <t>flèche gauche</t>
  </si>
  <si>
    <t>1F3A4</t>
  </si>
  <si>
    <t>🎤</t>
  </si>
  <si>
    <t>microphone</t>
  </si>
  <si>
    <t>1F4F0</t>
  </si>
  <si>
    <t>📰</t>
  </si>
  <si>
    <t>journal</t>
  </si>
  <si>
    <t>1F6EB</t>
  </si>
  <si>
    <t>🛫</t>
  </si>
  <si>
    <t>départ de l’avion</t>
  </si>
  <si>
    <t>2B07</t>
  </si>
  <si>
    <t>⬇</t>
  </si>
  <si>
    <t>flèche vers le haut</t>
  </si>
  <si>
    <t>1F3A5</t>
  </si>
  <si>
    <t>🎥</t>
  </si>
  <si>
    <t>caméra</t>
  </si>
  <si>
    <t>1F4F1</t>
  </si>
  <si>
    <t>📱</t>
  </si>
  <si>
    <t>téléphone mobile</t>
  </si>
  <si>
    <t>1F6EC</t>
  </si>
  <si>
    <t>🛬</t>
  </si>
  <si>
    <t>arrivée en avion</t>
  </si>
  <si>
    <t>25AA</t>
  </si>
  <si>
    <t>▪</t>
  </si>
  <si>
    <t>flèche vers le bas</t>
  </si>
  <si>
    <t>1F3A6</t>
  </si>
  <si>
    <t>🎦</t>
  </si>
  <si>
    <t>cinéma</t>
  </si>
  <si>
    <t>1F4F2</t>
  </si>
  <si>
    <t>📲</t>
  </si>
  <si>
    <t>téléphone mobile avec flèche</t>
  </si>
  <si>
    <t>1F6F0</t>
  </si>
  <si>
    <t>🛰</t>
  </si>
  <si>
    <t>satellite</t>
  </si>
  <si>
    <t>25AB</t>
  </si>
  <si>
    <t>▫</t>
  </si>
  <si>
    <t>petit carré noir</t>
  </si>
  <si>
    <t>1F3A7</t>
  </si>
  <si>
    <t>🎧</t>
  </si>
  <si>
    <t>écouteur</t>
  </si>
  <si>
    <t>1F4F3</t>
  </si>
  <si>
    <t>📳</t>
  </si>
  <si>
    <t>mode de vibration</t>
  </si>
  <si>
    <t>1F6F3</t>
  </si>
  <si>
    <t>🛳</t>
  </si>
  <si>
    <t>Paquebot</t>
  </si>
  <si>
    <t>25B6</t>
  </si>
  <si>
    <t>▶</t>
  </si>
  <si>
    <t>bouton de lecture</t>
  </si>
  <si>
    <t>1F3A8</t>
  </si>
  <si>
    <t>🎨</t>
  </si>
  <si>
    <t>palette d’artistes</t>
  </si>
  <si>
    <t>1F4F4</t>
  </si>
  <si>
    <t>📴</t>
  </si>
  <si>
    <t>téléphone portable éteint</t>
  </si>
  <si>
    <t>1F6F4</t>
  </si>
  <si>
    <t>🛴</t>
  </si>
  <si>
    <t>trottinette</t>
  </si>
  <si>
    <t>25C0</t>
  </si>
  <si>
    <t>◀</t>
  </si>
  <si>
    <t>bouton d’inversion</t>
  </si>
  <si>
    <t>1F3A9</t>
  </si>
  <si>
    <t>🎩</t>
  </si>
  <si>
    <t>top a</t>
  </si>
  <si>
    <t>1F4F5</t>
  </si>
  <si>
    <t>📵</t>
  </si>
  <si>
    <t>pas de téléphones portables</t>
  </si>
  <si>
    <t>1F6F5</t>
  </si>
  <si>
    <t>🛵</t>
  </si>
  <si>
    <t>scooter</t>
  </si>
  <si>
    <t>261D</t>
  </si>
  <si>
    <t>☝</t>
  </si>
  <si>
    <t>index pointant vers le haut</t>
  </si>
  <si>
    <t>1F3AA</t>
  </si>
  <si>
    <t>🎪</t>
  </si>
  <si>
    <t>tente de cirque</t>
  </si>
  <si>
    <t>1F4F6</t>
  </si>
  <si>
    <t>📶</t>
  </si>
  <si>
    <t>barres d’antenne</t>
  </si>
  <si>
    <t>1F6F6</t>
  </si>
  <si>
    <t>🛶</t>
  </si>
  <si>
    <t>canoë</t>
  </si>
  <si>
    <t>↗</t>
  </si>
  <si>
    <t>flèche haut-droite</t>
  </si>
  <si>
    <t>1F3AB</t>
  </si>
  <si>
    <t>🎫</t>
  </si>
  <si>
    <t>billet</t>
  </si>
  <si>
    <t>1F4F7</t>
  </si>
  <si>
    <t>📷</t>
  </si>
  <si>
    <t>1F6F7</t>
  </si>
  <si>
    <t>🛷</t>
  </si>
  <si>
    <t>traîneau</t>
  </si>
  <si>
    <t>21AA</t>
  </si>
  <si>
    <t>↪</t>
  </si>
  <si>
    <t>flèche gauche courbée vers la droite</t>
  </si>
  <si>
    <t>1F3AC</t>
  </si>
  <si>
    <t>🎬</t>
  </si>
  <si>
    <t>clapper board</t>
  </si>
  <si>
    <t>1F4F8</t>
  </si>
  <si>
    <t>📸</t>
  </si>
  <si>
    <t>appareil photo avec flash</t>
  </si>
  <si>
    <t>1F6F8</t>
  </si>
  <si>
    <t>🛸</t>
  </si>
  <si>
    <t>soucoupe volante</t>
  </si>
  <si>
    <t>27A1</t>
  </si>
  <si>
    <t>➡</t>
  </si>
  <si>
    <t>flèche droite</t>
  </si>
  <si>
    <t>1F3AD</t>
  </si>
  <si>
    <t>🎭</t>
  </si>
  <si>
    <t>arts du spectacle</t>
  </si>
  <si>
    <t>1F4F9</t>
  </si>
  <si>
    <t>📹</t>
  </si>
  <si>
    <t>caméra vidéo</t>
  </si>
  <si>
    <t>1F6F9</t>
  </si>
  <si>
    <t>🛹</t>
  </si>
  <si>
    <t>skateboard</t>
  </si>
  <si>
    <t>↘</t>
  </si>
  <si>
    <t>flèche vers le bas à droite</t>
  </si>
  <si>
    <t>1F3AE</t>
  </si>
  <si>
    <t>🎮</t>
  </si>
  <si>
    <t>jeu vidéo</t>
  </si>
  <si>
    <t>1F4FA</t>
  </si>
  <si>
    <t>📺</t>
  </si>
  <si>
    <t>télévision</t>
  </si>
  <si>
    <t>1F6FA</t>
  </si>
  <si>
    <t>🛺</t>
  </si>
  <si>
    <t>pousse-pousse automobile</t>
  </si>
  <si>
    <t>↙</t>
  </si>
  <si>
    <t xml:space="preserve"> vers le bas à gauche</t>
  </si>
  <si>
    <t>1F3AF</t>
  </si>
  <si>
    <t>🎯</t>
  </si>
  <si>
    <t>Bulle</t>
  </si>
  <si>
    <t>1F4FB</t>
  </si>
  <si>
    <t>📻</t>
  </si>
  <si>
    <t>radio</t>
  </si>
  <si>
    <t>1F6FB</t>
  </si>
  <si>
    <t>🛻</t>
  </si>
  <si>
    <t>pick-up</t>
  </si>
  <si>
    <t>21A9</t>
  </si>
  <si>
    <t>↩</t>
  </si>
  <si>
    <t>flèche droite courbée vers la gauche</t>
  </si>
  <si>
    <t>1F3B0</t>
  </si>
  <si>
    <t>🎰</t>
  </si>
  <si>
    <t>Machine</t>
  </si>
  <si>
    <t>1F4FC</t>
  </si>
  <si>
    <t>📼</t>
  </si>
  <si>
    <t>Vidéos</t>
  </si>
  <si>
    <t>1F6FC</t>
  </si>
  <si>
    <t>🛼</t>
  </si>
  <si>
    <t>patin à roulettes</t>
  </si>
  <si>
    <t>↖</t>
  </si>
  <si>
    <t>flèche haut-gauche</t>
  </si>
  <si>
    <t>1F3B1</t>
  </si>
  <si>
    <t>🎱</t>
  </si>
  <si>
    <t>piscine 8 boule</t>
  </si>
  <si>
    <t>1F4FD</t>
  </si>
  <si>
    <t>📽</t>
  </si>
  <si>
    <t>projecteur de film</t>
  </si>
  <si>
    <t>1F7E0</t>
  </si>
  <si>
    <t>🟠</t>
  </si>
  <si>
    <t>cercle orange</t>
  </si>
  <si>
    <t>↔</t>
  </si>
  <si>
    <t>flèche gauche-droite</t>
  </si>
  <si>
    <t>1F3B2</t>
  </si>
  <si>
    <t>🎲</t>
  </si>
  <si>
    <t>dé de jeu</t>
  </si>
  <si>
    <t>1F4FF</t>
  </si>
  <si>
    <t>📿</t>
  </si>
  <si>
    <t>chapelet</t>
  </si>
  <si>
    <t>1F7E1</t>
  </si>
  <si>
    <t>🟡</t>
  </si>
  <si>
    <t>cercle jaune</t>
  </si>
  <si>
    <t>↕</t>
  </si>
  <si>
    <t>flèche haut-bas</t>
  </si>
  <si>
    <t>1F3B3</t>
  </si>
  <si>
    <t>🎳</t>
  </si>
  <si>
    <t>bowling</t>
  </si>
  <si>
    <t>1F500</t>
  </si>
  <si>
    <t>🔀</t>
  </si>
  <si>
    <t>bouton de lecture aléatoire des pistes</t>
  </si>
  <si>
    <t>1F7E2</t>
  </si>
  <si>
    <t>🟢</t>
  </si>
  <si>
    <t>cercle vert</t>
  </si>
  <si>
    <t>00A9</t>
  </si>
  <si>
    <t>copyright</t>
  </si>
  <si>
    <t>1F3B4</t>
  </si>
  <si>
    <t>🎴</t>
  </si>
  <si>
    <t>cartes à jouer de fleurs</t>
  </si>
  <si>
    <t>1F501</t>
  </si>
  <si>
    <t>🔁</t>
  </si>
  <si>
    <t>bouton répéter</t>
  </si>
  <si>
    <t>1F7E3</t>
  </si>
  <si>
    <t>🟣</t>
  </si>
  <si>
    <t>cercle violet</t>
  </si>
  <si>
    <t>00AE</t>
  </si>
  <si>
    <t>recommandé</t>
  </si>
  <si>
    <t>1F3B5</t>
  </si>
  <si>
    <t>🎵</t>
  </si>
  <si>
    <t>note de musique</t>
  </si>
  <si>
    <t>1F502</t>
  </si>
  <si>
    <t>🔂</t>
  </si>
  <si>
    <t>répéter un seul bouton</t>
  </si>
  <si>
    <t>1F7E4</t>
  </si>
  <si>
    <t>🟤</t>
  </si>
  <si>
    <t>cercle brun</t>
  </si>
  <si>
    <t>☀</t>
  </si>
  <si>
    <t>soleil</t>
  </si>
  <si>
    <t>1F3B6</t>
  </si>
  <si>
    <t>🎶</t>
  </si>
  <si>
    <t>notes de musique</t>
  </si>
  <si>
    <t>1F503</t>
  </si>
  <si>
    <t>🔃</t>
  </si>
  <si>
    <t>flèches verticales dans le sens des aiguilles d’une montre</t>
  </si>
  <si>
    <t>1F7E5</t>
  </si>
  <si>
    <t>🟥</t>
  </si>
  <si>
    <t>carré rouge</t>
  </si>
  <si>
    <t>☁</t>
  </si>
  <si>
    <t>nuage</t>
  </si>
  <si>
    <t>1F3B7</t>
  </si>
  <si>
    <t>🎷</t>
  </si>
  <si>
    <t>saxophone</t>
  </si>
  <si>
    <t>1F504</t>
  </si>
  <si>
    <t>🔄</t>
  </si>
  <si>
    <t>bouton flèches dans le sens inverse des aiguilles d’une montre</t>
  </si>
  <si>
    <t>1F7E6</t>
  </si>
  <si>
    <t>🟦</t>
  </si>
  <si>
    <t>carré bleu</t>
  </si>
  <si>
    <t>☂</t>
  </si>
  <si>
    <t>parapluie</t>
  </si>
  <si>
    <t>1F3B8</t>
  </si>
  <si>
    <t>🎸</t>
  </si>
  <si>
    <t>guitare</t>
  </si>
  <si>
    <t>1F505</t>
  </si>
  <si>
    <t>🔅</t>
  </si>
  <si>
    <t>bouton dim</t>
  </si>
  <si>
    <t>1F7E7</t>
  </si>
  <si>
    <t>🟧</t>
  </si>
  <si>
    <t>carré orange</t>
  </si>
  <si>
    <t>☃</t>
  </si>
  <si>
    <t>bonhomme de neige</t>
  </si>
  <si>
    <t>1F3B9</t>
  </si>
  <si>
    <t>🎹</t>
  </si>
  <si>
    <t>clavier musical</t>
  </si>
  <si>
    <t>1F506</t>
  </si>
  <si>
    <t>🔆</t>
  </si>
  <si>
    <t>bouton lumineux</t>
  </si>
  <si>
    <t>1F7E8</t>
  </si>
  <si>
    <t>🟨</t>
  </si>
  <si>
    <t>carré jaune</t>
  </si>
  <si>
    <t>☄</t>
  </si>
  <si>
    <t>comète</t>
  </si>
  <si>
    <t>1F3BA</t>
  </si>
  <si>
    <t>🎺</t>
  </si>
  <si>
    <t>trompette</t>
  </si>
  <si>
    <t>1F507</t>
  </si>
  <si>
    <t>🔇</t>
  </si>
  <si>
    <t>haut-parleur muet</t>
  </si>
  <si>
    <t>1F7E9</t>
  </si>
  <si>
    <t>🟩</t>
  </si>
  <si>
    <t>carré vert</t>
  </si>
  <si>
    <t>260E</t>
  </si>
  <si>
    <t>☎</t>
  </si>
  <si>
    <t>téléphone</t>
  </si>
  <si>
    <t>1F3BB</t>
  </si>
  <si>
    <t>🎻</t>
  </si>
  <si>
    <t>violon</t>
  </si>
  <si>
    <t>1F508</t>
  </si>
  <si>
    <t>🔈</t>
  </si>
  <si>
    <t xml:space="preserve"> à faible volume</t>
  </si>
  <si>
    <t>1F7EA</t>
  </si>
  <si>
    <t>🟪</t>
  </si>
  <si>
    <t>carré violet</t>
  </si>
  <si>
    <t>☑</t>
  </si>
  <si>
    <t>case à cocher avec coche</t>
  </si>
  <si>
    <t>1F3BC</t>
  </si>
  <si>
    <t>🎼</t>
  </si>
  <si>
    <t>partition musicale</t>
  </si>
  <si>
    <t>1F509</t>
  </si>
  <si>
    <t>🔉</t>
  </si>
  <si>
    <t>haut-parleur volume moyen</t>
  </si>
  <si>
    <t>1F7EB</t>
  </si>
  <si>
    <t>🟫</t>
  </si>
  <si>
    <t>carré brun</t>
  </si>
  <si>
    <t>☠</t>
  </si>
  <si>
    <t>crâne et os croisés</t>
  </si>
  <si>
    <t>1F3BD</t>
  </si>
  <si>
    <t>🎽</t>
  </si>
  <si>
    <t>chemise de course</t>
  </si>
  <si>
    <t>1F50A</t>
  </si>
  <si>
    <t>🔊</t>
  </si>
  <si>
    <t>haut-parleur volume élevé</t>
  </si>
  <si>
    <t>1F7F0</t>
  </si>
  <si>
    <t>🟰</t>
  </si>
  <si>
    <t>☢</t>
  </si>
  <si>
    <t>radioactif</t>
  </si>
  <si>
    <t>1F3BE</t>
  </si>
  <si>
    <t>🎾</t>
  </si>
  <si>
    <t>tennis</t>
  </si>
  <si>
    <t>1F50B</t>
  </si>
  <si>
    <t>🔋</t>
  </si>
  <si>
    <t>pile</t>
  </si>
  <si>
    <t>1F90C</t>
  </si>
  <si>
    <t>🤌</t>
  </si>
  <si>
    <t>doigts pincés</t>
  </si>
  <si>
    <t>☣</t>
  </si>
  <si>
    <t>Biohazard</t>
  </si>
  <si>
    <t>1F3BF</t>
  </si>
  <si>
    <t>🎿</t>
  </si>
  <si>
    <t>Skis</t>
  </si>
  <si>
    <t>1F50C</t>
  </si>
  <si>
    <t>🔌</t>
  </si>
  <si>
    <t>prise électrique</t>
  </si>
  <si>
    <t>1F90D</t>
  </si>
  <si>
    <t>🤍</t>
  </si>
  <si>
    <t>cœur blanc</t>
  </si>
  <si>
    <t>☦</t>
  </si>
  <si>
    <t>croix orthodoxe</t>
  </si>
  <si>
    <t>1F3C0</t>
  </si>
  <si>
    <t>🏀</t>
  </si>
  <si>
    <t>basket-ball</t>
  </si>
  <si>
    <t>1F50D</t>
  </si>
  <si>
    <t>🔍</t>
  </si>
  <si>
    <t>loupe inclinée vers la gauche</t>
  </si>
  <si>
    <t>1F90E</t>
  </si>
  <si>
    <t>🤎</t>
  </si>
  <si>
    <t>cœur brun</t>
  </si>
  <si>
    <t>262A</t>
  </si>
  <si>
    <t>☪</t>
  </si>
  <si>
    <t>étoile et croissant</t>
  </si>
  <si>
    <t>1F3C1</t>
  </si>
  <si>
    <t>🏁</t>
  </si>
  <si>
    <t>drapeau à damier</t>
  </si>
  <si>
    <t>1F50E</t>
  </si>
  <si>
    <t>🔎</t>
  </si>
  <si>
    <t>loupe inclinée vers la droite</t>
  </si>
  <si>
    <t>1F90F</t>
  </si>
  <si>
    <t>🤏</t>
  </si>
  <si>
    <t>pincement de la main</t>
  </si>
  <si>
    <t>262E</t>
  </si>
  <si>
    <t>☮</t>
  </si>
  <si>
    <t xml:space="preserve"> de paix</t>
  </si>
  <si>
    <t>1F3C2</t>
  </si>
  <si>
    <t>🏂</t>
  </si>
  <si>
    <t>snowboarder</t>
  </si>
  <si>
    <t>1F50F</t>
  </si>
  <si>
    <t>🔏</t>
  </si>
  <si>
    <t>verrouillé avec un stylo</t>
  </si>
  <si>
    <t>1F910</t>
  </si>
  <si>
    <t>🤐</t>
  </si>
  <si>
    <t>zipper-bouche visage</t>
  </si>
  <si>
    <t>262F</t>
  </si>
  <si>
    <t>☯</t>
  </si>
  <si>
    <t>Yin Yang</t>
  </si>
  <si>
    <t>1F3C3</t>
  </si>
  <si>
    <t>🏃</t>
  </si>
  <si>
    <t>personne qui court</t>
  </si>
  <si>
    <t>1F510</t>
  </si>
  <si>
    <t>🔐</t>
  </si>
  <si>
    <t>verrouillé avec clé</t>
  </si>
  <si>
    <t>1F911</t>
  </si>
  <si>
    <t>🤑</t>
  </si>
  <si>
    <t>visage de bouche d’argent</t>
  </si>
  <si>
    <t>☸</t>
  </si>
  <si>
    <t>roue du dharma</t>
  </si>
  <si>
    <t>1F3C4</t>
  </si>
  <si>
    <t>🏄</t>
  </si>
  <si>
    <t>personne surfant</t>
  </si>
  <si>
    <t>1F511</t>
  </si>
  <si>
    <t>🔑</t>
  </si>
  <si>
    <t>clé</t>
  </si>
  <si>
    <t>1F912</t>
  </si>
  <si>
    <t>🤒</t>
  </si>
  <si>
    <t>visage avec thermomètre</t>
  </si>
  <si>
    <t>☹</t>
  </si>
  <si>
    <t>visage fronçant les sourcils</t>
  </si>
  <si>
    <t>1F3C5</t>
  </si>
  <si>
    <t>🏅</t>
  </si>
  <si>
    <t>médaille sportive</t>
  </si>
  <si>
    <t>1F512</t>
  </si>
  <si>
    <t>🔒</t>
  </si>
  <si>
    <t>verrouillé</t>
  </si>
  <si>
    <t>1F913</t>
  </si>
  <si>
    <t>visage de nerd</t>
  </si>
  <si>
    <t>263A</t>
  </si>
  <si>
    <t>☺</t>
  </si>
  <si>
    <t>visage souriant</t>
  </si>
  <si>
    <t>1F3C6</t>
  </si>
  <si>
    <t>🏆</t>
  </si>
  <si>
    <t>trophée</t>
  </si>
  <si>
    <t>1F513</t>
  </si>
  <si>
    <t>🔓</t>
  </si>
  <si>
    <t>déverrouillé</t>
  </si>
  <si>
    <t>1F914</t>
  </si>
  <si>
    <t>🤔</t>
  </si>
  <si>
    <t>visage pensant</t>
  </si>
  <si>
    <t>signe féminin</t>
  </si>
  <si>
    <t>1F3C7</t>
  </si>
  <si>
    <t>🏇</t>
  </si>
  <si>
    <t>courses de chevaux</t>
  </si>
  <si>
    <t>1F514</t>
  </si>
  <si>
    <t>🔔</t>
  </si>
  <si>
    <t>1F915</t>
  </si>
  <si>
    <t>🤕</t>
  </si>
  <si>
    <t>visage avec bandage de tête</t>
  </si>
  <si>
    <t>signe masculin</t>
  </si>
  <si>
    <t>1F3C8</t>
  </si>
  <si>
    <t>🏈</t>
  </si>
  <si>
    <t>football américain</t>
  </si>
  <si>
    <t>1F515</t>
  </si>
  <si>
    <t>🔕</t>
  </si>
  <si>
    <t>cloche avec barre oblique</t>
  </si>
  <si>
    <t>1F916</t>
  </si>
  <si>
    <t>🤖</t>
  </si>
  <si>
    <t>robot</t>
  </si>
  <si>
    <t>♈</t>
  </si>
  <si>
    <t>Bélier</t>
  </si>
  <si>
    <t>1F3C9</t>
  </si>
  <si>
    <t>🏉</t>
  </si>
  <si>
    <t>rugby à XV</t>
  </si>
  <si>
    <t>1F516</t>
  </si>
  <si>
    <t>🔖</t>
  </si>
  <si>
    <t>Signet</t>
  </si>
  <si>
    <t>1F917</t>
  </si>
  <si>
    <t>🤗</t>
  </si>
  <si>
    <t>visage souriant avec les mains ouvertes</t>
  </si>
  <si>
    <t>♉</t>
  </si>
  <si>
    <t>Taureau</t>
  </si>
  <si>
    <t>1F3CA</t>
  </si>
  <si>
    <t>🏊</t>
  </si>
  <si>
    <t>personne nageant</t>
  </si>
  <si>
    <t>1F517</t>
  </si>
  <si>
    <t>🔗</t>
  </si>
  <si>
    <t>lien</t>
  </si>
  <si>
    <t>1F918</t>
  </si>
  <si>
    <t>🤘</t>
  </si>
  <si>
    <t>signe des cornes</t>
  </si>
  <si>
    <t>264A</t>
  </si>
  <si>
    <t>♊</t>
  </si>
  <si>
    <t>Gémeaux</t>
  </si>
  <si>
    <t>1F3CB</t>
  </si>
  <si>
    <t>🏋</t>
  </si>
  <si>
    <t>personne soulevant des poids</t>
  </si>
  <si>
    <t>1F518</t>
  </si>
  <si>
    <t>🔘</t>
  </si>
  <si>
    <t>bouton radio</t>
  </si>
  <si>
    <t>1F919</t>
  </si>
  <si>
    <t>🤙</t>
  </si>
  <si>
    <t>appelez-moi la main</t>
  </si>
  <si>
    <t>264B</t>
  </si>
  <si>
    <t>♋</t>
  </si>
  <si>
    <t>Cancer</t>
  </si>
  <si>
    <t>1F3CC</t>
  </si>
  <si>
    <t>🏌</t>
  </si>
  <si>
    <t>personne golfeur</t>
  </si>
  <si>
    <t>1F519</t>
  </si>
  <si>
    <t>🔙</t>
  </si>
  <si>
    <t>Flèche RETOUR</t>
  </si>
  <si>
    <t>1F91A</t>
  </si>
  <si>
    <t>🤚</t>
  </si>
  <si>
    <t>le dos levé de la main</t>
  </si>
  <si>
    <t>264C</t>
  </si>
  <si>
    <t>♌</t>
  </si>
  <si>
    <t>Lion</t>
  </si>
  <si>
    <t>1F3CD</t>
  </si>
  <si>
    <t>🏍</t>
  </si>
  <si>
    <t>motocyclette</t>
  </si>
  <si>
    <t>1F51A</t>
  </si>
  <si>
    <t>🔚</t>
  </si>
  <si>
    <t>Flèche END</t>
  </si>
  <si>
    <t>1F91B</t>
  </si>
  <si>
    <t>🤛</t>
  </si>
  <si>
    <t>poing tourné vers la gauche</t>
  </si>
  <si>
    <t>264D</t>
  </si>
  <si>
    <t>♍</t>
  </si>
  <si>
    <t>Vierge</t>
  </si>
  <si>
    <t>1F3CE</t>
  </si>
  <si>
    <t>🏎</t>
  </si>
  <si>
    <t>voiture de course</t>
  </si>
  <si>
    <t>1F51B</t>
  </si>
  <si>
    <t>🔛</t>
  </si>
  <si>
    <t>SUR! flèche</t>
  </si>
  <si>
    <t>1F91C</t>
  </si>
  <si>
    <t>🤜</t>
  </si>
  <si>
    <t>poing droit</t>
  </si>
  <si>
    <t>264E</t>
  </si>
  <si>
    <t>♎</t>
  </si>
  <si>
    <t>1F3CF</t>
  </si>
  <si>
    <t>🏏</t>
  </si>
  <si>
    <t>jeu de cricket</t>
  </si>
  <si>
    <t>1F51C</t>
  </si>
  <si>
    <t>🔜</t>
  </si>
  <si>
    <t>Flèche SOON</t>
  </si>
  <si>
    <t>1F91D</t>
  </si>
  <si>
    <t>🤝</t>
  </si>
  <si>
    <t>poignée de main</t>
  </si>
  <si>
    <t>264F</t>
  </si>
  <si>
    <t>♏</t>
  </si>
  <si>
    <t>Scorpion</t>
  </si>
  <si>
    <t>1F3D0</t>
  </si>
  <si>
    <t>🏐</t>
  </si>
  <si>
    <t>volley-ball</t>
  </si>
  <si>
    <t>1F51D</t>
  </si>
  <si>
    <t>🔝</t>
  </si>
  <si>
    <t>Flèche HAUT</t>
  </si>
  <si>
    <t>1F91E</t>
  </si>
  <si>
    <t>🤞</t>
  </si>
  <si>
    <t>croisons les doigts</t>
  </si>
  <si>
    <t>♐</t>
  </si>
  <si>
    <t>Sagittaire</t>
  </si>
  <si>
    <t>1F3D1</t>
  </si>
  <si>
    <t>🏑</t>
  </si>
  <si>
    <t>hockey sur gazon</t>
  </si>
  <si>
    <t>1F51E</t>
  </si>
  <si>
    <t>🔞</t>
  </si>
  <si>
    <t>personne de moins de dix-huit ans</t>
  </si>
  <si>
    <t>1F91F</t>
  </si>
  <si>
    <t>🤟</t>
  </si>
  <si>
    <t>geste d’amour-toi</t>
  </si>
  <si>
    <t>♑</t>
  </si>
  <si>
    <t>Capricorne</t>
  </si>
  <si>
    <t>1F3D2</t>
  </si>
  <si>
    <t>🏒</t>
  </si>
  <si>
    <t>hockey sur glace</t>
  </si>
  <si>
    <t>1F51F</t>
  </si>
  <si>
    <t>🔟</t>
  </si>
  <si>
    <t>keycap: 10</t>
  </si>
  <si>
    <t>1F920</t>
  </si>
  <si>
    <t>🤠</t>
  </si>
  <si>
    <t>visage de chapeau de cow-boy</t>
  </si>
  <si>
    <t>♒</t>
  </si>
  <si>
    <t>Verseau</t>
  </si>
  <si>
    <t>1F3D3</t>
  </si>
  <si>
    <t>🏓</t>
  </si>
  <si>
    <t>ping-pong</t>
  </si>
  <si>
    <t>1F520</t>
  </si>
  <si>
    <t>🔠</t>
  </si>
  <si>
    <t>entrée latin majuscule</t>
  </si>
  <si>
    <t>1F921</t>
  </si>
  <si>
    <t>🤡</t>
  </si>
  <si>
    <t>visage de clown</t>
  </si>
  <si>
    <t>♓</t>
  </si>
  <si>
    <t>Poissons</t>
  </si>
  <si>
    <t>1F3D4</t>
  </si>
  <si>
    <t>🏔</t>
  </si>
  <si>
    <t>montagne enneigée</t>
  </si>
  <si>
    <t>1F521</t>
  </si>
  <si>
    <t>🔡</t>
  </si>
  <si>
    <t>entrée latin minuscule</t>
  </si>
  <si>
    <t>1F922</t>
  </si>
  <si>
    <t>visage nauséeux</t>
  </si>
  <si>
    <t>265F</t>
  </si>
  <si>
    <t>♟</t>
  </si>
  <si>
    <t>pion d’échecs</t>
  </si>
  <si>
    <t>1F3D5</t>
  </si>
  <si>
    <t>🏕</t>
  </si>
  <si>
    <t>camping</t>
  </si>
  <si>
    <t>1F522</t>
  </si>
  <si>
    <t>🔢</t>
  </si>
  <si>
    <t>numéros d’entrée</t>
  </si>
  <si>
    <t>1F923</t>
  </si>
  <si>
    <t>🤣</t>
  </si>
  <si>
    <t>se rouler sur le sol en riant</t>
  </si>
  <si>
    <t>costume de bêche</t>
  </si>
  <si>
    <t>1F3D6</t>
  </si>
  <si>
    <t>🏖</t>
  </si>
  <si>
    <t>plage avec parasol</t>
  </si>
  <si>
    <t>1F523</t>
  </si>
  <si>
    <t>🔣</t>
  </si>
  <si>
    <t>symboles d’entrée</t>
  </si>
  <si>
    <t>1F924</t>
  </si>
  <si>
    <t>🤤</t>
  </si>
  <si>
    <t>visage bave</t>
  </si>
  <si>
    <t>♣</t>
  </si>
  <si>
    <t>costume club</t>
  </si>
  <si>
    <t>1F3D7</t>
  </si>
  <si>
    <t>🏗</t>
  </si>
  <si>
    <t>construction de bâtiments</t>
  </si>
  <si>
    <t>1F524</t>
  </si>
  <si>
    <t>🔤</t>
  </si>
  <si>
    <t>saisir des lettres latines</t>
  </si>
  <si>
    <t>1F925</t>
  </si>
  <si>
    <t>🤥</t>
  </si>
  <si>
    <t>visage couché</t>
  </si>
  <si>
    <t>♥</t>
  </si>
  <si>
    <t>costume de cœur</t>
  </si>
  <si>
    <t>1F3D8</t>
  </si>
  <si>
    <t>🏘</t>
  </si>
  <si>
    <t>Maisons</t>
  </si>
  <si>
    <t>1F525</t>
  </si>
  <si>
    <t>🔥</t>
  </si>
  <si>
    <t>Feu</t>
  </si>
  <si>
    <t>1F926</t>
  </si>
  <si>
    <t>🤦</t>
  </si>
  <si>
    <t>personne facepalming</t>
  </si>
  <si>
    <t>♦</t>
  </si>
  <si>
    <t>costume diamant</t>
  </si>
  <si>
    <t>1F3D9</t>
  </si>
  <si>
    <t>🏙</t>
  </si>
  <si>
    <t>Cityscape</t>
  </si>
  <si>
    <t>1F526</t>
  </si>
  <si>
    <t>🔦</t>
  </si>
  <si>
    <t>torche</t>
  </si>
  <si>
    <t>1F927</t>
  </si>
  <si>
    <t>🤧</t>
  </si>
  <si>
    <t>éternuements du visage</t>
  </si>
  <si>
    <t>♨</t>
  </si>
  <si>
    <t>sources chaudes</t>
  </si>
  <si>
    <t>1F3DA</t>
  </si>
  <si>
    <t>🏚</t>
  </si>
  <si>
    <t>maison abandonnée</t>
  </si>
  <si>
    <t>1F527</t>
  </si>
  <si>
    <t>🔧</t>
  </si>
  <si>
    <t>1F928</t>
  </si>
  <si>
    <t>🤨</t>
  </si>
  <si>
    <t>visage avec sourcil levé</t>
  </si>
  <si>
    <t>✂</t>
  </si>
  <si>
    <t>ciseaux</t>
  </si>
  <si>
    <t>1F3DB</t>
  </si>
  <si>
    <t>🏛</t>
  </si>
  <si>
    <t>bâtiment classique</t>
  </si>
  <si>
    <t>1F528</t>
  </si>
  <si>
    <t>🔨</t>
  </si>
  <si>
    <t>marteau</t>
  </si>
  <si>
    <t>1F929</t>
  </si>
  <si>
    <t>🤩</t>
  </si>
  <si>
    <t>frappé par une étoile</t>
  </si>
  <si>
    <t>✈</t>
  </si>
  <si>
    <t>avion</t>
  </si>
  <si>
    <t>1F3DC</t>
  </si>
  <si>
    <t>🏜</t>
  </si>
  <si>
    <t>désert</t>
  </si>
  <si>
    <t>1F529</t>
  </si>
  <si>
    <t>🔩</t>
  </si>
  <si>
    <t>écrou et boulon</t>
  </si>
  <si>
    <t>1F92A</t>
  </si>
  <si>
    <t>🤪</t>
  </si>
  <si>
    <t>visage loufoque</t>
  </si>
  <si>
    <t>✉</t>
  </si>
  <si>
    <t>enveloppe</t>
  </si>
  <si>
    <t>1F3DD</t>
  </si>
  <si>
    <t>🏝</t>
  </si>
  <si>
    <t>île déserte</t>
  </si>
  <si>
    <t>1F52A</t>
  </si>
  <si>
    <t>🔪</t>
  </si>
  <si>
    <t>couteau de cuisine</t>
  </si>
  <si>
    <t>1F92B</t>
  </si>
  <si>
    <t>🤫</t>
  </si>
  <si>
    <t>visage qui s’était</t>
  </si>
  <si>
    <t>270C</t>
  </si>
  <si>
    <t>✌</t>
  </si>
  <si>
    <t>main de la victoire</t>
  </si>
  <si>
    <t>1F3DE</t>
  </si>
  <si>
    <t>🏞</t>
  </si>
  <si>
    <t>parc national</t>
  </si>
  <si>
    <t>1F52B</t>
  </si>
  <si>
    <t>🔫</t>
  </si>
  <si>
    <t>pistolet à eau</t>
  </si>
  <si>
    <t>1F92C</t>
  </si>
  <si>
    <t>🤬</t>
  </si>
  <si>
    <t>visage avec des symboles sur la bouche</t>
  </si>
  <si>
    <t>270D</t>
  </si>
  <si>
    <t>✍</t>
  </si>
  <si>
    <t>écrire la main</t>
  </si>
  <si>
    <t>1F3DF</t>
  </si>
  <si>
    <t>🏟</t>
  </si>
  <si>
    <t>stade</t>
  </si>
  <si>
    <t>1F52C</t>
  </si>
  <si>
    <t>🔬</t>
  </si>
  <si>
    <t>microscope</t>
  </si>
  <si>
    <t>1F92D</t>
  </si>
  <si>
    <t>🤭</t>
  </si>
  <si>
    <t>visage avec la main sur la bouche</t>
  </si>
  <si>
    <t>270F</t>
  </si>
  <si>
    <t>✏</t>
  </si>
  <si>
    <t>crayon</t>
  </si>
  <si>
    <t>1F3E0</t>
  </si>
  <si>
    <t>🏠</t>
  </si>
  <si>
    <t>maison</t>
  </si>
  <si>
    <t>1F52D</t>
  </si>
  <si>
    <t>🔭</t>
  </si>
  <si>
    <t>télescope</t>
  </si>
  <si>
    <t>1F92E</t>
  </si>
  <si>
    <t>🤮</t>
  </si>
  <si>
    <t>vomissements au visage</t>
  </si>
  <si>
    <t>✒</t>
  </si>
  <si>
    <t>plume noire</t>
  </si>
  <si>
    <t>1F3E1</t>
  </si>
  <si>
    <t>🏡</t>
  </si>
  <si>
    <t>maison avec jardin</t>
  </si>
  <si>
    <t>1F52E</t>
  </si>
  <si>
    <t>🔮</t>
  </si>
  <si>
    <t>boule de cristal</t>
  </si>
  <si>
    <t>1F92F</t>
  </si>
  <si>
    <t>🤯</t>
  </si>
  <si>
    <t>tête qui explose</t>
  </si>
  <si>
    <t>✔</t>
  </si>
  <si>
    <t>coche</t>
  </si>
  <si>
    <t>1F3E2</t>
  </si>
  <si>
    <t>🏢</t>
  </si>
  <si>
    <t xml:space="preserve"> de bureaux</t>
  </si>
  <si>
    <t>1F52F</t>
  </si>
  <si>
    <t>🔯</t>
  </si>
  <si>
    <t>étoile pointillée à six branches</t>
  </si>
  <si>
    <t>1F930</t>
  </si>
  <si>
    <t>🤰</t>
  </si>
  <si>
    <t>femme enceinte</t>
  </si>
  <si>
    <t>✖</t>
  </si>
  <si>
    <t>multiplier</t>
  </si>
  <si>
    <t>1F3E3</t>
  </si>
  <si>
    <t>🏣</t>
  </si>
  <si>
    <t>Bureau de poste japonais</t>
  </si>
  <si>
    <t>1F530</t>
  </si>
  <si>
    <t>🔰</t>
  </si>
  <si>
    <t>Symbole japonais pour débutant</t>
  </si>
  <si>
    <t>1F931</t>
  </si>
  <si>
    <t>🤱</t>
  </si>
  <si>
    <t>l’allaitement</t>
  </si>
  <si>
    <t>271D</t>
  </si>
  <si>
    <t>✝</t>
  </si>
  <si>
    <t>croix latine</t>
  </si>
  <si>
    <t>1F3E4</t>
  </si>
  <si>
    <t>🏤</t>
  </si>
  <si>
    <t>bureau de poste</t>
  </si>
  <si>
    <t>1F531</t>
  </si>
  <si>
    <t>🔱</t>
  </si>
  <si>
    <t>emblème du trident</t>
  </si>
  <si>
    <t>1F932</t>
  </si>
  <si>
    <t>🤲</t>
  </si>
  <si>
    <t>paumes ensemble</t>
  </si>
  <si>
    <t>✡</t>
  </si>
  <si>
    <t>étoile de David</t>
  </si>
  <si>
    <t>1F3E5</t>
  </si>
  <si>
    <t>🏥</t>
  </si>
  <si>
    <t>hôpital</t>
  </si>
  <si>
    <t>1F532</t>
  </si>
  <si>
    <t>🔲</t>
  </si>
  <si>
    <t>bouton carré noir</t>
  </si>
  <si>
    <t>1F933</t>
  </si>
  <si>
    <t>🤳</t>
  </si>
  <si>
    <t>selfie</t>
  </si>
  <si>
    <t>✳</t>
  </si>
  <si>
    <t>astérisque à huit rayons</t>
  </si>
  <si>
    <t>1F3E6</t>
  </si>
  <si>
    <t>🏦</t>
  </si>
  <si>
    <t>banque</t>
  </si>
  <si>
    <t>1F533</t>
  </si>
  <si>
    <t>🔳</t>
  </si>
  <si>
    <t>bouton carré blanc</t>
  </si>
  <si>
    <t>1F934</t>
  </si>
  <si>
    <t>🤴</t>
  </si>
  <si>
    <t>prince</t>
  </si>
  <si>
    <t>✴</t>
  </si>
  <si>
    <t>étoile à huit branches</t>
  </si>
  <si>
    <t>1F3E7</t>
  </si>
  <si>
    <t>🏧</t>
  </si>
  <si>
    <t>Panneau ATM</t>
  </si>
  <si>
    <t>1F534</t>
  </si>
  <si>
    <t>🔴</t>
  </si>
  <si>
    <t>cercle rouge</t>
  </si>
  <si>
    <t>1F935</t>
  </si>
  <si>
    <t>🤵</t>
  </si>
  <si>
    <t>personne en smoking</t>
  </si>
  <si>
    <t>❄</t>
  </si>
  <si>
    <t>flocon de neige</t>
  </si>
  <si>
    <t>1F3E8</t>
  </si>
  <si>
    <t>🏨</t>
  </si>
  <si>
    <t>hôtel</t>
  </si>
  <si>
    <t>1F535</t>
  </si>
  <si>
    <t>🔵</t>
  </si>
  <si>
    <t>cercle bleu</t>
  </si>
  <si>
    <t>1F936</t>
  </si>
  <si>
    <t>🤶</t>
  </si>
  <si>
    <t>Mme Claus</t>
  </si>
  <si>
    <t>❇</t>
  </si>
  <si>
    <t>scintiller</t>
  </si>
  <si>
    <t>1F3E9</t>
  </si>
  <si>
    <t>🏩</t>
  </si>
  <si>
    <t>love hôtel</t>
  </si>
  <si>
    <t>1F536</t>
  </si>
  <si>
    <t>🔶</t>
  </si>
  <si>
    <t>grand diamant orange</t>
  </si>
  <si>
    <t>1F937</t>
  </si>
  <si>
    <t>🤷</t>
  </si>
  <si>
    <t>personne haussant les épaules</t>
  </si>
  <si>
    <t>274E</t>
  </si>
  <si>
    <t>❎</t>
  </si>
  <si>
    <t>bouton de marque croisée</t>
  </si>
  <si>
    <t>1F3EA</t>
  </si>
  <si>
    <t>🏪</t>
  </si>
  <si>
    <t>dépanneur</t>
  </si>
  <si>
    <t>1F537</t>
  </si>
  <si>
    <t>🔷</t>
  </si>
  <si>
    <t>grand diamant bleu</t>
  </si>
  <si>
    <t>1F938</t>
  </si>
  <si>
    <t>🤸</t>
  </si>
  <si>
    <t>chariot de personne</t>
  </si>
  <si>
    <t>❓</t>
  </si>
  <si>
    <t>point d’interrogation rouge</t>
  </si>
  <si>
    <t>1F3EB</t>
  </si>
  <si>
    <t>🏫</t>
  </si>
  <si>
    <t>école</t>
  </si>
  <si>
    <t>1F538</t>
  </si>
  <si>
    <t>🔸</t>
  </si>
  <si>
    <t>petit diamant orange</t>
  </si>
  <si>
    <t>1F939</t>
  </si>
  <si>
    <t>🤹</t>
  </si>
  <si>
    <t>personne jonglant</t>
  </si>
  <si>
    <t>❔</t>
  </si>
  <si>
    <t>point d’interrogation blanc</t>
  </si>
  <si>
    <t>1F3EC</t>
  </si>
  <si>
    <t>🏬</t>
  </si>
  <si>
    <t>grand magasin</t>
  </si>
  <si>
    <t>1F539</t>
  </si>
  <si>
    <t>🔹</t>
  </si>
  <si>
    <t>petit diamant bleu</t>
  </si>
  <si>
    <t>1F93A</t>
  </si>
  <si>
    <t>🤺</t>
  </si>
  <si>
    <t>personne escrime</t>
  </si>
  <si>
    <t>❕</t>
  </si>
  <si>
    <t>point d’exclamation blanc</t>
  </si>
  <si>
    <t>1F3ED</t>
  </si>
  <si>
    <t>🏭</t>
  </si>
  <si>
    <t>usine</t>
  </si>
  <si>
    <t>1F53A</t>
  </si>
  <si>
    <t>🔺</t>
  </si>
  <si>
    <t>triangle rouge pointé vers le haut</t>
  </si>
  <si>
    <t>1F93C</t>
  </si>
  <si>
    <t>🤼</t>
  </si>
  <si>
    <t>les gens luttent</t>
  </si>
  <si>
    <t>❗</t>
  </si>
  <si>
    <t>point d’exclamation rouge</t>
  </si>
  <si>
    <t>1F3EE</t>
  </si>
  <si>
    <t>🏮</t>
  </si>
  <si>
    <t>lanterne en papier rouge</t>
  </si>
  <si>
    <t>1F53B</t>
  </si>
  <si>
    <t>🔻</t>
  </si>
  <si>
    <t>triangle rouge pointé vers le bas</t>
  </si>
  <si>
    <t>1F93D</t>
  </si>
  <si>
    <t>🤽</t>
  </si>
  <si>
    <t>personne jouant au water-polo</t>
  </si>
  <si>
    <t>❣</t>
  </si>
  <si>
    <t>exclamation du cœur</t>
  </si>
  <si>
    <t>1F3EF</t>
  </si>
  <si>
    <t>🏯</t>
  </si>
  <si>
    <t>Château japonais</t>
  </si>
  <si>
    <t>1F53C</t>
  </si>
  <si>
    <t>🔼</t>
  </si>
  <si>
    <t>bouton vers le haut</t>
  </si>
  <si>
    <t>1F93E</t>
  </si>
  <si>
    <t>🤾</t>
  </si>
  <si>
    <t>personne jouant au handball</t>
  </si>
  <si>
    <t>❤</t>
  </si>
  <si>
    <t>cœur rouge</t>
  </si>
  <si>
    <t>1F3F0</t>
  </si>
  <si>
    <t>🏰</t>
  </si>
  <si>
    <t>château</t>
  </si>
  <si>
    <t>1F53D</t>
  </si>
  <si>
    <t>🔽</t>
  </si>
  <si>
    <t>bouton vers le bas</t>
  </si>
  <si>
    <t>1F93F</t>
  </si>
  <si>
    <t>🤿</t>
  </si>
  <si>
    <t>masque de plongée</t>
  </si>
  <si>
    <t>✅</t>
  </si>
  <si>
    <t>bouton de coche</t>
  </si>
  <si>
    <t>1F3F3</t>
  </si>
  <si>
    <t>🏳</t>
  </si>
  <si>
    <t>drapeau blanc</t>
  </si>
  <si>
    <t>1F549</t>
  </si>
  <si>
    <t>🕉</t>
  </si>
  <si>
    <t>1F940</t>
  </si>
  <si>
    <t>🥀</t>
  </si>
  <si>
    <t>fleur fanée</t>
  </si>
  <si>
    <t>270A</t>
  </si>
  <si>
    <t>✊</t>
  </si>
  <si>
    <t>poing levé</t>
  </si>
  <si>
    <t>1F3F4</t>
  </si>
  <si>
    <t>🏴</t>
  </si>
  <si>
    <t>drapeau noir</t>
  </si>
  <si>
    <t>1F54A</t>
  </si>
  <si>
    <t>🕊</t>
  </si>
  <si>
    <t>où</t>
  </si>
  <si>
    <t>1F941</t>
  </si>
  <si>
    <t>🥁</t>
  </si>
  <si>
    <t>tambour</t>
  </si>
  <si>
    <t>270B</t>
  </si>
  <si>
    <t>✋</t>
  </si>
  <si>
    <t>main levée</t>
  </si>
  <si>
    <t>1F3F5</t>
  </si>
  <si>
    <t>🏵</t>
  </si>
  <si>
    <t>rosette</t>
  </si>
  <si>
    <t>1F54B</t>
  </si>
  <si>
    <t>🕋</t>
  </si>
  <si>
    <t>Kaaba</t>
  </si>
  <si>
    <t>1F942</t>
  </si>
  <si>
    <t>🥂</t>
  </si>
  <si>
    <t>lunettes qui clignotent</t>
  </si>
  <si>
    <t>✨</t>
  </si>
  <si>
    <t>Étincelles</t>
  </si>
  <si>
    <t>1F3F7</t>
  </si>
  <si>
    <t>🏷</t>
  </si>
  <si>
    <t>étiquette</t>
  </si>
  <si>
    <t>1F54C</t>
  </si>
  <si>
    <t>🕌</t>
  </si>
  <si>
    <t>mosquée</t>
  </si>
  <si>
    <t>1F943</t>
  </si>
  <si>
    <t>🥃</t>
  </si>
  <si>
    <t>verre tumbler</t>
  </si>
  <si>
    <t>274C</t>
  </si>
  <si>
    <t>❌</t>
  </si>
  <si>
    <t>marque croisée</t>
  </si>
  <si>
    <t>1F3F8</t>
  </si>
  <si>
    <t>🏸</t>
  </si>
  <si>
    <t>badminton</t>
  </si>
  <si>
    <t>1F54D</t>
  </si>
  <si>
    <t>🕍</t>
  </si>
  <si>
    <t>synagogue</t>
  </si>
  <si>
    <t>1F944</t>
  </si>
  <si>
    <t>🥄</t>
  </si>
  <si>
    <t>cuiller</t>
  </si>
  <si>
    <t>☔</t>
  </si>
  <si>
    <t>parapluie avec gouttes de pluie</t>
  </si>
  <si>
    <t>1F3F9</t>
  </si>
  <si>
    <t>🏹</t>
  </si>
  <si>
    <t>arc et flèche</t>
  </si>
  <si>
    <t>1F54E</t>
  </si>
  <si>
    <t>🕎</t>
  </si>
  <si>
    <t>ménorah</t>
  </si>
  <si>
    <t>1F945</t>
  </si>
  <si>
    <t>🥅</t>
  </si>
  <si>
    <t>but net</t>
  </si>
  <si>
    <t>☕</t>
  </si>
  <si>
    <t>boisson chaude</t>
  </si>
  <si>
    <t>1F3FA</t>
  </si>
  <si>
    <t>🏺</t>
  </si>
  <si>
    <t>amphore</t>
  </si>
  <si>
    <t>1F550</t>
  </si>
  <si>
    <t>🕐</t>
  </si>
  <si>
    <t>une heure</t>
  </si>
  <si>
    <t>1F947</t>
  </si>
  <si>
    <t>🥇</t>
  </si>
  <si>
    <t>Médaille de 1ère place</t>
  </si>
  <si>
    <t>267B</t>
  </si>
  <si>
    <t>♻</t>
  </si>
  <si>
    <t>symbole de recyclage</t>
  </si>
  <si>
    <t>1F400</t>
  </si>
  <si>
    <t>🐀</t>
  </si>
  <si>
    <t>rat</t>
  </si>
  <si>
    <t>1F551</t>
  </si>
  <si>
    <t>🕑</t>
  </si>
  <si>
    <t>deux heures</t>
  </si>
  <si>
    <t>1F948</t>
  </si>
  <si>
    <t>🥈</t>
  </si>
  <si>
    <t>Médaille de 2e place</t>
  </si>
  <si>
    <t>23CF</t>
  </si>
  <si>
    <t>⏏</t>
  </si>
  <si>
    <t>bouton d’éjection</t>
  </si>
  <si>
    <t>1F401</t>
  </si>
  <si>
    <t>🐁</t>
  </si>
  <si>
    <t>souris</t>
  </si>
  <si>
    <t>1F552</t>
  </si>
  <si>
    <t>🕒</t>
  </si>
  <si>
    <t>trois heures</t>
  </si>
  <si>
    <t>1F949</t>
  </si>
  <si>
    <t>🥉</t>
  </si>
  <si>
    <t>Médaille de 3ème place</t>
  </si>
  <si>
    <t>25FB</t>
  </si>
  <si>
    <t>◻</t>
  </si>
  <si>
    <t>carré moyen blanc</t>
  </si>
  <si>
    <t>1F402</t>
  </si>
  <si>
    <t>🐂</t>
  </si>
  <si>
    <t>1F553</t>
  </si>
  <si>
    <t>🕓</t>
  </si>
  <si>
    <t>quatre heures</t>
  </si>
  <si>
    <t>1F94A</t>
  </si>
  <si>
    <t>🥊</t>
  </si>
  <si>
    <t>gant de boxe</t>
  </si>
  <si>
    <t>25FC</t>
  </si>
  <si>
    <t>◼</t>
  </si>
  <si>
    <t>carré moyen noir</t>
  </si>
  <si>
    <t>1F403</t>
  </si>
  <si>
    <t>🐃</t>
  </si>
  <si>
    <t>buffle d'Asie</t>
  </si>
  <si>
    <t>1F554</t>
  </si>
  <si>
    <t>🕔</t>
  </si>
  <si>
    <t>cinq heures</t>
  </si>
  <si>
    <t>1F94B</t>
  </si>
  <si>
    <t>🥋</t>
  </si>
  <si>
    <t>uniforme d’arts martiaux</t>
  </si>
  <si>
    <t>25FD</t>
  </si>
  <si>
    <t>◽</t>
  </si>
  <si>
    <t>carré blanc moyen-petit</t>
  </si>
  <si>
    <t>1F404</t>
  </si>
  <si>
    <t>🐄</t>
  </si>
  <si>
    <t>vache</t>
  </si>
  <si>
    <t>1F555</t>
  </si>
  <si>
    <t>🕕</t>
  </si>
  <si>
    <t>six heures</t>
  </si>
  <si>
    <t>1F94C</t>
  </si>
  <si>
    <t>🥌</t>
  </si>
  <si>
    <t>pierre de curling</t>
  </si>
  <si>
    <t>25FE</t>
  </si>
  <si>
    <t>◾</t>
  </si>
  <si>
    <t>noir moyen-petit carré</t>
  </si>
  <si>
    <t>1F405</t>
  </si>
  <si>
    <t>🐅</t>
  </si>
  <si>
    <t>tigre</t>
  </si>
  <si>
    <t>1F556</t>
  </si>
  <si>
    <t>🕖</t>
  </si>
  <si>
    <t>sept heures</t>
  </si>
  <si>
    <t>1F94D</t>
  </si>
  <si>
    <t>🥍</t>
  </si>
  <si>
    <t>lacrosse</t>
  </si>
  <si>
    <t>26A0</t>
  </si>
  <si>
    <t>⚠</t>
  </si>
  <si>
    <t>avertissement</t>
  </si>
  <si>
    <t>1F406</t>
  </si>
  <si>
    <t>🐆</t>
  </si>
  <si>
    <t>léopard</t>
  </si>
  <si>
    <t>1F557</t>
  </si>
  <si>
    <t>🕗</t>
  </si>
  <si>
    <t>huit heures</t>
  </si>
  <si>
    <t>1F94E</t>
  </si>
  <si>
    <t>🥎</t>
  </si>
  <si>
    <t>softball</t>
  </si>
  <si>
    <t>26A1</t>
  </si>
  <si>
    <t>⚡</t>
  </si>
  <si>
    <t>haute tension</t>
  </si>
  <si>
    <t>1F407</t>
  </si>
  <si>
    <t>🐇</t>
  </si>
  <si>
    <t>lapin</t>
  </si>
  <si>
    <t>1F558</t>
  </si>
  <si>
    <t>🕘</t>
  </si>
  <si>
    <t>neuf heures</t>
  </si>
  <si>
    <t>1F94F</t>
  </si>
  <si>
    <t>🥏</t>
  </si>
  <si>
    <t>disque volant</t>
  </si>
  <si>
    <t>☘</t>
  </si>
  <si>
    <t>trèfle</t>
  </si>
  <si>
    <t>1F408</t>
  </si>
  <si>
    <t>🐈</t>
  </si>
  <si>
    <t>chat</t>
  </si>
  <si>
    <t>1F559</t>
  </si>
  <si>
    <t>🕙</t>
  </si>
  <si>
    <t>dix heures</t>
  </si>
  <si>
    <t>1F950</t>
  </si>
  <si>
    <t>🥐</t>
  </si>
  <si>
    <t>croissant</t>
  </si>
  <si>
    <t>267E</t>
  </si>
  <si>
    <t>♾</t>
  </si>
  <si>
    <t>Infini</t>
  </si>
  <si>
    <t>1F409</t>
  </si>
  <si>
    <t>🐉</t>
  </si>
  <si>
    <t>dragon</t>
  </si>
  <si>
    <t>1F55A</t>
  </si>
  <si>
    <t>🕚</t>
  </si>
  <si>
    <t>onze heures</t>
  </si>
  <si>
    <t>1F951</t>
  </si>
  <si>
    <t>🥑</t>
  </si>
  <si>
    <t>avocat</t>
  </si>
  <si>
    <t>267F</t>
  </si>
  <si>
    <t>♿</t>
  </si>
  <si>
    <t>symbole de fauteuil roulant</t>
  </si>
  <si>
    <t>1F40A</t>
  </si>
  <si>
    <t>🐊</t>
  </si>
  <si>
    <t>crocodile</t>
  </si>
  <si>
    <t>1F55B</t>
  </si>
  <si>
    <t>🕛</t>
  </si>
  <si>
    <t>Midi</t>
  </si>
  <si>
    <t>1F952</t>
  </si>
  <si>
    <t>🥒</t>
  </si>
  <si>
    <t>concombre</t>
  </si>
  <si>
    <t>⚒</t>
  </si>
  <si>
    <t>marteau et pic</t>
  </si>
  <si>
    <t>1F40B</t>
  </si>
  <si>
    <t>🐋</t>
  </si>
  <si>
    <t>baleine</t>
  </si>
  <si>
    <t>1F55C</t>
  </si>
  <si>
    <t>🕜</t>
  </si>
  <si>
    <t>un-trente</t>
  </si>
  <si>
    <t>1F953</t>
  </si>
  <si>
    <t>🥓</t>
  </si>
  <si>
    <t>lard</t>
  </si>
  <si>
    <t>⚓</t>
  </si>
  <si>
    <t>ancre</t>
  </si>
  <si>
    <t>1F40C</t>
  </si>
  <si>
    <t>🐌</t>
  </si>
  <si>
    <t>escargot</t>
  </si>
  <si>
    <t>1F55D</t>
  </si>
  <si>
    <t>🕝</t>
  </si>
  <si>
    <t>deux-trente</t>
  </si>
  <si>
    <t>1F954</t>
  </si>
  <si>
    <t>🥔</t>
  </si>
  <si>
    <t>pomme de terre</t>
  </si>
  <si>
    <t>⚔</t>
  </si>
  <si>
    <t>1F40D</t>
  </si>
  <si>
    <t>🐍</t>
  </si>
  <si>
    <t>serpent</t>
  </si>
  <si>
    <t>1F55E</t>
  </si>
  <si>
    <t>🕞</t>
  </si>
  <si>
    <t>trois-trente</t>
  </si>
  <si>
    <t>1F955</t>
  </si>
  <si>
    <t>🥕</t>
  </si>
  <si>
    <t>carotte</t>
  </si>
  <si>
    <t>⚕</t>
  </si>
  <si>
    <t>1F40E</t>
  </si>
  <si>
    <t>🐎</t>
  </si>
  <si>
    <t>cheval</t>
  </si>
  <si>
    <t>1F55F</t>
  </si>
  <si>
    <t>🕟</t>
  </si>
  <si>
    <t>quatre-trente</t>
  </si>
  <si>
    <t>1F956</t>
  </si>
  <si>
    <t>🥖</t>
  </si>
  <si>
    <t>pain baguette</t>
  </si>
  <si>
    <t>⚖</t>
  </si>
  <si>
    <t>1F40F</t>
  </si>
  <si>
    <t>🐏</t>
  </si>
  <si>
    <t>bélier</t>
  </si>
  <si>
    <t>1F560</t>
  </si>
  <si>
    <t>🕠</t>
  </si>
  <si>
    <t>cinq-trente</t>
  </si>
  <si>
    <t>1F957</t>
  </si>
  <si>
    <t>🥗</t>
  </si>
  <si>
    <t>salade verte</t>
  </si>
  <si>
    <t>⚗</t>
  </si>
  <si>
    <t>1F410</t>
  </si>
  <si>
    <t>🐐</t>
  </si>
  <si>
    <t>chèvre</t>
  </si>
  <si>
    <t>1F561</t>
  </si>
  <si>
    <t>🕡</t>
  </si>
  <si>
    <t>six-trente</t>
  </si>
  <si>
    <t>1F958</t>
  </si>
  <si>
    <t>🥘</t>
  </si>
  <si>
    <t>casserole peu profonde de nourriture</t>
  </si>
  <si>
    <t>⚙</t>
  </si>
  <si>
    <t>engrenage</t>
  </si>
  <si>
    <t>1F411</t>
  </si>
  <si>
    <t>🐑</t>
  </si>
  <si>
    <t>brebis</t>
  </si>
  <si>
    <t>1F562</t>
  </si>
  <si>
    <t>🕢</t>
  </si>
  <si>
    <t>sept-trente</t>
  </si>
  <si>
    <t>1F959</t>
  </si>
  <si>
    <t>🥙</t>
  </si>
  <si>
    <t>pain plat farci</t>
  </si>
  <si>
    <t>269B</t>
  </si>
  <si>
    <t>⚛</t>
  </si>
  <si>
    <t>symbole d’atome</t>
  </si>
  <si>
    <t>1F412</t>
  </si>
  <si>
    <t>🐒</t>
  </si>
  <si>
    <t>singe</t>
  </si>
  <si>
    <t>1F563</t>
  </si>
  <si>
    <t>🕣</t>
  </si>
  <si>
    <t>huit-trente</t>
  </si>
  <si>
    <t>1F95A</t>
  </si>
  <si>
    <t>🥚</t>
  </si>
  <si>
    <t>oeuf</t>
  </si>
  <si>
    <t>269C</t>
  </si>
  <si>
    <t>⚜</t>
  </si>
  <si>
    <t>fleur-de-lis</t>
  </si>
  <si>
    <t>1F413</t>
  </si>
  <si>
    <t>🐓</t>
  </si>
  <si>
    <t>coq</t>
  </si>
  <si>
    <t>1F564</t>
  </si>
  <si>
    <t>🕤</t>
  </si>
  <si>
    <t>neuf-trente</t>
  </si>
  <si>
    <t>1F95B</t>
  </si>
  <si>
    <t>🥛</t>
  </si>
  <si>
    <t>verre de lait</t>
  </si>
  <si>
    <t>26A7</t>
  </si>
  <si>
    <t>⚧</t>
  </si>
  <si>
    <t>symbole transgenre</t>
  </si>
  <si>
    <t>1F414</t>
  </si>
  <si>
    <t>🐔</t>
  </si>
  <si>
    <t>poulet</t>
  </si>
  <si>
    <t>1F565</t>
  </si>
  <si>
    <t>🕥</t>
  </si>
  <si>
    <t>dix-trente</t>
  </si>
  <si>
    <t>1F95C</t>
  </si>
  <si>
    <t>🥜</t>
  </si>
  <si>
    <t>cacahuètes</t>
  </si>
  <si>
    <t>26AA</t>
  </si>
  <si>
    <t>⚪</t>
  </si>
  <si>
    <t>cercle blanc</t>
  </si>
  <si>
    <t>1F415</t>
  </si>
  <si>
    <t>🐕</t>
  </si>
  <si>
    <t>chien</t>
  </si>
  <si>
    <t>1F566</t>
  </si>
  <si>
    <t>🕦</t>
  </si>
  <si>
    <t>onze-trente</t>
  </si>
  <si>
    <t>1F95D</t>
  </si>
  <si>
    <t>🥝</t>
  </si>
  <si>
    <t>kiwi</t>
  </si>
  <si>
    <t>26AB</t>
  </si>
  <si>
    <t>⚫</t>
  </si>
  <si>
    <t>cercle noir</t>
  </si>
  <si>
    <t>1F416</t>
  </si>
  <si>
    <t>🐖</t>
  </si>
  <si>
    <t>cochon</t>
  </si>
  <si>
    <t>1F567</t>
  </si>
  <si>
    <t>🕧</t>
  </si>
  <si>
    <t>douze-trente</t>
  </si>
  <si>
    <t>1F95E</t>
  </si>
  <si>
    <t>🥞</t>
  </si>
  <si>
    <t>26B0</t>
  </si>
  <si>
    <t>⚰</t>
  </si>
  <si>
    <t>cercueil</t>
  </si>
  <si>
    <t>1F417</t>
  </si>
  <si>
    <t>🐗</t>
  </si>
  <si>
    <t>verrat</t>
  </si>
  <si>
    <t>1F56F</t>
  </si>
  <si>
    <t>🕯</t>
  </si>
  <si>
    <t>bougie</t>
  </si>
  <si>
    <t>1F95F</t>
  </si>
  <si>
    <t>🥟</t>
  </si>
  <si>
    <t>boulette</t>
  </si>
  <si>
    <t>26B1</t>
  </si>
  <si>
    <t>⚱</t>
  </si>
  <si>
    <t>urne funéraire</t>
  </si>
  <si>
    <t>1F418</t>
  </si>
  <si>
    <t>🐘</t>
  </si>
  <si>
    <t>éléphant</t>
  </si>
  <si>
    <t>1F570</t>
  </si>
  <si>
    <t>🕰</t>
  </si>
  <si>
    <t>horloge de cheminée</t>
  </si>
  <si>
    <t>1F960</t>
  </si>
  <si>
    <t>🥠</t>
  </si>
  <si>
    <t>26C4</t>
  </si>
  <si>
    <t>⛄</t>
  </si>
  <si>
    <t>bonhomme de neige sans neige</t>
  </si>
  <si>
    <t>1F419</t>
  </si>
  <si>
    <t>🐙</t>
  </si>
  <si>
    <t>pieuvre</t>
  </si>
  <si>
    <t>1F573</t>
  </si>
  <si>
    <t>🕳</t>
  </si>
  <si>
    <t>trou</t>
  </si>
  <si>
    <t>1F961</t>
  </si>
  <si>
    <t>🥡</t>
  </si>
  <si>
    <t>boîte à emporter</t>
  </si>
  <si>
    <t>26C5</t>
  </si>
  <si>
    <t>⛅</t>
  </si>
  <si>
    <t>soleil derrière les nuages</t>
  </si>
  <si>
    <t>1F41A</t>
  </si>
  <si>
    <t>🐚</t>
  </si>
  <si>
    <t>coquille en spirale</t>
  </si>
  <si>
    <t>1F574</t>
  </si>
  <si>
    <t>🕴</t>
  </si>
  <si>
    <t>personne en costume en lévitation</t>
  </si>
  <si>
    <t>1F962</t>
  </si>
  <si>
    <t>🥢</t>
  </si>
  <si>
    <t>baguettes</t>
  </si>
  <si>
    <t>26C8</t>
  </si>
  <si>
    <t>⛈</t>
  </si>
  <si>
    <t>nuage avec la foudre et la pluie</t>
  </si>
  <si>
    <t>1F41B</t>
  </si>
  <si>
    <t>🐛</t>
  </si>
  <si>
    <t>punaise</t>
  </si>
  <si>
    <t>1F575</t>
  </si>
  <si>
    <t>🕵</t>
  </si>
  <si>
    <t>détective</t>
  </si>
  <si>
    <t>1F963</t>
  </si>
  <si>
    <t>🥣</t>
  </si>
  <si>
    <t>bol avec cuillère</t>
  </si>
  <si>
    <t>26CE</t>
  </si>
  <si>
    <t>⛎</t>
  </si>
  <si>
    <t>Ophiuchus</t>
  </si>
  <si>
    <t>1F41C</t>
  </si>
  <si>
    <t>🐜</t>
  </si>
  <si>
    <t>sur</t>
  </si>
  <si>
    <t>1F576</t>
  </si>
  <si>
    <t>🕶</t>
  </si>
  <si>
    <t>lunettes de soleil</t>
  </si>
  <si>
    <t>1F964</t>
  </si>
  <si>
    <t>🥤</t>
  </si>
  <si>
    <t>tasse avec paille</t>
  </si>
  <si>
    <t>26CF</t>
  </si>
  <si>
    <t>⛏</t>
  </si>
  <si>
    <t>cueillir</t>
  </si>
  <si>
    <t>1F41D</t>
  </si>
  <si>
    <t>🐝</t>
  </si>
  <si>
    <t>abeille</t>
  </si>
  <si>
    <t>1F577</t>
  </si>
  <si>
    <t>🕷</t>
  </si>
  <si>
    <t>araignée</t>
  </si>
  <si>
    <t>1F965</t>
  </si>
  <si>
    <t>🥥</t>
  </si>
  <si>
    <t>noix de coco</t>
  </si>
  <si>
    <t>26D1</t>
  </si>
  <si>
    <t>⛑</t>
  </si>
  <si>
    <t>casque de secouriste</t>
  </si>
  <si>
    <t>1F41E</t>
  </si>
  <si>
    <t>🐞</t>
  </si>
  <si>
    <t>coccinelle</t>
  </si>
  <si>
    <t>1F578</t>
  </si>
  <si>
    <t>🕸</t>
  </si>
  <si>
    <t>toile d’araignée</t>
  </si>
  <si>
    <t>1F966</t>
  </si>
  <si>
    <t>🥦</t>
  </si>
  <si>
    <t>brocoli</t>
  </si>
  <si>
    <t>26D3</t>
  </si>
  <si>
    <t>⛓</t>
  </si>
  <si>
    <t>enchaîne</t>
  </si>
  <si>
    <t>1F41F</t>
  </si>
  <si>
    <t>🐟</t>
  </si>
  <si>
    <t>poisson</t>
  </si>
  <si>
    <t>1F579</t>
  </si>
  <si>
    <t>🕹</t>
  </si>
  <si>
    <t>joystick</t>
  </si>
  <si>
    <t>1F967</t>
  </si>
  <si>
    <t>🥧</t>
  </si>
  <si>
    <t>26D4</t>
  </si>
  <si>
    <t>⛔</t>
  </si>
  <si>
    <t>entrée interdite</t>
  </si>
  <si>
    <t>1F420</t>
  </si>
  <si>
    <t>🐠</t>
  </si>
  <si>
    <t>poissons tropicaux</t>
  </si>
  <si>
    <t>1F57A</t>
  </si>
  <si>
    <t>🕺</t>
  </si>
  <si>
    <t>homme dansant</t>
  </si>
  <si>
    <t>1F968</t>
  </si>
  <si>
    <t>🥨</t>
  </si>
  <si>
    <t>bretzel</t>
  </si>
  <si>
    <t>26EA</t>
  </si>
  <si>
    <t>⛪</t>
  </si>
  <si>
    <t>église</t>
  </si>
  <si>
    <t>1F421</t>
  </si>
  <si>
    <t>🐡</t>
  </si>
  <si>
    <t>Blowfish</t>
  </si>
  <si>
    <t>1F587</t>
  </si>
  <si>
    <t>🖇</t>
  </si>
  <si>
    <t>trombones liés</t>
  </si>
  <si>
    <t>1F969</t>
  </si>
  <si>
    <t>🥩</t>
  </si>
  <si>
    <t>coupe de viande</t>
  </si>
  <si>
    <t>26F0</t>
  </si>
  <si>
    <t>⛰</t>
  </si>
  <si>
    <t>montagne</t>
  </si>
  <si>
    <t>1F422</t>
  </si>
  <si>
    <t>🐢</t>
  </si>
  <si>
    <t>tortue</t>
  </si>
  <si>
    <t>1F58A</t>
  </si>
  <si>
    <t>🖊</t>
  </si>
  <si>
    <t>stylo</t>
  </si>
  <si>
    <t>1F96A</t>
  </si>
  <si>
    <t>🥪</t>
  </si>
  <si>
    <t>sandwich</t>
  </si>
  <si>
    <t>26F1</t>
  </si>
  <si>
    <t>⛱</t>
  </si>
  <si>
    <t>parapluie au sol</t>
  </si>
  <si>
    <t>1F423</t>
  </si>
  <si>
    <t>🐣</t>
  </si>
  <si>
    <t>poussin à couver</t>
  </si>
  <si>
    <t>1F58B</t>
  </si>
  <si>
    <t>🖋</t>
  </si>
  <si>
    <t>1F96B</t>
  </si>
  <si>
    <t>🥫</t>
  </si>
  <si>
    <t>conserve</t>
  </si>
  <si>
    <t>26F2</t>
  </si>
  <si>
    <t>⛲</t>
  </si>
  <si>
    <t>fontaine</t>
  </si>
  <si>
    <t>1F424</t>
  </si>
  <si>
    <t>🐤</t>
  </si>
  <si>
    <t>bébé poussin</t>
  </si>
  <si>
    <t>1F58C</t>
  </si>
  <si>
    <t>🖌</t>
  </si>
  <si>
    <t>pinceau</t>
  </si>
  <si>
    <t>1F96C</t>
  </si>
  <si>
    <t>🥬</t>
  </si>
  <si>
    <t>vert feuillu</t>
  </si>
  <si>
    <t>26F3</t>
  </si>
  <si>
    <t>⛳</t>
  </si>
  <si>
    <t>drapeau dans le trou</t>
  </si>
  <si>
    <t>1F425</t>
  </si>
  <si>
    <t>🐥</t>
  </si>
  <si>
    <t>poussin face à l’avant</t>
  </si>
  <si>
    <t>1F58D</t>
  </si>
  <si>
    <t>🖍</t>
  </si>
  <si>
    <t>1F96D</t>
  </si>
  <si>
    <t>🥭</t>
  </si>
  <si>
    <t>mangue</t>
  </si>
  <si>
    <t>26F4</t>
  </si>
  <si>
    <t>⛴</t>
  </si>
  <si>
    <t>bac</t>
  </si>
  <si>
    <t>1F426</t>
  </si>
  <si>
    <t>🐦</t>
  </si>
  <si>
    <t>oiseau</t>
  </si>
  <si>
    <t>1F590</t>
  </si>
  <si>
    <t>🖐</t>
  </si>
  <si>
    <t>main avec les doigts écartés</t>
  </si>
  <si>
    <t>1F96E</t>
  </si>
  <si>
    <t>🥮</t>
  </si>
  <si>
    <t>gâteau de lune</t>
  </si>
  <si>
    <t>26F5</t>
  </si>
  <si>
    <t>⛵</t>
  </si>
  <si>
    <t>voilier</t>
  </si>
  <si>
    <t>1F427</t>
  </si>
  <si>
    <t>🐧</t>
  </si>
  <si>
    <t>pingouin</t>
  </si>
  <si>
    <t>1F595</t>
  </si>
  <si>
    <t>🖕</t>
  </si>
  <si>
    <t>majeur</t>
  </si>
  <si>
    <t>1F96F</t>
  </si>
  <si>
    <t>🥯</t>
  </si>
  <si>
    <t>bagel</t>
  </si>
  <si>
    <t>26F7</t>
  </si>
  <si>
    <t>⛷</t>
  </si>
  <si>
    <t>skieur</t>
  </si>
  <si>
    <t>1F428</t>
  </si>
  <si>
    <t>🐨</t>
  </si>
  <si>
    <t>koala</t>
  </si>
  <si>
    <t>1F596</t>
  </si>
  <si>
    <t>🖖</t>
  </si>
  <si>
    <t>santé vulcaine</t>
  </si>
  <si>
    <t>1F970</t>
  </si>
  <si>
    <t>🥰</t>
  </si>
  <si>
    <t>visage souriant avec des cœurs</t>
  </si>
  <si>
    <t>26F8</t>
  </si>
  <si>
    <t>⛸</t>
  </si>
  <si>
    <t>patin à glace</t>
  </si>
  <si>
    <t>1F429</t>
  </si>
  <si>
    <t>🐩</t>
  </si>
  <si>
    <t>caniche</t>
  </si>
  <si>
    <t>1F5A4</t>
  </si>
  <si>
    <t>🖤</t>
  </si>
  <si>
    <t>cœur noir</t>
  </si>
  <si>
    <t>1F971</t>
  </si>
  <si>
    <t>visage bâillant</t>
  </si>
  <si>
    <t>26F9</t>
  </si>
  <si>
    <t>⛹</t>
  </si>
  <si>
    <t xml:space="preserve"> rebondissant balle</t>
  </si>
  <si>
    <t>1F42A</t>
  </si>
  <si>
    <t>🐪</t>
  </si>
  <si>
    <t>chameau</t>
  </si>
  <si>
    <t>1F5A5</t>
  </si>
  <si>
    <t>🖥</t>
  </si>
  <si>
    <t>ordinateur de bureau</t>
  </si>
  <si>
    <t>1F972</t>
  </si>
  <si>
    <t>🥲</t>
  </si>
  <si>
    <t>visage souriant avec des larmes</t>
  </si>
  <si>
    <t>26FA</t>
  </si>
  <si>
    <t>⛺</t>
  </si>
  <si>
    <t>tente</t>
  </si>
  <si>
    <t>1F42B</t>
  </si>
  <si>
    <t>🐫</t>
  </si>
  <si>
    <t>chameau à deux bosses</t>
  </si>
  <si>
    <t>1F5A8</t>
  </si>
  <si>
    <t>🖨</t>
  </si>
  <si>
    <t>imprimante</t>
  </si>
  <si>
    <t>1F973</t>
  </si>
  <si>
    <t>🥳</t>
  </si>
  <si>
    <t>visage de fête</t>
  </si>
  <si>
    <t>26FD</t>
  </si>
  <si>
    <t>⛽</t>
  </si>
  <si>
    <t>pompe à carburant</t>
  </si>
  <si>
    <t>1F42C</t>
  </si>
  <si>
    <t>🐬</t>
  </si>
  <si>
    <t>dauphin</t>
  </si>
  <si>
    <t>1F5B1</t>
  </si>
  <si>
    <t>🖱</t>
  </si>
  <si>
    <t>1F974</t>
  </si>
  <si>
    <t>visage woozy</t>
  </si>
  <si>
    <t>2B50</t>
  </si>
  <si>
    <t>⭐</t>
  </si>
  <si>
    <t>étoile</t>
  </si>
  <si>
    <t>1F42D</t>
  </si>
  <si>
    <t>🐭</t>
  </si>
  <si>
    <t>visage de la souris</t>
  </si>
  <si>
    <t>1F5B2</t>
  </si>
  <si>
    <t>🖲</t>
  </si>
  <si>
    <t>trackball</t>
  </si>
  <si>
    <t>1F975</t>
  </si>
  <si>
    <t>🥵</t>
  </si>
  <si>
    <t>visage chaud</t>
  </si>
  <si>
    <t>2B55</t>
  </si>
  <si>
    <t>⭕</t>
  </si>
  <si>
    <t>cercle rouge creux</t>
  </si>
  <si>
    <t>1F42E</t>
  </si>
  <si>
    <t>🐮</t>
  </si>
  <si>
    <t>visage de vache</t>
  </si>
  <si>
    <t>1F5BC</t>
  </si>
  <si>
    <t>🖼</t>
  </si>
  <si>
    <t>image encadrée</t>
  </si>
  <si>
    <t>1F976</t>
  </si>
  <si>
    <t>🥶</t>
  </si>
  <si>
    <t>visage froid</t>
  </si>
  <si>
    <t>keycap: 0</t>
  </si>
  <si>
    <t>1F42F</t>
  </si>
  <si>
    <t>🐯</t>
  </si>
  <si>
    <t>visage de tigre</t>
  </si>
  <si>
    <t>1F5C2</t>
  </si>
  <si>
    <t>🗂</t>
  </si>
  <si>
    <t>diviseurs d’index de carte</t>
  </si>
  <si>
    <t>1F977</t>
  </si>
  <si>
    <t>🥷</t>
  </si>
  <si>
    <t>Ninja</t>
  </si>
  <si>
    <t>ℹ</t>
  </si>
  <si>
    <t>information</t>
  </si>
  <si>
    <t>1F430</t>
  </si>
  <si>
    <t>🐰</t>
  </si>
  <si>
    <t>visage de lapin</t>
  </si>
  <si>
    <t>1F5C3</t>
  </si>
  <si>
    <t>🗃</t>
  </si>
  <si>
    <t>boîte de fichier de carte</t>
  </si>
  <si>
    <t>1F978</t>
  </si>
  <si>
    <t>🥸</t>
  </si>
  <si>
    <t>visage déguisé</t>
  </si>
  <si>
    <t>24C2</t>
  </si>
  <si>
    <t>Ⓜ</t>
  </si>
  <si>
    <t>encerclé M</t>
  </si>
  <si>
    <t>1F431</t>
  </si>
  <si>
    <t>🐱</t>
  </si>
  <si>
    <t>cat faire</t>
  </si>
  <si>
    <t>1F5C4</t>
  </si>
  <si>
    <t>🗄</t>
  </si>
  <si>
    <t>classeur</t>
  </si>
  <si>
    <t>1F979</t>
  </si>
  <si>
    <t>🥹</t>
  </si>
  <si>
    <t>™</t>
  </si>
  <si>
    <t>marque</t>
  </si>
  <si>
    <t>1F432</t>
  </si>
  <si>
    <t>🐲</t>
  </si>
  <si>
    <t>visage de dragon</t>
  </si>
  <si>
    <t>1F5D1</t>
  </si>
  <si>
    <t>🗑</t>
  </si>
  <si>
    <t>Corbeille</t>
  </si>
  <si>
    <t>1F97A</t>
  </si>
  <si>
    <t>🥺</t>
  </si>
  <si>
    <t>plaider la face</t>
  </si>
  <si>
    <t>1F004</t>
  </si>
  <si>
    <t>🀄</t>
  </si>
  <si>
    <t>mahjong dragon rouge</t>
  </si>
  <si>
    <t>1F433</t>
  </si>
  <si>
    <t>🐳</t>
  </si>
  <si>
    <t>baleine jaillissante</t>
  </si>
  <si>
    <t>1F5D2</t>
  </si>
  <si>
    <t>🗒</t>
  </si>
  <si>
    <t>bloc-notes en spirale</t>
  </si>
  <si>
    <t>1F97B</t>
  </si>
  <si>
    <t>🥻</t>
  </si>
  <si>
    <t>sari</t>
  </si>
  <si>
    <t>1F0CF</t>
  </si>
  <si>
    <t>🃏</t>
  </si>
  <si>
    <t>joker</t>
  </si>
  <si>
    <t>1F434</t>
  </si>
  <si>
    <t>🐴</t>
  </si>
  <si>
    <t>visage de cheval</t>
  </si>
  <si>
    <t>1F5D3</t>
  </si>
  <si>
    <t>🗓</t>
  </si>
  <si>
    <t>calendrier en spirale</t>
  </si>
  <si>
    <t>1F97C</t>
  </si>
  <si>
    <t>🥼</t>
  </si>
  <si>
    <t>Blouse</t>
  </si>
  <si>
    <t>1F170</t>
  </si>
  <si>
    <t>🅰</t>
  </si>
  <si>
    <t>Un bouton (groupe sanguin)</t>
  </si>
  <si>
    <t>1F435</t>
  </si>
  <si>
    <t>🐵</t>
  </si>
  <si>
    <t>visage de singe</t>
  </si>
  <si>
    <t>1F5DC</t>
  </si>
  <si>
    <t>🗜</t>
  </si>
  <si>
    <t>attache</t>
  </si>
  <si>
    <t>1F97D</t>
  </si>
  <si>
    <t>🥽</t>
  </si>
  <si>
    <t>lunettes de protection</t>
  </si>
  <si>
    <t>1F171</t>
  </si>
  <si>
    <t>🅱</t>
  </si>
  <si>
    <t>Bouton B (groupe sanguin)</t>
  </si>
  <si>
    <t>1F436</t>
  </si>
  <si>
    <t>🐶</t>
  </si>
  <si>
    <t>visage de chien</t>
  </si>
  <si>
    <t>1F5DD</t>
  </si>
  <si>
    <t>🗝</t>
  </si>
  <si>
    <t>ancienne clé</t>
  </si>
  <si>
    <t>1F97E</t>
  </si>
  <si>
    <t>🥾</t>
  </si>
  <si>
    <t>chaussure de randonnée</t>
  </si>
  <si>
    <t>1F17E</t>
  </si>
  <si>
    <t>🅾</t>
  </si>
  <si>
    <t>Bouton O (groupe sanguin)</t>
  </si>
  <si>
    <t>1F437</t>
  </si>
  <si>
    <t>🐷</t>
  </si>
  <si>
    <t>visage de porc</t>
  </si>
  <si>
    <t>1F5DE</t>
  </si>
  <si>
    <t>🗞</t>
  </si>
  <si>
    <t>journal enroulé</t>
  </si>
  <si>
    <t>1F97F</t>
  </si>
  <si>
    <t>🥿</t>
  </si>
  <si>
    <t>chaussure plate</t>
  </si>
  <si>
    <t>1F17F</t>
  </si>
  <si>
    <t>🅿</t>
  </si>
  <si>
    <t>Bouton P</t>
  </si>
  <si>
    <t>1F438</t>
  </si>
  <si>
    <t>🐸</t>
  </si>
  <si>
    <t>grenouille</t>
  </si>
  <si>
    <t>1F5E1</t>
  </si>
  <si>
    <t>🗡</t>
  </si>
  <si>
    <t>dague</t>
  </si>
  <si>
    <t>1F980</t>
  </si>
  <si>
    <t>🦀</t>
  </si>
  <si>
    <t>crabe</t>
  </si>
  <si>
    <t>1F18E</t>
  </si>
  <si>
    <t>🆎</t>
  </si>
  <si>
    <t>Bouton AB (groupe sanguin)</t>
  </si>
  <si>
    <t>1F439</t>
  </si>
  <si>
    <t>🐹</t>
  </si>
  <si>
    <t>hamster</t>
  </si>
  <si>
    <t>1F5E3</t>
  </si>
  <si>
    <t>🗣</t>
  </si>
  <si>
    <t>tête parlante</t>
  </si>
  <si>
    <t>1F981</t>
  </si>
  <si>
    <t>🦁</t>
  </si>
  <si>
    <t>lion</t>
  </si>
  <si>
    <t>1F191</t>
  </si>
  <si>
    <t>🆑</t>
  </si>
  <si>
    <t>Bouton CL</t>
  </si>
  <si>
    <t>1F43A</t>
  </si>
  <si>
    <t>🐺</t>
  </si>
  <si>
    <t>loup</t>
  </si>
  <si>
    <t>1F5E8</t>
  </si>
  <si>
    <t>🗨</t>
  </si>
  <si>
    <t>bulle de parole gauche</t>
  </si>
  <si>
    <t>1F982</t>
  </si>
  <si>
    <t>🦂</t>
  </si>
  <si>
    <t>scorpion</t>
  </si>
  <si>
    <t>1F192</t>
  </si>
  <si>
    <t>🆒</t>
  </si>
  <si>
    <t>Bouton COOL</t>
  </si>
  <si>
    <t>1F43B</t>
  </si>
  <si>
    <t>🐻</t>
  </si>
  <si>
    <t>ours</t>
  </si>
  <si>
    <t>1F5EF</t>
  </si>
  <si>
    <t>🗯</t>
  </si>
  <si>
    <t>bulle de colère droite</t>
  </si>
  <si>
    <t>1F983</t>
  </si>
  <si>
    <t>🦃</t>
  </si>
  <si>
    <t>Turquie</t>
  </si>
  <si>
    <t>1F193</t>
  </si>
  <si>
    <t>🆓</t>
  </si>
  <si>
    <t>Bouton GRATUIT</t>
  </si>
  <si>
    <t>1F43C</t>
  </si>
  <si>
    <t>🐼</t>
  </si>
  <si>
    <t>panda</t>
  </si>
  <si>
    <t>1F5F3</t>
  </si>
  <si>
    <t>🗳</t>
  </si>
  <si>
    <t>urne avec bulletin de vote</t>
  </si>
  <si>
    <t>1F984</t>
  </si>
  <si>
    <t>🦄</t>
  </si>
  <si>
    <t>licorne</t>
  </si>
  <si>
    <t>1F194</t>
  </si>
  <si>
    <t>🆔</t>
  </si>
  <si>
    <t>Bouton ID</t>
  </si>
  <si>
    <t>1F43D</t>
  </si>
  <si>
    <t>🐽</t>
  </si>
  <si>
    <t>nez de porc</t>
  </si>
  <si>
    <t>1F5FA</t>
  </si>
  <si>
    <t>🗺</t>
  </si>
  <si>
    <t>carte du monde</t>
  </si>
  <si>
    <t>1F985</t>
  </si>
  <si>
    <t>🦅</t>
  </si>
  <si>
    <t>aigle</t>
  </si>
  <si>
    <t>1F195</t>
  </si>
  <si>
    <t>🆕</t>
  </si>
  <si>
    <t>Bouton NOUVEAU</t>
  </si>
  <si>
    <t>1F43E</t>
  </si>
  <si>
    <t>🐾</t>
  </si>
  <si>
    <t>empreintes de pattes</t>
  </si>
  <si>
    <t>1F5FB</t>
  </si>
  <si>
    <t>🗻</t>
  </si>
  <si>
    <t>Mont Fuji</t>
  </si>
  <si>
    <t>1F986</t>
  </si>
  <si>
    <t>🦆</t>
  </si>
  <si>
    <t>canard</t>
  </si>
  <si>
    <t>1F196</t>
  </si>
  <si>
    <t>🆖</t>
  </si>
  <si>
    <t>Bouton NG</t>
  </si>
  <si>
    <t>1F43F</t>
  </si>
  <si>
    <t>🐿</t>
  </si>
  <si>
    <t>tamia</t>
  </si>
  <si>
    <t>1F5FC</t>
  </si>
  <si>
    <t>🗼</t>
  </si>
  <si>
    <t>Tour de Tokyo</t>
  </si>
  <si>
    <t>1F987</t>
  </si>
  <si>
    <t>🦇</t>
  </si>
  <si>
    <t>bat</t>
  </si>
  <si>
    <t>1F197</t>
  </si>
  <si>
    <t>🆗</t>
  </si>
  <si>
    <t>Bouton OK</t>
  </si>
  <si>
    <t>1F440</t>
  </si>
  <si>
    <t>👀</t>
  </si>
  <si>
    <t>yeux</t>
  </si>
  <si>
    <t>1F5FD</t>
  </si>
  <si>
    <t>🗽</t>
  </si>
  <si>
    <t>Statue de la Liberté</t>
  </si>
  <si>
    <t>1F988</t>
  </si>
  <si>
    <t>🦈</t>
  </si>
  <si>
    <t>requin</t>
  </si>
  <si>
    <t>1F198</t>
  </si>
  <si>
    <t>🆘</t>
  </si>
  <si>
    <t>Bouton SOS</t>
  </si>
  <si>
    <t>1F441</t>
  </si>
  <si>
    <t>👁</t>
  </si>
  <si>
    <t>oeil</t>
  </si>
  <si>
    <t>1F5FE</t>
  </si>
  <si>
    <t>🗾</t>
  </si>
  <si>
    <t>carte du Japon</t>
  </si>
  <si>
    <t>1F989</t>
  </si>
  <si>
    <t>🦉</t>
  </si>
  <si>
    <t>hibou</t>
  </si>
  <si>
    <t>1F199</t>
  </si>
  <si>
    <t>🆙</t>
  </si>
  <si>
    <t>EN HAUT! bouton</t>
  </si>
  <si>
    <t>1F442</t>
  </si>
  <si>
    <t>👂</t>
  </si>
  <si>
    <t>oreille</t>
  </si>
  <si>
    <t>1F5FF</t>
  </si>
  <si>
    <t>🗿</t>
  </si>
  <si>
    <t>moai</t>
  </si>
  <si>
    <t>1F98A</t>
  </si>
  <si>
    <t>🦊</t>
  </si>
  <si>
    <t>Renard</t>
  </si>
  <si>
    <t>1F19A</t>
  </si>
  <si>
    <t>🆚</t>
  </si>
  <si>
    <t>Bouton VS</t>
  </si>
  <si>
    <t>1F443</t>
  </si>
  <si>
    <t>👃</t>
  </si>
  <si>
    <t>nez</t>
  </si>
  <si>
    <t>1F600</t>
  </si>
  <si>
    <t>😀</t>
  </si>
  <si>
    <t>??</t>
  </si>
  <si>
    <t>1F98B</t>
  </si>
  <si>
    <t>🦋</t>
  </si>
  <si>
    <t>papillon</t>
  </si>
  <si>
    <t>1F201</t>
  </si>
  <si>
    <t>🈁</t>
  </si>
  <si>
    <t>Bouton japonais « ici »</t>
  </si>
  <si>
    <t>1F444</t>
  </si>
  <si>
    <t>👄</t>
  </si>
  <si>
    <t>bouche</t>
  </si>
  <si>
    <t>Visage souriant</t>
  </si>
  <si>
    <t>1F98C</t>
  </si>
  <si>
    <t>🦌</t>
  </si>
  <si>
    <t>cerf</t>
  </si>
  <si>
    <t>1F202</t>
  </si>
  <si>
    <t>🈂</t>
  </si>
  <si>
    <t>Bouton japonais « frais de service »</t>
  </si>
  <si>
    <t>1F445</t>
  </si>
  <si>
    <t>👅</t>
  </si>
  <si>
    <t>langue</t>
  </si>
  <si>
    <t>1F601</t>
  </si>
  <si>
    <t>visage rayonnant avec des yeux souriants</t>
  </si>
  <si>
    <t>1F98D</t>
  </si>
  <si>
    <t>🦍</t>
  </si>
  <si>
    <t>gorille</t>
  </si>
  <si>
    <t>1F21A</t>
  </si>
  <si>
    <t>🈚</t>
  </si>
  <si>
    <t>Bouton japonais « gratuit »</t>
  </si>
  <si>
    <t>1F446</t>
  </si>
  <si>
    <t>👆</t>
  </si>
  <si>
    <t>index de revers pointant vers le haut</t>
  </si>
  <si>
    <t>1F602</t>
  </si>
  <si>
    <t>visage avec des larmes de joie</t>
  </si>
  <si>
    <t>1F98E</t>
  </si>
  <si>
    <t>🦎</t>
  </si>
  <si>
    <t>lézard</t>
  </si>
  <si>
    <t>1F22F</t>
  </si>
  <si>
    <t>🈯</t>
  </si>
  <si>
    <t>Bouton japonais « réservé »</t>
  </si>
  <si>
    <t>1F447</t>
  </si>
  <si>
    <t>👇</t>
  </si>
  <si>
    <t>index de revers pointant vers le bas</t>
  </si>
  <si>
    <t>1F603</t>
  </si>
  <si>
    <t>1F98F</t>
  </si>
  <si>
    <t>🦏</t>
  </si>
  <si>
    <t>rhinocéros</t>
  </si>
  <si>
    <t>1F232</t>
  </si>
  <si>
    <t>🈲</t>
  </si>
  <si>
    <t>Bouton japonais « interdit »</t>
  </si>
  <si>
    <t>1F448</t>
  </si>
  <si>
    <t>👈</t>
  </si>
  <si>
    <t>index de revers pointant vers la gauche</t>
  </si>
  <si>
    <t>Visage souriant avec de grands yeux</t>
  </si>
  <si>
    <t>1F990</t>
  </si>
  <si>
    <t>🦐</t>
  </si>
  <si>
    <t>crevette</t>
  </si>
  <si>
    <t>1F233</t>
  </si>
  <si>
    <t>🈳</t>
  </si>
  <si>
    <t>Bouton japonais « vacance »</t>
  </si>
  <si>
    <t>1F449</t>
  </si>
  <si>
    <t>👉</t>
  </si>
  <si>
    <t>index de revers pointant vers la droite</t>
  </si>
  <si>
    <t>1F604</t>
  </si>
  <si>
    <t>😄</t>
  </si>
  <si>
    <t>Visage souriant avec des yeux souriants</t>
  </si>
  <si>
    <t>1F991</t>
  </si>
  <si>
    <t>🦑</t>
  </si>
  <si>
    <t>calmar</t>
  </si>
  <si>
    <t>1F234</t>
  </si>
  <si>
    <t>🈴</t>
  </si>
  <si>
    <t>Bouton japonais « passing grade »</t>
  </si>
  <si>
    <t>1F44A</t>
  </si>
  <si>
    <t>👊</t>
  </si>
  <si>
    <t>poing venant en avant</t>
  </si>
  <si>
    <t>1F605</t>
  </si>
  <si>
    <t>😅</t>
  </si>
  <si>
    <t>Visage souriant avec de la sueur</t>
  </si>
  <si>
    <t>1F992</t>
  </si>
  <si>
    <t>🦒</t>
  </si>
  <si>
    <t>girafe</t>
  </si>
  <si>
    <t>1F235</t>
  </si>
  <si>
    <t>🈵</t>
  </si>
  <si>
    <t>Bouton japonais « no vacancy »</t>
  </si>
  <si>
    <t>1F44B</t>
  </si>
  <si>
    <t>👋</t>
  </si>
  <si>
    <t>agitant la main</t>
  </si>
  <si>
    <t>1F606</t>
  </si>
  <si>
    <t>😆</t>
  </si>
  <si>
    <t>Sourire en plissant les ébissements</t>
  </si>
  <si>
    <t>1F993</t>
  </si>
  <si>
    <t>🦓</t>
  </si>
  <si>
    <t>zèbre</t>
  </si>
  <si>
    <t>1F236</t>
  </si>
  <si>
    <t>🈶</t>
  </si>
  <si>
    <t>Bouton japonais « non gratuit »</t>
  </si>
  <si>
    <t>1F44C</t>
  </si>
  <si>
    <t>👌</t>
  </si>
  <si>
    <t>OK main</t>
  </si>
  <si>
    <t>1F607</t>
  </si>
  <si>
    <t>😇</t>
  </si>
  <si>
    <t>visage souriant avec halo</t>
  </si>
  <si>
    <t>1F994</t>
  </si>
  <si>
    <t>🦔</t>
  </si>
  <si>
    <t>hérisson</t>
  </si>
  <si>
    <t>1F237</t>
  </si>
  <si>
    <t>🈷</t>
  </si>
  <si>
    <t>Bouton japonais « montant mensuel »</t>
  </si>
  <si>
    <t>1F44D</t>
  </si>
  <si>
    <t>👍</t>
  </si>
  <si>
    <t>Feu vert</t>
  </si>
  <si>
    <t>1F608</t>
  </si>
  <si>
    <t>😈</t>
  </si>
  <si>
    <t>visage souriant avec des cornes</t>
  </si>
  <si>
    <t>1F995</t>
  </si>
  <si>
    <t>🦕</t>
  </si>
  <si>
    <t>sauropode</t>
  </si>
  <si>
    <t>1F238</t>
  </si>
  <si>
    <t>🈸</t>
  </si>
  <si>
    <t>Bouton « application » japonais</t>
  </si>
  <si>
    <t>1F44E</t>
  </si>
  <si>
    <t>👎</t>
  </si>
  <si>
    <t>pouce vers le bas</t>
  </si>
  <si>
    <t>1F609</t>
  </si>
  <si>
    <t>😉</t>
  </si>
  <si>
    <t>clin d’œil au visage</t>
  </si>
  <si>
    <t>1F996</t>
  </si>
  <si>
    <t>🦖</t>
  </si>
  <si>
    <t>T-Rex</t>
  </si>
  <si>
    <t>1F239</t>
  </si>
  <si>
    <t>🈹</t>
  </si>
  <si>
    <t>Bouton japonais « discount »</t>
  </si>
  <si>
    <t>1F44F</t>
  </si>
  <si>
    <t>👏</t>
  </si>
  <si>
    <t>tapant des mains</t>
  </si>
  <si>
    <t>1F60A</t>
  </si>
  <si>
    <t>😊</t>
  </si>
  <si>
    <t>visage souriant avec des yeux souriants</t>
  </si>
  <si>
    <t>1F997</t>
  </si>
  <si>
    <t>🦗</t>
  </si>
  <si>
    <t>grillon</t>
  </si>
  <si>
    <t>1F23A</t>
  </si>
  <si>
    <t>🈺</t>
  </si>
  <si>
    <t>Bouton japonais « open for business »</t>
  </si>
  <si>
    <t>1F450</t>
  </si>
  <si>
    <t>👐</t>
  </si>
  <si>
    <t>ouvrir les mains</t>
  </si>
  <si>
    <t>1F60B</t>
  </si>
  <si>
    <t>😋</t>
  </si>
  <si>
    <t>visage savourant de la nourriture</t>
  </si>
  <si>
    <t>1F998</t>
  </si>
  <si>
    <t>🦘</t>
  </si>
  <si>
    <t>kangourou</t>
  </si>
  <si>
    <t>1F250</t>
  </si>
  <si>
    <t>🉐</t>
  </si>
  <si>
    <t>Bouton japonais « bargain »</t>
  </si>
  <si>
    <t>1F451</t>
  </si>
  <si>
    <t>👑</t>
  </si>
  <si>
    <t>couronne</t>
  </si>
  <si>
    <t>1F60C</t>
  </si>
  <si>
    <t>😌</t>
  </si>
  <si>
    <t>visage soulagé</t>
  </si>
  <si>
    <t>1F999</t>
  </si>
  <si>
    <t>🦙</t>
  </si>
  <si>
    <t>flamme</t>
  </si>
  <si>
    <t>1F251</t>
  </si>
  <si>
    <t>🉑</t>
  </si>
  <si>
    <t>Bouton japonais « acceptable »</t>
  </si>
  <si>
    <t>1F452</t>
  </si>
  <si>
    <t>👒</t>
  </si>
  <si>
    <t>chapeau de femme</t>
  </si>
  <si>
    <t>1F60D</t>
  </si>
  <si>
    <t>😍</t>
  </si>
  <si>
    <t>visage souriant avec des yeux de cœur</t>
  </si>
  <si>
    <t>1F99A</t>
  </si>
  <si>
    <t>🦚</t>
  </si>
  <si>
    <t>paon</t>
  </si>
  <si>
    <t>1F300</t>
  </si>
  <si>
    <t>🌀</t>
  </si>
  <si>
    <t>cyclone</t>
  </si>
  <si>
    <t>1F453</t>
  </si>
  <si>
    <t>👓</t>
  </si>
  <si>
    <t>lunettes</t>
  </si>
  <si>
    <t>1F60E</t>
  </si>
  <si>
    <t>😎</t>
  </si>
  <si>
    <t>visage souriant avec des lunettes de soleil</t>
  </si>
  <si>
    <t>1F99B</t>
  </si>
  <si>
    <t>🦛</t>
  </si>
  <si>
    <t>hippopotame</t>
  </si>
  <si>
    <t>1F301</t>
  </si>
  <si>
    <t>🌁</t>
  </si>
  <si>
    <t>brumeux</t>
  </si>
  <si>
    <t>1F454</t>
  </si>
  <si>
    <t>👔</t>
  </si>
  <si>
    <t>cravate</t>
  </si>
  <si>
    <t>1F60F</t>
  </si>
  <si>
    <t>😏</t>
  </si>
  <si>
    <t>1F99C</t>
  </si>
  <si>
    <t>🦜</t>
  </si>
  <si>
    <t>perroquet</t>
  </si>
  <si>
    <t>1F302</t>
  </si>
  <si>
    <t>🌂</t>
  </si>
  <si>
    <t>parapluie fermé</t>
  </si>
  <si>
    <t>1F455</t>
  </si>
  <si>
    <t>👕</t>
  </si>
  <si>
    <t>t-shirt</t>
  </si>
  <si>
    <t>1F610</t>
  </si>
  <si>
    <t>😐</t>
  </si>
  <si>
    <t>visage neutre</t>
  </si>
  <si>
    <t>1F99D</t>
  </si>
  <si>
    <t>🦝</t>
  </si>
  <si>
    <t>raton laveur</t>
  </si>
  <si>
    <t>1F303</t>
  </si>
  <si>
    <t>🌃</t>
  </si>
  <si>
    <t>nuit avec des étoiles</t>
  </si>
  <si>
    <t>1F456</t>
  </si>
  <si>
    <t>👖</t>
  </si>
  <si>
    <t>jeans</t>
  </si>
  <si>
    <t>1F611</t>
  </si>
  <si>
    <t>😑</t>
  </si>
  <si>
    <t>visage sans expression</t>
  </si>
  <si>
    <t>1F99E</t>
  </si>
  <si>
    <t>🦞</t>
  </si>
  <si>
    <t>homard</t>
  </si>
  <si>
    <t>1F304</t>
  </si>
  <si>
    <t>🌄</t>
  </si>
  <si>
    <t>lever de soleil sur les montagnes</t>
  </si>
  <si>
    <t>1F457</t>
  </si>
  <si>
    <t>👗</t>
  </si>
  <si>
    <t>robe</t>
  </si>
  <si>
    <t>1F612</t>
  </si>
  <si>
    <t>😒</t>
  </si>
  <si>
    <t>visage non amusé</t>
  </si>
  <si>
    <t>1F99F</t>
  </si>
  <si>
    <t>🦟</t>
  </si>
  <si>
    <t>moustique</t>
  </si>
  <si>
    <t>1F305</t>
  </si>
  <si>
    <t>🌅</t>
  </si>
  <si>
    <t>lever du soleil</t>
  </si>
  <si>
    <t>1F458</t>
  </si>
  <si>
    <t>👘</t>
  </si>
  <si>
    <t>kimono</t>
  </si>
  <si>
    <t>1F613</t>
  </si>
  <si>
    <t>😓</t>
  </si>
  <si>
    <t>visage abattu avec de la sueur</t>
  </si>
  <si>
    <t>1F9A0</t>
  </si>
  <si>
    <t>🦠</t>
  </si>
  <si>
    <t>microbe</t>
  </si>
  <si>
    <t>1F306</t>
  </si>
  <si>
    <t>🌆</t>
  </si>
  <si>
    <t>paysage urbain au crépuscule</t>
  </si>
  <si>
    <t>1F459</t>
  </si>
  <si>
    <t>👙</t>
  </si>
  <si>
    <t>bikini</t>
  </si>
  <si>
    <t>1F614</t>
  </si>
  <si>
    <t>😔</t>
  </si>
  <si>
    <t>visage pensif</t>
  </si>
  <si>
    <t>1F9A1</t>
  </si>
  <si>
    <t>🦡</t>
  </si>
  <si>
    <t>blaireau</t>
  </si>
  <si>
    <t>1F307</t>
  </si>
  <si>
    <t>🌇</t>
  </si>
  <si>
    <t>coucher de soleil</t>
  </si>
  <si>
    <t>1F45A</t>
  </si>
  <si>
    <t>👚</t>
  </si>
  <si>
    <t>vêtements de femme</t>
  </si>
  <si>
    <t>1F615</t>
  </si>
  <si>
    <t>😕</t>
  </si>
  <si>
    <t>visage confus</t>
  </si>
  <si>
    <t>1F9A2</t>
  </si>
  <si>
    <t>🦢</t>
  </si>
  <si>
    <t>cygne</t>
  </si>
  <si>
    <t>1F308</t>
  </si>
  <si>
    <t>🌈</t>
  </si>
  <si>
    <t>arc-en-ciel</t>
  </si>
  <si>
    <t>1F45B</t>
  </si>
  <si>
    <t>👛</t>
  </si>
  <si>
    <t>porte-monnaie</t>
  </si>
  <si>
    <t>1F616</t>
  </si>
  <si>
    <t>😖</t>
  </si>
  <si>
    <t>1F9A3</t>
  </si>
  <si>
    <t>🦣</t>
  </si>
  <si>
    <t>mammouth</t>
  </si>
  <si>
    <t>1F309</t>
  </si>
  <si>
    <t>🌉</t>
  </si>
  <si>
    <t>pont la nuit</t>
  </si>
  <si>
    <t>1F45C</t>
  </si>
  <si>
    <t>👜</t>
  </si>
  <si>
    <t>sac à main</t>
  </si>
  <si>
    <t>1F617</t>
  </si>
  <si>
    <t>😗</t>
  </si>
  <si>
    <t>embrasser le visage</t>
  </si>
  <si>
    <t>1F9A4</t>
  </si>
  <si>
    <t>🦤</t>
  </si>
  <si>
    <t>dodo</t>
  </si>
  <si>
    <t>1F30A</t>
  </si>
  <si>
    <t>🌊</t>
  </si>
  <si>
    <t>vague d’eau</t>
  </si>
  <si>
    <t>1F45D</t>
  </si>
  <si>
    <t>👝</t>
  </si>
  <si>
    <t>sac d’embrayage</t>
  </si>
  <si>
    <t>1F618</t>
  </si>
  <si>
    <t>😘</t>
  </si>
  <si>
    <t>visage soufflant un baiser</t>
  </si>
  <si>
    <t>1F9A5</t>
  </si>
  <si>
    <t>🦥</t>
  </si>
  <si>
    <t>paresse</t>
  </si>
  <si>
    <t>1F30B</t>
  </si>
  <si>
    <t>🌋</t>
  </si>
  <si>
    <t>volcan</t>
  </si>
  <si>
    <t>1F45E</t>
  </si>
  <si>
    <t>👞</t>
  </si>
  <si>
    <t>chaussure d’homme</t>
  </si>
  <si>
    <t>1F619</t>
  </si>
  <si>
    <t>😙</t>
  </si>
  <si>
    <t>embrasser le visage avec des yeux souriants</t>
  </si>
  <si>
    <t>1F9A6</t>
  </si>
  <si>
    <t>🦦</t>
  </si>
  <si>
    <t>loutre</t>
  </si>
  <si>
    <t>1F30C</t>
  </si>
  <si>
    <t>🌌</t>
  </si>
  <si>
    <t>Voie Lactée</t>
  </si>
  <si>
    <t>1F45F</t>
  </si>
  <si>
    <t>👟</t>
  </si>
  <si>
    <t>chaussure de course</t>
  </si>
  <si>
    <t>1F61A</t>
  </si>
  <si>
    <t>😚</t>
  </si>
  <si>
    <t>embrasser le visage les yeux fermés</t>
  </si>
  <si>
    <t>1F9A7</t>
  </si>
  <si>
    <t>🦧</t>
  </si>
  <si>
    <t>orang-outan</t>
  </si>
  <si>
    <t>1F30D</t>
  </si>
  <si>
    <t>🌍</t>
  </si>
  <si>
    <t>globe montrant l’Europe-Afrique</t>
  </si>
  <si>
    <t>1F460</t>
  </si>
  <si>
    <t>👠</t>
  </si>
  <si>
    <t>chaussure à talons hauts</t>
  </si>
  <si>
    <t>1F61B</t>
  </si>
  <si>
    <t>😛</t>
  </si>
  <si>
    <t>visage avec langue</t>
  </si>
  <si>
    <t>1F9A8</t>
  </si>
  <si>
    <t>🦨</t>
  </si>
  <si>
    <t>mouffette</t>
  </si>
  <si>
    <t>1F30E</t>
  </si>
  <si>
    <t>🌎</t>
  </si>
  <si>
    <t>globe montrant les Amériques</t>
  </si>
  <si>
    <t>1F461</t>
  </si>
  <si>
    <t>👡</t>
  </si>
  <si>
    <t>sandale femme</t>
  </si>
  <si>
    <t>1F61C</t>
  </si>
  <si>
    <t>😜</t>
  </si>
  <si>
    <t>clin d’œil au visage avec la langue</t>
  </si>
  <si>
    <t>1F9A9</t>
  </si>
  <si>
    <t>🦩</t>
  </si>
  <si>
    <t>Flamant</t>
  </si>
  <si>
    <t>1F30F</t>
  </si>
  <si>
    <t>🌏</t>
  </si>
  <si>
    <t>globe montrant l’Asie-Australie</t>
  </si>
  <si>
    <t>1F462</t>
  </si>
  <si>
    <t>👢</t>
  </si>
  <si>
    <t>botte de femme</t>
  </si>
  <si>
    <t>1F61D</t>
  </si>
  <si>
    <t>😝</t>
  </si>
  <si>
    <t>plisser les quins avec la langue</t>
  </si>
  <si>
    <t>1F9AA</t>
  </si>
  <si>
    <t>🦪</t>
  </si>
  <si>
    <t>huître</t>
  </si>
  <si>
    <t>1F310</t>
  </si>
  <si>
    <t>🌐</t>
  </si>
  <si>
    <t>globe avec méridiens</t>
  </si>
  <si>
    <t>1F463</t>
  </si>
  <si>
    <t>👣</t>
  </si>
  <si>
    <t>Empreintes</t>
  </si>
  <si>
    <t>1F61E</t>
  </si>
  <si>
    <t>😞</t>
  </si>
  <si>
    <t>visage déçu</t>
  </si>
  <si>
    <t>1F9AB</t>
  </si>
  <si>
    <t>🦫</t>
  </si>
  <si>
    <t>castor</t>
  </si>
  <si>
    <t>1F311</t>
  </si>
  <si>
    <t>🌑</t>
  </si>
  <si>
    <t>nouvelle lune</t>
  </si>
  <si>
    <t>1F464</t>
  </si>
  <si>
    <t>👤</t>
  </si>
  <si>
    <t>buste en silhouette</t>
  </si>
  <si>
    <t>1F61F</t>
  </si>
  <si>
    <t>😟</t>
  </si>
  <si>
    <t>visage inquiet</t>
  </si>
  <si>
    <t>1F9AC</t>
  </si>
  <si>
    <t>🦬</t>
  </si>
  <si>
    <t>bison</t>
  </si>
  <si>
    <t>1F312</t>
  </si>
  <si>
    <t>🌒</t>
  </si>
  <si>
    <t>croissant de lune</t>
  </si>
  <si>
    <t>1F465</t>
  </si>
  <si>
    <t>👥</t>
  </si>
  <si>
    <t>bustes en silhouette</t>
  </si>
  <si>
    <t>1F620</t>
  </si>
  <si>
    <t>😠</t>
  </si>
  <si>
    <t>visage en colère</t>
  </si>
  <si>
    <t>1F9AD</t>
  </si>
  <si>
    <t>🦭</t>
  </si>
  <si>
    <t>Phoque</t>
  </si>
  <si>
    <t>1F313</t>
  </si>
  <si>
    <t>🌓</t>
  </si>
  <si>
    <t>premier quartier de lune</t>
  </si>
  <si>
    <t>1F466</t>
  </si>
  <si>
    <t>👦</t>
  </si>
  <si>
    <t>garçon</t>
  </si>
  <si>
    <t>1F621</t>
  </si>
  <si>
    <t>😡</t>
  </si>
  <si>
    <t>faire la moue du visage</t>
  </si>
  <si>
    <t>1F9AE</t>
  </si>
  <si>
    <t>🦮</t>
  </si>
  <si>
    <t>chien-guide</t>
  </si>
  <si>
    <t>1F314</t>
  </si>
  <si>
    <t>🌔</t>
  </si>
  <si>
    <t>cire de lune gibbeuse</t>
  </si>
  <si>
    <t>1F467</t>
  </si>
  <si>
    <t>👧</t>
  </si>
  <si>
    <t>fille</t>
  </si>
  <si>
    <t>1F622</t>
  </si>
  <si>
    <t>😢</t>
  </si>
  <si>
    <t>visage qui pleure</t>
  </si>
  <si>
    <t>1F9AF</t>
  </si>
  <si>
    <t>🦯</t>
  </si>
  <si>
    <t>cane blanche</t>
  </si>
  <si>
    <t>1F315</t>
  </si>
  <si>
    <t>🌕</t>
  </si>
  <si>
    <t>pleine lune</t>
  </si>
  <si>
    <t>1F468</t>
  </si>
  <si>
    <t>👨</t>
  </si>
  <si>
    <t>Un</t>
  </si>
  <si>
    <t>1F623</t>
  </si>
  <si>
    <t>😣</t>
  </si>
  <si>
    <t>visage persévérant</t>
  </si>
  <si>
    <t>1F9B0</t>
  </si>
  <si>
    <t>🦰</t>
  </si>
  <si>
    <t>cheveux roux</t>
  </si>
  <si>
    <t>1F316</t>
  </si>
  <si>
    <t>🌖</t>
  </si>
  <si>
    <t>lune gibbeuse décroissante</t>
  </si>
  <si>
    <t>1F469</t>
  </si>
  <si>
    <t>👩</t>
  </si>
  <si>
    <t>femme</t>
  </si>
  <si>
    <t>1F624</t>
  </si>
  <si>
    <t>😤</t>
  </si>
  <si>
    <t>visage avec la vapeur du nez</t>
  </si>
  <si>
    <t>1F9B1</t>
  </si>
  <si>
    <t>🦱</t>
  </si>
  <si>
    <t>cheveux bouclés</t>
  </si>
  <si>
    <t>1F317</t>
  </si>
  <si>
    <t>🌗</t>
  </si>
  <si>
    <t>dernier quartier de lune</t>
  </si>
  <si>
    <t>1F46A</t>
  </si>
  <si>
    <t>👪</t>
  </si>
  <si>
    <t>Famille</t>
  </si>
  <si>
    <t>1F625</t>
  </si>
  <si>
    <t>😥</t>
  </si>
  <si>
    <t>visage triste mais soulagé</t>
  </si>
  <si>
    <t>1F9B2</t>
  </si>
  <si>
    <t>🦲</t>
  </si>
  <si>
    <t>bientôt</t>
  </si>
  <si>
    <t>1F318</t>
  </si>
  <si>
    <t>🌘</t>
  </si>
  <si>
    <t>croissant de lune décroissant</t>
  </si>
  <si>
    <t>1F46B</t>
  </si>
  <si>
    <t>👫</t>
  </si>
  <si>
    <t>femme et homme se tenant la main</t>
  </si>
  <si>
    <t>1F626</t>
  </si>
  <si>
    <t>😦</t>
  </si>
  <si>
    <t>visage fronçant les sourcils avec la bouche ouverte</t>
  </si>
  <si>
    <t>1F9B3</t>
  </si>
  <si>
    <t>🦳</t>
  </si>
  <si>
    <t>cheveux blancs</t>
  </si>
  <si>
    <t>1F319</t>
  </si>
  <si>
    <t>🌙</t>
  </si>
  <si>
    <t>1F46C</t>
  </si>
  <si>
    <t>👬</t>
  </si>
  <si>
    <t>hommes se tenant la main</t>
  </si>
  <si>
    <t>1F627</t>
  </si>
  <si>
    <t>😧</t>
  </si>
  <si>
    <t>visage angoissé</t>
  </si>
  <si>
    <t>1F9B4</t>
  </si>
  <si>
    <t>🦴</t>
  </si>
  <si>
    <t>os</t>
  </si>
  <si>
    <t>1F31A</t>
  </si>
  <si>
    <t>🌚</t>
  </si>
  <si>
    <t>nouvelle face à la lune</t>
  </si>
  <si>
    <t>1F46D</t>
  </si>
  <si>
    <t>👭</t>
  </si>
  <si>
    <t>les femmes se tenant la main</t>
  </si>
  <si>
    <t>1F628</t>
  </si>
  <si>
    <t>😨</t>
  </si>
  <si>
    <t>visage craintif</t>
  </si>
  <si>
    <t>1F9B5</t>
  </si>
  <si>
    <t>🦵</t>
  </si>
  <si>
    <t>jambe</t>
  </si>
  <si>
    <t>1F31B</t>
  </si>
  <si>
    <t>🌛</t>
  </si>
  <si>
    <t>premier quartier de lune face</t>
  </si>
  <si>
    <t>1F46E</t>
  </si>
  <si>
    <t>👮</t>
  </si>
  <si>
    <t>policier</t>
  </si>
  <si>
    <t>1F629</t>
  </si>
  <si>
    <t>😩</t>
  </si>
  <si>
    <t>visage fatigué</t>
  </si>
  <si>
    <t>1F9B6</t>
  </si>
  <si>
    <t>🦶</t>
  </si>
  <si>
    <t>1F31C</t>
  </si>
  <si>
    <t>🌜</t>
  </si>
  <si>
    <t>dernier visage de quart de lune</t>
  </si>
  <si>
    <t>1F46F</t>
  </si>
  <si>
    <t>👯</t>
  </si>
  <si>
    <t>les personnes ayant des oreilles de lapin</t>
  </si>
  <si>
    <t>1F62A</t>
  </si>
  <si>
    <t>😪</t>
  </si>
  <si>
    <t>visage endormi</t>
  </si>
  <si>
    <t>1F9B7</t>
  </si>
  <si>
    <t>🦷</t>
  </si>
  <si>
    <t>dent</t>
  </si>
  <si>
    <t>1F31D</t>
  </si>
  <si>
    <t>🌝</t>
  </si>
  <si>
    <t>visage de pleine lune</t>
  </si>
  <si>
    <t>1F470</t>
  </si>
  <si>
    <t>👰</t>
  </si>
  <si>
    <t>personne avec voile</t>
  </si>
  <si>
    <t>1F62B</t>
  </si>
  <si>
    <t>😫</t>
  </si>
  <si>
    <t>1F9B8</t>
  </si>
  <si>
    <t>🦸</t>
  </si>
  <si>
    <t>super-héros</t>
  </si>
  <si>
    <t>1F31E</t>
  </si>
  <si>
    <t>🌞</t>
  </si>
  <si>
    <t>soleil avec visage</t>
  </si>
  <si>
    <t>1F471</t>
  </si>
  <si>
    <t>👱</t>
  </si>
  <si>
    <t>personne: cheveux blonds</t>
  </si>
  <si>
    <t>1F62C</t>
  </si>
  <si>
    <t>😬</t>
  </si>
  <si>
    <t>grimaçant le visage</t>
  </si>
  <si>
    <t>1F9B9</t>
  </si>
  <si>
    <t>🦹</t>
  </si>
  <si>
    <t>super-vilain</t>
  </si>
  <si>
    <t>1F31F</t>
  </si>
  <si>
    <t>🌟</t>
  </si>
  <si>
    <t>étoile brillante</t>
  </si>
  <si>
    <t>1F472</t>
  </si>
  <si>
    <t>👲</t>
  </si>
  <si>
    <t>personne avec calotte</t>
  </si>
  <si>
    <t>1F62D</t>
  </si>
  <si>
    <t>😭</t>
  </si>
  <si>
    <t>visage qui pleure fort</t>
  </si>
  <si>
    <t>1F9BA</t>
  </si>
  <si>
    <t>🦺</t>
  </si>
  <si>
    <t>gilet de sécurité</t>
  </si>
  <si>
    <t>1F320</t>
  </si>
  <si>
    <t>🌠</t>
  </si>
  <si>
    <t>étoile filante</t>
  </si>
  <si>
    <t>1F473</t>
  </si>
  <si>
    <t>👳</t>
  </si>
  <si>
    <t>personne portant un turban</t>
  </si>
  <si>
    <t>1F62E</t>
  </si>
  <si>
    <t>😮</t>
  </si>
  <si>
    <t>visage avec la bouche ouverte</t>
  </si>
  <si>
    <t>1F9BB</t>
  </si>
  <si>
    <t>🦻</t>
  </si>
  <si>
    <t>oreille avec aide auditive</t>
  </si>
  <si>
    <t>1F321</t>
  </si>
  <si>
    <t>🌡</t>
  </si>
  <si>
    <t>thermomètre</t>
  </si>
  <si>
    <t>1F474</t>
  </si>
  <si>
    <t>👴</t>
  </si>
  <si>
    <t>vieillard</t>
  </si>
  <si>
    <t>1F62F</t>
  </si>
  <si>
    <t>😯</t>
  </si>
  <si>
    <t>visage feutré</t>
  </si>
  <si>
    <t>1F9BC</t>
  </si>
  <si>
    <t>🦼</t>
  </si>
  <si>
    <t>fauteuil roulant motorisé</t>
  </si>
  <si>
    <t>1F324</t>
  </si>
  <si>
    <t>🌤</t>
  </si>
  <si>
    <t>soleil derrière un petit nuage</t>
  </si>
  <si>
    <t>1F475</t>
  </si>
  <si>
    <t>👵</t>
  </si>
  <si>
    <t>vieille femme</t>
  </si>
  <si>
    <t>1F630</t>
  </si>
  <si>
    <t>😰</t>
  </si>
  <si>
    <t>visage anxieux avec de la sueur</t>
  </si>
  <si>
    <t>1F9BD</t>
  </si>
  <si>
    <t>🦽</t>
  </si>
  <si>
    <t>fauteuil roulant manuel</t>
  </si>
  <si>
    <t>1F325</t>
  </si>
  <si>
    <t>🌥</t>
  </si>
  <si>
    <t>soleil derrière un gros nuage</t>
  </si>
  <si>
    <t>1F476</t>
  </si>
  <si>
    <t>👶</t>
  </si>
  <si>
    <t>bébé</t>
  </si>
  <si>
    <t>1F631</t>
  </si>
  <si>
    <t>😱</t>
  </si>
  <si>
    <t>visage hurlant de peur</t>
  </si>
  <si>
    <t>1F9BE</t>
  </si>
  <si>
    <t>🦾</t>
  </si>
  <si>
    <t>bras mécanique</t>
  </si>
  <si>
    <t>1F326</t>
  </si>
  <si>
    <t>🌦</t>
  </si>
  <si>
    <t>soleil derrière le nuage de pluie</t>
  </si>
  <si>
    <t>1F477</t>
  </si>
  <si>
    <t>👷</t>
  </si>
  <si>
    <t>ouvrier du bâtiment</t>
  </si>
  <si>
    <t>1F632</t>
  </si>
  <si>
    <t>😲</t>
  </si>
  <si>
    <t>visage étonné</t>
  </si>
  <si>
    <t>1F9BF</t>
  </si>
  <si>
    <t>🦿</t>
  </si>
  <si>
    <t>jambe mécanique</t>
  </si>
  <si>
    <t>1F327</t>
  </si>
  <si>
    <t>🌧</t>
  </si>
  <si>
    <t>nuage avec pluie</t>
  </si>
  <si>
    <t>1F478</t>
  </si>
  <si>
    <t>👸</t>
  </si>
  <si>
    <t>princesse</t>
  </si>
  <si>
    <t>1F633</t>
  </si>
  <si>
    <t>😳</t>
  </si>
  <si>
    <t>visage rougi</t>
  </si>
  <si>
    <t>1F9C0</t>
  </si>
  <si>
    <t>🧀</t>
  </si>
  <si>
    <t>coin de fromage</t>
  </si>
  <si>
    <t>1F328</t>
  </si>
  <si>
    <t>🌨</t>
  </si>
  <si>
    <t>nuage avec neige</t>
  </si>
  <si>
    <t>1F479</t>
  </si>
  <si>
    <t>👹</t>
  </si>
  <si>
    <t>ogre</t>
  </si>
  <si>
    <t>1F634</t>
  </si>
  <si>
    <t>1F9C1</t>
  </si>
  <si>
    <t>🧁</t>
  </si>
  <si>
    <t>Cupcake</t>
  </si>
  <si>
    <t>1F329</t>
  </si>
  <si>
    <t>🌩</t>
  </si>
  <si>
    <t>nuage avec la foudre</t>
  </si>
  <si>
    <t>1F47A</t>
  </si>
  <si>
    <t>👺</t>
  </si>
  <si>
    <t>lutin</t>
  </si>
  <si>
    <t>1F635</t>
  </si>
  <si>
    <t>😵</t>
  </si>
  <si>
    <t>visage avec des yeux barrés</t>
  </si>
  <si>
    <t>1F9C2</t>
  </si>
  <si>
    <t>🧂</t>
  </si>
  <si>
    <t>1F32A</t>
  </si>
  <si>
    <t>🌪</t>
  </si>
  <si>
    <t>tornade</t>
  </si>
  <si>
    <t>1F47B</t>
  </si>
  <si>
    <t>👻</t>
  </si>
  <si>
    <t>fantôme</t>
  </si>
  <si>
    <t>1F636</t>
  </si>
  <si>
    <t>😶</t>
  </si>
  <si>
    <t>visage sans bouche</t>
  </si>
  <si>
    <t>1F9C3</t>
  </si>
  <si>
    <t>🧃</t>
  </si>
  <si>
    <t>boîte à boissons</t>
  </si>
  <si>
    <t>1F32B</t>
  </si>
  <si>
    <t>🌫</t>
  </si>
  <si>
    <t>1F47C</t>
  </si>
  <si>
    <t>👼</t>
  </si>
  <si>
    <t>bébé ange</t>
  </si>
  <si>
    <t>1F637</t>
  </si>
  <si>
    <t>😷</t>
  </si>
  <si>
    <t xml:space="preserve"> avec masque médical</t>
  </si>
  <si>
    <t>1F9C4</t>
  </si>
  <si>
    <t>🧄</t>
  </si>
  <si>
    <t>ail</t>
  </si>
  <si>
    <t>1F32C</t>
  </si>
  <si>
    <t>🌬</t>
  </si>
  <si>
    <t>face au vent</t>
  </si>
  <si>
    <t>1F47D</t>
  </si>
  <si>
    <t>👽</t>
  </si>
  <si>
    <t>étranger</t>
  </si>
  <si>
    <t>1F638</t>
  </si>
  <si>
    <t>😸</t>
  </si>
  <si>
    <t>chat souriant avec des yeux souriants</t>
  </si>
  <si>
    <t>1F9C5</t>
  </si>
  <si>
    <t>🧅</t>
  </si>
  <si>
    <t>oignon</t>
  </si>
  <si>
    <t>1F32D</t>
  </si>
  <si>
    <t>🌭</t>
  </si>
  <si>
    <t>hot-dog</t>
  </si>
  <si>
    <t>1F47E</t>
  </si>
  <si>
    <t>👾</t>
  </si>
  <si>
    <t>monstre extraterrestre</t>
  </si>
  <si>
    <t>1F639</t>
  </si>
  <si>
    <t>😹</t>
  </si>
  <si>
    <t>chat avec des larmes de joie</t>
  </si>
  <si>
    <t>1F9C6</t>
  </si>
  <si>
    <t>🧆</t>
  </si>
  <si>
    <t>falafel</t>
  </si>
  <si>
    <t>1F32E</t>
  </si>
  <si>
    <t>🌮</t>
  </si>
  <si>
    <t>taco</t>
  </si>
  <si>
    <t>1F47F</t>
  </si>
  <si>
    <t>👿</t>
  </si>
  <si>
    <t>visage en colère avec des cornes</t>
  </si>
  <si>
    <t>1F63A</t>
  </si>
  <si>
    <t>😺</t>
  </si>
  <si>
    <t>Chat souriant</t>
  </si>
  <si>
    <t>1F9C7</t>
  </si>
  <si>
    <t>🧇</t>
  </si>
  <si>
    <t>gaufre</t>
  </si>
  <si>
    <t>1F32F</t>
  </si>
  <si>
    <t>🌯</t>
  </si>
  <si>
    <t>burrito</t>
  </si>
  <si>
    <t>1F480</t>
  </si>
  <si>
    <t>💀</t>
  </si>
  <si>
    <t>crâne</t>
  </si>
  <si>
    <t>1F63B</t>
  </si>
  <si>
    <t>😻</t>
  </si>
  <si>
    <t>chat souriant avec des yeux de cœur</t>
  </si>
  <si>
    <t>1F9C8</t>
  </si>
  <si>
    <t>🧈</t>
  </si>
  <si>
    <t>1F330</t>
  </si>
  <si>
    <t>🌰</t>
  </si>
  <si>
    <t>châtaigne</t>
  </si>
  <si>
    <t>1F481</t>
  </si>
  <si>
    <t>💁</t>
  </si>
  <si>
    <t>personne basculant la main</t>
  </si>
  <si>
    <t>1F63C</t>
  </si>
  <si>
    <t>😼</t>
  </si>
  <si>
    <t>chat au sourire ironique</t>
  </si>
  <si>
    <t>1F9C9</t>
  </si>
  <si>
    <t>🧉</t>
  </si>
  <si>
    <t>compagnon</t>
  </si>
  <si>
    <t>1F331</t>
  </si>
  <si>
    <t>🌱</t>
  </si>
  <si>
    <t>plant</t>
  </si>
  <si>
    <t>1F482</t>
  </si>
  <si>
    <t>💂</t>
  </si>
  <si>
    <t>garde</t>
  </si>
  <si>
    <t>1F63D</t>
  </si>
  <si>
    <t>😽</t>
  </si>
  <si>
    <t>embrasser le chat</t>
  </si>
  <si>
    <t>1F9CA</t>
  </si>
  <si>
    <t>🧊</t>
  </si>
  <si>
    <t>glace</t>
  </si>
  <si>
    <t>1F332</t>
  </si>
  <si>
    <t>🌲</t>
  </si>
  <si>
    <t>arbre à feuilles persistantes</t>
  </si>
  <si>
    <t>1F483</t>
  </si>
  <si>
    <t>💃</t>
  </si>
  <si>
    <t>femme dansant</t>
  </si>
  <si>
    <t>1F63E</t>
  </si>
  <si>
    <t>😾</t>
  </si>
  <si>
    <t>faire la moue</t>
  </si>
  <si>
    <t>1F9CB</t>
  </si>
  <si>
    <t>🧋</t>
  </si>
  <si>
    <t>thé à bulles</t>
  </si>
  <si>
    <t>1F333</t>
  </si>
  <si>
    <t>🌳</t>
  </si>
  <si>
    <t>arbre feuillu</t>
  </si>
  <si>
    <t>1F484</t>
  </si>
  <si>
    <t>💄</t>
  </si>
  <si>
    <t>rouge à lèvres</t>
  </si>
  <si>
    <t>1F63F</t>
  </si>
  <si>
    <t>😿</t>
  </si>
  <si>
    <t>chat qui pleure</t>
  </si>
  <si>
    <t>1F9CC</t>
  </si>
  <si>
    <t>🧌</t>
  </si>
  <si>
    <t>1F334</t>
  </si>
  <si>
    <t>🌴</t>
  </si>
  <si>
    <t>palmier</t>
  </si>
  <si>
    <t>1F485</t>
  </si>
  <si>
    <t>💅</t>
  </si>
  <si>
    <t>vernis à ongles</t>
  </si>
  <si>
    <t>1F640</t>
  </si>
  <si>
    <t>🙀</t>
  </si>
  <si>
    <t>chat fatigué</t>
  </si>
  <si>
    <t>1F9CD</t>
  </si>
  <si>
    <t>🧍</t>
  </si>
  <si>
    <t>personne debout</t>
  </si>
  <si>
    <t>1F335</t>
  </si>
  <si>
    <t>🌵</t>
  </si>
  <si>
    <t>cactus</t>
  </si>
  <si>
    <t>1F486</t>
  </si>
  <si>
    <t>💆</t>
  </si>
  <si>
    <t>personne se faisant masser</t>
  </si>
  <si>
    <t>1F641</t>
  </si>
  <si>
    <t>🙁</t>
  </si>
  <si>
    <t>visage légèrement froncé les sourcils</t>
  </si>
  <si>
    <t>1F9CE</t>
  </si>
  <si>
    <t>🧎</t>
  </si>
  <si>
    <t>personne agenouillé</t>
  </si>
  <si>
    <t>1F336</t>
  </si>
  <si>
    <t>🌶</t>
  </si>
  <si>
    <t>piment</t>
  </si>
  <si>
    <t>1F487</t>
  </si>
  <si>
    <t>💇</t>
  </si>
  <si>
    <t>personne se faisant couper les cheveux</t>
  </si>
  <si>
    <t>1F642</t>
  </si>
  <si>
    <t>🙂</t>
  </si>
  <si>
    <t>visage légèrement souriant</t>
  </si>
  <si>
    <t>1F9CF</t>
  </si>
  <si>
    <t>🧏</t>
  </si>
  <si>
    <t>sourd</t>
  </si>
  <si>
    <t>1F337</t>
  </si>
  <si>
    <t>🌷</t>
  </si>
  <si>
    <t>Tulipe</t>
  </si>
  <si>
    <t>1F488</t>
  </si>
  <si>
    <t>💈</t>
  </si>
  <si>
    <t>bâton de barbier</t>
  </si>
  <si>
    <t>1F643</t>
  </si>
  <si>
    <t>🙃</t>
  </si>
  <si>
    <t>visage à l’envers</t>
  </si>
  <si>
    <t>1F9D0</t>
  </si>
  <si>
    <t>🧐</t>
  </si>
  <si>
    <t>visage avec monocle</t>
  </si>
  <si>
    <t>1F338</t>
  </si>
  <si>
    <t>🌸</t>
  </si>
  <si>
    <t>fleur de cerisier</t>
  </si>
  <si>
    <t>1F489</t>
  </si>
  <si>
    <t>💉</t>
  </si>
  <si>
    <t>seringue</t>
  </si>
  <si>
    <t>1F644</t>
  </si>
  <si>
    <t>🙄</t>
  </si>
  <si>
    <t>visage avec des yeux qui roulent</t>
  </si>
  <si>
    <t>1F9D1</t>
  </si>
  <si>
    <t>🧑</t>
  </si>
  <si>
    <t>personne</t>
  </si>
  <si>
    <t>1F339</t>
  </si>
  <si>
    <t>🌹</t>
  </si>
  <si>
    <t>rose</t>
  </si>
  <si>
    <t>1F48A</t>
  </si>
  <si>
    <t>💊</t>
  </si>
  <si>
    <t>pilule</t>
  </si>
  <si>
    <t>1F645</t>
  </si>
  <si>
    <t>🙅</t>
  </si>
  <si>
    <t>personne faisant signe NON</t>
  </si>
  <si>
    <t>1F9D2</t>
  </si>
  <si>
    <t>🧒</t>
  </si>
  <si>
    <t>enfant</t>
  </si>
  <si>
    <t>1F33A</t>
  </si>
  <si>
    <t>🌺</t>
  </si>
  <si>
    <t>hibiscus</t>
  </si>
  <si>
    <t>1F48B</t>
  </si>
  <si>
    <t>💋</t>
  </si>
  <si>
    <t>marque de baiser</t>
  </si>
  <si>
    <t>1F646</t>
  </si>
  <si>
    <t>🙆</t>
  </si>
  <si>
    <t>personne faisant signe OK</t>
  </si>
  <si>
    <t>1F9D3</t>
  </si>
  <si>
    <t>🧓</t>
  </si>
  <si>
    <t>personne âgée</t>
  </si>
  <si>
    <t>1F33B</t>
  </si>
  <si>
    <t>🌻</t>
  </si>
  <si>
    <t>tournesol</t>
  </si>
  <si>
    <t>1F48C</t>
  </si>
  <si>
    <t>💌</t>
  </si>
  <si>
    <t>lettre d’amour</t>
  </si>
  <si>
    <t>1F647</t>
  </si>
  <si>
    <t>🙇</t>
  </si>
  <si>
    <t>personne s’inclinant</t>
  </si>
  <si>
    <t>1F9D4</t>
  </si>
  <si>
    <t>🧔</t>
  </si>
  <si>
    <t>personne: barbe</t>
  </si>
  <si>
    <t>1F33C</t>
  </si>
  <si>
    <t>🌼</t>
  </si>
  <si>
    <t>fleurir</t>
  </si>
  <si>
    <t>1F48D</t>
  </si>
  <si>
    <t>💍</t>
  </si>
  <si>
    <t>bague</t>
  </si>
  <si>
    <t>1F648</t>
  </si>
  <si>
    <t>🙈</t>
  </si>
  <si>
    <t>voir-pas-mal singe</t>
  </si>
  <si>
    <t>1F9D5</t>
  </si>
  <si>
    <t>🧕</t>
  </si>
  <si>
    <t>femme avec foulard</t>
  </si>
  <si>
    <t>1F33D</t>
  </si>
  <si>
    <t>🌽</t>
  </si>
  <si>
    <t>épi de maïs</t>
  </si>
  <si>
    <t>1F48E</t>
  </si>
  <si>
    <t>💎</t>
  </si>
  <si>
    <t>pierre précieuse</t>
  </si>
  <si>
    <t>1F649</t>
  </si>
  <si>
    <t>🙉</t>
  </si>
  <si>
    <t>n’entendez pas de singe maléfique</t>
  </si>
  <si>
    <t>1F9D6</t>
  </si>
  <si>
    <t>🧖</t>
  </si>
  <si>
    <t>personne dans une chambre à vapeur</t>
  </si>
  <si>
    <t>1F33E</t>
  </si>
  <si>
    <t>🌾</t>
  </si>
  <si>
    <t>gerbe de riz</t>
  </si>
  <si>
    <t>1F48F</t>
  </si>
  <si>
    <t>💏</t>
  </si>
  <si>
    <t>baiser</t>
  </si>
  <si>
    <t>1F64A</t>
  </si>
  <si>
    <t>🙊</t>
  </si>
  <si>
    <t>parler-pas-mal singe</t>
  </si>
  <si>
    <t>1F9D7</t>
  </si>
  <si>
    <t>🧗</t>
  </si>
  <si>
    <t>personne grimpant</t>
  </si>
  <si>
    <t>1F33F</t>
  </si>
  <si>
    <t>🌿</t>
  </si>
  <si>
    <t>herbe</t>
  </si>
  <si>
    <t>1F490</t>
  </si>
  <si>
    <t>💐</t>
  </si>
  <si>
    <t>bouquet</t>
  </si>
  <si>
    <t>1F64B</t>
  </si>
  <si>
    <t>🙋</t>
  </si>
  <si>
    <t>personne levant la main</t>
  </si>
  <si>
    <t>1F9D8</t>
  </si>
  <si>
    <t>🧘</t>
  </si>
  <si>
    <t>personne en position lotus</t>
  </si>
  <si>
    <t>1F340</t>
  </si>
  <si>
    <t>🍀</t>
  </si>
  <si>
    <t>trèfle à quatre feuilles</t>
  </si>
  <si>
    <t>1F491</t>
  </si>
  <si>
    <t>💑</t>
  </si>
  <si>
    <t>couple avec cœur</t>
  </si>
  <si>
    <t>1F64C</t>
  </si>
  <si>
    <t>🙌</t>
  </si>
  <si>
    <t>lever la main</t>
  </si>
  <si>
    <t>1F9D9</t>
  </si>
  <si>
    <t>🧙</t>
  </si>
  <si>
    <t>mage</t>
  </si>
  <si>
    <t>1F341</t>
  </si>
  <si>
    <t>🍁</t>
  </si>
  <si>
    <t>feuille d’érable</t>
  </si>
  <si>
    <t>1F492</t>
  </si>
  <si>
    <t>💒</t>
  </si>
  <si>
    <t>mariage</t>
  </si>
  <si>
    <t>1F64D</t>
  </si>
  <si>
    <t>🙍</t>
  </si>
  <si>
    <t>personne fronçant les sourcils</t>
  </si>
  <si>
    <t>1F9DA</t>
  </si>
  <si>
    <t>🧚</t>
  </si>
  <si>
    <t>fée</t>
  </si>
  <si>
    <t>1F342</t>
  </si>
  <si>
    <t>🍂</t>
  </si>
  <si>
    <t>feuille tombée</t>
  </si>
  <si>
    <t>1F493</t>
  </si>
  <si>
    <t>💓</t>
  </si>
  <si>
    <t>cœur battant</t>
  </si>
  <si>
    <t>1F64E</t>
  </si>
  <si>
    <t>🙎</t>
  </si>
  <si>
    <t>personne mettant la moue</t>
  </si>
  <si>
    <t>1F9DB</t>
  </si>
  <si>
    <t>🧛</t>
  </si>
  <si>
    <t>vampire</t>
  </si>
  <si>
    <t>1F343</t>
  </si>
  <si>
    <t>🍃</t>
  </si>
  <si>
    <t>feuilles flottant dans le vent</t>
  </si>
  <si>
    <t>1F494</t>
  </si>
  <si>
    <t>💔</t>
  </si>
  <si>
    <t>cœur brisé</t>
  </si>
  <si>
    <t>1F64F</t>
  </si>
  <si>
    <t>🙏</t>
  </si>
  <si>
    <t>mains jointes</t>
  </si>
  <si>
    <t>1F9DC</t>
  </si>
  <si>
    <t>🧜</t>
  </si>
  <si>
    <t>merperson</t>
  </si>
  <si>
    <t>1F344</t>
  </si>
  <si>
    <t>🍄</t>
  </si>
  <si>
    <t>champignon</t>
  </si>
  <si>
    <t>1F495</t>
  </si>
  <si>
    <t>💕</t>
  </si>
  <si>
    <t>deux cœurs</t>
  </si>
  <si>
    <t>1F680</t>
  </si>
  <si>
    <t>🚀</t>
  </si>
  <si>
    <t>fusée</t>
  </si>
  <si>
    <t>1F9DD</t>
  </si>
  <si>
    <t>🧝</t>
  </si>
  <si>
    <t>Onze</t>
  </si>
  <si>
    <t>1F345</t>
  </si>
  <si>
    <t>🍅</t>
  </si>
  <si>
    <t>tomate</t>
  </si>
  <si>
    <t>1F496</t>
  </si>
  <si>
    <t>💖</t>
  </si>
  <si>
    <t>cœur étincelant</t>
  </si>
  <si>
    <t>1F681</t>
  </si>
  <si>
    <t>🚁</t>
  </si>
  <si>
    <t>hélicoptère</t>
  </si>
  <si>
    <t>1F9DE</t>
  </si>
  <si>
    <t>🧞</t>
  </si>
  <si>
    <t>génie</t>
  </si>
  <si>
    <t>1F346</t>
  </si>
  <si>
    <t>🍆</t>
  </si>
  <si>
    <t>aubergine</t>
  </si>
  <si>
    <t>1F497</t>
  </si>
  <si>
    <t>💗</t>
  </si>
  <si>
    <t>cœur en croissance</t>
  </si>
  <si>
    <t>1F682</t>
  </si>
  <si>
    <t>🚂</t>
  </si>
  <si>
    <t>locomotive</t>
  </si>
  <si>
    <t>1F9DF</t>
  </si>
  <si>
    <t>🧟</t>
  </si>
  <si>
    <t>zombi</t>
  </si>
  <si>
    <t>1F347</t>
  </si>
  <si>
    <t>🍇</t>
  </si>
  <si>
    <t>raisins</t>
  </si>
  <si>
    <t>1F498</t>
  </si>
  <si>
    <t>💘</t>
  </si>
  <si>
    <t>cœur avec flèche</t>
  </si>
  <si>
    <t>1F683</t>
  </si>
  <si>
    <t>🚃</t>
  </si>
  <si>
    <t>wagon de chemin de fer</t>
  </si>
  <si>
    <t>1F9E0</t>
  </si>
  <si>
    <t>🧠</t>
  </si>
  <si>
    <t>cerveau</t>
  </si>
  <si>
    <t>1F348</t>
  </si>
  <si>
    <t>🍈</t>
  </si>
  <si>
    <t>melon</t>
  </si>
  <si>
    <t>1F499</t>
  </si>
  <si>
    <t>💙</t>
  </si>
  <si>
    <t>cœur bleu</t>
  </si>
  <si>
    <t>1F684</t>
  </si>
  <si>
    <t>🚄</t>
  </si>
  <si>
    <t>TGV</t>
  </si>
  <si>
    <t>1F9E1</t>
  </si>
  <si>
    <t>🧡</t>
  </si>
  <si>
    <t>cœur orange</t>
  </si>
  <si>
    <t>1F349</t>
  </si>
  <si>
    <t>🍉</t>
  </si>
  <si>
    <t>pastèque</t>
  </si>
  <si>
    <t>1F49A</t>
  </si>
  <si>
    <t>💚</t>
  </si>
  <si>
    <t>cœur vert</t>
  </si>
  <si>
    <t>1F685</t>
  </si>
  <si>
    <t>🚅</t>
  </si>
  <si>
    <t>shinkansen</t>
  </si>
  <si>
    <t>1F9E2</t>
  </si>
  <si>
    <t>🧢</t>
  </si>
  <si>
    <t>bouchon facturé</t>
  </si>
  <si>
    <t>1F34A</t>
  </si>
  <si>
    <t>🍊</t>
  </si>
  <si>
    <t>mandarine</t>
  </si>
  <si>
    <t>1F49B</t>
  </si>
  <si>
    <t>💛</t>
  </si>
  <si>
    <t>cœur jaune</t>
  </si>
  <si>
    <t>1F686</t>
  </si>
  <si>
    <t>🚆</t>
  </si>
  <si>
    <t>train</t>
  </si>
  <si>
    <t>1F9E3</t>
  </si>
  <si>
    <t>🧣</t>
  </si>
  <si>
    <t>foulard</t>
  </si>
  <si>
    <t>1F34B</t>
  </si>
  <si>
    <t>🍋</t>
  </si>
  <si>
    <t>citron</t>
  </si>
  <si>
    <t>1F49C</t>
  </si>
  <si>
    <t>💜</t>
  </si>
  <si>
    <t>cœur violet</t>
  </si>
  <si>
    <t>1F687</t>
  </si>
  <si>
    <t>🚇</t>
  </si>
  <si>
    <t>métro</t>
  </si>
  <si>
    <t>1F9E4</t>
  </si>
  <si>
    <t>🧤</t>
  </si>
  <si>
    <t>Gants</t>
  </si>
  <si>
    <t>1F34C</t>
  </si>
  <si>
    <t>🍌</t>
  </si>
  <si>
    <t>banane</t>
  </si>
  <si>
    <t>1F49D</t>
  </si>
  <si>
    <t>💝</t>
  </si>
  <si>
    <t>cœur avec ruban</t>
  </si>
  <si>
    <t>1F688</t>
  </si>
  <si>
    <t>🚈</t>
  </si>
  <si>
    <t>train léger sur rail</t>
  </si>
  <si>
    <t>1F9E5</t>
  </si>
  <si>
    <t>🧥</t>
  </si>
  <si>
    <t>manteau</t>
  </si>
  <si>
    <t>1F34D</t>
  </si>
  <si>
    <t>🍍</t>
  </si>
  <si>
    <t>ananas</t>
  </si>
  <si>
    <t>1F49E</t>
  </si>
  <si>
    <t>💞</t>
  </si>
  <si>
    <t>cœurs tournants</t>
  </si>
  <si>
    <t>1F689</t>
  </si>
  <si>
    <t>🚉</t>
  </si>
  <si>
    <t>gare</t>
  </si>
  <si>
    <t>1F9E6</t>
  </si>
  <si>
    <t>🧦</t>
  </si>
  <si>
    <t>chaussettes</t>
  </si>
  <si>
    <t>1F34E</t>
  </si>
  <si>
    <t>🍎</t>
  </si>
  <si>
    <t>pomme rouge</t>
  </si>
  <si>
    <t>1F49F</t>
  </si>
  <si>
    <t>💟</t>
  </si>
  <si>
    <t>décoration de cœur</t>
  </si>
  <si>
    <t>1F68A</t>
  </si>
  <si>
    <t>🚊</t>
  </si>
  <si>
    <t>tramway</t>
  </si>
  <si>
    <t>1F9E7</t>
  </si>
  <si>
    <t>🧧</t>
  </si>
  <si>
    <t>enveloppe rouge</t>
  </si>
  <si>
    <t>1F34F</t>
  </si>
  <si>
    <t>🍏</t>
  </si>
  <si>
    <t>pomme verte</t>
  </si>
  <si>
    <t>1F4A0</t>
  </si>
  <si>
    <t>💠</t>
  </si>
  <si>
    <t>diamant avec un point</t>
  </si>
  <si>
    <t>1F68B</t>
  </si>
  <si>
    <t>🚋</t>
  </si>
  <si>
    <t>voiture de tramway</t>
  </si>
  <si>
    <t>1F9E8</t>
  </si>
  <si>
    <t>🧨</t>
  </si>
  <si>
    <t>pétard</t>
  </si>
  <si>
    <t>1F350</t>
  </si>
  <si>
    <t>🍐</t>
  </si>
  <si>
    <t>poire</t>
  </si>
  <si>
    <t>1F4A1</t>
  </si>
  <si>
    <t>💡</t>
  </si>
  <si>
    <t>ampoule</t>
  </si>
  <si>
    <t>1F68C</t>
  </si>
  <si>
    <t>🚌</t>
  </si>
  <si>
    <t>bus</t>
  </si>
  <si>
    <t>1F9E9</t>
  </si>
  <si>
    <t>🧩</t>
  </si>
  <si>
    <t>Puzzle</t>
  </si>
  <si>
    <t>1F351</t>
  </si>
  <si>
    <t>🍑</t>
  </si>
  <si>
    <t>pêche</t>
  </si>
  <si>
    <t>1F4A2</t>
  </si>
  <si>
    <t>💢</t>
  </si>
  <si>
    <t>symbole de colère</t>
  </si>
  <si>
    <t>1F68D</t>
  </si>
  <si>
    <t>🚍</t>
  </si>
  <si>
    <t>bus venant en venant en venant en couple</t>
  </si>
  <si>
    <t>1F9EA</t>
  </si>
  <si>
    <t>🧪</t>
  </si>
  <si>
    <t>éprouvette</t>
  </si>
  <si>
    <t>1F352</t>
  </si>
  <si>
    <t>🍒</t>
  </si>
  <si>
    <t>1F4A3</t>
  </si>
  <si>
    <t>💣</t>
  </si>
  <si>
    <t>bombe</t>
  </si>
  <si>
    <t>1F68E</t>
  </si>
  <si>
    <t>🚎</t>
  </si>
  <si>
    <t>trolleybus</t>
  </si>
  <si>
    <t>1F9EB</t>
  </si>
  <si>
    <t>🧫</t>
  </si>
  <si>
    <t>Pétri</t>
  </si>
  <si>
    <t>1F353</t>
  </si>
  <si>
    <t>🍓</t>
  </si>
  <si>
    <t>fraise</t>
  </si>
  <si>
    <t>1F4A4</t>
  </si>
  <si>
    <t>💤</t>
  </si>
  <si>
    <t>zzz</t>
  </si>
  <si>
    <t>1F68F</t>
  </si>
  <si>
    <t>🚏</t>
  </si>
  <si>
    <t>arrêt de bus</t>
  </si>
  <si>
    <t>1F9EC</t>
  </si>
  <si>
    <t>🧬</t>
  </si>
  <si>
    <t>ADN</t>
  </si>
  <si>
    <t>1F354</t>
  </si>
  <si>
    <t>🍔</t>
  </si>
  <si>
    <t>hamburger</t>
  </si>
  <si>
    <t>1F4A5</t>
  </si>
  <si>
    <t>💥</t>
  </si>
  <si>
    <t>collision</t>
  </si>
  <si>
    <t>1F690</t>
  </si>
  <si>
    <t>🚐</t>
  </si>
  <si>
    <t>minibus</t>
  </si>
  <si>
    <t>1F9ED</t>
  </si>
  <si>
    <t>🧭</t>
  </si>
  <si>
    <t>boussole</t>
  </si>
  <si>
    <t>1F355</t>
  </si>
  <si>
    <t>🍕</t>
  </si>
  <si>
    <t>pizza</t>
  </si>
  <si>
    <t>1F4A6</t>
  </si>
  <si>
    <t>💦</t>
  </si>
  <si>
    <t>gouttelettes de sueur</t>
  </si>
  <si>
    <t>1F691</t>
  </si>
  <si>
    <t>🚑</t>
  </si>
  <si>
    <t>ambulance</t>
  </si>
  <si>
    <t>1F9EE</t>
  </si>
  <si>
    <t>🧮</t>
  </si>
  <si>
    <t>abaque</t>
  </si>
  <si>
    <t>1F356</t>
  </si>
  <si>
    <t>🍖</t>
  </si>
  <si>
    <t>viande sur os</t>
  </si>
  <si>
    <t>1F4A7</t>
  </si>
  <si>
    <t>💧</t>
  </si>
  <si>
    <t>gouttelette</t>
  </si>
  <si>
    <t>1F692</t>
  </si>
  <si>
    <t>🚒</t>
  </si>
  <si>
    <t>voiture de pompiers</t>
  </si>
  <si>
    <t>1F9EF</t>
  </si>
  <si>
    <t>🧯</t>
  </si>
  <si>
    <t>extincteur</t>
  </si>
  <si>
    <t>1F357</t>
  </si>
  <si>
    <t>🍗</t>
  </si>
  <si>
    <t>cuisse de volaille</t>
  </si>
  <si>
    <t>1F4A8</t>
  </si>
  <si>
    <t>💨</t>
  </si>
  <si>
    <t>s’enfuir</t>
  </si>
  <si>
    <t>1F693</t>
  </si>
  <si>
    <t>🚓</t>
  </si>
  <si>
    <t>véhicule de police</t>
  </si>
  <si>
    <t>1F9F0</t>
  </si>
  <si>
    <t>🧰</t>
  </si>
  <si>
    <t>toolbox</t>
  </si>
  <si>
    <t>1F358</t>
  </si>
  <si>
    <t>🍘</t>
  </si>
  <si>
    <t>craquelin de riz</t>
  </si>
  <si>
    <t>1F4A9</t>
  </si>
  <si>
    <t>💩</t>
  </si>
  <si>
    <t>tas de caca</t>
  </si>
  <si>
    <t>1F694</t>
  </si>
  <si>
    <t>🚔</t>
  </si>
  <si>
    <t>voiture de police venant en voiture venant en voiture</t>
  </si>
  <si>
    <t>1F9F1</t>
  </si>
  <si>
    <t>🧱</t>
  </si>
  <si>
    <t>brique</t>
  </si>
  <si>
    <t>1F359</t>
  </si>
  <si>
    <t>🍙</t>
  </si>
  <si>
    <t>boule de riz</t>
  </si>
  <si>
    <t>1F4AA</t>
  </si>
  <si>
    <t>💪</t>
  </si>
  <si>
    <t>biceps fléchis</t>
  </si>
  <si>
    <t>1F695</t>
  </si>
  <si>
    <t>🚕</t>
  </si>
  <si>
    <t>taxi</t>
  </si>
  <si>
    <t>1F9F2</t>
  </si>
  <si>
    <t>🧲</t>
  </si>
  <si>
    <t>aimant</t>
  </si>
  <si>
    <t>1F35A</t>
  </si>
  <si>
    <t>🍚</t>
  </si>
  <si>
    <t>riz cuit</t>
  </si>
  <si>
    <t>1F4AB</t>
  </si>
  <si>
    <t>💫</t>
  </si>
  <si>
    <t>vertigineux</t>
  </si>
  <si>
    <t>1F696</t>
  </si>
  <si>
    <t>🚖</t>
  </si>
  <si>
    <t>taxi venant en venant en voiture</t>
  </si>
  <si>
    <t>1F9F3</t>
  </si>
  <si>
    <t>🧳</t>
  </si>
  <si>
    <t>bagage</t>
  </si>
  <si>
    <t>1F35B</t>
  </si>
  <si>
    <t>🍛</t>
  </si>
  <si>
    <t>riz au curry</t>
  </si>
  <si>
    <t>1F4AC</t>
  </si>
  <si>
    <t>💬</t>
  </si>
  <si>
    <t>ballon vocal</t>
  </si>
  <si>
    <t>1F697</t>
  </si>
  <si>
    <t>🚗</t>
  </si>
  <si>
    <t>automobile</t>
  </si>
  <si>
    <t>1F9F4</t>
  </si>
  <si>
    <t>🧴</t>
  </si>
  <si>
    <t>flacon de lotion</t>
  </si>
  <si>
    <t>1F35C</t>
  </si>
  <si>
    <t>🍜</t>
  </si>
  <si>
    <t>bol fumant</t>
  </si>
  <si>
    <t>1F4AD</t>
  </si>
  <si>
    <t>💭</t>
  </si>
  <si>
    <t>ballon de pensée</t>
  </si>
  <si>
    <t>1F698</t>
  </si>
  <si>
    <t>🚘</t>
  </si>
  <si>
    <t>automobile venant en venant en voiture</t>
  </si>
  <si>
    <t>1F9F5</t>
  </si>
  <si>
    <t>🧵</t>
  </si>
  <si>
    <t>fil</t>
  </si>
  <si>
    <t>1F35D</t>
  </si>
  <si>
    <t>🍝</t>
  </si>
  <si>
    <t>spaghettis</t>
  </si>
  <si>
    <t>1F4AE</t>
  </si>
  <si>
    <t>💮</t>
  </si>
  <si>
    <t>fleur blanche</t>
  </si>
  <si>
    <t>1F699</t>
  </si>
  <si>
    <t>🚙</t>
  </si>
  <si>
    <t>véhicule utilitaire sport</t>
  </si>
  <si>
    <t>1F9F6</t>
  </si>
  <si>
    <t>🧶</t>
  </si>
  <si>
    <t>1F35E</t>
  </si>
  <si>
    <t>🍞</t>
  </si>
  <si>
    <t>pain</t>
  </si>
  <si>
    <t>1F4AF</t>
  </si>
  <si>
    <t>💯</t>
  </si>
  <si>
    <t>cent points</t>
  </si>
  <si>
    <t>1F69A</t>
  </si>
  <si>
    <t>🚚</t>
  </si>
  <si>
    <t>camion de livraison</t>
  </si>
  <si>
    <t>1F9F7</t>
  </si>
  <si>
    <t>🧷</t>
  </si>
  <si>
    <t>épingle de sûreté</t>
  </si>
  <si>
    <t>1F35F</t>
  </si>
  <si>
    <t>🍟</t>
  </si>
  <si>
    <t>frites</t>
  </si>
  <si>
    <t>1F4B0</t>
  </si>
  <si>
    <t>💰</t>
  </si>
  <si>
    <t>sac d’argent</t>
  </si>
  <si>
    <t>1F69B</t>
  </si>
  <si>
    <t>🚛</t>
  </si>
  <si>
    <t>camion articulé</t>
  </si>
  <si>
    <t>1F9F8</t>
  </si>
  <si>
    <t>🧸</t>
  </si>
  <si>
    <t>nounours</t>
  </si>
  <si>
    <t>1F360</t>
  </si>
  <si>
    <t>🍠</t>
  </si>
  <si>
    <t>patate douce rôtie</t>
  </si>
  <si>
    <t>1F4B1</t>
  </si>
  <si>
    <t>💱</t>
  </si>
  <si>
    <t>Change</t>
  </si>
  <si>
    <t>1F69C</t>
  </si>
  <si>
    <t>🚜</t>
  </si>
  <si>
    <t>tracteur</t>
  </si>
  <si>
    <t>1F9F9</t>
  </si>
  <si>
    <t>🧹</t>
  </si>
  <si>
    <t>balai</t>
  </si>
  <si>
    <t>1F361</t>
  </si>
  <si>
    <t>🍡</t>
  </si>
  <si>
    <t>dango</t>
  </si>
  <si>
    <t>1F4B2</t>
  </si>
  <si>
    <t>💲</t>
  </si>
  <si>
    <t>signe dollar lourd</t>
  </si>
  <si>
    <t>1F69D</t>
  </si>
  <si>
    <t>🚝</t>
  </si>
  <si>
    <t>monorail</t>
  </si>
  <si>
    <t>1F9FA</t>
  </si>
  <si>
    <t>🧺</t>
  </si>
  <si>
    <t>panier</t>
  </si>
  <si>
    <t>1F362</t>
  </si>
  <si>
    <t>🍢</t>
  </si>
  <si>
    <t>Oden</t>
  </si>
  <si>
    <t>1F4B3</t>
  </si>
  <si>
    <t>💳</t>
  </si>
  <si>
    <t>carte de crédit</t>
  </si>
  <si>
    <t>1F69E</t>
  </si>
  <si>
    <t>🚞</t>
  </si>
  <si>
    <t>chemin de fer de montagne</t>
  </si>
  <si>
    <t>1F9FB</t>
  </si>
  <si>
    <t>🧻</t>
  </si>
  <si>
    <t>rouleau de papier</t>
  </si>
  <si>
    <t>1F363</t>
  </si>
  <si>
    <t>🍣</t>
  </si>
  <si>
    <t>sushi</t>
  </si>
  <si>
    <t>1F4B4</t>
  </si>
  <si>
    <t>💴</t>
  </si>
  <si>
    <t>Billet de banque en yen</t>
  </si>
  <si>
    <t>1F69F</t>
  </si>
  <si>
    <t>🚟</t>
  </si>
  <si>
    <t>chemin de fer suspendu</t>
  </si>
  <si>
    <t>1F9FC</t>
  </si>
  <si>
    <t>🧼</t>
  </si>
  <si>
    <t>savon</t>
  </si>
  <si>
    <t>1F364</t>
  </si>
  <si>
    <t>🍤</t>
  </si>
  <si>
    <t>crevettes frites</t>
  </si>
  <si>
    <t>1F4B5</t>
  </si>
  <si>
    <t>💵</t>
  </si>
  <si>
    <t>billet de banque en dollars</t>
  </si>
  <si>
    <t>1F6A0</t>
  </si>
  <si>
    <t>🚠</t>
  </si>
  <si>
    <t>téléphérique de montagne</t>
  </si>
  <si>
    <t>1F9FD</t>
  </si>
  <si>
    <t>🧽</t>
  </si>
  <si>
    <t>éponge</t>
  </si>
  <si>
    <t>1F365</t>
  </si>
  <si>
    <t>🍥</t>
  </si>
  <si>
    <t>gâteau de poisson avec tourbillon</t>
  </si>
  <si>
    <t>1F4B6</t>
  </si>
  <si>
    <t>💶</t>
  </si>
  <si>
    <t>billet en euros</t>
  </si>
  <si>
    <t>1F6A1</t>
  </si>
  <si>
    <t>🚡</t>
  </si>
  <si>
    <t>téléphérique</t>
  </si>
  <si>
    <t>1F9FE</t>
  </si>
  <si>
    <t>🧾</t>
  </si>
  <si>
    <t>reçu</t>
  </si>
  <si>
    <t>1F366</t>
  </si>
  <si>
    <t>🍦</t>
  </si>
  <si>
    <t>crème glacée molle</t>
  </si>
  <si>
    <t>1F4B7</t>
  </si>
  <si>
    <t>💷</t>
  </si>
  <si>
    <t>Billet de banque en livres sterling</t>
  </si>
  <si>
    <t>1F6A2</t>
  </si>
  <si>
    <t>🚢</t>
  </si>
  <si>
    <t>bateau</t>
  </si>
  <si>
    <t>1F9FF</t>
  </si>
  <si>
    <t>🧿</t>
  </si>
  <si>
    <t>amulette nazar</t>
  </si>
  <si>
    <t>1F367</t>
  </si>
  <si>
    <t>🍧</t>
  </si>
  <si>
    <t>glace rasée</t>
  </si>
  <si>
    <t>1F4B8</t>
  </si>
  <si>
    <t>💸</t>
  </si>
  <si>
    <t>de l’argent avec des ailes</t>
  </si>
  <si>
    <t>1F6A3</t>
  </si>
  <si>
    <t>🚣</t>
  </si>
  <si>
    <t>personne bateau à rames</t>
  </si>
  <si>
    <t>1FA70</t>
  </si>
  <si>
    <t>🩰</t>
  </si>
  <si>
    <t>chaussures de ballet</t>
  </si>
  <si>
    <t>1F368</t>
  </si>
  <si>
    <t>🍨</t>
  </si>
  <si>
    <t>1F4B9</t>
  </si>
  <si>
    <t>💹</t>
  </si>
  <si>
    <t>graphique en hausse avec le yen</t>
  </si>
  <si>
    <t>1F6A4</t>
  </si>
  <si>
    <t>🚤</t>
  </si>
  <si>
    <t>vedette</t>
  </si>
  <si>
    <t>1FA71</t>
  </si>
  <si>
    <t>🩱</t>
  </si>
  <si>
    <t>maillot de bain une pièce</t>
  </si>
  <si>
    <t>1F369</t>
  </si>
  <si>
    <t>🍩</t>
  </si>
  <si>
    <t>beignet</t>
  </si>
  <si>
    <t>1F4BA</t>
  </si>
  <si>
    <t>💺</t>
  </si>
  <si>
    <t>siège</t>
  </si>
  <si>
    <t>1F6A5</t>
  </si>
  <si>
    <t>🚥</t>
  </si>
  <si>
    <t>feu de circulation horizontal</t>
  </si>
  <si>
    <t>1FA72</t>
  </si>
  <si>
    <t>🩲</t>
  </si>
  <si>
    <t>cache-sexes</t>
  </si>
  <si>
    <t>1F36A</t>
  </si>
  <si>
    <t>🍪</t>
  </si>
  <si>
    <t>biscuit</t>
  </si>
  <si>
    <t>1F4BB</t>
  </si>
  <si>
    <t>💻</t>
  </si>
  <si>
    <t>ordinateur portable</t>
  </si>
  <si>
    <t>1F6A6</t>
  </si>
  <si>
    <t>🚦</t>
  </si>
  <si>
    <t>feu de circulation vertical</t>
  </si>
  <si>
    <t>1FA73</t>
  </si>
  <si>
    <t>🩳</t>
  </si>
  <si>
    <t>short</t>
  </si>
  <si>
    <t>1F36B</t>
  </si>
  <si>
    <t>🍫</t>
  </si>
  <si>
    <t>barre chocolatée</t>
  </si>
  <si>
    <t>1F4BC</t>
  </si>
  <si>
    <t>💼</t>
  </si>
  <si>
    <t>porte-documents</t>
  </si>
  <si>
    <t>1F6A7</t>
  </si>
  <si>
    <t>🚧</t>
  </si>
  <si>
    <t>construction</t>
  </si>
  <si>
    <t>1FA74</t>
  </si>
  <si>
    <t>🩴</t>
  </si>
  <si>
    <t>sandale string</t>
  </si>
  <si>
    <t>1F36C</t>
  </si>
  <si>
    <t>🍬</t>
  </si>
  <si>
    <t>bonbon</t>
  </si>
  <si>
    <t>1F4BD</t>
  </si>
  <si>
    <t>💽</t>
  </si>
  <si>
    <t>disque d’ordinateur</t>
  </si>
  <si>
    <t>1F6A8</t>
  </si>
  <si>
    <t>🚨</t>
  </si>
  <si>
    <t>feu de voiture de police</t>
  </si>
  <si>
    <t>1FA78</t>
  </si>
  <si>
    <t>🩸</t>
  </si>
  <si>
    <t xml:space="preserve"> de sang</t>
  </si>
  <si>
    <t>1F36D</t>
  </si>
  <si>
    <t>🍭</t>
  </si>
  <si>
    <t>sucette</t>
  </si>
  <si>
    <t>1F4BE</t>
  </si>
  <si>
    <t>💾</t>
  </si>
  <si>
    <t>disquette</t>
  </si>
  <si>
    <t>1F6A9</t>
  </si>
  <si>
    <t>🚩</t>
  </si>
  <si>
    <t>drapeau triangulaire</t>
  </si>
  <si>
    <t>1FA79</t>
  </si>
  <si>
    <t>🩹</t>
  </si>
  <si>
    <t>sparadrap</t>
  </si>
  <si>
    <t>1F36E</t>
  </si>
  <si>
    <t>🍮</t>
  </si>
  <si>
    <t>crème</t>
  </si>
  <si>
    <t>1F4BF</t>
  </si>
  <si>
    <t>💿</t>
  </si>
  <si>
    <t>disque optique</t>
  </si>
  <si>
    <t>1F6AA</t>
  </si>
  <si>
    <t>🚪</t>
  </si>
  <si>
    <t>par</t>
  </si>
  <si>
    <t>1FA7A</t>
  </si>
  <si>
    <t>🩺</t>
  </si>
  <si>
    <t>stéthoscope</t>
  </si>
  <si>
    <t>1F36F</t>
  </si>
  <si>
    <t>🍯</t>
  </si>
  <si>
    <t>pot de miel</t>
  </si>
  <si>
    <t>1F4C0</t>
  </si>
  <si>
    <t>📀</t>
  </si>
  <si>
    <t>DVD</t>
  </si>
  <si>
    <t>1F6AB</t>
  </si>
  <si>
    <t>🚫</t>
  </si>
  <si>
    <t>interdit</t>
  </si>
  <si>
    <t>1FA7B</t>
  </si>
  <si>
    <t>🩻</t>
  </si>
  <si>
    <t>1F370</t>
  </si>
  <si>
    <t>🍰</t>
  </si>
  <si>
    <t>shortcake</t>
  </si>
  <si>
    <t>1F4C1</t>
  </si>
  <si>
    <t>📁</t>
  </si>
  <si>
    <t>dossier de fichiers</t>
  </si>
  <si>
    <t>1F6AC</t>
  </si>
  <si>
    <t>🚬</t>
  </si>
  <si>
    <t>cigarette</t>
  </si>
  <si>
    <t>1FA7C</t>
  </si>
  <si>
    <t>🩼</t>
  </si>
  <si>
    <t>1F371</t>
  </si>
  <si>
    <t>🍱</t>
  </si>
  <si>
    <t>boîte bento</t>
  </si>
  <si>
    <t>1F4C2</t>
  </si>
  <si>
    <t>📂</t>
  </si>
  <si>
    <t>ouvrir le dossier de fichiers</t>
  </si>
  <si>
    <t>1F6AD</t>
  </si>
  <si>
    <t>🚭</t>
  </si>
  <si>
    <t>défense de fumer</t>
  </si>
  <si>
    <t>1FA80</t>
  </si>
  <si>
    <t>🪀</t>
  </si>
  <si>
    <t>ils-sont</t>
  </si>
  <si>
    <t>1F372</t>
  </si>
  <si>
    <t>🍲</t>
  </si>
  <si>
    <t>pot de nourriture</t>
  </si>
  <si>
    <t>1F4C3</t>
  </si>
  <si>
    <t>📃</t>
  </si>
  <si>
    <t>page avec boucle</t>
  </si>
  <si>
    <t>1F6AE</t>
  </si>
  <si>
    <t>🚮</t>
  </si>
  <si>
    <t>litière dans le panneau de bac</t>
  </si>
  <si>
    <t>1FA81</t>
  </si>
  <si>
    <t>🪁</t>
  </si>
  <si>
    <t>cerf-volant</t>
  </si>
  <si>
    <t>1F373</t>
  </si>
  <si>
    <t>🍳</t>
  </si>
  <si>
    <t>cuisine</t>
  </si>
  <si>
    <t>1F4C4</t>
  </si>
  <si>
    <t>📄</t>
  </si>
  <si>
    <t>page tournée vers le haut</t>
  </si>
  <si>
    <t>1F6AF</t>
  </si>
  <si>
    <t>🚯</t>
  </si>
  <si>
    <t>pas de détritus</t>
  </si>
  <si>
    <t>1FA82</t>
  </si>
  <si>
    <t>🪂</t>
  </si>
  <si>
    <t>parachute</t>
  </si>
  <si>
    <t>1F374</t>
  </si>
  <si>
    <t>🍴</t>
  </si>
  <si>
    <t>fourchette et couteau</t>
  </si>
  <si>
    <t>1F4C5</t>
  </si>
  <si>
    <t>📅</t>
  </si>
  <si>
    <t>calendrier</t>
  </si>
  <si>
    <t>1F6B0</t>
  </si>
  <si>
    <t>🚰</t>
  </si>
  <si>
    <t>eau potable</t>
  </si>
  <si>
    <t>1FA83</t>
  </si>
  <si>
    <t>🪃</t>
  </si>
  <si>
    <t>boomerang</t>
  </si>
  <si>
    <t>1F375</t>
  </si>
  <si>
    <t>🍵</t>
  </si>
  <si>
    <t>tasse à thé sans poignée</t>
  </si>
  <si>
    <t>1F4C6</t>
  </si>
  <si>
    <t>📆</t>
  </si>
  <si>
    <t>calendrier dérachant</t>
  </si>
  <si>
    <t>1F6B1</t>
  </si>
  <si>
    <t>🚱</t>
  </si>
  <si>
    <t>eau non potable</t>
  </si>
  <si>
    <t>1FA84</t>
  </si>
  <si>
    <t>🪄</t>
  </si>
  <si>
    <t>mur magique</t>
  </si>
  <si>
    <t>1F376</t>
  </si>
  <si>
    <t>🍶</t>
  </si>
  <si>
    <t>saké</t>
  </si>
  <si>
    <t>1F4C7</t>
  </si>
  <si>
    <t>📇</t>
  </si>
  <si>
    <t>index des cartes</t>
  </si>
  <si>
    <t>1F6B2</t>
  </si>
  <si>
    <t>🚲</t>
  </si>
  <si>
    <t>bicyclette</t>
  </si>
  <si>
    <t>1FA85</t>
  </si>
  <si>
    <t>🪅</t>
  </si>
  <si>
    <t>piñata</t>
  </si>
  <si>
    <t>1F377</t>
  </si>
  <si>
    <t>🍷</t>
  </si>
  <si>
    <t>verre à vin</t>
  </si>
  <si>
    <t>1F4C8</t>
  </si>
  <si>
    <t>📈</t>
  </si>
  <si>
    <t>graphique croissant</t>
  </si>
  <si>
    <t>1F6B3</t>
  </si>
  <si>
    <t>🚳</t>
  </si>
  <si>
    <t>pas de vélos</t>
  </si>
  <si>
    <t>1FA86</t>
  </si>
  <si>
    <t>🪆</t>
  </si>
  <si>
    <t>poupées gigognes</t>
  </si>
  <si>
    <t>1F378</t>
  </si>
  <si>
    <t>🍸</t>
  </si>
  <si>
    <t>verre à cocktail</t>
  </si>
  <si>
    <t>1F4C9</t>
  </si>
  <si>
    <t>📉</t>
  </si>
  <si>
    <t>graphique décroissant</t>
  </si>
  <si>
    <t>1F6B4</t>
  </si>
  <si>
    <t>🚴</t>
  </si>
  <si>
    <t>personne à vélo</t>
  </si>
  <si>
    <t>1FA90</t>
  </si>
  <si>
    <t>🪐</t>
  </si>
  <si>
    <t>planète anneée</t>
  </si>
  <si>
    <t>1F379</t>
  </si>
  <si>
    <t>🍹</t>
  </si>
  <si>
    <t>boisson tropicale</t>
  </si>
  <si>
    <t>1F4CA</t>
  </si>
  <si>
    <t>📊</t>
  </si>
  <si>
    <t>graphique à barres</t>
  </si>
  <si>
    <t>1F6B5</t>
  </si>
  <si>
    <t>🚵</t>
  </si>
  <si>
    <t>personne VTT</t>
  </si>
  <si>
    <t>1FA91</t>
  </si>
  <si>
    <t>🪑</t>
  </si>
  <si>
    <t>chaise</t>
  </si>
  <si>
    <t>1F37A</t>
  </si>
  <si>
    <t>🍺</t>
  </si>
  <si>
    <t>tasse à bière</t>
  </si>
  <si>
    <t>1F4CB</t>
  </si>
  <si>
    <t>📋</t>
  </si>
  <si>
    <t>Presse-papiers</t>
  </si>
  <si>
    <t>1F6B6</t>
  </si>
  <si>
    <t>🚶</t>
  </si>
  <si>
    <t>personne qui marche</t>
  </si>
  <si>
    <t>1FA92</t>
  </si>
  <si>
    <t>🪒</t>
  </si>
  <si>
    <t>rasoir</t>
  </si>
  <si>
    <t>1F37B</t>
  </si>
  <si>
    <t>🍻</t>
  </si>
  <si>
    <t>tasses à bière qui clignotent</t>
  </si>
  <si>
    <t>1F4CC</t>
  </si>
  <si>
    <t>📌</t>
  </si>
  <si>
    <t>1F6B7</t>
  </si>
  <si>
    <t>🚷</t>
  </si>
  <si>
    <t>pas de piétons</t>
  </si>
  <si>
    <t>1FA93</t>
  </si>
  <si>
    <t>🪓</t>
  </si>
  <si>
    <t>axe</t>
  </si>
  <si>
    <t>1F37C</t>
  </si>
  <si>
    <t>🍼</t>
  </si>
  <si>
    <t>biberon</t>
  </si>
  <si>
    <t>1F4CD</t>
  </si>
  <si>
    <t>📍</t>
  </si>
  <si>
    <t>poussoir rond</t>
  </si>
  <si>
    <t>1F6B8</t>
  </si>
  <si>
    <t>🚸</t>
  </si>
  <si>
    <t>enfants traversant</t>
  </si>
  <si>
    <t>1FA94</t>
  </si>
  <si>
    <t>🪔</t>
  </si>
  <si>
    <t>lampe diya</t>
  </si>
  <si>
    <t>1F37D</t>
  </si>
  <si>
    <t>🍽</t>
  </si>
  <si>
    <t>fourchette et couteau avec assiette</t>
  </si>
  <si>
    <t>1F4CE</t>
  </si>
  <si>
    <t>📎</t>
  </si>
  <si>
    <t>trombone</t>
  </si>
  <si>
    <t>1F6B9</t>
  </si>
  <si>
    <t>🚹</t>
  </si>
  <si>
    <t>chambre homme</t>
  </si>
  <si>
    <t>1FA95</t>
  </si>
  <si>
    <t>🪕</t>
  </si>
  <si>
    <t>banjo</t>
  </si>
  <si>
    <t>TUTOS YOUTUBE</t>
  </si>
  <si>
    <t>Il arrive que vous ayez 2 tutos pour la même fonction, c'est voliontaire parce que le plus important c'est de cliquer sur le nom de l'auteur sous la vidéo pour découvrir sa liste</t>
  </si>
  <si>
    <t>Ciquez sur les liens dans la colonne C</t>
  </si>
  <si>
    <t xml:space="preserve"> Excel principaux formats, actuels, ou obsolètes que nous allons pouvoir être amené à utiliser.</t>
  </si>
  <si>
    <t>https://www.excelformation.fr/formats-fichiers-excel.html</t>
  </si>
  <si>
    <t>Fichier XLS ou XLSX ?</t>
  </si>
  <si>
    <t>https://www.excel-exercice.com/fichier-xls-ou-xlsx/</t>
  </si>
  <si>
    <t>https://commentouvrir.com/extension/xlsm</t>
  </si>
  <si>
    <r>
      <t>Les fichiers </t>
    </r>
    <r>
      <rPr>
        <b/>
        <sz val="12"/>
        <color rgb="FF202124"/>
        <rFont val="Calibri"/>
        <family val="2"/>
        <scheme val="minor"/>
      </rPr>
      <t>XLSM</t>
    </r>
    <r>
      <rPr>
        <sz val="12"/>
        <color rgb="FF202124"/>
        <rFont val="Calibri"/>
        <family val="2"/>
        <scheme val="minor"/>
      </rPr>
      <t xml:space="preserve"> sont enregistrés au format Open XML introduit dans Microsoft Office 2007. </t>
    </r>
  </si>
  <si>
    <t xml:space="preserve">Les fichiers XLSM sont des fichiers . XLSX , mais avec les macros activées. </t>
  </si>
  <si>
    <t>Une macro est une fonctionnalité utile qui fonctionne comme un script, ce qui permet aux utilisateurs d'automatiser des tâches répétitives.</t>
  </si>
  <si>
    <t>Comment créer un fichier XLSM ?</t>
  </si>
  <si>
    <t>Pour enregistrer sous forme de classeur prenant en charge les macros :</t>
  </si>
  <si>
    <t>1. cliquer sur Non.</t>
  </si>
  <si>
    <t xml:space="preserve">2. Dans la boîte de dialogue Enregistrer sous, dans la zone de liste Enregistrer en tant que type, </t>
  </si>
  <si>
    <t>sélectionnez Classeur Excel prenant en charge les macros (*. xlsm).</t>
  </si>
  <si>
    <t>3. Cliquez sur Enregistrer.</t>
  </si>
  <si>
    <t>Comment convertir un fichier XLSM en xlsx ?</t>
  </si>
  <si>
    <t>Vous pouvez même utiliser Google Sheets pour convertir un fichier XLSM dans un format différent.</t>
  </si>
  <si>
    <t xml:space="preserve"> Avec le fichier ouvert là-bas, allez à Déposez le &gt; Télécharger pour le télécharger sous forme de fichier XLSX, ODS, PDF, HTML, CSV ou TSV.</t>
  </si>
  <si>
    <t>Modifier une macro</t>
  </si>
  <si>
    <t>https://support.microsoft.com/fr-fr/office/modifier-une-macro-ed9e8c3d-58fd-47a1-83eb-bdee680376bb</t>
  </si>
  <si>
    <t>Enregistrer une macro</t>
  </si>
  <si>
    <t>https://support.microsoft.com/fr-fr/office/enregistrer-une-macro-24a026ef-3145-4bf8-a5f2-2fc7889ff74a</t>
  </si>
  <si>
    <t>MACRO: SÉLECTIONNER TOUTE LA LIGNE ET LA COLONNE ACTIVE DANS UN TABLEAU EN VBA - DOCTEUR EXCEL</t>
  </si>
  <si>
    <t>https://www.youtube.com/watch?v=um737ZwwwoU</t>
  </si>
  <si>
    <t>Afficher les outils pour les macros - Excel</t>
  </si>
  <si>
    <t>https://www.pcastuces.com/pratique/astuces/5664.htm</t>
  </si>
  <si>
    <t>Vous avez besoin de travailler avec des macros dans Excel ?</t>
  </si>
  <si>
    <t xml:space="preserve"> Affichez l'onglet Développeur dans le ruban afin d'accéder rapidement aux outils pour gérer vos macros et votre code Visual Basic.</t>
  </si>
  <si>
    <t>1. Cliquez avec le bouton droit de la souris sur le ruban et cliquez sur Personnaliser le ruban.</t>
  </si>
  <si>
    <t>Comment afficher code macro Excel ?</t>
  </si>
  <si>
    <t xml:space="preserve">Cliquez avec le bouton droit de la souris sur le ruban et cliquez sur Personnaliser le ruban. </t>
  </si>
  <si>
    <t xml:space="preserve">Cochez la case Développeur dans la liste Onglets principaux. Validez par OK. </t>
  </si>
  <si>
    <t>L'onglet Développeur est ajouté au ruban et vous permet d'accéder rapidement aux outils pour gérer vos macros et votre code Visual Basic.</t>
  </si>
  <si>
    <t>Comment compléter une macro Excel ?</t>
  </si>
  <si>
    <t xml:space="preserve">Sous l'onglet Développeur, dans le groupe Code, cliquez sur Macros. </t>
  </si>
  <si>
    <t>Dans la zone Nom de la macro, cliquez sur la macro à modifier. Cliquez sur Modifier.</t>
  </si>
  <si>
    <t>Https://cellulexcel.blogspot.com/p/excel-trucs-astuces.html</t>
  </si>
  <si>
    <t>COMMENT TAPER UNE FRACTION sans qu'Excel l'interpètre comme une date    ----------------</t>
  </si>
  <si>
    <t>Taper un zéro, un espace et la fraction =&gt;  0 1/2</t>
  </si>
  <si>
    <t>COMMENT TAPER UNE ANNOTATION DANS UNE FORMULE    ----------------</t>
  </si>
  <si>
    <t>Exemple en cellule C3</t>
  </si>
  <si>
    <t xml:space="preserve">* Taper la formule =A1+A2  </t>
  </si>
  <si>
    <t>* Pour mémoriser une annotation ajouter +N("Votre annotation"). La fonction N transforme en zéro tout le texte placé en annotation et celle-ci reste visible</t>
  </si>
  <si>
    <t xml:space="preserve">* Formule finalisée =&gt;  =A1+A2+N("Somme de la cellule A1 et A2") </t>
  </si>
  <si>
    <t xml:space="preserve"> </t>
  </si>
  <si>
    <t xml:space="preserve"> REPÉRER LES DOUBLONS DANS UNE COLONNE    ----------------</t>
  </si>
  <si>
    <t xml:space="preserve">Exemple pour la colonne A </t>
  </si>
  <si>
    <t>* Sélectionnez la colonne A dans son intégralité.</t>
  </si>
  <si>
    <t>* Dans l'onglet Accueil sélectionnez Mise en forme conditionnelle</t>
  </si>
  <si>
    <t>* Cliquez sur Nouvelle Règle</t>
  </si>
  <si>
    <t>* Cliquez sur Utiliser une formule pour déterminer pour quelles cellules le format sera appliqué.</t>
  </si>
  <si>
    <t>* Insérez la formule suivante =NB.SI(A:A;A1)&gt;1</t>
  </si>
  <si>
    <t>* Ensuite cliquez sur le bouton Format pour définir la mise en forme (Ex. Couleur de fond cliquez sur Remplissage)</t>
  </si>
  <si>
    <t xml:space="preserve"> AJOUTER DE POINTS FIN DE MOT OU DE PHRASE POUR PLUS DE LISIBILITE    ----------------</t>
  </si>
  <si>
    <t xml:space="preserve"> Exemple : Total général ..................................   150,00 €</t>
  </si>
  <si>
    <t>Analyser vos formules avec F9</t>
  </si>
  <si>
    <t>https://www.excel-exercice.com/analyser-vos-formules-avec-f9/</t>
  </si>
  <si>
    <t>Les formules logiques ET(), OU() et OUX() d’Excel pour combiner des tests</t>
  </si>
  <si>
    <t>https://www.youtube.com/watch?v=EbpC3cs2aTA</t>
  </si>
  <si>
    <t>Comment utiliser la formule MOD() pour calculer le reste d'une division euclidienne sur Excel</t>
  </si>
  <si>
    <t>https://www.youtube.com/watch?v=UnkKrv53fiA</t>
  </si>
  <si>
    <t>Comment arrondir un nombre sur Excel (mise en forme ou formule : la bonne méthode)</t>
  </si>
  <si>
    <t>https://www.youtube.com/watch?v=ycuXhxLIeY8</t>
  </si>
  <si>
    <t>Faire des SI imbriqués dans Excel avec si.condition</t>
  </si>
  <si>
    <t>COMMENT CONVERTIR DES UNITÉS DE MESURE SUR EXCEL ? AVEC LA FONCTION CONVERT()</t>
  </si>
  <si>
    <t>https://www.youtube.com/watch?v=t9BfPsVC5hk</t>
  </si>
  <si>
    <t>Comment devenir plus productif grâce aux raccourcis clavier Excel</t>
  </si>
  <si>
    <t>https://www.youtube.com/watch?v=xyjZP4GMmSc</t>
  </si>
  <si>
    <t>Tracer facilement les bordures</t>
  </si>
  <si>
    <t>https://www.excel-exercice.com/bordures/</t>
  </si>
  <si>
    <t>Déplacer ou copier des feuilles de calcul ou des données de feuille de calcul</t>
  </si>
  <si>
    <t xml:space="preserve">copier une feuille de calcul du classeur actuel </t>
  </si>
  <si>
    <t>Comment synthétiser les informations sur Excel : le mode plan</t>
  </si>
  <si>
    <t>https://www.youtube.com/watch?v=zFR8-vdbebo</t>
  </si>
  <si>
    <t>LES 3 MÉTHODES POUR TRANSFORMER DES LIGNES EN COLONNES SUR EXCEL : AVANTAGES ET INCONVÉNIENTS</t>
  </si>
  <si>
    <t>https://www.youtube.com/watch?v=OZoAZHIP-kk&amp;t=630s</t>
  </si>
  <si>
    <t>COMMENT COMPTER LE NOMBRE DE FEUILLES, DE LIGNES OU DE COLONNES EXCEL ?</t>
  </si>
  <si>
    <t>https://www.youtube.com/watch?v=ljG0dl6aZOk</t>
  </si>
  <si>
    <t>COMMENT CLASSER SIMPLEMENT DES DONNÉES AVEC LA FONCTION RANG (AVEC OU SANS EX ÆQUO) EXCEL ?</t>
  </si>
  <si>
    <t>https://www.youtube.com/watch?v=XB7PbjxQgiQ</t>
  </si>
  <si>
    <t>Comment créer un moteur de recherche… avec deux formules et sans VBA sur Excel</t>
  </si>
  <si>
    <t>https://www.youtube.com/watch?v=S_rTf5wWhr8</t>
  </si>
  <si>
    <t>Créer la table des matières d’un classeur</t>
  </si>
  <si>
    <t>https://www.excel-exercice.com/creer-la-table-des-matieres-dun-classeur/</t>
  </si>
  <si>
    <t>Comment afficher plusieurs feuilles d'un même classeur en même temps sur Excel</t>
  </si>
  <si>
    <t>https://www.youtube.com/watch?v=ign5pz_-R_I</t>
  </si>
  <si>
    <t>6 ASTUCES POUR IMPRIMER DES TABLEAUX EXCEL QUI DECHIRENT</t>
  </si>
  <si>
    <t>https://www.youtube.com/watch?v=eML_TISUYpw&amp;t=31s</t>
  </si>
  <si>
    <t>COMMENT TRADUIRE UN TEXTE DANS TOUTES LES LANGUES EN UTILISANT UNE FONCTION EXCEL</t>
  </si>
  <si>
    <t>https://www.youtube.com/watch?v=wXenlFqrWWY</t>
  </si>
  <si>
    <t>Categorie : Manipulation</t>
  </si>
  <si>
    <t>https://www.excel-exercice.com/manipulation/</t>
  </si>
  <si>
    <t>Categorie : Les Add-Ins</t>
  </si>
  <si>
    <t>https://www.excel-exercice.com/add-in/</t>
  </si>
  <si>
    <t>Categorie : Nouveautés</t>
  </si>
  <si>
    <t>https://www.excel-exercice.com/nouveaute/</t>
  </si>
  <si>
    <t>Comment créer un mini comparateur de prix (récupérer les prix automatiquement ) sur Excel</t>
  </si>
  <si>
    <t>https://www.youtube.com/watch?v=jjhrpq-f-74&amp;t=102s</t>
  </si>
  <si>
    <t>COMMENT CRÉER UNE LISTE DE COURSE AUTOMATIQUE AVEC UN TABLEAU CROISÉ DYNAMIQUE SUR EXCEL</t>
  </si>
  <si>
    <t>https://www.youtube.com/watch?v=_uhXSrAkHXc</t>
  </si>
  <si>
    <t>Mes recettes de cuisine sur Excel</t>
  </si>
  <si>
    <t>https://www.youtube.com/watch?v=KK9rJpuHmZA</t>
  </si>
  <si>
    <t>gérer, consulter, modifier vos propres recettes de cuisine par l’intermédiaire d'Excel</t>
  </si>
  <si>
    <t>https://cellulexcel.blogspot.com/p/blog-page_22.html</t>
  </si>
  <si>
    <t>CRÉER SON CARNET DE RECETTES PERSONNALISÉ : PAPIER OU DIGITAL ?</t>
  </si>
  <si>
    <t>https://mccascabel.fr/carnet-de-recettes-personnalise/</t>
  </si>
  <si>
    <t>Excel - Comment générer des QR Codes dans Excel ?</t>
  </si>
  <si>
    <t>https://www.youtube.com/watch?v=_JzUgEGWuk0</t>
  </si>
  <si>
    <t>la SOMME d'une plage de cellules en fonction de leur couleur de fond.</t>
  </si>
  <si>
    <t>https://cellulexcel.blogspot.com/p/somme.html</t>
  </si>
  <si>
    <t>Mettre en couleur toute une ligne dés qu'une cellule de cette ligne est remplie (excel)</t>
  </si>
  <si>
    <t>https://www.youtube.com/watch?v=21oGa9Q92s4</t>
  </si>
  <si>
    <t>Excelpourlesbulles &gt;</t>
  </si>
  <si>
    <t>https://www.youtube.com/channel/UCoTqCeSunCB3-puwIicURbw</t>
  </si>
  <si>
    <t>Colorier une ligne entière avec formule</t>
  </si>
  <si>
    <t>https://www.excel-exercice.com/colorier-une-ligne-entiere/</t>
  </si>
  <si>
    <t>Somme Si Couleur</t>
  </si>
  <si>
    <t>https://www.youtube.com/watch?v=7amIEwzFoF0</t>
  </si>
  <si>
    <t>Comment Compter Et Additionner Les Cellules En Fonction De La Couleur D'arrière-Plan Dans Excel?</t>
  </si>
  <si>
    <t>https://fr.extendoffice.com/documents/excel/1155-excel-count-sum-cells-by-color.html</t>
  </si>
  <si>
    <t>Tutoriel Excel : compter et additionner les cellules par couleur ?</t>
  </si>
  <si>
    <t>https://www.cours-gratuit.com/tutoriel-excel/tutoriel-excel-comment-compter-et-additionner-les-cellules-par-couleur</t>
  </si>
  <si>
    <t>----------------    COLORIER UNE COLONNE SUR DEUX    ----------------</t>
  </si>
  <si>
    <t>Procédez de la même manière que précédemment mais en sélectionnant les colonnes ou une plage de cellules.</t>
  </si>
  <si>
    <t>Insérez la formule suivante =&gt; =EST.PAIR(COLONNE())</t>
  </si>
  <si>
    <t>Vous pouvez même coloriser vos ligne et vos colonnes en appliquant les deux formules précédentes sur un ensemble de plage de cellules.</t>
  </si>
  <si>
    <t>Mise en forme conditionnelle simple</t>
  </si>
  <si>
    <t>https://www.youtube.com/watch?v=xFOMtm4wRtE</t>
  </si>
  <si>
    <t>Excel | Mise En Forme Conditionnelle sur toute une ligne</t>
  </si>
  <si>
    <t>https://www.youtube.com/watch?v=PbUvODhmdxI</t>
  </si>
  <si>
    <t>Excel - Mise en forme conditionnelle selon le contenu d'une autre cellule</t>
  </si>
  <si>
    <t>https://www.youtube.com/watch?v=Cxs3l7_EI4I</t>
  </si>
  <si>
    <t>Lecompagnon &gt;</t>
  </si>
  <si>
    <t>https://www.youtube.com/c/lecompagnoninfo/videos</t>
  </si>
  <si>
    <t>Colorer des lignes de façon conditionnelle dans un tableau Excel</t>
  </si>
  <si>
    <t>https://www.youtube.com/watch?v=ZEL3mVdUCcg</t>
  </si>
  <si>
    <t>Bureautique Efficace &gt;</t>
  </si>
  <si>
    <t>https://www.youtube.com/channel/UCmkKGwRm5LYN6zpgTVvNpdA/videos</t>
  </si>
  <si>
    <t>COMMENT SURLIGNER LA LIGNE DE LA CELLULE SÉLECTIONNÉE SUR EXCEL - TECHNIQUE AVANCÉE</t>
  </si>
  <si>
    <t>https://www.youtube.com/watch?v=OQJzipM0rgU</t>
  </si>
  <si>
    <t>Colorisation &amp; autorisation saisie sur cellule</t>
  </si>
  <si>
    <t>https://forum.excel-pratique.com/excel/colorisation-autorisation-saisie-sur-cellule-121141#p739320</t>
  </si>
  <si>
    <t>Comment surligner la ligne de la cellule sélectionnée</t>
  </si>
  <si>
    <t>https://www.youtube.com/watch?v=Xvb1pAnQrts</t>
  </si>
  <si>
    <t>Excel Formation &gt;</t>
  </si>
  <si>
    <t>https://www.youtube.com/c/ExcelFormation/videos</t>
  </si>
  <si>
    <t>Dans un premier temps sélectionnez les lignes, ou une plage de cellules que vous souhaitez coloriser une ligne sur deux puis cliquez sur :</t>
  </si>
  <si>
    <t>1) Mise en forme conditionnelle</t>
  </si>
  <si>
    <t xml:space="preserve">2) Gérer les règles </t>
  </si>
  <si>
    <t>3) sur Nouvelle Règle</t>
  </si>
  <si>
    <t>4) puis choisissez Utiliser une formule pour déterminer pour quelles cellules le format sera appliqué</t>
  </si>
  <si>
    <t>5) Inséser la formule suivante dans l'environnement "Appliquer une mise en forme aux valeurs pour lesquellles cette formule est vraie :"</t>
  </si>
  <si>
    <t>https://www.excel-pratique.com/fr/fonctions-complementaires.php</t>
  </si>
  <si>
    <t>Excel questions / Réponses</t>
  </si>
  <si>
    <t>http://excel.engalere.com/tags/</t>
  </si>
  <si>
    <t>Fin</t>
  </si>
  <si>
    <t>Codes de couleur HTML sécurisés pour le Web / Tableau de référence</t>
  </si>
  <si>
    <t>https://encycolorpedia.com/websafe</t>
  </si>
  <si>
    <t>Codes de couleurs HTML / Tableau de référence</t>
  </si>
  <si>
    <t>https://encycolorpedia.com/html</t>
  </si>
  <si>
    <t>Codes de couleurs nommés / Tableau de référence</t>
  </si>
  <si>
    <t>https://encycolorpedia.com/named</t>
  </si>
  <si>
    <t>Correspondance des couleurs de peinture et convertisseur</t>
  </si>
  <si>
    <t>https://encycolorpedia.com/paints</t>
  </si>
  <si>
    <t>← largeurs actuelles des colonnes</t>
  </si>
  <si>
    <t>&lt; ✅ largeurs conseillées</t>
  </si>
  <si>
    <t>FIN</t>
  </si>
  <si>
    <t>⑪ PHASES ESSENTIELLES  DE PROGRESSION</t>
  </si>
  <si>
    <t>Mickaël RABEAU - Formateur AFPA - Rochefort sur mer</t>
  </si>
  <si>
    <t>Cuisson: 190-200°C pour les grosses pièces</t>
  </si>
  <si>
    <t>200°C pour les petites pièces</t>
  </si>
  <si>
    <t>A l'enfournement, la clé est fermée pour favoriser le développement, aussitôt que</t>
  </si>
  <si>
    <t xml:space="preserve"> aussitôt que celui-ci est constaté, cuire clé ouverte.</t>
  </si>
  <si>
    <t>Fin du document cellule &gt;</t>
  </si>
  <si>
    <t>📝 Mode d'emploi du Postit adaptation selon modèle</t>
  </si>
  <si>
    <t>j’ai saisi "Postit" volontairement l'autre version est une marque déposée</t>
  </si>
  <si>
    <t>🧩 Mode d’emploi du POSTIT</t>
  </si>
  <si>
    <t>Pour dupliquer ce POSTIT – 3 méthodes</t>
  </si>
  <si>
    <t>1️⃣ Faites une copie de ce postit.</t>
  </si>
  <si>
    <t>Méthode 1 – Dupliquer la feuille entière</t>
  </si>
  <si>
    <t>Saisissez ensuite votre recette sur cette copie.</t>
  </si>
  <si>
    <r>
      <t xml:space="preserve">1. Maintenez </t>
    </r>
    <r>
      <rPr>
        <b/>
        <sz val="11"/>
        <color theme="1"/>
        <rFont val="Calibri"/>
        <family val="2"/>
        <scheme val="minor"/>
      </rPr>
      <t>Ctrl</t>
    </r>
    <r>
      <rPr>
        <sz val="11"/>
        <color theme="1"/>
        <rFont val="Calibri"/>
        <family val="2"/>
        <scheme val="minor"/>
      </rPr>
      <t xml:space="preserve"> enfoncé.</t>
    </r>
  </si>
  <si>
    <t>2️⃣ ✂️sur la copie  Lignes que vous pouvez supprimer pour raccourcir</t>
  </si>
  <si>
    <r>
      <t>2. Cliquez</t>
    </r>
    <r>
      <rPr>
        <sz val="11"/>
        <color theme="1"/>
        <rFont val="Calibri"/>
        <family val="2"/>
        <scheme val="minor"/>
      </rPr>
      <t xml:space="preserve"> sur l’onglet de la feuille (en bas).</t>
    </r>
  </si>
  <si>
    <r>
      <t>3. Glissez</t>
    </r>
    <r>
      <rPr>
        <sz val="11"/>
        <color theme="1"/>
        <rFont val="Calibri"/>
        <family val="2"/>
        <scheme val="minor"/>
      </rPr>
      <t xml:space="preserve"> l’onglet vers la droite puis relâchez : la feuille est copiée avec le postit.</t>
    </r>
  </si>
  <si>
    <r>
      <t xml:space="preserve">Lignes avec </t>
    </r>
    <r>
      <rPr>
        <b/>
        <sz val="11"/>
        <color theme="1"/>
        <rFont val="Calibri"/>
        <family val="2"/>
        <scheme val="minor"/>
      </rPr>
      <t>► noir</t>
    </r>
  </si>
  <si>
    <t>Méthode 2 – Copier les colonnes du postit</t>
  </si>
  <si>
    <r>
      <t xml:space="preserve">1. Cliquez sur la </t>
    </r>
    <r>
      <rPr>
        <b/>
        <sz val="11"/>
        <color theme="1"/>
        <rFont val="Calibri"/>
        <family val="2"/>
        <scheme val="minor"/>
      </rPr>
      <t>ligne des lettres de colonnes</t>
    </r>
    <r>
      <rPr>
        <sz val="11"/>
        <color theme="1"/>
        <rFont val="Calibri"/>
        <family val="2"/>
        <scheme val="minor"/>
      </rPr>
      <t xml:space="preserve"> (A, B, C…) </t>
    </r>
  </si>
  <si>
    <t>pour sélectionner les colonnes du postit.</t>
  </si>
  <si>
    <r>
      <t>2. Copiez</t>
    </r>
    <r>
      <rPr>
        <sz val="11"/>
        <color theme="1"/>
        <rFont val="Calibri"/>
        <family val="2"/>
        <scheme val="minor"/>
      </rPr>
      <t xml:space="preserve"> (Ctrl+C).</t>
    </r>
  </si>
  <si>
    <t>3️⃣ ⚠ Lignes à NE JAMAIS supprimer</t>
  </si>
  <si>
    <r>
      <t>3. Collez</t>
    </r>
    <r>
      <rPr>
        <sz val="11"/>
        <color theme="1"/>
        <rFont val="Calibri"/>
        <family val="2"/>
        <scheme val="minor"/>
      </rPr>
      <t xml:space="preserve"> (Ctrl+V) sur une </t>
    </r>
    <r>
      <rPr>
        <b/>
        <sz val="11"/>
        <color theme="1"/>
        <rFont val="Calibri"/>
        <family val="2"/>
        <scheme val="minor"/>
      </rPr>
      <t>feuille vierge</t>
    </r>
    <r>
      <rPr>
        <sz val="11"/>
        <color theme="1"/>
        <rFont val="Calibri"/>
        <family val="2"/>
        <scheme val="minor"/>
      </rPr>
      <t>.</t>
    </r>
  </si>
  <si>
    <t>NE SUPPRIMEZ PAS LES LIGNES A SUR FOND VERT</t>
  </si>
  <si>
    <t>excel les utilise pour le fonctionnement des formules</t>
  </si>
  <si>
    <t>Méthode 3 – Copier uniquement le postit</t>
  </si>
  <si>
    <r>
      <t xml:space="preserve">1. Cliquez sur la </t>
    </r>
    <r>
      <rPr>
        <b/>
        <sz val="11"/>
        <color theme="1"/>
        <rFont val="Calibri"/>
        <family val="2"/>
        <scheme val="minor"/>
      </rPr>
      <t>cellule A rouge</t>
    </r>
    <r>
      <rPr>
        <sz val="11"/>
        <color theme="1"/>
        <rFont val="Calibri"/>
        <family val="2"/>
        <scheme val="minor"/>
      </rPr>
      <t xml:space="preserve"> (haut gauche du postit).</t>
    </r>
  </si>
  <si>
    <r>
      <t xml:space="preserve">2. Étirez la sélection jusqu’à la </t>
    </r>
    <r>
      <rPr>
        <b/>
        <sz val="11"/>
        <color theme="1"/>
        <rFont val="Calibri"/>
        <family val="2"/>
        <scheme val="minor"/>
      </rPr>
      <t>dernière cellule en bas à droite</t>
    </r>
    <r>
      <rPr>
        <sz val="11"/>
        <color theme="1"/>
        <rFont val="Calibri"/>
        <family val="2"/>
        <scheme val="minor"/>
      </rPr>
      <t xml:space="preserve"> du postit.</t>
    </r>
  </si>
  <si>
    <r>
      <t>3. Copiez</t>
    </r>
    <r>
      <rPr>
        <sz val="11"/>
        <color theme="1"/>
        <rFont val="Calibri"/>
        <family val="2"/>
        <scheme val="minor"/>
      </rPr>
      <t xml:space="preserve"> puis </t>
    </r>
    <r>
      <rPr>
        <b/>
        <sz val="11"/>
        <color theme="1"/>
        <rFont val="Calibri"/>
        <family val="2"/>
        <scheme val="minor"/>
      </rPr>
      <t>collez</t>
    </r>
    <r>
      <rPr>
        <sz val="11"/>
        <color theme="1"/>
        <rFont val="Calibri"/>
        <family val="2"/>
        <scheme val="minor"/>
      </rPr>
      <t xml:space="preserve"> dans une </t>
    </r>
    <r>
      <rPr>
        <b/>
        <sz val="11"/>
        <color theme="1"/>
        <rFont val="Calibri"/>
        <family val="2"/>
        <scheme val="minor"/>
      </rPr>
      <t>feuille préformatée</t>
    </r>
    <r>
      <rPr>
        <sz val="11"/>
        <color theme="1"/>
        <rFont val="Calibri"/>
        <family val="2"/>
        <scheme val="minor"/>
      </rPr>
      <t xml:space="preserve"> avec les bonnes largeurs de colonnes.</t>
    </r>
  </si>
  <si>
    <t xml:space="preserve">📋 MODE D'EMPLOI EXPRESS </t>
  </si>
  <si>
    <t>🔄 CHANGER DE POSTIT 🔄</t>
  </si>
  <si>
    <t>1️⃣ Collez votre "postit" en 🟥 A colonne B</t>
  </si>
  <si>
    <t>1️⃣ Sélectionnez tout le "postit" (de A rouge → bas droite)</t>
  </si>
  <si>
    <t>2️⃣ Remplissez ingrédients + quantités</t>
  </si>
  <si>
    <t>2️⃣ Décochez : Fusionner/centrer + Renvoyer à la ligne</t>
  </si>
  <si>
    <t>3️⃣ Procédure dans tableau A (Collage spécial &gt; Valeurs)</t>
  </si>
  <si>
    <t>3️⃣ Touche Suppr</t>
  </si>
  <si>
    <t>4️⃣ Ajustez largeur colonne dans tableau B</t>
  </si>
  <si>
    <t>4️⃣ Collez le nouveau postit sur A rouge</t>
  </si>
  <si>
    <t>5️⃣ Limitez les caractères pour éviter débordements</t>
  </si>
  <si>
    <t>💡 Vérifiez l'alignement avant de remplir</t>
  </si>
  <si>
    <t>6️⃣ Copiez texte ajusté dans post-it (Collage spécial &gt; Valeurs)</t>
  </si>
  <si>
    <t>Si vous masquez des colonnes cliquez sur F9 pour la mise à jour</t>
  </si>
  <si>
    <t>💡 Astuce : Toujours utiliser Collage spécial &gt; Valeurs !</t>
  </si>
  <si>
    <t>j'ai volontairement saisi "Postit" parce que l'autre version est une marque</t>
  </si>
  <si>
    <r>
      <t xml:space="preserve">📝 </t>
    </r>
    <r>
      <rPr>
        <b/>
        <sz val="12"/>
        <color rgb="FFC00000"/>
        <rFont val="Calibri"/>
        <family val="2"/>
        <scheme val="minor"/>
      </rPr>
      <t>Découper un texte manuellement sur plusieurs cellules</t>
    </r>
  </si>
  <si>
    <r>
      <t xml:space="preserve">1️⃣. Gardez le </t>
    </r>
    <r>
      <rPr>
        <b/>
        <sz val="11"/>
        <color rgb="FF0000FF"/>
        <rFont val="Calibri"/>
        <family val="2"/>
        <scheme val="minor"/>
      </rPr>
      <t>texte complet</t>
    </r>
    <r>
      <rPr>
        <sz val="11"/>
        <color rgb="FF0000FF"/>
        <rFont val="Calibri"/>
        <family val="2"/>
        <scheme val="minor"/>
      </rPr>
      <t xml:space="preserve"> dans une cellule (ex. B10).</t>
    </r>
  </si>
  <si>
    <r>
      <t xml:space="preserve">4️⃣. Descendez en B11 → </t>
    </r>
    <r>
      <rPr>
        <b/>
        <sz val="11"/>
        <color rgb="FF0000FF"/>
        <rFont val="Calibri"/>
        <family val="2"/>
        <scheme val="minor"/>
      </rPr>
      <t>Ctrl+V</t>
    </r>
    <r>
      <rPr>
        <sz val="11"/>
        <color rgb="FF0000FF"/>
        <rFont val="Calibri"/>
        <family val="2"/>
        <scheme val="minor"/>
      </rPr>
      <t xml:space="preserve"> (coller la suite).</t>
    </r>
  </si>
  <si>
    <r>
      <t xml:space="preserve">2️⃣. Dans la </t>
    </r>
    <r>
      <rPr>
        <b/>
        <sz val="11"/>
        <color rgb="FF0000FF"/>
        <rFont val="Calibri"/>
        <family val="2"/>
        <scheme val="minor"/>
      </rPr>
      <t>barre de formule</t>
    </r>
    <r>
      <rPr>
        <sz val="11"/>
        <color rgb="FF0000FF"/>
        <rFont val="Calibri"/>
        <family val="2"/>
        <scheme val="minor"/>
      </rPr>
      <t xml:space="preserve">, repérez l’endroit où couper, </t>
    </r>
  </si>
  <si>
    <t>Recommencez en B11, B12…</t>
  </si>
  <si>
    <t>puis revenez jusqu’à un espace entre deux mots.</t>
  </si>
  <si>
    <t xml:space="preserve"> jusqu’à avoir une partie de texte par cellule.</t>
  </si>
  <si>
    <r>
      <t xml:space="preserve">3️⃣. Sélectionnez tout ce qui est </t>
    </r>
    <r>
      <rPr>
        <b/>
        <sz val="11"/>
        <color rgb="FF0000FF"/>
        <rFont val="Calibri"/>
        <family val="2"/>
        <scheme val="minor"/>
      </rPr>
      <t>après cet espace</t>
    </r>
    <r>
      <rPr>
        <sz val="11"/>
        <color rgb="FF0000FF"/>
        <rFont val="Calibri"/>
        <family val="2"/>
        <scheme val="minor"/>
      </rPr>
      <t xml:space="preserve"> </t>
    </r>
  </si>
  <si>
    <t>→ Ctrl+X (couper) → Entrée : la 1ʳᵉ partie reste en B10.</t>
  </si>
  <si>
    <t xml:space="preserve"> Prix</t>
  </si>
  <si>
    <t>ne confondez pas prix au Kg et prix à la pièce</t>
  </si>
  <si>
    <t>unitaire &gt;</t>
  </si>
  <si>
    <t>faire bouillir la crème avec les zestes</t>
  </si>
  <si>
    <t>cuire comme une crème patissière avec le sucre ,les jaunes, et la maîzena</t>
  </si>
  <si>
    <t>L'utilisation professionnelle des recettes vous engage à connaître la réglementation en matière d'hygiène et HACCP.</t>
  </si>
  <si>
    <t>Lien Auteur @</t>
  </si>
  <si>
    <t>toujours citer la source ou ajouter un lien</t>
  </si>
  <si>
    <t>Coût : 1* économique - 4**** luxe</t>
  </si>
  <si>
    <t>**</t>
  </si>
  <si>
    <t>Difficulté : 1*Facile - 4**** Difficile</t>
  </si>
  <si>
    <t>Temps de préparation</t>
  </si>
  <si>
    <t>Temps de cuisson</t>
  </si>
  <si>
    <t>Temps de refroidissement</t>
  </si>
  <si>
    <t>CONDITIONNEMENT   (exemple)</t>
  </si>
  <si>
    <t>Effectifs ▼</t>
  </si>
  <si>
    <t>Quoi ▼</t>
  </si>
  <si>
    <t xml:space="preserve"> couverts</t>
  </si>
  <si>
    <t xml:space="preserve">◄ votre Contenant </t>
  </si>
  <si>
    <t>&lt; poids par portion</t>
  </si>
  <si>
    <t>CONDITIONNEMENT</t>
  </si>
  <si>
    <t>ou quel grammage par portion</t>
  </si>
  <si>
    <t>Saisissez vos effectifs</t>
  </si>
  <si>
    <t xml:space="preserve"> Quoi ? Saisissez Morceaux - tranches- portions - pièces - cerises etc</t>
  </si>
  <si>
    <t xml:space="preserve">Quantité p.p. au choix ou les deux </t>
  </si>
  <si>
    <t>le contenant saisissez  gastro(s) 1/1 - grille(s) - plat(s) - louche(s) etc..</t>
  </si>
  <si>
    <t>combien de pièces par personne (tranches - louches- etc..)</t>
  </si>
  <si>
    <t>combien de tranches ou autre par contenant</t>
  </si>
  <si>
    <t>ou quel poids par contenant</t>
  </si>
  <si>
    <t>Si vous récupérez une liste , je vous propose une formule pour récupérer le texte . Exemple</t>
  </si>
  <si>
    <t xml:space="preserve">▼ Formule pour récupérer le texte </t>
  </si>
  <si>
    <t>liste récupérée ▼</t>
  </si>
  <si>
    <t>Navarin d’agneau . . . . . . . . . . . . . . . . . . . . .14 kg</t>
  </si>
  <si>
    <t>Éléments pour la cuisson du navarin</t>
  </si>
  <si>
    <t>Oignons . . . . . . . . . . . . . . . . . . . . . . . . . . . . . . . . . .4 kg</t>
  </si>
  <si>
    <t>Concentré de tomate . . . . . . . . . . . .1 bte 4/4</t>
  </si>
  <si>
    <t>Ail haché surgelé . . . . . . . . . . . . . . . . . . . . . .200 g</t>
  </si>
  <si>
    <t>Farine . . . . . . . . . . . . . . . . . . . . . . . . . . . . . . . . . . .500 g</t>
  </si>
  <si>
    <t>Bouquet garni . . . . . . . . . . . . . . . . . . . . . . . . . . . . . . .1</t>
  </si>
  <si>
    <t>Fond brun clair de veau . . . . . . . . . . . . . . . .12 L</t>
  </si>
  <si>
    <t>Haricots blancs (coco) . . . . . . . . . . . . . . . . .1 kg</t>
  </si>
  <si>
    <t>Éléments de la garniture aromatique des</t>
  </si>
  <si>
    <t>Oignons . . . . . . . . . . . . . . . . . . . . . . . . . . . . . . . . . .1 kg</t>
  </si>
  <si>
    <t>Carottes . . . . . . . . . . . . . . . . . . . . . . . . . . . . . . . . . .1 kg</t>
  </si>
  <si>
    <t>Clous de girofle . . . . . . . . . . . . . . . . . . .12 pièces</t>
  </si>
  <si>
    <t>Éléments de la garniture du cassoulet</t>
  </si>
  <si>
    <t>Poitrine fraîche . . . . . . . . . . . . . . . . . . . . . . . . . .4 kg</t>
  </si>
  <si>
    <t>Saucisson à l’ail</t>
  </si>
  <si>
    <t>ou saucisse de Toulouse . . . . . . . . . . . . . . . .4 kg</t>
  </si>
  <si>
    <t>Dés de tomates surgelés . . . . . . . . . . . . . . .5 kg</t>
  </si>
  <si>
    <t>Tomate concentrée . . . . . . . . . . . . . . . . . . .400 g</t>
  </si>
  <si>
    <t>Ail haché surgelé . . . . . . . . . . . . . . . . . . . . . .250 g</t>
  </si>
  <si>
    <t>Herbes de Provence . . . . . . . . . . . . . . . . . . . .15 g</t>
  </si>
  <si>
    <t>Sel . . . . . . . . . . . . . . . . . . . . . .quantités suffisantes</t>
  </si>
  <si>
    <t>Poivre . . . . . . . . . . . . . . . . . .quantités suffisantes</t>
  </si>
  <si>
    <t>Chapelure . . . . . . . . . . . . . . . . . . . . . . . . . . . . . . .1 kg</t>
  </si>
  <si>
    <t>Récupérez votre liste = Copier puis collage spécial 1.2.3. dans votre document pour ne pas coller la formule</t>
  </si>
  <si>
    <t>lorsque vous récupérez du texte ; supprimer le signe = et les tirets - excel considère le texte comme une formule; exemple</t>
  </si>
  <si>
    <t>vous obtenez #NOM? Parce qu'il y a avant le texte le signe = et 1 tiret -</t>
  </si>
  <si>
    <t>Illustrer avec les émojis</t>
  </si>
  <si>
    <t>https://www.bonbache.fr/syntheses-graphiques-excel-avec-les-emoticones-499.html</t>
  </si>
  <si>
    <t>largeur conseillée</t>
  </si>
  <si>
    <t>largeur réelle avec formule</t>
  </si>
  <si>
    <t>Utilité : lorsque vous collez un document dans une feuille vierge les largeurs</t>
  </si>
  <si>
    <t>ne correspondent pas toujours . Pour vérifier cela regardez les largeurs</t>
  </si>
  <si>
    <t xml:space="preserve">avec fonction puis rectifiez les largeurs </t>
  </si>
  <si>
    <t>les flèches indiquent que la ligne est inutilisée vous pouvez donc</t>
  </si>
  <si>
    <t>Masquer les lignes &gt; Comment</t>
  </si>
  <si>
    <t>1 - positionnez vous sur la cellule A rouge</t>
  </si>
  <si>
    <t>2 - Données &gt; Filtre</t>
  </si>
  <si>
    <t xml:space="preserve">3 - Cliquez sur la flèche Filtre </t>
  </si>
  <si>
    <t>de la cellule A rouge</t>
  </si>
  <si>
    <t>L'utilisation professionnelle des recettes vous engage à connaître</t>
  </si>
  <si>
    <t xml:space="preserve"> la réglementation en matière d'hygiène et HACCP.</t>
  </si>
  <si>
    <r>
      <t xml:space="preserve">Dans ces nouveaux </t>
    </r>
    <r>
      <rPr>
        <b/>
        <sz val="12"/>
        <color theme="1"/>
        <rFont val="Calibri"/>
        <family val="2"/>
        <scheme val="minor"/>
      </rPr>
      <t xml:space="preserve">Postits </t>
    </r>
    <r>
      <rPr>
        <sz val="12"/>
        <color theme="1"/>
        <rFont val="Calibri"/>
        <family val="2"/>
        <scheme val="minor"/>
      </rPr>
      <t xml:space="preserve">, vous pouvez supprimer les lignes </t>
    </r>
    <r>
      <rPr>
        <b/>
        <sz val="12"/>
        <color theme="1"/>
        <rFont val="Calibri"/>
        <family val="2"/>
        <scheme val="minor"/>
      </rPr>
      <t>► non utilisées</t>
    </r>
  </si>
  <si>
    <t>✔️ Les formules s’adaptent automatiquement à l’écart entre cellules et colonnes.</t>
  </si>
  <si>
    <r>
      <t xml:space="preserve">⚠️ </t>
    </r>
    <r>
      <rPr>
        <b/>
        <sz val="11"/>
        <color theme="1"/>
        <rFont val="Calibri"/>
        <family val="2"/>
        <scheme val="minor"/>
      </rPr>
      <t>Ne supprimez jamais les lignes contenant un A.</t>
    </r>
  </si>
  <si>
    <r>
      <t xml:space="preserve">❌ </t>
    </r>
    <r>
      <rPr>
        <b/>
        <sz val="11"/>
        <color theme="1"/>
        <rFont val="Calibri"/>
        <family val="2"/>
        <scheme val="minor"/>
      </rPr>
      <t>Ne supprimez rien dans les répertoires.</t>
    </r>
  </si>
  <si>
    <t>Ces deux colonnes ont été ajoutées pour afficher dynamiquement le nombre de lignes.</t>
  </si>
  <si>
    <r>
      <t xml:space="preserve">✔️ Si vous supprimez des lignes, les </t>
    </r>
    <r>
      <rPr>
        <b/>
        <sz val="11"/>
        <color theme="1"/>
        <rFont val="Calibri"/>
        <family val="2"/>
        <scheme val="minor"/>
      </rPr>
      <t>formules s’adaptent automatiquement</t>
    </r>
    <r>
      <rPr>
        <sz val="11"/>
        <color theme="1"/>
        <rFont val="Calibri"/>
        <family val="2"/>
        <scheme val="minor"/>
      </rPr>
      <t xml:space="preserve"> au nouvel écart.</t>
    </r>
  </si>
  <si>
    <r>
      <t xml:space="preserve">💡 Excel fonctionne comme le jeu </t>
    </r>
    <r>
      <rPr>
        <b/>
        <sz val="11"/>
        <color theme="1"/>
        <rFont val="Calibri"/>
        <family val="2"/>
        <scheme val="minor"/>
      </rPr>
      <t>Bataille navale</t>
    </r>
    <r>
      <rPr>
        <sz val="11"/>
        <color theme="1"/>
        <rFont val="Calibri"/>
        <family val="2"/>
        <scheme val="minor"/>
      </rPr>
      <t xml:space="preserve"> : </t>
    </r>
  </si>
  <si>
    <t>il utilise les coordonnées ligne/colonne pour suivre les décalages  entre cellules et maintenir les calculs cohérents.</t>
  </si>
  <si>
    <t>Nb de lignes ▼</t>
  </si>
  <si>
    <t>ETC…......</t>
  </si>
  <si>
    <t xml:space="preserve">et sélectionnez dans la barre de formule le numéro ou la lettre qui vous intéresse </t>
  </si>
  <si>
    <t>choisissez la police de caractères et la couleur qui vous conviennent</t>
  </si>
  <si>
    <t>Ⓐ Ⓑ Ⓒ Ⓓ Ⓔ Ⓕ Ⓖ Ⓗ Ⓘ Ⓙ Ⓚ Ⓛ Ⓜ Ⓝ Ⓞ Ⓟ Ⓠ Ⓡ Ⓢ Ⓣ Ⓤ Ⓥ Ⓦ Ⓧ Ⓧ Ⓩ MAJUSCULES</t>
  </si>
  <si>
    <t>ⓐ ⓑ ⓒ ⓓ ⓔ ⓕ ⓕ ⓗ ⓗ ⓘ ⓙ ⓚ ⓛ ⓜ ⓝ ⓞ ⓟ ⓠ ⓡ ⓡ ⓣ ⓤ ⓥ ⓦ ⓧ ⓨ ⓩ minuscules</t>
  </si>
  <si>
    <t>🅐🅑🅒🅓🅔🅕🅖🅗🅘🅙🅚🅛🅜🅝🅞🅟🅠🅡🅢🅣🅤🅥🅦🅧🅨🅩</t>
  </si>
  <si>
    <t>🅰🅱🅲🅳🅴🅵🅶🅷🅸🅹🅺🅻🅼🅽🅾🅿🆀🆁🆂🆃🆄🆅🆆🆇🆈🆉</t>
  </si>
  <si>
    <t>Boudin blanc au cognac</t>
  </si>
  <si>
    <t>Ce document est composé de : This document is composed of: Este documento se compone de:</t>
  </si>
  <si>
    <t>faire court … 1 verbe = 1 action → keep it short … 1 verb = 1 action → ir al grano … 1 verbo = 1 acción</t>
  </si>
  <si>
    <t>EXEMPLE UN PEU PLUS LONG : → A SLIGHTLY LONGER EXAMPLE: → UN EJEMPLO UN POCO MÁS LARGO:</t>
  </si>
  <si>
    <t>Le vocabulaire professionnel en pâtisserie - Professional pastry vocabulary - El vocabulario profesional de pastelería</t>
  </si>
  <si>
    <t>VOCABULAIRE GENERAL PROFESSIONNEL    un verbe…une action             collez verbes et actions dans les PHASES DE PROGRESSION ⓬</t>
  </si>
  <si>
    <t>avec valeurs ou texte-with values or text-con valores o texto</t>
  </si>
  <si>
    <t>cellules vides - empty cells - celdas vacías</t>
  </si>
  <si>
    <t xml:space="preserve"> Ces traductions ont été produites par une IA. Quelques imprécisions de vocabulaire professionnel peuvent apparaître. Merci de votre indulgence ; en cas de doute, référez-vous à la version originale.Merci</t>
  </si>
  <si>
    <t xml:space="preserve">PROFESSIONAL GENERAL VOCABULARY  one verb… one action  paste verbs and actions into the PROGRESSION PHASES ⓬     </t>
  </si>
  <si>
    <t>lignes - rows - filas</t>
  </si>
  <si>
    <t>These translations were generated by an AI. Some inaccuracies in professional terminology may occur. Thank you for your understanding; in case of doubt, please refer to the original version. Thank you.</t>
  </si>
  <si>
    <t>Fin du document cellule &gt;End of the “cell” document &gt;Fin del documento “celda” &gt;</t>
  </si>
  <si>
    <t>colonnes - columns - columnas</t>
  </si>
  <si>
    <t>Estas traducciones fueron generadas por una IA. Pueden presentarse algunas imprecisiones en la terminología profesional. Gracias por su comprensión; en caso de duda, por favor remítase a la versión original. Gracias.</t>
  </si>
  <si>
    <t>PHASES ESSENTIELLES DE PROGRESSION → ESSENTIAL PROCESS PHASES → FASES ESENCIALES DEL PROCESO</t>
  </si>
  <si>
    <t>Adresse &gt;</t>
  </si>
  <si>
    <t>juliemyrtille</t>
  </si>
  <si>
    <t>FR</t>
  </si>
  <si>
    <t>EN</t>
  </si>
  <si>
    <t>ES</t>
  </si>
  <si>
    <t>Note pro</t>
  </si>
  <si>
    <t>Exemple pour un filet de sole Duglére → Example: Dugléré sole fillet → Ejemplo: filete de lenguado Dugléré</t>
  </si>
  <si>
    <t>Exemple pour une brandade de morue Bénédictine → Example: Bénédictine-style salt cod brandade → Ejemplo: brandada de bacalao a la benedictina</t>
  </si>
  <si>
    <t>EPICERIE</t>
  </si>
  <si>
    <t>GROCERY (DRY GOODS)</t>
  </si>
  <si>
    <t>ABARROTES / DESPENSA (SECO)</t>
  </si>
  <si>
    <t>Habiller les soles</t>
  </si>
  <si>
    <t>Dress/prepare the soles</t>
  </si>
  <si>
    <t>Limpiar/preparar las sollas</t>
  </si>
  <si>
    <t>LÉGUMES APPERTISES</t>
  </si>
  <si>
    <t>CANNED VEGETABLES</t>
  </si>
  <si>
    <t>VERDURAS EN CONSERVA</t>
  </si>
  <si>
    <t>appertisé = canned = en conserva ; catégorie légumes = categoría verduras</t>
  </si>
  <si>
    <t>Les dépouiller</t>
  </si>
  <si>
    <t>Skin them</t>
  </si>
  <si>
    <t>Desollar/quitar la piel</t>
  </si>
  <si>
    <t>Workstation setup</t>
  </si>
  <si>
    <t>Puesta a punto del puesto de trabajo</t>
  </si>
  <si>
    <t>LÉGUMES FRAIS A CUIRE</t>
  </si>
  <si>
    <t>FRESH VEGETABLES TO COOK</t>
  </si>
  <si>
    <t>VERDURAS FRESCAS PARA COCINAR</t>
  </si>
  <si>
    <t>à cuire = to cook = para cocinar ; catégorie légumes = categoría verduras</t>
  </si>
  <si>
    <r>
      <t>Abaisse</t>
    </r>
    <r>
      <rPr>
        <sz val="11"/>
        <color theme="1"/>
        <rFont val="Calibri"/>
        <family val="2"/>
        <scheme val="minor"/>
      </rPr>
      <t xml:space="preserve"> : morceau de pâte étalé au rouleau à une épaisseur voulue.</t>
    </r>
  </si>
  <si>
    <t>Rolled-out sheet of dough to a set thickness.</t>
  </si>
  <si>
    <r>
      <t>Lámina de masa estirada</t>
    </r>
    <r>
      <rPr>
        <sz val="11"/>
        <color theme="1"/>
        <rFont val="Calibri"/>
        <family val="2"/>
        <scheme val="minor"/>
      </rPr>
      <t xml:space="preserve"> a un grosor definido.</t>
    </r>
  </si>
  <si>
    <t>roll out (dough)</t>
  </si>
  <si>
    <t>estirar/la masa</t>
  </si>
  <si>
    <t>Étaler une pâte au rouleau à une épaisseur donnée.</t>
  </si>
  <si>
    <t>Roll out dough with a rolling pin to a specified thickness.</t>
  </si>
  <si>
    <t>Estirar la masa con rodillo hasta un grosor especificado.</t>
  </si>
  <si>
    <t>Les mettre en filet</t>
  </si>
  <si>
    <t>Fillet them</t>
  </si>
  <si>
    <t>Filetearlas</t>
  </si>
  <si>
    <t>Set up the station</t>
  </si>
  <si>
    <t>Montar el puesto</t>
  </si>
  <si>
    <t>LÉGUMES SECS</t>
  </si>
  <si>
    <t>DRIED PULSES/LEGUMES</t>
  </si>
  <si>
    <t>LEGUMBRES SECAS</t>
  </si>
  <si>
    <t>catégorie légumes = categoría verduras</t>
  </si>
  <si>
    <r>
      <t>Abaisser</t>
    </r>
    <r>
      <rPr>
        <sz val="11"/>
        <color theme="1"/>
        <rFont val="Calibri"/>
        <family val="2"/>
        <scheme val="minor"/>
      </rPr>
      <t xml:space="preserve"> : étaler une pâte au rouleau à une épaisseur voulue.</t>
    </r>
  </si>
  <si>
    <r>
      <t>Roll out</t>
    </r>
    <r>
      <rPr>
        <sz val="11"/>
        <color theme="1"/>
        <rFont val="Calibri"/>
        <family val="2"/>
        <scheme val="minor"/>
      </rPr>
      <t xml:space="preserve"> dough to a set thickness.</t>
    </r>
  </si>
  <si>
    <r>
      <t>Estirar</t>
    </r>
    <r>
      <rPr>
        <sz val="11"/>
        <color theme="1"/>
        <rFont val="Calibri"/>
        <family val="2"/>
        <scheme val="minor"/>
      </rPr>
      <t xml:space="preserve"> la masa a un grosor deseado.</t>
    </r>
  </si>
  <si>
    <t>Abaisser la temp. à cœur</t>
  </si>
  <si>
    <t>bring down the core/internal temperature</t>
  </si>
  <si>
    <r>
      <t xml:space="preserve">bajar la temperatura en el </t>
    </r>
    <r>
      <rPr>
        <b/>
        <sz val="11"/>
        <color theme="1"/>
        <rFont val="Calibri"/>
        <family val="2"/>
        <scheme val="minor"/>
      </rPr>
      <t>centro</t>
    </r>
    <r>
      <rPr>
        <sz val="11"/>
        <color theme="1"/>
        <rFont val="Calibri"/>
        <family val="2"/>
        <scheme val="minor"/>
      </rPr>
      <t xml:space="preserve"> del producto</t>
    </r>
  </si>
  <si>
    <t>Terme HACCP ; souvent après cuisson/refroidissement rapide.</t>
  </si>
  <si>
    <t>HACCP term; often after cooking/rapid chilling.</t>
  </si>
  <si>
    <t>Término APPCC; a menudo tras cocción/enfriamiento rápido.</t>
  </si>
  <si>
    <t>Dégorger le tout 1/2 heure à l’eau fraîche</t>
  </si>
  <si>
    <t>Soak everything in cold water for 30 min</t>
  </si>
  <si>
    <t>Desangrar/poner en remojo en agua fría 30 min</t>
  </si>
  <si>
    <t>Check use-by dates</t>
  </si>
  <si>
    <t>Verificar fechas de caducidad</t>
  </si>
  <si>
    <t>LÉGUMES SOUS VIDE A CUIRE</t>
  </si>
  <si>
    <t>VACUUM-PACKED VEGETABLES TO COOK</t>
  </si>
  <si>
    <t>VERDURAS ENVASADAS AL VACÍO PARA COCINAR</t>
  </si>
  <si>
    <t>sous vide = vacuum-packed = envasado al vacío ; à cuire = to cook = para cocinar ; catégorie légumes = categoría verduras</t>
  </si>
  <si>
    <r>
      <t>Abricoter :</t>
    </r>
    <r>
      <rPr>
        <sz val="11"/>
        <color theme="1"/>
        <rFont val="Calibri"/>
        <family val="2"/>
        <scheme val="minor"/>
      </rPr>
      <t xml:space="preserve"> étendre une confiture d’abricot au pinceau sur un entremets, une tarte ou une préparation pour la rendre brillante et la protéger en surface (limiter dessèchement et brunissement enzymatique).</t>
    </r>
  </si>
  <si>
    <t>Apricot-glaze: brush apricot jam onto an entremets, tart, or preparation to add shine and protect the surface (limit drying and enzymatic browning).</t>
  </si>
  <si>
    <t>Abrillantar con albaricoque: pincelar mermelada de albaricoque sobre un postre, tarta o preparación para darle brillo y proteger la superficie (reducir el secado y el pardeamiento enzimático).</t>
  </si>
  <si>
    <t>glaze with apricot (nappage)</t>
  </si>
  <si>
    <r>
      <t>abrillantar</t>
    </r>
    <r>
      <rPr>
        <sz val="11"/>
        <color theme="1"/>
        <rFont val="Calibri"/>
        <family val="2"/>
        <scheme val="minor"/>
      </rPr>
      <t>/napar con mermelada de albaricoque</t>
    </r>
  </si>
  <si>
    <t>En pâtisserie ; « abricotar » se voit, mais « abrillantar/napar » est plus standard.</t>
  </si>
  <si>
    <t>In pastry: “apricot glaze” is used, but “glaze/nap” is more standard.</t>
  </si>
  <si>
    <t>En pastelería: se usa “abrillantar con albaricoque”, pero “abrillantar/napar” es más estándar.</t>
  </si>
  <si>
    <t>Hacher finement oignons et échalotes</t>
  </si>
  <si>
    <t>Finely chop onions and shallots</t>
  </si>
  <si>
    <t>Picar finamente cebolla y chalota</t>
  </si>
  <si>
    <t>Weigh ingredients</t>
  </si>
  <si>
    <t>Pesar los géneros</t>
  </si>
  <si>
    <t>LÉGUMES SOUS VIDE CUITS</t>
  </si>
  <si>
    <t>VACUUM-PACKED COOKED VEGETABLES</t>
  </si>
  <si>
    <t>VERDURAS COCIDAS ENVASADAS AL VACÍO</t>
  </si>
  <si>
    <t>sous vide = vacuum-packed = envasado al vacío ; catégorie légumes = categoría verduras</t>
  </si>
  <si>
    <r>
      <t>Accoler</t>
    </r>
    <r>
      <rPr>
        <sz val="11"/>
        <color theme="1"/>
        <rFont val="Calibri"/>
        <family val="2"/>
        <scheme val="minor"/>
      </rPr>
      <t xml:space="preserve"> : réunir/assembler éléments (gâteau, pièces).</t>
    </r>
  </si>
  <si>
    <r>
      <t>Join/assemble</t>
    </r>
    <r>
      <rPr>
        <sz val="11"/>
        <color theme="1"/>
        <rFont val="Calibri"/>
        <family val="2"/>
        <scheme val="minor"/>
      </rPr>
      <t xml:space="preserve"> components (cake, pieces).</t>
    </r>
  </si>
  <si>
    <r>
      <t>Unir/ensamblar</t>
    </r>
    <r>
      <rPr>
        <sz val="11"/>
        <color theme="1"/>
        <rFont val="Calibri"/>
        <family val="2"/>
        <scheme val="minor"/>
      </rPr>
      <t xml:space="preserve"> elementos (pastel, piezas).</t>
    </r>
  </si>
  <si>
    <t>serve with; garnish with</t>
  </si>
  <si>
    <t>acompañar; guarnecer con</t>
  </si>
  <si>
    <t>Pour une garniture : « serve with a side of… » / « con guarnición de… ».</t>
  </si>
  <si>
    <t>For garnish: “serve with a side of…”.</t>
  </si>
  <si>
    <t>Para guarnición: “con guarnición de…”.</t>
  </si>
  <si>
    <t>Monder, épépiner, concasser les tomates</t>
  </si>
  <si>
    <t>Blanch, seed, and chop the tomatoes</t>
  </si>
  <si>
    <t>Escaldar, quitar semillas y concasar los tomates</t>
  </si>
  <si>
    <t>Select equipment</t>
  </si>
  <si>
    <t>Seleccionar el equipo</t>
  </si>
  <si>
    <t>LÉGUMES SURGELÉS A CUIRE</t>
  </si>
  <si>
    <t>FROZEN VEGETABLES TO COOK</t>
  </si>
  <si>
    <t>VERDURAS CONGELADAS PARA COCINAR</t>
  </si>
  <si>
    <r>
      <t>Appareil</t>
    </r>
    <r>
      <rPr>
        <sz val="11"/>
        <color theme="1"/>
        <rFont val="Calibri"/>
        <family val="2"/>
        <scheme val="minor"/>
      </rPr>
      <t xml:space="preserve"> : mélange de base pour une préparation.</t>
    </r>
  </si>
  <si>
    <r>
      <t>Batter/mixture</t>
    </r>
    <r>
      <rPr>
        <sz val="11"/>
        <color theme="1"/>
        <rFont val="Calibri"/>
        <family val="2"/>
        <scheme val="minor"/>
      </rPr>
      <t xml:space="preserve"> (base mix for a preparation).</t>
    </r>
  </si>
  <si>
    <r>
      <t>Aparato/mezcla base</t>
    </r>
    <r>
      <rPr>
        <sz val="11"/>
        <color theme="1"/>
        <rFont val="Calibri"/>
        <family val="2"/>
        <scheme val="minor"/>
      </rPr>
      <t xml:space="preserve"> para una preparación.</t>
    </r>
  </si>
  <si>
    <t>acheminement vers operculage</t>
  </si>
  <si>
    <t>transfer to the sealing station</t>
  </si>
  <si>
    <r>
      <t xml:space="preserve">traslado hacia el </t>
    </r>
    <r>
      <rPr>
        <b/>
        <sz val="11"/>
        <color theme="1"/>
        <rFont val="Calibri"/>
        <family val="2"/>
        <scheme val="minor"/>
      </rPr>
      <t>termosellado</t>
    </r>
  </si>
  <si>
    <t>Flux de production ; « operculage » = scellage par film.</t>
  </si>
  <si>
    <t>Production flow; “lidding/sealing” = heat-sealing with film.</t>
  </si>
  <si>
    <t>Flujo de producción; “termosellado” = sellado con film.</t>
  </si>
  <si>
    <t>Concasser le persil</t>
  </si>
  <si>
    <t>Chop the parsley</t>
  </si>
  <si>
    <t>Picar el perejil</t>
  </si>
  <si>
    <t>Disinfect equipment and workstation per SOP</t>
  </si>
  <si>
    <t>Desinfectar equipo y puesto según POE</t>
  </si>
  <si>
    <t>LÉGUMES SURGELÉS CUITS</t>
  </si>
  <si>
    <t>FROZEN COOKED VEGETABLES</t>
  </si>
  <si>
    <t>VERDURAS CONGELADAS COCIDAS</t>
  </si>
  <si>
    <r>
      <t>Apprêt</t>
    </r>
    <r>
      <rPr>
        <sz val="11"/>
        <color theme="1"/>
        <rFont val="Calibri"/>
        <family val="2"/>
        <scheme val="minor"/>
      </rPr>
      <t xml:space="preserve"> : pousse finale d’une pâte levée avant cuisson.</t>
    </r>
  </si>
  <si>
    <r>
      <t>Final proof</t>
    </r>
    <r>
      <rPr>
        <sz val="11"/>
        <color theme="1"/>
        <rFont val="Calibri"/>
        <family val="2"/>
        <scheme val="minor"/>
      </rPr>
      <t xml:space="preserve"> of yeasted dough before baking.</t>
    </r>
  </si>
  <si>
    <r>
      <t>Leudado final</t>
    </r>
    <r>
      <rPr>
        <sz val="11"/>
        <color theme="1"/>
        <rFont val="Calibri"/>
        <family val="2"/>
        <scheme val="minor"/>
      </rPr>
      <t xml:space="preserve"> de la masa antes del horneado.</t>
    </r>
  </si>
  <si>
    <t>Acheminer</t>
  </si>
  <si>
    <t>route; dispatch; transfer</t>
  </si>
  <si>
    <t>encaminar; trasladar</t>
  </si>
  <si>
    <t>Mouvement produit/logistique interne.</t>
  </si>
  <si>
    <t>Product movement/internal logistics.</t>
  </si>
  <si>
    <t>Movimiento de producto/logística interna.</t>
  </si>
  <si>
    <t>Pocher les filets pliés à très court mouillement, sur toute cette garniture, avec un peu de vin blanc</t>
  </si>
  <si>
    <t>Poach the folded fillets with a very small amount of liquid over the garnish, with a splash of white wine</t>
  </si>
  <si>
    <t>Pochar los filetes doblados con muy poco líquido sobre la guarnición, con un poco de vino blanco</t>
  </si>
  <si>
    <t>PRODUITS LAITIERS</t>
  </si>
  <si>
    <t>DAIRY PRODUCTS</t>
  </si>
  <si>
    <t>PRODUCTOS LÁCTEOS</t>
  </si>
  <si>
    <t>catégorie produits laitiers = categoría productos lácteos</t>
  </si>
  <si>
    <r>
      <t>Aromatiser</t>
    </r>
    <r>
      <rPr>
        <sz val="11"/>
        <color theme="1"/>
        <rFont val="Calibri"/>
        <family val="2"/>
        <scheme val="minor"/>
      </rPr>
      <t xml:space="preserve"> : ajouter arôme/aromates.</t>
    </r>
  </si>
  <si>
    <r>
      <t>Flavor/aromatize</t>
    </r>
    <r>
      <rPr>
        <sz val="11"/>
        <color theme="1"/>
        <rFont val="Calibri"/>
        <family val="2"/>
        <scheme val="minor"/>
      </rPr>
      <t xml:space="preserve"> a preparation.</t>
    </r>
  </si>
  <si>
    <r>
      <t>Aromatizar</t>
    </r>
    <r>
      <rPr>
        <sz val="11"/>
        <color theme="1"/>
        <rFont val="Calibri"/>
        <family val="2"/>
        <scheme val="minor"/>
      </rPr>
      <t xml:space="preserve"> una preparación.</t>
    </r>
  </si>
  <si>
    <t>add up; sum</t>
  </si>
  <si>
    <t>sumar</t>
  </si>
  <si>
    <t>Plutôt pour chiffres/quantités, pas culinaire « ajouter ».</t>
  </si>
  <si>
    <t>Use for numbers/quantities, not the culinary “add”.</t>
  </si>
  <si>
    <t>Usar para números/cantidades, no para “añadir” culinario.</t>
  </si>
  <si>
    <t>Cuire 4 à 6 min</t>
  </si>
  <si>
    <t>Cook 4–6 min</t>
  </si>
  <si>
    <t>Cocinar 4–6 min</t>
  </si>
  <si>
    <t>Preliminary preparations</t>
  </si>
  <si>
    <t>Preparaciones preliminares</t>
  </si>
  <si>
    <t>VIANDE FRAÎCHE CUITE SOUS VIDE</t>
  </si>
  <si>
    <t>FRESH MEAT, COOKED, VACUUM-PACKED</t>
  </si>
  <si>
    <t>CARNE FRESCA COCIDA AL VACÍO</t>
  </si>
  <si>
    <t>sous vide = vacuum-packed = envasado al vacío ; cuit(e) = cooked = cocido/a ; catégorie viandes = categoría carnes</t>
  </si>
  <si>
    <t>add; attach; append; join</t>
  </si>
  <si>
    <t>adjuntar; incorporar</t>
  </si>
  <si>
    <t>Selon contexte : document, ingrédient, pièce.</t>
  </si>
  <si>
    <t>Depending on context: document, ingredient, part.</t>
  </si>
  <si>
    <t>Según el contexto: documento, ingrediente, pieza.</t>
  </si>
  <si>
    <t>Débarrasser les filets sur plat beurré</t>
  </si>
  <si>
    <t>Transfer fillets to a buttered platter</t>
  </si>
  <si>
    <t>Retirar los filetes a una fuente enmantequillada</t>
  </si>
  <si>
    <t>La veille, décongeler les filets de morue suivant la procédure</t>
  </si>
  <si>
    <t>Thaw cod fillets per SOP (day before)</t>
  </si>
  <si>
    <t>Descongelar filetes de bacalao según POE (víspera)</t>
  </si>
  <si>
    <t>VIANDE FRAÎCHE SOUS VIDE CRUE A COUPER</t>
  </si>
  <si>
    <t>FRESH MEAT, VACUUM-PACKED, RAW — TO CUT</t>
  </si>
  <si>
    <t>CARNE FRESCA ENVASADA AL VACÍO, CRUDA — PARA CORTAR</t>
  </si>
  <si>
    <t>sous vide = vacuum-packed = envasado al vacío ; cru(e) = raw = crudo/a ; à couper = to cut = para cortar ; catégorie viandes = categoría carnes</t>
  </si>
  <si>
    <r>
      <t>Beurrer</t>
    </r>
    <r>
      <rPr>
        <sz val="11"/>
        <color theme="1"/>
        <rFont val="Calibri"/>
        <family val="2"/>
        <scheme val="minor"/>
      </rPr>
      <t xml:space="preserve"> : 1) ajouter du beurre à une sauce;</t>
    </r>
  </si>
  <si>
    <r>
      <t>Butter</t>
    </r>
    <r>
      <rPr>
        <sz val="11"/>
        <color theme="1"/>
        <rFont val="Calibri"/>
        <family val="2"/>
        <scheme val="minor"/>
      </rPr>
      <t xml:space="preserve">: 1) enrich with butter; </t>
    </r>
  </si>
  <si>
    <r>
      <t>Mantequillar</t>
    </r>
    <r>
      <rPr>
        <sz val="11"/>
        <color theme="1"/>
        <rFont val="Calibri"/>
        <family val="2"/>
        <scheme val="minor"/>
      </rPr>
      <t xml:space="preserve">: 1) enriquecer con mantequilla; </t>
    </r>
  </si>
  <si>
    <t>Adjoindre (crème)</t>
  </si>
  <si>
    <t>Add (cream)</t>
  </si>
  <si>
    <t>Añadir (nata)</t>
  </si>
  <si>
    <t>Ajouter la crème hors du feu pour éviter de trancher.</t>
  </si>
  <si>
    <t>Add cream off heat to prevent splitting.</t>
  </si>
  <si>
    <t>Añadir la nata fuera del fuego para evitar corte.</t>
  </si>
  <si>
    <t>Les tenir au chaud</t>
  </si>
  <si>
    <t>Keep them warm</t>
  </si>
  <si>
    <t>Mantenerlos calientes</t>
  </si>
  <si>
    <t>Éventuellement, dessaler par trempage dans un grand volume d’eau</t>
  </si>
  <si>
    <t>If needed, desalinate by soaking in plenty of water</t>
  </si>
  <si>
    <t>Si procede, desalar en remojo con abundante agua</t>
  </si>
  <si>
    <t>VIANDE FRAÎCHE SOUS VIDE CRUE A CUIRE A COUPER+APPERTISÉ</t>
  </si>
  <si>
    <t>FRESH MEAT, VACUUM-PACKED, RAW — TO COOK, TO CUT + CANNED</t>
  </si>
  <si>
    <t>CARNE FRESCA ENVASADA AL VACÍO, CRUDA — PARA COCINAR, PARA CORTAR + EN CONSERVA</t>
  </si>
  <si>
    <t>sous vide = vacuum-packed = envasado al vacío ; appertisé = canned = en conserva ; cru(e) = raw = crudo/a ; à cuire = to cook = para cocinar ; à couper = to cut = para cortar ; catégorie viandes = categoría carnes</t>
  </si>
  <si>
    <t xml:space="preserve"> 2) graisser un moule;</t>
  </si>
  <si>
    <t xml:space="preserve">2) grease a mold; </t>
  </si>
  <si>
    <t xml:space="preserve">2) engrasar un molde; </t>
  </si>
  <si>
    <t>affiner</t>
  </si>
  <si>
    <t>refine; fine-tune</t>
  </si>
  <si>
    <r>
      <t>afinar</t>
    </r>
    <r>
      <rPr>
        <sz val="11"/>
        <color theme="1"/>
        <rFont val="Calibri"/>
        <family val="2"/>
        <scheme val="minor"/>
      </rPr>
      <t>; perfeccionar</t>
    </r>
  </si>
  <si>
    <t>Ajuster un réglage/recette/procédé.</t>
  </si>
  <si>
    <t>Adjust a setting/recipe/process.</t>
  </si>
  <si>
    <t>Ajustar un parámetro/receta/proceso.</t>
  </si>
  <si>
    <t>Réduire la garniture presque à sec</t>
  </si>
  <si>
    <t>Reduce the garnish almost dry</t>
  </si>
  <si>
    <t>Reducir la guarnición casi a seco</t>
  </si>
  <si>
    <t>Plaquer les filets sur 5 bacs GN 1/1 H 25 perforés</t>
  </si>
  <si>
    <t>Lay fillets on 5 GN 1/1 H25 perforated pans</t>
  </si>
  <si>
    <t>Disponer filetes en 5 cubetas GN 1/1 H25 perforadas</t>
  </si>
  <si>
    <t xml:space="preserve"> 3) incorporer le beurre pour le tourage.</t>
  </si>
  <si>
    <t>3) laminate by adding butter for turns.</t>
  </si>
  <si>
    <t>3) laminar añadiendo mantequilla para los pliegues.</t>
  </si>
  <si>
    <t>work quickly</t>
  </si>
  <si>
    <t>trabajar con rapidez</t>
  </si>
  <si>
    <t>Sens service/production : « move fast ».</t>
  </si>
  <si>
    <t>In service/production: “move fast.”</t>
  </si>
  <si>
    <t>En servicio/producción: “moverse rápido”.</t>
  </si>
  <si>
    <t>Monter au beurre</t>
  </si>
  <si>
    <t>Finish/mount with butter</t>
  </si>
  <si>
    <t>Montar/terminar con mantequilla</t>
  </si>
  <si>
    <t>Mettre les bacs sur l’échelle de four et réserver au froid en attente de cuisson</t>
  </si>
  <si>
    <t>Rack pans on the oven trolley and hold chilled until cooking</t>
  </si>
  <si>
    <t>Colocar cubetas en el carro de horno y reservar en frío en espera de cocción</t>
  </si>
  <si>
    <t>VIANDE FRAÎCHE SOUS VIDE CUITE A COUPER</t>
  </si>
  <si>
    <t>FRESH MEAT, VACUUM-PACKED, COOKED — TO SLICE/CUT</t>
  </si>
  <si>
    <t>CARNE FRESCA ENVASADA AL VACÍO, COCIDA — PARA CORTAR</t>
  </si>
  <si>
    <t>sous vide = vacuum-packed = envasado al vacío ; cuit(e) = cooked = cocido/a ; à couper = to cut = para cortar ; catégorie viandes = categoría carnes</t>
  </si>
  <si>
    <r>
      <t>Bain-marie</t>
    </r>
    <r>
      <rPr>
        <sz val="11"/>
        <color theme="1"/>
        <rFont val="Calibri"/>
        <family val="2"/>
        <scheme val="minor"/>
      </rPr>
      <t xml:space="preserve"> : cuisson/maintien au chaud dans eau.</t>
    </r>
  </si>
  <si>
    <r>
      <t>Bain-marie / water bath</t>
    </r>
    <r>
      <rPr>
        <sz val="11"/>
        <color theme="1"/>
        <rFont val="Calibri"/>
        <family val="2"/>
        <scheme val="minor"/>
      </rPr>
      <t xml:space="preserve"> for gentle cooking/holding.</t>
    </r>
  </si>
  <si>
    <r>
      <t>Baño María</t>
    </r>
    <r>
      <rPr>
        <sz val="11"/>
        <color theme="1"/>
        <rFont val="Calibri"/>
        <family val="2"/>
        <scheme val="minor"/>
      </rPr>
      <t xml:space="preserve"> para cocción/mantenimiento suave.</t>
    </r>
  </si>
  <si>
    <t>add</t>
  </si>
  <si>
    <t>añadir; agregar</t>
  </si>
  <si>
    <t>Action culinaire générique.Respecter l’ordre d’incorporation de la fiche.</t>
  </si>
  <si>
    <t>Generic culinary action.Add in the specified order.</t>
  </si>
  <si>
    <t>Acción culinaria genérica.Añadir en el orden indicado.</t>
  </si>
  <si>
    <t>Napper les filets</t>
  </si>
  <si>
    <t>Nap/coat the fillets with the sauce</t>
  </si>
  <si>
    <t>Napar/cubrir los filetes con la salsa</t>
  </si>
  <si>
    <t>Au cutter, hacher finement l’ail. Réserver</t>
  </si>
  <si>
    <t>Chop garlic in cutter. Reserve</t>
  </si>
  <si>
    <t>Picar ajo en cutter. Reservar</t>
  </si>
  <si>
    <r>
      <t>Battre</t>
    </r>
    <r>
      <rPr>
        <sz val="11"/>
        <color theme="1"/>
        <rFont val="Calibri"/>
        <family val="2"/>
        <scheme val="minor"/>
      </rPr>
      <t xml:space="preserve"> : fouetter énergiquement pour homogénéiser/foisonner.</t>
    </r>
  </si>
  <si>
    <r>
      <t>Beat/whisk</t>
    </r>
    <r>
      <rPr>
        <sz val="11"/>
        <color theme="1"/>
        <rFont val="Calibri"/>
        <family val="2"/>
        <scheme val="minor"/>
      </rPr>
      <t xml:space="preserve"> to combine or aerate.</t>
    </r>
  </si>
  <si>
    <r>
      <t>Batir</t>
    </r>
    <r>
      <rPr>
        <sz val="11"/>
        <color theme="1"/>
        <rFont val="Calibri"/>
        <family val="2"/>
        <scheme val="minor"/>
      </rPr>
      <t xml:space="preserve"> para homogeneizar o airear.</t>
    </r>
  </si>
  <si>
    <t>improve; enhance</t>
  </si>
  <si>
    <r>
      <t>mejorar</t>
    </r>
    <r>
      <rPr>
        <sz val="11"/>
        <color theme="1"/>
        <rFont val="Calibri"/>
        <family val="2"/>
        <scheme val="minor"/>
      </rPr>
      <t>; optimizar</t>
    </r>
  </si>
  <si>
    <t>Gains qualité, sécurité, productivité.</t>
  </si>
  <si>
    <t>Improve quality, safety, productivity.</t>
  </si>
  <si>
    <t>Mejoras de calidad, seguridad, productividad.</t>
  </si>
  <si>
    <t>Servir sans attendre</t>
  </si>
  <si>
    <t>Serve immediately</t>
  </si>
  <si>
    <t>Servir de inmediato</t>
  </si>
  <si>
    <t>Chauffer le lait et le maintenir au chaud</t>
  </si>
  <si>
    <t>Heat the milk and hold hot</t>
  </si>
  <si>
    <t>Calentar la leche y mantener caliente</t>
  </si>
  <si>
    <t>VIANDES FRAÎCHES A PIÉCER AVANT CUISSON COURTE</t>
  </si>
  <si>
    <t>FRESH MEATS TO PORTION BEFORE SHORT COOK</t>
  </si>
  <si>
    <t>CARNES FRESCAS PARA PORCIONAR ANTES DE COCCIÓN CORTA</t>
  </si>
  <si>
    <t>cuisson courte = short cook = cocción corta ; catégorie viandes = categoría carnes</t>
  </si>
  <si>
    <r>
      <t>Beurre clarifié</t>
    </r>
    <r>
      <rPr>
        <sz val="11"/>
        <color theme="1"/>
        <rFont val="Calibri"/>
        <family val="2"/>
        <scheme val="minor"/>
      </rPr>
      <t xml:space="preserve"> : beurre fondu décanté (sans caséine/petit-lait).</t>
    </r>
  </si>
  <si>
    <r>
      <t>Clarified butter</t>
    </r>
    <r>
      <rPr>
        <sz val="11"/>
        <color theme="1"/>
        <rFont val="Calibri"/>
        <family val="2"/>
        <scheme val="minor"/>
      </rPr>
      <t xml:space="preserve"> (milk solids removed).</t>
    </r>
  </si>
  <si>
    <r>
      <t>Mantequilla clarificada</t>
    </r>
    <r>
      <rPr>
        <sz val="11"/>
        <color theme="1"/>
        <rFont val="Calibri"/>
        <family val="2"/>
        <scheme val="minor"/>
      </rPr>
      <t>.</t>
    </r>
  </si>
  <si>
    <t>flatten; pound</t>
  </si>
  <si>
    <r>
      <t xml:space="preserve">aplanar; </t>
    </r>
    <r>
      <rPr>
        <b/>
        <sz val="11"/>
        <color theme="1"/>
        <rFont val="Calibri"/>
        <family val="2"/>
        <scheme val="minor"/>
      </rPr>
      <t>majar</t>
    </r>
  </si>
  <si>
    <t>Viande/poisson : « pound thin » / « majar la carne ».</t>
  </si>
  <si>
    <t>Meat/fish: “pound thin.”</t>
  </si>
  <si>
    <t>Carne/pescado: “majar/golpear para afinar.”</t>
  </si>
  <si>
    <t>Porter à ébullition la crème et la maintenir au chaud et la maintenir au chaud en attente d’utilisation</t>
  </si>
  <si>
    <t>Bring cream to a boil and keep it hot until use</t>
  </si>
  <si>
    <t>Llevar la nata a ebullición y mantenerla caliente en espera de uso</t>
  </si>
  <si>
    <t>VIANDES FRAÎCHES A PIÉCER AVANT CUISSON LONGUE</t>
  </si>
  <si>
    <t>FRESH MEATS TO PORTION BEFORE LONG COOK</t>
  </si>
  <si>
    <t>CARNES FRESCAS PARA PORCIONAR ANTES DE COCCIÓN LARGA</t>
  </si>
  <si>
    <t>cuisson longue = long cook = cocción larga ; catégorie viandes = categoría carnes</t>
  </si>
  <si>
    <r>
      <t>Beurre en pommade</t>
    </r>
    <r>
      <rPr>
        <sz val="11"/>
        <color theme="1"/>
        <rFont val="Calibri"/>
        <family val="2"/>
        <scheme val="minor"/>
      </rPr>
      <t xml:space="preserve"> : beurre ramolli, texture pommade.</t>
    </r>
  </si>
  <si>
    <r>
      <t>Softened/butter at pomade stage</t>
    </r>
    <r>
      <rPr>
        <sz val="11"/>
        <color theme="1"/>
        <rFont val="Calibri"/>
        <family val="2"/>
        <scheme val="minor"/>
      </rPr>
      <t>.</t>
    </r>
  </si>
  <si>
    <r>
      <t>Mantequilla en pomada</t>
    </r>
    <r>
      <rPr>
        <sz val="11"/>
        <color theme="1"/>
        <rFont val="Calibri"/>
        <family val="2"/>
        <scheme val="minor"/>
      </rPr>
      <t>.</t>
    </r>
  </si>
  <si>
    <t>flavor; infuse</t>
  </si>
  <si>
    <t>aromatizar; infusionar</t>
  </si>
  <si>
    <t>« Infuse » si par macération/infusion.</t>
  </si>
  <si>
    <t>Use “infuse” if by steeping/maceration.</t>
  </si>
  <si>
    <t>Usar “infusionar” si es por maceración/infusión.</t>
  </si>
  <si>
    <t>Au pinceau, badigeonner de beurre 8 bacs GN 1/1 H65</t>
  </si>
  <si>
    <t>Brush 8 GN 1/1 H65 pans with butter</t>
  </si>
  <si>
    <t>Pincelar con mantequilla 8 cubetas GN 1/1 H65</t>
  </si>
  <si>
    <t>VIANDES FRAÎCHES DÉCOUPÉE A CUISSON LONGUE</t>
  </si>
  <si>
    <t>FRESH MEATS, CUT — FOR LONG COOK</t>
  </si>
  <si>
    <t>CARNES FRESCAS, CORTADAS — PARA COCCIÓN LARGA</t>
  </si>
  <si>
    <t>cuisson longue = long cook = cocción larga ; découpée = cut = cortada ; catégorie viandes = categoría carnes</t>
  </si>
  <si>
    <r>
      <t>Blanchiment</t>
    </r>
    <r>
      <rPr>
        <sz val="11"/>
        <color theme="1"/>
        <rFont val="Calibri"/>
        <family val="2"/>
        <scheme val="minor"/>
      </rPr>
      <t xml:space="preserve"> (chocolat) : déstabilisation avec voile blanchâtre due à la migration de cristaux de sucre (stockage humide et/ou températures inadaptées).</t>
    </r>
  </si>
  <si>
    <t>Sugar bloom (chocolate): destabilization with whitish film caused by sugar crystals migrating (humid storage and/or improper temperatures).</t>
  </si>
  <si>
    <t>Floración azucarada (chocolate): desestabilización con velo blanquecino por migración de cristales de azúcar (almacenaje húmedo y/o temperaturas inadecuadas).</t>
  </si>
  <si>
    <t>Baste/Drizzle</t>
  </si>
  <si>
    <t>Rociar</t>
  </si>
  <si>
    <t>Pendant la cuisson, pour brillance et moelleux.</t>
  </si>
  <si>
    <t>Baste during cooking for shine/moisture.</t>
  </si>
  <si>
    <t>Rociar durante la cocción para brillo/jugosidad.</t>
  </si>
  <si>
    <t>VIANDES FRAÎCHES PIÉCÉES A CUISSON COURTE</t>
  </si>
  <si>
    <t>FRESH MEATS, PORTIONED — FOR SHORT COOK</t>
  </si>
  <si>
    <t>CARNES FRESCAS, PORCIONADAS — PARA COCCIÓN CORTA</t>
  </si>
  <si>
    <r>
      <t>Blanchir (pâtisserie)</t>
    </r>
    <r>
      <rPr>
        <sz val="11"/>
        <color theme="1"/>
        <rFont val="Calibri"/>
        <family val="2"/>
        <scheme val="minor"/>
      </rPr>
      <t xml:space="preserve"> : fouetter jaunes + sucre jusqu’à mousseux.</t>
    </r>
  </si>
  <si>
    <r>
      <t>Blanch</t>
    </r>
    <r>
      <rPr>
        <sz val="11"/>
        <color theme="1"/>
        <rFont val="Calibri"/>
        <family val="2"/>
        <scheme val="minor"/>
      </rPr>
      <t xml:space="preserve"> egg yolks with sugar (whip pale/foamy).</t>
    </r>
  </si>
  <si>
    <r>
      <t>Blanquear</t>
    </r>
    <r>
      <rPr>
        <sz val="11"/>
        <color theme="1"/>
        <rFont val="Calibri"/>
        <family val="2"/>
        <scheme val="minor"/>
      </rPr>
      <t xml:space="preserve"> yemas con azúcar (batir hasta espumar).</t>
    </r>
  </si>
  <si>
    <t>assaisonnement</t>
  </si>
  <si>
    <t>seasoning</t>
  </si>
  <si>
    <r>
      <t>sazonado</t>
    </r>
    <r>
      <rPr>
        <sz val="11"/>
        <color theme="1"/>
        <rFont val="Calibri"/>
        <family val="2"/>
        <scheme val="minor"/>
      </rPr>
      <t>; aliño/condimentación</t>
    </r>
  </si>
  <si>
    <t>« Aliño » plutôt pour salades/sauces ; « sazonado » pour cuisson.</t>
  </si>
  <si>
    <t>“Dressing” for salads/sauces; “seasoning” for cooking.</t>
  </si>
  <si>
    <t>“Aliño” para ensaladas/salsas; “sazonado” para la cocción.</t>
  </si>
  <si>
    <t>Prepare the mash/purée</t>
  </si>
  <si>
    <t>Preparar el puré</t>
  </si>
  <si>
    <t>VIANDES FRAÎCHES PIÉCÉES A CUISSON LONGUE</t>
  </si>
  <si>
    <t>FRESH MEATS, PORTIONED — FOR LONG COOK</t>
  </si>
  <si>
    <t>CARNES FRESCAS, PORCIONADAS — PARA COCCIÓN LARGA</t>
  </si>
  <si>
    <r>
      <t>Bouler</t>
    </r>
    <r>
      <rPr>
        <sz val="11"/>
        <color theme="1"/>
        <rFont val="Calibri"/>
        <family val="2"/>
        <scheme val="minor"/>
      </rPr>
      <t xml:space="preserve"> : façonner une boule de pâte.</t>
    </r>
  </si>
  <si>
    <r>
      <t>Round/ball up</t>
    </r>
    <r>
      <rPr>
        <sz val="11"/>
        <color theme="1"/>
        <rFont val="Calibri"/>
        <family val="2"/>
        <scheme val="minor"/>
      </rPr>
      <t xml:space="preserve"> dough.</t>
    </r>
  </si>
  <si>
    <r>
      <t>Bolear</t>
    </r>
    <r>
      <rPr>
        <sz val="11"/>
        <color theme="1"/>
        <rFont val="Calibri"/>
        <family val="2"/>
        <scheme val="minor"/>
      </rPr>
      <t xml:space="preserve"> la masa.</t>
    </r>
  </si>
  <si>
    <t>season</t>
  </si>
  <si>
    <t>sazonar; aliñar</t>
  </si>
  <si>
    <t>« Season to taste » / « sazonar al gusto ».</t>
  </si>
  <si>
    <t>“Season to taste.”</t>
  </si>
  <si>
    <t>“Sazonar al gusto.”</t>
  </si>
  <si>
    <t>Préparer la purée déshydratée en suivant les indications du fabricant</t>
  </si>
  <si>
    <t>Prepare the instant mash following the manufacturer’s directions</t>
  </si>
  <si>
    <t>Preparar el puré deshidratado según las indicaciones del fabricante</t>
  </si>
  <si>
    <t>VIANDES SURGELEES A CUISSON COURTE</t>
  </si>
  <si>
    <t>FROZEN MEATS — FOR SHORT COOK</t>
  </si>
  <si>
    <t>CARNES CONGELADAS — PARA COCCIÓN CORTA</t>
  </si>
  <si>
    <r>
      <t>Brunissement enzymatique</t>
    </r>
    <r>
      <rPr>
        <sz val="11"/>
        <color theme="1"/>
        <rFont val="Calibri"/>
        <family val="2"/>
        <scheme val="minor"/>
      </rPr>
      <t xml:space="preserve"> : brunissement à l’air après coupe/épluchage.</t>
    </r>
  </si>
  <si>
    <r>
      <t>Enzymatic browning</t>
    </r>
    <r>
      <rPr>
        <sz val="11"/>
        <color theme="1"/>
        <rFont val="Calibri"/>
        <family val="2"/>
        <scheme val="minor"/>
      </rPr>
      <t xml:space="preserve"> after cutting/peeling.</t>
    </r>
  </si>
  <si>
    <r>
      <t>Pardeamiento enzimático</t>
    </r>
    <r>
      <rPr>
        <sz val="11"/>
        <color theme="1"/>
        <rFont val="Calibri"/>
        <family val="2"/>
        <scheme val="minor"/>
      </rPr>
      <t>.</t>
    </r>
  </si>
  <si>
    <t>assemblage</t>
  </si>
  <si>
    <t>assembly</t>
  </si>
  <si>
    <t>montaje</t>
  </si>
  <si>
    <t>Étape générique avant service/expédition.</t>
  </si>
  <si>
    <t>Generic step before service/shipping.</t>
  </si>
  <si>
    <t>Etapa genérica antes del servicio/expedición.</t>
  </si>
  <si>
    <t>Mettre au point l’assaisonnement. Muscader légèrement. Réserver au chaud</t>
  </si>
  <si>
    <t>Adjust seasoning. Nutmeg lightly. Hold hot</t>
  </si>
  <si>
    <t>Ajustar sazonado. Nuez moscada ligera. Mantener caliente</t>
  </si>
  <si>
    <t>VIANDES SURGELEES CRUES A TRANCHER AVANT CUISSON</t>
  </si>
  <si>
    <t>FROZEN MEATS, RAW — TO SLICE BEFORE COOKING</t>
  </si>
  <si>
    <t>CARNES CONGELADAS, CRUDAS — PARA REBANAR ANTES DE LA COCCIÓN</t>
  </si>
  <si>
    <t>cru(e) = raw = crudo/a ; à trancher = to slice = para rebanar ; catégorie viandes = categoría carnes</t>
  </si>
  <si>
    <t>assemblage assiette</t>
  </si>
  <si>
    <r>
      <t xml:space="preserve">plate assembly; </t>
    </r>
    <r>
      <rPr>
        <b/>
        <sz val="11"/>
        <color theme="1"/>
        <rFont val="Calibri"/>
        <family val="2"/>
        <scheme val="minor"/>
      </rPr>
      <t>plating</t>
    </r>
  </si>
  <si>
    <t>emplatado</t>
  </si>
  <si>
    <t>Mise en assiette individuelle.</t>
  </si>
  <si>
    <t>Plating individual portions.</t>
  </si>
  <si>
    <t>Emplatado de porciones individuales.</t>
  </si>
  <si>
    <t>Some expressions</t>
  </si>
  <si>
    <t>Algunas expresiones</t>
  </si>
  <si>
    <t>Ou marquer la cuisson des pommes de terre pour la réalisation de la purée fraîche</t>
  </si>
  <si>
    <t>Or start cooking the potatoes for fresh mash</t>
  </si>
  <si>
    <t>O marcar la cocción de las patatas para elaborar puré fresco</t>
  </si>
  <si>
    <t>VIANDES SURGELEES CUITES</t>
  </si>
  <si>
    <t>FROZEN COOKED MEATS</t>
  </si>
  <si>
    <t>CARNES COCIDAS CONGELADAS</t>
  </si>
  <si>
    <t>cuit(e) = cooked = cocido/a ; catégorie viandes = categoría carnes</t>
  </si>
  <si>
    <r>
      <t>Candir :</t>
    </r>
    <r>
      <rPr>
        <sz val="11"/>
        <color theme="1"/>
        <rFont val="Calibri"/>
        <family val="2"/>
        <scheme val="minor"/>
      </rPr>
      <t xml:space="preserve"> immerger confiseries/décors dans un sirop pour cristalliser le sucre en surface.</t>
    </r>
  </si>
  <si>
    <t>Candy (to sugar-coat): immerse confections/decors in syrup to form a surface sugar crystallization.</t>
  </si>
  <si>
    <t>Candar/azucarar: sumergir confites/decoraciones en un almíbar para cristalizar azúcar en la superficie.</t>
  </si>
  <si>
    <t>assemblage collectif</t>
  </si>
  <si>
    <t>batch/line plating; bulk assembly</t>
  </si>
  <si>
    <t>emplatado colectivo / en cadena</t>
  </si>
  <si>
    <t>Self, catering, grandes séries.</t>
  </si>
  <si>
    <t>Self-service, catering, large-batch.</t>
  </si>
  <si>
    <t>Autoservicio, catering, grandes series.</t>
  </si>
  <si>
    <t>Hygiène &amp; organisation</t>
  </si>
  <si>
    <t>Food safety &amp; organization</t>
  </si>
  <si>
    <t>Seguridad alimentaria y organización</t>
  </si>
  <si>
    <t>VIANDES SURGELEES CUITES A TRANCHER</t>
  </si>
  <si>
    <t>FROZEN COOKED MEATS — TO SLICE</t>
  </si>
  <si>
    <t>CARNES COCIDAS CONGELADAS — PARA REBANAR</t>
  </si>
  <si>
    <t>cuit(e) = cooked = cocido/a ; à trancher = to slice = para rebanar ; catégorie viandes = categoría carnes</t>
  </si>
  <si>
    <r>
      <t>Canneler</t>
    </r>
    <r>
      <rPr>
        <sz val="11"/>
        <color theme="1"/>
        <rFont val="Calibri"/>
        <family val="2"/>
        <scheme val="minor"/>
      </rPr>
      <t xml:space="preserve"> : faire des cannelures décoratives sur fruits/légumes.</t>
    </r>
  </si>
  <si>
    <r>
      <t>Channel/zest in strips</t>
    </r>
    <r>
      <rPr>
        <sz val="11"/>
        <color theme="1"/>
        <rFont val="Calibri"/>
        <family val="2"/>
        <scheme val="minor"/>
      </rPr>
      <t xml:space="preserve"> (make decorative grooves).</t>
    </r>
  </si>
  <si>
    <r>
      <t>Hacer canaladuras</t>
    </r>
    <r>
      <rPr>
        <sz val="11"/>
        <color theme="1"/>
        <rFont val="Calibri"/>
        <family val="2"/>
        <scheme val="minor"/>
      </rPr>
      <t xml:space="preserve"> / </t>
    </r>
    <r>
      <rPr>
        <b/>
        <sz val="11"/>
        <color theme="1"/>
        <rFont val="Calibri"/>
        <family val="2"/>
        <scheme val="minor"/>
      </rPr>
      <t>sacar tiras decorativas</t>
    </r>
    <r>
      <rPr>
        <sz val="11"/>
        <color theme="1"/>
        <rFont val="Calibri"/>
        <family val="2"/>
        <scheme val="minor"/>
      </rPr>
      <t>.</t>
    </r>
  </si>
  <si>
    <t>assemblage ind. (individuel)</t>
  </si>
  <si>
    <t>individual assembly</t>
  </si>
  <si>
    <t>montaje individual</t>
  </si>
  <si>
    <t>Unité portion/assiette.</t>
  </si>
  <si>
    <t>Single portion/plate unit.</t>
  </si>
  <si>
    <t>Unidad de ración/platillo.</t>
  </si>
  <si>
    <t>transfer to a container</t>
  </si>
  <si>
    <t>trasvasar a un recipiente</t>
  </si>
  <si>
    <t>Make the salt cod brandade</t>
  </si>
  <si>
    <t>Elaborar la brandada de bacalao</t>
  </si>
  <si>
    <t>VIANDES SURGELEES CUITES TRANCHÉES</t>
  </si>
  <si>
    <t>FROZEN COOKED MEATS — SLICED</t>
  </si>
  <si>
    <t>CARNES COCIDAS CONGELADAS — REBANADAS</t>
  </si>
  <si>
    <t>cuit(e) = cooked = cocido/a ; tranchées = sliced = rebanadas ; catégorie viandes = categoría carnes</t>
  </si>
  <si>
    <r>
      <t>Caramélisation</t>
    </r>
    <r>
      <rPr>
        <sz val="11"/>
        <color theme="1"/>
        <rFont val="Calibri"/>
        <family val="2"/>
        <scheme val="minor"/>
      </rPr>
      <t xml:space="preserve"> : brunissement non enzymatique du sucre par chaleur.</t>
    </r>
  </si>
  <si>
    <t>Caramelization: non-enzymatic browning of sugar by heat.</t>
  </si>
  <si>
    <t>Caramelización: pardeamiento no enzimático del azúcar por calor.</t>
  </si>
  <si>
    <t>assemblage plateaux</t>
  </si>
  <si>
    <t>tray assembly</t>
  </si>
  <si>
    <t>montaje de bandejas</t>
  </si>
  <si>
    <t>Plateaux repas.</t>
  </si>
  <si>
    <t>Meal trays.</t>
  </si>
  <si>
    <t>Bandejas de comida.</t>
  </si>
  <si>
    <t>disinfect the equipment</t>
  </si>
  <si>
    <t>desinfectar el equipo/material</t>
  </si>
  <si>
    <t>Préchauffer le four en vapeur</t>
  </si>
  <si>
    <t>Preheat oven to steam</t>
  </si>
  <si>
    <t>Precalentar horno en vapor</t>
  </si>
  <si>
    <t>VIANDES SOUS VIDE A PIÉCER AVANT CUISSON COURTE</t>
  </si>
  <si>
    <t>VACUUM-PACKED MEATS — TO PORTION BEFORE SHORT COOK</t>
  </si>
  <si>
    <t>CARNES AL VACÍO — PARA PORCIONAR ANTES DE COCCIÓN CORTA</t>
  </si>
  <si>
    <t>sous vide = vacuum-packed = envasado al vacío ; cuisson courte = short cook = cocción corta ; catégorie viandes = categoría carnes</t>
  </si>
  <si>
    <t>Caraméliser : enduire un moule ou une pâtisserie de sucre cuit au caramel.</t>
  </si>
  <si>
    <t>Caramelize: coat a mold or pastry with cooked caramel.</t>
  </si>
  <si>
    <t>Caramelizar: recubrir un molde o una pastelería con caramelo cocido.</t>
  </si>
  <si>
    <t>assemblage plateaux midi</t>
  </si>
  <si>
    <t>lunch tray assembly</t>
  </si>
  <si>
    <r>
      <t xml:space="preserve">montaje de bandejas (servicio </t>
    </r>
    <r>
      <rPr>
        <b/>
        <sz val="11"/>
        <color theme="1"/>
        <rFont val="Calibri"/>
        <family val="2"/>
        <scheme val="minor"/>
      </rPr>
      <t>mediodía</t>
    </r>
    <r>
      <rPr>
        <sz val="11"/>
        <color theme="1"/>
        <rFont val="Calibri"/>
        <family val="2"/>
        <scheme val="minor"/>
      </rPr>
      <t>)</t>
    </r>
  </si>
  <si>
    <t>Préciser service.</t>
  </si>
  <si>
    <t>Specify the service (lunch/dinner/etc.).</t>
  </si>
  <si>
    <t>Especificar el servicio (mediodía/noche/etc.).</t>
  </si>
  <si>
    <t>disinfect the workstation</t>
  </si>
  <si>
    <t>desinfectar el puesto de trabajo</t>
  </si>
  <si>
    <t>Steam fillets ~7 min</t>
  </si>
  <si>
    <t>Cocer al vapor los filetes ~7 min</t>
  </si>
  <si>
    <t>VIANDES SOUS VIDE A PIÉCER AVANT CUISSON LONGUE</t>
  </si>
  <si>
    <t>VACUUM-PACKED MEATS — TO PORTION BEFORE LONG COOK</t>
  </si>
  <si>
    <t>CARNES AL VACÍO — PARA PORCIONAR ANTES DE COCCIÓN LARGA</t>
  </si>
  <si>
    <t>sous vide = vacuum-packed = envasado al vacío ; cuisson longue = long cook = cocción larga ; catégorie viandes = categoría carnes</t>
  </si>
  <si>
    <r>
      <t>Chablonner :</t>
    </r>
    <r>
      <rPr>
        <sz val="11"/>
        <color theme="1"/>
        <rFont val="Calibri"/>
        <family val="2"/>
        <scheme val="minor"/>
      </rPr>
      <t xml:space="preserve"> appliquer une fine couche de couverture/pâte à glacer sous les entremets, petits gâteaux ou ganaches pour faciliter la manipulation avant montage/découpe.</t>
    </r>
  </si>
  <si>
    <t>Chablon (to chablonner): apply a thin coat of couverture/glaze to the bottom of entremets, petits gâteaux or ganaches to ease handling before assembling/cutting.</t>
  </si>
  <si>
    <t>Chablonar: aplicar una capa fina de cobertura/glaseado en la base de entremeses, pastelitos o ganaches para facilitar la manipulación antes del montaje/corte.</t>
  </si>
  <si>
    <t>assemblage plateaux soir</t>
  </si>
  <si>
    <t>dinner tray assembly</t>
  </si>
  <si>
    <r>
      <t xml:space="preserve">montaje de bandejas (servicio </t>
    </r>
    <r>
      <rPr>
        <b/>
        <sz val="11"/>
        <color theme="1"/>
        <rFont val="Calibri"/>
        <family val="2"/>
        <scheme val="minor"/>
      </rPr>
      <t>noche</t>
    </r>
    <r>
      <rPr>
        <sz val="11"/>
        <color theme="1"/>
        <rFont val="Calibri"/>
        <family val="2"/>
        <scheme val="minor"/>
      </rPr>
      <t>)</t>
    </r>
  </si>
  <si>
    <t>Idem.</t>
  </si>
  <si>
    <t>Same.</t>
  </si>
  <si>
    <t>Ídem.</t>
  </si>
  <si>
    <t>étager les bacs sur l’échelle de cuisson</t>
  </si>
  <si>
    <t>rack the trays on the cooking trolley</t>
  </si>
  <si>
    <t>colocar las cubetas en el carro de cocción</t>
  </si>
  <si>
    <t>Ne pas trop cuire au risque de retirer les propriétés gluantes de la morue  (conserver le liant)</t>
  </si>
  <si>
    <t>Do not overcook or you’ll lose cod’s binding/gelatinous properties  (preserve binding)</t>
  </si>
  <si>
    <t>No sobrecocer para no perder las propiedades ligantes/gelatinosas del bacalao  (conservar ligazón)</t>
  </si>
  <si>
    <t>VIANDES SOUS VIDE A TRANCHER SANS CUISSON</t>
  </si>
  <si>
    <t>VACUUM-PACKED MEATS — TO SLICE, NO COOK</t>
  </si>
  <si>
    <t>CARNES AL VACÍO — PARA REBANAR, SIN COCCIÓN</t>
  </si>
  <si>
    <t>sous vide = vacuum-packed = envasado al vacío ; à trancher = to slice = para rebanar ; catégorie viandes = categoría carnes</t>
  </si>
  <si>
    <r>
      <t xml:space="preserve">Chemiser : </t>
    </r>
    <r>
      <rPr>
        <sz val="11"/>
        <color theme="1"/>
        <rFont val="Calibri"/>
        <family val="2"/>
        <scheme val="minor"/>
      </rPr>
      <t>appliquer, contre la paroi intérieure d’un moule/caissette, une couche (pâte, biscuit, gelée, chocolat, glace, farine, etc.).</t>
    </r>
  </si>
  <si>
    <t>Line the inside of a mold/cup with a layer (pastry, sponge, jelly, chocolate, ice cream, flour, etc.).</t>
  </si>
  <si>
    <t>Forrar el interior de un molde/capsulín con una capa (masa, bizcocho, gelatina, chocolate, helado, harina, etc.).</t>
  </si>
  <si>
    <t>assemble; put together</t>
  </si>
  <si>
    <r>
      <t>ensamblar</t>
    </r>
    <r>
      <rPr>
        <sz val="11"/>
        <color theme="1"/>
        <rFont val="Calibri"/>
        <family val="2"/>
        <scheme val="minor"/>
      </rPr>
      <t>; montar</t>
    </r>
  </si>
  <si>
    <t>Monter un produit/assiette/lot.</t>
  </si>
  <si>
    <t>Assemble a product/plate/batch.</t>
  </si>
  <si>
    <t>Ensamblar un producto/emplatar/un lote.</t>
  </si>
  <si>
    <t>étager/empiler les bacs GN sur l’échelle de four</t>
  </si>
  <si>
    <t>stack GN pans on the oven trolley</t>
  </si>
  <si>
    <t>apilar cubetas GN en el carro del horno</t>
  </si>
  <si>
    <t>VIANDES SOUS VIDE DÉCOUPÉE A CUISSON LONGUE</t>
  </si>
  <si>
    <t>VACUUM-PACKED MEATS, CUT — FOR LONG COOK</t>
  </si>
  <si>
    <t>CARNES AL VACÍO, CORTADAS — PARA COCCIÓN LARGA</t>
  </si>
  <si>
    <t>sous vide = vacuum-packed = envasado al vacío ; cuisson longue = long cook = cocción larga ; découpée = cut = cortada ; catégorie viandes = categoría carnes</t>
  </si>
  <si>
    <r>
      <t>Chiqueter</t>
    </r>
    <r>
      <rPr>
        <sz val="11"/>
        <color theme="1"/>
        <rFont val="Calibri"/>
        <family val="2"/>
        <scheme val="minor"/>
      </rPr>
      <t xml:space="preserve"> : entailler le bord d’un feuilletage (décor).</t>
    </r>
  </si>
  <si>
    <r>
      <t>Crimp/scallop</t>
    </r>
    <r>
      <rPr>
        <sz val="11"/>
        <color theme="1"/>
        <rFont val="Calibri"/>
        <family val="2"/>
        <scheme val="minor"/>
      </rPr>
      <t xml:space="preserve"> puff edges (decorative notches).</t>
    </r>
  </si>
  <si>
    <r>
      <t>Festonear</t>
    </r>
    <r>
      <rPr>
        <sz val="11"/>
        <color theme="1"/>
        <rFont val="Calibri"/>
        <family val="2"/>
        <scheme val="minor"/>
      </rPr>
      <t xml:space="preserve"> los bordes de hojaldre.</t>
    </r>
  </si>
  <si>
    <t>attendre</t>
  </si>
  <si>
    <t>wait; hold; let rest</t>
  </si>
  <si>
    <t>esperar; dejar reposar</t>
  </si>
  <si>
    <t>Pain/viande : « let it rest ».</t>
  </si>
  <si>
    <t>Bread/meat: “let it rest.”</t>
  </si>
  <si>
    <t>Pan/carne: “dejar reposar”.</t>
  </si>
  <si>
    <t>réserver dans des bacs</t>
  </si>
  <si>
    <t>store in trays/pans</t>
  </si>
  <si>
    <t>reservar en cubetas</t>
  </si>
  <si>
    <t>Effeuiller les filets cuits</t>
  </si>
  <si>
    <t>Flake the cooked fillets</t>
  </si>
  <si>
    <t>Desmigar los filetes cocidos</t>
  </si>
  <si>
    <t>VIANDES SOUS VIDE PIÉCÉES A CUISSON COURTE</t>
  </si>
  <si>
    <t>VACUUM-PACKED MEATS, PORTIONED — FOR SHORT COOK</t>
  </si>
  <si>
    <t>CARNES AL VACÍO, PORCIONADAS — PARA COCCIÓN CORTA</t>
  </si>
  <si>
    <r>
      <t>Confire (fruits)</t>
    </r>
    <r>
      <rPr>
        <sz val="11"/>
        <color theme="1"/>
        <rFont val="Calibri"/>
        <family val="2"/>
        <scheme val="minor"/>
      </rPr>
      <t xml:space="preserve"> : remplacer eau de végétation par sirops successifs.</t>
    </r>
  </si>
  <si>
    <r>
      <t>Candy/Confit</t>
    </r>
    <r>
      <rPr>
        <sz val="11"/>
        <color theme="1"/>
        <rFont val="Calibri"/>
        <family val="2"/>
        <scheme val="minor"/>
      </rPr>
      <t xml:space="preserve"> fruit in progressively stronger syrups.</t>
    </r>
  </si>
  <si>
    <r>
      <t>Confitar</t>
    </r>
    <r>
      <rPr>
        <sz val="11"/>
        <color theme="1"/>
        <rFont val="Calibri"/>
        <family val="2"/>
        <scheme val="minor"/>
      </rPr>
      <t xml:space="preserve"> fruta en jarabes crecientes.</t>
    </r>
  </si>
  <si>
    <t>attente</t>
  </si>
  <si>
    <t>holding; waiting</t>
  </si>
  <si>
    <r>
      <t>espera</t>
    </r>
    <r>
      <rPr>
        <sz val="11"/>
        <color theme="1"/>
        <rFont val="Calibri"/>
        <family val="2"/>
        <scheme val="minor"/>
      </rPr>
      <t xml:space="preserve">; </t>
    </r>
    <r>
      <rPr>
        <b/>
        <sz val="11"/>
        <color theme="1"/>
        <rFont val="Calibri"/>
        <family val="2"/>
        <scheme val="minor"/>
      </rPr>
      <t>holding</t>
    </r>
  </si>
  <si>
    <t>« En attente » : produits tenus/parkés avant étape suivante.</t>
  </si>
  <si>
    <t>“On hold”: items parked before the next step.</t>
  </si>
  <si>
    <t>“En espera”: productos retenidos antes de la siguiente etapa.</t>
  </si>
  <si>
    <t>select the equipment</t>
  </si>
  <si>
    <t>seleccionar el material</t>
  </si>
  <si>
    <t>Chauffer l’huile d’olive dans une sauteuse</t>
  </si>
  <si>
    <t>Heat olive oil in a sauté pan</t>
  </si>
  <si>
    <t>Calentar aceite de oliva en salteadora</t>
  </si>
  <si>
    <t>VIANDES SOUS VIDE PIÉCÉES A CUISSON LONGUE</t>
  </si>
  <si>
    <t>VACUUM-PACKED MEATS, PORTIONED — FOR LONG COOK</t>
  </si>
  <si>
    <t>CARNES AL VACÍO, PORCIONADAS — PARA COCCIÓN LARGA</t>
  </si>
  <si>
    <r>
      <t>Corner</t>
    </r>
    <r>
      <rPr>
        <sz val="11"/>
        <color theme="1"/>
        <rFont val="Calibri"/>
        <family val="2"/>
        <scheme val="minor"/>
      </rPr>
      <t xml:space="preserve"> : racler à la corne pour récupérer l’appareil.</t>
    </r>
  </si>
  <si>
    <r>
      <t>Scrape</t>
    </r>
    <r>
      <rPr>
        <sz val="11"/>
        <color theme="1"/>
        <rFont val="Calibri"/>
        <family val="2"/>
        <scheme val="minor"/>
      </rPr>
      <t xml:space="preserve"> bowl with a scraper to recover batter.</t>
    </r>
  </si>
  <si>
    <r>
      <t>Raspar</t>
    </r>
    <r>
      <rPr>
        <sz val="11"/>
        <color theme="1"/>
        <rFont val="Calibri"/>
        <family val="2"/>
        <scheme val="minor"/>
      </rPr>
      <t xml:space="preserve"> con rasqueta para recuperar mezcla.</t>
    </r>
  </si>
  <si>
    <t>automatiser</t>
  </si>
  <si>
    <t>automate</t>
  </si>
  <si>
    <t>automatizar</t>
  </si>
  <si>
    <t>Remplacer tâches manuelles par un flux outillé.</t>
  </si>
  <si>
    <t>Automate: replace manual tasks with tooling.</t>
  </si>
  <si>
    <t>Automatizar: sustituir tareas manuales por flujo con herramientas.</t>
  </si>
  <si>
    <t>follow the protocols</t>
  </si>
  <si>
    <t>seguir los protocolos</t>
  </si>
  <si>
    <t>Ajouter la morue effeuillée et l’ail</t>
  </si>
  <si>
    <t>Add flaked cod and garlic</t>
  </si>
  <si>
    <t>Añadir bacalao desmigado y ajo</t>
  </si>
  <si>
    <r>
      <t>Corps (pâte)</t>
    </r>
    <r>
      <rPr>
        <sz val="11"/>
        <color theme="1"/>
        <rFont val="Calibri"/>
        <family val="2"/>
        <scheme val="minor"/>
      </rPr>
      <t xml:space="preserve"> : élasticité/résistance liée au gluten.</t>
    </r>
  </si>
  <si>
    <r>
      <t>Body</t>
    </r>
    <r>
      <rPr>
        <sz val="11"/>
        <color theme="1"/>
        <rFont val="Calibri"/>
        <family val="2"/>
        <scheme val="minor"/>
      </rPr>
      <t xml:space="preserve"> of dough (gluten strength/elasticity).</t>
    </r>
  </si>
  <si>
    <r>
      <t>Cuerpo</t>
    </r>
    <r>
      <rPr>
        <sz val="11"/>
        <color theme="1"/>
        <rFont val="Calibri"/>
        <family val="2"/>
        <scheme val="minor"/>
      </rPr>
      <t xml:space="preserve"> de la masa (fuerza del gluten).</t>
    </r>
  </si>
  <si>
    <t>check use-by dates</t>
  </si>
  <si>
    <t>verificar las fechas de caducidad</t>
  </si>
  <si>
    <t>Travailler à la spatule</t>
  </si>
  <si>
    <t>Work with spatula</t>
  </si>
  <si>
    <t>Trabajar con espátula</t>
  </si>
  <si>
    <t>épicerie</t>
  </si>
  <si>
    <t>grocery (dry goods)</t>
  </si>
  <si>
    <t>abarrotes / despensa (seco)</t>
  </si>
  <si>
    <r>
      <t>Corser (pâte)</t>
    </r>
    <r>
      <rPr>
        <sz val="11"/>
        <color theme="1"/>
        <rFont val="Calibri"/>
        <family val="2"/>
        <scheme val="minor"/>
      </rPr>
      <t xml:space="preserve"> : renforcer l’élasticité par pétrissage.</t>
    </r>
  </si>
  <si>
    <r>
      <t>Develop</t>
    </r>
    <r>
      <rPr>
        <sz val="11"/>
        <color theme="1"/>
        <rFont val="Calibri"/>
        <family val="2"/>
        <scheme val="minor"/>
      </rPr>
      <t xml:space="preserve"> dough (strengthen gluten by kneading).</t>
    </r>
  </si>
  <si>
    <r>
      <t>Desarrollar</t>
    </r>
    <r>
      <rPr>
        <sz val="11"/>
        <color theme="1"/>
        <rFont val="Calibri"/>
        <family val="2"/>
        <scheme val="minor"/>
      </rPr>
      <t xml:space="preserve"> la masa (fortalecer gluten).</t>
    </r>
  </si>
  <si>
    <t>bâcher</t>
  </si>
  <si>
    <t>tarp; cover with a tarp</t>
  </si>
  <si>
    <r>
      <t>toldar</t>
    </r>
    <r>
      <rPr>
        <sz val="11"/>
        <color theme="1"/>
        <rFont val="Calibri"/>
        <family val="2"/>
        <scheme val="minor"/>
      </rPr>
      <t>; cubrir con lona</t>
    </r>
  </si>
  <si>
    <t>Protéger palettes/charges en extérieur.</t>
  </si>
  <si>
    <t>Tarp/cover pallets/loads outdoors.</t>
  </si>
  <si>
    <t>Cubrir con lona palets/cargas en exterior.</t>
  </si>
  <si>
    <t>(ou travailler directement la morue effeuillée dans la cuve du batteur)</t>
  </si>
  <si>
    <t>(or work the flaked cod directly in the mixer bowl)</t>
  </si>
  <si>
    <t>(o trabajar directamente el bacalao desmigado en la cuba del batidor)</t>
  </si>
  <si>
    <t>légumes appertisés</t>
  </si>
  <si>
    <t>canned vegetables</t>
  </si>
  <si>
    <t>verduras en conserva</t>
  </si>
  <si>
    <r>
      <t>Coucher (dresser)</t>
    </r>
    <r>
      <rPr>
        <sz val="11"/>
        <color theme="1"/>
        <rFont val="Calibri"/>
        <family val="2"/>
        <scheme val="minor"/>
      </rPr>
      <t xml:space="preserve"> : pocher à la douille sur plaque/tapis.</t>
    </r>
  </si>
  <si>
    <r>
      <t>Pipe/lay out</t>
    </r>
    <r>
      <rPr>
        <sz val="11"/>
        <color theme="1"/>
        <rFont val="Calibri"/>
        <family val="2"/>
        <scheme val="minor"/>
      </rPr>
      <t xml:space="preserve"> with a pastry bag on tray/mat.</t>
    </r>
  </si>
  <si>
    <r>
      <t>Escudillar</t>
    </r>
    <r>
      <rPr>
        <sz val="11"/>
        <color theme="1"/>
        <rFont val="Calibri"/>
        <family val="2"/>
        <scheme val="minor"/>
      </rPr>
      <t xml:space="preserve"> con manga sobre bandeja/tapete.</t>
    </r>
  </si>
  <si>
    <t>baisser</t>
  </si>
  <si>
    <t>lower; reduce</t>
  </si>
  <si>
    <r>
      <t>bajar</t>
    </r>
    <r>
      <rPr>
        <sz val="11"/>
        <color theme="1"/>
        <rFont val="Calibri"/>
        <family val="2"/>
        <scheme val="minor"/>
      </rPr>
      <t>; reducir</t>
    </r>
  </si>
  <si>
    <t>Température, volume sonore, cadence, prix, flamme.</t>
  </si>
  <si>
    <t>Lower temperature, noise level, rate, price, flame.</t>
  </si>
  <si>
    <t>Bajar temperatura, nivel de ruido, cadencia, precio, llama.</t>
  </si>
  <si>
    <t>Mettre la morue dans la grande cuve du batteur</t>
  </si>
  <si>
    <t>Transfer cod to large mixer bowl</t>
  </si>
  <si>
    <t>Pasar bacalao a la cuba grande</t>
  </si>
  <si>
    <t>légumes frais à cuire</t>
  </si>
  <si>
    <t>fresh vegetables to cook</t>
  </si>
  <si>
    <t>verduras frescas para cocinar</t>
  </si>
  <si>
    <r>
      <t>Crémer</t>
    </r>
    <r>
      <rPr>
        <sz val="11"/>
        <color theme="1"/>
        <rFont val="Calibri"/>
        <family val="2"/>
        <scheme val="minor"/>
      </rPr>
      <t xml:space="preserve"> : travailler matière grasse (seule/avec sucre) jusqu’à crémage.</t>
    </r>
  </si>
  <si>
    <r>
      <t>Cream</t>
    </r>
    <r>
      <rPr>
        <sz val="11"/>
        <color theme="1"/>
        <rFont val="Calibri"/>
        <family val="2"/>
        <scheme val="minor"/>
      </rPr>
      <t xml:space="preserve"> butter (alone/with sugar) until fluffy.</t>
    </r>
  </si>
  <si>
    <r>
      <t>Acremar</t>
    </r>
    <r>
      <rPr>
        <sz val="11"/>
        <color theme="1"/>
        <rFont val="Calibri"/>
        <family val="2"/>
        <scheme val="minor"/>
      </rPr>
      <t xml:space="preserve"> mantequilla (sola/con azúcar).</t>
    </r>
  </si>
  <si>
    <t>bard (wrap with bacon/lard)</t>
  </si>
  <si>
    <r>
      <t>lardar</t>
    </r>
    <r>
      <rPr>
        <sz val="11"/>
        <color theme="1"/>
        <rFont val="Calibri"/>
        <family val="2"/>
        <scheme val="minor"/>
      </rPr>
      <t>; envolver con tocino/panceta</t>
    </r>
  </si>
  <si>
    <t>Entourer une pièce (volaille, gibier) de lard pour protéger à la cuisson.</t>
  </si>
  <si>
    <t>Wrap the cut (poultry/game) with bacon/lard to protect during cooking (bard).</t>
  </si>
  <si>
    <t>Envolver la pieza (ave/caza) con panceta/tocino para protegerla en la cocción.</t>
  </si>
  <si>
    <t>blanchir–rafraîchir–couper</t>
  </si>
  <si>
    <t>blanch – refresh – cut</t>
  </si>
  <si>
    <t>blanquear – refrescar – cortar</t>
  </si>
  <si>
    <t>À la feuille, 1re vitesse, incorporer lait et crème progressivement</t>
  </si>
  <si>
    <t>With paddle, speed 1, fold in milk and cream gradually</t>
  </si>
  <si>
    <t>Con pala, vel. 1, incorporar leche y nata poco a poco</t>
  </si>
  <si>
    <t>légumes secs</t>
  </si>
  <si>
    <t>dried pulses/legumes</t>
  </si>
  <si>
    <t>legumbres secas</t>
  </si>
  <si>
    <r>
      <t>Croûter</t>
    </r>
    <r>
      <rPr>
        <sz val="11"/>
        <color theme="1"/>
        <rFont val="Calibri"/>
        <family val="2"/>
        <scheme val="minor"/>
      </rPr>
      <t xml:space="preserve"> : sécher en surface (air/étuve) avant suite (ex. macarons).</t>
    </r>
  </si>
  <si>
    <r>
      <t>Crust/skin over</t>
    </r>
    <r>
      <rPr>
        <sz val="11"/>
        <color theme="1"/>
        <rFont val="Calibri"/>
        <family val="2"/>
        <scheme val="minor"/>
      </rPr>
      <t xml:space="preserve"> (air/proofer), e.g., macarons.</t>
    </r>
  </si>
  <si>
    <r>
      <t>Acortezar/formar piel</t>
    </r>
    <r>
      <rPr>
        <sz val="11"/>
        <color theme="1"/>
        <rFont val="Calibri"/>
        <family val="2"/>
        <scheme val="minor"/>
      </rPr>
      <t xml:space="preserve"> (aire/cámara).</t>
    </r>
  </si>
  <si>
    <r>
      <t xml:space="preserve">beat; whisk; </t>
    </r>
    <r>
      <rPr>
        <b/>
        <sz val="11"/>
        <color theme="1"/>
        <rFont val="Calibri"/>
        <family val="2"/>
        <scheme val="minor"/>
      </rPr>
      <t>pound</t>
    </r>
    <r>
      <rPr>
        <sz val="11"/>
        <color theme="1"/>
        <rFont val="Calibri"/>
        <family val="2"/>
        <scheme val="minor"/>
      </rPr>
      <t xml:space="preserve"> (meat)</t>
    </r>
  </si>
  <si>
    <r>
      <t>batir</t>
    </r>
    <r>
      <rPr>
        <sz val="11"/>
        <color theme="1"/>
        <rFont val="Calibri"/>
        <family val="2"/>
        <scheme val="minor"/>
      </rPr>
      <t xml:space="preserve">; </t>
    </r>
    <r>
      <rPr>
        <b/>
        <sz val="11"/>
        <color theme="1"/>
        <rFont val="Calibri"/>
        <family val="2"/>
        <scheme val="minor"/>
      </rPr>
      <t>majar/golpear</t>
    </r>
    <r>
      <rPr>
        <sz val="11"/>
        <color theme="1"/>
        <rFont val="Calibri"/>
        <family val="2"/>
        <scheme val="minor"/>
      </rPr>
      <t xml:space="preserve"> (carne)</t>
    </r>
  </si>
  <si>
    <t>Batteurs/foets: « whisk » ; pour attendrir/étaler une viande : « pound/majar ».</t>
  </si>
  <si>
    <r>
      <t xml:space="preserve">With mixer/whisk: </t>
    </r>
    <r>
      <rPr>
        <b/>
        <sz val="11"/>
        <color theme="1"/>
        <rFont val="Calibri"/>
        <family val="2"/>
        <scheme val="minor"/>
      </rPr>
      <t>whisk</t>
    </r>
    <r>
      <rPr>
        <sz val="11"/>
        <color theme="1"/>
        <rFont val="Calibri"/>
        <family val="2"/>
        <scheme val="minor"/>
      </rPr>
      <t xml:space="preserve">; to tenderize/flatten meat: </t>
    </r>
    <r>
      <rPr>
        <b/>
        <sz val="11"/>
        <color theme="1"/>
        <rFont val="Calibri"/>
        <family val="2"/>
        <scheme val="minor"/>
      </rPr>
      <t>pound</t>
    </r>
    <r>
      <rPr>
        <sz val="11"/>
        <color theme="1"/>
        <rFont val="Calibri"/>
        <family val="2"/>
        <scheme val="minor"/>
      </rPr>
      <t>.</t>
    </r>
  </si>
  <si>
    <r>
      <t xml:space="preserve">Con batidora/varillas: </t>
    </r>
    <r>
      <rPr>
        <b/>
        <sz val="11"/>
        <color theme="1"/>
        <rFont val="Calibri"/>
        <family val="2"/>
        <scheme val="minor"/>
      </rPr>
      <t>batir</t>
    </r>
    <r>
      <rPr>
        <sz val="11"/>
        <color theme="1"/>
        <rFont val="Calibri"/>
        <family val="2"/>
        <scheme val="minor"/>
      </rPr>
      <t xml:space="preserve">; para ablandar/afinar carne: </t>
    </r>
    <r>
      <rPr>
        <b/>
        <sz val="11"/>
        <color theme="1"/>
        <rFont val="Calibri"/>
        <family val="2"/>
        <scheme val="minor"/>
      </rPr>
      <t>majar/golpear</t>
    </r>
    <r>
      <rPr>
        <sz val="11"/>
        <color theme="1"/>
        <rFont val="Calibri"/>
        <family val="2"/>
        <scheme val="minor"/>
      </rPr>
      <t>.</t>
    </r>
  </si>
  <si>
    <t>drain and transfer</t>
  </si>
  <si>
    <t>escurrir y trasvasar</t>
  </si>
  <si>
    <t>Éventuellement, mettre au point la consistance en ajoutant du lait, de l’huile d’olive ou de la crème</t>
  </si>
  <si>
    <t>If needed, adjust the consistency by adding milk, olive oil, or cream</t>
  </si>
  <si>
    <t>Si es necesario, ajustar la consistencia añadiendo leche, aceite de oliva o nata</t>
  </si>
  <si>
    <t>légumes sous vide à cuire</t>
  </si>
  <si>
    <t>vacuum-packed vegetables to cook</t>
  </si>
  <si>
    <t>verduras envasadas al vacío para cocinar</t>
  </si>
  <si>
    <t>butter; grease with butter</t>
  </si>
  <si>
    <r>
      <t>enmantequillar</t>
    </r>
    <r>
      <rPr>
        <sz val="11"/>
        <color theme="1"/>
        <rFont val="Calibri"/>
        <family val="2"/>
        <scheme val="minor"/>
      </rPr>
      <t>; untar/engrasar con mantequilla</t>
    </r>
  </si>
  <si>
    <t>Graisser généreusement moules/plats pour anti-adhérence.</t>
  </si>
  <si>
    <t>Generously butter molds/pans to prevent sticking.</t>
  </si>
  <si>
    <t>Enmantequillar moldes/bandejas para antiadherencia.</t>
  </si>
  <si>
    <t>éplucher–laver–désinfecter</t>
  </si>
  <si>
    <t>peel – wash – sanitize</t>
  </si>
  <si>
    <t>pelar – lavar – desinfectar</t>
  </si>
  <si>
    <t>légumes sous vide cuits</t>
  </si>
  <si>
    <t>vacuum-packed cooked vegetables</t>
  </si>
  <si>
    <t>verduras cocidas envasadas al vacío</t>
  </si>
  <si>
    <r>
      <t>Décercler</t>
    </r>
    <r>
      <rPr>
        <sz val="11"/>
        <color theme="1"/>
        <rFont val="Calibri"/>
        <family val="2"/>
        <scheme val="minor"/>
      </rPr>
      <t xml:space="preserve"> : retirer le cercle d’un fond/entremets.</t>
    </r>
  </si>
  <si>
    <r>
      <t>Unring</t>
    </r>
    <r>
      <rPr>
        <sz val="11"/>
        <color theme="1"/>
        <rFont val="Calibri"/>
        <family val="2"/>
        <scheme val="minor"/>
      </rPr>
      <t xml:space="preserve"> (remove tart/cake ring).</t>
    </r>
  </si>
  <si>
    <r>
      <t>Desmoldar (quitar aro)</t>
    </r>
    <r>
      <rPr>
        <sz val="11"/>
        <color theme="1"/>
        <rFont val="Calibri"/>
        <family val="2"/>
        <scheme val="minor"/>
      </rPr>
      <t>.</t>
    </r>
  </si>
  <si>
    <t>blanch (veg); whisk until pale (eggs+sugar)</t>
  </si>
  <si>
    <r>
      <t>escaldar</t>
    </r>
    <r>
      <rPr>
        <sz val="11"/>
        <color theme="1"/>
        <rFont val="Calibri"/>
        <family val="2"/>
        <scheme val="minor"/>
      </rPr>
      <t xml:space="preserve"> (verduras); </t>
    </r>
    <r>
      <rPr>
        <b/>
        <sz val="11"/>
        <color theme="1"/>
        <rFont val="Calibri"/>
        <family val="2"/>
        <scheme val="minor"/>
      </rPr>
      <t>blanquear</t>
    </r>
    <r>
      <rPr>
        <sz val="11"/>
        <color theme="1"/>
        <rFont val="Calibri"/>
        <family val="2"/>
        <scheme val="minor"/>
      </rPr>
      <t xml:space="preserve"> huevos con azúcar</t>
    </r>
  </si>
  <si>
    <t>Cuisine : mise à l’eau bouillante brève ; pâtisserie : œufs + sucre fouettés pâles.</t>
  </si>
  <si>
    <t>Cooking: brief boil/blanch; pastry: eggs + sugar whisked until pale.</t>
  </si>
  <si>
    <t>Cocina: escaldado breve; pastelería: huevos con azúcar batidos hasta blanquear.</t>
  </si>
  <si>
    <t>soak</t>
  </si>
  <si>
    <t>poner en remojo</t>
  </si>
  <si>
    <t>Obtenir une pâte homogène et compacte</t>
  </si>
  <si>
    <t>Reach a homogeneous, compact paste</t>
  </si>
  <si>
    <t>Lograr pasta homogénea y compacta</t>
  </si>
  <si>
    <t>légumes surgelés à cuire</t>
  </si>
  <si>
    <t>frozen vegetables to cook</t>
  </si>
  <si>
    <t>verduras congeladas para cocinar</t>
  </si>
  <si>
    <r>
      <t>Décoction</t>
    </r>
    <r>
      <rPr>
        <sz val="11"/>
        <color theme="1"/>
        <rFont val="Calibri"/>
        <family val="2"/>
        <scheme val="minor"/>
      </rPr>
      <t xml:space="preserve"> : extraction par ébullition prolongée.</t>
    </r>
  </si>
  <si>
    <r>
      <t>Decoction</t>
    </r>
    <r>
      <rPr>
        <sz val="11"/>
        <color theme="1"/>
        <rFont val="Calibri"/>
        <family val="2"/>
        <scheme val="minor"/>
      </rPr>
      <t xml:space="preserve"> (prolonged boiling extraction).</t>
    </r>
  </si>
  <si>
    <r>
      <t>Decocción</t>
    </r>
    <r>
      <rPr>
        <sz val="11"/>
        <color theme="1"/>
        <rFont val="Calibri"/>
        <family val="2"/>
        <scheme val="minor"/>
      </rPr>
      <t>.</t>
    </r>
  </si>
  <si>
    <t>brown lightly; cook until golden/blond</t>
  </si>
  <si>
    <r>
      <t>dorar ligeramente</t>
    </r>
    <r>
      <rPr>
        <sz val="11"/>
        <color theme="1"/>
        <rFont val="Calibri"/>
        <family val="2"/>
        <scheme val="minor"/>
      </rPr>
      <t>; rehogar hasta dorar</t>
    </r>
  </si>
  <si>
    <t>Oignons/mirepoix : coloration blonde, pas brun foncé.</t>
  </si>
  <si>
    <t>Onions/mirepoix: light blond color, not dark brown.</t>
  </si>
  <si>
    <t>Cebolla/mirepoix: dorado claro (rubio), no marrón oscuro.</t>
  </si>
  <si>
    <t>dress/prepare the soles (fish)</t>
  </si>
  <si>
    <t>limpiar y preparar los lenguados</t>
  </si>
  <si>
    <t>Pepper and add nutmeg</t>
  </si>
  <si>
    <t>Pimentar y añadir nuez moscada</t>
  </si>
  <si>
    <t>légumes surgelés cuits</t>
  </si>
  <si>
    <t>frozen cooked vegetables</t>
  </si>
  <si>
    <t>verduras congeladas cocidas</t>
  </si>
  <si>
    <r>
      <t>Dessécher</t>
    </r>
    <r>
      <rPr>
        <sz val="11"/>
        <color theme="1"/>
        <rFont val="Calibri"/>
        <family val="2"/>
        <scheme val="minor"/>
      </rPr>
      <t xml:space="preserve"> : évaporer l’excès d’eau sur feu doux/étuve/four (pâte à choux).</t>
    </r>
  </si>
  <si>
    <r>
      <t>Dry out</t>
    </r>
    <r>
      <rPr>
        <sz val="11"/>
        <color theme="1"/>
        <rFont val="Calibri"/>
        <family val="2"/>
        <scheme val="minor"/>
      </rPr>
      <t xml:space="preserve"> moisture gently (e.g., choux panade).</t>
    </r>
  </si>
  <si>
    <r>
      <t>Desecar</t>
    </r>
    <r>
      <rPr>
        <sz val="11"/>
        <color theme="1"/>
        <rFont val="Calibri"/>
        <family val="2"/>
        <scheme val="minor"/>
      </rPr>
      <t xml:space="preserve"> (p. ej., masa choux).</t>
    </r>
  </si>
  <si>
    <t>bloquer</t>
  </si>
  <si>
    <t>block; lock; freeze</t>
  </si>
  <si>
    <r>
      <t>bloquear</t>
    </r>
    <r>
      <rPr>
        <sz val="11"/>
        <color theme="1"/>
        <rFont val="Calibri"/>
        <family val="2"/>
        <scheme val="minor"/>
      </rPr>
      <t>; inmovilizar</t>
    </r>
  </si>
  <si>
    <t>Bloquer stock/OF, verrouiller une consigne.</t>
  </si>
  <si>
    <t>Block stock/work order; lock a setting/instruction.</t>
  </si>
  <si>
    <t>Bloquear stock/OF; bloquear una consigna/ajuste.</t>
  </si>
  <si>
    <t>rinse under plenty of water</t>
  </si>
  <si>
    <t>lavar con abundante agua</t>
  </si>
  <si>
    <t>Finir de lier en ajoutant la purée</t>
  </si>
  <si>
    <t>Finish binding with the mash</t>
  </si>
  <si>
    <t>Terminar de ligar añadiendo el puré</t>
  </si>
  <si>
    <t>produits laitiers</t>
  </si>
  <si>
    <t>dairy products</t>
  </si>
  <si>
    <t>productos lácteos</t>
  </si>
  <si>
    <r>
      <t>Détailler</t>
    </r>
    <r>
      <rPr>
        <sz val="11"/>
        <color theme="1"/>
        <rFont val="Calibri"/>
        <family val="2"/>
        <scheme val="minor"/>
      </rPr>
      <t xml:space="preserve"> : découper formes nettes dans une abaisse.</t>
    </r>
  </si>
  <si>
    <r>
      <t>Cut out</t>
    </r>
    <r>
      <rPr>
        <sz val="11"/>
        <color theme="1"/>
        <rFont val="Calibri"/>
        <family val="2"/>
        <scheme val="minor"/>
      </rPr>
      <t xml:space="preserve"> shapes from rolled dough.</t>
    </r>
  </si>
  <si>
    <r>
      <t>Cortar</t>
    </r>
    <r>
      <rPr>
        <sz val="11"/>
        <color theme="1"/>
        <rFont val="Calibri"/>
        <family val="2"/>
        <scheme val="minor"/>
      </rPr>
      <t xml:space="preserve"> piezas de una lámina de masa.</t>
    </r>
  </si>
  <si>
    <t>boucher</t>
  </si>
  <si>
    <t>plug; stop up</t>
  </si>
  <si>
    <r>
      <t>taponar</t>
    </r>
    <r>
      <rPr>
        <sz val="11"/>
        <color theme="1"/>
        <rFont val="Calibri"/>
        <family val="2"/>
        <scheme val="minor"/>
      </rPr>
      <t>; obturar</t>
    </r>
  </si>
  <si>
    <t>Obstruer une fuite; « boucher un trou » planning.</t>
  </si>
  <si>
    <t>Plug/stop a leak; fill a gap in the schedule.</t>
  </si>
  <si>
    <t>Taponar una fuga; “tapar un hueco” en el planning.</t>
  </si>
  <si>
    <t>laver à grande eau / rincer abondamment</t>
  </si>
  <si>
    <t>wash / rinse thoroughly</t>
  </si>
  <si>
    <t>lavar / enjuagar abundantemente</t>
  </si>
  <si>
    <t>Travailler.</t>
  </si>
  <si>
    <t xml:space="preserve">Work. </t>
  </si>
  <si>
    <t xml:space="preserve">Trabajar. </t>
  </si>
  <si>
    <t>viande fraîche cuite sous vide</t>
  </si>
  <si>
    <t>fresh meat, cooked, vacuum-packed</t>
  </si>
  <si>
    <t>carne fresca cocida al vacío</t>
  </si>
  <si>
    <r>
      <t>Détrempe</t>
    </r>
    <r>
      <rPr>
        <sz val="11"/>
        <color theme="1"/>
        <rFont val="Calibri"/>
        <family val="2"/>
        <scheme val="minor"/>
      </rPr>
      <t xml:space="preserve"> : base farine+eau+sel pour feuilletée/levée feuilletée.</t>
    </r>
  </si>
  <si>
    <r>
      <t>Détrempe</t>
    </r>
    <r>
      <rPr>
        <sz val="11"/>
        <color theme="1"/>
        <rFont val="Calibri"/>
        <family val="2"/>
        <scheme val="minor"/>
      </rPr>
      <t>: base dough (flour+water+salt) for puff/laminated.</t>
    </r>
  </si>
  <si>
    <r>
      <t>Detrempe</t>
    </r>
    <r>
      <rPr>
        <sz val="11"/>
        <color theme="1"/>
        <rFont val="Calibri"/>
        <family val="2"/>
        <scheme val="minor"/>
      </rPr>
      <t>: base para hojaldre/levado hojaldrado.</t>
    </r>
  </si>
  <si>
    <t>boucler</t>
  </si>
  <si>
    <t>close; finalize; loop</t>
  </si>
  <si>
    <r>
      <t>cerrar</t>
    </r>
    <r>
      <rPr>
        <sz val="11"/>
        <color theme="1"/>
        <rFont val="Calibri"/>
        <family val="2"/>
        <scheme val="minor"/>
      </rPr>
      <t>; finalizar</t>
    </r>
  </si>
  <si>
    <t>Boucler un dossier/lot/boucle de rétroaction.</t>
  </si>
  <si>
    <t>Close out a file/batch/feedback loop.</t>
  </si>
  <si>
    <t>Cerrar un expediente/lote/bucle de retroalimentación.</t>
  </si>
  <si>
    <t>peser les denrées/ingrédients</t>
  </si>
  <si>
    <t>weigh the food/ingredients</t>
  </si>
  <si>
    <t>pesar los alimentos/ingredientes</t>
  </si>
  <si>
    <t>Adjust consistency</t>
  </si>
  <si>
    <t>Rectificar consistencia</t>
  </si>
  <si>
    <t>viande fraîche sous vide crue — à couper</t>
  </si>
  <si>
    <t>fresh meat, vacuum-packed, raw — to cut</t>
  </si>
  <si>
    <t>carne fresca envasada al vacío, cruda — para cortar</t>
  </si>
  <si>
    <t>Bouillir</t>
  </si>
  <si>
    <t>Boil</t>
  </si>
  <si>
    <t>Hervir</t>
  </si>
  <si>
    <t>Gros bouillons, surveiller évaporation et débordement.</t>
  </si>
  <si>
    <t>Full boil; watch evaporation/boil-over.</t>
  </si>
  <si>
    <t>Hervor fuerte; vigilar evaporación/derrame.</t>
  </si>
  <si>
    <t>sort and soak</t>
  </si>
  <si>
    <t>clasificar y poner en remojo</t>
  </si>
  <si>
    <t>viande fraîche sous vide crue — à cuire, à couper + appertisée</t>
  </si>
  <si>
    <t>fresh meat, vacuum-packed, raw — to cook, to cut + canned</t>
  </si>
  <si>
    <t>carne fresca envasada al vacío, cruda — para cocinar, para cortar + en conserva</t>
  </si>
  <si>
    <r>
      <t>Écumer :</t>
    </r>
    <r>
      <rPr>
        <sz val="11"/>
        <color theme="1"/>
        <rFont val="Calibri"/>
        <family val="2"/>
        <scheme val="minor"/>
      </rPr>
      <t xml:space="preserve"> retirer impuretés/écume en surface (confitures, gelées, sucre).</t>
    </r>
  </si>
  <si>
    <t>Skim off scum/impurities (jams, jellies, sugar).</t>
  </si>
  <si>
    <t>Desespumar impurezas/espuma en la superficie (mermeladas, gelatinas, azúcar).</t>
  </si>
  <si>
    <t>round (dough); preshape into a boule</t>
  </si>
  <si>
    <r>
      <t>bolear</t>
    </r>
    <r>
      <rPr>
        <sz val="11"/>
        <color theme="1"/>
        <rFont val="Calibri"/>
        <family val="2"/>
        <scheme val="minor"/>
      </rPr>
      <t xml:space="preserve"> (masa)</t>
    </r>
  </si>
  <si>
    <t>BVP : former une boule bien tendue avant apprêt.</t>
  </si>
  <si>
    <t>Bakery: shape a tight ball before proofing.</t>
  </si>
  <si>
    <r>
      <t xml:space="preserve">Panadería: </t>
    </r>
    <r>
      <rPr>
        <b/>
        <sz val="11"/>
        <color theme="1"/>
        <rFont val="Calibri"/>
        <family val="2"/>
        <scheme val="minor"/>
      </rPr>
      <t>bolear</t>
    </r>
    <r>
      <rPr>
        <sz val="11"/>
        <color theme="1"/>
        <rFont val="Calibri"/>
        <family val="2"/>
        <scheme val="minor"/>
      </rPr>
      <t xml:space="preserve"> una pieza tensa antes del levado.</t>
    </r>
  </si>
  <si>
    <t>Decant/transfer the mixture</t>
  </si>
  <si>
    <t>Decantar/traspasar la preparación</t>
  </si>
  <si>
    <r>
      <t xml:space="preserve">Émonder : </t>
    </r>
    <r>
      <rPr>
        <sz val="11"/>
        <color theme="1"/>
        <rFont val="Calibri"/>
        <family val="2"/>
        <scheme val="minor"/>
      </rPr>
      <t>retirer pellicule/peau (tomates, amandes…).</t>
    </r>
  </si>
  <si>
    <t>Skin/peel (after blanching) tomatoes, almonds, etc.</t>
  </si>
  <si>
    <t>Mondar (tras escaldar) tomates, almendras, etc.</t>
  </si>
  <si>
    <t>braise</t>
  </si>
  <si>
    <r>
      <t>estofar</t>
    </r>
    <r>
      <rPr>
        <sz val="11"/>
        <color theme="1"/>
        <rFont val="Calibri"/>
        <family val="2"/>
        <scheme val="minor"/>
      </rPr>
      <t>; brasear</t>
    </r>
  </si>
  <si>
    <t>Saisir puis cuire couvert, avec peu de liquide, à feu doux/au four.</t>
  </si>
  <si>
    <t>Sear, then cook covered with little liquid over low heat/in the oven (braise).</t>
  </si>
  <si>
    <t>Sellar y luego cocer tapado con poco líquido, a fuego bajo o al horno (brasear/estofar).</t>
  </si>
  <si>
    <t>Techniques de coupe</t>
  </si>
  <si>
    <t>Répartir la brandade dans 8 bacs GN 1/1 beurrés</t>
  </si>
  <si>
    <t>Portion brandade into 8 buttered GN 1/1 pans</t>
  </si>
  <si>
    <t>Repartir brandada en 8 cubetas GN 1/1 enmantequilladas</t>
  </si>
  <si>
    <t>viande fraîche sous vide cuite — à couper</t>
  </si>
  <si>
    <t>fresh meat, vacuum-packed, cooked — to slice/cut</t>
  </si>
  <si>
    <t>carne fresca envasada al vacío, cocida — para cortar</t>
  </si>
  <si>
    <r>
      <t>Émulsionner :</t>
    </r>
    <r>
      <rPr>
        <sz val="11"/>
        <color theme="1"/>
        <rFont val="Calibri"/>
        <family val="2"/>
        <scheme val="minor"/>
      </rPr>
      <t xml:space="preserve"> disperser un liquide dans un autre non miscible (ex. ganache)</t>
    </r>
  </si>
  <si>
    <t>Emulsify: disperse one immiscible liquid into another (e.g., ganache).</t>
  </si>
  <si>
    <t>Emulsionar: dispersar un líquido en otro no miscible (p. ej., ganache).</t>
  </si>
  <si>
    <t>brasser</t>
  </si>
  <si>
    <t>mix; brew</t>
  </si>
  <si>
    <r>
      <t>mezclar</t>
    </r>
    <r>
      <rPr>
        <sz val="11"/>
        <color theme="1"/>
        <rFont val="Calibri"/>
        <family val="2"/>
        <scheme val="minor"/>
      </rPr>
      <t xml:space="preserve">; </t>
    </r>
    <r>
      <rPr>
        <b/>
        <sz val="11"/>
        <color theme="1"/>
        <rFont val="Calibri"/>
        <family val="2"/>
        <scheme val="minor"/>
      </rPr>
      <t>fabricar cerveza</t>
    </r>
    <r>
      <rPr>
        <sz val="11"/>
        <color theme="1"/>
        <rFont val="Calibri"/>
        <family val="2"/>
        <scheme val="minor"/>
      </rPr>
      <t xml:space="preserve"> (si bière)</t>
    </r>
  </si>
  <si>
    <t>Mélanger lots/liquides ; brasserie : brasser.</t>
  </si>
  <si>
    <t>Mix batches/liquids; brewery: brew.</t>
  </si>
  <si>
    <t>Mezclar lotes/líquidos; cervecería: elaborar cerveza.</t>
  </si>
  <si>
    <t>finely chop</t>
  </si>
  <si>
    <t>picar finamente</t>
  </si>
  <si>
    <t>Égaliser la surface</t>
  </si>
  <si>
    <t>Level the surface</t>
  </si>
  <si>
    <t>Igualar la superficie</t>
  </si>
  <si>
    <t>(doublon) viande fraîche sous vide cuite — à couper</t>
  </si>
  <si>
    <r>
      <t>Évider :</t>
    </r>
    <r>
      <rPr>
        <sz val="11"/>
        <color theme="1"/>
        <rFont val="Calibri"/>
        <family val="2"/>
        <scheme val="minor"/>
      </rPr>
      <t xml:space="preserve"> creuser/ôter l’intérieur (agrumes, fruits).</t>
    </r>
  </si>
  <si>
    <t>Hollow out / core (citrus, fruits).</t>
  </si>
  <si>
    <t>Ahuecar / vaciar (cítricos, frutas).</t>
  </si>
  <si>
    <t>truss (poultry)</t>
  </si>
  <si>
    <t>bridar (atar)</t>
  </si>
  <si>
    <t>Ficeler une volaille/pièce pour tenue et cuisson régulière.</t>
  </si>
  <si>
    <t>Tie/truss poultry or a cut for shape and even cooking.</t>
  </si>
  <si>
    <t>Atar/bridar un ave o una pieza para mantener la forma y una cocción uniforme.</t>
  </si>
  <si>
    <t>couper en deux</t>
  </si>
  <si>
    <t>cut in half</t>
  </si>
  <si>
    <t>cortar por la mitad</t>
  </si>
  <si>
    <t>Saupoudrer d’emmental râpé</t>
  </si>
  <si>
    <t>Sprinkle grated Emmental</t>
  </si>
  <si>
    <t>Espolvorear emmental rallado</t>
  </si>
  <si>
    <t>viandes fraîches à piécer avant cuisson courte</t>
  </si>
  <si>
    <t>fresh meats — portion before short cook</t>
  </si>
  <si>
    <t>carnes frescas — porcionar antes de cocción corta</t>
  </si>
  <si>
    <t>grind; crush; mill</t>
  </si>
  <si>
    <r>
      <t>moler</t>
    </r>
    <r>
      <rPr>
        <sz val="11"/>
        <color theme="1"/>
        <rFont val="Calibri"/>
        <family val="2"/>
        <scheme val="minor"/>
      </rPr>
      <t>; triturar</t>
    </r>
  </si>
  <si>
    <t>Grains, fruits secs, praliné, épices : réduction de taille/texture.</t>
  </si>
  <si>
    <t>Grind/crush to reduce particle size/texture (nuts, praliné, spices).</t>
  </si>
  <si>
    <t>Moler/triturar para reducir el tamaño de partícula/ textura (frutos secos, praliné, especias).</t>
  </si>
  <si>
    <t>finely mince</t>
  </si>
  <si>
    <t>Dot with butter</t>
  </si>
  <si>
    <t>Repartir trocitos de mantequilla</t>
  </si>
  <si>
    <t>viandes fraîches à piécer avant cuisson longue</t>
  </si>
  <si>
    <t>fresh meats — portion before long cook</t>
  </si>
  <si>
    <t>carnes frescas — porcionar antes de cocción larga</t>
  </si>
  <si>
    <r>
      <t>Façonner</t>
    </r>
    <r>
      <rPr>
        <sz val="11"/>
        <color theme="1"/>
        <rFont val="Calibri"/>
        <family val="2"/>
        <scheme val="minor"/>
      </rPr>
      <t xml:space="preserve"> : donner une forme avant cuisson.</t>
    </r>
  </si>
  <si>
    <r>
      <t>Shape/Form</t>
    </r>
    <r>
      <rPr>
        <sz val="11"/>
        <color theme="1"/>
        <rFont val="Calibri"/>
        <family val="2"/>
        <scheme val="minor"/>
      </rPr>
      <t xml:space="preserve"> before baking.</t>
    </r>
  </si>
  <si>
    <r>
      <t>Formar/Dar forma</t>
    </r>
    <r>
      <rPr>
        <sz val="11"/>
        <color theme="1"/>
        <rFont val="Calibri"/>
        <family val="2"/>
        <scheme val="minor"/>
      </rPr>
      <t>.</t>
    </r>
  </si>
  <si>
    <t>burn; scorch; caramelize (top)</t>
  </si>
  <si>
    <r>
      <t>quemar</t>
    </r>
    <r>
      <rPr>
        <sz val="11"/>
        <color theme="1"/>
        <rFont val="Calibri"/>
        <family val="2"/>
        <scheme val="minor"/>
      </rPr>
      <t>; caramelizar (superficie)</t>
    </r>
  </si>
  <si>
    <t>Attention défaut de cuisson (« brûlé ») ; en crème brûlée : caraméliser au chalumeau.brûler du duvet volaille, flambage raté.</t>
  </si>
  <si>
    <t>Beware overcooking/burning; for crème brûlée: torch to caramelize the top. singe poultry down; failed flambé.</t>
  </si>
  <si>
    <r>
      <t xml:space="preserve">Cuidado con el </t>
    </r>
    <r>
      <rPr>
        <b/>
        <sz val="11"/>
        <color theme="1"/>
        <rFont val="Calibri"/>
        <family val="2"/>
        <scheme val="minor"/>
      </rPr>
      <t>quemado</t>
    </r>
    <r>
      <rPr>
        <sz val="11"/>
        <color theme="1"/>
        <rFont val="Calibri"/>
        <family val="2"/>
        <scheme val="minor"/>
      </rPr>
      <t>; en crème brûlée: caramelizar la superficie con soplete.chamuscar plumón de ave; flambé fallido.</t>
    </r>
  </si>
  <si>
    <t>Étager les bacs sur l’échelle de cuisson</t>
  </si>
  <si>
    <t>Stack pans on the baking trolley</t>
  </si>
  <si>
    <t>Escalonar cubetas en el carro de cocción</t>
  </si>
  <si>
    <t>viandes fraîches découpées — cuisson longue</t>
  </si>
  <si>
    <t>fresh meats, cut — for long cook</t>
  </si>
  <si>
    <t>carnes frescas, cortadas — para cocción larga</t>
  </si>
  <si>
    <r>
      <t>Festonner</t>
    </r>
    <r>
      <rPr>
        <sz val="11"/>
        <color theme="1"/>
        <rFont val="Calibri"/>
        <family val="2"/>
        <scheme val="minor"/>
      </rPr>
      <t xml:space="preserve"> : bordures décoratives arrondies (pithiviers…).</t>
    </r>
  </si>
  <si>
    <r>
      <t>Scallop</t>
    </r>
    <r>
      <rPr>
        <sz val="11"/>
        <color theme="1"/>
        <rFont val="Calibri"/>
        <family val="2"/>
        <scheme val="minor"/>
      </rPr>
      <t xml:space="preserve"> decorative edges.</t>
    </r>
  </si>
  <si>
    <r>
      <t>Festonear</t>
    </r>
    <r>
      <rPr>
        <sz val="11"/>
        <color theme="1"/>
        <rFont val="Calibri"/>
        <family val="2"/>
        <scheme val="minor"/>
      </rPr>
      <t xml:space="preserve"> bordes decorativos.</t>
    </r>
  </si>
  <si>
    <t>Modes &amp; paramètres</t>
  </si>
  <si>
    <t>Modes &amp; parameters</t>
  </si>
  <si>
    <t>Modos y parámetros</t>
  </si>
  <si>
    <t>viandes fraîches piécées — cuisson courte</t>
  </si>
  <si>
    <t>fresh meats, portioned — for short cook</t>
  </si>
  <si>
    <t>carnes frescas, porcionadas — para cocción corta</t>
  </si>
  <si>
    <r>
      <t>Fleurer</t>
    </r>
    <r>
      <rPr>
        <sz val="11"/>
        <color theme="1"/>
        <rFont val="Calibri"/>
        <family val="2"/>
        <scheme val="minor"/>
      </rPr>
      <t xml:space="preserve"> : fariner légèrement tour/plaque/moule.</t>
    </r>
  </si>
  <si>
    <r>
      <t>Dust</t>
    </r>
    <r>
      <rPr>
        <sz val="11"/>
        <color theme="1"/>
        <rFont val="Calibri"/>
        <family val="2"/>
        <scheme val="minor"/>
      </rPr>
      <t xml:space="preserve"> lightly with flour.</t>
    </r>
  </si>
  <si>
    <r>
      <t>Espolvorear</t>
    </r>
    <r>
      <rPr>
        <sz val="11"/>
        <color theme="1"/>
        <rFont val="Calibri"/>
        <family val="2"/>
        <scheme val="minor"/>
      </rPr>
      <t xml:space="preserve"> con harina.</t>
    </r>
  </si>
  <si>
    <t>Candir</t>
  </si>
  <si>
    <t>candy (in sugar)</t>
  </si>
  <si>
    <t>confitar en azúcar</t>
  </si>
  <si>
    <t>Fruits confits, écorces : cuisson sirop jusqu’à saturation.</t>
  </si>
  <si>
    <t>Candied fruits/peels: cook in syrup until saturated.</t>
  </si>
  <si>
    <t>Frutas/cáscaras confitadas: cocer en almíbar hasta saturar.</t>
  </si>
  <si>
    <t>cook covered</t>
  </si>
  <si>
    <t>cocinar tapado</t>
  </si>
  <si>
    <t>Gratinate / brown</t>
  </si>
  <si>
    <t>Gratinar</t>
  </si>
  <si>
    <t>viandes fraîches piécées — cuisson longue</t>
  </si>
  <si>
    <t>fresh meats, portioned — for long cook</t>
  </si>
  <si>
    <t>carnes frescas, porcionadas — para cocción larga</t>
  </si>
  <si>
    <r>
      <t>Foncer</t>
    </r>
    <r>
      <rPr>
        <sz val="11"/>
        <color theme="1"/>
        <rFont val="Calibri"/>
        <family val="2"/>
        <scheme val="minor"/>
      </rPr>
      <t xml:space="preserve"> : tapisser un moule/cercle avec pâte.</t>
    </r>
  </si>
  <si>
    <r>
      <t>Line</t>
    </r>
    <r>
      <rPr>
        <sz val="11"/>
        <color theme="1"/>
        <rFont val="Calibri"/>
        <family val="2"/>
        <scheme val="minor"/>
      </rPr>
      <t xml:space="preserve"> a tin/ring with pastry.</t>
    </r>
  </si>
  <si>
    <r>
      <t>Forrar</t>
    </r>
    <r>
      <rPr>
        <sz val="11"/>
        <color theme="1"/>
        <rFont val="Calibri"/>
        <family val="2"/>
        <scheme val="minor"/>
      </rPr>
      <t xml:space="preserve"> un molde/aro con masa.</t>
    </r>
  </si>
  <si>
    <t>flute / make grooves; channel</t>
  </si>
  <si>
    <t>hacer canaladuras; estriar</t>
  </si>
  <si>
    <t>Zestes/agrume avec canneleur pour décors/longs filaments.</t>
  </si>
  <si>
    <t>Use a channel knife on citrus to make decorative long strips.</t>
  </si>
  <si>
    <t>Usar caneleur en cítricos para hacer tiras decorativas largas.</t>
  </si>
  <si>
    <t>cook over low heat</t>
  </si>
  <si>
    <t>cocinar a fuego lento</t>
  </si>
  <si>
    <t>Four chaleur sèche à 170 °C</t>
  </si>
  <si>
    <t>Dry heat oven at 170 °C</t>
  </si>
  <si>
    <t>Horno de calor seco a 170 °C</t>
  </si>
  <si>
    <t>viandes surgelées — cuisson courte</t>
  </si>
  <si>
    <t>frozen meats — for short cook</t>
  </si>
  <si>
    <t>carnes congeladas — para cocción corta</t>
  </si>
  <si>
    <r>
      <t>Fond (base)</t>
    </r>
    <r>
      <rPr>
        <sz val="11"/>
        <color theme="1"/>
        <rFont val="Calibri"/>
        <family val="2"/>
        <scheme val="minor"/>
      </rPr>
      <t xml:space="preserve"> : élément de base d’un gâteau.</t>
    </r>
  </si>
  <si>
    <r>
      <t>Base/shell</t>
    </r>
    <r>
      <rPr>
        <sz val="11"/>
        <color theme="1"/>
        <rFont val="Calibri"/>
        <family val="2"/>
        <scheme val="minor"/>
      </rPr>
      <t xml:space="preserve"> (foundation layer).</t>
    </r>
  </si>
  <si>
    <r>
      <t>Base/fondo</t>
    </r>
    <r>
      <rPr>
        <sz val="11"/>
        <color theme="1"/>
        <rFont val="Calibri"/>
        <family val="2"/>
        <scheme val="minor"/>
      </rPr>
      <t xml:space="preserve"> de un pastel.</t>
    </r>
  </si>
  <si>
    <t>caramelize</t>
  </si>
  <si>
    <t>caramelizar</t>
  </si>
  <si>
    <t>Sucre, surface de crème brûlée, légumes légèrement sucrés.</t>
  </si>
  <si>
    <t>Caramelize sugar, crème brûlée tops, or lightly sweet vegetables.</t>
  </si>
  <si>
    <t>Caramelizar azúcar, la superficie de la crème brûlée o verduras ligeramente dulces.</t>
  </si>
  <si>
    <t>cuire à feu vif</t>
  </si>
  <si>
    <t>cook over high heat</t>
  </si>
  <si>
    <t>cocinar a fuego fuerte</t>
  </si>
  <si>
    <t>Gratiner légèrement la surface</t>
  </si>
  <si>
    <t>Lightly gratinate the top</t>
  </si>
  <si>
    <t>Gratinar ligeramente la superficie</t>
  </si>
  <si>
    <t>viandes surgelées crues — à trancher avant cuisson</t>
  </si>
  <si>
    <t>frozen meats, raw — slice before cooking</t>
  </si>
  <si>
    <t>carnes congeladas, crudas — rebanar antes de la cocción</t>
  </si>
  <si>
    <r>
      <t>Foisonnement</t>
    </r>
    <r>
      <rPr>
        <sz val="11"/>
        <color theme="1"/>
        <rFont val="Calibri"/>
        <family val="2"/>
        <scheme val="minor"/>
      </rPr>
      <t xml:space="preserve"> : augmentation de volume par air/gaz.</t>
    </r>
  </si>
  <si>
    <r>
      <t>Overrun/foaming</t>
    </r>
    <r>
      <rPr>
        <sz val="11"/>
        <color theme="1"/>
        <rFont val="Calibri"/>
        <family val="2"/>
        <scheme val="minor"/>
      </rPr>
      <t xml:space="preserve"> (volume increase by air).</t>
    </r>
  </si>
  <si>
    <r>
      <t>Aumento de volumen/aireación</t>
    </r>
    <r>
      <rPr>
        <sz val="11"/>
        <color theme="1"/>
        <rFont val="Calibri"/>
        <family val="2"/>
        <scheme val="minor"/>
      </rPr>
      <t>.</t>
    </r>
  </si>
  <si>
    <t>score (make a shallow cut around)</t>
  </si>
  <si>
    <t>marcar/incidir con corte superficial</t>
  </si>
  <si>
    <t>Marrons/tomates : incision circulaire pour éviter l’éclatement.</t>
  </si>
  <si>
    <t>Score around chestnuts/tomatoes to prevent bursting.</t>
  </si>
  <si>
    <t>Hacer una incisión circular en castañas/tomates para evitar que revienten.</t>
  </si>
  <si>
    <t>bake in a moderate oven</t>
  </si>
  <si>
    <t>hornear a horno medio</t>
  </si>
  <si>
    <t>Follow end-of-cook SOP</t>
  </si>
  <si>
    <t>Respetar POE de fin de cocción</t>
  </si>
  <si>
    <t>viandes surgelées cuites</t>
  </si>
  <si>
    <t>frozen cooked meats</t>
  </si>
  <si>
    <t>carnes cocidas congeladas</t>
  </si>
  <si>
    <r>
      <t>Fraser</t>
    </r>
    <r>
      <rPr>
        <sz val="11"/>
        <color theme="1"/>
        <rFont val="Calibri"/>
        <family val="2"/>
        <scheme val="minor"/>
      </rPr>
      <t xml:space="preserve"> : écraser la pâte pour lier/homogénéiser (sur marbre/au batteur).</t>
    </r>
  </si>
  <si>
    <r>
      <t>Fraisage</t>
    </r>
    <r>
      <rPr>
        <sz val="11"/>
        <color theme="1"/>
        <rFont val="Calibri"/>
        <family val="2"/>
        <scheme val="minor"/>
      </rPr>
      <t>: smear dough to bind/homogenize.</t>
    </r>
  </si>
  <si>
    <r>
      <t>Fresado</t>
    </r>
    <r>
      <rPr>
        <sz val="11"/>
        <color theme="1"/>
        <rFont val="Calibri"/>
        <family val="2"/>
        <scheme val="minor"/>
      </rPr>
      <t>: empujar/untar la masa para ligar.</t>
    </r>
  </si>
  <si>
    <t>seal with a thin coat of chocolate/cocoa butter</t>
  </si>
  <si>
    <t>impermeabilizar con chocolate (chablón)</t>
  </si>
  <si>
    <t>Protéger biscuit/fond de tarte de l’humidité.</t>
  </si>
  <si>
    <t>Seal biscuit/tart base to protect from moisture.</t>
  </si>
  <si>
    <t>Impermeabilizar un bizcocho/fondo de tarta contra la humedad.</t>
  </si>
  <si>
    <t>cuire à l’eau salée</t>
  </si>
  <si>
    <t>cook in salted water</t>
  </si>
  <si>
    <t>cocer en agua salada</t>
  </si>
  <si>
    <t>Stocker en armoire chaude et maintenir à ≥ 63 °C en attente de consommation</t>
  </si>
  <si>
    <t>Hold in hot cabinet at ≥ 63 °C until service</t>
  </si>
  <si>
    <t>Mantener en armario caliente a ≥ 63 °C hasta el servicio</t>
  </si>
  <si>
    <t>viandes surgelées cuites — à trancher</t>
  </si>
  <si>
    <t>frozen cooked meats — to slice</t>
  </si>
  <si>
    <t>carnes cocidas congeladas — para rebanar</t>
  </si>
  <si>
    <t>changement chariots isothermes</t>
  </si>
  <si>
    <t>insulated trolley changeover</t>
  </si>
  <si>
    <t>cambio de carros isotermos</t>
  </si>
  <si>
    <t>Logistique froid/chaud en catering.</t>
  </si>
  <si>
    <t>Hot/cold logistics in catering with insulated trolleys.</t>
  </si>
  <si>
    <t>Logística caliente/fría en catering con carros isotermos.</t>
  </si>
  <si>
    <t>steam</t>
  </si>
  <si>
    <t>cocinar al vapor</t>
  </si>
  <si>
    <t>viandes surgelées cuites — tranchées</t>
  </si>
  <si>
    <t>frozen cooked meats — sliced</t>
  </si>
  <si>
    <t>carnes cocidas congeladas — rebanadas</t>
  </si>
  <si>
    <r>
      <t>Garnir</t>
    </r>
    <r>
      <rPr>
        <sz val="11"/>
        <color theme="1"/>
        <rFont val="Calibri"/>
        <family val="2"/>
        <scheme val="minor"/>
      </rPr>
      <t xml:space="preserve"> : remplir (fond, moule, poche).</t>
    </r>
  </si>
  <si>
    <r>
      <t>Fill</t>
    </r>
    <r>
      <rPr>
        <sz val="11"/>
        <color theme="1"/>
        <rFont val="Calibri"/>
        <family val="2"/>
        <scheme val="minor"/>
      </rPr>
      <t xml:space="preserve"> (shell, mold, piping bag).</t>
    </r>
  </si>
  <si>
    <r>
      <t>Rellenar</t>
    </r>
    <r>
      <rPr>
        <sz val="11"/>
        <color theme="1"/>
        <rFont val="Calibri"/>
        <family val="2"/>
        <scheme val="minor"/>
      </rPr>
      <t xml:space="preserve"> (base, molde, manga).</t>
    </r>
  </si>
  <si>
    <t>changement d’échelle</t>
  </si>
  <si>
    <t>scale up/down (recipe/batch)</t>
  </si>
  <si>
    <t>cambio de escala; ajustar gramajes</t>
  </si>
  <si>
    <t>Adapter quantités/temps/courbes à la taille de lot.</t>
  </si>
  <si>
    <t>Adjust quantities/times/temperature curves to batch size.</t>
  </si>
  <si>
    <t>Ajustar cantidades/tiempos/curvas de temperatura al tamaño de lote.</t>
  </si>
  <si>
    <t>cuire au four moyen</t>
  </si>
  <si>
    <t>Plate and serve</t>
  </si>
  <si>
    <t>Emplatar y servir</t>
  </si>
  <si>
    <t>viandes / sous vide — à piécer avant cuisson courte</t>
  </si>
  <si>
    <t>vacuum-packed meats — portion before short cook</t>
  </si>
  <si>
    <t>carnes al vacío — porcionar antes de cocción corta</t>
  </si>
  <si>
    <r>
      <t>Glacer</t>
    </r>
    <r>
      <rPr>
        <sz val="11"/>
        <color theme="1"/>
        <rFont val="Calibri"/>
        <family val="2"/>
        <scheme val="minor"/>
      </rPr>
      <t xml:space="preserve"> : 1) recouvrir de glaçage; 2) faire briller (sirop/sucre glace au four).</t>
    </r>
  </si>
  <si>
    <r>
      <t>Glaze</t>
    </r>
    <r>
      <rPr>
        <sz val="11"/>
        <color theme="1"/>
        <rFont val="Calibri"/>
        <family val="2"/>
        <scheme val="minor"/>
      </rPr>
      <t>: 1) coat with icing; 2) make shiny (syrup/icing sugar).</t>
    </r>
  </si>
  <si>
    <r>
      <t>Glasear</t>
    </r>
    <r>
      <rPr>
        <sz val="11"/>
        <color theme="1"/>
        <rFont val="Calibri"/>
        <family val="2"/>
        <scheme val="minor"/>
      </rPr>
      <t xml:space="preserve"> / </t>
    </r>
    <r>
      <rPr>
        <b/>
        <sz val="11"/>
        <color theme="1"/>
        <rFont val="Calibri"/>
        <family val="2"/>
        <scheme val="minor"/>
      </rPr>
      <t>abrillantar</t>
    </r>
    <r>
      <rPr>
        <sz val="11"/>
        <color theme="1"/>
        <rFont val="Calibri"/>
        <family val="2"/>
        <scheme val="minor"/>
      </rPr>
      <t>.</t>
    </r>
  </si>
  <si>
    <t>changement de chariot</t>
  </si>
  <si>
    <t>trolley changeover</t>
  </si>
  <si>
    <t>cambio de carro</t>
  </si>
  <si>
    <t>Changement de support de cuisson/transport.</t>
  </si>
  <si>
    <t>Change the cooking/transport rack or support.</t>
  </si>
  <si>
    <t>Cambiar el soporte de cocción/transporte.</t>
  </si>
  <si>
    <t>cuire légèrement croquant / al dente</t>
  </si>
  <si>
    <t>cook until crisp-tender / al dente</t>
  </si>
  <si>
    <t>cocer al dente</t>
  </si>
  <si>
    <t>Cut each GN pan into 12 portions</t>
  </si>
  <si>
    <t>Cortar cada cubeta GN en 12 raciones</t>
  </si>
  <si>
    <t>viandes / sous vide — à piécer avant cuisson longue</t>
  </si>
  <si>
    <t>vacuum-packed meats — portion before long cook</t>
  </si>
  <si>
    <t>carnes al vacío — porcionar antes de cocción larga</t>
  </si>
  <si>
    <r>
      <t>Grainage</t>
    </r>
    <r>
      <rPr>
        <sz val="11"/>
        <color theme="1"/>
        <rFont val="Calibri"/>
        <family val="2"/>
        <scheme val="minor"/>
      </rPr>
      <t xml:space="preserve"> : mousse/émulsion qui tranche (sur-battu).</t>
    </r>
  </si>
  <si>
    <r>
      <t>Graining/splitting</t>
    </r>
    <r>
      <rPr>
        <sz val="11"/>
        <color theme="1"/>
        <rFont val="Calibri"/>
        <family val="2"/>
        <scheme val="minor"/>
      </rPr>
      <t xml:space="preserve"> (overbeaten foam/emulsion).</t>
    </r>
  </si>
  <si>
    <r>
      <t>Granulado/corte</t>
    </r>
    <r>
      <rPr>
        <sz val="11"/>
        <color theme="1"/>
        <rFont val="Calibri"/>
        <family val="2"/>
        <scheme val="minor"/>
      </rPr>
      <t xml:space="preserve"> de mousse/emulsión.</t>
    </r>
  </si>
  <si>
    <t>Changer</t>
  </si>
  <si>
    <t>change; replace; switch</t>
  </si>
  <si>
    <t>cambiar; sustituir</t>
  </si>
  <si>
    <t>Matériel, pièces, bacs, plans.</t>
  </si>
  <si>
    <t>Equipment, parts, bins, set-ups.</t>
  </si>
  <si>
    <t>Equipos, piezas, cubetas, configuraciones.</t>
  </si>
  <si>
    <t>cook without browning</t>
  </si>
  <si>
    <t>cocinar sin dorar</t>
  </si>
  <si>
    <t>viandes / sous vide — à trancher sans cuisson</t>
  </si>
  <si>
    <t>vacuum-packed meats — to slice, no cook</t>
  </si>
  <si>
    <t>carnes al vacío — para rebanar, sin cocción</t>
  </si>
  <si>
    <r>
      <t>Graisser</t>
    </r>
    <r>
      <rPr>
        <sz val="11"/>
        <color theme="1"/>
        <rFont val="Calibri"/>
        <family val="2"/>
        <scheme val="minor"/>
      </rPr>
      <t xml:space="preserve"> : enduire de matière grasse (moule/plaque).</t>
    </r>
  </si>
  <si>
    <r>
      <t>Grease</t>
    </r>
    <r>
      <rPr>
        <sz val="11"/>
        <color theme="1"/>
        <rFont val="Calibri"/>
        <family val="2"/>
        <scheme val="minor"/>
      </rPr>
      <t xml:space="preserve"> mold/tray.</t>
    </r>
  </si>
  <si>
    <r>
      <t>Engrasar</t>
    </r>
    <r>
      <rPr>
        <sz val="11"/>
        <color theme="1"/>
        <rFont val="Calibri"/>
        <family val="2"/>
        <scheme val="minor"/>
      </rPr>
      <t xml:space="preserve"> molde/bandeja.</t>
    </r>
  </si>
  <si>
    <t>chargement chariots isothermes</t>
  </si>
  <si>
    <t>load insulated trolleys</t>
  </si>
  <si>
    <t>carga de carros isotermos</t>
  </si>
  <si>
    <t>Mise en bacs/plateaux puis en chariots.</t>
  </si>
  <si>
    <t>Place in trays/bins, then load onto trolleys.</t>
  </si>
  <si>
    <t>Poner en bandejas/cubetas y cargar en carros.</t>
  </si>
  <si>
    <t>maintenir à température +63 °C</t>
  </si>
  <si>
    <t>hold at +63 °C</t>
  </si>
  <si>
    <t>mantener a +63 °C</t>
  </si>
  <si>
    <t>Comments</t>
  </si>
  <si>
    <t>Comentarios</t>
  </si>
  <si>
    <t>viandes / sous vide découpées — cuisson longue</t>
  </si>
  <si>
    <t>vacuum-packed meats, cut — for long cook</t>
  </si>
  <si>
    <t>carnes al vacío, cortadas — para cocción larga</t>
  </si>
  <si>
    <r>
      <t>Imbiber :</t>
    </r>
    <r>
      <rPr>
        <sz val="11"/>
        <color theme="1"/>
        <rFont val="Calibri"/>
        <family val="2"/>
        <scheme val="minor"/>
      </rPr>
      <t xml:space="preserve"> faire pénétrer un sirop/alcool dans une préparation pour l’humecter ou la parfumer.</t>
    </r>
  </si>
  <si>
    <t>Soak/soak with syrup to moisten or flavor a preparation.</t>
  </si>
  <si>
    <t>Calar/emborrachar con almíbar/licor para humedecer o perfumar una preparación.</t>
  </si>
  <si>
    <t>chargement du camion</t>
  </si>
  <si>
    <t>load the truck</t>
  </si>
  <si>
    <t>carga del camión</t>
  </si>
  <si>
    <t>Expédition/distribution.</t>
  </si>
  <si>
    <t>Shipping/distribution.</t>
  </si>
  <si>
    <t>Expedición/distribución.</t>
  </si>
  <si>
    <t>maintenir au bain-marie à ≥ 65 °C</t>
  </si>
  <si>
    <t>hold in a bain-marie at ≥ 65 °C</t>
  </si>
  <si>
    <t>mantener al baño maría a ≥ 65 °C</t>
  </si>
  <si>
    <t>La brandade de morue n’est constituée que de poisson</t>
  </si>
  <si>
    <t>Brandade is fish-only</t>
  </si>
  <si>
    <t>La brandada auténtica es solo pescado</t>
  </si>
  <si>
    <t>viandes / sous vide piécées — cuisson courte</t>
  </si>
  <si>
    <t>vacuum-packed meats, portioned — for short cook</t>
  </si>
  <si>
    <t>carnes al vacío, porcionadas — para cocción corta</t>
  </si>
  <si>
    <r>
      <t>Infuser :</t>
    </r>
    <r>
      <rPr>
        <sz val="11"/>
        <color theme="1"/>
        <rFont val="Calibri"/>
        <family val="2"/>
        <scheme val="minor"/>
      </rPr>
      <t xml:space="preserve"> placer une substance aromatique dans un liquide chaud, à couvert et pendant un temps déterminé, pour en extraire l’arôme.</t>
    </r>
  </si>
  <si>
    <t>Infuse: steep an aromatic in preheated liquid, covered, for a set time to extract flavor.</t>
  </si>
  <si>
    <t>Infusionar: dejar en reposo un aromático en líquido caliente, tapado, durante un tiempo definido para extraer el aroma.</t>
  </si>
  <si>
    <t>chargement du four</t>
  </si>
  <si>
    <t>load the oven</t>
  </si>
  <si>
    <t>carga del horno</t>
  </si>
  <si>
    <t>Enfournement.</t>
  </si>
  <si>
    <t>Load into the oven.</t>
  </si>
  <si>
    <t>Meter al horno.</t>
  </si>
  <si>
    <t>maintenir au chaud à ≥ 63 °C</t>
  </si>
  <si>
    <t>hold hot at ≥ 63 °C</t>
  </si>
  <si>
    <t>mantener en caliente a ≥ 63 °C</t>
  </si>
  <si>
    <t>L’ajout de purée de pomme de terre n’est pas une brandade au sens strict</t>
  </si>
  <si>
    <t>Adding potato purée = not strict brandade</t>
  </si>
  <si>
    <t>Con puré de patata no es brandada estricta</t>
  </si>
  <si>
    <t>viandes / sous vide piécées — cuisson longue</t>
  </si>
  <si>
    <t>vacuum-packed meats, portioned — for long cook</t>
  </si>
  <si>
    <t>carnes al vacío, porcionadas — para cocción larga</t>
  </si>
  <si>
    <t>chargt. chariots collec.</t>
  </si>
  <si>
    <t>load collective-service trolleys</t>
  </si>
  <si>
    <t>carga de carros colectivos</t>
  </si>
  <si>
    <t>Pour self/catering en série.</t>
  </si>
  <si>
    <t>For self-service/large-batch catering.</t>
  </si>
  <si>
    <t>Para autoservicio/catering en serie.</t>
  </si>
  <si>
    <t>maintenir au froid</t>
  </si>
  <si>
    <t>keep refrigerated</t>
  </si>
  <si>
    <t>mantener en frío</t>
  </si>
  <si>
    <t>Accompagnements possibles : pommes anglaises / en robe des champs / purée à l’huile d’olive / croûtons frits</t>
  </si>
  <si>
    <t>Sides: English potatoes / jacket potatoes / olive-oil mash / fried croutons</t>
  </si>
  <si>
    <t>Guarniciones: patatas a la inglesa / asadas con piel / puré con aceite de oliva / picatostes fritos</t>
  </si>
  <si>
    <r>
      <t>Lisser</t>
    </r>
    <r>
      <rPr>
        <sz val="11"/>
        <color theme="1"/>
        <rFont val="Calibri"/>
        <family val="2"/>
        <scheme val="minor"/>
      </rPr>
      <t xml:space="preserve"> : homogénéiser, rendre lisse.</t>
    </r>
  </si>
  <si>
    <r>
      <t>Smooth out</t>
    </r>
    <r>
      <rPr>
        <sz val="11"/>
        <color theme="1"/>
        <rFont val="Calibri"/>
        <family val="2"/>
        <scheme val="minor"/>
      </rPr>
      <t xml:space="preserve"> / </t>
    </r>
    <r>
      <rPr>
        <b/>
        <sz val="11"/>
        <color theme="1"/>
        <rFont val="Calibri"/>
        <family val="2"/>
        <scheme val="minor"/>
      </rPr>
      <t>make homogeneous</t>
    </r>
    <r>
      <rPr>
        <sz val="11"/>
        <color theme="1"/>
        <rFont val="Calibri"/>
        <family val="2"/>
        <scheme val="minor"/>
      </rPr>
      <t>.</t>
    </r>
  </si>
  <si>
    <r>
      <t>Alisar</t>
    </r>
    <r>
      <rPr>
        <sz val="11"/>
        <color theme="1"/>
        <rFont val="Calibri"/>
        <family val="2"/>
        <scheme val="minor"/>
      </rPr>
      <t xml:space="preserve"> / </t>
    </r>
    <r>
      <rPr>
        <b/>
        <sz val="11"/>
        <color theme="1"/>
        <rFont val="Calibri"/>
        <family val="2"/>
        <scheme val="minor"/>
      </rPr>
      <t>homogeneizar</t>
    </r>
    <r>
      <rPr>
        <sz val="11"/>
        <color theme="1"/>
        <rFont val="Calibri"/>
        <family val="2"/>
        <scheme val="minor"/>
      </rPr>
      <t>.</t>
    </r>
  </si>
  <si>
    <t>chargt. chariots ind.</t>
  </si>
  <si>
    <t>load individual-service trolleys</t>
  </si>
  <si>
    <t>carga de carros individuales</t>
  </si>
  <si>
    <t>Plateaux/portions individuelles.</t>
  </si>
  <si>
    <t>Trays/individual portions.</t>
  </si>
  <si>
    <t>Bandejas/porciones individuales.</t>
  </si>
  <si>
    <t>maintenir au froid à ≤ +3 °C</t>
  </si>
  <si>
    <t>keep cold at ≤ +3 °C</t>
  </si>
  <si>
    <t>mantener en frío a ≤ +3 °C</t>
  </si>
  <si>
    <r>
      <t>Lustrer</t>
    </r>
    <r>
      <rPr>
        <sz val="11"/>
        <color theme="1"/>
        <rFont val="Calibri"/>
        <family val="2"/>
        <scheme val="minor"/>
      </rPr>
      <t xml:space="preserve"> : napper de gelée/beurre fondu pour brillance.</t>
    </r>
  </si>
  <si>
    <r>
      <t>Lacquer/brush</t>
    </r>
    <r>
      <rPr>
        <sz val="11"/>
        <color theme="1"/>
        <rFont val="Calibri"/>
        <family val="2"/>
        <scheme val="minor"/>
      </rPr>
      <t xml:space="preserve"> with jelly/clarified butter.</t>
    </r>
  </si>
  <si>
    <r>
      <t>Abrillantar</t>
    </r>
    <r>
      <rPr>
        <sz val="11"/>
        <color theme="1"/>
        <rFont val="Calibri"/>
        <family val="2"/>
        <scheme val="minor"/>
      </rPr>
      <t xml:space="preserve"> con gelatina/mantequilla.</t>
    </r>
  </si>
  <si>
    <t>devein (crayfish/shrimp); remove garlic germ</t>
  </si>
  <si>
    <t>desvenar (camarón); quitar germen del ajo</t>
  </si>
  <si>
    <t>Écrevisses/crevettes, ou « dégermer » l’ail.</t>
  </si>
  <si>
    <t>Devein crayfish/shrimp, or remove the germ from garlic.</t>
  </si>
  <si>
    <t>Desvenar cangrejos/camarones, o quitar el germen del ajo.</t>
  </si>
  <si>
    <t>flash in a very hot oven</t>
  </si>
  <si>
    <t>dar un golpe de horno muy caliente</t>
  </si>
  <si>
    <t>Méthode citée à titre d’exemple</t>
  </si>
  <si>
    <t>Method given as an example</t>
  </si>
  <si>
    <t>Método a modo de ejemplo</t>
  </si>
  <si>
    <t>heat; warm</t>
  </si>
  <si>
    <t>calentar</t>
  </si>
  <si>
    <t>Monter en T° un appareil, sauce, assiette.</t>
  </si>
  <si>
    <t>Heat up a mixture, sauce, or plate.</t>
  </si>
  <si>
    <t>Calentar una preparación, salsa o plato.</t>
  </si>
  <si>
    <t>insert the probe to the core</t>
  </si>
  <si>
    <t>introducir la sonda al corazón</t>
  </si>
  <si>
    <r>
      <t xml:space="preserve">Réf. conseillée : Grossmann &amp; Le Franc, </t>
    </r>
    <r>
      <rPr>
        <b/>
        <i/>
        <sz val="12"/>
        <color theme="9" tint="-0.499984740745262"/>
        <rFont val="Calibri"/>
        <family val="2"/>
        <scheme val="minor"/>
      </rPr>
      <t>La cuisine de collectivité</t>
    </r>
    <r>
      <rPr>
        <b/>
        <sz val="12"/>
        <color theme="9" tint="-0.499984740745262"/>
        <rFont val="Calibri"/>
        <family val="2"/>
        <scheme val="minor"/>
      </rPr>
      <t>, BPI, 2006</t>
    </r>
  </si>
  <si>
    <r>
      <t xml:space="preserve">Suggested ref.: Grossmann &amp; Le Franc, </t>
    </r>
    <r>
      <rPr>
        <i/>
        <sz val="11"/>
        <color theme="9" tint="-0.499984740745262"/>
        <rFont val="Calibri"/>
        <family val="2"/>
        <scheme val="minor"/>
      </rPr>
      <t>La cuisine de collectivité</t>
    </r>
    <r>
      <rPr>
        <sz val="11"/>
        <color theme="9" tint="-0.499984740745262"/>
        <rFont val="Calibri"/>
        <family val="2"/>
        <scheme val="minor"/>
      </rPr>
      <t>, BPI, 2006</t>
    </r>
  </si>
  <si>
    <r>
      <t xml:space="preserve">Referencia sugerida: Grossmann &amp; Le Franc, </t>
    </r>
    <r>
      <rPr>
        <i/>
        <sz val="11"/>
        <color theme="9" tint="-0.499984740745262"/>
        <rFont val="Calibri"/>
        <family val="2"/>
        <scheme val="minor"/>
      </rPr>
      <t>La cuisine de colectividades</t>
    </r>
    <r>
      <rPr>
        <sz val="11"/>
        <color theme="9" tint="-0.499984740745262"/>
        <rFont val="Calibri"/>
        <family val="2"/>
        <scheme val="minor"/>
      </rPr>
      <t>, BPI, 2006</t>
    </r>
  </si>
  <si>
    <r>
      <t>Macérer :</t>
    </r>
    <r>
      <rPr>
        <sz val="11"/>
        <color theme="1"/>
        <rFont val="Calibri"/>
        <family val="2"/>
        <scheme val="minor"/>
      </rPr>
      <t xml:space="preserve"> tremper à froid pour extraire/parfumer/conserver.</t>
    </r>
  </si>
  <si>
    <t>Macerate: cold-soak to extract/flavor/preserve.</t>
  </si>
  <si>
    <t>Macerar: macerar en frío para extraer/aromatizar/conservar.</t>
  </si>
  <si>
    <t>coat with chaud-froid sauce</t>
  </si>
  <si>
    <t>napar con salsa chaud-froid</t>
  </si>
  <si>
    <t>Finition froide brillante sur viandes/poissons.</t>
  </si>
  <si>
    <t>Glossy cold finish on meats/fish (chaud-froid style).</t>
  </si>
  <si>
    <t>Acabado frío y brillante en carnes/pescados (estilo chaud-froid).</t>
  </si>
  <si>
    <t>preheat the oven</t>
  </si>
  <si>
    <t>precalentar el horno</t>
  </si>
  <si>
    <r>
      <t>Marbrer :</t>
    </r>
    <r>
      <rPr>
        <sz val="11"/>
        <color theme="1"/>
        <rFont val="Calibri"/>
        <family val="2"/>
        <scheme val="minor"/>
      </rPr>
      <t xml:space="preserve"> réaliser des motifs marbrés sur des gâteaux glacés (fondant, nappage) pour améliorer la présentation.</t>
    </r>
  </si>
  <si>
    <t>Marble: draw marbled patterns on iced cakes (fondant, glaze) to enhance presentation.</t>
  </si>
  <si>
    <t>Marmolear: trazar vetas/motivos marmolados en pasteles glaseados (fondant, napado) para mejorar la presentación.</t>
  </si>
  <si>
    <t>line (a mold/tin)</t>
  </si>
  <si>
    <t>forrar (un molde)</t>
  </si>
  <si>
    <t>Avec beurre, papier, biscuit, gelée, etc.</t>
  </si>
  <si>
    <t>Line/coat a mold with butter, paper, biscuit, jelly, etc.</t>
  </si>
  <si>
    <t>Forrar/recubrir un molde con mantequilla, papel, bizcocho, gelatina, etc.</t>
  </si>
  <si>
    <t>sonder/sonde à cœur</t>
  </si>
  <si>
    <t>check core temperature with a probe</t>
  </si>
  <si>
    <t>medir la temperatura al corazón con sonda</t>
  </si>
  <si>
    <t>Comprendre les termes culinaires employés dans les recettes de Mercotte</t>
  </si>
  <si>
    <r>
      <t>Masquer</t>
    </r>
    <r>
      <rPr>
        <sz val="11"/>
        <color theme="1"/>
        <rFont val="Calibri"/>
        <family val="2"/>
        <scheme val="minor"/>
      </rPr>
      <t xml:space="preserve"> : recouvrir d’une fine couche (crème/sauce/gelée).</t>
    </r>
  </si>
  <si>
    <t>Mask/coat with a thin layer (cream/sauce/jelly).</t>
  </si>
  <si>
    <t>Enmascarar/napar con una capa fina (crema/salsa/gelatina).</t>
  </si>
  <si>
    <t>overlap (slices)</t>
  </si>
  <si>
    <t>solapar/superponer (lonchas)</t>
  </si>
  <si>
    <t>Dressage : tranches partiellement superposées.</t>
  </si>
  <si>
    <t>Plating: overlap slices partially.</t>
  </si>
  <si>
    <t>Emplatado: solapar las lonchas parcialmente.</t>
  </si>
  <si>
    <r>
      <t>Monter</t>
    </r>
    <r>
      <rPr>
        <sz val="11"/>
        <color theme="1"/>
        <rFont val="Calibri"/>
        <family val="2"/>
        <scheme val="minor"/>
      </rPr>
      <t xml:space="preserve"> : a) </t>
    </r>
    <r>
      <rPr>
        <b/>
        <sz val="11"/>
        <color theme="1"/>
        <rFont val="Calibri"/>
        <family val="2"/>
        <scheme val="minor"/>
      </rPr>
      <t>au fouet</t>
    </r>
    <r>
      <rPr>
        <sz val="11"/>
        <color theme="1"/>
        <rFont val="Calibri"/>
        <family val="2"/>
        <scheme val="minor"/>
      </rPr>
      <t xml:space="preserve"> : augmenter le volume (blancs, crème) ; b) </t>
    </r>
    <r>
      <rPr>
        <b/>
        <sz val="11"/>
        <color theme="1"/>
        <rFont val="Calibri"/>
        <family val="2"/>
        <scheme val="minor"/>
      </rPr>
      <t>assembler</t>
    </r>
    <r>
      <rPr>
        <sz val="11"/>
        <color theme="1"/>
        <rFont val="Calibri"/>
        <family val="2"/>
        <scheme val="minor"/>
      </rPr>
      <t xml:space="preserve"> un entremets/pièce.</t>
    </r>
  </si>
  <si>
    <r>
      <t>Whip</t>
    </r>
    <r>
      <rPr>
        <sz val="11"/>
        <color theme="1"/>
        <rFont val="Calibri"/>
        <family val="2"/>
        <scheme val="minor"/>
      </rPr>
      <t xml:space="preserve"> to volume; </t>
    </r>
    <r>
      <rPr>
        <b/>
        <sz val="11"/>
        <color theme="1"/>
        <rFont val="Calibri"/>
        <family val="2"/>
        <scheme val="minor"/>
      </rPr>
      <t>assemble</t>
    </r>
    <r>
      <rPr>
        <sz val="11"/>
        <color theme="1"/>
        <rFont val="Calibri"/>
        <family val="2"/>
        <scheme val="minor"/>
      </rPr>
      <t xml:space="preserve"> a cake/entremets.</t>
    </r>
  </si>
  <si>
    <r>
      <t>Montar</t>
    </r>
    <r>
      <rPr>
        <sz val="11"/>
        <color theme="1"/>
        <rFont val="Calibri"/>
        <family val="2"/>
        <scheme val="minor"/>
      </rPr>
      <t xml:space="preserve"> (batir a volumen); </t>
    </r>
    <r>
      <rPr>
        <b/>
        <sz val="11"/>
        <color theme="1"/>
        <rFont val="Calibri"/>
        <family val="2"/>
        <scheme val="minor"/>
      </rPr>
      <t>montar</t>
    </r>
    <r>
      <rPr>
        <sz val="11"/>
        <color theme="1"/>
        <rFont val="Calibri"/>
        <family val="2"/>
        <scheme val="minor"/>
      </rPr>
      <t xml:space="preserve"> un postre/pieza.</t>
    </r>
  </si>
  <si>
    <t>crimp/scallop (edge)</t>
  </si>
  <si>
    <t>festonear/puntear el borde</t>
  </si>
  <si>
    <t>Bord de tourte/tarte marqué au couteau.</t>
  </si>
  <si>
    <t>Crimp/scallop the tart/pie edge with a knife.</t>
  </si>
  <si>
    <t>Festonear el borde de la tarta/empanada con cuchillo.</t>
  </si>
  <si>
    <t>Techniques de sauce &amp; de cuisson</t>
  </si>
  <si>
    <r>
      <t>Mouler</t>
    </r>
    <r>
      <rPr>
        <sz val="11"/>
        <color theme="1"/>
        <rFont val="Calibri"/>
        <family val="2"/>
        <scheme val="minor"/>
      </rPr>
      <t xml:space="preserve"> : verser en moule pour prendre la forme.</t>
    </r>
  </si>
  <si>
    <r>
      <t>Mold</t>
    </r>
    <r>
      <rPr>
        <sz val="11"/>
        <color theme="1"/>
        <rFont val="Calibri"/>
        <family val="2"/>
        <scheme val="minor"/>
      </rPr>
      <t xml:space="preserve"> (pour into a mold).</t>
    </r>
  </si>
  <si>
    <r>
      <t>Moldelar/Verter en molde</t>
    </r>
    <r>
      <rPr>
        <sz val="11"/>
        <color theme="1"/>
        <rFont val="Calibri"/>
        <family val="2"/>
        <scheme val="minor"/>
      </rPr>
      <t>.</t>
    </r>
  </si>
  <si>
    <t>finely chop; score (skin)</t>
  </si>
  <si>
    <t>picar fino/ciselar; hacer incisiones</t>
  </si>
  <si>
    <t>Échalote « ciselée » / inciser peau de poisson.</t>
  </si>
  <si>
    <t>Finely slice shallots / score fish skin.</t>
  </si>
  <si>
    <t>Picar fino la chalota / hacer incisiones en la piel del pescado.</t>
  </si>
  <si>
    <t>adjoindre/ajouter de la crème</t>
  </si>
  <si>
    <t>add cream</t>
  </si>
  <si>
    <t>añadir nata</t>
  </si>
  <si>
    <t>acidulate with lemon</t>
  </si>
  <si>
    <t>acidular con limón</t>
  </si>
  <si>
    <t>Éviter l’oxydation (fruits, avocats, artichauts).</t>
  </si>
  <si>
    <t>Prevent oxidation (fruits, avocados, artichokes).</t>
  </si>
  <si>
    <t>Evitar la oxidación (frutas, aguacates, alcachofas).</t>
  </si>
  <si>
    <t>ajouter dans l’ordre les autres éléments</t>
  </si>
  <si>
    <t>add the remaining ingredients in order</t>
  </si>
  <si>
    <t>añadir el resto de elementos en orden</t>
  </si>
  <si>
    <r>
      <t>Napper</t>
    </r>
    <r>
      <rPr>
        <sz val="11"/>
        <color theme="1"/>
        <rFont val="Calibri"/>
        <family val="2"/>
        <scheme val="minor"/>
      </rPr>
      <t xml:space="preserve"> : recouvrir de sauce/gelée/crème.</t>
    </r>
  </si>
  <si>
    <r>
      <t>Nappe/coat</t>
    </r>
    <r>
      <rPr>
        <sz val="11"/>
        <color theme="1"/>
        <rFont val="Calibri"/>
        <family val="2"/>
        <scheme val="minor"/>
      </rPr>
      <t xml:space="preserve"> with sauce/jelly/cream.</t>
    </r>
  </si>
  <si>
    <r>
      <t>Napar</t>
    </r>
    <r>
      <rPr>
        <sz val="11"/>
        <color theme="1"/>
        <rFont val="Calibri"/>
        <family val="2"/>
        <scheme val="minor"/>
      </rPr>
      <t xml:space="preserve"> / </t>
    </r>
    <r>
      <rPr>
        <b/>
        <sz val="11"/>
        <color theme="1"/>
        <rFont val="Calibri"/>
        <family val="2"/>
        <scheme val="minor"/>
      </rPr>
      <t>cubrir</t>
    </r>
    <r>
      <rPr>
        <sz val="11"/>
        <color theme="1"/>
        <rFont val="Calibri"/>
        <family val="2"/>
        <scheme val="minor"/>
      </rPr>
      <t xml:space="preserve"> con salsa/gelatina/crema.</t>
    </r>
  </si>
  <si>
    <t>clarify (stock/butter/eggs)</t>
  </si>
  <si>
    <t>clarificar</t>
  </si>
  <si>
    <t>Beurre clarifié ; consommé ; blancs séparés (« clarifier des œufs »).</t>
  </si>
  <si>
    <t>Clarified butter; clarified stock; separate eggs (whites/yolks).</t>
  </si>
  <si>
    <t>Mantequilla clarificada; caldo clarificado; separar huevos (claras/yemas).</t>
  </si>
  <si>
    <t>crémer puis réduire</t>
  </si>
  <si>
    <t>add cream then reduce</t>
  </si>
  <si>
    <t>añadir nata y luego reducir</t>
  </si>
  <si>
    <t>stud (e.g., onion with cloves)</t>
  </si>
  <si>
    <t>clavar/mechar con clavos (de olor)</t>
  </si>
  <si>
    <t>« Oignon clouté »; aussi piquer viandes d’aromates.</t>
  </si>
  <si>
    <t>Stud an onion with cloves; also stud meats with aromatics.</t>
  </si>
  <si>
    <t>Cebolla claveteada con clavos; también mechar carnes con aromáticos.</t>
  </si>
  <si>
    <t>deglaze with white wine</t>
  </si>
  <si>
    <t>desglasar con vino blanco</t>
  </si>
  <si>
    <r>
      <t>Pasteuriser</t>
    </r>
    <r>
      <rPr>
        <sz val="11"/>
        <color theme="1"/>
        <rFont val="Calibri"/>
        <family val="2"/>
        <scheme val="minor"/>
      </rPr>
      <t xml:space="preserve"> : traiter &lt; 100 °C temps défini pour détruire pathogènes.</t>
    </r>
  </si>
  <si>
    <t>Pasteurize: heat to &lt; 100 °C for a set time to destroy pathogens.</t>
  </si>
  <si>
    <t>Pasteurizar: tratar a &lt; 100 °C durante un tiempo definido para eliminar patógenos.</t>
  </si>
  <si>
    <t>set/gel with gelatin; glue</t>
  </si>
  <si>
    <t>gelificar con gelatina; pegar</t>
  </si>
  <si>
    <t>« Coller à la gélatine » / assembler éléments.</t>
  </si>
  <si>
    <t>Set with gelatin / glue elements together.</t>
  </si>
  <si>
    <t>Gelificar con gelatina / unir elementos.</t>
  </si>
  <si>
    <t>partially skim off the fat</t>
  </si>
  <si>
    <t>desgrasar parcialmente</t>
  </si>
  <si>
    <r>
      <t>Passer</t>
    </r>
    <r>
      <rPr>
        <sz val="11"/>
        <color theme="1"/>
        <rFont val="Calibri"/>
        <family val="2"/>
        <scheme val="minor"/>
      </rPr>
      <t xml:space="preserve"> : filtrer/égoutter au chinois/passoire/tamis.</t>
    </r>
  </si>
  <si>
    <t>Strain/drain through a chinois, colander or sieve.</t>
  </si>
  <si>
    <t>Colar/escurrir con chino, colador o tamiz.</t>
  </si>
  <si>
    <t>cook down to a compote</t>
  </si>
  <si>
    <t>hacer compota; reducir hasta compota</t>
  </si>
  <si>
    <t>Cuisson douce jusqu’à texture compotée.</t>
  </si>
  <si>
    <t>Cook gently until a compote-like texture.</t>
  </si>
  <si>
    <t>Cocer suavemente hasta textura de compota.</t>
  </si>
  <si>
    <t>dégraisser en partie (écumer la graisse)</t>
  </si>
  <si>
    <t>partially skim off the fat (skim)</t>
  </si>
  <si>
    <t>desgrasar parcialmente (espumar la grasa)</t>
  </si>
  <si>
    <r>
      <t>Pâton</t>
    </r>
    <r>
      <rPr>
        <sz val="11"/>
        <color theme="1"/>
        <rFont val="Calibri"/>
        <family val="2"/>
        <scheme val="minor"/>
      </rPr>
      <t xml:space="preserve"> : pièce de pâte pesée prête à façonner.</t>
    </r>
  </si>
  <si>
    <r>
      <t>Dough piece / dough ball</t>
    </r>
    <r>
      <rPr>
        <sz val="11"/>
        <color theme="1"/>
        <rFont val="Calibri"/>
        <family val="2"/>
        <scheme val="minor"/>
      </rPr>
      <t>.</t>
    </r>
  </si>
  <si>
    <r>
      <t>Porción de masa / bollo</t>
    </r>
    <r>
      <rPr>
        <sz val="11"/>
        <color theme="1"/>
        <rFont val="Calibri"/>
        <family val="2"/>
        <scheme val="minor"/>
      </rPr>
      <t>.</t>
    </r>
  </si>
  <si>
    <t>Chop crush</t>
  </si>
  <si>
    <t>Concasar/picar</t>
  </si>
  <si>
    <t>Couper grossier, taille régulière (tomates, fruits secs).</t>
  </si>
  <si>
    <t>Rough chop, even size (tomatoes, nuts).</t>
  </si>
  <si>
    <t>Picar grueso, tamaño parejo (tomate, frutos).</t>
  </si>
  <si>
    <t>disperse/whisk to combine</t>
  </si>
  <si>
    <t>dispersar con el batidor</t>
  </si>
  <si>
    <r>
      <t>Piquer</t>
    </r>
    <r>
      <rPr>
        <sz val="11"/>
        <color theme="1"/>
        <rFont val="Calibri"/>
        <family val="2"/>
        <scheme val="minor"/>
      </rPr>
      <t xml:space="preserve"> : percer la pâte pour éviter boursouflures.</t>
    </r>
  </si>
  <si>
    <t>Dock pastry (prick to prevent puffing).</t>
  </si>
  <si>
    <t>Pinchar la masa (para evitar abombamientos).</t>
  </si>
  <si>
    <t>confit; candy; preserve in fat/sugar</t>
  </si>
  <si>
    <t>confitar</t>
  </si>
  <si>
    <t>Graisse (canard), sucre (fruits), vinaigre (pickles).</t>
  </si>
  <si>
    <t>Confit in fat (duck), candy in sugar (fruits), or pickle in vinegar.</t>
  </si>
  <si>
    <t>Confitado en grasa (pato), en azúcar (frutas) o encurtido en vinagre.</t>
  </si>
  <si>
    <t>put in the oven and bake</t>
  </si>
  <si>
    <t>meter al horno y hornear</t>
  </si>
  <si>
    <r>
      <t>Pincer</t>
    </r>
    <r>
      <rPr>
        <sz val="11"/>
        <color theme="1"/>
        <rFont val="Calibri"/>
        <family val="2"/>
        <scheme val="minor"/>
      </rPr>
      <t xml:space="preserve"> : faire un décor au pourtour (pince spéciale).</t>
    </r>
  </si>
  <si>
    <r>
      <t>Crimp</t>
    </r>
    <r>
      <rPr>
        <sz val="11"/>
        <color theme="1"/>
        <rFont val="Calibri"/>
        <family val="2"/>
        <scheme val="minor"/>
      </rPr>
      <t xml:space="preserve"> decorative edge.</t>
    </r>
  </si>
  <si>
    <r>
      <t>Pellizcar/festonear</t>
    </r>
    <r>
      <rPr>
        <sz val="11"/>
        <color theme="1"/>
        <rFont val="Calibri"/>
        <family val="2"/>
        <scheme val="minor"/>
      </rPr>
      <t xml:space="preserve"> el borde.</t>
    </r>
  </si>
  <si>
    <t>store; preserve</t>
  </si>
  <si>
    <t>conservar</t>
  </si>
  <si>
    <t>Chaîne du froid, DLC/DMF, contenants adaptés.</t>
  </si>
  <si>
    <t>Cold chain, use-by/best-before dates, appropriate containers.</t>
  </si>
  <si>
    <t>Cadena de frío, fechas de caducidad/consumo, envases adecuados.</t>
  </si>
  <si>
    <t>sweat/steam in butter</t>
  </si>
  <si>
    <t>rehogar/estofar en mantequilla</t>
  </si>
  <si>
    <r>
      <t>Pocher</t>
    </r>
    <r>
      <rPr>
        <sz val="11"/>
        <color theme="1"/>
        <rFont val="Calibri"/>
        <family val="2"/>
        <scheme val="minor"/>
      </rPr>
      <t xml:space="preserve"> : cuire dans un liquide à ~70–85 °C.</t>
    </r>
  </si>
  <si>
    <r>
      <t>Poach</t>
    </r>
    <r>
      <rPr>
        <sz val="11"/>
        <color theme="1"/>
        <rFont val="Calibri"/>
        <family val="2"/>
        <scheme val="minor"/>
      </rPr>
      <t xml:space="preserve"> (70–85 °C).</t>
    </r>
  </si>
  <si>
    <r>
      <t>Escalfar/pochar</t>
    </r>
    <r>
      <rPr>
        <sz val="11"/>
        <color theme="1"/>
        <rFont val="Calibri"/>
        <family val="2"/>
        <scheme val="minor"/>
      </rPr>
      <t xml:space="preserve"> (70–85 °C).</t>
    </r>
  </si>
  <si>
    <t>insert truffle slices under the skin</t>
  </si>
  <si>
    <t>hacer incisiones e insertar láminas de trufa bajo la piel</t>
  </si>
  <si>
    <t>« Poularde demi-deuil ». Terme rare en EN/ES → description.</t>
  </si>
  <si>
    <t>“Demi-deuil” chicken: truffle slices under the skin (describe rather than translate).</t>
  </si>
  <si>
    <t>“Poularda demi-deuil”: láminas de trufa bajo la piel (mejor describir).</t>
  </si>
  <si>
    <t>sauté quickly</t>
  </si>
  <si>
    <t>saltear rápidamente</t>
  </si>
  <si>
    <r>
      <t>Pointage</t>
    </r>
    <r>
      <rPr>
        <sz val="11"/>
        <color theme="1"/>
        <rFont val="Calibri"/>
        <family val="2"/>
        <scheme val="minor"/>
      </rPr>
      <t xml:space="preserve"> : première fermentation après pétrissage.</t>
    </r>
  </si>
  <si>
    <r>
      <t>Bulk fermentation (first rise)</t>
    </r>
    <r>
      <rPr>
        <sz val="11"/>
        <color theme="1"/>
        <rFont val="Calibri"/>
        <family val="2"/>
        <scheme val="minor"/>
      </rPr>
      <t>.</t>
    </r>
  </si>
  <si>
    <r>
      <t>Fermentación en bloque (primer levado)</t>
    </r>
    <r>
      <rPr>
        <sz val="11"/>
        <color theme="1"/>
        <rFont val="Calibri"/>
        <family val="2"/>
        <scheme val="minor"/>
      </rPr>
      <t>.</t>
    </r>
  </si>
  <si>
    <t>check; inspect</t>
  </si>
  <si>
    <t>controlar; verificar</t>
  </si>
  <si>
    <t>Qualité, T°C à cœur, poids, conformité.</t>
  </si>
  <si>
    <t>Quality, core temperature, weight, compliance.</t>
  </si>
  <si>
    <t>Calidad, temperatura en el centro, peso, conformidad.</t>
  </si>
  <si>
    <t>faire suer (sans coloration)</t>
  </si>
  <si>
    <t>sweat (without coloring)</t>
  </si>
  <si>
    <t>rehogar/sudar (sin dorar)</t>
  </si>
  <si>
    <r>
      <t>Punch</t>
    </r>
    <r>
      <rPr>
        <sz val="11"/>
        <color theme="1"/>
        <rFont val="Calibri"/>
        <family val="2"/>
        <scheme val="minor"/>
      </rPr>
      <t xml:space="preserve"> : sirop + alcool/café/jus/vanille…</t>
    </r>
  </si>
  <si>
    <r>
      <t>Punch syrup</t>
    </r>
    <r>
      <rPr>
        <sz val="11"/>
        <color theme="1"/>
        <rFont val="Calibri"/>
        <family val="2"/>
        <scheme val="minor"/>
      </rPr>
      <t xml:space="preserve"> (sugar syrup + flavor/booze).</t>
    </r>
  </si>
  <si>
    <r>
      <t>Almíbar punch</t>
    </r>
    <r>
      <rPr>
        <sz val="11"/>
        <color theme="1"/>
        <rFont val="Calibri"/>
        <family val="2"/>
        <scheme val="minor"/>
      </rPr>
      <t xml:space="preserve"> (almíbar + licor/sabor).</t>
    </r>
  </si>
  <si>
    <t>scrape down (with spatula)</t>
  </si>
  <si>
    <t>raspar/recoger con lengua (espátula)</t>
  </si>
  <si>
    <t>Récupérer/ramener une préparation dans le bol.</t>
  </si>
  <si>
    <t>Scrape down the bowl to gather the mixture.</t>
  </si>
  <si>
    <t>Recoger la mezcla en el bol con espátula.</t>
  </si>
  <si>
    <t>finish cooking</t>
  </si>
  <si>
    <t>terminar de cocer</t>
  </si>
  <si>
    <r>
      <t xml:space="preserve">Puncher </t>
    </r>
    <r>
      <rPr>
        <sz val="11"/>
        <color theme="1"/>
        <rFont val="Calibri"/>
        <family val="2"/>
        <scheme val="minor"/>
      </rPr>
      <t>(synonyme d’imbiber) : rayer avec la pointe d’un couteau la surface dorée de certains gâteaux (lignes parallèles) pour parfaire la présentation</t>
    </r>
  </si>
  <si>
    <t>Score/mark (a.k.a. punch): lightly score parallel lines on the egg-washed surface of certain cakes to finish the look.</t>
  </si>
  <si>
    <t>Marcar/rajar (también “punch”): trazar líneas paralelas con la punta del cuchillo sobre la superficie barnizada para mejorar el acabado.</t>
  </si>
  <si>
    <t>intensify; concentrate (flavour)</t>
  </si>
  <si>
    <t>reforzar; concentrar sabor</t>
  </si>
  <si>
    <t>Réduire, ajuster assaisonnement, torréfier légèrement.</t>
  </si>
  <si>
    <t>Reduce; adjust seasoning; lightly toast to intensify.</t>
  </si>
  <si>
    <t>Reducir; rectificar sazonado; tostar ligeramente para intensificar.</t>
  </si>
  <si>
    <t>sear/grill then finish in the oven</t>
  </si>
  <si>
    <t>marcar a la plancha y terminar al horno</t>
  </si>
  <si>
    <t>pipe (choux, meringue); lay out</t>
  </si>
  <si>
    <t>escudillar</t>
  </si>
  <si>
    <t>Poche à douille : « coucher » des éclairs/macaronnage.</t>
  </si>
  <si>
    <t>Pipe with a pastry bag (éclairs/macarons).</t>
  </si>
  <si>
    <t>Escudillar con manga pastelera (eclairs/macarons).</t>
  </si>
  <si>
    <t>incorporate into the sauce</t>
  </si>
  <si>
    <t>incorporar a la salsa</t>
  </si>
  <si>
    <r>
      <t>Retomber</t>
    </r>
    <r>
      <rPr>
        <sz val="11"/>
        <color theme="1"/>
        <rFont val="Calibri"/>
        <family val="2"/>
        <scheme val="minor"/>
      </rPr>
      <t xml:space="preserve"> : volume qui diminue (pâte, appareil).</t>
    </r>
  </si>
  <si>
    <t>Deflate/collapse (mixture losing volume).</t>
  </si>
  <si>
    <t>Bajarse/colapsar (mezcla que pierde volumen).</t>
  </si>
  <si>
    <t>cut; slice</t>
  </si>
  <si>
    <r>
      <t>cortar</t>
    </r>
    <r>
      <rPr>
        <sz val="11"/>
        <color theme="1"/>
        <rFont val="Calibri"/>
        <family val="2"/>
        <scheme val="minor"/>
      </rPr>
      <t>; rebanar</t>
    </r>
  </si>
  <si>
    <t>Taillages précis selon fiche.</t>
  </si>
  <si>
    <t>Precise cuts per spec sheet.</t>
  </si>
  <si>
    <t>Cortes precisos según ficha técnica.</t>
  </si>
  <si>
    <t>let cook</t>
  </si>
  <si>
    <t>dejar cocer</t>
  </si>
  <si>
    <r>
      <t>Rognures</t>
    </r>
    <r>
      <rPr>
        <sz val="11"/>
        <color theme="1"/>
        <rFont val="Calibri"/>
        <family val="2"/>
        <scheme val="minor"/>
      </rPr>
      <t xml:space="preserve"> : chutes de découpe (pâtes, entremets).</t>
    </r>
  </si>
  <si>
    <t>Trimmings (cut-off scraps from doughs, entremets).</t>
  </si>
  <si>
    <t>Recortes (sobras de corte de masas, postres).</t>
  </si>
  <si>
    <t>crack; split</t>
  </si>
  <si>
    <t>agrietarse; rajarse</t>
  </si>
  <si>
    <t>Pain/viennoiserie/couennes qui se fendent.</t>
  </si>
  <si>
    <t>Cracking/splitting of breads/pastries/rinds.</t>
  </si>
  <si>
    <t>Grietas/rajaduras en panes/bollerías/cortezas.</t>
  </si>
  <si>
    <t>thicken the cooking juices</t>
  </si>
  <si>
    <t>ligar el jugo de cocción</t>
  </si>
  <si>
    <r>
      <t>Rompre</t>
    </r>
    <r>
      <rPr>
        <sz val="11"/>
        <color theme="1"/>
        <rFont val="Calibri"/>
        <family val="2"/>
        <scheme val="minor"/>
      </rPr>
      <t xml:space="preserve"> : rabattre/dégazer après pointage.</t>
    </r>
  </si>
  <si>
    <t>Knock back / degas after bulk fermentation.</t>
  </si>
  <si>
    <t>Desgasificar / abatir tras el primer levado.</t>
  </si>
  <si>
    <t>cream (butter &amp; sugar)</t>
  </si>
  <si>
    <t>cremar; batir mantequilla y azúcar</t>
  </si>
  <si>
    <t>Pâtisserie : obtenir mélange pâle et mousseux.</t>
  </si>
  <si>
    <t>Pastry: beat until pale and fluffy.</t>
  </si>
  <si>
    <t>Pastelería: batir hasta mezcla pálida y esponjosa.</t>
  </si>
  <si>
    <t>lier le fond/la sauce</t>
  </si>
  <si>
    <t>thicken the stock/sauce</t>
  </si>
  <si>
    <t>ligar el fondo/la salsa</t>
  </si>
  <si>
    <r>
      <t>Ruban</t>
    </r>
    <r>
      <rPr>
        <sz val="11"/>
        <color theme="1"/>
        <rFont val="Calibri"/>
        <family val="2"/>
        <scheme val="minor"/>
      </rPr>
      <t xml:space="preserve"> : texture qui coule en ruban (génoise).</t>
    </r>
  </si>
  <si>
    <t>Ribbon stage: batter falls in a continuous ribbon (genoise).</t>
  </si>
  <si>
    <t>Punto de cinta: la mezcla cae en forma de cinta (genoise).</t>
  </si>
  <si>
    <t>hollow out; dig; deepen</t>
  </si>
  <si>
    <r>
      <t>ahuecar</t>
    </r>
    <r>
      <rPr>
        <sz val="11"/>
        <color theme="1"/>
        <rFont val="Calibri"/>
        <family val="2"/>
        <scheme val="minor"/>
      </rPr>
      <t>; cavar; profundizar</t>
    </r>
  </si>
  <si>
    <t>Évider légumes/pains ; approfondir un sujet.</t>
  </si>
  <si>
    <t>Hollow out vegetables/breads; dig deeper into a topic.</t>
  </si>
  <si>
    <t>Ahuecar verduras/panes; profundizar en un tema.</t>
  </si>
  <si>
    <t>mix and bring to a boil</t>
  </si>
  <si>
    <t>mezclar y llevar a ebullición</t>
  </si>
  <si>
    <t>parboil so grains burst (rice); burst</t>
  </si>
  <si>
    <t>escaldar para que reviente (arroz); reventar</t>
  </si>
  <si>
    <t>« Crever le riz » avant cuisson au lait.</t>
  </si>
  <si>
    <t>Parboil rice so some grains burst before cooking in milk.</t>
  </si>
  <si>
    <t>Escaldar el arroz para que algunos granos revienten antes de cocer en leche.</t>
  </si>
  <si>
    <t>moisten with white wine</t>
  </si>
  <si>
    <t>mojar con vino blanco</t>
  </si>
  <si>
    <t>Sabler : brasser farine et matière grasse jusqu’à une texture sableuse.</t>
  </si>
  <si>
    <t>Rub in flour and fat to a sandy texture.</t>
  </si>
  <si>
    <t>Arenar: mezclar harina y grasa hasta textura de arena.</t>
  </si>
  <si>
    <t>Croûter</t>
  </si>
  <si>
    <t>form a skin/crust (resting)</t>
  </si>
  <si>
    <t>acortezarse; orearse hasta costra</t>
  </si>
  <si>
    <t>Macarons/terrines : laisser « croûter » avant cuisson.</t>
  </si>
  <si>
    <t>Let macarons/terrines dry until a skin forms before baking.</t>
  </si>
  <si>
    <t>Dejar secar macarons/terrinas hasta que se forme una piel antes de hornear.</t>
  </si>
  <si>
    <t>strain the sauce</t>
  </si>
  <si>
    <t>colar/pasar la salsa</t>
  </si>
  <si>
    <t>cook; bake; roast</t>
  </si>
  <si>
    <t>cocer; hornear; asar</t>
  </si>
  <si>
    <t>Verbes au sens large selon mode.Suivre mode/temps/T° indiqués; sonder si besoin.</t>
  </si>
  <si>
    <t>Generic “to cook”: specify the method.Follow mode/time/temp; probe if needed.</t>
  </si>
  <si>
    <t>Verbo genérico “cocer/cocinar”: especificar el método.Seguir modo/tiempo/T°; sondear si procede.</t>
  </si>
  <si>
    <t>bring to a boil</t>
  </si>
  <si>
    <t>llevar a ebullición</t>
  </si>
  <si>
    <t>Tabler (chocolat) : pré-cristalliser sur marbre.</t>
  </si>
  <si>
    <t>Table/temper chocolate on marble.</t>
  </si>
  <si>
    <t>Atemperar chocolate en mármol.</t>
  </si>
  <si>
    <t>cuisson</t>
  </si>
  <si>
    <t>cooking/doneness</t>
  </si>
  <si>
    <t>cocción; punto de cocción</t>
  </si>
  <si>
    <t>De « saignant » à « bien cuit » ; suivi T°.</t>
  </si>
  <si>
    <t>Doneness from rare to well-done; monitor temperature.</t>
  </si>
  <si>
    <t>Puntos de cocción de poco hecho a bien cocido; controlar la temperatura.</t>
  </si>
  <si>
    <t>reduce the wine</t>
  </si>
  <si>
    <t>reducir el vino</t>
  </si>
  <si>
    <r>
      <t>Tourer</t>
    </r>
    <r>
      <rPr>
        <sz val="11"/>
        <color theme="1"/>
        <rFont val="Calibri"/>
        <family val="2"/>
        <scheme val="minor"/>
      </rPr>
      <t xml:space="preserve"> : plier en 3/4 un pâton feuilleté (tours).</t>
    </r>
  </si>
  <si>
    <t>Laminate/turn puff dough with single/double turns.</t>
  </si>
  <si>
    <t>Dar vueltas/laminar una masa de hojaldre con pliegues simples/dobles.</t>
  </si>
  <si>
    <t>cuisson finale</t>
  </si>
  <si>
    <t>final cook/finishing bake</t>
  </si>
  <si>
    <t>cocción final; acabado</t>
  </si>
  <si>
    <t>Dernière phase avant service/expédition.</t>
  </si>
  <si>
    <t>Final cook/finishing step before service/shipping.</t>
  </si>
  <si>
    <t>Cocción/acabado final antes del servicio/expedición.</t>
  </si>
  <si>
    <t>sauter au beurre et à l’huile</t>
  </si>
  <si>
    <t>sauté in butter and oil</t>
  </si>
  <si>
    <t>saltear con mantequilla y aceite</t>
  </si>
  <si>
    <r>
      <t>Tremper</t>
    </r>
    <r>
      <rPr>
        <sz val="11"/>
        <color theme="1"/>
        <rFont val="Calibri"/>
        <family val="2"/>
        <scheme val="minor"/>
      </rPr>
      <t xml:space="preserve"> : a) imbiber au sirop ; b) enrober au chocolat/fondant.</t>
    </r>
  </si>
  <si>
    <r>
      <t>Soak</t>
    </r>
    <r>
      <rPr>
        <sz val="11"/>
        <color theme="1"/>
        <rFont val="Calibri"/>
        <family val="2"/>
        <scheme val="minor"/>
      </rPr>
      <t xml:space="preserve"> in syrup; </t>
    </r>
    <r>
      <rPr>
        <b/>
        <sz val="11"/>
        <color theme="1"/>
        <rFont val="Calibri"/>
        <family val="2"/>
        <scheme val="minor"/>
      </rPr>
      <t>enrobe/dip</t>
    </r>
    <r>
      <rPr>
        <sz val="11"/>
        <color theme="1"/>
        <rFont val="Calibri"/>
        <family val="2"/>
        <scheme val="minor"/>
      </rPr>
      <t xml:space="preserve"> in chocolate/fondant.</t>
    </r>
  </si>
  <si>
    <r>
      <t>Calar</t>
    </r>
    <r>
      <rPr>
        <sz val="11"/>
        <color theme="1"/>
        <rFont val="Calibri"/>
        <family val="2"/>
        <scheme val="minor"/>
      </rPr>
      <t xml:space="preserve"> en almíbar; </t>
    </r>
    <r>
      <rPr>
        <b/>
        <sz val="11"/>
        <color theme="1"/>
        <rFont val="Calibri"/>
        <family val="2"/>
        <scheme val="minor"/>
      </rPr>
      <t>bañar</t>
    </r>
    <r>
      <rPr>
        <sz val="11"/>
        <color theme="1"/>
        <rFont val="Calibri"/>
        <family val="2"/>
        <scheme val="minor"/>
      </rPr>
      <t xml:space="preserve"> en chocolate/fondant.</t>
    </r>
  </si>
  <si>
    <t>season (a pan); build patina</t>
  </si>
  <si>
    <t>curar una sartén/olla</t>
  </si>
  <si>
    <t>Fonte/acier : créer couche anti-adhésive naturelle.</t>
  </si>
  <si>
    <t>Season cast iron/steel to build a natural nonstick patina.</t>
  </si>
  <si>
    <t>Curar hierro fundido/acero para crear una pátina antiadherente natural.</t>
  </si>
  <si>
    <t>Assaisonner &amp; finir</t>
  </si>
  <si>
    <r>
      <t>Vanner</t>
    </r>
    <r>
      <rPr>
        <sz val="11"/>
        <color theme="1"/>
        <rFont val="Calibri"/>
        <family val="2"/>
        <scheme val="minor"/>
      </rPr>
      <t xml:space="preserve"> : remuer en refroidissant pour lisser/éviter la peau.</t>
    </r>
  </si>
  <si>
    <r>
      <t>Stir while cooling</t>
    </r>
    <r>
      <rPr>
        <sz val="11"/>
        <color theme="1"/>
        <rFont val="Calibri"/>
        <family val="2"/>
        <scheme val="minor"/>
      </rPr>
      <t xml:space="preserve"> to smooth/prevent skin.</t>
    </r>
  </si>
  <si>
    <r>
      <t>Batir/remover al enfriar</t>
    </r>
    <r>
      <rPr>
        <sz val="11"/>
        <color theme="1"/>
        <rFont val="Calibri"/>
        <family val="2"/>
        <scheme val="minor"/>
      </rPr>
      <t xml:space="preserve"> para alisar/evitar película.</t>
    </r>
  </si>
  <si>
    <t>baste with brown butter</t>
  </si>
  <si>
    <t>rociar con mantequilla dorada (noisette)</t>
  </si>
  <si>
    <t>stew “daube”-style</t>
  </si>
  <si>
    <r>
      <t xml:space="preserve">guisar en </t>
    </r>
    <r>
      <rPr>
        <b/>
        <sz val="11"/>
        <color theme="1"/>
        <rFont val="Calibri"/>
        <family val="2"/>
        <scheme val="minor"/>
      </rPr>
      <t>daube</t>
    </r>
  </si>
  <si>
    <t>Cuisson lente en marinade vin/aromates (daube provençale).</t>
  </si>
  <si>
    <t>Slow braise in a wine-based marinade with aromatics (daube-style).</t>
  </si>
  <si>
    <r>
      <t xml:space="preserve">Cocción lenta en marinada de vino con aromáticos (estilo </t>
    </r>
    <r>
      <rPr>
        <i/>
        <sz val="11"/>
        <color theme="1"/>
        <rFont val="Calibri"/>
        <family val="2"/>
        <scheme val="minor"/>
      </rPr>
      <t>daube</t>
    </r>
    <r>
      <rPr>
        <sz val="11"/>
        <color theme="1"/>
        <rFont val="Calibri"/>
        <family val="2"/>
        <scheme val="minor"/>
      </rPr>
      <t>).</t>
    </r>
  </si>
  <si>
    <t>arroser/napper d’une liqueur</t>
  </si>
  <si>
    <t>drizzle/coat with a liqueur</t>
  </si>
  <si>
    <t>rociar/napar con un licor</t>
  </si>
  <si>
    <r>
      <t>Zeste</t>
    </r>
    <r>
      <rPr>
        <sz val="11"/>
        <color theme="1"/>
        <rFont val="Calibri"/>
        <family val="2"/>
        <scheme val="minor"/>
      </rPr>
      <t xml:space="preserve"> : partie colorée de l’écorce d’agrume.</t>
    </r>
  </si>
  <si>
    <t>Zest: the colored outer peel of a citrus fruit.</t>
  </si>
  <si>
    <t>Ralladura/zeste: parte coloreada de la piel del cítrico.</t>
  </si>
  <si>
    <t>Débarrasser</t>
  </si>
  <si>
    <t>Transfer</t>
  </si>
  <si>
    <t>Traspasar</t>
  </si>
  <si>
    <t>Transférer proprement en récipient identifié.</t>
  </si>
  <si>
    <t>Transfer neatly to a labeled container.</t>
  </si>
  <si>
    <t>Pasar limpiamente a recipiente etiquetado.</t>
  </si>
  <si>
    <t>butter generously</t>
  </si>
  <si>
    <t>untar generosamente con mantequilla</t>
  </si>
  <si>
    <r>
      <t>Zester :</t>
    </r>
    <r>
      <rPr>
        <sz val="11"/>
        <color theme="1"/>
        <rFont val="Calibri"/>
        <family val="2"/>
        <scheme val="minor"/>
      </rPr>
      <t xml:space="preserve"> retirer la partie extérieure de l’écorce d’agrumes à l’aide d’un zesteur ou d’une râpe.</t>
    </r>
  </si>
  <si>
    <t>Zest: remove the outer citrus peel with a zester or grater.</t>
  </si>
  <si>
    <t>Rallar la piel (zeste): retirar la parte exterior del cítrico con un zester o rallador.</t>
  </si>
  <si>
    <t>deboitage / Déboîtage</t>
  </si>
  <si>
    <t>destacking; unstacking</t>
  </si>
  <si>
    <t>desapilado</t>
  </si>
  <si>
    <t>Défaire piles de bacs/assiettes/pots sur ligne.</t>
  </si>
  <si>
    <t>Unstack nested bins/plates/containers on the line.</t>
  </si>
  <si>
    <t>Desapilar cubetas/platos/envases en la línea.</t>
  </si>
  <si>
    <t>lustrer à l’huile</t>
  </si>
  <si>
    <t>gloss with oil</t>
  </si>
  <si>
    <t>lustrar con aceite</t>
  </si>
  <si>
    <t>Déboiter (volaille/articulation)</t>
  </si>
  <si>
    <t>disjoint; separate at the joint</t>
  </si>
  <si>
    <t>desarticular</t>
  </si>
  <si>
    <t>Découpe bouchère/volaille.</t>
  </si>
  <si>
    <t>Butchery/poultry cutting.</t>
  </si>
  <si>
    <t>Corte de carnicería/aves.</t>
  </si>
  <si>
    <t>lustrer/pinceler à l’huile</t>
  </si>
  <si>
    <t>brush/glaze with oil</t>
  </si>
  <si>
    <t>pincelar/lustrar con aceite</t>
  </si>
  <si>
    <t>decant; let stand; clarify</t>
  </si>
  <si>
    <t>decantar; clarificar</t>
  </si>
  <si>
    <t>Fonds/sauces/vins : séparation dépôt/gras.</t>
  </si>
  <si>
    <t>Stocks/sauces/wines: separate sediment/fat (decant).</t>
  </si>
  <si>
    <t>Caldos/salsas/vinos: separar sedimentos/grasa (decantar).</t>
  </si>
  <si>
    <t>mount with butter</t>
  </si>
  <si>
    <t>montar con mantequilla</t>
  </si>
  <si>
    <t>Décartonner</t>
  </si>
  <si>
    <t>remove from carton</t>
  </si>
  <si>
    <r>
      <t>desencajonar</t>
    </r>
    <r>
      <rPr>
        <sz val="11"/>
        <color theme="1"/>
        <rFont val="Calibri"/>
        <family val="2"/>
        <scheme val="minor"/>
      </rPr>
      <t xml:space="preserve"> / sacar del cartón</t>
    </r>
  </si>
  <si>
    <t>Étape de déballage avant production.</t>
  </si>
  <si>
    <t>Unpacking step before production.</t>
  </si>
  <si>
    <t>Etapa de desembalaje previa a la producción.</t>
  </si>
  <si>
    <t>monter/terminer au beurre</t>
  </si>
  <si>
    <t>finish/mount with butter</t>
  </si>
  <si>
    <t>terminar/montar con mantequilla</t>
  </si>
  <si>
    <t>remove ring; unmould from ring</t>
  </si>
  <si>
    <r>
      <t>desmoldar</t>
    </r>
    <r>
      <rPr>
        <sz val="11"/>
        <color theme="1"/>
        <rFont val="Calibri"/>
        <family val="2"/>
        <scheme val="minor"/>
      </rPr>
      <t xml:space="preserve"> (quitar aro)</t>
    </r>
  </si>
  <si>
    <t>Entremets/tartes cerclées.</t>
  </si>
  <si>
    <t>Ring-molded entremets/tarts.</t>
  </si>
  <si>
    <t>Tartas/entremets en aro.</t>
  </si>
  <si>
    <t>rectifier l’assaisonnement</t>
  </si>
  <si>
    <t>adjust the seasoning</t>
  </si>
  <si>
    <t>rectificar el sazonamiento</t>
  </si>
  <si>
    <t>dechargement du four</t>
  </si>
  <si>
    <t>unload the oven</t>
  </si>
  <si>
    <t>descarga del horno</t>
  </si>
  <si>
    <t>Défournement.</t>
  </si>
  <si>
    <t>Unload the oven (remove trays/items).</t>
  </si>
  <si>
    <t>Descarga del horno (sacar bandejas/piezas).</t>
  </si>
  <si>
    <t>rendre l’appareil onctueux</t>
  </si>
  <si>
    <t>make the mixture smooth/creamy</t>
  </si>
  <si>
    <t>hacer la mezcla más untuosa</t>
  </si>
  <si>
    <t>Décharger</t>
  </si>
  <si>
    <t>unload; offload</t>
  </si>
  <si>
    <t>descargar</t>
  </si>
  <si>
    <t>Camion, four, chariot.</t>
  </si>
  <si>
    <t>Truck, oven, trolley (to unload).</t>
  </si>
  <si>
    <t>Camión, horno, carro (para descargar).</t>
  </si>
  <si>
    <t>réviser l’assaisonnement</t>
  </si>
  <si>
    <t>recheck the seasoning</t>
  </si>
  <si>
    <t>revisar el sazonamiento</t>
  </si>
  <si>
    <t>Déconditionner</t>
  </si>
  <si>
    <t>depackage; remove from primary pack</t>
  </si>
  <si>
    <t>desenvasar</t>
  </si>
  <si>
    <t>Ouvrir barquettes/sous-vide avant usage.</t>
  </si>
  <si>
    <t>De-package trays/vacuum bags before use.</t>
  </si>
  <si>
    <t>Abrir barquetas/bolsas de vacío antes de usar.</t>
  </si>
  <si>
    <t>salt during cooking</t>
  </si>
  <si>
    <t>salar durante la cocción</t>
  </si>
  <si>
    <t>decorate; garnish</t>
  </si>
  <si>
    <r>
      <t xml:space="preserve">decorar; </t>
    </r>
    <r>
      <rPr>
        <b/>
        <sz val="11"/>
        <color theme="1"/>
        <rFont val="Calibri"/>
        <family val="2"/>
        <scheme val="minor"/>
      </rPr>
      <t>decorar/engalanar</t>
    </r>
  </si>
  <si>
    <t>Dressage, pâtisserie.</t>
  </si>
  <si>
    <t>Plating/pastry (decoration task).</t>
  </si>
  <si>
    <t>Emplatado/pastelería (tarea de decoración).</t>
  </si>
  <si>
    <t>lightly sprinkle</t>
  </si>
  <si>
    <t>espolvorear ligeramente</t>
  </si>
  <si>
    <t>shell; husk; peel</t>
  </si>
  <si>
    <r>
      <t>descascarillar</t>
    </r>
    <r>
      <rPr>
        <sz val="11"/>
        <color theme="1"/>
        <rFont val="Calibri"/>
        <family val="2"/>
        <scheme val="minor"/>
      </rPr>
      <t>; pelar</t>
    </r>
  </si>
  <si>
    <t>Fruits secs, crustacés, céréales.</t>
  </si>
  <si>
    <t>Shell/husk nuts, shellfish, grains.</t>
  </si>
  <si>
    <t>Descascarillar frutos secos, mariscos y cereales.</t>
  </si>
  <si>
    <t>decoupe / Découpe</t>
  </si>
  <si>
    <t>cutting; butchery/cutting stage</t>
  </si>
  <si>
    <r>
      <t>corte</t>
    </r>
    <r>
      <rPr>
        <sz val="11"/>
        <color theme="1"/>
        <rFont val="Calibri"/>
        <family val="2"/>
        <scheme val="minor"/>
      </rPr>
      <t>; despiece</t>
    </r>
  </si>
  <si>
    <t>Nom d’étape/atelier.</t>
  </si>
  <si>
    <t>Name of step/workstation.</t>
  </si>
  <si>
    <t>Nombre de etapa/taller.</t>
  </si>
  <si>
    <t>Dressage &amp; textures</t>
  </si>
  <si>
    <t>Plating &amp; textures</t>
  </si>
  <si>
    <t>Emplatado y texturas</t>
  </si>
  <si>
    <t>Découper</t>
  </si>
  <si>
    <t>cut; carve; slice</t>
  </si>
  <si>
    <t>cortar; trinchar/laminar</t>
  </si>
  <si>
    <t>Trancher/portionner/parer.</t>
  </si>
  <si>
    <t>Slice/portion/trim.</t>
  </si>
  <si>
    <t>Rebanar/porcionar/parear.</t>
  </si>
  <si>
    <t>pipe with a pastry bag</t>
  </si>
  <si>
    <t>escudillar con manga pastelera</t>
  </si>
  <si>
    <t>Décuire (sucre/caramel)</t>
  </si>
  <si>
    <t>reduce stage by adding liquid</t>
  </si>
  <si>
    <r>
      <t>rebajar</t>
    </r>
    <r>
      <rPr>
        <sz val="11"/>
        <color theme="1"/>
        <rFont val="Calibri"/>
        <family val="2"/>
        <scheme val="minor"/>
      </rPr>
      <t xml:space="preserve"> (caramelo) con líquido</t>
    </r>
  </si>
  <si>
    <t>Ajouter eau/crème pour baisser la T° du sucre.</t>
  </si>
  <si>
    <t>Add water/cream to lower the sugar/caramel stage.</t>
  </si>
  <si>
    <t>Añadir agua/nata para bajar el punto del azúcar/caramelo.</t>
  </si>
  <si>
    <t>plate on the dish</t>
  </si>
  <si>
    <t>emplatar en el plato</t>
  </si>
  <si>
    <t>Déffilandrer (défilander)</t>
  </si>
  <si>
    <t>remove sinews/filaments</t>
  </si>
  <si>
    <r>
      <t>quitar fibras/nervios</t>
    </r>
    <r>
      <rPr>
        <sz val="11"/>
        <color theme="1"/>
        <rFont val="Calibri"/>
        <family val="2"/>
        <scheme val="minor"/>
      </rPr>
      <t>; deshilar</t>
    </r>
  </si>
  <si>
    <t>Viandes/poissons. Orthographe usuelle : défilander.</t>
  </si>
  <si>
    <t>Meats/fish: remove fibers/sinews; common spelling: “défilander.”</t>
  </si>
  <si>
    <t>Carnes/pescados: quitar fibras/nervios; ortografía habitual: «défilander».</t>
  </si>
  <si>
    <t>blend and strain through a chinois</t>
  </si>
  <si>
    <t>triturar y pasar por un chino</t>
  </si>
  <si>
    <t>Deglaze</t>
  </si>
  <si>
    <t>Desglasar</t>
  </si>
  <si>
    <t>Dissoudre sucs avec vin/fond; réduire avant lier.</t>
  </si>
  <si>
    <t>Deglaze with wine/stock; reduce before thickening.</t>
  </si>
  <si>
    <t>Desglasar con vino/fondo; reducir antes de ligar.</t>
  </si>
  <si>
    <t>coat with sauce</t>
  </si>
  <si>
    <t>napar con salsa</t>
  </si>
  <si>
    <t>purge (in salt water); drain</t>
  </si>
  <si>
    <r>
      <t>desangrar/purgar</t>
    </r>
    <r>
      <rPr>
        <sz val="11"/>
        <color theme="1"/>
        <rFont val="Calibri"/>
        <family val="2"/>
        <scheme val="minor"/>
      </rPr>
      <t>; escurrir</t>
    </r>
  </si>
  <si>
    <t>Concombres/salage; abats/poissons à l’eau salée.Eau froide salée ou lait; changer l’eau si besoin.</t>
  </si>
  <si>
    <t>Purge with salt/purge in salted water (to degorge).Soak in cold salted water or milk; refresh as needed.</t>
  </si>
  <si>
    <t>Desangrar/purgar con sal o en agua salada.Desangrar en agua salada fría o leche; renovar.</t>
  </si>
  <si>
    <t>distribute the cooking juices</t>
  </si>
  <si>
    <t>repartir el jugo de cocción</t>
  </si>
  <si>
    <t>take the chill off; temper slightly</t>
  </si>
  <si>
    <r>
      <t>atemperar</t>
    </r>
    <r>
      <rPr>
        <sz val="11"/>
        <color theme="1"/>
        <rFont val="Calibri"/>
        <family val="2"/>
        <scheme val="minor"/>
      </rPr>
      <t>; quitar el frío</t>
    </r>
  </si>
  <si>
    <t>Ramener proche T° ambiante avant travail.</t>
  </si>
  <si>
    <t>Bring close to room temperature before working (take the chill off).</t>
  </si>
  <si>
    <t>Atemperar/quitar el frío antes de trabajar.</t>
  </si>
  <si>
    <t>check the consistency</t>
  </si>
  <si>
    <t>comprobar la consistencia</t>
  </si>
  <si>
    <t>Degrease/Skim</t>
  </si>
  <si>
    <t>Desgrasar</t>
  </si>
  <si>
    <t>Écumer gras en surface pour sauce plus nette.</t>
  </si>
  <si>
    <t>Skim surface fat for cleaner sauce.</t>
  </si>
  <si>
    <t>Desgrasar la superficie para salsa limpia.</t>
  </si>
  <si>
    <t>remove cover/casing</t>
  </si>
  <si>
    <r>
      <t>desenfundar</t>
    </r>
    <r>
      <rPr>
        <sz val="11"/>
        <color theme="1"/>
        <rFont val="Calibri"/>
        <family val="2"/>
        <scheme val="minor"/>
      </rPr>
      <t>; quitar funda</t>
    </r>
  </si>
  <si>
    <t>Jambons/produits enrobés de toile/housse.</t>
  </si>
  <si>
    <t>Remove the cloth/casing from hams/products.</t>
  </si>
  <si>
    <t>Desenfundar/quitar la funda de jamones/productos.</t>
  </si>
  <si>
    <t>Refroidissement</t>
  </si>
  <si>
    <t xml:space="preserve">Cooling </t>
  </si>
  <si>
    <t xml:space="preserve">Enfriado </t>
  </si>
  <si>
    <t>dilute; thin out</t>
  </si>
  <si>
    <r>
      <t>diluir</t>
    </r>
    <r>
      <rPr>
        <sz val="11"/>
        <color theme="1"/>
        <rFont val="Calibri"/>
        <family val="2"/>
        <scheme val="minor"/>
      </rPr>
      <t>; desleír</t>
    </r>
  </si>
  <si>
    <t>Pâte/maïzena/levure dans liquide.</t>
  </si>
  <si>
    <t>Dilute flour/starch/yeast into liquid (make a slurry).</t>
  </si>
  <si>
    <t>Disolver harina/maicena/levadura en un líquido (hacer una papilla).</t>
  </si>
  <si>
    <t>wrap and store in the cold room</t>
  </si>
  <si>
    <t>filmar y guardar en cámara frigorífica</t>
  </si>
  <si>
    <t>unmould</t>
  </si>
  <si>
    <t>desmoldar</t>
  </si>
  <si>
    <t>Sortir d’un moule/terrine.</t>
  </si>
  <si>
    <t>Unmold from a tin/terrine.</t>
  </si>
  <si>
    <t>Desmoldar de un molde/terrina.</t>
  </si>
  <si>
    <t>rafraîchir en eau glacée et égoutter</t>
  </si>
  <si>
    <t>chill in ice water and drain</t>
  </si>
  <si>
    <t>refrescar en agua helada y escurrir</t>
  </si>
  <si>
    <t>remove sinews/silverskin</t>
  </si>
  <si>
    <r>
      <t>desnervar</t>
    </r>
    <r>
      <rPr>
        <sz val="11"/>
        <color theme="1"/>
        <rFont val="Calibri"/>
        <family val="2"/>
        <scheme val="minor"/>
      </rPr>
      <t>; quitar telilla</t>
    </r>
  </si>
  <si>
    <t>Viandes/foie gras.</t>
  </si>
  <si>
    <t>Remove sinews from meat; devein foie gras.</t>
  </si>
  <si>
    <r>
      <t xml:space="preserve">Desnervar carne; desvenar </t>
    </r>
    <r>
      <rPr>
        <i/>
        <sz val="11"/>
        <color theme="1"/>
        <rFont val="Calibri"/>
        <family val="2"/>
        <scheme val="minor"/>
      </rPr>
      <t>foie gras</t>
    </r>
    <r>
      <rPr>
        <sz val="11"/>
        <color theme="1"/>
        <rFont val="Calibri"/>
        <family val="2"/>
        <scheme val="minor"/>
      </rPr>
      <t>.</t>
    </r>
  </si>
  <si>
    <t>rafraîchir et égoutter</t>
  </si>
  <si>
    <t>refresh/chill and drain</t>
  </si>
  <si>
    <t>refrescar y escurrir</t>
  </si>
  <si>
    <t>stone; pit</t>
  </si>
  <si>
    <r>
      <t>deshuesar</t>
    </r>
    <r>
      <rPr>
        <sz val="11"/>
        <color theme="1"/>
        <rFont val="Calibri"/>
        <family val="2"/>
        <scheme val="minor"/>
      </rPr>
      <t xml:space="preserve"> (fruta) / quitar hueso</t>
    </r>
  </si>
  <si>
    <t>Cerises, abricots, olives.</t>
  </si>
  <si>
    <t>Pit/stone cherries, apricots, olives.</t>
  </si>
  <si>
    <t>Deshuesar cerezas, albaricoques y aceitunas.</t>
  </si>
  <si>
    <t>blast-chill</t>
  </si>
  <si>
    <t>abatir en abatidor</t>
  </si>
  <si>
    <t>crimp/scallop the edge</t>
  </si>
  <si>
    <r>
      <t>festonear</t>
    </r>
    <r>
      <rPr>
        <sz val="11"/>
        <color theme="1"/>
        <rFont val="Calibri"/>
        <family val="2"/>
        <scheme val="minor"/>
      </rPr>
      <t xml:space="preserve"> el borde</t>
    </r>
  </si>
  <si>
    <t>Bord de pâte avec pince/couteau.</t>
  </si>
  <si>
    <t>Crimp/scallop the pastry edge with pincers/knife.</t>
  </si>
  <si>
    <t>Festonear el borde de la masa con pinza/cuchillo.</t>
  </si>
  <si>
    <t>reservar en frío</t>
  </si>
  <si>
    <t>Skin</t>
  </si>
  <si>
    <t>Desollar</t>
  </si>
  <si>
    <t>Retirer peau/peaux (poisson/sauce) pour fini net.</t>
  </si>
  <si>
    <t>Remove skin/scum for clean finish.</t>
  </si>
  <si>
    <t>Desollar/retirar natas para acabado limpio.</t>
  </si>
  <si>
    <t>keep chilled</t>
  </si>
  <si>
    <t>Dépouiller (sauce)</t>
  </si>
  <si>
    <t>skim while reducing</t>
  </si>
  <si>
    <r>
      <t>desespumar</t>
    </r>
    <r>
      <rPr>
        <sz val="11"/>
        <color theme="1"/>
        <rFont val="Calibri"/>
        <family val="2"/>
        <scheme val="minor"/>
      </rPr>
      <t xml:space="preserve"> / espumar</t>
    </r>
  </si>
  <si>
    <t>Retirer écume/impuretés en réduction.</t>
  </si>
  <si>
    <t>Skim off scum/impurities while reducing.</t>
  </si>
  <si>
    <t>Desespumar/retirar impurezas durante la reducción.</t>
  </si>
  <si>
    <t>store in the cold room</t>
  </si>
  <si>
    <t>almacenar en cámara frigorífica</t>
  </si>
  <si>
    <t>Dérober (tomates/haricots)</t>
  </si>
  <si>
    <t>peel after blanching</t>
  </si>
  <si>
    <t>pelar tras escaldar</t>
  </si>
  <si>
    <t>Inciser, blanchir, rafraîchir, peler.</t>
  </si>
  <si>
    <t>Score, blanch, refresh, peel.</t>
  </si>
  <si>
    <t>Hacer incisiones, escaldar, refrescar, pelar.</t>
  </si>
  <si>
    <t>desemballage</t>
  </si>
  <si>
    <t>unpacking</t>
  </si>
  <si>
    <t>desembalaje</t>
  </si>
  <si>
    <t>Noun.</t>
  </si>
  <si>
    <t>Noun (part of speech).</t>
  </si>
  <si>
    <t>Sustantivo.</t>
  </si>
  <si>
    <t>service</t>
  </si>
  <si>
    <t>servicio</t>
  </si>
  <si>
    <t>Désemballer</t>
  </si>
  <si>
    <t>unpack</t>
  </si>
  <si>
    <t>desembalar</t>
  </si>
  <si>
    <t>Verbe.</t>
  </si>
  <si>
    <t>Verb (part of speech).</t>
  </si>
  <si>
    <t>Verbo.</t>
  </si>
  <si>
    <t>serve lukewarm</t>
  </si>
  <si>
    <t>servir templado</t>
  </si>
  <si>
    <t>Désinfecter</t>
  </si>
  <si>
    <t>disinfect; sanitize</t>
  </si>
  <si>
    <r>
      <t>desinfectar</t>
    </r>
    <r>
      <rPr>
        <sz val="11"/>
        <color theme="1"/>
        <rFont val="Calibri"/>
        <family val="2"/>
        <scheme val="minor"/>
      </rPr>
      <t>; sanitizar</t>
    </r>
  </si>
  <si>
    <t>Surfaces/matériel HACCP.</t>
  </si>
  <si>
    <t>Surfaces/equipment per HACCP protocol.</t>
  </si>
  <si>
    <t>Superficies/equipos según protocolo APPCC.</t>
  </si>
  <si>
    <t>desinfection</t>
  </si>
  <si>
    <t>disinfection (sanitation)</t>
  </si>
  <si>
    <t>desinfección</t>
  </si>
  <si>
    <t>Nom d’étape/procédure.</t>
  </si>
  <si>
    <t>Name of step/procedure.</t>
  </si>
  <si>
    <t>Nombre de etapa/procedimiento.</t>
  </si>
  <si>
    <t>Préparation &amp; mélange</t>
  </si>
  <si>
    <t>Preparation &amp; mixing</t>
  </si>
  <si>
    <t>Preparación y mezcla</t>
  </si>
  <si>
    <t>bone; debone</t>
  </si>
  <si>
    <t>deshuesar</t>
  </si>
  <si>
    <t>Boucherie/volaille/poisson (“désarêter” = fish).</t>
  </si>
  <si>
    <t>Butchery/poultry/fish: remove bones; fish: debone/“debone fish.”</t>
  </si>
  <si>
    <t>Carnicería/aves/pescado: deshuesar; pescado: desespinar.</t>
  </si>
  <si>
    <t>dry out; cook to dry</t>
  </si>
  <si>
    <r>
      <t>secar</t>
    </r>
    <r>
      <rPr>
        <sz val="11"/>
        <color theme="1"/>
        <rFont val="Calibri"/>
        <family val="2"/>
        <scheme val="minor"/>
      </rPr>
      <t xml:space="preserve"> / desecar</t>
    </r>
  </si>
  <si>
    <t>Pâte à choux en casserole, purées.</t>
  </si>
  <si>
    <t>Dry out choux paste in the pan; purées (cook off moisture).</t>
  </si>
  <si>
    <t>Desecar pasta choux en cazo; purés (evaporar humedad).</t>
  </si>
  <si>
    <r>
      <t xml:space="preserve">faire une pesée → </t>
    </r>
    <r>
      <rPr>
        <b/>
        <sz val="12"/>
        <color theme="1"/>
        <rFont val="Calibri"/>
        <family val="2"/>
        <scheme val="minor"/>
      </rPr>
      <t>peser</t>
    </r>
    <r>
      <rPr>
        <sz val="12"/>
        <color theme="1"/>
        <rFont val="Calibri"/>
        <family val="2"/>
        <scheme val="minor"/>
      </rPr>
      <t xml:space="preserve"> → weigh → </t>
    </r>
    <r>
      <rPr>
        <b/>
        <sz val="12"/>
        <color theme="1"/>
        <rFont val="Calibri"/>
        <family val="2"/>
        <scheme val="minor"/>
      </rPr>
      <t>pesar</t>
    </r>
  </si>
  <si>
    <t>draw; sketch; design</t>
  </si>
  <si>
    <r>
      <t>dibujar</t>
    </r>
    <r>
      <rPr>
        <sz val="11"/>
        <color theme="1"/>
        <rFont val="Calibri"/>
        <family val="2"/>
        <scheme val="minor"/>
      </rPr>
      <t xml:space="preserve">; </t>
    </r>
    <r>
      <rPr>
        <b/>
        <sz val="11"/>
        <color theme="1"/>
        <rFont val="Calibri"/>
        <family val="2"/>
        <scheme val="minor"/>
      </rPr>
      <t>diseñar</t>
    </r>
  </si>
  <si>
    <t>Croquis de poste/layout, schéma de pièce, design d’étiquette/pack.</t>
  </si>
  <si>
    <t>Sketch a station/layout, part diagram, label/pack design.</t>
  </si>
  <si>
    <t>Bocetar un puesto/layout, esquema de pieza, diseño de etiqueta/envase.</t>
  </si>
  <si>
    <r>
      <t xml:space="preserve">faire un mélange → </t>
    </r>
    <r>
      <rPr>
        <b/>
        <sz val="12"/>
        <color theme="1"/>
        <rFont val="Calibri"/>
        <family val="2"/>
        <scheme val="minor"/>
      </rPr>
      <t xml:space="preserve">mélanger / incorporer / </t>
    </r>
    <r>
      <rPr>
        <b/>
        <i/>
        <sz val="12"/>
        <color theme="1"/>
        <rFont val="Calibri"/>
        <family val="2"/>
        <scheme val="minor"/>
      </rPr>
      <t>envelopper</t>
    </r>
    <r>
      <rPr>
        <sz val="12"/>
        <color theme="1"/>
        <rFont val="Calibri"/>
        <family val="2"/>
        <scheme val="minor"/>
      </rPr>
      <t xml:space="preserve"> → mix / fold in → </t>
    </r>
    <r>
      <rPr>
        <b/>
        <sz val="12"/>
        <color theme="1"/>
        <rFont val="Calibri"/>
        <family val="2"/>
        <scheme val="minor"/>
      </rPr>
      <t>mezclar / envolver</t>
    </r>
  </si>
  <si>
    <t>dessouvidage</t>
  </si>
  <si>
    <t>removal from vacuum pack</t>
  </si>
  <si>
    <t>salida de sous-vide</t>
  </si>
  <si>
    <t>Nom d’étape.</t>
  </si>
  <si>
    <t>Step name.</t>
  </si>
  <si>
    <t>Nombre de etapa.</t>
  </si>
  <si>
    <r>
      <t xml:space="preserve">faire une pâte → </t>
    </r>
    <r>
      <rPr>
        <b/>
        <sz val="12"/>
        <color theme="1"/>
        <rFont val="Calibri"/>
        <family val="2"/>
        <scheme val="minor"/>
      </rPr>
      <t>pétrir / préparer la pâte</t>
    </r>
    <r>
      <rPr>
        <sz val="12"/>
        <color theme="1"/>
        <rFont val="Calibri"/>
        <family val="2"/>
        <scheme val="minor"/>
      </rPr>
      <t xml:space="preserve"> → knead / make the dough → </t>
    </r>
    <r>
      <rPr>
        <b/>
        <sz val="12"/>
        <color theme="1"/>
        <rFont val="Calibri"/>
        <family val="2"/>
        <scheme val="minor"/>
      </rPr>
      <t>amasar / preparar la masa</t>
    </r>
  </si>
  <si>
    <t>Dessouvider</t>
  </si>
  <si>
    <t>remove from vacuum bag</t>
  </si>
  <si>
    <t>sacar del vacío</t>
  </si>
  <si>
    <t>Ouvrir et extraire le produit.</t>
  </si>
  <si>
    <t>Open and remove the product (from its pack).</t>
  </si>
  <si>
    <t>Abrir y extraer el producto (del envase).</t>
  </si>
  <si>
    <r>
      <t xml:space="preserve">faire une farce → </t>
    </r>
    <r>
      <rPr>
        <b/>
        <sz val="12"/>
        <color theme="1"/>
        <rFont val="Calibri"/>
        <family val="2"/>
        <scheme val="minor"/>
      </rPr>
      <t>farcir / préparer la farce</t>
    </r>
    <r>
      <rPr>
        <sz val="12"/>
        <color theme="1"/>
        <rFont val="Calibri"/>
        <family val="2"/>
        <scheme val="minor"/>
      </rPr>
      <t xml:space="preserve"> → make filling / stuff → </t>
    </r>
    <r>
      <rPr>
        <b/>
        <sz val="12"/>
        <color theme="1"/>
        <rFont val="Calibri"/>
        <family val="2"/>
        <scheme val="minor"/>
      </rPr>
      <t>preparar el relleno / rellenar</t>
    </r>
  </si>
  <si>
    <t>destockage</t>
  </si>
  <si>
    <t>destocking; stock drawdown</t>
  </si>
  <si>
    <t>desestocaje</t>
  </si>
  <si>
    <t>Gestion de stocks.</t>
  </si>
  <si>
    <t>Inventory/stock management.</t>
  </si>
  <si>
    <t>Gestión de existencias/stock.</t>
  </si>
  <si>
    <r>
      <t xml:space="preserve">faire une marinade → </t>
    </r>
    <r>
      <rPr>
        <b/>
        <sz val="12"/>
        <color theme="1"/>
        <rFont val="Calibri"/>
        <family val="2"/>
        <scheme val="minor"/>
      </rPr>
      <t>mariner / préparer la marinade</t>
    </r>
    <r>
      <rPr>
        <sz val="12"/>
        <color theme="1"/>
        <rFont val="Calibri"/>
        <family val="2"/>
        <scheme val="minor"/>
      </rPr>
      <t xml:space="preserve"> → marinate / make a marinade → </t>
    </r>
    <r>
      <rPr>
        <b/>
        <sz val="12"/>
        <color theme="1"/>
        <rFont val="Calibri"/>
        <family val="2"/>
        <scheme val="minor"/>
      </rPr>
      <t>marinar / preparar la marinada</t>
    </r>
  </si>
  <si>
    <t>Destocker</t>
  </si>
  <si>
    <t>destock; run down stock</t>
  </si>
  <si>
    <t>desestocar</t>
  </si>
  <si>
    <t>Action.</t>
  </si>
  <si>
    <t>Action (verb).</t>
  </si>
  <si>
    <t>Acción (verbo).</t>
  </si>
  <si>
    <r>
      <t xml:space="preserve">faire une émulsion → </t>
    </r>
    <r>
      <rPr>
        <b/>
        <sz val="12"/>
        <color theme="1"/>
        <rFont val="Calibri"/>
        <family val="2"/>
        <scheme val="minor"/>
      </rPr>
      <t>émulsionner</t>
    </r>
    <r>
      <rPr>
        <sz val="12"/>
        <color theme="1"/>
        <rFont val="Calibri"/>
        <family val="2"/>
        <scheme val="minor"/>
      </rPr>
      <t xml:space="preserve"> → emulsify → </t>
    </r>
    <r>
      <rPr>
        <b/>
        <sz val="12"/>
        <color theme="1"/>
        <rFont val="Calibri"/>
        <family val="2"/>
        <scheme val="minor"/>
      </rPr>
      <t>emulsionar</t>
    </r>
  </si>
  <si>
    <t>cut into (dice/slices); portion</t>
  </si>
  <si>
    <r>
      <t>detallar</t>
    </r>
    <r>
      <rPr>
        <sz val="11"/>
        <color theme="1"/>
        <rFont val="Calibri"/>
        <family val="2"/>
        <scheme val="minor"/>
      </rPr>
      <t>; cortar en…</t>
    </r>
  </si>
  <si>
    <t>« Détailler en brunoise, en bâtons… ».</t>
  </si>
  <si>
    <t>“Cut into brunoise, into batons, etc.”</t>
  </si>
  <si>
    <t>«Cortar en brunoise, en bastones…».</t>
  </si>
  <si>
    <r>
      <t xml:space="preserve">faire une meringue → </t>
    </r>
    <r>
      <rPr>
        <b/>
        <sz val="12"/>
        <color theme="1"/>
        <rFont val="Calibri"/>
        <family val="2"/>
        <scheme val="minor"/>
      </rPr>
      <t>meringuer / monter les blancs</t>
    </r>
    <r>
      <rPr>
        <sz val="12"/>
        <color theme="1"/>
        <rFont val="Calibri"/>
        <family val="2"/>
        <scheme val="minor"/>
      </rPr>
      <t xml:space="preserve"> → make meringue / whip whites → </t>
    </r>
    <r>
      <rPr>
        <b/>
        <sz val="12"/>
        <color theme="1"/>
        <rFont val="Calibri"/>
        <family val="2"/>
        <scheme val="minor"/>
      </rPr>
      <t>merengar / montar claras</t>
    </r>
  </si>
  <si>
    <t>loosen; thin; relax</t>
  </si>
  <si>
    <r>
      <t>aflojar</t>
    </r>
    <r>
      <rPr>
        <sz val="11"/>
        <color theme="1"/>
        <rFont val="Calibri"/>
        <family val="2"/>
        <scheme val="minor"/>
      </rPr>
      <t>; aligerar</t>
    </r>
  </si>
  <si>
    <t>Assouplir pâte/sauce (ajout liquide / repos).</t>
  </si>
  <si>
    <t>Loosen/relax a dough/sauce (add liquid/rest).</t>
  </si>
  <si>
    <t>Aflojar/relajar una masa/salsa (añadir líquido/reposo).</t>
  </si>
  <si>
    <t>moisten; make the détrempe</t>
  </si>
  <si>
    <r>
      <t>amasar la “détrempe”</t>
    </r>
    <r>
      <rPr>
        <sz val="11"/>
        <color theme="1"/>
        <rFont val="Calibri"/>
        <family val="2"/>
        <scheme val="minor"/>
      </rPr>
      <t>; humedecer</t>
    </r>
  </si>
  <si>
    <t>Pâte feuilletée : détrempe.</t>
  </si>
  <si>
    <r>
      <t xml:space="preserve">Puff pastry: make the </t>
    </r>
    <r>
      <rPr>
        <i/>
        <sz val="11"/>
        <color theme="1"/>
        <rFont val="Calibri"/>
        <family val="2"/>
        <scheme val="minor"/>
      </rPr>
      <t>détrempe</t>
    </r>
    <r>
      <rPr>
        <sz val="11"/>
        <color theme="1"/>
        <rFont val="Calibri"/>
        <family val="2"/>
        <scheme val="minor"/>
      </rPr>
      <t xml:space="preserve"> (moistened base dough).</t>
    </r>
  </si>
  <si>
    <r>
      <t xml:space="preserve">Hojaldre: preparar la </t>
    </r>
    <r>
      <rPr>
        <i/>
        <sz val="11"/>
        <color theme="1"/>
        <rFont val="Calibri"/>
        <family val="2"/>
        <scheme val="minor"/>
      </rPr>
      <t>détrempe</t>
    </r>
    <r>
      <rPr>
        <sz val="11"/>
        <color theme="1"/>
        <rFont val="Calibri"/>
        <family val="2"/>
        <scheme val="minor"/>
      </rPr>
      <t xml:space="preserve"> (masa base hidratada).</t>
    </r>
  </si>
  <si>
    <t>Cuisson &amp; texture</t>
  </si>
  <si>
    <t>Cooking &amp; texture</t>
  </si>
  <si>
    <t>Cocción y textura</t>
  </si>
  <si>
    <t>disperse (powders)</t>
  </si>
  <si>
    <t>dispersar</t>
  </si>
  <si>
    <t>Poudres dans liquide sous agitation.</t>
  </si>
  <si>
    <t>Disperse powders into a liquid under agitation.</t>
  </si>
  <si>
    <t>Dispersar polvos en un líquido con agitación.</t>
  </si>
  <si>
    <t>Disperser (fouet)</t>
  </si>
  <si>
    <t>Disperse (whisk)</t>
  </si>
  <si>
    <t>Dispersar</t>
  </si>
  <si>
    <t>Mélanger poudres/liquide sans grumeaux.</t>
  </si>
  <si>
    <t>Disperse powders in liquid lump-free.</t>
  </si>
  <si>
    <t>Dispersar polvos en líquido sin grumos.</t>
  </si>
  <si>
    <r>
      <t xml:space="preserve">faire bouillir → </t>
    </r>
    <r>
      <rPr>
        <b/>
        <sz val="12"/>
        <color theme="1"/>
        <rFont val="Calibri"/>
        <family val="2"/>
        <scheme val="minor"/>
      </rPr>
      <t>porter à ébullition / bouillir</t>
    </r>
    <r>
      <rPr>
        <sz val="12"/>
        <color theme="1"/>
        <rFont val="Calibri"/>
        <family val="2"/>
        <scheme val="minor"/>
      </rPr>
      <t xml:space="preserve"> → bring to a boil / boil → </t>
    </r>
    <r>
      <rPr>
        <b/>
        <sz val="12"/>
        <color theme="1"/>
        <rFont val="Calibri"/>
        <family val="2"/>
        <scheme val="minor"/>
      </rPr>
      <t>llevar a ebullición / hervir</t>
    </r>
  </si>
  <si>
    <t>arrange; set; lay out</t>
  </si>
  <si>
    <r>
      <t>disponer</t>
    </r>
    <r>
      <rPr>
        <sz val="11"/>
        <color theme="1"/>
        <rFont val="Calibri"/>
        <family val="2"/>
        <scheme val="minor"/>
      </rPr>
      <t>; colocar</t>
    </r>
  </si>
  <si>
    <t>Dressage/implantation sur plaque.</t>
  </si>
  <si>
    <t>Arrange/lay out on a tray/sheet.</t>
  </si>
  <si>
    <t>Disponer/colocar en bandeja/placa.</t>
  </si>
  <si>
    <r>
      <t xml:space="preserve">faire mijoter → </t>
    </r>
    <r>
      <rPr>
        <b/>
        <sz val="12"/>
        <color theme="1"/>
        <rFont val="Calibri"/>
        <family val="2"/>
        <scheme val="minor"/>
      </rPr>
      <t>mijoter</t>
    </r>
    <r>
      <rPr>
        <sz val="12"/>
        <color theme="1"/>
        <rFont val="Calibri"/>
        <family val="2"/>
        <scheme val="minor"/>
      </rPr>
      <t xml:space="preserve"> → simmer slowly → </t>
    </r>
    <r>
      <rPr>
        <b/>
        <sz val="12"/>
        <color theme="1"/>
        <rFont val="Calibri"/>
        <family val="2"/>
        <scheme val="minor"/>
      </rPr>
      <t>cocinar a fuego lento</t>
    </r>
  </si>
  <si>
    <t>egg-wash; glaze with egg</t>
  </si>
  <si>
    <t>pintar con huevo</t>
  </si>
  <si>
    <t>« Dorer à l’œuf » pour brillance/couleur.</t>
  </si>
  <si>
    <t>Egg-wash for shine/color.</t>
  </si>
  <si>
    <t>Pintar con huevo para dar brillo/color.</t>
  </si>
  <si>
    <r>
      <t xml:space="preserve">faire revenir → </t>
    </r>
    <r>
      <rPr>
        <b/>
        <sz val="12"/>
        <color theme="1"/>
        <rFont val="Calibri"/>
        <family val="2"/>
        <scheme val="minor"/>
      </rPr>
      <t>sauter / faire revenir</t>
    </r>
    <r>
      <rPr>
        <sz val="12"/>
        <color theme="1"/>
        <rFont val="Calibri"/>
        <family val="2"/>
        <scheme val="minor"/>
      </rPr>
      <t xml:space="preserve"> → sauté → </t>
    </r>
    <r>
      <rPr>
        <b/>
        <sz val="12"/>
        <color theme="1"/>
        <rFont val="Calibri"/>
        <family val="2"/>
        <scheme val="minor"/>
      </rPr>
      <t>saltear / rehogar</t>
    </r>
  </si>
  <si>
    <t>line/double; make a second layer</t>
  </si>
  <si>
    <r>
      <t>forrar</t>
    </r>
    <r>
      <rPr>
        <sz val="11"/>
        <color theme="1"/>
        <rFont val="Calibri"/>
        <family val="2"/>
        <scheme val="minor"/>
      </rPr>
      <t>; doblar capa</t>
    </r>
  </si>
  <si>
    <t>Moule, chemisage, superposition.</t>
  </si>
  <si>
    <t>Line a mold; layer components.</t>
  </si>
  <si>
    <t>Forrar un molde; superponer capas.</t>
  </si>
  <si>
    <r>
      <t xml:space="preserve">faire rissoler → </t>
    </r>
    <r>
      <rPr>
        <b/>
        <sz val="12"/>
        <color theme="1"/>
        <rFont val="Calibri"/>
        <family val="2"/>
        <scheme val="minor"/>
      </rPr>
      <t>rissoler / dorer</t>
    </r>
    <r>
      <rPr>
        <sz val="12"/>
        <color theme="1"/>
        <rFont val="Calibri"/>
        <family val="2"/>
        <scheme val="minor"/>
      </rPr>
      <t xml:space="preserve"> → brown until crisp → </t>
    </r>
    <r>
      <rPr>
        <b/>
        <sz val="12"/>
        <color theme="1"/>
        <rFont val="Calibri"/>
        <family val="2"/>
        <scheme val="minor"/>
      </rPr>
      <t>dorar hasta crujiente</t>
    </r>
  </si>
  <si>
    <t>plate; set up; pipe (pastry)</t>
  </si>
  <si>
    <r>
      <t>emplatar</t>
    </r>
    <r>
      <rPr>
        <sz val="11"/>
        <color theme="1"/>
        <rFont val="Calibri"/>
        <family val="2"/>
        <scheme val="minor"/>
      </rPr>
      <t>; montar/escudillar</t>
    </r>
  </si>
  <si>
    <t>Mise en assiette, dressage en poche.</t>
  </si>
  <si>
    <t>Plate the dish; pipe with a pastry bag.</t>
  </si>
  <si>
    <t>Emplatar; escudillar con manga pastelera.</t>
  </si>
  <si>
    <r>
      <t xml:space="preserve">faire frire → </t>
    </r>
    <r>
      <rPr>
        <b/>
        <sz val="12"/>
        <color theme="1"/>
        <rFont val="Calibri"/>
        <family val="2"/>
        <scheme val="minor"/>
      </rPr>
      <t>frire</t>
    </r>
    <r>
      <rPr>
        <sz val="12"/>
        <color theme="1"/>
        <rFont val="Calibri"/>
        <family val="2"/>
        <scheme val="minor"/>
      </rPr>
      <t xml:space="preserve"> → fry / deep-fry → </t>
    </r>
    <r>
      <rPr>
        <b/>
        <sz val="12"/>
        <color theme="1"/>
        <rFont val="Calibri"/>
        <family val="2"/>
        <scheme val="minor"/>
      </rPr>
      <t>freír</t>
    </r>
  </si>
  <si>
    <t>Dresser (poche)</t>
  </si>
  <si>
    <t>Pipe/Plate</t>
  </si>
  <si>
    <t>Escudillar/Emplatar</t>
  </si>
  <si>
    <t>Pocher régulier; même poids/espacement.</t>
  </si>
  <si>
    <t>Pipe evenly; consistent weight/spacing.</t>
  </si>
  <si>
    <t>Escudillar parejo; peso/espaciado constantes.</t>
  </si>
  <si>
    <r>
      <t xml:space="preserve">faire fondre → </t>
    </r>
    <r>
      <rPr>
        <b/>
        <sz val="12"/>
        <color theme="1"/>
        <rFont val="Calibri"/>
        <family val="2"/>
        <scheme val="minor"/>
      </rPr>
      <t>fondre</t>
    </r>
    <r>
      <rPr>
        <sz val="12"/>
        <color theme="1"/>
        <rFont val="Calibri"/>
        <family val="2"/>
        <scheme val="minor"/>
      </rPr>
      <t xml:space="preserve"> → melt → </t>
    </r>
    <r>
      <rPr>
        <b/>
        <sz val="12"/>
        <color theme="1"/>
        <rFont val="Calibri"/>
        <family val="2"/>
        <scheme val="minor"/>
      </rPr>
      <t>fundir / derretir</t>
    </r>
  </si>
  <si>
    <r>
      <t xml:space="preserve">faire réduire → </t>
    </r>
    <r>
      <rPr>
        <b/>
        <sz val="12"/>
        <color theme="1"/>
        <rFont val="Calibri"/>
        <family val="2"/>
        <scheme val="minor"/>
      </rPr>
      <t>réduire</t>
    </r>
    <r>
      <rPr>
        <sz val="12"/>
        <color theme="1"/>
        <rFont val="Calibri"/>
        <family val="2"/>
        <scheme val="minor"/>
      </rPr>
      <t xml:space="preserve"> → reduce → </t>
    </r>
    <r>
      <rPr>
        <b/>
        <sz val="12"/>
        <color theme="1"/>
        <rFont val="Calibri"/>
        <family val="2"/>
        <scheme val="minor"/>
      </rPr>
      <t>reducir</t>
    </r>
  </si>
  <si>
    <t>Ébarber</t>
  </si>
  <si>
    <t>trim; pare (edges)</t>
  </si>
  <si>
    <t>recortar; perfilar</t>
  </si>
  <si>
    <t>Retirer bavures/bords (pâtisseries, poissons, ravioles).</t>
  </si>
  <si>
    <t>Trim off excess/rough edges (pastries, fish, ravioli).</t>
  </si>
  <si>
    <t>Recortar rebabas/bordes (pasteles, pescados, raviolis).</t>
  </si>
  <si>
    <r>
      <t xml:space="preserve">faire gratiner → </t>
    </r>
    <r>
      <rPr>
        <b/>
        <sz val="12"/>
        <color theme="1"/>
        <rFont val="Calibri"/>
        <family val="2"/>
        <scheme val="minor"/>
      </rPr>
      <t>gratiner</t>
    </r>
    <r>
      <rPr>
        <sz val="12"/>
        <color theme="1"/>
        <rFont val="Calibri"/>
        <family val="2"/>
        <scheme val="minor"/>
      </rPr>
      <t xml:space="preserve"> → gratinate / brown → </t>
    </r>
    <r>
      <rPr>
        <b/>
        <sz val="12"/>
        <color theme="1"/>
        <rFont val="Calibri"/>
        <family val="2"/>
        <scheme val="minor"/>
      </rPr>
      <t>gratinar</t>
    </r>
  </si>
  <si>
    <t>Ébaucher</t>
  </si>
  <si>
    <t>rough-shape; preform</t>
  </si>
  <si>
    <t>preformar; dar forma previa</t>
  </si>
  <si>
    <t>Mise en forme initiale avant finition.</t>
  </si>
  <si>
    <t>Initial rough shaping before finishing.</t>
  </si>
  <si>
    <t>Forma preliminar antes del acabado.</t>
  </si>
  <si>
    <r>
      <t xml:space="preserve">faire pocher → </t>
    </r>
    <r>
      <rPr>
        <b/>
        <sz val="12"/>
        <color theme="1"/>
        <rFont val="Calibri"/>
        <family val="2"/>
        <scheme val="minor"/>
      </rPr>
      <t>pocher</t>
    </r>
    <r>
      <rPr>
        <sz val="12"/>
        <color theme="1"/>
        <rFont val="Calibri"/>
        <family val="2"/>
        <scheme val="minor"/>
      </rPr>
      <t xml:space="preserve"> → poach → </t>
    </r>
    <r>
      <rPr>
        <b/>
        <sz val="12"/>
        <color theme="1"/>
        <rFont val="Calibri"/>
        <family val="2"/>
        <scheme val="minor"/>
      </rPr>
      <t>escalfar/pochar</t>
    </r>
  </si>
  <si>
    <t>Écailler</t>
  </si>
  <si>
    <t>scale (a fish)</t>
  </si>
  <si>
    <t>desescamar (un pescado)</t>
  </si>
  <si>
    <t>Retirer les écailles.</t>
  </si>
  <si>
    <t>Remove fish scales.</t>
  </si>
  <si>
    <t>Quitar las escamas del pescado.</t>
  </si>
  <si>
    <r>
      <t xml:space="preserve">faire une pré-cuisson → </t>
    </r>
    <r>
      <rPr>
        <b/>
        <sz val="12"/>
        <color theme="1"/>
        <rFont val="Calibri"/>
        <family val="2"/>
        <scheme val="minor"/>
      </rPr>
      <t>précuire</t>
    </r>
    <r>
      <rPr>
        <sz val="12"/>
        <color theme="1"/>
        <rFont val="Calibri"/>
        <family val="2"/>
        <scheme val="minor"/>
      </rPr>
      <t xml:space="preserve"> → par-cook → </t>
    </r>
    <r>
      <rPr>
        <b/>
        <sz val="12"/>
        <color theme="1"/>
        <rFont val="Calibri"/>
        <family val="2"/>
        <scheme val="minor"/>
      </rPr>
      <t>precocer</t>
    </r>
  </si>
  <si>
    <t>Écaler</t>
  </si>
  <si>
    <t>shell (boiled eggs); husk</t>
  </si>
  <si>
    <t>pelar huevos; descascarillar</t>
  </si>
  <si>
    <t>Œufs durs, fruits secs.</t>
  </si>
  <si>
    <t>Shell hard-boiled eggs; shell nuts.</t>
  </si>
  <si>
    <t>Pelar huevos cocidos; descascarillar frutos secos.</t>
  </si>
  <si>
    <r>
      <t xml:space="preserve">faire refroidir → </t>
    </r>
    <r>
      <rPr>
        <b/>
        <sz val="12"/>
        <color theme="1"/>
        <rFont val="Calibri"/>
        <family val="2"/>
        <scheme val="minor"/>
      </rPr>
      <t>refroidir / abattre</t>
    </r>
    <r>
      <rPr>
        <sz val="12"/>
        <color theme="1"/>
        <rFont val="Calibri"/>
        <family val="2"/>
        <scheme val="minor"/>
      </rPr>
      <t xml:space="preserve"> → cool / blast-chill → </t>
    </r>
    <r>
      <rPr>
        <b/>
        <sz val="12"/>
        <color theme="1"/>
        <rFont val="Calibri"/>
        <family val="2"/>
        <scheme val="minor"/>
      </rPr>
      <t>enfriar / abatir</t>
    </r>
  </si>
  <si>
    <t>Échauder</t>
  </si>
  <si>
    <t>scald; blanch briefly</t>
  </si>
  <si>
    <t>escaldar</t>
  </si>
  <si>
    <t>Eau très chaude avant peler/traiter.</t>
  </si>
  <si>
    <t>Scald in very hot water before peeling/processing.</t>
  </si>
  <si>
    <t>Escaldar en agua muy caliente antes de pelar/procesar.</t>
  </si>
  <si>
    <r>
      <t xml:space="preserve">faire réchauffer → </t>
    </r>
    <r>
      <rPr>
        <b/>
        <sz val="12"/>
        <color theme="1"/>
        <rFont val="Calibri"/>
        <family val="2"/>
        <scheme val="minor"/>
      </rPr>
      <t>réchauffer / régénérer</t>
    </r>
    <r>
      <rPr>
        <sz val="12"/>
        <color theme="1"/>
        <rFont val="Calibri"/>
        <family val="2"/>
        <scheme val="minor"/>
      </rPr>
      <t xml:space="preserve"> → reheat / retherm → </t>
    </r>
    <r>
      <rPr>
        <b/>
        <sz val="12"/>
        <color theme="1"/>
        <rFont val="Calibri"/>
        <family val="2"/>
        <scheme val="minor"/>
      </rPr>
      <t>recalentar / regenerar</t>
    </r>
  </si>
  <si>
    <t>Écorcher</t>
  </si>
  <si>
    <t>skin (animal/fish)</t>
  </si>
  <si>
    <r>
      <t xml:space="preserve">desollar; </t>
    </r>
    <r>
      <rPr>
        <b/>
        <sz val="11"/>
        <color theme="1"/>
        <rFont val="Calibri"/>
        <family val="2"/>
        <scheme val="minor"/>
      </rPr>
      <t>quitar la piel</t>
    </r>
  </si>
  <si>
    <t>Dépouiller peau (gibier/poisson).</t>
  </si>
  <si>
    <t>Skin (game/fish); remove hide/skin.</t>
  </si>
  <si>
    <t>Desollar/quitar la piel (caza/pescado).</t>
  </si>
  <si>
    <t>Écosser</t>
  </si>
  <si>
    <t>shell (peas/beans)</t>
  </si>
  <si>
    <r>
      <t xml:space="preserve">desgranar; </t>
    </r>
    <r>
      <rPr>
        <b/>
        <sz val="11"/>
        <color theme="1"/>
        <rFont val="Calibri"/>
        <family val="2"/>
        <scheme val="minor"/>
      </rPr>
      <t>desenvainar</t>
    </r>
  </si>
  <si>
    <t>Sortir des gousses.</t>
  </si>
  <si>
    <t>Shell from pods.</t>
  </si>
  <si>
    <t>Desgranar/sacar de las vainas.</t>
  </si>
  <si>
    <t>Pâtisserie &amp; chocolat</t>
  </si>
  <si>
    <t>Pastry &amp; chocolate</t>
  </si>
  <si>
    <t>Pastelería y chocolate</t>
  </si>
  <si>
    <t>Écumer</t>
  </si>
  <si>
    <t>skim (foam/scum)</t>
  </si>
  <si>
    <t>desespumar</t>
  </si>
  <si>
    <t>En ébullition/réduction.</t>
  </si>
  <si>
    <t>Skim while boiling/reducing.</t>
  </si>
  <si>
    <t>Desespumar durante ebullición/reducción.</t>
  </si>
  <si>
    <t>remove sinews / shred into fine strips</t>
  </si>
  <si>
    <t>quitar fibras; deshilachar fino</t>
  </si>
  <si>
    <t>Viandes/abats/volaille (syn. « défilander »).</t>
  </si>
  <si>
    <t>Remove fibers/sinews; cut into fine shreds (meats/offal/poultry).</t>
  </si>
  <si>
    <t>Quitar fibras/nervios; deshilachar fino (carnes/menudencias/aves).</t>
  </si>
  <si>
    <r>
      <t xml:space="preserve">faire un glaçage → </t>
    </r>
    <r>
      <rPr>
        <b/>
        <sz val="12"/>
        <color theme="1"/>
        <rFont val="Calibri"/>
        <family val="2"/>
        <scheme val="minor"/>
      </rPr>
      <t>glacer / préparer un glaçage</t>
    </r>
    <r>
      <rPr>
        <sz val="12"/>
        <color theme="1"/>
        <rFont val="Calibri"/>
        <family val="2"/>
        <scheme val="minor"/>
      </rPr>
      <t xml:space="preserve"> → glaze / make a glaze → </t>
    </r>
    <r>
      <rPr>
        <b/>
        <sz val="12"/>
        <color theme="1"/>
        <rFont val="Calibri"/>
        <family val="2"/>
        <scheme val="minor"/>
      </rPr>
      <t>glasear / preparar un glaseado</t>
    </r>
  </si>
  <si>
    <t>slice thin; flake; sliver</t>
  </si>
  <si>
    <t>laminar fino; filetear</t>
  </si>
  <si>
    <t>Amandes effilées, oignons en fines lamelles.</t>
  </si>
  <si>
    <t>Slice into slivers (almonds); slice very thin (onions).</t>
  </si>
  <si>
    <t>Laminar en láminas finas (almendras); cortar muy fino (cebollas).</t>
  </si>
  <si>
    <r>
      <t xml:space="preserve">faire un praliné → </t>
    </r>
    <r>
      <rPr>
        <b/>
        <sz val="12"/>
        <color theme="1"/>
        <rFont val="Calibri"/>
        <family val="2"/>
        <scheme val="minor"/>
      </rPr>
      <t>praliner / préparer du praliné</t>
    </r>
    <r>
      <rPr>
        <sz val="12"/>
        <color theme="1"/>
        <rFont val="Calibri"/>
        <family val="2"/>
        <scheme val="minor"/>
      </rPr>
      <t xml:space="preserve"> → make praliné → </t>
    </r>
    <r>
      <rPr>
        <b/>
        <sz val="12"/>
        <color theme="1"/>
        <rFont val="Calibri"/>
        <family val="2"/>
        <scheme val="minor"/>
      </rPr>
      <t>hacer praliné</t>
    </r>
  </si>
  <si>
    <t>Égermer (dégermage)</t>
  </si>
  <si>
    <t>de-germ (garlic); remove sprouts</t>
  </si>
  <si>
    <r>
      <t>desgerminar</t>
    </r>
    <r>
      <rPr>
        <sz val="11"/>
        <color theme="1"/>
        <rFont val="Calibri"/>
        <family val="2"/>
        <scheme val="minor"/>
      </rPr>
      <t>; quitar brotes</t>
    </r>
  </si>
  <si>
    <t>Ail (germen), pommes de terre germées.</t>
  </si>
  <si>
    <t>Remove the germ from garlic; sprouts from potatoes.</t>
  </si>
  <si>
    <t>Desgerminar el ajo; quitar brotes de patatas.</t>
  </si>
  <si>
    <r>
      <t xml:space="preserve">faire une ganache → </t>
    </r>
    <r>
      <rPr>
        <b/>
        <sz val="12"/>
        <color theme="1"/>
        <rFont val="Calibri"/>
        <family val="2"/>
        <scheme val="minor"/>
      </rPr>
      <t>préparer une ganache</t>
    </r>
    <r>
      <rPr>
        <sz val="12"/>
        <color theme="1"/>
        <rFont val="Calibri"/>
        <family val="2"/>
        <scheme val="minor"/>
      </rPr>
      <t xml:space="preserve"> → make ganache → </t>
    </r>
    <r>
      <rPr>
        <b/>
        <sz val="12"/>
        <color theme="1"/>
        <rFont val="Calibri"/>
        <family val="2"/>
        <scheme val="minor"/>
      </rPr>
      <t>preparar una ganache</t>
    </r>
  </si>
  <si>
    <t>Égouttage</t>
  </si>
  <si>
    <t>draining (step)</t>
  </si>
  <si>
    <t>escurrido</t>
  </si>
  <si>
    <t>Nom d’étape (fromages, fritures, légumes).</t>
  </si>
  <si>
    <t>Draining step (cheese, fried items, vegetables).</t>
  </si>
  <si>
    <t>Etapa de escurrido (quesos, fritos, verduras).</t>
  </si>
  <si>
    <r>
      <t xml:space="preserve">faire une crème montée → </t>
    </r>
    <r>
      <rPr>
        <b/>
        <sz val="12"/>
        <color theme="1"/>
        <rFont val="Calibri"/>
        <family val="2"/>
        <scheme val="minor"/>
      </rPr>
      <t>monter la crème</t>
    </r>
    <r>
      <rPr>
        <sz val="12"/>
        <color theme="1"/>
        <rFont val="Calibri"/>
        <family val="2"/>
        <scheme val="minor"/>
      </rPr>
      <t xml:space="preserve"> → whip the cream → </t>
    </r>
    <r>
      <rPr>
        <b/>
        <sz val="12"/>
        <color theme="1"/>
        <rFont val="Calibri"/>
        <family val="2"/>
        <scheme val="minor"/>
      </rPr>
      <t>montar la nata</t>
    </r>
  </si>
  <si>
    <t>Égoutter</t>
  </si>
  <si>
    <t>Drain</t>
  </si>
  <si>
    <t>Escurrir</t>
  </si>
  <si>
    <t>Laisser s’écouler sans presser pour garder texture.</t>
  </si>
  <si>
    <t>Drain without pressing to keep texture.</t>
  </si>
  <si>
    <t>Escurrir sin presionar para conservar textura.</t>
  </si>
  <si>
    <r>
      <t xml:space="preserve">faire prendre au froid → </t>
    </r>
    <r>
      <rPr>
        <b/>
        <sz val="12"/>
        <color theme="1"/>
        <rFont val="Calibri"/>
        <family val="2"/>
        <scheme val="minor"/>
      </rPr>
      <t>faire gélifier / laisser prendre</t>
    </r>
    <r>
      <rPr>
        <sz val="12"/>
        <color theme="1"/>
        <rFont val="Calibri"/>
        <family val="2"/>
        <scheme val="minor"/>
      </rPr>
      <t xml:space="preserve"> → set / gel → </t>
    </r>
    <r>
      <rPr>
        <b/>
        <sz val="12"/>
        <color theme="1"/>
        <rFont val="Calibri"/>
        <family val="2"/>
        <scheme val="minor"/>
      </rPr>
      <t>cuajar / gelificar</t>
    </r>
  </si>
  <si>
    <t>Égrapper</t>
  </si>
  <si>
    <t>destem (grapes)</t>
  </si>
  <si>
    <t>despalillar</t>
  </si>
  <si>
    <t>Œnologie/raisins de table.</t>
  </si>
  <si>
    <t>Destemming in oenology/table grapes.</t>
  </si>
  <si>
    <t>Despalillado en enología/uvas de mesa.</t>
  </si>
  <si>
    <r>
      <t xml:space="preserve">faire le tempérage → </t>
    </r>
    <r>
      <rPr>
        <b/>
        <sz val="12"/>
        <color theme="1"/>
        <rFont val="Calibri"/>
        <family val="2"/>
        <scheme val="minor"/>
      </rPr>
      <t>tempérer (le chocolat)</t>
    </r>
    <r>
      <rPr>
        <sz val="12"/>
        <color theme="1"/>
        <rFont val="Calibri"/>
        <family val="2"/>
        <scheme val="minor"/>
      </rPr>
      <t xml:space="preserve"> → temper chocolate → </t>
    </r>
    <r>
      <rPr>
        <b/>
        <sz val="12"/>
        <color theme="1"/>
        <rFont val="Calibri"/>
        <family val="2"/>
        <scheme val="minor"/>
      </rPr>
      <t>atemperar el chocolate</t>
    </r>
  </si>
  <si>
    <t>Égrener</t>
  </si>
  <si>
    <t>seed; shell kernels (corn)</t>
  </si>
  <si>
    <t>desgranear; desgranar</t>
  </si>
  <si>
    <t>Maïs, grenade, petits pois.</t>
  </si>
  <si>
    <t>Remove kernels/seeds (corn, pomegranate, peas).</t>
  </si>
  <si>
    <t>Desgranar/retirar granos/semillas (maíz, granada, guisantes).</t>
  </si>
  <si>
    <t>Émincer</t>
  </si>
  <si>
    <t>slice thin</t>
  </si>
  <si>
    <r>
      <t>laminar fino</t>
    </r>
    <r>
      <rPr>
        <sz val="11"/>
        <color theme="1"/>
        <rFont val="Calibri"/>
        <family val="2"/>
        <scheme val="minor"/>
      </rPr>
      <t>; cortar en plumas</t>
    </r>
  </si>
  <si>
    <t>Échalote/oignon/viande.</t>
  </si>
  <si>
    <t>Slice very thin (shallot/onion/meat).</t>
  </si>
  <si>
    <t>Cortar muy fino (chalota/cebolla/carne).</t>
  </si>
  <si>
    <t>Assaisonnement &amp; finition</t>
  </si>
  <si>
    <t>Seasoning &amp; finishing</t>
  </si>
  <si>
    <t>Sazonado y terminación</t>
  </si>
  <si>
    <t>Émonder</t>
  </si>
  <si>
    <t>blanch and peel; skin</t>
  </si>
  <si>
    <r>
      <t>escaldar y pelar</t>
    </r>
    <r>
      <rPr>
        <sz val="11"/>
        <color theme="1"/>
        <rFont val="Calibri"/>
        <family val="2"/>
        <scheme val="minor"/>
      </rPr>
      <t>; mondar</t>
    </r>
  </si>
  <si>
    <t>Tomates, amandes.</t>
  </si>
  <si>
    <t>Blanch then peel (tomatoes/almonds).</t>
  </si>
  <si>
    <t>Escaldar y luego pelar (tomates/almendras).</t>
  </si>
  <si>
    <t>fill</t>
  </si>
  <si>
    <t>llenar</t>
  </si>
  <si>
    <t>Remplir contenants (barquettes, bacs, moules).</t>
  </si>
  <si>
    <t>Fill containers (trays, bins, molds).</t>
  </si>
  <si>
    <t>Llenar recipientes (barquetas, cubetas, moldes).</t>
  </si>
  <si>
    <r>
      <t xml:space="preserve">faire l’assaisonnement → </t>
    </r>
    <r>
      <rPr>
        <b/>
        <sz val="12"/>
        <color theme="1"/>
        <rFont val="Calibri"/>
        <family val="2"/>
        <scheme val="minor"/>
      </rPr>
      <t>assaisonner / rectifier</t>
    </r>
    <r>
      <rPr>
        <sz val="12"/>
        <color theme="1"/>
        <rFont val="Calibri"/>
        <family val="2"/>
        <scheme val="minor"/>
      </rPr>
      <t xml:space="preserve"> → season / adjust → </t>
    </r>
    <r>
      <rPr>
        <b/>
        <sz val="12"/>
        <color theme="1"/>
        <rFont val="Calibri"/>
        <family val="2"/>
        <scheme val="minor"/>
      </rPr>
      <t>sazonar / rectificar</t>
    </r>
  </si>
  <si>
    <t>emulsify</t>
  </si>
  <si>
    <t>emulsionar</t>
  </si>
  <si>
    <t>Stabiliser eau+gras (vinaigrette, mayo).</t>
  </si>
  <si>
    <t>Emulsify water + fat (vinaigrette, mayonnaise).</t>
  </si>
  <si>
    <t>Emulsionar agua + grasa (vinagreta, mayonesa).</t>
  </si>
  <si>
    <r>
      <t xml:space="preserve">faire un nappage → </t>
    </r>
    <r>
      <rPr>
        <b/>
        <sz val="12"/>
        <color theme="1"/>
        <rFont val="Calibri"/>
        <family val="2"/>
        <scheme val="minor"/>
      </rPr>
      <t>napper</t>
    </r>
    <r>
      <rPr>
        <sz val="12"/>
        <color theme="1"/>
        <rFont val="Calibri"/>
        <family val="2"/>
        <scheme val="minor"/>
      </rPr>
      <t xml:space="preserve"> → coat / nap → </t>
    </r>
    <r>
      <rPr>
        <b/>
        <sz val="12"/>
        <color theme="1"/>
        <rFont val="Calibri"/>
        <family val="2"/>
        <scheme val="minor"/>
      </rPr>
      <t>napar / cubrir</t>
    </r>
  </si>
  <si>
    <t>Bake (put in oven)</t>
  </si>
  <si>
    <t>Hornear</t>
  </si>
  <si>
    <t>Four préchauffé; charger vite pour stabilité T°.</t>
  </si>
  <si>
    <t>Preheated oven; load quickly to keep temp.</t>
  </si>
  <si>
    <t>Horno precalentado; cargar rápido para mantener T°.</t>
  </si>
  <si>
    <r>
      <t xml:space="preserve">faire briller → </t>
    </r>
    <r>
      <rPr>
        <b/>
        <sz val="12"/>
        <color theme="1"/>
        <rFont val="Calibri"/>
        <family val="2"/>
        <scheme val="minor"/>
      </rPr>
      <t>lustrer / abrillanter</t>
    </r>
    <r>
      <rPr>
        <sz val="12"/>
        <color theme="1"/>
        <rFont val="Calibri"/>
        <family val="2"/>
        <scheme val="minor"/>
      </rPr>
      <t xml:space="preserve"> → glaze for shine → </t>
    </r>
    <r>
      <rPr>
        <b/>
        <sz val="12"/>
        <color theme="1"/>
        <rFont val="Calibri"/>
        <family val="2"/>
        <scheme val="minor"/>
      </rPr>
      <t>abrillantar</t>
    </r>
  </si>
  <si>
    <t>coat; enrobe</t>
  </si>
  <si>
    <r>
      <t>bañar</t>
    </r>
    <r>
      <rPr>
        <sz val="11"/>
        <color theme="1"/>
        <rFont val="Calibri"/>
        <family val="2"/>
        <scheme val="minor"/>
      </rPr>
      <t>; recubrir</t>
    </r>
  </si>
  <si>
    <t>Chocolat, panure, nappage.</t>
  </si>
  <si>
    <t>Coat in chocolate/breading/glaze.</t>
  </si>
  <si>
    <t>Recubrir en chocolate/empanado/nappage.</t>
  </si>
  <si>
    <r>
      <t xml:space="preserve">faire un décor → </t>
    </r>
    <r>
      <rPr>
        <b/>
        <sz val="12"/>
        <color theme="1"/>
        <rFont val="Calibri"/>
        <family val="2"/>
        <scheme val="minor"/>
      </rPr>
      <t>décorer / chiqueter / rayer / quadriller</t>
    </r>
    <r>
      <rPr>
        <sz val="12"/>
        <color theme="1"/>
        <rFont val="Calibri"/>
        <family val="2"/>
        <scheme val="minor"/>
      </rPr>
      <t xml:space="preserve"> → decorate / crimp / score → </t>
    </r>
    <r>
      <rPr>
        <b/>
        <sz val="12"/>
        <color theme="1"/>
        <rFont val="Calibri"/>
        <family val="2"/>
        <scheme val="minor"/>
      </rPr>
      <t>decorar / festonear / rayar</t>
    </r>
  </si>
  <si>
    <t>Épluchage</t>
  </si>
  <si>
    <t>peeling (process)</t>
  </si>
  <si>
    <t>pelado</t>
  </si>
  <si>
    <t>Nom d’atelier/opération.</t>
  </si>
  <si>
    <t>Name of workshop/operation (stage).</t>
  </si>
  <si>
    <t>Nombre de taller/operación (etapa).</t>
  </si>
  <si>
    <t>Éplucher</t>
  </si>
  <si>
    <t>peel; trim</t>
  </si>
  <si>
    <t>pelar; mondar</t>
  </si>
  <si>
    <t>Légumes/fruits ; « parer » pour viandes/poissons.</t>
  </si>
  <si>
    <t>Peel/trim vegetables or fruit; use “trim/pare” for meats/fish.</t>
  </si>
  <si>
    <r>
      <t xml:space="preserve">Pelar/limpiar verduras o fruta; para carnes/pescados, </t>
    </r>
    <r>
      <rPr>
        <b/>
        <sz val="11"/>
        <color theme="1"/>
        <rFont val="Calibri"/>
        <family val="2"/>
        <scheme val="minor"/>
      </rPr>
      <t>parear/recortar</t>
    </r>
    <r>
      <rPr>
        <sz val="11"/>
        <color theme="1"/>
        <rFont val="Calibri"/>
        <family val="2"/>
        <scheme val="minor"/>
      </rPr>
      <t>.</t>
    </r>
  </si>
  <si>
    <t>Hygiène, HACCP &amp; qualité</t>
  </si>
  <si>
    <t>Hygiene, HACCP &amp; quality</t>
  </si>
  <si>
    <t>Higiene, APPCC (HACCP) y calidad</t>
  </si>
  <si>
    <t>Équeuter</t>
  </si>
  <si>
    <t>destem; hull (strawberries)</t>
  </si>
  <si>
    <r>
      <t>desrabiar</t>
    </r>
    <r>
      <rPr>
        <sz val="11"/>
        <color theme="1"/>
        <rFont val="Calibri"/>
        <family val="2"/>
        <scheme val="minor"/>
      </rPr>
      <t>/</t>
    </r>
    <r>
      <rPr>
        <b/>
        <sz val="11"/>
        <color theme="1"/>
        <rFont val="Calibri"/>
        <family val="2"/>
        <scheme val="minor"/>
      </rPr>
      <t>quitar el rabo</t>
    </r>
    <r>
      <rPr>
        <sz val="11"/>
        <color theme="1"/>
        <rFont val="Calibri"/>
        <family val="2"/>
        <scheme val="minor"/>
      </rPr>
      <t xml:space="preserve">; </t>
    </r>
    <r>
      <rPr>
        <b/>
        <sz val="11"/>
        <color theme="1"/>
        <rFont val="Calibri"/>
        <family val="2"/>
        <scheme val="minor"/>
      </rPr>
      <t>deshojar</t>
    </r>
    <r>
      <rPr>
        <sz val="11"/>
        <color theme="1"/>
        <rFont val="Calibri"/>
        <family val="2"/>
        <scheme val="minor"/>
      </rPr>
      <t xml:space="preserve"> (fresa)</t>
    </r>
  </si>
  <si>
    <t>Haricots/fraises.</t>
  </si>
  <si>
    <t>Destem green beans; hull/de-stem strawberries.</t>
  </si>
  <si>
    <r>
      <t xml:space="preserve">Quitar el rabo a las judías; </t>
    </r>
    <r>
      <rPr>
        <b/>
        <sz val="11"/>
        <color theme="1"/>
        <rFont val="Calibri"/>
        <family val="2"/>
        <scheme val="minor"/>
      </rPr>
      <t>deshojar/ quitar el pedúnculo</t>
    </r>
    <r>
      <rPr>
        <sz val="11"/>
        <color theme="1"/>
        <rFont val="Calibri"/>
        <family val="2"/>
        <scheme val="minor"/>
      </rPr>
      <t xml:space="preserve"> a las fresas.</t>
    </r>
  </si>
  <si>
    <t>cut into thin scallops; slice on the bias</t>
  </si>
  <si>
    <t>filetear fino; cortar en escalopes</t>
  </si>
  <si>
    <t>Volaille/veau/poisson en « escalopes ».</t>
  </si>
  <si>
    <t>Cut poultry/veal/fish into thin scallops/escalopes (on the bias).</t>
  </si>
  <si>
    <t>Cortar ave/ternera/pescado en escalopes finos (al sesgo).</t>
  </si>
  <si>
    <t>faire le ménage → nettoyer → clean → limpiar — ES(ES/MX/AR): limpiar</t>
  </si>
  <si>
    <t>Étaler</t>
  </si>
  <si>
    <t>spread; roll out (dough)</t>
  </si>
  <si>
    <r>
      <t>extender</t>
    </r>
    <r>
      <rPr>
        <sz val="11"/>
        <color theme="1"/>
        <rFont val="Calibri"/>
        <family val="2"/>
        <scheme val="minor"/>
      </rPr>
      <t>; estirar (masa)</t>
    </r>
  </si>
  <si>
    <t>Pâtes, crèmes, appareils.</t>
  </si>
  <si>
    <t>Spread/roll out doughs; spread creams/batters.</t>
  </si>
  <si>
    <t>Estirar/extend­er masas; extender cremas/aparatos.</t>
  </si>
  <si>
    <t>faire la désinfection → désinfecter / assainir → disinfect / sanitize → desinfectar / sanear — ES(ES): desinfectar / sanear · ES(MX): desinfectar / sanitizar · ES(AR): desinfectar / sanitizar</t>
  </si>
  <si>
    <t>étiquetage collec.</t>
  </si>
  <si>
    <t>collective/batch labeling</t>
  </si>
  <si>
    <t>etiquetado colectivo</t>
  </si>
  <si>
    <t>Pour plateaux/batchs.</t>
  </si>
  <si>
    <t>For trays/batches (collective labeling).</t>
  </si>
  <si>
    <t>Para bandejas/lotes (etiquetado colectivo).</t>
  </si>
  <si>
    <t>faire un contrôle → contrôler / vérifier → check / inspect → controlar / verificar — ES(ES): controlar / comprobar · ES(MX): controlar / verificar · ES(AR): controlar / verificar (chequear)</t>
  </si>
  <si>
    <t>étiquetage ind.</t>
  </si>
  <si>
    <t>individual labeling</t>
  </si>
  <si>
    <t>etiquetado individual</t>
  </si>
  <si>
    <t>Portion unitaire.</t>
  </si>
  <si>
    <t>Individual/unit portion labeling.</t>
  </si>
  <si>
    <t>Etiquetado unitario/por ración.</t>
  </si>
  <si>
    <t>faire une prise de température → sonder / relever la température → probe / take temperature → sondear / medir la temperatura — ES(ES): sondear / medir la temperatura · ES(MX): medir la temperatura (con sonda) · ES(AR): medir la temperatura (con sonda)</t>
  </si>
  <si>
    <t>Étiqueter</t>
  </si>
  <si>
    <t>label</t>
  </si>
  <si>
    <t>etiquetar</t>
  </si>
  <si>
    <t>Apposer étiquette (DLC/lot/traçabilité).</t>
  </si>
  <si>
    <t>Apply label (use-by/lot/traceability).</t>
  </si>
  <si>
    <t>Colocar etiqueta (caducidad/lote/trazabilidad).</t>
  </si>
  <si>
    <t>faire l’enregistrement → enregistrer / consigner → record / log → registrar / consignar — ES(ES): registrar / anotar · ES(MX): registrar / asentar (en bitácora) · ES(AR): registrar / asentar</t>
  </si>
  <si>
    <t>Étoffer</t>
  </si>
  <si>
    <t>thicken/enrich; bulk up</t>
  </si>
  <si>
    <t>espesar/robustecer</t>
  </si>
  <si>
    <t>Garnitures, farces, fiches techniques.</t>
  </si>
  <si>
    <t>Enrich/thicken a prep; also flesh out garnishes, fillings, spec sheets.</t>
  </si>
  <si>
    <r>
      <t xml:space="preserve">Espesar/enriquecer una preparación; también </t>
    </r>
    <r>
      <rPr>
        <b/>
        <sz val="11"/>
        <color theme="1"/>
        <rFont val="Calibri"/>
        <family val="2"/>
        <scheme val="minor"/>
      </rPr>
      <t>desarrollar</t>
    </r>
    <r>
      <rPr>
        <sz val="11"/>
        <color theme="1"/>
        <rFont val="Calibri"/>
        <family val="2"/>
        <scheme val="minor"/>
      </rPr>
      <t xml:space="preserve"> guarniciones, farsas y fichas técnicas.</t>
    </r>
  </si>
  <si>
    <t>faire un audit → auditer → audit → auditar — ES(ES/MX/AR): auditar</t>
  </si>
  <si>
    <t>Étouffer (cuire à l’étouffée)</t>
  </si>
  <si>
    <t>smother-cook; cook covered</t>
  </si>
  <si>
    <t>cocer al estofado tapado</t>
  </si>
  <si>
    <t>Peu de liquide, couvercle.</t>
  </si>
  <si>
    <t>Cook covered with little liquid (smother-cook).</t>
  </si>
  <si>
    <t>Cocer tapado con poco líquido.</t>
  </si>
  <si>
    <t>Étuver</t>
  </si>
  <si>
    <t>sweat/steam gently; proof (dough)</t>
  </si>
  <si>
    <r>
      <t>rehogar suave/estufar</t>
    </r>
    <r>
      <rPr>
        <sz val="11"/>
        <color theme="1"/>
        <rFont val="Calibri"/>
        <family val="2"/>
        <scheme val="minor"/>
      </rPr>
      <t xml:space="preserve">; </t>
    </r>
    <r>
      <rPr>
        <b/>
        <sz val="11"/>
        <color theme="1"/>
        <rFont val="Calibri"/>
        <family val="2"/>
        <scheme val="minor"/>
      </rPr>
      <t>fermentar</t>
    </r>
    <r>
      <rPr>
        <sz val="11"/>
        <color theme="1"/>
        <rFont val="Calibri"/>
        <family val="2"/>
        <scheme val="minor"/>
      </rPr>
      <t xml:space="preserve"> (masa)</t>
    </r>
  </si>
  <si>
    <t>Cuisson douce, couvercle; sans coloration.</t>
  </si>
  <si>
    <t>Gentle, covered; no browning.</t>
  </si>
  <si>
    <t>Cocción suave, tapado; sin dorar.</t>
  </si>
  <si>
    <t>Logistique, conditionnement, étiquetage</t>
  </si>
  <si>
    <t>Logistics, packaging, labeling</t>
  </si>
  <si>
    <t>Logística, envasado, etiquetado</t>
  </si>
  <si>
    <t>Évider</t>
  </si>
  <si>
    <t>hollow out; core</t>
  </si>
  <si>
    <t>vaciar; descorazonar</t>
  </si>
  <si>
    <t>Courgettes, pommes, pains.</t>
  </si>
  <si>
    <t>Hollow out zucchinis, apples, breads.</t>
  </si>
  <si>
    <t>Ahuecar calabacines, manzanas, panes.</t>
  </si>
  <si>
    <t>express; press out (juice)</t>
  </si>
  <si>
    <t>exprimir</t>
  </si>
  <si>
    <t>Exprimer un citron, le beurre noisette, etc.</t>
  </si>
  <si>
    <t>Squeeze/press a lemon; press out clarified brown butter, etc.</t>
  </si>
  <si>
    <t>Exprimir un limón; extraer mantequilla avellana clarificada, etc.</t>
  </si>
  <si>
    <r>
      <t xml:space="preserve">faire l’étiquetage → étiqueter → label → etiquetar — </t>
    </r>
    <r>
      <rPr>
        <b/>
        <sz val="12"/>
        <color theme="1"/>
        <rFont val="Calibri"/>
        <family val="2"/>
        <scheme val="minor"/>
      </rPr>
      <t>ES(ES):</t>
    </r>
    <r>
      <rPr>
        <sz val="12"/>
        <color theme="1"/>
        <rFont val="Calibri"/>
        <family val="2"/>
        <scheme val="minor"/>
      </rPr>
      <t xml:space="preserve"> etiquetar / </t>
    </r>
    <r>
      <rPr>
        <b/>
        <sz val="12"/>
        <color theme="1"/>
        <rFont val="Calibri"/>
        <family val="2"/>
        <scheme val="minor"/>
      </rPr>
      <t>rotular</t>
    </r>
    <r>
      <rPr>
        <sz val="12"/>
        <color theme="1"/>
        <rFont val="Calibri"/>
        <family val="2"/>
        <scheme val="minor"/>
      </rPr>
      <t xml:space="preserve"> · </t>
    </r>
    <r>
      <rPr>
        <b/>
        <sz val="12"/>
        <color theme="1"/>
        <rFont val="Calibri"/>
        <family val="2"/>
        <scheme val="minor"/>
      </rPr>
      <t>ES(MX):</t>
    </r>
    <r>
      <rPr>
        <sz val="12"/>
        <color theme="1"/>
        <rFont val="Calibri"/>
        <family val="2"/>
        <scheme val="minor"/>
      </rPr>
      <t xml:space="preserve"> etiquetar · </t>
    </r>
    <r>
      <rPr>
        <b/>
        <sz val="12"/>
        <color theme="1"/>
        <rFont val="Calibri"/>
        <family val="2"/>
        <scheme val="minor"/>
      </rPr>
      <t>ES(AR):</t>
    </r>
    <r>
      <rPr>
        <sz val="12"/>
        <color theme="1"/>
        <rFont val="Calibri"/>
        <family val="2"/>
        <scheme val="minor"/>
      </rPr>
      <t xml:space="preserve"> etiquetar</t>
    </r>
  </si>
  <si>
    <t>extract; pull out</t>
  </si>
  <si>
    <r>
      <t>extraer</t>
    </r>
    <r>
      <rPr>
        <sz val="11"/>
        <color theme="1"/>
        <rFont val="Calibri"/>
        <family val="2"/>
        <scheme val="minor"/>
      </rPr>
      <t>; sacar</t>
    </r>
  </si>
  <si>
    <t>Extraire données/jus/échantillon d’un lot.</t>
  </si>
  <si>
    <t>Extract data/juice/a sample from a batch.</t>
  </si>
  <si>
    <t>Extraer datos/jugo/una muestra de un lote.</t>
  </si>
  <si>
    <r>
      <t xml:space="preserve">faire l’operculage → operculer / sceller → seal / lid → termosellar / sellar — </t>
    </r>
    <r>
      <rPr>
        <b/>
        <sz val="12"/>
        <color theme="1"/>
        <rFont val="Calibri"/>
        <family val="2"/>
        <scheme val="minor"/>
      </rPr>
      <t>ES(ES):</t>
    </r>
    <r>
      <rPr>
        <sz val="12"/>
        <color theme="1"/>
        <rFont val="Calibri"/>
        <family val="2"/>
        <scheme val="minor"/>
      </rPr>
      <t xml:space="preserve"> </t>
    </r>
    <r>
      <rPr>
        <b/>
        <sz val="12"/>
        <color theme="1"/>
        <rFont val="Calibri"/>
        <family val="2"/>
        <scheme val="minor"/>
      </rPr>
      <t>termosellar</t>
    </r>
    <r>
      <rPr>
        <sz val="12"/>
        <color theme="1"/>
        <rFont val="Calibri"/>
        <family val="2"/>
        <scheme val="minor"/>
      </rPr>
      <t xml:space="preserve"> / sellar con </t>
    </r>
    <r>
      <rPr>
        <b/>
        <sz val="12"/>
        <color theme="1"/>
        <rFont val="Calibri"/>
        <family val="2"/>
        <scheme val="minor"/>
      </rPr>
      <t>opérculo</t>
    </r>
    <r>
      <rPr>
        <sz val="12"/>
        <color theme="1"/>
        <rFont val="Calibri"/>
        <family val="2"/>
        <scheme val="minor"/>
      </rPr>
      <t xml:space="preserve"> · </t>
    </r>
    <r>
      <rPr>
        <b/>
        <sz val="12"/>
        <color theme="1"/>
        <rFont val="Calibri"/>
        <family val="2"/>
        <scheme val="minor"/>
      </rPr>
      <t>ES(MX):</t>
    </r>
    <r>
      <rPr>
        <sz val="12"/>
        <color theme="1"/>
        <rFont val="Calibri"/>
        <family val="2"/>
        <scheme val="minor"/>
      </rPr>
      <t xml:space="preserve"> </t>
    </r>
    <r>
      <rPr>
        <b/>
        <sz val="12"/>
        <color theme="1"/>
        <rFont val="Calibri"/>
        <family val="2"/>
        <scheme val="minor"/>
      </rPr>
      <t>termosellar</t>
    </r>
    <r>
      <rPr>
        <sz val="12"/>
        <color theme="1"/>
        <rFont val="Calibri"/>
        <family val="2"/>
        <scheme val="minor"/>
      </rPr>
      <t xml:space="preserve"> / sellar con </t>
    </r>
    <r>
      <rPr>
        <b/>
        <sz val="12"/>
        <color theme="1"/>
        <rFont val="Calibri"/>
        <family val="2"/>
        <scheme val="minor"/>
      </rPr>
      <t>tapa</t>
    </r>
    <r>
      <rPr>
        <sz val="12"/>
        <color theme="1"/>
        <rFont val="Calibri"/>
        <family val="2"/>
        <scheme val="minor"/>
      </rPr>
      <t xml:space="preserve"> · </t>
    </r>
    <r>
      <rPr>
        <b/>
        <sz val="12"/>
        <color theme="1"/>
        <rFont val="Calibri"/>
        <family val="2"/>
        <scheme val="minor"/>
      </rPr>
      <t>ES(AR):</t>
    </r>
    <r>
      <rPr>
        <sz val="12"/>
        <color theme="1"/>
        <rFont val="Calibri"/>
        <family val="2"/>
        <scheme val="minor"/>
      </rPr>
      <t xml:space="preserve"> </t>
    </r>
    <r>
      <rPr>
        <b/>
        <sz val="12"/>
        <color theme="1"/>
        <rFont val="Calibri"/>
        <family val="2"/>
        <scheme val="minor"/>
      </rPr>
      <t>termosellar</t>
    </r>
    <r>
      <rPr>
        <sz val="12"/>
        <color theme="1"/>
        <rFont val="Calibri"/>
        <family val="2"/>
        <scheme val="minor"/>
      </rPr>
      <t xml:space="preserve"> / sellar con </t>
    </r>
    <r>
      <rPr>
        <b/>
        <sz val="12"/>
        <color theme="1"/>
        <rFont val="Calibri"/>
        <family val="2"/>
        <scheme val="minor"/>
      </rPr>
      <t>opérculo</t>
    </r>
  </si>
  <si>
    <r>
      <t xml:space="preserve">faire le filmage → filmer → wrap → envolver con film — </t>
    </r>
    <r>
      <rPr>
        <b/>
        <sz val="12"/>
        <color theme="1"/>
        <rFont val="Calibri"/>
        <family val="2"/>
        <scheme val="minor"/>
      </rPr>
      <t>ES(ES):</t>
    </r>
    <r>
      <rPr>
        <sz val="12"/>
        <color theme="1"/>
        <rFont val="Calibri"/>
        <family val="2"/>
        <scheme val="minor"/>
      </rPr>
      <t xml:space="preserve"> envolver con film (</t>
    </r>
    <r>
      <rPr>
        <b/>
        <sz val="12"/>
        <color theme="1"/>
        <rFont val="Calibri"/>
        <family val="2"/>
        <scheme val="minor"/>
      </rPr>
      <t>film transparente</t>
    </r>
    <r>
      <rPr>
        <sz val="12"/>
        <color theme="1"/>
        <rFont val="Calibri"/>
        <family val="2"/>
        <scheme val="minor"/>
      </rPr>
      <t xml:space="preserve">) · </t>
    </r>
    <r>
      <rPr>
        <b/>
        <sz val="12"/>
        <color theme="1"/>
        <rFont val="Calibri"/>
        <family val="2"/>
        <scheme val="minor"/>
      </rPr>
      <t>ES(MX):</t>
    </r>
    <r>
      <rPr>
        <sz val="12"/>
        <color theme="1"/>
        <rFont val="Calibri"/>
        <family val="2"/>
        <scheme val="minor"/>
      </rPr>
      <t xml:space="preserve"> envolver con </t>
    </r>
    <r>
      <rPr>
        <b/>
        <sz val="12"/>
        <color theme="1"/>
        <rFont val="Calibri"/>
        <family val="2"/>
        <scheme val="minor"/>
      </rPr>
      <t>plástico adherente</t>
    </r>
    <r>
      <rPr>
        <sz val="12"/>
        <color theme="1"/>
        <rFont val="Calibri"/>
        <family val="2"/>
        <scheme val="minor"/>
      </rPr>
      <t xml:space="preserve"> · </t>
    </r>
    <r>
      <rPr>
        <b/>
        <sz val="12"/>
        <color theme="1"/>
        <rFont val="Calibri"/>
        <family val="2"/>
        <scheme val="minor"/>
      </rPr>
      <t>ES(AR):</t>
    </r>
    <r>
      <rPr>
        <sz val="12"/>
        <color theme="1"/>
        <rFont val="Calibri"/>
        <family val="2"/>
        <scheme val="minor"/>
      </rPr>
      <t xml:space="preserve"> envolver con </t>
    </r>
    <r>
      <rPr>
        <b/>
        <sz val="12"/>
        <color theme="1"/>
        <rFont val="Calibri"/>
        <family val="2"/>
        <scheme val="minor"/>
      </rPr>
      <t>film</t>
    </r>
  </si>
  <si>
    <r>
      <t xml:space="preserve">faire le conditionnement → conditionner / emballer → package → envasar / empaquetar — </t>
    </r>
    <r>
      <rPr>
        <b/>
        <sz val="12"/>
        <color theme="1"/>
        <rFont val="Calibri"/>
        <family val="2"/>
        <scheme val="minor"/>
      </rPr>
      <t>ES(ES):</t>
    </r>
    <r>
      <rPr>
        <sz val="12"/>
        <color theme="1"/>
        <rFont val="Calibri"/>
        <family val="2"/>
        <scheme val="minor"/>
      </rPr>
      <t xml:space="preserve"> </t>
    </r>
    <r>
      <rPr>
        <b/>
        <sz val="12"/>
        <color theme="1"/>
        <rFont val="Calibri"/>
        <family val="2"/>
        <scheme val="minor"/>
      </rPr>
      <t>envasar / acondicionar / empaquetar</t>
    </r>
    <r>
      <rPr>
        <sz val="12"/>
        <color theme="1"/>
        <rFont val="Calibri"/>
        <family val="2"/>
        <scheme val="minor"/>
      </rPr>
      <t xml:space="preserve"> · </t>
    </r>
    <r>
      <rPr>
        <b/>
        <sz val="12"/>
        <color theme="1"/>
        <rFont val="Calibri"/>
        <family val="2"/>
        <scheme val="minor"/>
      </rPr>
      <t>ES(MX):</t>
    </r>
    <r>
      <rPr>
        <sz val="12"/>
        <color theme="1"/>
        <rFont val="Calibri"/>
        <family val="2"/>
        <scheme val="minor"/>
      </rPr>
      <t xml:space="preserve"> </t>
    </r>
    <r>
      <rPr>
        <b/>
        <sz val="12"/>
        <color theme="1"/>
        <rFont val="Calibri"/>
        <family val="2"/>
        <scheme val="minor"/>
      </rPr>
      <t>envasar / empacar</t>
    </r>
    <r>
      <rPr>
        <sz val="12"/>
        <color theme="1"/>
        <rFont val="Calibri"/>
        <family val="2"/>
        <scheme val="minor"/>
      </rPr>
      <t xml:space="preserve"> · </t>
    </r>
    <r>
      <rPr>
        <b/>
        <sz val="12"/>
        <color theme="1"/>
        <rFont val="Calibri"/>
        <family val="2"/>
        <scheme val="minor"/>
      </rPr>
      <t>ES(AR):</t>
    </r>
    <r>
      <rPr>
        <sz val="12"/>
        <color theme="1"/>
        <rFont val="Calibri"/>
        <family val="2"/>
        <scheme val="minor"/>
      </rPr>
      <t xml:space="preserve"> </t>
    </r>
    <r>
      <rPr>
        <b/>
        <sz val="12"/>
        <color theme="1"/>
        <rFont val="Calibri"/>
        <family val="2"/>
        <scheme val="minor"/>
      </rPr>
      <t>envasar / embalar</t>
    </r>
  </si>
  <si>
    <t>shape; form</t>
  </si>
  <si>
    <r>
      <t>formar</t>
    </r>
    <r>
      <rPr>
        <sz val="11"/>
        <color theme="1"/>
        <rFont val="Calibri"/>
        <family val="2"/>
        <scheme val="minor"/>
      </rPr>
      <t>; dar forma</t>
    </r>
  </si>
  <si>
    <t>Pains, pâtons, quenelles, pièces de viande.</t>
  </si>
  <si>
    <t>Breads, dough pieces, quenelles, cuts of meat.</t>
  </si>
  <si>
    <r>
      <t xml:space="preserve">Panes, porciones de masa, </t>
    </r>
    <r>
      <rPr>
        <i/>
        <sz val="11"/>
        <color theme="1"/>
        <rFont val="Calibri"/>
        <family val="2"/>
        <scheme val="minor"/>
      </rPr>
      <t>quenelles</t>
    </r>
    <r>
      <rPr>
        <sz val="11"/>
        <color theme="1"/>
        <rFont val="Calibri"/>
        <family val="2"/>
        <scheme val="minor"/>
      </rPr>
      <t>, piezas de carne.</t>
    </r>
  </si>
  <si>
    <r>
      <t xml:space="preserve">faire le chargement → charger → load → cargar — </t>
    </r>
    <r>
      <rPr>
        <b/>
        <sz val="12"/>
        <color theme="1"/>
        <rFont val="Calibri"/>
        <family val="2"/>
        <scheme val="minor"/>
      </rPr>
      <t>ES(ES/MX/AR):</t>
    </r>
    <r>
      <rPr>
        <sz val="12"/>
        <color theme="1"/>
        <rFont val="Calibri"/>
        <family val="2"/>
        <scheme val="minor"/>
      </rPr>
      <t xml:space="preserve"> </t>
    </r>
    <r>
      <rPr>
        <b/>
        <sz val="12"/>
        <color theme="1"/>
        <rFont val="Calibri"/>
        <family val="2"/>
        <scheme val="minor"/>
      </rPr>
      <t>cargar</t>
    </r>
  </si>
  <si>
    <t>faire + infinitif (causatif)</t>
  </si>
  <si>
    <t>have/get [sth] done; make [sb] do</t>
  </si>
  <si>
    <r>
      <t>hacer que</t>
    </r>
    <r>
      <rPr>
        <sz val="11"/>
        <color theme="1"/>
        <rFont val="Calibri"/>
        <family val="2"/>
        <scheme val="minor"/>
      </rPr>
      <t xml:space="preserve"> + subj.; </t>
    </r>
    <r>
      <rPr>
        <b/>
        <sz val="11"/>
        <color theme="1"/>
        <rFont val="Calibri"/>
        <family val="2"/>
        <scheme val="minor"/>
      </rPr>
      <t>mandar</t>
    </r>
    <r>
      <rPr>
        <sz val="11"/>
        <color theme="1"/>
        <rFont val="Calibri"/>
        <family val="2"/>
        <scheme val="minor"/>
      </rPr>
      <t xml:space="preserve"> + inf.</t>
    </r>
  </si>
  <si>
    <t>« Faire vérifier la T° » → have the temperature checked / hacer que se verifique la temperatura.</t>
  </si>
  <si>
    <r>
      <t xml:space="preserve">“Faire vérifier la T°” → </t>
    </r>
    <r>
      <rPr>
        <b/>
        <sz val="11"/>
        <color theme="1"/>
        <rFont val="Calibri"/>
        <family val="2"/>
        <scheme val="minor"/>
      </rPr>
      <t>have the temperature checked</t>
    </r>
    <r>
      <rPr>
        <sz val="11"/>
        <color theme="1"/>
        <rFont val="Calibri"/>
        <family val="2"/>
        <scheme val="minor"/>
      </rPr>
      <t>.</t>
    </r>
  </si>
  <si>
    <r>
      <t xml:space="preserve">«Hacer verificar la T°» → </t>
    </r>
    <r>
      <rPr>
        <b/>
        <sz val="11"/>
        <color theme="1"/>
        <rFont val="Calibri"/>
        <family val="2"/>
        <scheme val="minor"/>
      </rPr>
      <t>hacer que se verifique la temperatura</t>
    </r>
    <r>
      <rPr>
        <sz val="11"/>
        <color theme="1"/>
        <rFont val="Calibri"/>
        <family val="2"/>
        <scheme val="minor"/>
      </rPr>
      <t>.</t>
    </r>
  </si>
  <si>
    <r>
      <t xml:space="preserve">faire le déchargement → décharger → unload → descargar — </t>
    </r>
    <r>
      <rPr>
        <b/>
        <sz val="12"/>
        <color theme="1"/>
        <rFont val="Calibri"/>
        <family val="2"/>
        <scheme val="minor"/>
      </rPr>
      <t>ES(ES/MX/AR):</t>
    </r>
    <r>
      <rPr>
        <sz val="12"/>
        <color theme="1"/>
        <rFont val="Calibri"/>
        <family val="2"/>
        <scheme val="minor"/>
      </rPr>
      <t xml:space="preserve"> </t>
    </r>
    <r>
      <rPr>
        <b/>
        <sz val="12"/>
        <color theme="1"/>
        <rFont val="Calibri"/>
        <family val="2"/>
        <scheme val="minor"/>
      </rPr>
      <t>descargar</t>
    </r>
  </si>
  <si>
    <t>faire + nom (ex. faire un rapport)</t>
  </si>
  <si>
    <t>make / write / prepare (a report)</t>
  </si>
  <si>
    <r>
      <t>hacer / redactar / preparar</t>
    </r>
    <r>
      <rPr>
        <sz val="11"/>
        <color theme="1"/>
        <rFont val="Calibri"/>
        <family val="2"/>
        <scheme val="minor"/>
      </rPr>
      <t xml:space="preserve"> (un informe)</t>
    </r>
  </si>
  <si>
    <t>Choisir le verbe le plus exact selon l’objet : make dough / write a report / prepare a tray.</t>
  </si>
  <si>
    <r>
      <t xml:space="preserve">Choose the most exact verb for the object: </t>
    </r>
    <r>
      <rPr>
        <b/>
        <sz val="11"/>
        <color theme="1"/>
        <rFont val="Calibri"/>
        <family val="2"/>
        <scheme val="minor"/>
      </rPr>
      <t>make dough / write a report / prepare a tray</t>
    </r>
    <r>
      <rPr>
        <sz val="11"/>
        <color theme="1"/>
        <rFont val="Calibri"/>
        <family val="2"/>
        <scheme val="minor"/>
      </rPr>
      <t>.</t>
    </r>
  </si>
  <si>
    <r>
      <t xml:space="preserve">Elegir el verbo más exacto según el objeto: </t>
    </r>
    <r>
      <rPr>
        <b/>
        <sz val="11"/>
        <color theme="1"/>
        <rFont val="Calibri"/>
        <family val="2"/>
        <scheme val="minor"/>
      </rPr>
      <t>hacer la masa / redactar un informe / preparar una bandeja</t>
    </r>
    <r>
      <rPr>
        <sz val="11"/>
        <color theme="1"/>
        <rFont val="Calibri"/>
        <family val="2"/>
        <scheme val="minor"/>
      </rPr>
      <t>.</t>
    </r>
  </si>
  <si>
    <t>bring to a boil; boil</t>
  </si>
  <si>
    <r>
      <t>llevar a ebullición</t>
    </r>
    <r>
      <rPr>
        <sz val="11"/>
        <color theme="1"/>
        <rFont val="Calibri"/>
        <family val="2"/>
        <scheme val="minor"/>
      </rPr>
      <t>; hervir</t>
    </r>
  </si>
  <si>
    <t>Monter jusqu’à gros bouillons.</t>
  </si>
  <si>
    <t>Bring to a rolling boil.</t>
  </si>
  <si>
    <t>Llevar a ebullición con borbotones.</t>
  </si>
  <si>
    <t>Documentation, gestion &amp; outils</t>
  </si>
  <si>
    <t>Documentation, management &amp; tools</t>
  </si>
  <si>
    <t>Documentación, gestión y herramientas</t>
  </si>
  <si>
    <t>faire cuire / faire bouillir</t>
  </si>
  <si>
    <t>cook / bring to a boil</t>
  </si>
  <si>
    <t>cocer / llevar a ebullición</t>
  </si>
  <si>
    <t>Préférer directement cuire / bouillir dans les fiches.</t>
  </si>
  <si>
    <r>
      <t xml:space="preserve">Prefer </t>
    </r>
    <r>
      <rPr>
        <b/>
        <sz val="11"/>
        <color theme="1"/>
        <rFont val="Calibri"/>
        <family val="2"/>
        <scheme val="minor"/>
      </rPr>
      <t>cook / boil</t>
    </r>
    <r>
      <rPr>
        <sz val="11"/>
        <color theme="1"/>
        <rFont val="Calibri"/>
        <family val="2"/>
        <scheme val="minor"/>
      </rPr>
      <t xml:space="preserve"> directly in the sheets.</t>
    </r>
  </si>
  <si>
    <r>
      <t xml:space="preserve">Preferir </t>
    </r>
    <r>
      <rPr>
        <b/>
        <sz val="11"/>
        <color theme="1"/>
        <rFont val="Calibri"/>
        <family val="2"/>
        <scheme val="minor"/>
      </rPr>
      <t>cocer / hervir</t>
    </r>
    <r>
      <rPr>
        <sz val="11"/>
        <color theme="1"/>
        <rFont val="Calibri"/>
        <family val="2"/>
        <scheme val="minor"/>
      </rPr>
      <t xml:space="preserve"> directamente en las fichas.</t>
    </r>
  </si>
  <si>
    <t>faire fondre</t>
  </si>
  <si>
    <t>melt</t>
  </si>
  <si>
    <t>fundir / derretir</t>
  </si>
  <si>
    <t>Idem : verbe précis recommandé.</t>
  </si>
  <si>
    <t>Same: a precise verb is recommended.</t>
  </si>
  <si>
    <t>Ídem: se recomienda un verbo preciso.</t>
  </si>
  <si>
    <r>
      <t xml:space="preserve">faire un rapport → rédiger un rapport → write a report → redactar un informe — </t>
    </r>
    <r>
      <rPr>
        <b/>
        <sz val="12"/>
        <color theme="1"/>
        <rFont val="Calibri"/>
        <family val="2"/>
        <scheme val="minor"/>
      </rPr>
      <t>ES(ES):</t>
    </r>
    <r>
      <rPr>
        <sz val="12"/>
        <color theme="1"/>
        <rFont val="Calibri"/>
        <family val="2"/>
        <scheme val="minor"/>
      </rPr>
      <t xml:space="preserve"> redactar/elaborar un informe · </t>
    </r>
    <r>
      <rPr>
        <b/>
        <sz val="12"/>
        <color theme="1"/>
        <rFont val="Calibri"/>
        <family val="2"/>
        <scheme val="minor"/>
      </rPr>
      <t>ES(MX):</t>
    </r>
    <r>
      <rPr>
        <sz val="12"/>
        <color theme="1"/>
        <rFont val="Calibri"/>
        <family val="2"/>
        <scheme val="minor"/>
      </rPr>
      <t xml:space="preserve"> elaborar/redactar un informe · </t>
    </r>
    <r>
      <rPr>
        <b/>
        <sz val="12"/>
        <color theme="1"/>
        <rFont val="Calibri"/>
        <family val="2"/>
        <scheme val="minor"/>
      </rPr>
      <t>ES(AR):</t>
    </r>
    <r>
      <rPr>
        <sz val="12"/>
        <color theme="1"/>
        <rFont val="Calibri"/>
        <family val="2"/>
        <scheme val="minor"/>
      </rPr>
      <t xml:space="preserve"> redactar/hacer un informe</t>
    </r>
  </si>
  <si>
    <t>faire monter (une sauce, une mayo)</t>
  </si>
  <si>
    <t>whip up / mount (with butter)</t>
  </si>
  <si>
    <t>montar / emulsionar</t>
  </si>
  <si>
    <t>Monter au beurre = mount with butter / emulsionar con mantequilla.</t>
  </si>
  <si>
    <r>
      <t>Monter au beurre</t>
    </r>
    <r>
      <rPr>
        <sz val="11"/>
        <color theme="1"/>
        <rFont val="Calibri"/>
        <family val="2"/>
        <scheme val="minor"/>
      </rPr>
      <t xml:space="preserve"> = </t>
    </r>
    <r>
      <rPr>
        <b/>
        <sz val="11"/>
        <color theme="1"/>
        <rFont val="Calibri"/>
        <family val="2"/>
        <scheme val="minor"/>
      </rPr>
      <t>mount with butter</t>
    </r>
    <r>
      <rPr>
        <sz val="11"/>
        <color theme="1"/>
        <rFont val="Calibri"/>
        <family val="2"/>
        <scheme val="minor"/>
      </rPr>
      <t>.</t>
    </r>
  </si>
  <si>
    <r>
      <t>Montar al mantequilla</t>
    </r>
    <r>
      <rPr>
        <sz val="11"/>
        <color theme="1"/>
        <rFont val="Calibri"/>
        <family val="2"/>
        <scheme val="minor"/>
      </rPr>
      <t>/</t>
    </r>
    <r>
      <rPr>
        <b/>
        <sz val="11"/>
        <color theme="1"/>
        <rFont val="Calibri"/>
        <family val="2"/>
        <scheme val="minor"/>
      </rPr>
      <t>emulsionar con mantequilla</t>
    </r>
    <r>
      <rPr>
        <sz val="11"/>
        <color theme="1"/>
        <rFont val="Calibri"/>
        <family val="2"/>
        <scheme val="minor"/>
      </rPr>
      <t>.</t>
    </r>
  </si>
  <si>
    <r>
      <t xml:space="preserve">faire une commande → commander → place an order → hacer un pedido — </t>
    </r>
    <r>
      <rPr>
        <b/>
        <sz val="12"/>
        <color theme="1"/>
        <rFont val="Calibri"/>
        <family val="2"/>
        <scheme val="minor"/>
      </rPr>
      <t>ES(ES):</t>
    </r>
    <r>
      <rPr>
        <sz val="12"/>
        <color theme="1"/>
        <rFont val="Calibri"/>
        <family val="2"/>
        <scheme val="minor"/>
      </rPr>
      <t xml:space="preserve"> hacer/realizar un pedido · </t>
    </r>
    <r>
      <rPr>
        <b/>
        <sz val="12"/>
        <color theme="1"/>
        <rFont val="Calibri"/>
        <family val="2"/>
        <scheme val="minor"/>
      </rPr>
      <t>ES(MX):</t>
    </r>
    <r>
      <rPr>
        <sz val="12"/>
        <color theme="1"/>
        <rFont val="Calibri"/>
        <family val="2"/>
        <scheme val="minor"/>
      </rPr>
      <t xml:space="preserve"> realizar/hacer un pedido · </t>
    </r>
    <r>
      <rPr>
        <b/>
        <sz val="12"/>
        <color theme="1"/>
        <rFont val="Calibri"/>
        <family val="2"/>
        <scheme val="minor"/>
      </rPr>
      <t>ES(AR):</t>
    </r>
    <r>
      <rPr>
        <sz val="12"/>
        <color theme="1"/>
        <rFont val="Calibri"/>
        <family val="2"/>
        <scheme val="minor"/>
      </rPr>
      <t xml:space="preserve"> hacer/realizar un pedido</t>
    </r>
  </si>
  <si>
    <t>faire refroidir / faire réchauffer</t>
  </si>
  <si>
    <t>cool / reheat</t>
  </si>
  <si>
    <t>enfriar / recalentar</t>
  </si>
  <si>
    <t>Utiliser refroidir / réchauffer directement si possible.</t>
  </si>
  <si>
    <r>
      <t xml:space="preserve">Use </t>
    </r>
    <r>
      <rPr>
        <b/>
        <sz val="11"/>
        <color theme="1"/>
        <rFont val="Calibri"/>
        <family val="2"/>
        <scheme val="minor"/>
      </rPr>
      <t>cool / reheat</t>
    </r>
    <r>
      <rPr>
        <sz val="11"/>
        <color theme="1"/>
        <rFont val="Calibri"/>
        <family val="2"/>
        <scheme val="minor"/>
      </rPr>
      <t xml:space="preserve"> directly when possible.</t>
    </r>
  </si>
  <si>
    <r>
      <t xml:space="preserve">Usar </t>
    </r>
    <r>
      <rPr>
        <b/>
        <sz val="11"/>
        <color theme="1"/>
        <rFont val="Calibri"/>
        <family val="2"/>
        <scheme val="minor"/>
      </rPr>
      <t>enfriar / recalentar</t>
    </r>
    <r>
      <rPr>
        <sz val="11"/>
        <color theme="1"/>
        <rFont val="Calibri"/>
        <family val="2"/>
        <scheme val="minor"/>
      </rPr>
      <t xml:space="preserve"> directamente si es posible.</t>
    </r>
  </si>
  <si>
    <r>
      <t xml:space="preserve">faire un planning → planifier / établir un planning → plan / schedule → planificar / elaborar un planning — </t>
    </r>
    <r>
      <rPr>
        <b/>
        <sz val="12"/>
        <color theme="1"/>
        <rFont val="Calibri"/>
        <family val="2"/>
        <scheme val="minor"/>
      </rPr>
      <t>ES(ES):</t>
    </r>
    <r>
      <rPr>
        <sz val="12"/>
        <color theme="1"/>
        <rFont val="Calibri"/>
        <family val="2"/>
        <scheme val="minor"/>
      </rPr>
      <t xml:space="preserve"> planificar / elaborar un plan (</t>
    </r>
    <r>
      <rPr>
        <b/>
        <sz val="12"/>
        <color theme="1"/>
        <rFont val="Calibri"/>
        <family val="2"/>
        <scheme val="minor"/>
      </rPr>
      <t>calendario</t>
    </r>
    <r>
      <rPr>
        <sz val="12"/>
        <color theme="1"/>
        <rFont val="Calibri"/>
        <family val="2"/>
        <scheme val="minor"/>
      </rPr>
      <t xml:space="preserve">) · </t>
    </r>
    <r>
      <rPr>
        <b/>
        <sz val="12"/>
        <color theme="1"/>
        <rFont val="Calibri"/>
        <family val="2"/>
        <scheme val="minor"/>
      </rPr>
      <t>ES(MX):</t>
    </r>
    <r>
      <rPr>
        <sz val="12"/>
        <color theme="1"/>
        <rFont val="Calibri"/>
        <family val="2"/>
        <scheme val="minor"/>
      </rPr>
      <t xml:space="preserve"> programar / planear un </t>
    </r>
    <r>
      <rPr>
        <b/>
        <sz val="12"/>
        <color theme="1"/>
        <rFont val="Calibri"/>
        <family val="2"/>
        <scheme val="minor"/>
      </rPr>
      <t>calendario</t>
    </r>
    <r>
      <rPr>
        <sz val="12"/>
        <color theme="1"/>
        <rFont val="Calibri"/>
        <family val="2"/>
        <scheme val="minor"/>
      </rPr>
      <t xml:space="preserve"> · </t>
    </r>
    <r>
      <rPr>
        <b/>
        <sz val="12"/>
        <color theme="1"/>
        <rFont val="Calibri"/>
        <family val="2"/>
        <scheme val="minor"/>
      </rPr>
      <t>ES(AR):</t>
    </r>
    <r>
      <rPr>
        <sz val="12"/>
        <color theme="1"/>
        <rFont val="Calibri"/>
        <family val="2"/>
        <scheme val="minor"/>
      </rPr>
      <t xml:space="preserve"> planificar / armar un </t>
    </r>
    <r>
      <rPr>
        <b/>
        <sz val="12"/>
        <color theme="1"/>
        <rFont val="Calibri"/>
        <family val="2"/>
        <scheme val="minor"/>
      </rPr>
      <t>cronograma</t>
    </r>
  </si>
  <si>
    <t>faire revenir / faire rissoler</t>
  </si>
  <si>
    <t>sauté / brown</t>
  </si>
  <si>
    <t>rehogar / dorar</t>
  </si>
  <si>
    <t>Employer le verbe technique plutôt que « faire ».</t>
  </si>
  <si>
    <r>
      <t xml:space="preserve">Use the </t>
    </r>
    <r>
      <rPr>
        <b/>
        <sz val="11"/>
        <color theme="1"/>
        <rFont val="Calibri"/>
        <family val="2"/>
        <scheme val="minor"/>
      </rPr>
      <t>technical verb</t>
    </r>
    <r>
      <rPr>
        <sz val="11"/>
        <color theme="1"/>
        <rFont val="Calibri"/>
        <family val="2"/>
        <scheme val="minor"/>
      </rPr>
      <t xml:space="preserve"> instead of “do/make.”</t>
    </r>
  </si>
  <si>
    <r>
      <t xml:space="preserve">Usar el </t>
    </r>
    <r>
      <rPr>
        <b/>
        <sz val="11"/>
        <color theme="1"/>
        <rFont val="Calibri"/>
        <family val="2"/>
        <scheme val="minor"/>
      </rPr>
      <t>verbo técnico</t>
    </r>
    <r>
      <rPr>
        <sz val="11"/>
        <color theme="1"/>
        <rFont val="Calibri"/>
        <family val="2"/>
        <scheme val="minor"/>
      </rPr>
      <t xml:space="preserve"> en lugar de «hacer».</t>
    </r>
  </si>
  <si>
    <r>
      <t xml:space="preserve">faire une analyse → analyser → analyze → analizar — </t>
    </r>
    <r>
      <rPr>
        <b/>
        <sz val="12"/>
        <color theme="1"/>
        <rFont val="Calibri"/>
        <family val="2"/>
        <scheme val="minor"/>
      </rPr>
      <t>ES(ES/MX/AR):</t>
    </r>
    <r>
      <rPr>
        <sz val="12"/>
        <color theme="1"/>
        <rFont val="Calibri"/>
        <family val="2"/>
        <scheme val="minor"/>
      </rPr>
      <t xml:space="preserve"> analizar</t>
    </r>
  </si>
  <si>
    <t>stuff; fill</t>
  </si>
  <si>
    <t>rellenar</t>
  </si>
  <si>
    <t>Volaille, légumes, charcuterie.</t>
  </si>
  <si>
    <t>Poultry, vegetables, charcuterie.</t>
  </si>
  <si>
    <t>Aves, verduras, charcutería.</t>
  </si>
  <si>
    <r>
      <t xml:space="preserve">faire une archive → archiver → archive → archivar — </t>
    </r>
    <r>
      <rPr>
        <b/>
        <sz val="12"/>
        <color theme="1"/>
        <rFont val="Calibri"/>
        <family val="2"/>
        <scheme val="minor"/>
      </rPr>
      <t>ES(ES/MX/AR):</t>
    </r>
    <r>
      <rPr>
        <sz val="12"/>
        <color theme="1"/>
        <rFont val="Calibri"/>
        <family val="2"/>
        <scheme val="minor"/>
      </rPr>
      <t xml:space="preserve"> archivar</t>
    </r>
  </si>
  <si>
    <t>mask/coat (thin layer for presentation)</t>
  </si>
  <si>
    <r>
      <t>enmascarar</t>
    </r>
    <r>
      <rPr>
        <sz val="11"/>
        <color theme="1"/>
        <rFont val="Calibri"/>
        <family val="2"/>
        <scheme val="minor"/>
      </rPr>
      <t>; cubrir finamente</t>
    </r>
  </si>
  <si>
    <t>Charcuterie/pâtisserie : couche fine de gelée, farce, crème.</t>
  </si>
  <si>
    <t>Thin layer of jelly/filling/cream to mask/finish.</t>
  </si>
  <si>
    <t>Capa fina de gelatina/relleno/crema para enmascarar/acabar.</t>
  </si>
  <si>
    <r>
      <t xml:space="preserve">faire une mise à jour → mettre à jour → update → actualizar — </t>
    </r>
    <r>
      <rPr>
        <b/>
        <sz val="12"/>
        <color theme="1"/>
        <rFont val="Calibri"/>
        <family val="2"/>
        <scheme val="minor"/>
      </rPr>
      <t>ES(ES/MX/AR):</t>
    </r>
    <r>
      <rPr>
        <sz val="12"/>
        <color theme="1"/>
        <rFont val="Calibri"/>
        <family val="2"/>
        <scheme val="minor"/>
      </rPr>
      <t xml:space="preserve"> actualizar</t>
    </r>
  </si>
  <si>
    <t>flour; dredge in flour</t>
  </si>
  <si>
    <t>enharinar</t>
  </si>
  <si>
    <t>Légèrement fariner plan de travail, produit, moule.</t>
  </si>
  <si>
    <t>Lightly flour the bench, item, or mold.</t>
  </si>
  <si>
    <t>Espolvorear ligeramente de harina la mesa, el producto o el molde.</t>
  </si>
  <si>
    <r>
      <t xml:space="preserve">faire un paramétrage → paramétrer / configurer → set up / configure → configurar — </t>
    </r>
    <r>
      <rPr>
        <b/>
        <sz val="12"/>
        <color theme="1"/>
        <rFont val="Calibri"/>
        <family val="2"/>
        <scheme val="minor"/>
      </rPr>
      <t>ES(ES):</t>
    </r>
    <r>
      <rPr>
        <sz val="12"/>
        <color theme="1"/>
        <rFont val="Calibri"/>
        <family val="2"/>
        <scheme val="minor"/>
      </rPr>
      <t xml:space="preserve"> configurar/</t>
    </r>
    <r>
      <rPr>
        <b/>
        <sz val="12"/>
        <color theme="1"/>
        <rFont val="Calibri"/>
        <family val="2"/>
        <scheme val="minor"/>
      </rPr>
      <t>parametrizar</t>
    </r>
    <r>
      <rPr>
        <sz val="12"/>
        <color theme="1"/>
        <rFont val="Calibri"/>
        <family val="2"/>
        <scheme val="minor"/>
      </rPr>
      <t xml:space="preserve"> · </t>
    </r>
    <r>
      <rPr>
        <b/>
        <sz val="12"/>
        <color theme="1"/>
        <rFont val="Calibri"/>
        <family val="2"/>
        <scheme val="minor"/>
      </rPr>
      <t>ES(MX):</t>
    </r>
    <r>
      <rPr>
        <sz val="12"/>
        <color theme="1"/>
        <rFont val="Calibri"/>
        <family val="2"/>
        <scheme val="minor"/>
      </rPr>
      <t xml:space="preserve"> configurar/</t>
    </r>
    <r>
      <rPr>
        <b/>
        <sz val="12"/>
        <color theme="1"/>
        <rFont val="Calibri"/>
        <family val="2"/>
        <scheme val="minor"/>
      </rPr>
      <t>parametrizar</t>
    </r>
    <r>
      <rPr>
        <sz val="12"/>
        <color theme="1"/>
        <rFont val="Calibri"/>
        <family val="2"/>
        <scheme val="minor"/>
      </rPr>
      <t xml:space="preserve"> (ajustes) · </t>
    </r>
    <r>
      <rPr>
        <b/>
        <sz val="12"/>
        <color theme="1"/>
        <rFont val="Calibri"/>
        <family val="2"/>
        <scheme val="minor"/>
      </rPr>
      <t>ES(AR):</t>
    </r>
    <r>
      <rPr>
        <sz val="12"/>
        <color theme="1"/>
        <rFont val="Calibri"/>
        <family val="2"/>
        <scheme val="minor"/>
      </rPr>
      <t xml:space="preserve"> configurar/</t>
    </r>
    <r>
      <rPr>
        <b/>
        <sz val="12"/>
        <color theme="1"/>
        <rFont val="Calibri"/>
        <family val="2"/>
        <scheme val="minor"/>
      </rPr>
      <t>parametrizar</t>
    </r>
  </si>
  <si>
    <t>scallop/crimp the edge</t>
  </si>
  <si>
    <t>Décor sur bord de pâte/tourte.</t>
  </si>
  <si>
    <t>Decorative crimp/scallop on pastry/pie edge.</t>
  </si>
  <si>
    <t>Adorno festoneado en el borde de la masa/empanada.</t>
  </si>
  <si>
    <t>fillet (a fish)</t>
  </si>
  <si>
    <r>
      <t>filetear</t>
    </r>
    <r>
      <rPr>
        <sz val="11"/>
        <color theme="1"/>
        <rFont val="Calibri"/>
        <family val="2"/>
        <scheme val="minor"/>
      </rPr>
      <t>; sacar lomos</t>
    </r>
  </si>
  <si>
    <t>Lever des filets, retirer arêtes.</t>
  </si>
  <si>
    <t>Fillet and remove bones.</t>
  </si>
  <si>
    <t>Filetear y quitar espinas/huesos.</t>
  </si>
  <si>
    <t>Maintenance &amp; sécurité</t>
  </si>
  <si>
    <t>Maintenance &amp; safety</t>
  </si>
  <si>
    <t>Mantenimiento y seguridad</t>
  </si>
  <si>
    <t>filmage (étape)</t>
  </si>
  <si>
    <t>wrapping with film</t>
  </si>
  <si>
    <r>
      <t>enfilmado</t>
    </r>
    <r>
      <rPr>
        <sz val="11"/>
        <color theme="1"/>
        <rFont val="Calibri"/>
        <family val="2"/>
        <scheme val="minor"/>
      </rPr>
      <t xml:space="preserve"> (envoltura con film)</t>
    </r>
  </si>
  <si>
    <t>Étape conditionnement/stockage.</t>
  </si>
  <si>
    <t>Packaging/storage step.</t>
  </si>
  <si>
    <t>Etapa de envasado/almacenamiento.</t>
  </si>
  <si>
    <t>Filmer</t>
  </si>
  <si>
    <t>wrap/cover with plastic wrap</t>
  </si>
  <si>
    <r>
      <t>envolver con film</t>
    </r>
    <r>
      <rPr>
        <sz val="11"/>
        <color theme="1"/>
        <rFont val="Calibri"/>
        <family val="2"/>
        <scheme val="minor"/>
      </rPr>
      <t>; filmar</t>
    </r>
  </si>
  <si>
    <t>Contact direct ou fermeture d’un bac.</t>
  </si>
  <si>
    <t>Wrap in contact or close the container.</t>
  </si>
  <si>
    <t>Envolver “al contacto” o cerrar la cubeta/recipiente.</t>
  </si>
  <si>
    <r>
      <t xml:space="preserve">faire la maintenance → maintenir / assurer la maintenance → maintain / service → mantener / realizar el mantenimiento — </t>
    </r>
    <r>
      <rPr>
        <b/>
        <sz val="12"/>
        <color theme="1"/>
        <rFont val="Calibri"/>
        <family val="2"/>
        <scheme val="minor"/>
      </rPr>
      <t>ES(ES):</t>
    </r>
    <r>
      <rPr>
        <sz val="12"/>
        <color theme="1"/>
        <rFont val="Calibri"/>
        <family val="2"/>
        <scheme val="minor"/>
      </rPr>
      <t xml:space="preserve"> mantener / </t>
    </r>
    <r>
      <rPr>
        <b/>
        <sz val="12"/>
        <color theme="1"/>
        <rFont val="Calibri"/>
        <family val="2"/>
        <scheme val="minor"/>
      </rPr>
      <t>realizar</t>
    </r>
    <r>
      <rPr>
        <sz val="12"/>
        <color theme="1"/>
        <rFont val="Calibri"/>
        <family val="2"/>
        <scheme val="minor"/>
      </rPr>
      <t>/</t>
    </r>
    <r>
      <rPr>
        <b/>
        <sz val="12"/>
        <color theme="1"/>
        <rFont val="Calibri"/>
        <family val="2"/>
        <scheme val="minor"/>
      </rPr>
      <t>efectuar</t>
    </r>
    <r>
      <rPr>
        <sz val="12"/>
        <color theme="1"/>
        <rFont val="Calibri"/>
        <family val="2"/>
        <scheme val="minor"/>
      </rPr>
      <t xml:space="preserve"> el mantenimiento · </t>
    </r>
    <r>
      <rPr>
        <b/>
        <sz val="12"/>
        <color theme="1"/>
        <rFont val="Calibri"/>
        <family val="2"/>
        <scheme val="minor"/>
      </rPr>
      <t>ES(MX):</t>
    </r>
    <r>
      <rPr>
        <sz val="12"/>
        <color theme="1"/>
        <rFont val="Calibri"/>
        <family val="2"/>
        <scheme val="minor"/>
      </rPr>
      <t xml:space="preserve"> mantener / </t>
    </r>
    <r>
      <rPr>
        <b/>
        <sz val="12"/>
        <color theme="1"/>
        <rFont val="Calibri"/>
        <family val="2"/>
        <scheme val="minor"/>
      </rPr>
      <t>dar mantenimiento</t>
    </r>
    <r>
      <rPr>
        <sz val="12"/>
        <color theme="1"/>
        <rFont val="Calibri"/>
        <family val="2"/>
        <scheme val="minor"/>
      </rPr>
      <t xml:space="preserve"> · </t>
    </r>
    <r>
      <rPr>
        <b/>
        <sz val="12"/>
        <color theme="1"/>
        <rFont val="Calibri"/>
        <family val="2"/>
        <scheme val="minor"/>
      </rPr>
      <t>ES(AR):</t>
    </r>
    <r>
      <rPr>
        <sz val="12"/>
        <color theme="1"/>
        <rFont val="Calibri"/>
        <family val="2"/>
        <scheme val="minor"/>
      </rPr>
      <t xml:space="preserve"> mantener / </t>
    </r>
    <r>
      <rPr>
        <b/>
        <sz val="12"/>
        <color theme="1"/>
        <rFont val="Calibri"/>
        <family val="2"/>
        <scheme val="minor"/>
      </rPr>
      <t>hacer mantenimiento</t>
    </r>
  </si>
  <si>
    <t>set/stabilize (gel/color)</t>
  </si>
  <si>
    <r>
      <t>fijar</t>
    </r>
    <r>
      <rPr>
        <sz val="11"/>
        <color theme="1"/>
        <rFont val="Calibri"/>
        <family val="2"/>
        <scheme val="minor"/>
      </rPr>
      <t xml:space="preserve">; </t>
    </r>
    <r>
      <rPr>
        <b/>
        <sz val="11"/>
        <color theme="1"/>
        <rFont val="Calibri"/>
        <family val="2"/>
        <scheme val="minor"/>
      </rPr>
      <t>cuajar</t>
    </r>
    <r>
      <rPr>
        <sz val="11"/>
        <color theme="1"/>
        <rFont val="Calibri"/>
        <family val="2"/>
        <scheme val="minor"/>
      </rPr>
      <t xml:space="preserve"> (gelatina)</t>
    </r>
  </si>
  <si>
    <t>Fixer couleur (chlorophylle) / prise à la gélatine.</t>
  </si>
  <si>
    <t>Fix color (chlorophyll) / set with gelatin.</t>
  </si>
  <si>
    <t>Fijar el color (clorofila) / cuajar con gelatina.</t>
  </si>
  <si>
    <r>
      <t xml:space="preserve">faire une réparation → réparer → repair → reparar — </t>
    </r>
    <r>
      <rPr>
        <b/>
        <sz val="12"/>
        <color theme="1"/>
        <rFont val="Calibri"/>
        <family val="2"/>
        <scheme val="minor"/>
      </rPr>
      <t>ES(ES):</t>
    </r>
    <r>
      <rPr>
        <sz val="12"/>
        <color theme="1"/>
        <rFont val="Calibri"/>
        <family val="2"/>
        <scheme val="minor"/>
      </rPr>
      <t xml:space="preserve"> reparar / hacer una reparación · </t>
    </r>
    <r>
      <rPr>
        <b/>
        <sz val="12"/>
        <color theme="1"/>
        <rFont val="Calibri"/>
        <family val="2"/>
        <scheme val="minor"/>
      </rPr>
      <t>ES(MX):</t>
    </r>
    <r>
      <rPr>
        <sz val="12"/>
        <color theme="1"/>
        <rFont val="Calibri"/>
        <family val="2"/>
        <scheme val="minor"/>
      </rPr>
      <t xml:space="preserve"> reparar · </t>
    </r>
    <r>
      <rPr>
        <b/>
        <sz val="12"/>
        <color theme="1"/>
        <rFont val="Calibri"/>
        <family val="2"/>
        <scheme val="minor"/>
      </rPr>
      <t>ES(AR):</t>
    </r>
    <r>
      <rPr>
        <sz val="12"/>
        <color theme="1"/>
        <rFont val="Calibri"/>
        <family val="2"/>
        <scheme val="minor"/>
      </rPr>
      <t xml:space="preserve"> reparar</t>
    </r>
  </si>
  <si>
    <t>flambé</t>
  </si>
  <si>
    <t>flambear</t>
  </si>
  <si>
    <t>Enflammer avec alcool ; aussi « brûler » plumes volaille.</t>
  </si>
  <si>
    <t>Flambé with alcohol; also singe bird plumage.</t>
  </si>
  <si>
    <t>Flambear con alcohol; también chamuscar el plumón del ave.</t>
  </si>
  <si>
    <r>
      <t xml:space="preserve">faire un arrêt d’urgence → arrêter d’urgence → emergency stop → </t>
    </r>
    <r>
      <rPr>
        <b/>
        <sz val="12"/>
        <color theme="1"/>
        <rFont val="Calibri"/>
        <family val="2"/>
        <scheme val="minor"/>
      </rPr>
      <t>activar la parada de emergencia</t>
    </r>
    <r>
      <rPr>
        <sz val="12"/>
        <color theme="1"/>
        <rFont val="Calibri"/>
        <family val="2"/>
        <scheme val="minor"/>
      </rPr>
      <t xml:space="preserve"> — </t>
    </r>
    <r>
      <rPr>
        <b/>
        <sz val="12"/>
        <color theme="1"/>
        <rFont val="Calibri"/>
        <family val="2"/>
        <scheme val="minor"/>
      </rPr>
      <t>ES(ES):</t>
    </r>
    <r>
      <rPr>
        <sz val="12"/>
        <color theme="1"/>
        <rFont val="Calibri"/>
        <family val="2"/>
        <scheme val="minor"/>
      </rPr>
      <t xml:space="preserve"> activar </t>
    </r>
    <r>
      <rPr>
        <b/>
        <sz val="12"/>
        <color theme="1"/>
        <rFont val="Calibri"/>
        <family val="2"/>
        <scheme val="minor"/>
      </rPr>
      <t>la parada de emergencia</t>
    </r>
    <r>
      <rPr>
        <sz val="12"/>
        <color theme="1"/>
        <rFont val="Calibri"/>
        <family val="2"/>
        <scheme val="minor"/>
      </rPr>
      <t xml:space="preserve"> · </t>
    </r>
    <r>
      <rPr>
        <b/>
        <sz val="12"/>
        <color theme="1"/>
        <rFont val="Calibri"/>
        <family val="2"/>
        <scheme val="minor"/>
      </rPr>
      <t>ES(MX):</t>
    </r>
    <r>
      <rPr>
        <sz val="12"/>
        <color theme="1"/>
        <rFont val="Calibri"/>
        <family val="2"/>
        <scheme val="minor"/>
      </rPr>
      <t xml:space="preserve"> activar </t>
    </r>
    <r>
      <rPr>
        <b/>
        <sz val="12"/>
        <color theme="1"/>
        <rFont val="Calibri"/>
        <family val="2"/>
        <scheme val="minor"/>
      </rPr>
      <t>el paro de emergencia</t>
    </r>
    <r>
      <rPr>
        <sz val="12"/>
        <color theme="1"/>
        <rFont val="Calibri"/>
        <family val="2"/>
        <scheme val="minor"/>
      </rPr>
      <t xml:space="preserve"> · </t>
    </r>
    <r>
      <rPr>
        <b/>
        <sz val="12"/>
        <color theme="1"/>
        <rFont val="Calibri"/>
        <family val="2"/>
        <scheme val="minor"/>
      </rPr>
      <t>ES(AR):</t>
    </r>
    <r>
      <rPr>
        <sz val="12"/>
        <color theme="1"/>
        <rFont val="Calibri"/>
        <family val="2"/>
        <scheme val="minor"/>
      </rPr>
      <t xml:space="preserve"> activar </t>
    </r>
    <r>
      <rPr>
        <b/>
        <sz val="12"/>
        <color theme="1"/>
        <rFont val="Calibri"/>
        <family val="2"/>
        <scheme val="minor"/>
      </rPr>
      <t>la parada de emergencia</t>
    </r>
  </si>
  <si>
    <t>Flanquer (de)</t>
  </si>
  <si>
    <t>flank (with garnish)</t>
  </si>
  <si>
    <r>
      <t>flanquear</t>
    </r>
    <r>
      <rPr>
        <sz val="11"/>
        <color theme="1"/>
        <rFont val="Calibri"/>
        <family val="2"/>
        <scheme val="minor"/>
      </rPr>
      <t xml:space="preserve"> (con guarnición)</t>
    </r>
  </si>
  <si>
    <t>Présentation : pièce flanquée de garnitures.</t>
  </si>
  <si>
    <t>Plating: flank the main item with garnishes.</t>
  </si>
  <si>
    <t>Presentación: pieza flanqueada por guarniciones.</t>
  </si>
  <si>
    <r>
      <t xml:space="preserve">faire une mise sous tension → mettre sous tension / allumer → power on → </t>
    </r>
    <r>
      <rPr>
        <b/>
        <sz val="12"/>
        <color theme="1"/>
        <rFont val="Calibri"/>
        <family val="2"/>
        <scheme val="minor"/>
      </rPr>
      <t>energizar / encender</t>
    </r>
    <r>
      <rPr>
        <sz val="12"/>
        <color theme="1"/>
        <rFont val="Calibri"/>
        <family val="2"/>
        <scheme val="minor"/>
      </rPr>
      <t xml:space="preserve"> — </t>
    </r>
    <r>
      <rPr>
        <b/>
        <sz val="12"/>
        <color theme="1"/>
        <rFont val="Calibri"/>
        <family val="2"/>
        <scheme val="minor"/>
      </rPr>
      <t>ES(ES):</t>
    </r>
    <r>
      <rPr>
        <sz val="12"/>
        <color theme="1"/>
        <rFont val="Calibri"/>
        <family val="2"/>
        <scheme val="minor"/>
      </rPr>
      <t xml:space="preserve"> </t>
    </r>
    <r>
      <rPr>
        <b/>
        <sz val="12"/>
        <color theme="1"/>
        <rFont val="Calibri"/>
        <family val="2"/>
        <scheme val="minor"/>
      </rPr>
      <t>energizar / poner en tensión / encender</t>
    </r>
    <r>
      <rPr>
        <sz val="12"/>
        <color theme="1"/>
        <rFont val="Calibri"/>
        <family val="2"/>
        <scheme val="minor"/>
      </rPr>
      <t xml:space="preserve"> · </t>
    </r>
    <r>
      <rPr>
        <b/>
        <sz val="12"/>
        <color theme="1"/>
        <rFont val="Calibri"/>
        <family val="2"/>
        <scheme val="minor"/>
      </rPr>
      <t>ES(MX):</t>
    </r>
    <r>
      <rPr>
        <sz val="12"/>
        <color theme="1"/>
        <rFont val="Calibri"/>
        <family val="2"/>
        <scheme val="minor"/>
      </rPr>
      <t xml:space="preserve"> </t>
    </r>
    <r>
      <rPr>
        <b/>
        <sz val="12"/>
        <color theme="1"/>
        <rFont val="Calibri"/>
        <family val="2"/>
        <scheme val="minor"/>
      </rPr>
      <t>energizar / encender / prender</t>
    </r>
    <r>
      <rPr>
        <sz val="12"/>
        <color theme="1"/>
        <rFont val="Calibri"/>
        <family val="2"/>
        <scheme val="minor"/>
      </rPr>
      <t xml:space="preserve"> · </t>
    </r>
    <r>
      <rPr>
        <b/>
        <sz val="12"/>
        <color theme="1"/>
        <rFont val="Calibri"/>
        <family val="2"/>
        <scheme val="minor"/>
      </rPr>
      <t>ES(AR):</t>
    </r>
    <r>
      <rPr>
        <sz val="12"/>
        <color theme="1"/>
        <rFont val="Calibri"/>
        <family val="2"/>
        <scheme val="minor"/>
      </rPr>
      <t xml:space="preserve"> </t>
    </r>
    <r>
      <rPr>
        <b/>
        <sz val="12"/>
        <color theme="1"/>
        <rFont val="Calibri"/>
        <family val="2"/>
        <scheme val="minor"/>
      </rPr>
      <t>energizar / encender</t>
    </r>
  </si>
  <si>
    <t>dust with flour</t>
  </si>
  <si>
    <t>espolvorear con harina</t>
  </si>
  <si>
    <t>Légère farine sur plan/pâte pour éviter d’adhérer.</t>
  </si>
  <si>
    <t>Light dusting of flour on bench/dough to prevent sticking.</t>
  </si>
  <si>
    <t>Ligero espolvoreado de harina en mesa/masa para que no se pegue.</t>
  </si>
  <si>
    <r>
      <t xml:space="preserve">faire un essai → tester / essayer → test / try → </t>
    </r>
    <r>
      <rPr>
        <b/>
        <sz val="12"/>
        <color theme="1"/>
        <rFont val="Calibri"/>
        <family val="2"/>
        <scheme val="minor"/>
      </rPr>
      <t>probar / ensayar</t>
    </r>
    <r>
      <rPr>
        <sz val="12"/>
        <color theme="1"/>
        <rFont val="Calibri"/>
        <family val="2"/>
        <scheme val="minor"/>
      </rPr>
      <t xml:space="preserve"> — </t>
    </r>
    <r>
      <rPr>
        <b/>
        <sz val="12"/>
        <color theme="1"/>
        <rFont val="Calibri"/>
        <family val="2"/>
        <scheme val="minor"/>
      </rPr>
      <t>ES(ES):</t>
    </r>
    <r>
      <rPr>
        <sz val="12"/>
        <color theme="1"/>
        <rFont val="Calibri"/>
        <family val="2"/>
        <scheme val="minor"/>
      </rPr>
      <t xml:space="preserve"> </t>
    </r>
    <r>
      <rPr>
        <b/>
        <sz val="12"/>
        <color theme="1"/>
        <rFont val="Calibri"/>
        <family val="2"/>
        <scheme val="minor"/>
      </rPr>
      <t>hacer una prueba / probar / ensayar</t>
    </r>
    <r>
      <rPr>
        <sz val="12"/>
        <color theme="1"/>
        <rFont val="Calibri"/>
        <family val="2"/>
        <scheme val="minor"/>
      </rPr>
      <t xml:space="preserve"> · </t>
    </r>
    <r>
      <rPr>
        <b/>
        <sz val="12"/>
        <color theme="1"/>
        <rFont val="Calibri"/>
        <family val="2"/>
        <scheme val="minor"/>
      </rPr>
      <t>ES(MX):</t>
    </r>
    <r>
      <rPr>
        <sz val="12"/>
        <color theme="1"/>
        <rFont val="Calibri"/>
        <family val="2"/>
        <scheme val="minor"/>
      </rPr>
      <t xml:space="preserve"> </t>
    </r>
    <r>
      <rPr>
        <b/>
        <sz val="12"/>
        <color theme="1"/>
        <rFont val="Calibri"/>
        <family val="2"/>
        <scheme val="minor"/>
      </rPr>
      <t>hacer una prueba / probar / ensayar</t>
    </r>
    <r>
      <rPr>
        <sz val="12"/>
        <color theme="1"/>
        <rFont val="Calibri"/>
        <family val="2"/>
        <scheme val="minor"/>
      </rPr>
      <t xml:space="preserve"> · </t>
    </r>
    <r>
      <rPr>
        <b/>
        <sz val="12"/>
        <color theme="1"/>
        <rFont val="Calibri"/>
        <family val="2"/>
        <scheme val="minor"/>
      </rPr>
      <t>ES(AR):</t>
    </r>
    <r>
      <rPr>
        <sz val="12"/>
        <color theme="1"/>
        <rFont val="Calibri"/>
        <family val="2"/>
        <scheme val="minor"/>
      </rPr>
      <t xml:space="preserve"> </t>
    </r>
    <r>
      <rPr>
        <b/>
        <sz val="12"/>
        <color theme="1"/>
        <rFont val="Calibri"/>
        <family val="2"/>
        <scheme val="minor"/>
      </rPr>
      <t>hacer una prueba / probar / ensayar</t>
    </r>
  </si>
  <si>
    <r>
      <t xml:space="preserve">aerate; increase in volume; </t>
    </r>
    <r>
      <rPr>
        <b/>
        <sz val="11"/>
        <color theme="1"/>
        <rFont val="Calibri"/>
        <family val="2"/>
        <scheme val="minor"/>
      </rPr>
      <t>overrun</t>
    </r>
    <r>
      <rPr>
        <sz val="11"/>
        <color theme="1"/>
        <rFont val="Calibri"/>
        <family val="2"/>
        <scheme val="minor"/>
      </rPr>
      <t xml:space="preserve"> (ice cream)</t>
    </r>
  </si>
  <si>
    <r>
      <t>airear</t>
    </r>
    <r>
      <rPr>
        <sz val="11"/>
        <color theme="1"/>
        <rFont val="Calibri"/>
        <family val="2"/>
        <scheme val="minor"/>
      </rPr>
      <t xml:space="preserve">; </t>
    </r>
    <r>
      <rPr>
        <b/>
        <sz val="11"/>
        <color theme="1"/>
        <rFont val="Calibri"/>
        <family val="2"/>
        <scheme val="minor"/>
      </rPr>
      <t>mantecar</t>
    </r>
    <r>
      <rPr>
        <sz val="11"/>
        <color theme="1"/>
        <rFont val="Calibri"/>
        <family val="2"/>
        <scheme val="minor"/>
      </rPr>
      <t xml:space="preserve"> (helado)</t>
    </r>
  </si>
  <si>
    <t>Crèmes/chantilly/glaces : incorporer de l’air.</t>
  </si>
  <si>
    <t>Incorporate air (whipping/churning) into creams/ice cream.</t>
  </si>
  <si>
    <t>Incorporar aire (batido/mantecación) en cremas/helados.</t>
  </si>
  <si>
    <t>Foncer (un moule)</t>
  </si>
  <si>
    <t>line (a tin/shell)</t>
  </si>
  <si>
    <r>
      <t>forrar</t>
    </r>
    <r>
      <rPr>
        <sz val="11"/>
        <color theme="1"/>
        <rFont val="Calibri"/>
        <family val="2"/>
        <scheme val="minor"/>
      </rPr>
      <t xml:space="preserve"> (un molde)</t>
    </r>
  </si>
  <si>
    <t>Tarte/tourte : abaisser dans le moule.</t>
  </si>
  <si>
    <t>Line the tart/pie tin with rolled-out dough.</t>
  </si>
  <si>
    <t>Forrar el molde de tarta/empanada con la masa estirada.</t>
  </si>
  <si>
    <t>Service &amp; présentation</t>
  </si>
  <si>
    <t>Service &amp; presentation</t>
  </si>
  <si>
    <t>Servicio y presentación</t>
  </si>
  <si>
    <t>Beurre, chocolat, fromage.</t>
  </si>
  <si>
    <t>Gently melt butter, chocolate, or cheese.</t>
  </si>
  <si>
    <t>Fundir suavemente mantequilla, chocolate o queso.</t>
  </si>
  <si>
    <t>whisk; whip</t>
  </si>
  <si>
    <t>batir (con varillas)</t>
  </si>
  <si>
    <t>Monter crème, œufs, sauces émulsionnées.</t>
  </si>
  <si>
    <t>Whip creams/eggs; emulsify sauces.</t>
  </si>
  <si>
    <t>Batir natas/huevos; emulsionar salsas.</t>
  </si>
  <si>
    <r>
      <t xml:space="preserve">faire une assiette → dresser / garnir → plate / garnish → emplatar / guarnecer — </t>
    </r>
    <r>
      <rPr>
        <b/>
        <sz val="12"/>
        <color theme="1"/>
        <rFont val="Calibri"/>
        <family val="2"/>
        <scheme val="minor"/>
      </rPr>
      <t>ES(ES):</t>
    </r>
    <r>
      <rPr>
        <sz val="12"/>
        <color theme="1"/>
        <rFont val="Calibri"/>
        <family val="2"/>
        <scheme val="minor"/>
      </rPr>
      <t xml:space="preserve"> emplatar / guarnecer · </t>
    </r>
    <r>
      <rPr>
        <b/>
        <sz val="12"/>
        <color theme="1"/>
        <rFont val="Calibri"/>
        <family val="2"/>
        <scheme val="minor"/>
      </rPr>
      <t>ES(MX):</t>
    </r>
    <r>
      <rPr>
        <sz val="12"/>
        <color theme="1"/>
        <rFont val="Calibri"/>
        <family val="2"/>
        <scheme val="minor"/>
      </rPr>
      <t xml:space="preserve"> emplatar / </t>
    </r>
    <r>
      <rPr>
        <b/>
        <sz val="12"/>
        <color theme="1"/>
        <rFont val="Calibri"/>
        <family val="2"/>
        <scheme val="minor"/>
      </rPr>
      <t>montar el plato</t>
    </r>
    <r>
      <rPr>
        <sz val="12"/>
        <color theme="1"/>
        <rFont val="Calibri"/>
        <family val="2"/>
        <scheme val="minor"/>
      </rPr>
      <t xml:space="preserve"> / guarnecer · </t>
    </r>
    <r>
      <rPr>
        <b/>
        <sz val="12"/>
        <color theme="1"/>
        <rFont val="Calibri"/>
        <family val="2"/>
        <scheme val="minor"/>
      </rPr>
      <t>ES(AR):</t>
    </r>
    <r>
      <rPr>
        <sz val="12"/>
        <color theme="1"/>
        <rFont val="Calibri"/>
        <family val="2"/>
        <scheme val="minor"/>
      </rPr>
      <t xml:space="preserve"> emplatar / guarnecer</t>
    </r>
  </si>
  <si>
    <t>press/strain through a chinois</t>
  </si>
  <si>
    <t>pasar presionando por un chino</t>
  </si>
  <si>
    <t>Obtenir texture lisse/extraire jus.</t>
  </si>
  <si>
    <t>Press/strain through a chinois to smooth/extract juices.</t>
  </si>
  <si>
    <t>Pasar presionando por un chino para alisar/extraer jugos.</t>
  </si>
  <si>
    <r>
      <t xml:space="preserve">faire un envoi → envoyer / passer → send to pass → enviar a pase — </t>
    </r>
    <r>
      <rPr>
        <b/>
        <sz val="12"/>
        <color theme="1"/>
        <rFont val="Calibri"/>
        <family val="2"/>
        <scheme val="minor"/>
      </rPr>
      <t>ES(ES):</t>
    </r>
    <r>
      <rPr>
        <sz val="12"/>
        <color theme="1"/>
        <rFont val="Calibri"/>
        <family val="2"/>
        <scheme val="minor"/>
      </rPr>
      <t xml:space="preserve"> enviar </t>
    </r>
    <r>
      <rPr>
        <b/>
        <sz val="12"/>
        <color theme="1"/>
        <rFont val="Calibri"/>
        <family val="2"/>
        <scheme val="minor"/>
      </rPr>
      <t>al pase</t>
    </r>
    <r>
      <rPr>
        <sz val="12"/>
        <color theme="1"/>
        <rFont val="Calibri"/>
        <family val="2"/>
        <scheme val="minor"/>
      </rPr>
      <t xml:space="preserve"> · </t>
    </r>
    <r>
      <rPr>
        <b/>
        <sz val="12"/>
        <color theme="1"/>
        <rFont val="Calibri"/>
        <family val="2"/>
        <scheme val="minor"/>
      </rPr>
      <t>ES(MX):</t>
    </r>
    <r>
      <rPr>
        <sz val="12"/>
        <color theme="1"/>
        <rFont val="Calibri"/>
        <family val="2"/>
        <scheme val="minor"/>
      </rPr>
      <t xml:space="preserve"> enviar </t>
    </r>
    <r>
      <rPr>
        <b/>
        <sz val="12"/>
        <color theme="1"/>
        <rFont val="Calibri"/>
        <family val="2"/>
        <scheme val="minor"/>
      </rPr>
      <t>a la barra de pase / al pase</t>
    </r>
    <r>
      <rPr>
        <sz val="12"/>
        <color theme="1"/>
        <rFont val="Calibri"/>
        <family val="2"/>
        <scheme val="minor"/>
      </rPr>
      <t xml:space="preserve"> · </t>
    </r>
    <r>
      <rPr>
        <b/>
        <sz val="12"/>
        <color theme="1"/>
        <rFont val="Calibri"/>
        <family val="2"/>
        <scheme val="minor"/>
      </rPr>
      <t>ES(AR):</t>
    </r>
    <r>
      <rPr>
        <sz val="12"/>
        <color theme="1"/>
        <rFont val="Calibri"/>
        <family val="2"/>
        <scheme val="minor"/>
      </rPr>
      <t xml:space="preserve"> enviar </t>
    </r>
    <r>
      <rPr>
        <b/>
        <sz val="12"/>
        <color theme="1"/>
        <rFont val="Calibri"/>
        <family val="2"/>
        <scheme val="minor"/>
      </rPr>
      <t>al pase</t>
    </r>
  </si>
  <si>
    <t>fill (chocolates/pastry)</t>
  </si>
  <si>
    <t>Bonbons, croissants, choux.</t>
  </si>
  <si>
    <t>Fill chocolates/croissants/choux.</t>
  </si>
  <si>
    <t>Rellenar bombones/cruasanes/lionesas.</t>
  </si>
  <si>
    <r>
      <t xml:space="preserve">faire un assortiment → panacher / assortir → mix / assort → mezclar / combinar surtidos — </t>
    </r>
    <r>
      <rPr>
        <b/>
        <sz val="12"/>
        <color theme="1"/>
        <rFont val="Calibri"/>
        <family val="2"/>
        <scheme val="minor"/>
      </rPr>
      <t>ES(ES):</t>
    </r>
    <r>
      <rPr>
        <sz val="12"/>
        <color theme="1"/>
        <rFont val="Calibri"/>
        <family val="2"/>
        <scheme val="minor"/>
      </rPr>
      <t xml:space="preserve"> </t>
    </r>
    <r>
      <rPr>
        <b/>
        <sz val="12"/>
        <color theme="1"/>
        <rFont val="Calibri"/>
        <family val="2"/>
        <scheme val="minor"/>
      </rPr>
      <t>hacer un surtido</t>
    </r>
    <r>
      <rPr>
        <sz val="12"/>
        <color theme="1"/>
        <rFont val="Calibri"/>
        <family val="2"/>
        <scheme val="minor"/>
      </rPr>
      <t xml:space="preserve"> / combinar surtidos · </t>
    </r>
    <r>
      <rPr>
        <b/>
        <sz val="12"/>
        <color theme="1"/>
        <rFont val="Calibri"/>
        <family val="2"/>
        <scheme val="minor"/>
      </rPr>
      <t>ES(MX):</t>
    </r>
    <r>
      <rPr>
        <sz val="12"/>
        <color theme="1"/>
        <rFont val="Calibri"/>
        <family val="2"/>
        <scheme val="minor"/>
      </rPr>
      <t xml:space="preserve"> </t>
    </r>
    <r>
      <rPr>
        <b/>
        <sz val="12"/>
        <color theme="1"/>
        <rFont val="Calibri"/>
        <family val="2"/>
        <scheme val="minor"/>
      </rPr>
      <t>armar un surtido</t>
    </r>
    <r>
      <rPr>
        <sz val="12"/>
        <color theme="1"/>
        <rFont val="Calibri"/>
        <family val="2"/>
        <scheme val="minor"/>
      </rPr>
      <t xml:space="preserve"> / combinar · </t>
    </r>
    <r>
      <rPr>
        <b/>
        <sz val="12"/>
        <color theme="1"/>
        <rFont val="Calibri"/>
        <family val="2"/>
        <scheme val="minor"/>
      </rPr>
      <t>ES(AR):</t>
    </r>
    <r>
      <rPr>
        <sz val="12"/>
        <color theme="1"/>
        <rFont val="Calibri"/>
        <family val="2"/>
        <scheme val="minor"/>
      </rPr>
      <t xml:space="preserve"> </t>
    </r>
    <r>
      <rPr>
        <b/>
        <sz val="12"/>
        <color theme="1"/>
        <rFont val="Calibri"/>
        <family val="2"/>
        <scheme val="minor"/>
      </rPr>
      <t>armar un surtido</t>
    </r>
    <r>
      <rPr>
        <sz val="12"/>
        <color theme="1"/>
        <rFont val="Calibri"/>
        <family val="2"/>
        <scheme val="minor"/>
      </rPr>
      <t xml:space="preserve"> / combinar</t>
    </r>
  </si>
  <si>
    <r>
      <t xml:space="preserve">Fraiser </t>
    </r>
    <r>
      <rPr>
        <i/>
        <sz val="11"/>
        <color theme="1"/>
        <rFont val="Calibri"/>
        <family val="2"/>
        <scheme val="minor"/>
      </rPr>
      <t>(→ fraser)</t>
    </r>
  </si>
  <si>
    <t>smear to combine (dough)</t>
  </si>
  <si>
    <t>(véase “Fraser”)</t>
  </si>
  <si>
    <r>
      <t xml:space="preserve">Orthographe fréquente mais on vise </t>
    </r>
    <r>
      <rPr>
        <b/>
        <sz val="11"/>
        <color theme="1"/>
        <rFont val="Calibri"/>
        <family val="2"/>
        <scheme val="minor"/>
      </rPr>
      <t>fraser</t>
    </r>
    <r>
      <rPr>
        <sz val="11"/>
        <color theme="1"/>
        <rFont val="Calibri"/>
        <family val="2"/>
        <scheme val="minor"/>
      </rPr>
      <t>.</t>
    </r>
  </si>
  <si>
    <r>
      <t xml:space="preserve">Common misspelling; correct action is </t>
    </r>
    <r>
      <rPr>
        <b/>
        <sz val="11"/>
        <color theme="1"/>
        <rFont val="Calibri"/>
        <family val="2"/>
        <scheme val="minor"/>
      </rPr>
      <t>fraser</t>
    </r>
    <r>
      <rPr>
        <sz val="11"/>
        <color theme="1"/>
        <rFont val="Calibri"/>
        <family val="2"/>
        <scheme val="minor"/>
      </rPr>
      <t xml:space="preserve"> (smear dough to homogenize).</t>
    </r>
  </si>
  <si>
    <r>
      <t xml:space="preserve">Error frecuente; la acción correcta es </t>
    </r>
    <r>
      <rPr>
        <b/>
        <sz val="11"/>
        <color theme="1"/>
        <rFont val="Calibri"/>
        <family val="2"/>
        <scheme val="minor"/>
      </rPr>
      <t>fraser</t>
    </r>
    <r>
      <rPr>
        <sz val="11"/>
        <color theme="1"/>
        <rFont val="Calibri"/>
        <family val="2"/>
        <scheme val="minor"/>
      </rPr>
      <t xml:space="preserve"> (empujar la masa para homogeneizar).</t>
    </r>
  </si>
  <si>
    <t>chill/ice down; frappe (drink)</t>
  </si>
  <si>
    <r>
      <t>enfriar rápidamente</t>
    </r>
    <r>
      <rPr>
        <sz val="11"/>
        <color theme="1"/>
        <rFont val="Calibri"/>
        <family val="2"/>
        <scheme val="minor"/>
      </rPr>
      <t xml:space="preserve"> (baño de hielo)</t>
    </r>
  </si>
  <si>
    <t>Refroidir une cuve, un sirop, un shaker.</t>
  </si>
  <si>
    <t>Chill a tank/syrup/shaker quickly.</t>
  </si>
  <si>
    <t>Enfriar rápidamente una cuba/un jarabe/una coctelera.</t>
  </si>
  <si>
    <t>Astuce express</t>
  </si>
  <si>
    <t>Quick tip</t>
  </si>
  <si>
    <t>Truco exprés</t>
  </si>
  <si>
    <t>Fraser (pâtisserie)</t>
  </si>
  <si>
    <t>smear dough to homogeneize</t>
  </si>
  <si>
    <t>trabajar la masa con la palma para homogeneizar</t>
  </si>
  <si>
    <t>Sur marbre : pousser la pâte pour lier sans corser.</t>
  </si>
  <si>
    <t>On marble: smear the dough to bind without overworking gluten.</t>
  </si>
  <si>
    <t>En mármol: empujar la masa para ligar sin sobretrabajar el gluten.</t>
  </si>
  <si>
    <t>simmer gently (below boil)</t>
  </si>
  <si>
    <r>
      <t>hervir suavemente</t>
    </r>
    <r>
      <rPr>
        <sz val="11"/>
        <color theme="1"/>
        <rFont val="Calibri"/>
        <family val="2"/>
        <scheme val="minor"/>
      </rPr>
      <t xml:space="preserve"> (sin borbotear)</t>
    </r>
  </si>
  <si>
    <t>Petits frémissements ~95–98 °C.</t>
  </si>
  <si>
    <t>Gentle simmer ~95–98 °C.</t>
  </si>
  <si>
    <t>Hervor suave ~95–98 °C.</t>
  </si>
  <si>
    <r>
      <t xml:space="preserve">Quand tu hésites, remplace “faire” par le </t>
    </r>
    <r>
      <rPr>
        <b/>
        <sz val="12"/>
        <color theme="1"/>
        <rFont val="Calibri"/>
        <family val="2"/>
        <scheme val="minor"/>
      </rPr>
      <t>verbe technique</t>
    </r>
    <r>
      <rPr>
        <sz val="12"/>
        <color theme="1"/>
        <rFont val="Calibri"/>
        <family val="2"/>
        <scheme val="minor"/>
      </rPr>
      <t xml:space="preserve"> de l’action réelle :</t>
    </r>
  </si>
  <si>
    <t>fry; deep-fry</t>
  </si>
  <si>
    <t>freír</t>
  </si>
  <si>
    <t>À l’huile/gras, contrôler T° et croustillance.</t>
  </si>
  <si>
    <t>Fry in oil/fat; control temperature and crispness.</t>
  </si>
  <si>
    <t>Freír en aceite/grasa; controlar la temperatura y la textura crujiente.</t>
  </si>
  <si>
    <r>
      <t>faire une pesée</t>
    </r>
    <r>
      <rPr>
        <sz val="12"/>
        <color theme="1"/>
        <rFont val="Calibri"/>
        <family val="2"/>
        <scheme val="minor"/>
      </rPr>
      <t xml:space="preserve"> → </t>
    </r>
    <r>
      <rPr>
        <b/>
        <sz val="12"/>
        <color theme="1"/>
        <rFont val="Calibri"/>
        <family val="2"/>
        <scheme val="minor"/>
      </rPr>
      <t>peser</t>
    </r>
    <r>
      <rPr>
        <sz val="12"/>
        <color theme="1"/>
        <rFont val="Calibri"/>
        <family val="2"/>
        <scheme val="minor"/>
      </rPr>
      <t xml:space="preserve">, </t>
    </r>
    <r>
      <rPr>
        <i/>
        <sz val="12"/>
        <color theme="1"/>
        <rFont val="Calibri"/>
        <family val="2"/>
        <scheme val="minor"/>
      </rPr>
      <t>faire un refroidissement</t>
    </r>
    <r>
      <rPr>
        <sz val="12"/>
        <color theme="1"/>
        <rFont val="Calibri"/>
        <family val="2"/>
        <scheme val="minor"/>
      </rPr>
      <t xml:space="preserve"> → </t>
    </r>
    <r>
      <rPr>
        <b/>
        <sz val="12"/>
        <color theme="1"/>
        <rFont val="Calibri"/>
        <family val="2"/>
        <scheme val="minor"/>
      </rPr>
      <t>refroidir</t>
    </r>
    <r>
      <rPr>
        <sz val="12"/>
        <color theme="1"/>
        <rFont val="Calibri"/>
        <family val="2"/>
        <scheme val="minor"/>
      </rPr>
      <t xml:space="preserve">, </t>
    </r>
    <r>
      <rPr>
        <i/>
        <sz val="12"/>
        <color theme="1"/>
        <rFont val="Calibri"/>
        <family val="2"/>
        <scheme val="minor"/>
      </rPr>
      <t>faire un contrôle</t>
    </r>
    <r>
      <rPr>
        <sz val="12"/>
        <color theme="1"/>
        <rFont val="Calibri"/>
        <family val="2"/>
        <scheme val="minor"/>
      </rPr>
      <t xml:space="preserve"> → </t>
    </r>
    <r>
      <rPr>
        <b/>
        <sz val="12"/>
        <color theme="1"/>
        <rFont val="Calibri"/>
        <family val="2"/>
        <scheme val="minor"/>
      </rPr>
      <t>contrôler</t>
    </r>
    <r>
      <rPr>
        <sz val="12"/>
        <color theme="1"/>
        <rFont val="Calibri"/>
        <family val="2"/>
        <scheme val="minor"/>
      </rPr>
      <t xml:space="preserve">, </t>
    </r>
    <r>
      <rPr>
        <i/>
        <sz val="12"/>
        <color theme="1"/>
        <rFont val="Calibri"/>
        <family val="2"/>
        <scheme val="minor"/>
      </rPr>
      <t>faire une mise en bac</t>
    </r>
    <r>
      <rPr>
        <sz val="12"/>
        <color theme="1"/>
        <rFont val="Calibri"/>
        <family val="2"/>
        <scheme val="minor"/>
      </rPr>
      <t xml:space="preserve"> → </t>
    </r>
    <r>
      <rPr>
        <b/>
        <sz val="12"/>
        <color theme="1"/>
        <rFont val="Calibri"/>
        <family val="2"/>
        <scheme val="minor"/>
      </rPr>
      <t>mettre en bac</t>
    </r>
    <r>
      <rPr>
        <sz val="12"/>
        <color theme="1"/>
        <rFont val="Calibri"/>
        <family val="2"/>
        <scheme val="minor"/>
      </rPr>
      <t>, etc.</t>
    </r>
  </si>
  <si>
    <t>garnish; fill</t>
  </si>
  <si>
    <r>
      <t>guarnecer</t>
    </r>
    <r>
      <rPr>
        <sz val="11"/>
        <color theme="1"/>
        <rFont val="Calibri"/>
        <family val="2"/>
        <scheme val="minor"/>
      </rPr>
      <t xml:space="preserve">; </t>
    </r>
    <r>
      <rPr>
        <b/>
        <sz val="11"/>
        <color theme="1"/>
        <rFont val="Calibri"/>
        <family val="2"/>
        <scheme val="minor"/>
      </rPr>
      <t>rellenar</t>
    </r>
  </si>
  <si>
    <t>Garniture d’assiette ou farce/crème dans une pâte.</t>
  </si>
  <si>
    <t>Plate garnish, or fill pastry/dough with cream/filling.</t>
  </si>
  <si>
    <t>Guarnición de plato, o rellenar una masa/pastel con crema/relleno.</t>
  </si>
  <si>
    <t>When you’re unsure, replace “faire” with the technical verb for the actual action:</t>
  </si>
  <si>
    <t>gerbage</t>
  </si>
  <si>
    <t>stacking (pallets/crates)</t>
  </si>
  <si>
    <r>
      <t>apilado</t>
    </r>
    <r>
      <rPr>
        <sz val="11"/>
        <color theme="1"/>
        <rFont val="Calibri"/>
        <family val="2"/>
        <scheme val="minor"/>
      </rPr>
      <t xml:space="preserve"> (palets/cajas)</t>
    </r>
  </si>
  <si>
    <t>Logistique : empilement sur palettes/chariots.</t>
  </si>
  <si>
    <t>Logistics: stacking on pallets/trolleys.</t>
  </si>
  <si>
    <t>Logística: apilado en palets/carros.</t>
  </si>
  <si>
    <r>
      <t xml:space="preserve">do a weighing → </t>
    </r>
    <r>
      <rPr>
        <b/>
        <sz val="12"/>
        <color theme="1"/>
        <rFont val="Calibri"/>
        <family val="2"/>
        <scheme val="minor"/>
      </rPr>
      <t>weigh</t>
    </r>
    <r>
      <rPr>
        <sz val="12"/>
        <color theme="1"/>
        <rFont val="Calibri"/>
        <family val="2"/>
        <scheme val="minor"/>
      </rPr>
      <t xml:space="preserve">, do a chilling → </t>
    </r>
    <r>
      <rPr>
        <b/>
        <sz val="12"/>
        <color theme="1"/>
        <rFont val="Calibri"/>
        <family val="2"/>
        <scheme val="minor"/>
      </rPr>
      <t>chill</t>
    </r>
    <r>
      <rPr>
        <sz val="12"/>
        <color theme="1"/>
        <rFont val="Calibri"/>
        <family val="2"/>
        <scheme val="minor"/>
      </rPr>
      <t xml:space="preserve">, do a check → </t>
    </r>
    <r>
      <rPr>
        <b/>
        <sz val="12"/>
        <color theme="1"/>
        <rFont val="Calibri"/>
        <family val="2"/>
        <scheme val="minor"/>
      </rPr>
      <t>check</t>
    </r>
    <r>
      <rPr>
        <sz val="12"/>
        <color theme="1"/>
        <rFont val="Calibri"/>
        <family val="2"/>
        <scheme val="minor"/>
      </rPr>
      <t xml:space="preserve">, do a “mise en bac” → </t>
    </r>
    <r>
      <rPr>
        <b/>
        <sz val="12"/>
        <color theme="1"/>
        <rFont val="Calibri"/>
        <family val="2"/>
        <scheme val="minor"/>
      </rPr>
      <t>put into a tray/pan</t>
    </r>
    <r>
      <rPr>
        <sz val="12"/>
        <color theme="1"/>
        <rFont val="Calibri"/>
        <family val="2"/>
        <scheme val="minor"/>
      </rPr>
      <t>, etc.</t>
    </r>
  </si>
  <si>
    <t>stack; palletize</t>
  </si>
  <si>
    <r>
      <t>apilar</t>
    </r>
    <r>
      <rPr>
        <sz val="11"/>
        <color theme="1"/>
        <rFont val="Calibri"/>
        <family val="2"/>
        <scheme val="minor"/>
      </rPr>
      <t>; paletizar</t>
    </r>
  </si>
  <si>
    <t>Action d’empiler bacs/plateaux/palettes.</t>
  </si>
  <si>
    <t>Action of stacking bins/trays/pallets.</t>
  </si>
  <si>
    <t>Acción de apilar cubetas/bandejas/palets.</t>
  </si>
  <si>
    <t>glaze; ice/frost</t>
  </si>
  <si>
    <r>
      <t>glasear</t>
    </r>
    <r>
      <rPr>
        <sz val="11"/>
        <color theme="1"/>
        <rFont val="Calibri"/>
        <family val="2"/>
        <scheme val="minor"/>
      </rPr>
      <t xml:space="preserve">; </t>
    </r>
    <r>
      <rPr>
        <b/>
        <sz val="11"/>
        <color theme="1"/>
        <rFont val="Calibri"/>
        <family val="2"/>
        <scheme val="minor"/>
      </rPr>
      <t>bañar/glasar</t>
    </r>
  </si>
  <si>
    <t>Pâtisserie (glaçage), légumes « glacés » au beurre/sucre, viandes nappées brillantes.</t>
  </si>
  <si>
    <t>Pastry glazing; vegetables glazed with butter/sugar; meats coated to a glossy finish.</t>
  </si>
  <si>
    <t>Glaseado en pastelería; verduras glaseadas con mantequilla/azúcar; carnes napadas con brillo.</t>
  </si>
  <si>
    <t>Cuando dudes, sustituye «faire» por el verbo técnico de la acción real:</t>
  </si>
  <si>
    <t>brush with gum arabic; seal with gum</t>
  </si>
  <si>
    <t>barnizar con goma arábiga</t>
  </si>
  <si>
    <t>Pâtisserie/boulangerie : solution de gomme pour brillance/étanchéité.</t>
  </si>
  <si>
    <t>Pastry/bakery: gum arabic solution for shine/sealing.</t>
  </si>
  <si>
    <t>Pastelería/panadería: solución de goma arábiga para brillo/impermeabilizar.</t>
  </si>
  <si>
    <r>
      <t xml:space="preserve">hacer una pesada → </t>
    </r>
    <r>
      <rPr>
        <b/>
        <sz val="11"/>
        <color theme="1"/>
        <rFont val="Calibri"/>
        <family val="2"/>
        <scheme val="minor"/>
      </rPr>
      <t>pesar</t>
    </r>
    <r>
      <rPr>
        <sz val="11"/>
        <color theme="1"/>
        <rFont val="Calibri"/>
        <family val="2"/>
        <scheme val="minor"/>
      </rPr>
      <t xml:space="preserve">, hacer un enfriamiento → </t>
    </r>
    <r>
      <rPr>
        <b/>
        <sz val="11"/>
        <color theme="1"/>
        <rFont val="Calibri"/>
        <family val="2"/>
        <scheme val="minor"/>
      </rPr>
      <t>enfriar</t>
    </r>
    <r>
      <rPr>
        <sz val="11"/>
        <color theme="1"/>
        <rFont val="Calibri"/>
        <family val="2"/>
        <scheme val="minor"/>
      </rPr>
      <t xml:space="preserve">, hacer un control → </t>
    </r>
    <r>
      <rPr>
        <b/>
        <sz val="11"/>
        <color theme="1"/>
        <rFont val="Calibri"/>
        <family val="2"/>
        <scheme val="minor"/>
      </rPr>
      <t>controlar</t>
    </r>
    <r>
      <rPr>
        <sz val="11"/>
        <color theme="1"/>
        <rFont val="Calibri"/>
        <family val="2"/>
        <scheme val="minor"/>
      </rPr>
      <t xml:space="preserve">, hacer una “mise en bac” → </t>
    </r>
    <r>
      <rPr>
        <b/>
        <sz val="11"/>
        <color theme="1"/>
        <rFont val="Calibri"/>
        <family val="2"/>
        <scheme val="minor"/>
      </rPr>
      <t>poner en cubeta/bandeja</t>
    </r>
    <r>
      <rPr>
        <sz val="11"/>
        <color theme="1"/>
        <rFont val="Calibri"/>
        <family val="2"/>
        <scheme val="minor"/>
      </rPr>
      <t>, etc.</t>
    </r>
  </si>
  <si>
    <t>goûtage</t>
  </si>
  <si>
    <t>tasting; sampling</t>
  </si>
  <si>
    <r>
      <t>cata</t>
    </r>
    <r>
      <rPr>
        <sz val="11"/>
        <color theme="1"/>
        <rFont val="Calibri"/>
        <family val="2"/>
        <scheme val="minor"/>
      </rPr>
      <t>; degustación</t>
    </r>
  </si>
  <si>
    <t>Contrôle organoleptique/QA.</t>
  </si>
  <si>
    <t>Sensory check / QA.</t>
  </si>
  <si>
    <t>Control organoléptico / calidad.</t>
  </si>
  <si>
    <t>crystallize / turn grainy; seize (chocolate)</t>
  </si>
  <si>
    <r>
      <t>cristalizar</t>
    </r>
    <r>
      <rPr>
        <sz val="11"/>
        <color theme="1"/>
        <rFont val="Calibri"/>
        <family val="2"/>
        <scheme val="minor"/>
      </rPr>
      <t xml:space="preserve">; </t>
    </r>
    <r>
      <rPr>
        <b/>
        <sz val="11"/>
        <color theme="1"/>
        <rFont val="Calibri"/>
        <family val="2"/>
        <scheme val="minor"/>
      </rPr>
      <t>cortarse/granear</t>
    </r>
  </si>
  <si>
    <t>Sucre qui « graine », ganache/émulsion qui tranche.</t>
  </si>
  <si>
    <t>Sugar recrystallizing; ganache/emulsion splitting.</t>
  </si>
  <si>
    <t>Azúcar que recristaliza; ganache/emulsión que se corta.</t>
  </si>
  <si>
    <t>grease; oil</t>
  </si>
  <si>
    <r>
      <t>engrasar</t>
    </r>
    <r>
      <rPr>
        <sz val="11"/>
        <color theme="1"/>
        <rFont val="Calibri"/>
        <family val="2"/>
        <scheme val="minor"/>
      </rPr>
      <t>; aceitar</t>
    </r>
  </si>
  <si>
    <t>Plaques, moules, charnières de machines.</t>
  </si>
  <si>
    <t>Trays, molds, machine hinges.</t>
  </si>
  <si>
    <t>Bandejas, moldes, bisagras de máquinas.</t>
  </si>
  <si>
    <t>gratinate; brown under the grill</t>
  </si>
  <si>
    <r>
      <t>gratin ar</t>
    </r>
    <r>
      <rPr>
        <sz val="11"/>
        <color theme="1"/>
        <rFont val="Calibri"/>
        <family val="2"/>
        <scheme val="minor"/>
      </rPr>
      <t>/</t>
    </r>
    <r>
      <rPr>
        <b/>
        <sz val="11"/>
        <color theme="1"/>
        <rFont val="Calibri"/>
        <family val="2"/>
        <scheme val="minor"/>
      </rPr>
      <t>gratinar</t>
    </r>
  </si>
  <si>
    <t>Croûte dorée (fromage/chapelure) au four/salamandre.</t>
  </si>
  <si>
    <t>Golden crust (cheese/crumbs) under oven/salamander.</t>
  </si>
  <si>
    <t>Costra dorada (queso/pan rallado) al horno/salamandra.</t>
  </si>
  <si>
    <t>grill; toast; sear</t>
  </si>
  <si>
    <r>
      <t>asar a la parrilla</t>
    </r>
    <r>
      <rPr>
        <sz val="11"/>
        <color theme="1"/>
        <rFont val="Calibri"/>
        <family val="2"/>
        <scheme val="minor"/>
      </rPr>
      <t>; tostar</t>
    </r>
  </si>
  <si>
    <t>Viandes/poissons au gril ; pain/noix « toaster ».</t>
  </si>
  <si>
    <t>Meats/fish on the grill; toast bread/nuts.</t>
  </si>
  <si>
    <t>Carnes/pescados a la parrilla; tostar pan/frutos secos.</t>
  </si>
  <si>
    <t>dress/clean (fish, game, poultry)</t>
  </si>
  <si>
    <r>
      <t>limpiar y preparar</t>
    </r>
    <r>
      <rPr>
        <sz val="11"/>
        <color theme="1"/>
        <rFont val="Calibri"/>
        <family val="2"/>
        <scheme val="minor"/>
      </rPr>
      <t>; eviscerar (pescado/ave)</t>
    </r>
  </si>
  <si>
    <t>Préparer avant cuisson : écailler/vider (poisson), déplumer/vider (volaille), parer (gibier).</t>
  </si>
  <si>
    <t>Prep before cooking: scale/gut fish, pluck/gut poultry, trim/pare game.</t>
  </si>
  <si>
    <t>Preparar antes de la cocción: desescamar/eviscerar pescado, desplumar/eviscerar aves, parear/recortar caza.</t>
  </si>
  <si>
    <t>chop; mince/grind</t>
  </si>
  <si>
    <r>
      <t>picar</t>
    </r>
    <r>
      <rPr>
        <sz val="11"/>
        <color theme="1"/>
        <rFont val="Calibri"/>
        <family val="2"/>
        <scheme val="minor"/>
      </rPr>
      <t xml:space="preserve">; </t>
    </r>
    <r>
      <rPr>
        <b/>
        <sz val="11"/>
        <color theme="1"/>
        <rFont val="Calibri"/>
        <family val="2"/>
        <scheme val="minor"/>
      </rPr>
      <t>moler/triturar</t>
    </r>
    <r>
      <rPr>
        <sz val="11"/>
        <color theme="1"/>
        <rFont val="Calibri"/>
        <family val="2"/>
        <scheme val="minor"/>
      </rPr>
      <t xml:space="preserve"> (carne)</t>
    </r>
  </si>
  <si>
    <t>Couteau : « chop/picar » ; hachoir/moulin : « mince/grind/moler ».</t>
  </si>
  <si>
    <r>
      <t xml:space="preserve">By knife: </t>
    </r>
    <r>
      <rPr>
        <b/>
        <sz val="11"/>
        <color theme="1"/>
        <rFont val="Calibri"/>
        <family val="2"/>
        <scheme val="minor"/>
      </rPr>
      <t>chop</t>
    </r>
    <r>
      <rPr>
        <sz val="11"/>
        <color theme="1"/>
        <rFont val="Calibri"/>
        <family val="2"/>
        <scheme val="minor"/>
      </rPr>
      <t xml:space="preserve">; with grinder/mill: </t>
    </r>
    <r>
      <rPr>
        <b/>
        <sz val="11"/>
        <color theme="1"/>
        <rFont val="Calibri"/>
        <family val="2"/>
        <scheme val="minor"/>
      </rPr>
      <t>mince/grind</t>
    </r>
    <r>
      <rPr>
        <sz val="11"/>
        <color theme="1"/>
        <rFont val="Calibri"/>
        <family val="2"/>
        <scheme val="minor"/>
      </rPr>
      <t>.</t>
    </r>
  </si>
  <si>
    <r>
      <t xml:space="preserve">Con cuchillo: </t>
    </r>
    <r>
      <rPr>
        <b/>
        <sz val="11"/>
        <color theme="1"/>
        <rFont val="Calibri"/>
        <family val="2"/>
        <scheme val="minor"/>
      </rPr>
      <t>picar</t>
    </r>
    <r>
      <rPr>
        <sz val="11"/>
        <color theme="1"/>
        <rFont val="Calibri"/>
        <family val="2"/>
        <scheme val="minor"/>
      </rPr>
      <t xml:space="preserve">; con picadora/molino: </t>
    </r>
    <r>
      <rPr>
        <b/>
        <sz val="11"/>
        <color theme="1"/>
        <rFont val="Calibri"/>
        <family val="2"/>
        <scheme val="minor"/>
      </rPr>
      <t>moler/triturar</t>
    </r>
    <r>
      <rPr>
        <sz val="11"/>
        <color theme="1"/>
        <rFont val="Calibri"/>
        <family val="2"/>
        <scheme val="minor"/>
      </rPr>
      <t>.</t>
    </r>
  </si>
  <si>
    <t>ornament; embellish (with motifs)</t>
  </si>
  <si>
    <r>
      <t>ornamentar</t>
    </r>
    <r>
      <rPr>
        <sz val="11"/>
        <color theme="1"/>
        <rFont val="Calibri"/>
        <family val="2"/>
        <scheme val="minor"/>
      </rPr>
      <t xml:space="preserve">; </t>
    </r>
    <r>
      <rPr>
        <b/>
        <sz val="11"/>
        <color theme="1"/>
        <rFont val="Calibri"/>
        <family val="2"/>
        <scheme val="minor"/>
      </rPr>
      <t>decorar con motivos</t>
    </r>
  </si>
  <si>
    <t>Terme rare/littéraire : décors figuratifs en pâtisserie/présentation.</t>
  </si>
  <si>
    <t>Rare/literary term: figurative/ornamental decorations in pastry/plating.</t>
  </si>
  <si>
    <t>Término raro/literario: decoraciones figurativas/ornamentales en pastelería/emplatado.</t>
  </si>
  <si>
    <t>oil; grease with oil</t>
  </si>
  <si>
    <r>
      <t>aceitar</t>
    </r>
    <r>
      <rPr>
        <sz val="11"/>
        <color theme="1"/>
        <rFont val="Calibri"/>
        <family val="2"/>
        <scheme val="minor"/>
      </rPr>
      <t>; engrasar con aceite</t>
    </r>
  </si>
  <si>
    <t>Huiler plaque, moule, plancha ou assaisonner en filet/pinceau.</t>
  </si>
  <si>
    <t>Oil a tray/mold/griddle or drizzle/brush as seasoning.</t>
  </si>
  <si>
    <t>Aceitar una bandeja/molde/plancha o aderezar en hilo/pincelar.</t>
  </si>
  <si>
    <t>imbiber</t>
  </si>
  <si>
    <r>
      <t xml:space="preserve">soak; </t>
    </r>
    <r>
      <rPr>
        <b/>
        <sz val="11"/>
        <color theme="1"/>
        <rFont val="Calibri"/>
        <family val="2"/>
        <scheme val="minor"/>
      </rPr>
      <t>soak with syrup</t>
    </r>
  </si>
  <si>
    <r>
      <t>calar / emborrachar</t>
    </r>
    <r>
      <rPr>
        <sz val="11"/>
        <color theme="1"/>
        <rFont val="Calibri"/>
        <family val="2"/>
        <scheme val="minor"/>
      </rPr>
      <t xml:space="preserve"> (bizcocho); impregnar</t>
    </r>
  </si>
  <si>
    <t>Pâtisserie : sirop sur biscuit = to soak/calar/emborrachar.</t>
  </si>
  <si>
    <r>
      <t>Pastry: soak a sponge with syrup (</t>
    </r>
    <r>
      <rPr>
        <i/>
        <sz val="11"/>
        <color theme="1"/>
        <rFont val="Calibri"/>
        <family val="2"/>
        <scheme val="minor"/>
      </rPr>
      <t>to soak</t>
    </r>
    <r>
      <rPr>
        <sz val="11"/>
        <color theme="1"/>
        <rFont val="Calibri"/>
        <family val="2"/>
        <scheme val="minor"/>
      </rPr>
      <t>).</t>
    </r>
  </si>
  <si>
    <r>
      <t xml:space="preserve">Pastelería: </t>
    </r>
    <r>
      <rPr>
        <b/>
        <sz val="11"/>
        <color theme="1"/>
        <rFont val="Calibri"/>
        <family val="2"/>
        <scheme val="minor"/>
      </rPr>
      <t>calar/emborrachar</t>
    </r>
    <r>
      <rPr>
        <sz val="11"/>
        <color theme="1"/>
        <rFont val="Calibri"/>
        <family val="2"/>
        <scheme val="minor"/>
      </rPr>
      <t xml:space="preserve"> un bizcocho con almíbar.</t>
    </r>
  </si>
  <si>
    <t>score; make shallow cuts</t>
  </si>
  <si>
    <r>
      <t>hacer incisiones</t>
    </r>
    <r>
      <rPr>
        <sz val="11"/>
        <color theme="1"/>
        <rFont val="Calibri"/>
        <family val="2"/>
        <scheme val="minor"/>
      </rPr>
      <t xml:space="preserve">; </t>
    </r>
    <r>
      <rPr>
        <i/>
        <sz val="11"/>
        <color theme="1"/>
        <rFont val="Calibri"/>
        <family val="2"/>
        <scheme val="minor"/>
      </rPr>
      <t>(panificación)</t>
    </r>
    <r>
      <rPr>
        <sz val="11"/>
        <color theme="1"/>
        <rFont val="Calibri"/>
        <family val="2"/>
        <scheme val="minor"/>
      </rPr>
      <t xml:space="preserve"> </t>
    </r>
    <r>
      <rPr>
        <b/>
        <sz val="11"/>
        <color theme="1"/>
        <rFont val="Calibri"/>
        <family val="2"/>
        <scheme val="minor"/>
      </rPr>
      <t>greñar</t>
    </r>
  </si>
  <si>
    <t>Peau de poisson/viande : score ; pain : greñar.</t>
  </si>
  <si>
    <t>Score fish/meat skin; for bread: score/slash (create grignes).</t>
  </si>
  <si>
    <r>
      <t xml:space="preserve">Practicar cortes en la piel de pescado/carne; en pan: </t>
    </r>
    <r>
      <rPr>
        <b/>
        <sz val="11"/>
        <color theme="1"/>
        <rFont val="Calibri"/>
        <family val="2"/>
        <scheme val="minor"/>
      </rPr>
      <t>greñar</t>
    </r>
    <r>
      <rPr>
        <sz val="11"/>
        <color theme="1"/>
        <rFont val="Calibri"/>
        <family val="2"/>
        <scheme val="minor"/>
      </rPr>
      <t xml:space="preserve"> (hacer cortes).</t>
    </r>
  </si>
  <si>
    <t>Fold/Incorporate</t>
  </si>
  <si>
    <t>Incorporar</t>
  </si>
  <si>
    <t>Ajouter progressivement sans faire retomber.</t>
  </si>
  <si>
    <t>Add gradually without deflating.</t>
  </si>
  <si>
    <t>Incorporar poco a poco sin bajar la mezcla.</t>
  </si>
  <si>
    <r>
      <t>packaging instructions</t>
    </r>
    <r>
      <rPr>
        <sz val="11"/>
        <color theme="1"/>
        <rFont val="Calibri"/>
        <family val="2"/>
        <scheme val="minor"/>
      </rPr>
      <t>; pack/labelling notes</t>
    </r>
  </si>
  <si>
    <r>
      <t>instrucciones de envasado</t>
    </r>
    <r>
      <rPr>
        <sz val="11"/>
        <color theme="1"/>
        <rFont val="Calibri"/>
        <family val="2"/>
        <scheme val="minor"/>
      </rPr>
      <t>; indicaciones de etiquetado</t>
    </r>
  </si>
  <si>
    <t>Fiches prod : grammage, barquette, film, DLC, lot, étiquettes, ATM, etc.</t>
  </si>
  <si>
    <t>Packaging sheet: weights, tray/film type, use-by date, lot, labels, MAP, etc.</t>
  </si>
  <si>
    <r>
      <t xml:space="preserve">Ficha de envasado: gramajes, tipo de barqueta/film, fecha de caducidad, lote, etiquetas, </t>
    </r>
    <r>
      <rPr>
        <b/>
        <sz val="11"/>
        <color theme="1"/>
        <rFont val="Calibri"/>
        <family val="2"/>
        <scheme val="minor"/>
      </rPr>
      <t>ATM</t>
    </r>
    <r>
      <rPr>
        <sz val="11"/>
        <color theme="1"/>
        <rFont val="Calibri"/>
        <family val="2"/>
        <scheme val="minor"/>
      </rPr>
      <t xml:space="preserve"> (atmósfera modificada), etc.</t>
    </r>
  </si>
  <si>
    <t>infuse; steep</t>
  </si>
  <si>
    <r>
      <t>infusionar</t>
    </r>
    <r>
      <rPr>
        <sz val="11"/>
        <color theme="1"/>
        <rFont val="Calibri"/>
        <family val="2"/>
        <scheme val="minor"/>
      </rPr>
      <t>; macerar</t>
    </r>
  </si>
  <si>
    <t>Liquides/arômes (thé, vanille, herbes) ; à chaud ou à froid.</t>
  </si>
  <si>
    <t>Infuse liquids/flavors (tea, vanilla, herbs), hot or cold.</t>
  </si>
  <si>
    <t>Infusionar líquidos/aromas (té, vainilla, hierbas), en caliente o en frío.</t>
  </si>
  <si>
    <t>inspect; examine</t>
  </si>
  <si>
    <r>
      <t>inspeccionar</t>
    </r>
    <r>
      <rPr>
        <sz val="11"/>
        <color theme="1"/>
        <rFont val="Calibri"/>
        <family val="2"/>
        <scheme val="minor"/>
      </rPr>
      <t>; examinar</t>
    </r>
  </si>
  <si>
    <t>Contrôle visuel/HACCP, audit poste/équipement.</t>
  </si>
  <si>
    <t>Visual/HACCP inspection; station/equipment audit.</t>
  </si>
  <si>
    <t>Inspección visual/APPCC; auditoría de puesto/equipo.</t>
  </si>
  <si>
    <t>interstockage</t>
  </si>
  <si>
    <t>intermediate/buffer storage</t>
  </si>
  <si>
    <t>almacenamiento intermedio / buffer</t>
  </si>
  <si>
    <t>Zone/période tampon entre deux étapes (refroidissement, attente de conditionnement).</t>
  </si>
  <si>
    <t>Buffer area/time between steps (cooling, waiting for packaging).</t>
  </si>
  <si>
    <r>
      <t xml:space="preserve">Zona/periodo </t>
    </r>
    <r>
      <rPr>
        <b/>
        <sz val="11"/>
        <color theme="1"/>
        <rFont val="Calibri"/>
        <family val="2"/>
        <scheme val="minor"/>
      </rPr>
      <t>buffer</t>
    </r>
    <r>
      <rPr>
        <sz val="11"/>
        <color theme="1"/>
        <rFont val="Calibri"/>
        <family val="2"/>
        <scheme val="minor"/>
      </rPr>
      <t xml:space="preserve"> entre etapas (enfriado, espera para envasado).</t>
    </r>
  </si>
  <si>
    <r>
      <t xml:space="preserve">throw away; discard; </t>
    </r>
    <r>
      <rPr>
        <b/>
        <sz val="11"/>
        <color theme="1"/>
        <rFont val="Calibri"/>
        <family val="2"/>
        <scheme val="minor"/>
      </rPr>
      <t>add/drop into</t>
    </r>
    <r>
      <rPr>
        <sz val="11"/>
        <color theme="1"/>
        <rFont val="Calibri"/>
        <family val="2"/>
        <scheme val="minor"/>
      </rPr>
      <t xml:space="preserve"> (boiling water/oil)</t>
    </r>
  </si>
  <si>
    <r>
      <t>tirar</t>
    </r>
    <r>
      <rPr>
        <sz val="11"/>
        <color theme="1"/>
        <rFont val="Calibri"/>
        <family val="2"/>
        <scheme val="minor"/>
      </rPr>
      <t xml:space="preserve">; desechar; </t>
    </r>
    <r>
      <rPr>
        <b/>
        <sz val="11"/>
        <color theme="1"/>
        <rFont val="Calibri"/>
        <family val="2"/>
        <scheme val="minor"/>
      </rPr>
      <t>echar</t>
    </r>
    <r>
      <rPr>
        <sz val="11"/>
        <color theme="1"/>
        <rFont val="Calibri"/>
        <family val="2"/>
        <scheme val="minor"/>
      </rPr>
      <t xml:space="preserve"> (a agua/aceite hirviendo)</t>
    </r>
  </si>
  <si>
    <t>1) Rebut : « jeter une préparation » = discard.</t>
  </si>
  <si>
    <r>
      <t xml:space="preserve">1) Waste: </t>
    </r>
    <r>
      <rPr>
        <b/>
        <sz val="11"/>
        <color theme="1"/>
        <rFont val="Calibri"/>
        <family val="2"/>
        <scheme val="minor"/>
      </rPr>
      <t>discard</t>
    </r>
    <r>
      <rPr>
        <sz val="11"/>
        <color theme="1"/>
        <rFont val="Calibri"/>
        <family val="2"/>
        <scheme val="minor"/>
      </rPr>
      <t xml:space="preserve"> a preparation.</t>
    </r>
  </si>
  <si>
    <r>
      <t xml:space="preserve">1) Merma: </t>
    </r>
    <r>
      <rPr>
        <b/>
        <sz val="11"/>
        <color theme="1"/>
        <rFont val="Calibri"/>
        <family val="2"/>
        <scheme val="minor"/>
      </rPr>
      <t>desechar</t>
    </r>
    <r>
      <rPr>
        <sz val="11"/>
        <color theme="1"/>
        <rFont val="Calibri"/>
        <family val="2"/>
        <scheme val="minor"/>
      </rPr>
      <t xml:space="preserve"> una preparación.</t>
    </r>
  </si>
  <si>
    <t>2) Mise en cuisson : « jeter les pâtes » = add/drop pasta into boiling water.</t>
  </si>
  <si>
    <r>
      <t xml:space="preserve">2) Cooking: </t>
    </r>
    <r>
      <rPr>
        <b/>
        <sz val="11"/>
        <color theme="1"/>
        <rFont val="Calibri"/>
        <family val="2"/>
        <scheme val="minor"/>
      </rPr>
      <t>add/drop the pasta into boiling water</t>
    </r>
    <r>
      <rPr>
        <sz val="11"/>
        <color theme="1"/>
        <rFont val="Calibri"/>
        <family val="2"/>
        <scheme val="minor"/>
      </rPr>
      <t>.</t>
    </r>
  </si>
  <si>
    <r>
      <t xml:space="preserve">2) Cocción: </t>
    </r>
    <r>
      <rPr>
        <b/>
        <sz val="11"/>
        <color theme="1"/>
        <rFont val="Calibri"/>
        <family val="2"/>
        <scheme val="minor"/>
      </rPr>
      <t>echar la pasta al agua hirviendo</t>
    </r>
    <r>
      <rPr>
        <sz val="11"/>
        <color theme="1"/>
        <rFont val="Calibri"/>
        <family val="2"/>
        <scheme val="minor"/>
      </rPr>
      <t>.</t>
    </r>
  </si>
  <si>
    <t>3) « Jeter en pluie » (semoule, polenta) = sprinkle in pour éviter les grumeaux.</t>
  </si>
  <si>
    <r>
      <t xml:space="preserve">3) </t>
    </r>
    <r>
      <rPr>
        <b/>
        <sz val="11"/>
        <color theme="1"/>
        <rFont val="Calibri"/>
        <family val="2"/>
        <scheme val="minor"/>
      </rPr>
      <t>Sprinkle in</t>
    </r>
    <r>
      <rPr>
        <sz val="11"/>
        <color theme="1"/>
        <rFont val="Calibri"/>
        <family val="2"/>
        <scheme val="minor"/>
      </rPr>
      <t xml:space="preserve"> (semolina, polenta) to avoid lumps.</t>
    </r>
  </si>
  <si>
    <r>
      <t xml:space="preserve">3) </t>
    </r>
    <r>
      <rPr>
        <b/>
        <sz val="11"/>
        <color theme="1"/>
        <rFont val="Calibri"/>
        <family val="2"/>
        <scheme val="minor"/>
      </rPr>
      <t>Echar en lluvia</t>
    </r>
    <r>
      <rPr>
        <sz val="11"/>
        <color theme="1"/>
        <rFont val="Calibri"/>
        <family val="2"/>
        <scheme val="minor"/>
      </rPr>
      <t xml:space="preserve"> (sémola, polenta) para evitar grumos.</t>
    </r>
  </si>
  <si>
    <t>lard (insert strips of fat/bacon)</t>
  </si>
  <si>
    <r>
      <t>mechar</t>
    </r>
    <r>
      <rPr>
        <sz val="11"/>
        <color theme="1"/>
        <rFont val="Calibri"/>
        <family val="2"/>
        <scheme val="minor"/>
      </rPr>
      <t xml:space="preserve"> (con tocino)</t>
    </r>
  </si>
  <si>
    <t>Piquer de lardons pour protéger/arroser la pièce à la cuisson.</t>
  </si>
  <si>
    <t>Insert lardoons to baste/protect the meat during cooking (lard).</t>
  </si>
  <si>
    <t>Mechar con tiras de tocino para proteger/regarse durante la cocción.</t>
  </si>
  <si>
    <t>lavage</t>
  </si>
  <si>
    <t>washing (step)</t>
  </si>
  <si>
    <t>lavado</t>
  </si>
  <si>
    <t>Étape d’hygiène produit/ustensiles/bacs.</t>
  </si>
  <si>
    <t>Washing/cleaning stage for product, utensils, and bins.</t>
  </si>
  <si>
    <t>Etapa de lavado/limpieza de producto, utensilios y cubetas.</t>
  </si>
  <si>
    <t>wash; rinse</t>
  </si>
  <si>
    <r>
      <t>lavar</t>
    </r>
    <r>
      <rPr>
        <sz val="11"/>
        <color theme="1"/>
        <rFont val="Calibri"/>
        <family val="2"/>
        <scheme val="minor"/>
      </rPr>
      <t>; enjuagar</t>
    </r>
  </si>
  <si>
    <t>Sous eau potable, en respectant les flux propres/sales.</t>
  </si>
  <si>
    <t>Wash under potable water, respecting clean/dirty flows.</t>
  </si>
  <si>
    <t>Lavar con agua potable respetando flujos limpio/sucio.</t>
  </si>
  <si>
    <r>
      <t xml:space="preserve">1) </t>
    </r>
    <r>
      <rPr>
        <b/>
        <sz val="11"/>
        <color theme="1"/>
        <rFont val="Calibri"/>
        <family val="2"/>
        <scheme val="minor"/>
      </rPr>
      <t>fillet</t>
    </r>
    <r>
      <rPr>
        <sz val="11"/>
        <color theme="1"/>
        <rFont val="Calibri"/>
        <family val="2"/>
        <scheme val="minor"/>
      </rPr>
      <t xml:space="preserve"> (a fish) 2) </t>
    </r>
    <r>
      <rPr>
        <b/>
        <sz val="11"/>
        <color theme="1"/>
        <rFont val="Calibri"/>
        <family val="2"/>
        <scheme val="minor"/>
      </rPr>
      <t>let dough rise / proof</t>
    </r>
  </si>
  <si>
    <r>
      <t xml:space="preserve">1) </t>
    </r>
    <r>
      <rPr>
        <b/>
        <sz val="11"/>
        <color theme="1"/>
        <rFont val="Calibri"/>
        <family val="2"/>
        <scheme val="minor"/>
      </rPr>
      <t>filetear/sacar lomos</t>
    </r>
    <r>
      <rPr>
        <sz val="11"/>
        <color theme="1"/>
        <rFont val="Calibri"/>
        <family val="2"/>
        <scheme val="minor"/>
      </rPr>
      <t xml:space="preserve"> 2) </t>
    </r>
    <r>
      <rPr>
        <b/>
        <sz val="11"/>
        <color theme="1"/>
        <rFont val="Calibri"/>
        <family val="2"/>
        <scheme val="minor"/>
      </rPr>
      <t>dejar levar/fermentar</t>
    </r>
  </si>
  <si>
    <t>« Lever des filets » (poisson) ; « laisser lever » une pâte (BVP).</t>
  </si>
  <si>
    <r>
      <t xml:space="preserve">Fish: </t>
    </r>
    <r>
      <rPr>
        <b/>
        <sz val="11"/>
        <color theme="1"/>
        <rFont val="Calibri"/>
        <family val="2"/>
        <scheme val="minor"/>
      </rPr>
      <t>fillet</t>
    </r>
    <r>
      <rPr>
        <sz val="11"/>
        <color theme="1"/>
        <rFont val="Calibri"/>
        <family val="2"/>
        <scheme val="minor"/>
      </rPr>
      <t xml:space="preserve"> (lift the fillets); bakery: </t>
    </r>
    <r>
      <rPr>
        <b/>
        <sz val="11"/>
        <color theme="1"/>
        <rFont val="Calibri"/>
        <family val="2"/>
        <scheme val="minor"/>
      </rPr>
      <t>let the dough rise/proof</t>
    </r>
    <r>
      <rPr>
        <sz val="11"/>
        <color theme="1"/>
        <rFont val="Calibri"/>
        <family val="2"/>
        <scheme val="minor"/>
      </rPr>
      <t>.</t>
    </r>
  </si>
  <si>
    <r>
      <t xml:space="preserve">Pescado: </t>
    </r>
    <r>
      <rPr>
        <b/>
        <sz val="11"/>
        <color theme="1"/>
        <rFont val="Calibri"/>
        <family val="2"/>
        <scheme val="minor"/>
      </rPr>
      <t>filetear</t>
    </r>
    <r>
      <rPr>
        <sz val="11"/>
        <color theme="1"/>
        <rFont val="Calibri"/>
        <family val="2"/>
        <scheme val="minor"/>
      </rPr>
      <t xml:space="preserve"> (sacar los lomos); panadería: </t>
    </r>
    <r>
      <rPr>
        <b/>
        <sz val="11"/>
        <color theme="1"/>
        <rFont val="Calibri"/>
        <family val="2"/>
        <scheme val="minor"/>
      </rPr>
      <t>dejar levar/fermentar</t>
    </r>
    <r>
      <rPr>
        <sz val="11"/>
        <color theme="1"/>
        <rFont val="Calibri"/>
        <family val="2"/>
        <scheme val="minor"/>
      </rPr>
      <t>.</t>
    </r>
  </si>
  <si>
    <t>Bind/Thicken</t>
  </si>
  <si>
    <t>Ligar</t>
  </si>
  <si>
    <t>Liaison (jaune+crème), roux, fécule, beurre manié, gélatine.</t>
  </si>
  <si>
    <t>Thicken with liaison (egg yolk+cream), roux, starch, beurre manié, gelatin.</t>
  </si>
  <si>
    <r>
      <t xml:space="preserve">Espesar con ligazón (yema+nata), roux, almidón, </t>
    </r>
    <r>
      <rPr>
        <i/>
        <sz val="11"/>
        <color theme="1"/>
        <rFont val="Calibri"/>
        <family val="2"/>
        <scheme val="minor"/>
      </rPr>
      <t>beurre manié</t>
    </r>
    <r>
      <rPr>
        <sz val="11"/>
        <color theme="1"/>
        <rFont val="Calibri"/>
        <family val="2"/>
        <scheme val="minor"/>
      </rPr>
      <t>, gelatina.</t>
    </r>
  </si>
  <si>
    <t>clean off slime/blood (under running water)</t>
  </si>
  <si>
    <r>
      <t>limpiar</t>
    </r>
    <r>
      <rPr>
        <sz val="11"/>
        <color theme="1"/>
        <rFont val="Calibri"/>
        <family val="2"/>
        <scheme val="minor"/>
      </rPr>
      <t xml:space="preserve"> (quitar mucosidad/sangre bajo el grifo)</t>
    </r>
  </si>
  <si>
    <t>Poisson/abats : rinçage pour ôter limon/impuretés. Terme fr. spécifique.</t>
  </si>
  <si>
    <r>
      <t xml:space="preserve">Rinse fish/offal to remove slime/mud and impurities (FR-specific term </t>
    </r>
    <r>
      <rPr>
        <i/>
        <sz val="11"/>
        <color theme="1"/>
        <rFont val="Calibri"/>
        <family val="2"/>
        <scheme val="minor"/>
      </rPr>
      <t>limoner</t>
    </r>
    <r>
      <rPr>
        <sz val="11"/>
        <color theme="1"/>
        <rFont val="Calibri"/>
        <family val="2"/>
        <scheme val="minor"/>
      </rPr>
      <t>).</t>
    </r>
  </si>
  <si>
    <r>
      <t xml:space="preserve">Enjuagar pescado/menudencias para quitar limo/impurezas (término francés específico </t>
    </r>
    <r>
      <rPr>
        <i/>
        <sz val="11"/>
        <color theme="1"/>
        <rFont val="Calibri"/>
        <family val="2"/>
        <scheme val="minor"/>
      </rPr>
      <t>limoner</t>
    </r>
    <r>
      <rPr>
        <sz val="11"/>
        <color theme="1"/>
        <rFont val="Calibri"/>
        <family val="2"/>
        <scheme val="minor"/>
      </rPr>
      <t>).</t>
    </r>
  </si>
  <si>
    <t>smooth; smooth out</t>
  </si>
  <si>
    <t>alisar</t>
  </si>
  <si>
    <t>Crèmes/ganaches/purées : rendre la surface/texture régulière.</t>
  </si>
  <si>
    <t>Smooth the surface/texture (creams, ganaches, purées).</t>
  </si>
  <si>
    <t>Alisar la superficie/textura (cremas, ganaches, purés).</t>
  </si>
  <si>
    <t>glaze to make shiny</t>
  </si>
  <si>
    <r>
      <t>abrillantar</t>
    </r>
    <r>
      <rPr>
        <sz val="11"/>
        <color theme="1"/>
        <rFont val="Calibri"/>
        <family val="2"/>
        <scheme val="minor"/>
      </rPr>
      <t>; napar para dar brillo</t>
    </r>
  </si>
  <si>
    <t>Nappage/gelée/sirop (pâtisserie) ou beurre clarifié/jus réduit.</t>
  </si>
  <si>
    <t>Glaze with nappage/jelly/syrup (pastry) or brush with clarified butter/reduced jus.</t>
  </si>
  <si>
    <r>
      <t xml:space="preserve">Abrillantar con </t>
    </r>
    <r>
      <rPr>
        <i/>
        <sz val="11"/>
        <color theme="1"/>
        <rFont val="Calibri"/>
        <family val="2"/>
        <scheme val="minor"/>
      </rPr>
      <t>nappage</t>
    </r>
    <r>
      <rPr>
        <sz val="11"/>
        <color theme="1"/>
        <rFont val="Calibri"/>
        <family val="2"/>
        <scheme val="minor"/>
      </rPr>
      <t>/gelatina/almíbar (pastelería) o pincelar con mantequilla clarificada/jugo reducido.</t>
    </r>
  </si>
  <si>
    <r>
      <t xml:space="preserve">seal a pot with a strip of dough; </t>
    </r>
    <r>
      <rPr>
        <b/>
        <sz val="11"/>
        <color theme="1"/>
        <rFont val="Calibri"/>
        <family val="2"/>
        <scheme val="minor"/>
      </rPr>
      <t>to lute</t>
    </r>
  </si>
  <si>
    <t>sellar con una pasta (harina+agua)</t>
  </si>
  <si>
    <t>« Cocotte lutée » : couvercle scellé à la pâte pour cuisson étanche.</t>
  </si>
  <si>
    <t>“Luted” pot: seal the lid with a strip of dough for airtight cooking.</t>
  </si>
  <si>
    <t>Olla “luteada”: sellar la tapa con una tira de masa para cocción hermética.</t>
  </si>
  <si>
    <t>lyophilize; freeze-dry</t>
  </si>
  <si>
    <t>liofilizar</t>
  </si>
  <si>
    <t>Déshydratation sous vide par le froid (poudres, fruits, herbes).</t>
  </si>
  <si>
    <t>Freeze-drying under vacuum (powders, fruits, herbs).</t>
  </si>
  <si>
    <t>macerate; soak</t>
  </si>
  <si>
    <r>
      <t>macerar</t>
    </r>
    <r>
      <rPr>
        <sz val="11"/>
        <color theme="1"/>
        <rFont val="Calibri"/>
        <family val="2"/>
        <scheme val="minor"/>
      </rPr>
      <t>; poner en remojo</t>
    </r>
  </si>
  <si>
    <t>À froid, alcool/sucre/sirop pour parfumer/attendrir.</t>
  </si>
  <si>
    <t>Macerate cold in alcohol/sugar/syrup to flavor/tenderize.</t>
  </si>
  <si>
    <t>Macerar en frío en alcohol/azúcar/almíbar para aromatizar/ablandar.</t>
  </si>
  <si>
    <t>hold hot above 63 °C</t>
  </si>
  <si>
    <t>mantener caliente por encima de 63 °C</t>
  </si>
  <si>
    <t>Tenir une T° (ex. &gt;63 °C), un réglage, une cadence; plan de maintenance = maintenance plan.</t>
  </si>
  <si>
    <r>
      <t xml:space="preserve">Maintain a temperature (e.g., &gt;63 °C), a setting, a pace; maintenance plan = </t>
    </r>
    <r>
      <rPr>
        <b/>
        <sz val="11"/>
        <color theme="1"/>
        <rFont val="Calibri"/>
        <family val="2"/>
        <scheme val="minor"/>
      </rPr>
      <t>maintenance plan</t>
    </r>
    <r>
      <rPr>
        <sz val="11"/>
        <color theme="1"/>
        <rFont val="Calibri"/>
        <family val="2"/>
        <scheme val="minor"/>
      </rPr>
      <t>.</t>
    </r>
  </si>
  <si>
    <r>
      <t xml:space="preserve">Mantener una temperatura (p. ej., &gt;63 °C), un ajuste, un ritmo; </t>
    </r>
    <r>
      <rPr>
        <b/>
        <sz val="11"/>
        <color theme="1"/>
        <rFont val="Calibri"/>
        <family val="2"/>
        <scheme val="minor"/>
      </rPr>
      <t>maintenance plan</t>
    </r>
    <r>
      <rPr>
        <sz val="11"/>
        <color theme="1"/>
        <rFont val="Calibri"/>
        <family val="2"/>
        <scheme val="minor"/>
      </rPr>
      <t xml:space="preserve"> = </t>
    </r>
    <r>
      <rPr>
        <b/>
        <sz val="11"/>
        <color theme="1"/>
        <rFont val="Calibri"/>
        <family val="2"/>
        <scheme val="minor"/>
      </rPr>
      <t>plan de mantenimiento</t>
    </r>
    <r>
      <rPr>
        <sz val="11"/>
        <color theme="1"/>
        <rFont val="Calibri"/>
        <family val="2"/>
        <scheme val="minor"/>
      </rPr>
      <t>.</t>
    </r>
  </si>
  <si>
    <t>french (bones)</t>
  </si>
  <si>
    <r>
      <t>frenchar</t>
    </r>
    <r>
      <rPr>
        <sz val="11"/>
        <color theme="1"/>
        <rFont val="Calibri"/>
        <family val="2"/>
        <scheme val="minor"/>
      </rPr>
      <t xml:space="preserve"> / </t>
    </r>
    <r>
      <rPr>
        <b/>
        <sz val="11"/>
        <color theme="1"/>
        <rFont val="Calibri"/>
        <family val="2"/>
        <scheme val="minor"/>
      </rPr>
      <t>deshuesar a la francesa</t>
    </r>
  </si>
  <si>
    <t>Dégager l’os (carré d’agneau, volaille).</t>
  </si>
  <si>
    <t>French the bones (rack of lamb, poultry).</t>
  </si>
  <si>
    <t>“Frenchar”/deshuesar a la francesa (costillar de cordero, aves).</t>
  </si>
  <si>
    <t>Manié</t>
  </si>
  <si>
    <t>rub in; work by hand</t>
  </si>
  <si>
    <r>
      <t>arenar/frotar</t>
    </r>
    <r>
      <rPr>
        <sz val="11"/>
        <color theme="1"/>
        <rFont val="Calibri"/>
        <family val="2"/>
        <scheme val="minor"/>
      </rPr>
      <t>; trabajar con las manos</t>
    </r>
  </si>
  <si>
    <t>« Beurre manié » : farine+beurre frottés.</t>
  </si>
  <si>
    <t>Beurre manié: rub flour and butter together.</t>
  </si>
  <si>
    <r>
      <t>Beurre manié</t>
    </r>
    <r>
      <rPr>
        <sz val="11"/>
        <color theme="1"/>
        <rFont val="Calibri"/>
        <family val="2"/>
        <scheme val="minor"/>
      </rPr>
      <t>: frotar harina con mantequilla.</t>
    </r>
  </si>
  <si>
    <t>handle; manipulate; work by hand</t>
  </si>
  <si>
    <r>
      <t>manejar</t>
    </r>
    <r>
      <rPr>
        <sz val="11"/>
        <color theme="1"/>
        <rFont val="Calibri"/>
        <family val="2"/>
        <scheme val="minor"/>
      </rPr>
      <t>; manipular</t>
    </r>
  </si>
  <si>
    <t>Manipulation produit/outil : hygiène (EPI), gestes sûrs; en pâtisserie, travailler à la main.</t>
  </si>
  <si>
    <t>Product/tool handling: hygiene (PPE), safe movements; in pastry, work by hand.</t>
  </si>
  <si>
    <t>Manipulación de producto/herramienta: higiene (EPP), gestos seguros; en pastelería, trabajar a mano.</t>
  </si>
  <si>
    <t>handle</t>
  </si>
  <si>
    <t>manipular</t>
  </si>
  <si>
    <t>Gestes/flux propres → gants, pinces, hygiène.</t>
  </si>
  <si>
    <t>Handle with proper hygiene: gloves, tongs, clean flows.</t>
  </si>
  <si>
    <t>Manipular con higiene: guantes, pinzas, flujo limpio.</t>
  </si>
  <si>
    <t>marble (a batter/coating)</t>
  </si>
  <si>
    <t>marmolear</t>
  </si>
  <si>
    <t>Effet marbré dans cake, glaçage, chocolat.</t>
  </si>
  <si>
    <t>Create a marbled effect in batter, glaze, or chocolate.</t>
  </si>
  <si>
    <t>Crear efecto marmolado en masas, glaseados o chocolate.</t>
  </si>
  <si>
    <t>marinate</t>
  </si>
  <si>
    <r>
      <t>marinar</t>
    </r>
    <r>
      <rPr>
        <sz val="11"/>
        <color theme="1"/>
        <rFont val="Calibri"/>
        <family val="2"/>
        <scheme val="minor"/>
      </rPr>
      <t xml:space="preserve"> / adobar</t>
    </r>
  </si>
  <si>
    <t>Liquide aromatique (acidulé/salé/gras) selon produit.</t>
  </si>
  <si>
    <t>Marinate in an aromatic liquid (acid/salt/fat profile).</t>
  </si>
  <si>
    <t>Marinar en un líquido aromático (perfil ácido/salado/graso).</t>
  </si>
  <si>
    <t>marquage</t>
  </si>
  <si>
    <t>marking; stamping; grill marks</t>
  </si>
  <si>
    <r>
      <t>marcado</t>
    </r>
    <r>
      <rPr>
        <sz val="11"/>
        <color theme="1"/>
        <rFont val="Calibri"/>
        <family val="2"/>
        <scheme val="minor"/>
      </rPr>
      <t>; sellado/etiquetado (según contexto)</t>
    </r>
  </si>
  <si>
    <t>Soit étiquetage/traçabilité, soit stries de gril.</t>
  </si>
  <si>
    <t>Either labeling/traceability, or grill marks (depends on context).</t>
  </si>
  <si>
    <t>Puede ser etiquetado/trazabilidad o marcas de parrilla (según contexto).</t>
  </si>
  <si>
    <t>start/sear; mark (on grill)</t>
  </si>
  <si>
    <r>
      <t>marcar</t>
    </r>
    <r>
      <rPr>
        <sz val="11"/>
        <color theme="1"/>
        <rFont val="Calibri"/>
        <family val="2"/>
        <scheme val="minor"/>
      </rPr>
      <t>; sellar</t>
    </r>
  </si>
  <si>
    <t>« Marquer en cuisson » (saisir/démarrer), strier au gril.</t>
  </si>
  <si>
    <t>Start/sear cooking; mark with grill ridges.</t>
  </si>
  <si>
    <t>Iniciar/ sellar la cocción; marcar en la parrilla.</t>
  </si>
  <si>
    <t>mask/coat (surface)</t>
  </si>
  <si>
    <r>
      <t>enmascarar</t>
    </r>
    <r>
      <rPr>
        <sz val="11"/>
        <color theme="1"/>
        <rFont val="Calibri"/>
        <family val="2"/>
        <scheme val="minor"/>
      </rPr>
      <t>; cubrir</t>
    </r>
  </si>
  <si>
    <t>Recouvrir d’une couche (crème, gelée, sauce).</t>
  </si>
  <si>
    <t>Mask/coat with a thin layer (cream/jelly/sauce).</t>
  </si>
  <si>
    <t>Enmascarar/cubrir con una capa fina (crema/gelatina/salsa).</t>
  </si>
  <si>
    <t>seize (sugar); knead/massage</t>
  </si>
  <si>
    <r>
      <t>azucararse</t>
    </r>
    <r>
      <rPr>
        <sz val="11"/>
        <color theme="1"/>
        <rFont val="Calibri"/>
        <family val="2"/>
        <scheme val="minor"/>
      </rPr>
      <t xml:space="preserve"> (jarabe); </t>
    </r>
    <r>
      <rPr>
        <b/>
        <sz val="11"/>
        <color theme="1"/>
        <rFont val="Calibri"/>
        <family val="2"/>
        <scheme val="minor"/>
      </rPr>
      <t>amasar</t>
    </r>
  </si>
  <si>
    <t>Sucre qui « masse » ↔ re-cristallise ; aussi frictions.</t>
  </si>
  <si>
    <t>Sugar “grains” (recrystallizes); also kneading/rubbing action.</t>
  </si>
  <si>
    <t>Azúcar que “gran ea” (recristaliza); también acción de amasar/frotar.</t>
  </si>
  <si>
    <t>mélange</t>
  </si>
  <si>
    <t>mixture; mix</t>
  </si>
  <si>
    <t>mezcla</t>
  </si>
  <si>
    <t>Nom générique d’appareil/compound.</t>
  </si>
  <si>
    <t>Generic term for a mixture/preparation.</t>
  </si>
  <si>
    <t>Término genérico para una mezcla/preparación.</t>
  </si>
  <si>
    <t>Mix</t>
  </si>
  <si>
    <t>Mezclar</t>
  </si>
  <si>
    <t>racler les parois si nécessaire.</t>
  </si>
  <si>
    <t xml:space="preserve"> scrape sides as needed.</t>
  </si>
  <si>
    <t>raspar paredes si hace falta.</t>
  </si>
  <si>
    <t>top with meringue; whip to meringue</t>
  </si>
  <si>
    <t>merengar</t>
  </si>
  <si>
    <t>Napper d’une meringue / monter blancs+sucres.</t>
  </si>
  <si>
    <t>Top with meringue / whip whites with sugar into meringue.</t>
  </si>
  <si>
    <t>Cubrir con merengue / montar claras con azúcar a merengue.</t>
  </si>
  <si>
    <t>measure; take a measurement</t>
  </si>
  <si>
    <r>
      <t>medir</t>
    </r>
    <r>
      <rPr>
        <sz val="11"/>
        <color theme="1"/>
        <rFont val="Calibri"/>
        <family val="2"/>
        <scheme val="minor"/>
      </rPr>
      <t>; tomar medidas</t>
    </r>
  </si>
  <si>
    <t>Poids, volume, T°, pH, dimensions; instruments étalonnés (balance, sonde, pH-mètre).</t>
  </si>
  <si>
    <r>
      <t xml:space="preserve">Weight, volume, temp, pH, dimensions; </t>
    </r>
    <r>
      <rPr>
        <b/>
        <sz val="11"/>
        <color theme="1"/>
        <rFont val="Calibri"/>
        <family val="2"/>
        <scheme val="minor"/>
      </rPr>
      <t>calibrated instruments</t>
    </r>
    <r>
      <rPr>
        <sz val="11"/>
        <color theme="1"/>
        <rFont val="Calibri"/>
        <family val="2"/>
        <scheme val="minor"/>
      </rPr>
      <t xml:space="preserve"> (scale, probe, pH meter).</t>
    </r>
  </si>
  <si>
    <r>
      <t xml:space="preserve">Peso, volumen, T°, pH, dimensiones; </t>
    </r>
    <r>
      <rPr>
        <b/>
        <sz val="11"/>
        <color theme="1"/>
        <rFont val="Calibri"/>
        <family val="2"/>
        <scheme val="minor"/>
      </rPr>
      <t>instrumentos calibrados</t>
    </r>
    <r>
      <rPr>
        <sz val="11"/>
        <color theme="1"/>
        <rFont val="Calibri"/>
        <family val="2"/>
        <scheme val="minor"/>
      </rPr>
      <t xml:space="preserve"> (balanza, sonda, pH-metro).</t>
    </r>
  </si>
  <si>
    <t>Mettre au point (chocolat)</t>
  </si>
  <si>
    <t>temper (chocolate)</t>
  </si>
  <si>
    <r>
      <t>atemperar</t>
    </r>
    <r>
      <rPr>
        <sz val="11"/>
        <color theme="1"/>
        <rFont val="Calibri"/>
        <family val="2"/>
        <scheme val="minor"/>
      </rPr>
      <t xml:space="preserve"> (chocolate)</t>
    </r>
  </si>
  <si>
    <t>Courbe T° (fonte → descente → remonte).</t>
  </si>
  <si>
    <t>Tempering curve (melt → cool → reheat).</t>
  </si>
  <si>
    <t>Curva de atemperado (fundir → enfriar → recalentar).</t>
  </si>
  <si>
    <t>Mettre en bac</t>
  </si>
  <si>
    <t>tray up / pan up</t>
  </si>
  <si>
    <t>poner en cubeta/bandeja</t>
  </si>
  <si>
    <t>Transvaser en bac gastro pour repos/stock.</t>
  </si>
  <si>
    <t>Transfer to GN pans for resting/storage.</t>
  </si>
  <si>
    <t>Trasvasar a cubetas GN para reposo/almacenaje.</t>
  </si>
  <si>
    <t>Mettre en chariot</t>
  </si>
  <si>
    <t>load onto trolley</t>
  </si>
  <si>
    <t>poner en carro</t>
  </si>
  <si>
    <t>Charger plaques/bacs sur chariot.</t>
  </si>
  <si>
    <t>Load trays/bins onto a trolley.</t>
  </si>
  <si>
    <t>Cargar bandejas/cubetas en un carro.</t>
  </si>
  <si>
    <t>start cooking; put in to cook</t>
  </si>
  <si>
    <r>
      <t>poner a cocer</t>
    </r>
    <r>
      <rPr>
        <sz val="11"/>
        <color theme="1"/>
        <rFont val="Calibri"/>
        <family val="2"/>
        <scheme val="minor"/>
      </rPr>
      <t xml:space="preserve"> / iniciar cocción</t>
    </r>
  </si>
  <si>
    <t>Lancer la cuisson (four, sauteuse, vapeur…).</t>
  </si>
  <si>
    <t>Start cooking (oven, braiser, steamer, etc.).</t>
  </si>
  <si>
    <t>Iniciar la cocción (horno, brasera, vapor, etc.).</t>
  </si>
  <si>
    <t>simmer slowly</t>
  </si>
  <si>
    <t>Sous ébullition douce, couvert, longuement.</t>
  </si>
  <si>
    <t>Simmer gently for a long time, covered.</t>
  </si>
  <si>
    <t>Cocinar a fuego lento y tapado durante tiempo.</t>
  </si>
  <si>
    <t>mise en bac ou grille pour cuisson</t>
  </si>
  <si>
    <t>place in tray/rack for baking</t>
  </si>
  <si>
    <t>poner en bandeja/rejilla para cocción</t>
  </si>
  <si>
    <t>Prépa avant enfournement.</t>
  </si>
  <si>
    <t>Prepare on tray/rack before baking.</t>
  </si>
  <si>
    <t>Preparación en bandeja/rejilla antes del horneado.</t>
  </si>
  <si>
    <t>mise en bac pour conditionnement</t>
  </si>
  <si>
    <t>tray up for packing</t>
  </si>
  <si>
    <t>poner en cubeta para envasado</t>
  </si>
  <si>
    <t>Avant filmage/operculage.</t>
  </si>
  <si>
    <t>Tray up for packaging before wrapping/sealing.</t>
  </si>
  <si>
    <t>Poner en cubeta para envasado antes de filmar/termosellar.</t>
  </si>
  <si>
    <t>mise en chariot</t>
  </si>
  <si>
    <t>trolley loading</t>
  </si>
  <si>
    <t>carga en carro</t>
  </si>
  <si>
    <t>Étape logistique interne.</t>
  </si>
  <si>
    <t>Internal logistics step (move via trolley/zone).</t>
  </si>
  <si>
    <t>Etapa logística interna (traslado por carro/zona).</t>
  </si>
  <si>
    <t>blend; process</t>
  </si>
  <si>
    <r>
      <t>triturar</t>
    </r>
    <r>
      <rPr>
        <sz val="11"/>
        <color theme="1"/>
        <rFont val="Calibri"/>
        <family val="2"/>
        <scheme val="minor"/>
      </rPr>
      <t>; licuar</t>
    </r>
  </si>
  <si>
    <t>Robot/blender pour lisser une préparation.</t>
  </si>
  <si>
    <t>Blend/process to a smooth texture.</t>
  </si>
  <si>
    <t>Triturar/licuar hasta textura lisa.</t>
  </si>
  <si>
    <t>model; shape</t>
  </si>
  <si>
    <r>
      <t>modelar</t>
    </r>
    <r>
      <rPr>
        <sz val="11"/>
        <color theme="1"/>
        <rFont val="Calibri"/>
        <family val="2"/>
        <scheme val="minor"/>
      </rPr>
      <t>; dar forma</t>
    </r>
  </si>
  <si>
    <t>Pâtes, farces, chocolat, confiserie.</t>
  </si>
  <si>
    <t>Model/shape doughs, fillings, chocolate, confectionery.</t>
  </si>
  <si>
    <t>Modelar/dar forma a masas, farsas, chocolate, confitería.</t>
  </si>
  <si>
    <t>torte (split cake into layers)</t>
  </si>
  <si>
    <t>tornear/cortar en capas</t>
  </si>
  <si>
    <t>Couper un biscuit en disques horizontaux réguliers.</t>
  </si>
  <si>
    <t>Torte a sponge into even horizontal layers.</t>
  </si>
  <si>
    <t>Cortar un bizcocho en capas horizontales regulares.</t>
  </si>
  <si>
    <t>blanch &amp; peel; skin</t>
  </si>
  <si>
    <t>Tomates/amandes (syn. « émonder »).</t>
  </si>
  <si>
    <t>whip up; mount (with butter); assemble</t>
  </si>
  <si>
    <r>
      <t>montar</t>
    </r>
    <r>
      <rPr>
        <sz val="11"/>
        <color theme="1"/>
        <rFont val="Calibri"/>
        <family val="2"/>
        <scheme val="minor"/>
      </rPr>
      <t xml:space="preserve">; emulsionar con mantequilla; </t>
    </r>
    <r>
      <rPr>
        <b/>
        <sz val="11"/>
        <color theme="1"/>
        <rFont val="Calibri"/>
        <family val="2"/>
        <scheme val="minor"/>
      </rPr>
      <t>montar (emplatar)</t>
    </r>
  </si>
  <si>
    <t>Crème/œufs (volume), monter au beurre une sauce, « monter » un entremets.</t>
  </si>
  <si>
    <t>Whip cream/eggs (volume); mount a sauce with butter; assemble a layered dessert.</t>
  </si>
  <si>
    <t>Montar nata/huevos (volumen); emulsionar una salsa con mantequilla; montar un postre por capas.</t>
  </si>
  <si>
    <t>Monter (au beurre)</t>
  </si>
  <si>
    <t>Mount (with butter)</t>
  </si>
  <si>
    <t>Montar (con mantequilla)</t>
  </si>
  <si>
    <t>Hors du feu, beurre froid en dés; ne pas bouillir.</t>
  </si>
  <si>
    <t>Off heat, cold diced butter; do not boil.</t>
  </si>
  <si>
    <t>Fuera del fuego, mantequilla fría en dados; no hervir.</t>
  </si>
  <si>
    <t>hang/age (game/meat)</t>
  </si>
  <si>
    <r>
      <t>madurar/orear</t>
    </r>
    <r>
      <rPr>
        <sz val="11"/>
        <color theme="1"/>
        <rFont val="Calibri"/>
        <family val="2"/>
        <scheme val="minor"/>
      </rPr>
      <t xml:space="preserve"> (carne/caza)</t>
    </r>
  </si>
  <si>
    <t>Faire rassir pour attendrir et développer les arômes.</t>
  </si>
  <si>
    <t>Age/hang (meat/game) to tenderize and develop flavor.</t>
  </si>
  <si>
    <t>Madurar/orear (carne/caza) para ablandar y potenciar sabor.</t>
  </si>
  <si>
    <t>Mouiller (vin/eau)</t>
  </si>
  <si>
    <t>add liquid to (cover/deglaze)</t>
  </si>
  <si>
    <r>
      <t>mojar</t>
    </r>
    <r>
      <rPr>
        <sz val="11"/>
        <color theme="1"/>
        <rFont val="Calibri"/>
        <family val="2"/>
        <scheme val="minor"/>
      </rPr>
      <t>; añadir líquido</t>
    </r>
  </si>
  <si>
    <t>Ajouter fond/eau/vin jusqu’au niveau voulu.</t>
  </si>
  <si>
    <t>Add stock/water/wine to the required level.</t>
  </si>
  <si>
    <t>Añadir fondo/agua/vino hasta el nivel deseado.</t>
  </si>
  <si>
    <t>mould; cast</t>
  </si>
  <si>
    <r>
      <t>moldar</t>
    </r>
    <r>
      <rPr>
        <sz val="11"/>
        <color theme="1"/>
        <rFont val="Calibri"/>
        <family val="2"/>
        <scheme val="minor"/>
      </rPr>
      <t xml:space="preserve">; </t>
    </r>
    <r>
      <rPr>
        <b/>
        <sz val="11"/>
        <color theme="1"/>
        <rFont val="Calibri"/>
        <family val="2"/>
        <scheme val="minor"/>
      </rPr>
      <t>desmoldar</t>
    </r>
    <r>
      <rPr>
        <sz val="11"/>
        <color theme="1"/>
        <rFont val="Calibri"/>
        <family val="2"/>
        <scheme val="minor"/>
      </rPr>
      <t xml:space="preserve"> (→ sortir)</t>
    </r>
  </si>
  <si>
    <t>Verser dans un moule / donner la forme.</t>
  </si>
  <si>
    <t>Pour into a mold / shape in a mold.</t>
  </si>
  <si>
    <t>Verter en un molde / dar la forma en molde.</t>
  </si>
  <si>
    <t>foam; make foamy</t>
  </si>
  <si>
    <r>
      <t>espumar</t>
    </r>
    <r>
      <rPr>
        <sz val="11"/>
        <color theme="1"/>
        <rFont val="Calibri"/>
        <family val="2"/>
        <scheme val="minor"/>
      </rPr>
      <t>; hacer espuma</t>
    </r>
  </si>
  <si>
    <t>Obtenir mousse (mixeur, siphon, fouet).</t>
  </si>
  <si>
    <t>Create a foam (blender, siphon, whisk).</t>
  </si>
  <si>
    <t>Hacer espuma (batidora, sifón, varillas).</t>
  </si>
  <si>
    <t>Nacrer (riz/échalotes)</t>
  </si>
  <si>
    <t>pearl (until translucent); sweat until pearly</t>
  </si>
  <si>
    <r>
      <t>nacarar</t>
    </r>
    <r>
      <rPr>
        <sz val="11"/>
        <color theme="1"/>
        <rFont val="Calibri"/>
        <family val="2"/>
        <scheme val="minor"/>
      </rPr>
      <t>; rehogar hasta que quede nacarado</t>
    </r>
  </si>
  <si>
    <t>Étape risotto/pilaf : grains enrobés de matière grasse, translucides sans colorer.</t>
  </si>
  <si>
    <t>Risotto/pilaf step: coat grains in fat until translucent without browning.</t>
  </si>
  <si>
    <t>Paso de risotto/pilaf: envolver los granos en grasa hasta translúcidos sin dorar.</t>
  </si>
  <si>
    <t>coat/nap; to spoon sauce over</t>
  </si>
  <si>
    <r>
      <t>napar</t>
    </r>
    <r>
      <rPr>
        <sz val="11"/>
        <color theme="1"/>
        <rFont val="Calibri"/>
        <family val="2"/>
        <scheme val="minor"/>
      </rPr>
      <t>; cubrir con salsa</t>
    </r>
  </si>
  <si>
    <t>Obtenir une couche régulière (consistance « nappe » sur la spatule/cuillère).</t>
  </si>
  <si>
    <t>Aim for a uniform coating (nappe consistency on the spatula/spoon).</t>
  </si>
  <si>
    <r>
      <t xml:space="preserve">Lograr una capa uniforme (consistencia </t>
    </r>
    <r>
      <rPr>
        <b/>
        <sz val="11"/>
        <color theme="1"/>
        <rFont val="Calibri"/>
        <family val="2"/>
        <scheme val="minor"/>
      </rPr>
      <t>nappe</t>
    </r>
    <r>
      <rPr>
        <sz val="11"/>
        <color theme="1"/>
        <rFont val="Calibri"/>
        <family val="2"/>
        <scheme val="minor"/>
      </rPr>
      <t xml:space="preserve"> en la espátula/cuchara).</t>
    </r>
  </si>
  <si>
    <t>clean; clean down; sanitize (light)</t>
  </si>
  <si>
    <r>
      <t>limpiar</t>
    </r>
    <r>
      <rPr>
        <sz val="11"/>
        <color theme="1"/>
        <rFont val="Calibri"/>
        <family val="2"/>
        <scheme val="minor"/>
      </rPr>
      <t>; limpiar/sanear</t>
    </r>
  </si>
  <si>
    <r>
      <t xml:space="preserve">Nettoyage de poste/ustensiles/sols. Pour désinfection stricte, préférer </t>
    </r>
    <r>
      <rPr>
        <b/>
        <sz val="11"/>
        <color theme="1"/>
        <rFont val="Calibri"/>
        <family val="2"/>
        <scheme val="minor"/>
      </rPr>
      <t>sanitize/disinfect</t>
    </r>
    <r>
      <rPr>
        <sz val="11"/>
        <color theme="1"/>
        <rFont val="Calibri"/>
        <family val="2"/>
        <scheme val="minor"/>
      </rPr>
      <t>. Préciser méthode (CIP, foam, rinse) et fréquences HACCP.</t>
    </r>
  </si>
  <si>
    <r>
      <t xml:space="preserve">Clean station/utensils/floors. For strict disinfection, use </t>
    </r>
    <r>
      <rPr>
        <b/>
        <sz val="11"/>
        <color theme="1"/>
        <rFont val="Calibri"/>
        <family val="2"/>
        <scheme val="minor"/>
      </rPr>
      <t>sanitize/disinfect</t>
    </r>
    <r>
      <rPr>
        <sz val="11"/>
        <color theme="1"/>
        <rFont val="Calibri"/>
        <family val="2"/>
        <scheme val="minor"/>
      </rPr>
      <t>. Specify method (CIP, foam, rinse) and HACCP frequencies.</t>
    </r>
  </si>
  <si>
    <r>
      <t xml:space="preserve">Limpieza de puesto/utensilios/suelos. Para desinfección estricta, usar </t>
    </r>
    <r>
      <rPr>
        <b/>
        <sz val="11"/>
        <color theme="1"/>
        <rFont val="Calibri"/>
        <family val="2"/>
        <scheme val="minor"/>
      </rPr>
      <t>desinfectar/sanitizar</t>
    </r>
    <r>
      <rPr>
        <sz val="11"/>
        <color theme="1"/>
        <rFont val="Calibri"/>
        <family val="2"/>
        <scheme val="minor"/>
      </rPr>
      <t>. Especificar método (CIP, espuma, enjuague) y frecuencias APPCC.</t>
    </r>
  </si>
  <si>
    <t>ouverture boîte</t>
  </si>
  <si>
    <r>
      <t>can opening</t>
    </r>
    <r>
      <rPr>
        <sz val="11"/>
        <color theme="1"/>
        <rFont val="Calibri"/>
        <family val="2"/>
        <scheme val="minor"/>
      </rPr>
      <t xml:space="preserve"> / open the can; </t>
    </r>
    <r>
      <rPr>
        <b/>
        <sz val="11"/>
        <color theme="1"/>
        <rFont val="Calibri"/>
        <family val="2"/>
        <scheme val="minor"/>
      </rPr>
      <t>case/box opening</t>
    </r>
  </si>
  <si>
    <r>
      <t>apertura de lata / abrir la lata</t>
    </r>
    <r>
      <rPr>
        <sz val="11"/>
        <color theme="1"/>
        <rFont val="Calibri"/>
        <family val="2"/>
        <scheme val="minor"/>
      </rPr>
      <t xml:space="preserve">; </t>
    </r>
    <r>
      <rPr>
        <b/>
        <sz val="11"/>
        <color theme="1"/>
        <rFont val="Calibri"/>
        <family val="2"/>
        <scheme val="minor"/>
      </rPr>
      <t>apertura de caja / abrir la caja</t>
    </r>
  </si>
  <si>
    <t>En production alimentaire, « boîte » = le plus souvent boîte de conserve (can). Si c’est un carton logistique, utiliser box/case (ES: caja). Indiquer l’outil : ouvre-boîte/abre-latas; cutter pour carton.</t>
  </si>
  <si>
    <r>
      <t xml:space="preserve">In food production, “boîte” usually means a </t>
    </r>
    <r>
      <rPr>
        <b/>
        <sz val="11"/>
        <color theme="1"/>
        <rFont val="Calibri"/>
        <family val="2"/>
        <scheme val="minor"/>
      </rPr>
      <t>can</t>
    </r>
    <r>
      <rPr>
        <sz val="11"/>
        <color theme="1"/>
        <rFont val="Calibri"/>
        <family val="2"/>
        <scheme val="minor"/>
      </rPr>
      <t xml:space="preserve">. If it’s a logistics carton, use </t>
    </r>
    <r>
      <rPr>
        <b/>
        <sz val="11"/>
        <color theme="1"/>
        <rFont val="Calibri"/>
        <family val="2"/>
        <scheme val="minor"/>
      </rPr>
      <t>box/case</t>
    </r>
    <r>
      <rPr>
        <sz val="11"/>
        <color theme="1"/>
        <rFont val="Calibri"/>
        <family val="2"/>
        <scheme val="minor"/>
      </rPr>
      <t xml:space="preserve">. Specify the tool: </t>
    </r>
    <r>
      <rPr>
        <b/>
        <sz val="11"/>
        <color theme="1"/>
        <rFont val="Calibri"/>
        <family val="2"/>
        <scheme val="minor"/>
      </rPr>
      <t>can opener</t>
    </r>
    <r>
      <rPr>
        <sz val="11"/>
        <color theme="1"/>
        <rFont val="Calibri"/>
        <family val="2"/>
        <scheme val="minor"/>
      </rPr>
      <t xml:space="preserve">; </t>
    </r>
    <r>
      <rPr>
        <b/>
        <sz val="11"/>
        <color theme="1"/>
        <rFont val="Calibri"/>
        <family val="2"/>
        <scheme val="minor"/>
      </rPr>
      <t>box cutter/utility knife</t>
    </r>
    <r>
      <rPr>
        <sz val="11"/>
        <color theme="1"/>
        <rFont val="Calibri"/>
        <family val="2"/>
        <scheme val="minor"/>
      </rPr>
      <t xml:space="preserve"> for cartons.</t>
    </r>
  </si>
  <si>
    <r>
      <t xml:space="preserve">En producción alimentaria, «boîte» suele referirse a una </t>
    </r>
    <r>
      <rPr>
        <b/>
        <sz val="11"/>
        <color theme="1"/>
        <rFont val="Calibri"/>
        <family val="2"/>
        <scheme val="minor"/>
      </rPr>
      <t>lata</t>
    </r>
    <r>
      <rPr>
        <sz val="11"/>
        <color theme="1"/>
        <rFont val="Calibri"/>
        <family val="2"/>
        <scheme val="minor"/>
      </rPr>
      <t xml:space="preserve">. Si es un cartón logístico, usa </t>
    </r>
    <r>
      <rPr>
        <b/>
        <sz val="11"/>
        <color theme="1"/>
        <rFont val="Calibri"/>
        <family val="2"/>
        <scheme val="minor"/>
      </rPr>
      <t>caja</t>
    </r>
    <r>
      <rPr>
        <sz val="11"/>
        <color theme="1"/>
        <rFont val="Calibri"/>
        <family val="2"/>
        <scheme val="minor"/>
      </rPr>
      <t>/</t>
    </r>
    <r>
      <rPr>
        <b/>
        <sz val="11"/>
        <color theme="1"/>
        <rFont val="Calibri"/>
        <family val="2"/>
        <scheme val="minor"/>
      </rPr>
      <t>case</t>
    </r>
    <r>
      <rPr>
        <sz val="11"/>
        <color theme="1"/>
        <rFont val="Calibri"/>
        <family val="2"/>
        <scheme val="minor"/>
      </rPr>
      <t xml:space="preserve">. Indicar la herramienta: </t>
    </r>
    <r>
      <rPr>
        <b/>
        <sz val="11"/>
        <color theme="1"/>
        <rFont val="Calibri"/>
        <family val="2"/>
        <scheme val="minor"/>
      </rPr>
      <t>abre-latas</t>
    </r>
    <r>
      <rPr>
        <sz val="11"/>
        <color theme="1"/>
        <rFont val="Calibri"/>
        <family val="2"/>
        <scheme val="minor"/>
      </rPr>
      <t xml:space="preserve">; </t>
    </r>
    <r>
      <rPr>
        <b/>
        <sz val="11"/>
        <color theme="1"/>
        <rFont val="Calibri"/>
        <family val="2"/>
        <scheme val="minor"/>
      </rPr>
      <t>cúter/cortacajas</t>
    </r>
    <r>
      <rPr>
        <sz val="11"/>
        <color theme="1"/>
        <rFont val="Calibri"/>
        <family val="2"/>
        <scheme val="minor"/>
      </rPr>
      <t xml:space="preserve"> para cartones.</t>
    </r>
  </si>
  <si>
    <t>mix/assort (varieties/colors)</t>
  </si>
  <si>
    <t>mezclar/combinar surtidos</t>
  </si>
  <si>
    <t>Ex. assortiments de viennoiseries, salades mêlées.</t>
  </si>
  <si>
    <t>Assorted selections (pastries, mixed salads).</t>
  </si>
  <si>
    <t>Surtidos (bollería, ensaladas mixtas).</t>
  </si>
  <si>
    <t>bread; bread-crumb coat</t>
  </si>
  <si>
    <r>
      <t>empanar</t>
    </r>
    <r>
      <rPr>
        <sz val="11"/>
        <color theme="1"/>
        <rFont val="Calibri"/>
        <family val="2"/>
        <scheme val="minor"/>
      </rPr>
      <t>; rebozar</t>
    </r>
  </si>
  <si>
    <t>Fariner → œuf → chapelure (ou panure anglaise).</t>
  </si>
  <si>
    <t>Standard breading: flour → egg → breadcrumbs (English breading).</t>
  </si>
  <si>
    <t>Empanado estándar: harina → huevo → pan rallado (empanado inglés).</t>
  </si>
  <si>
    <r>
      <t xml:space="preserve">wrap/cook </t>
    </r>
    <r>
      <rPr>
        <i/>
        <sz val="11"/>
        <color theme="1"/>
        <rFont val="Calibri"/>
        <family val="2"/>
        <scheme val="minor"/>
      </rPr>
      <t>en papillote</t>
    </r>
  </si>
  <si>
    <t>cocinar en papillote</t>
  </si>
  <si>
    <t>Papier/film cuisson fermé (poisson, légumes).</t>
  </si>
  <si>
    <r>
      <t xml:space="preserve">Cook </t>
    </r>
    <r>
      <rPr>
        <b/>
        <sz val="11"/>
        <color theme="1"/>
        <rFont val="Calibri"/>
        <family val="2"/>
        <scheme val="minor"/>
      </rPr>
      <t>en papillote</t>
    </r>
    <r>
      <rPr>
        <sz val="11"/>
        <color theme="1"/>
        <rFont val="Calibri"/>
        <family val="2"/>
        <scheme val="minor"/>
      </rPr>
      <t xml:space="preserve"> (parchment/foil packet) for fish/veg.</t>
    </r>
  </si>
  <si>
    <r>
      <t xml:space="preserve">Cocción </t>
    </r>
    <r>
      <rPr>
        <b/>
        <sz val="11"/>
        <color theme="1"/>
        <rFont val="Calibri"/>
        <family val="2"/>
        <scheme val="minor"/>
      </rPr>
      <t>en papillote</t>
    </r>
    <r>
      <rPr>
        <sz val="11"/>
        <color theme="1"/>
        <rFont val="Calibri"/>
        <family val="2"/>
        <scheme val="minor"/>
      </rPr>
      <t xml:space="preserve"> (paquete de papel/aluminio) para pescado/verduras.</t>
    </r>
  </si>
  <si>
    <t>parage</t>
  </si>
  <si>
    <t>trimming (step)</t>
  </si>
  <si>
    <t>recorte/parado</t>
  </si>
  <si>
    <t>Étape de parage viandes/poissons/légumes.</t>
  </si>
  <si>
    <t>Trimming step for meats/fish/vegetables.</t>
  </si>
  <si>
    <r>
      <t xml:space="preserve">Etapa de </t>
    </r>
    <r>
      <rPr>
        <b/>
        <sz val="11"/>
        <color theme="1"/>
        <rFont val="Calibri"/>
        <family val="2"/>
        <scheme val="minor"/>
      </rPr>
      <t>parado/recorte</t>
    </r>
    <r>
      <rPr>
        <sz val="11"/>
        <color theme="1"/>
        <rFont val="Calibri"/>
        <family val="2"/>
        <scheme val="minor"/>
      </rPr>
      <t xml:space="preserve"> de carnes/pescados/verduras.</t>
    </r>
  </si>
  <si>
    <t>trim/pare</t>
  </si>
  <si>
    <t>parar/recortar</t>
  </si>
  <si>
    <t>Ôter parties grasses/nerveuses/abîmées.</t>
  </si>
  <si>
    <t>Remove fat/sinew/damaged parts.</t>
  </si>
  <si>
    <t>Retirar partes grasas/nervios/zonas dañadas.</t>
  </si>
  <si>
    <t>flavor; scent</t>
  </si>
  <si>
    <r>
      <t>aromatizar</t>
    </r>
    <r>
      <rPr>
        <sz val="11"/>
        <color theme="1"/>
        <rFont val="Calibri"/>
        <family val="2"/>
        <scheme val="minor"/>
      </rPr>
      <t>; perfumar</t>
    </r>
  </si>
  <si>
    <t>Ajout d’arômes (zestes, alcool, vanille…).</t>
  </si>
  <si>
    <t>Add flavorings (zest, spirits, vanilla, etc.).</t>
  </si>
  <si>
    <t>Añadir aromatizantes (ralladura, alcohol, vainilla, etc.).</t>
  </si>
  <si>
    <t>sprinkle; scatter</t>
  </si>
  <si>
    <r>
      <t>espolvorear</t>
    </r>
    <r>
      <rPr>
        <sz val="11"/>
        <color theme="1"/>
        <rFont val="Calibri"/>
        <family val="2"/>
        <scheme val="minor"/>
      </rPr>
      <t>; esparcir</t>
    </r>
  </si>
  <si>
    <t>Fines herbes, fromage, sucre glace, etc.</t>
  </si>
  <si>
    <t>Sprinkle with fine herbs/cheese/icing sugar, etc.</t>
  </si>
  <si>
    <t>Espolvorear con finas hierbas/queso/azúcar glas, etc.</t>
  </si>
  <si>
    <t>passage en cellule</t>
  </si>
  <si>
    <t>blast-chill/freezing pass</t>
  </si>
  <si>
    <t>paso por abatidor</t>
  </si>
  <si>
    <t>Cellule de refroidissement/surgélation.</t>
  </si>
  <si>
    <t>Blast chiller/freezer.</t>
  </si>
  <si>
    <t>Abatidor de temperatura/congelación rápida.</t>
  </si>
  <si>
    <t>passage rapide en cellule</t>
  </si>
  <si>
    <t>quick blast pass</t>
  </si>
  <si>
    <t>paso rápido por abatidor</t>
  </si>
  <si>
    <t>Abaissement T° en courte durée.</t>
  </si>
  <si>
    <t>Rapid temperature drop.</t>
  </si>
  <si>
    <t>Descenso rápido de temperatura.</t>
  </si>
  <si>
    <t>strain/sieve; pass through</t>
  </si>
  <si>
    <t>colar/pasar por tamiz</t>
  </si>
  <si>
    <t>Aussi « passer dans la farine/panure ».</t>
  </si>
  <si>
    <t>Also: dredge in flour/breading.</t>
  </si>
  <si>
    <t>También: pasar por harina/empanado.</t>
  </si>
  <si>
    <t>Passer (sauce)</t>
  </si>
  <si>
    <t>Strain</t>
  </si>
  <si>
    <t>Colar</t>
  </si>
  <si>
    <t>Chinois/tamis; presser sans forcer les fibres.</t>
  </si>
  <si>
    <t>Strain through chinois/sieve; press gently.</t>
  </si>
  <si>
    <t>Colar por chino/tamiz; presionar suavemente.</t>
  </si>
  <si>
    <t>pasteurize</t>
  </si>
  <si>
    <t>pasteurizar</t>
  </si>
  <si>
    <t>Traitement thermique de sécurité.</t>
  </si>
  <si>
    <t>Heat treatment for safety (e.g., pasteurize/sterilize).</t>
  </si>
  <si>
    <t>Tratamiento térmico de seguridad (p. ej., pasteurizar/esterilizar).</t>
  </si>
  <si>
    <t>peel</t>
  </si>
  <si>
    <r>
      <t>pelar</t>
    </r>
    <r>
      <rPr>
        <sz val="11"/>
        <color theme="1"/>
        <rFont val="Calibri"/>
        <family val="2"/>
        <scheme val="minor"/>
      </rPr>
      <t>; mondar</t>
    </r>
  </si>
  <si>
    <t>Couteau/économe ou après échaudage.</t>
  </si>
  <si>
    <t>Peel with knife/peeler or after blanching.</t>
  </si>
  <si>
    <t>Pelar con cuchillo/pelador o tras escaldar.</t>
  </si>
  <si>
    <t>sprinkle with parsley; (meat) be marbled</t>
  </si>
  <si>
    <r>
      <t>espolvorear con perejil</t>
    </r>
    <r>
      <rPr>
        <sz val="11"/>
        <color theme="1"/>
        <rFont val="Calibri"/>
        <family val="2"/>
        <scheme val="minor"/>
      </rPr>
      <t xml:space="preserve">; </t>
    </r>
    <r>
      <rPr>
        <b/>
        <sz val="11"/>
        <color theme="1"/>
        <rFont val="Calibri"/>
        <family val="2"/>
        <scheme val="minor"/>
      </rPr>
      <t>veteado</t>
    </r>
    <r>
      <rPr>
        <sz val="11"/>
        <color theme="1"/>
        <rFont val="Calibri"/>
        <family val="2"/>
        <scheme val="minor"/>
      </rPr>
      <t xml:space="preserve"> (carne)</t>
    </r>
  </si>
  <si>
    <t>Deux sens selon contexte.</t>
  </si>
  <si>
    <t>Two meanings depending on context.</t>
  </si>
  <si>
    <t>Dos sentidos según el contexto.</t>
  </si>
  <si>
    <t>pesée</t>
  </si>
  <si>
    <t>weighing (step)</t>
  </si>
  <si>
    <t>pesada</t>
  </si>
  <si>
    <t>Étape de pesée d’ingrédients/portions.</t>
  </si>
  <si>
    <t>Weighing step for ingredients/portions.</t>
  </si>
  <si>
    <t>Etapa de pesado de ingredientes/porciones.</t>
  </si>
  <si>
    <t>Weigh</t>
  </si>
  <si>
    <t>Pesar</t>
  </si>
  <si>
    <t>Balance étalonnée; tare avant pesée.</t>
  </si>
  <si>
    <t>Calibrated scale; tare before weighing.</t>
  </si>
  <si>
    <t>Balanza calibrada; tara antes de pesar.</t>
  </si>
  <si>
    <t>knead</t>
  </si>
  <si>
    <t>amasar</t>
  </si>
  <si>
    <t>Pâtes panifiées/pâtissières.</t>
  </si>
  <si>
    <t>Leavened doughs and pastry doughs.</t>
  </si>
  <si>
    <t>Masas panificadas y masas pasteleras.</t>
  </si>
  <si>
    <t>crush; pound</t>
  </si>
  <si>
    <r>
      <t>majar</t>
    </r>
    <r>
      <rPr>
        <sz val="11"/>
        <color theme="1"/>
        <rFont val="Calibri"/>
        <family val="2"/>
        <scheme val="minor"/>
      </rPr>
      <t>; triturar</t>
    </r>
  </si>
  <si>
    <t>Mortier/pilon, glace pilée.</t>
  </si>
  <si>
    <t>Mortar &amp; pestle; crushed ice.</t>
  </si>
  <si>
    <t>Mortero y mano; hielo picado.</t>
  </si>
  <si>
    <t>pinch (edge); brown sucs</t>
  </si>
  <si>
    <r>
      <t>pellizcar el borde</t>
    </r>
    <r>
      <rPr>
        <sz val="11"/>
        <color theme="1"/>
        <rFont val="Calibri"/>
        <family val="2"/>
        <scheme val="minor"/>
      </rPr>
      <t xml:space="preserve">; </t>
    </r>
    <r>
      <rPr>
        <b/>
        <sz val="11"/>
        <color theme="1"/>
        <rFont val="Calibri"/>
        <family val="2"/>
        <scheme val="minor"/>
      </rPr>
      <t>pincelar/fijar fondos</t>
    </r>
  </si>
  <si>
    <t>1) Festonner bord d’une pâte. 2) « Pincer les sucs » = saisir pour fond.</t>
  </si>
  <si>
    <t>1) Crimp/scallop pastry edge. 2) Sear to develop fond (“pinch the juices”).</t>
  </si>
  <si>
    <r>
      <t xml:space="preserve">1) Festonear el borde de la masa. 2) Sellar para formar </t>
    </r>
    <r>
      <rPr>
        <i/>
        <sz val="11"/>
        <color theme="1"/>
        <rFont val="Calibri"/>
        <family val="2"/>
        <scheme val="minor"/>
      </rPr>
      <t>fond</t>
    </r>
    <r>
      <rPr>
        <sz val="11"/>
        <color theme="1"/>
        <rFont val="Calibri"/>
        <family val="2"/>
        <scheme val="minor"/>
      </rPr>
      <t>.</t>
    </r>
  </si>
  <si>
    <t>dock/prick (pastry); prick (meat/sausage)</t>
  </si>
  <si>
    <r>
      <t>pinchar</t>
    </r>
    <r>
      <rPr>
        <sz val="11"/>
        <color theme="1"/>
        <rFont val="Calibri"/>
        <family val="2"/>
        <scheme val="minor"/>
      </rPr>
      <t xml:space="preserve">; </t>
    </r>
    <r>
      <rPr>
        <b/>
        <sz val="11"/>
        <color theme="1"/>
        <rFont val="Calibri"/>
        <family val="2"/>
        <scheme val="minor"/>
      </rPr>
      <t>picar</t>
    </r>
    <r>
      <rPr>
        <sz val="11"/>
        <color theme="1"/>
        <rFont val="Calibri"/>
        <family val="2"/>
        <scheme val="minor"/>
      </rPr>
      <t xml:space="preserve"> (masa)</t>
    </r>
  </si>
  <si>
    <t>Éviter boursouflures (pâte) ; piquer saucisses.</t>
  </si>
  <si>
    <t>Dock dough to prevent bubbles; prick sausages.</t>
  </si>
  <si>
    <t>Pinchar la masa para evitar ampollas; pinchar salchichas.</t>
  </si>
  <si>
    <t>place on a tray/sheet</t>
  </si>
  <si>
    <t>colocar en bandeja</t>
  </si>
  <si>
    <t>Étaler sur plaque pour refroidir, congeler, sécher.</t>
  </si>
  <si>
    <t>Spread on a tray to cool/freeze/dry.</t>
  </si>
  <si>
    <t>Extender en bandeja para enfriar/congelar/secar.</t>
  </si>
  <si>
    <t>Poach</t>
  </si>
  <si>
    <t>Pochar/escalfar</t>
  </si>
  <si>
    <t>70–85 °C; liquide aromatisé; sans ébullition.</t>
  </si>
  <si>
    <t>70–85 °C; flavored liquid; no boil.</t>
  </si>
  <si>
    <t>70–85 °C; líquido aromatizado; sin hervir.</t>
  </si>
  <si>
    <t>pan-roast/pan-fry (covered classic)</t>
  </si>
  <si>
    <t>saltear/poelar</t>
  </si>
  <si>
    <t>Classique : beurre, couverte; moderne ≈ sauter/poêler.</t>
  </si>
  <si>
    <r>
      <t xml:space="preserve">Classic </t>
    </r>
    <r>
      <rPr>
        <b/>
        <sz val="11"/>
        <color theme="1"/>
        <rFont val="Calibri"/>
        <family val="2"/>
        <scheme val="minor"/>
      </rPr>
      <t>poêler</t>
    </r>
    <r>
      <rPr>
        <sz val="11"/>
        <color theme="1"/>
        <rFont val="Calibri"/>
        <family val="2"/>
        <scheme val="minor"/>
      </rPr>
      <t xml:space="preserve"> method: butter, covered; modern ≈ sauté/pan-roast.</t>
    </r>
  </si>
  <si>
    <r>
      <t xml:space="preserve">Método clásico </t>
    </r>
    <r>
      <rPr>
        <b/>
        <sz val="11"/>
        <color theme="1"/>
        <rFont val="Calibri"/>
        <family val="2"/>
        <scheme val="minor"/>
      </rPr>
      <t>poêler</t>
    </r>
    <r>
      <rPr>
        <sz val="11"/>
        <color theme="1"/>
        <rFont val="Calibri"/>
        <family val="2"/>
        <scheme val="minor"/>
      </rPr>
      <t>: mantequilla, cubierto; moderno ≈ saltear/sellar en sartén.</t>
    </r>
  </si>
  <si>
    <t>Monter jusqu’aux gros bouillons.</t>
  </si>
  <si>
    <t>portionnement</t>
  </si>
  <si>
    <t>portioning (step)</t>
  </si>
  <si>
    <t>porcionado</t>
  </si>
  <si>
    <t>Étape de division en portions.</t>
  </si>
  <si>
    <t>Portioning step.</t>
  </si>
  <si>
    <t>Etapa de porcionado.</t>
  </si>
  <si>
    <t>Portionner</t>
  </si>
  <si>
    <t>portion; divide</t>
  </si>
  <si>
    <t>porcionar</t>
  </si>
  <si>
    <t>Au poids/au volume, à l’écopage ou à la coupe.</t>
  </si>
  <si>
    <t>By weight/volume; ladled or cut portions.</t>
  </si>
  <si>
    <t>Por peso/volumen; por cazo o por corte.</t>
  </si>
  <si>
    <t>dust (sugar/flour/cocoa)</t>
  </si>
  <si>
    <t>espolvorear</t>
  </si>
  <si>
    <t>Sucre glace, cacao, farine.</t>
  </si>
  <si>
    <t>Dust with icing sugar/cocoa/flour.</t>
  </si>
  <si>
    <t>Espolvorear con azúcar glas/cacao/harina.</t>
  </si>
  <si>
    <t>proof (dough)</t>
  </si>
  <si>
    <t>leudar/fermentar</t>
  </si>
  <si>
    <t>Passage en étuve / levée contrôlée.</t>
  </si>
  <si>
    <t>Proof in a proofer / controlled rise.</t>
  </si>
  <si>
    <t>Paso por cámara de fermentación / levado controlado.</t>
  </si>
  <si>
    <t>coat with caramelized nuts; make praliné</t>
  </si>
  <si>
    <r>
      <t>garrapiñar</t>
    </r>
    <r>
      <rPr>
        <sz val="11"/>
        <color theme="1"/>
        <rFont val="Calibri"/>
        <family val="2"/>
        <scheme val="minor"/>
      </rPr>
      <t>; hacer praliné</t>
    </r>
  </si>
  <si>
    <t>Noisettes/amandes caramélisées puis mixées = praliné.</t>
  </si>
  <si>
    <r>
      <t xml:space="preserve">Caramelize hazelnuts/almonds then grind = </t>
    </r>
    <r>
      <rPr>
        <b/>
        <sz val="11"/>
        <color theme="1"/>
        <rFont val="Calibri"/>
        <family val="2"/>
        <scheme val="minor"/>
      </rPr>
      <t>praliné</t>
    </r>
    <r>
      <rPr>
        <sz val="11"/>
        <color theme="1"/>
        <rFont val="Calibri"/>
        <family val="2"/>
        <scheme val="minor"/>
      </rPr>
      <t>.</t>
    </r>
  </si>
  <si>
    <r>
      <t xml:space="preserve">Avellanas/almendras caramelizadas y luego trituradas = </t>
    </r>
    <r>
      <rPr>
        <b/>
        <sz val="11"/>
        <color theme="1"/>
        <rFont val="Calibri"/>
        <family val="2"/>
        <scheme val="minor"/>
      </rPr>
      <t>praliné</t>
    </r>
    <r>
      <rPr>
        <sz val="11"/>
        <color theme="1"/>
        <rFont val="Calibri"/>
        <family val="2"/>
        <scheme val="minor"/>
      </rPr>
      <t>.</t>
    </r>
  </si>
  <si>
    <t>Preheat</t>
  </si>
  <si>
    <t>Precalentar</t>
  </si>
  <si>
    <t>Atteindre T° cible avant d’enfourner.</t>
  </si>
  <si>
    <t>Reach target temp before loading.</t>
  </si>
  <si>
    <t>Alcanzar T° objetivo antes de hornear.</t>
  </si>
  <si>
    <t>Précuire</t>
  </si>
  <si>
    <t>par-cook; par-bake</t>
  </si>
  <si>
    <r>
      <t>precocer</t>
    </r>
    <r>
      <rPr>
        <sz val="11"/>
        <color theme="1"/>
        <rFont val="Calibri"/>
        <family val="2"/>
        <scheme val="minor"/>
      </rPr>
      <t>; prehornear</t>
    </r>
  </si>
  <si>
    <t>Ex. fond de tarte à blanc.</t>
  </si>
  <si>
    <t>Example: blind-bake a tart shell.</t>
  </si>
  <si>
    <t>Ej.: cocer en blanco una base de tarta.</t>
  </si>
  <si>
    <t>precuisson</t>
  </si>
  <si>
    <t>par-cooking (stage)</t>
  </si>
  <si>
    <t>precocción</t>
  </si>
  <si>
    <t>take (a piece/sample)</t>
  </si>
  <si>
    <r>
      <t>prelevar/tomar</t>
    </r>
    <r>
      <rPr>
        <sz val="11"/>
        <color theme="1"/>
        <rFont val="Calibri"/>
        <family val="2"/>
        <scheme val="minor"/>
      </rPr>
      <t>; muestrear</t>
    </r>
  </si>
  <si>
    <t>Portion, pièce, ou échantillon QC.</t>
  </si>
  <si>
    <t>Portion/unit, or QC sample.</t>
  </si>
  <si>
    <t>Ración/pieza o muestra de control de calidad.</t>
  </si>
  <si>
    <t>prepare; prep</t>
  </si>
  <si>
    <t>preparar</t>
  </si>
  <si>
    <t>Mise en place, anticipations, assaisonnement.</t>
  </si>
  <si>
    <t>Mise en place, prep ahead, seasoning.</t>
  </si>
  <si>
    <r>
      <t>Mise en place</t>
    </r>
    <r>
      <rPr>
        <sz val="11"/>
        <color theme="1"/>
        <rFont val="Calibri"/>
        <family val="2"/>
        <scheme val="minor"/>
      </rPr>
      <t>, preparaciones previas, sazonado.</t>
    </r>
  </si>
  <si>
    <t>protect (cover/wrap/shield)</t>
  </si>
  <si>
    <r>
      <t>proteger</t>
    </r>
    <r>
      <rPr>
        <sz val="11"/>
        <color theme="1"/>
        <rFont val="Calibri"/>
        <family val="2"/>
        <scheme val="minor"/>
      </rPr>
      <t>; cubrir</t>
    </r>
  </si>
  <si>
    <t>Film, couvercle, papier huilé, chablonnage.</t>
  </si>
  <si>
    <r>
      <t xml:space="preserve">Cover: cling film, lid, oiled paper; </t>
    </r>
    <r>
      <rPr>
        <b/>
        <sz val="11"/>
        <color theme="1"/>
        <rFont val="Calibri"/>
        <family val="2"/>
        <scheme val="minor"/>
      </rPr>
      <t>chablonnage</t>
    </r>
    <r>
      <rPr>
        <sz val="11"/>
        <color theme="1"/>
        <rFont val="Calibri"/>
        <family val="2"/>
        <scheme val="minor"/>
      </rPr>
      <t xml:space="preserve"> (thin chocolate seal).</t>
    </r>
  </si>
  <si>
    <r>
      <t xml:space="preserve">Cubrir: film, tapa, papel aceitado; </t>
    </r>
    <r>
      <rPr>
        <b/>
        <sz val="11"/>
        <color theme="1"/>
        <rFont val="Calibri"/>
        <family val="2"/>
        <scheme val="minor"/>
      </rPr>
      <t>chablonnage</t>
    </r>
    <r>
      <rPr>
        <sz val="11"/>
        <color theme="1"/>
        <rFont val="Calibri"/>
        <family val="2"/>
        <scheme val="minor"/>
      </rPr>
      <t xml:space="preserve"> (sellado fino de chocolate).</t>
    </r>
  </si>
  <si>
    <t>soak with syrup (sponge)</t>
  </si>
  <si>
    <r>
      <t>calar / emborrachar</t>
    </r>
    <r>
      <rPr>
        <sz val="11"/>
        <color theme="1"/>
        <rFont val="Calibri"/>
        <family val="2"/>
        <scheme val="minor"/>
      </rPr>
      <t xml:space="preserve"> (bizcocho)</t>
    </r>
  </si>
  <si>
    <t>Pâtisserie : imbiber un biscuit avec sirop/alcool.</t>
  </si>
  <si>
    <t>Pastry: soak a sponge with syrup/spirits.</t>
  </si>
  <si>
    <t>Pastelería: calar/emborrachar un bizcocho con almíbar/alcohol.</t>
  </si>
  <si>
    <t>crosshatch; mark with grill/diamond marks</t>
  </si>
  <si>
    <r>
      <t xml:space="preserve">marcar en rombos / enrejado; </t>
    </r>
    <r>
      <rPr>
        <b/>
        <sz val="11"/>
        <color theme="1"/>
        <rFont val="Calibri"/>
        <family val="2"/>
        <scheme val="minor"/>
      </rPr>
      <t>rayar en cruz</t>
    </r>
  </si>
  <si>
    <t>1) Au gril/plancha : pivoter la pièce pour obtenir des losanges.</t>
  </si>
  <si>
    <t>On the grill/plancha: rotate the item to create diamond grill marks.</t>
  </si>
  <si>
    <t>En la parrilla/plancha: girar la pieza para formar rombos (marcas de parrilla).</t>
  </si>
  <si>
    <t>2) Inciser la peau (ex. magret) en croisillons avant cuisson.</t>
  </si>
  <si>
    <t>Score the skin (e.g., duck breast) in a crosshatch before cooking.</t>
  </si>
  <si>
    <t>Practicar cortes en la piel (p. ej., magret) en enrejado antes de cocer.</t>
  </si>
  <si>
    <t>3) Décor sur pâte/feuilletage : tracer un quadrillage léger sans couper.</t>
  </si>
  <si>
    <t>For pastry/puff: score a light lattice pattern without cutting through.</t>
  </si>
  <si>
    <t>En masa/hojaldre: marcar un enrejado ligero sin cortar la masa.</t>
  </si>
  <si>
    <r>
      <t xml:space="preserve">fold (batter); </t>
    </r>
    <r>
      <rPr>
        <b/>
        <sz val="11"/>
        <color theme="1"/>
        <rFont val="Calibri"/>
        <family val="2"/>
        <scheme val="minor"/>
      </rPr>
      <t>knock back</t>
    </r>
    <r>
      <rPr>
        <sz val="11"/>
        <color theme="1"/>
        <rFont val="Calibri"/>
        <family val="2"/>
        <scheme val="minor"/>
      </rPr>
      <t xml:space="preserve"> (dough)</t>
    </r>
  </si>
  <si>
    <r>
      <t>plegar</t>
    </r>
    <r>
      <rPr>
        <sz val="11"/>
        <color theme="1"/>
        <rFont val="Calibri"/>
        <family val="2"/>
        <scheme val="minor"/>
      </rPr>
      <t xml:space="preserve">; </t>
    </r>
    <r>
      <rPr>
        <b/>
        <sz val="11"/>
        <color theme="1"/>
        <rFont val="Calibri"/>
        <family val="2"/>
        <scheme val="minor"/>
      </rPr>
      <t>desgasificar</t>
    </r>
    <r>
      <rPr>
        <sz val="11"/>
        <color theme="1"/>
        <rFont val="Calibri"/>
        <family val="2"/>
        <scheme val="minor"/>
      </rPr>
      <t xml:space="preserve"> (masa)</t>
    </r>
  </si>
  <si>
    <t>Pâtisserie : rabattre une pâte/meringue ; BVP : chasser le gaz après 1re pousse.</t>
  </si>
  <si>
    <r>
      <t xml:space="preserve">Pastry: </t>
    </r>
    <r>
      <rPr>
        <b/>
        <sz val="11"/>
        <color theme="1"/>
        <rFont val="Calibri"/>
        <family val="2"/>
        <scheme val="minor"/>
      </rPr>
      <t>fold down</t>
    </r>
    <r>
      <rPr>
        <sz val="11"/>
        <color theme="1"/>
        <rFont val="Calibri"/>
        <family val="2"/>
        <scheme val="minor"/>
      </rPr>
      <t xml:space="preserve"> batter/meringue; Bakery: </t>
    </r>
    <r>
      <rPr>
        <b/>
        <sz val="11"/>
        <color theme="1"/>
        <rFont val="Calibri"/>
        <family val="2"/>
        <scheme val="minor"/>
      </rPr>
      <t>knock back</t>
    </r>
    <r>
      <rPr>
        <sz val="11"/>
        <color theme="1"/>
        <rFont val="Calibri"/>
        <family val="2"/>
        <scheme val="minor"/>
      </rPr>
      <t xml:space="preserve"> dough after first rise.</t>
    </r>
  </si>
  <si>
    <r>
      <t xml:space="preserve">Pastelería: </t>
    </r>
    <r>
      <rPr>
        <b/>
        <sz val="11"/>
        <color theme="1"/>
        <rFont val="Calibri"/>
        <family val="2"/>
        <scheme val="minor"/>
      </rPr>
      <t>abater/plegar</t>
    </r>
    <r>
      <rPr>
        <sz val="11"/>
        <color theme="1"/>
        <rFont val="Calibri"/>
        <family val="2"/>
        <scheme val="minor"/>
      </rPr>
      <t xml:space="preserve"> la mezcla/merengue; Panadería: </t>
    </r>
    <r>
      <rPr>
        <b/>
        <sz val="11"/>
        <color theme="1"/>
        <rFont val="Calibri"/>
        <family val="2"/>
        <scheme val="minor"/>
      </rPr>
      <t>desgasificar</t>
    </r>
    <r>
      <rPr>
        <sz val="11"/>
        <color theme="1"/>
        <rFont val="Calibri"/>
        <family val="2"/>
        <scheme val="minor"/>
      </rPr>
      <t xml:space="preserve"> la masa tras el primer levado.</t>
    </r>
  </si>
  <si>
    <t>shorten (a dough/gluten); cut shorter</t>
  </si>
  <si>
    <r>
      <t>acortar</t>
    </r>
    <r>
      <rPr>
        <sz val="11"/>
        <color theme="1"/>
        <rFont val="Calibri"/>
        <family val="2"/>
        <scheme val="minor"/>
      </rPr>
      <t xml:space="preserve"> (una masa)</t>
    </r>
  </si>
  <si>
    <t>Limiter le réseau glutineux par ajout de gras ; sens générique « réduire la longueur ».</t>
  </si>
  <si>
    <r>
      <t>Shorten</t>
    </r>
    <r>
      <rPr>
        <sz val="11"/>
        <color theme="1"/>
        <rFont val="Calibri"/>
        <family val="2"/>
        <scheme val="minor"/>
      </rPr>
      <t xml:space="preserve"> gluten network by adding fat; generic: </t>
    </r>
    <r>
      <rPr>
        <b/>
        <sz val="11"/>
        <color theme="1"/>
        <rFont val="Calibri"/>
        <family val="2"/>
        <scheme val="minor"/>
      </rPr>
      <t>shorten</t>
    </r>
    <r>
      <rPr>
        <sz val="11"/>
        <color theme="1"/>
        <rFont val="Calibri"/>
        <family val="2"/>
        <scheme val="minor"/>
      </rPr>
      <t>.</t>
    </r>
  </si>
  <si>
    <r>
      <t>Acortar</t>
    </r>
    <r>
      <rPr>
        <sz val="11"/>
        <color theme="1"/>
        <rFont val="Calibri"/>
        <family val="2"/>
        <scheme val="minor"/>
      </rPr>
      <t xml:space="preserve"> la red de gluten añadiendo grasa; genérico: </t>
    </r>
    <r>
      <rPr>
        <b/>
        <sz val="11"/>
        <color theme="1"/>
        <rFont val="Calibri"/>
        <family val="2"/>
        <scheme val="minor"/>
      </rPr>
      <t>acortar</t>
    </r>
    <r>
      <rPr>
        <sz val="11"/>
        <color theme="1"/>
        <rFont val="Calibri"/>
        <family val="2"/>
        <scheme val="minor"/>
      </rPr>
      <t>.</t>
    </r>
  </si>
  <si>
    <t>chill/refresh; refresh starter</t>
  </si>
  <si>
    <r>
      <t>enfriar rápidamente</t>
    </r>
    <r>
      <rPr>
        <sz val="11"/>
        <color theme="1"/>
        <rFont val="Calibri"/>
        <family val="2"/>
        <scheme val="minor"/>
      </rPr>
      <t xml:space="preserve">; </t>
    </r>
    <r>
      <rPr>
        <b/>
        <sz val="11"/>
        <color theme="1"/>
        <rFont val="Calibri"/>
        <family val="2"/>
        <scheme val="minor"/>
      </rPr>
      <t>refrescar</t>
    </r>
    <r>
      <rPr>
        <sz val="11"/>
        <color theme="1"/>
        <rFont val="Calibri"/>
        <family val="2"/>
        <scheme val="minor"/>
      </rPr>
      <t xml:space="preserve"> (masa madre)</t>
    </r>
  </si>
  <si>
    <t>Refroidir en cellule/eau glacée ; rafraîchir une pâte mère.</t>
  </si>
  <si>
    <r>
      <t>Blast-chill/ice-bath</t>
    </r>
    <r>
      <rPr>
        <sz val="11"/>
        <color theme="1"/>
        <rFont val="Calibri"/>
        <family val="2"/>
        <scheme val="minor"/>
      </rPr>
      <t xml:space="preserve">; </t>
    </r>
    <r>
      <rPr>
        <b/>
        <sz val="11"/>
        <color theme="1"/>
        <rFont val="Calibri"/>
        <family val="2"/>
        <scheme val="minor"/>
      </rPr>
      <t>refresh/feed</t>
    </r>
    <r>
      <rPr>
        <sz val="11"/>
        <color theme="1"/>
        <rFont val="Calibri"/>
        <family val="2"/>
        <scheme val="minor"/>
      </rPr>
      <t xml:space="preserve"> a starter.</t>
    </r>
  </si>
  <si>
    <r>
      <t>Abatir/enfriar en baño de hielo</t>
    </r>
    <r>
      <rPr>
        <sz val="11"/>
        <color theme="1"/>
        <rFont val="Calibri"/>
        <family val="2"/>
        <scheme val="minor"/>
      </rPr>
      <t xml:space="preserve">; </t>
    </r>
    <r>
      <rPr>
        <b/>
        <sz val="11"/>
        <color theme="1"/>
        <rFont val="Calibri"/>
        <family val="2"/>
        <scheme val="minor"/>
      </rPr>
      <t>refrescar/alimentar</t>
    </r>
    <r>
      <rPr>
        <sz val="11"/>
        <color theme="1"/>
        <rFont val="Calibri"/>
        <family val="2"/>
        <scheme val="minor"/>
      </rPr>
      <t xml:space="preserve"> una masa madre.</t>
    </r>
  </si>
  <si>
    <t>stiffen/seize in fat (lightly)</t>
  </si>
  <si>
    <r>
      <t>retar / endurecer</t>
    </r>
    <r>
      <rPr>
        <sz val="11"/>
        <color theme="1"/>
        <rFont val="Calibri"/>
        <family val="2"/>
        <scheme val="minor"/>
      </rPr>
      <t xml:space="preserve"> en grasa (sellar)</t>
    </r>
  </si>
  <si>
    <t>Saisir une viande sans (ou à peine) coloration avant braisage.</t>
  </si>
  <si>
    <r>
      <t>Sear lightly without browning</t>
    </r>
    <r>
      <rPr>
        <sz val="11"/>
        <color theme="1"/>
        <rFont val="Calibri"/>
        <family val="2"/>
        <scheme val="minor"/>
      </rPr>
      <t xml:space="preserve"> before braising.</t>
    </r>
  </si>
  <si>
    <r>
      <t>Sellar sin (apenas) dorar</t>
    </r>
    <r>
      <rPr>
        <sz val="11"/>
        <color theme="1"/>
        <rFont val="Calibri"/>
        <family val="2"/>
        <scheme val="minor"/>
      </rPr>
      <t xml:space="preserve"> antes de estofar.</t>
    </r>
  </si>
  <si>
    <t>rangement</t>
  </si>
  <si>
    <t>storage/put-away (step)</t>
  </si>
  <si>
    <t>almacenado / guardado</t>
  </si>
  <si>
    <t>Opération de rangement de poste/bacs/ustensiles.</t>
  </si>
  <si>
    <r>
      <t>Tidy/clear down</t>
    </r>
    <r>
      <rPr>
        <sz val="11"/>
        <color theme="1"/>
        <rFont val="Calibri"/>
        <family val="2"/>
        <scheme val="minor"/>
      </rPr>
      <t xml:space="preserve"> the station: put away bins/utensils.</t>
    </r>
  </si>
  <si>
    <r>
      <t>Recoger/ordenar</t>
    </r>
    <r>
      <rPr>
        <sz val="11"/>
        <color theme="1"/>
        <rFont val="Calibri"/>
        <family val="2"/>
        <scheme val="minor"/>
      </rPr>
      <t xml:space="preserve"> el puesto: guardar cubetas/utensilios.</t>
    </r>
  </si>
  <si>
    <t>Ranger</t>
  </si>
  <si>
    <t>store; put away; tidy</t>
  </si>
  <si>
    <t>guardar / ordenar</t>
  </si>
  <si>
    <t>Fin de service / hygiène.</t>
  </si>
  <si>
    <r>
      <t xml:space="preserve">End-of-service </t>
    </r>
    <r>
      <rPr>
        <b/>
        <sz val="11"/>
        <color theme="1"/>
        <rFont val="Calibri"/>
        <family val="2"/>
        <scheme val="minor"/>
      </rPr>
      <t>clean-down/sanitation</t>
    </r>
    <r>
      <rPr>
        <sz val="11"/>
        <color theme="1"/>
        <rFont val="Calibri"/>
        <family val="2"/>
        <scheme val="minor"/>
      </rPr>
      <t>.</t>
    </r>
  </si>
  <si>
    <r>
      <t>Limpieza</t>
    </r>
    <r>
      <rPr>
        <sz val="11"/>
        <color theme="1"/>
        <rFont val="Calibri"/>
        <family val="2"/>
        <scheme val="minor"/>
      </rPr>
      <t xml:space="preserve"> fin de servicio / </t>
    </r>
    <r>
      <rPr>
        <b/>
        <sz val="11"/>
        <color theme="1"/>
        <rFont val="Calibri"/>
        <family val="2"/>
        <scheme val="minor"/>
      </rPr>
      <t>sanitización</t>
    </r>
    <r>
      <rPr>
        <sz val="11"/>
        <color theme="1"/>
        <rFont val="Calibri"/>
        <family val="2"/>
        <scheme val="minor"/>
      </rPr>
      <t>.</t>
    </r>
  </si>
  <si>
    <t>go stale</t>
  </si>
  <si>
    <t>envejecer / quedarse duro</t>
  </si>
  <si>
    <t>Pain/viennoiseries qui sèchent.</t>
  </si>
  <si>
    <r>
      <t xml:space="preserve">Bread/pastries </t>
    </r>
    <r>
      <rPr>
        <b/>
        <sz val="11"/>
        <color theme="1"/>
        <rFont val="Calibri"/>
        <family val="2"/>
        <scheme val="minor"/>
      </rPr>
      <t>going stale</t>
    </r>
    <r>
      <rPr>
        <sz val="11"/>
        <color theme="1"/>
        <rFont val="Calibri"/>
        <family val="2"/>
        <scheme val="minor"/>
      </rPr>
      <t>.</t>
    </r>
  </si>
  <si>
    <r>
      <t xml:space="preserve">Pan/bollerías </t>
    </r>
    <r>
      <rPr>
        <b/>
        <sz val="11"/>
        <color theme="1"/>
        <rFont val="Calibri"/>
        <family val="2"/>
        <scheme val="minor"/>
      </rPr>
      <t>que se endurecen</t>
    </r>
    <r>
      <rPr>
        <sz val="11"/>
        <color theme="1"/>
        <rFont val="Calibri"/>
        <family val="2"/>
        <scheme val="minor"/>
      </rPr>
      <t xml:space="preserve"> (se ponen </t>
    </r>
    <r>
      <rPr>
        <b/>
        <sz val="11"/>
        <color theme="1"/>
        <rFont val="Calibri"/>
        <family val="2"/>
        <scheme val="minor"/>
      </rPr>
      <t>duros</t>
    </r>
    <r>
      <rPr>
        <sz val="11"/>
        <color theme="1"/>
        <rFont val="Calibri"/>
        <family val="2"/>
        <scheme val="minor"/>
      </rPr>
      <t>).</t>
    </r>
  </si>
  <si>
    <t>score/make lines (decor)</t>
  </si>
  <si>
    <r>
      <t>rayar</t>
    </r>
    <r>
      <rPr>
        <sz val="11"/>
        <color theme="1"/>
        <rFont val="Calibri"/>
        <family val="2"/>
        <scheme val="minor"/>
      </rPr>
      <t xml:space="preserve"> / marcar líneas</t>
    </r>
  </si>
  <si>
    <t>Quadrillage léger sur pâte, entremets, chocolat.</t>
  </si>
  <si>
    <r>
      <t xml:space="preserve">Light </t>
    </r>
    <r>
      <rPr>
        <b/>
        <sz val="11"/>
        <color theme="1"/>
        <rFont val="Calibri"/>
        <family val="2"/>
        <scheme val="minor"/>
      </rPr>
      <t>crosshatch/lattice</t>
    </r>
    <r>
      <rPr>
        <sz val="11"/>
        <color theme="1"/>
        <rFont val="Calibri"/>
        <family val="2"/>
        <scheme val="minor"/>
      </rPr>
      <t xml:space="preserve"> scoring on pastry, entremets, chocolate.</t>
    </r>
  </si>
  <si>
    <r>
      <t>Enrejado</t>
    </r>
    <r>
      <rPr>
        <sz val="11"/>
        <color theme="1"/>
        <rFont val="Calibri"/>
        <family val="2"/>
        <scheme val="minor"/>
      </rPr>
      <t xml:space="preserve"> ligero en masa, entremets, chocolate.</t>
    </r>
  </si>
  <si>
    <t>make; prepare</t>
  </si>
  <si>
    <t>realizar / elaborar</t>
  </si>
  <si>
    <t>Formulation/réalisation d’une recette.</t>
  </si>
  <si>
    <r>
      <t>Develop and execute</t>
    </r>
    <r>
      <rPr>
        <sz val="11"/>
        <color theme="1"/>
        <rFont val="Calibri"/>
        <family val="2"/>
        <scheme val="minor"/>
      </rPr>
      <t xml:space="preserve"> a recipe.</t>
    </r>
  </si>
  <si>
    <r>
      <t>Desarrollar y ejecutar</t>
    </r>
    <r>
      <rPr>
        <sz val="11"/>
        <color theme="1"/>
        <rFont val="Calibri"/>
        <family val="2"/>
        <scheme val="minor"/>
      </rPr>
      <t xml:space="preserve"> una receta.</t>
    </r>
  </si>
  <si>
    <t>réception / contrôles</t>
  </si>
  <si>
    <t>receive; take delivery</t>
  </si>
  <si>
    <r>
      <t>recepcionar</t>
    </r>
    <r>
      <rPr>
        <sz val="11"/>
        <color theme="1"/>
        <rFont val="Calibri"/>
        <family val="2"/>
        <scheme val="minor"/>
      </rPr>
      <t xml:space="preserve">; </t>
    </r>
    <r>
      <rPr>
        <b/>
        <sz val="11"/>
        <color theme="1"/>
        <rFont val="Calibri"/>
        <family val="2"/>
        <scheme val="minor"/>
      </rPr>
      <t>recibir</t>
    </r>
  </si>
  <si>
    <t>Entrée marchandises : quantité, intégrité, T°, DLC/lot (traçabilité).</t>
  </si>
  <si>
    <t>Goods-in: quantity, integrity, temperature, use-by/lot (traceability).</t>
  </si>
  <si>
    <t>Recepción: cantidad, integridad, T°, caducidad/lote (trazabilidad).</t>
  </si>
  <si>
    <t>Réceptionner / Contrôler</t>
  </si>
  <si>
    <t>receive &amp; inspect</t>
  </si>
  <si>
    <t>recepcionar y controlar</t>
  </si>
  <si>
    <t>Étape d’entrée marchandises (HACCP).</t>
  </si>
  <si>
    <r>
      <t>Goods-in receiving</t>
    </r>
    <r>
      <rPr>
        <sz val="11"/>
        <color theme="1"/>
        <rFont val="Calibri"/>
        <family val="2"/>
        <scheme val="minor"/>
      </rPr>
      <t xml:space="preserve"> (HACCP).</t>
    </r>
  </si>
  <si>
    <r>
      <t>Recepción</t>
    </r>
    <r>
      <rPr>
        <sz val="11"/>
        <color theme="1"/>
        <rFont val="Calibri"/>
        <family val="2"/>
        <scheme val="minor"/>
      </rPr>
      <t xml:space="preserve"> de mercancías (APPCC).</t>
    </r>
  </si>
  <si>
    <t>Réchauffer en moins d’1 H</t>
  </si>
  <si>
    <t>reheat in under 1 hour</t>
  </si>
  <si>
    <t>recalentar en menos de 1 h</t>
  </si>
  <si>
    <t>Instruction de cadence/service ; vérifier T° cœur cible.</t>
  </si>
  <si>
    <r>
      <t>Pacing/service instruction</t>
    </r>
    <r>
      <rPr>
        <sz val="11"/>
        <color theme="1"/>
        <rFont val="Calibri"/>
        <family val="2"/>
        <scheme val="minor"/>
      </rPr>
      <t xml:space="preserve">; verify </t>
    </r>
    <r>
      <rPr>
        <b/>
        <sz val="11"/>
        <color theme="1"/>
        <rFont val="Calibri"/>
        <family val="2"/>
        <scheme val="minor"/>
      </rPr>
      <t>target core temp</t>
    </r>
    <r>
      <rPr>
        <sz val="11"/>
        <color theme="1"/>
        <rFont val="Calibri"/>
        <family val="2"/>
        <scheme val="minor"/>
      </rPr>
      <t>.</t>
    </r>
  </si>
  <si>
    <r>
      <t>Instrucción de cadencia/servicio</t>
    </r>
    <r>
      <rPr>
        <sz val="11"/>
        <color theme="1"/>
        <rFont val="Calibri"/>
        <family val="2"/>
        <scheme val="minor"/>
      </rPr>
      <t xml:space="preserve">; verificar </t>
    </r>
    <r>
      <rPr>
        <b/>
        <sz val="11"/>
        <color theme="1"/>
        <rFont val="Calibri"/>
        <family val="2"/>
        <scheme val="minor"/>
      </rPr>
      <t>T° en el centro objetivo</t>
    </r>
    <r>
      <rPr>
        <sz val="11"/>
        <color theme="1"/>
        <rFont val="Calibri"/>
        <family val="2"/>
        <scheme val="minor"/>
      </rPr>
      <t>.</t>
    </r>
  </si>
  <si>
    <t>Reconditionner</t>
  </si>
  <si>
    <t>repackage</t>
  </si>
  <si>
    <t>re-envasar / reacondicionar</t>
  </si>
  <si>
    <t>Changer de contenant/format/état d’emballage.</t>
  </si>
  <si>
    <r>
      <t>Repackage/recontainerize</t>
    </r>
    <r>
      <rPr>
        <sz val="11"/>
        <color theme="1"/>
        <rFont val="Calibri"/>
        <family val="2"/>
        <scheme val="minor"/>
      </rPr>
      <t>; change pack format/state.</t>
    </r>
  </si>
  <si>
    <r>
      <t>Reenvasar/cambiar de envase</t>
    </r>
    <r>
      <rPr>
        <sz val="11"/>
        <color theme="1"/>
        <rFont val="Calibri"/>
        <family val="2"/>
        <scheme val="minor"/>
      </rPr>
      <t>; cambiar formato/estado.</t>
    </r>
  </si>
  <si>
    <t>cover; coat</t>
  </si>
  <si>
    <t>cubrir / recubrir</t>
  </si>
  <si>
    <t>Film, couvercle, nappage, chocolat.</t>
  </si>
  <si>
    <r>
      <t>Cover</t>
    </r>
    <r>
      <rPr>
        <sz val="11"/>
        <color theme="1"/>
        <rFont val="Calibri"/>
        <family val="2"/>
        <scheme val="minor"/>
      </rPr>
      <t xml:space="preserve">: film/lid; </t>
    </r>
    <r>
      <rPr>
        <b/>
        <sz val="11"/>
        <color theme="1"/>
        <rFont val="Calibri"/>
        <family val="2"/>
        <scheme val="minor"/>
      </rPr>
      <t>glaze/coat</t>
    </r>
    <r>
      <rPr>
        <sz val="11"/>
        <color theme="1"/>
        <rFont val="Calibri"/>
        <family val="2"/>
        <scheme val="minor"/>
      </rPr>
      <t xml:space="preserve"> with jelly/chocolate.</t>
    </r>
  </si>
  <si>
    <r>
      <t>Cubrir</t>
    </r>
    <r>
      <rPr>
        <sz val="11"/>
        <color theme="1"/>
        <rFont val="Calibri"/>
        <family val="2"/>
        <scheme val="minor"/>
      </rPr>
      <t xml:space="preserve">: film/tapa; </t>
    </r>
    <r>
      <rPr>
        <b/>
        <sz val="11"/>
        <color theme="1"/>
        <rFont val="Calibri"/>
        <family val="2"/>
        <scheme val="minor"/>
      </rPr>
      <t>napar/bañar</t>
    </r>
    <r>
      <rPr>
        <sz val="11"/>
        <color theme="1"/>
        <rFont val="Calibri"/>
        <family val="2"/>
        <scheme val="minor"/>
      </rPr>
      <t xml:space="preserve"> con gelatina/chocolate.</t>
    </r>
  </si>
  <si>
    <t>Rectifier (l’assais.)</t>
  </si>
  <si>
    <t>adjust/ correct (seasoning)</t>
  </si>
  <si>
    <r>
      <t>rectificar</t>
    </r>
    <r>
      <rPr>
        <sz val="11"/>
        <color theme="1"/>
        <rFont val="Calibri"/>
        <family val="2"/>
        <scheme val="minor"/>
      </rPr>
      <t xml:space="preserve"> (de sal/sazonado)</t>
    </r>
  </si>
  <si>
    <t>« Rectifier l’assaisonnement ».</t>
  </si>
  <si>
    <r>
      <t>Adjust seasoning</t>
    </r>
    <r>
      <rPr>
        <sz val="11"/>
        <color theme="1"/>
        <rFont val="Calibri"/>
        <family val="2"/>
        <scheme val="minor"/>
      </rPr>
      <t>.</t>
    </r>
  </si>
  <si>
    <r>
      <t>Rectificar el sazonado</t>
    </r>
    <r>
      <rPr>
        <sz val="11"/>
        <color theme="1"/>
        <rFont val="Calibri"/>
        <family val="2"/>
        <scheme val="minor"/>
      </rPr>
      <t>.</t>
    </r>
  </si>
  <si>
    <t>reduce; boil down</t>
  </si>
  <si>
    <r>
      <t>reducir</t>
    </r>
    <r>
      <rPr>
        <sz val="11"/>
        <color theme="1"/>
        <rFont val="Calibri"/>
        <family val="2"/>
        <scheme val="minor"/>
      </rPr>
      <t>; concentrar</t>
    </r>
  </si>
  <si>
    <t>Cuisine : concentrer une sauce ; gestion : réduire coûts/délais.</t>
  </si>
  <si>
    <t>Kitchen: reduce a sauce; management: reduce costs/lead times.</t>
  </si>
  <si>
    <t>Cocina: reducir una salsa; gestión: reducir costes/plazos.</t>
  </si>
  <si>
    <t>cool/chill</t>
  </si>
  <si>
    <t>enfriar / abatir</t>
  </si>
  <si>
    <t>Cellule, eau glacée, ventilation.</t>
  </si>
  <si>
    <r>
      <t>Blast chiller, ice bath, ventilation</t>
    </r>
    <r>
      <rPr>
        <sz val="11"/>
        <color theme="1"/>
        <rFont val="Calibri"/>
        <family val="2"/>
        <scheme val="minor"/>
      </rPr>
      <t>.</t>
    </r>
  </si>
  <si>
    <r>
      <t>Abatidor, baño de hielo, ventilación</t>
    </r>
    <r>
      <rPr>
        <sz val="11"/>
        <color theme="1"/>
        <rFont val="Calibri"/>
        <family val="2"/>
        <scheme val="minor"/>
      </rPr>
      <t>.</t>
    </r>
  </si>
  <si>
    <t>Refroidir (cellule)</t>
  </si>
  <si>
    <t>Blast-chill</t>
  </si>
  <si>
    <t>Abatir</t>
  </si>
  <si>
    <t>Cellule; barquette peu profonde; étiqueter.</t>
  </si>
  <si>
    <t>Blast-chill; shallow pan; label.</t>
  </si>
  <si>
    <t>Abatidor; cubeta baja; etiquetar.</t>
  </si>
  <si>
    <t>refroidissement =&lt; 9°</t>
  </si>
  <si>
    <t>cool to ≤ 9 °C</t>
  </si>
  <si>
    <t>enfriar a ≤ 9 °C</t>
  </si>
  <si>
    <t>Consigne interne/HACCP : atteindre ≤ 9 °C au cœur dans le délai prévu.</t>
  </si>
  <si>
    <r>
      <t xml:space="preserve">Instruction: cool to </t>
    </r>
    <r>
      <rPr>
        <b/>
        <sz val="11"/>
        <color theme="1"/>
        <rFont val="Calibri"/>
        <family val="2"/>
        <scheme val="minor"/>
      </rPr>
      <t>≤ 9 °C core</t>
    </r>
    <r>
      <rPr>
        <sz val="11"/>
        <color theme="1"/>
        <rFont val="Calibri"/>
        <family val="2"/>
        <scheme val="minor"/>
      </rPr>
      <t xml:space="preserve"> within required time.</t>
    </r>
  </si>
  <si>
    <r>
      <t xml:space="preserve">Consigna: enfriar a </t>
    </r>
    <r>
      <rPr>
        <b/>
        <sz val="11"/>
        <color theme="1"/>
        <rFont val="Calibri"/>
        <family val="2"/>
        <scheme val="minor"/>
      </rPr>
      <t>≤ 9 °C al centro</t>
    </r>
    <r>
      <rPr>
        <sz val="11"/>
        <color theme="1"/>
        <rFont val="Calibri"/>
        <family val="2"/>
        <scheme val="minor"/>
      </rPr>
      <t xml:space="preserve"> en el tiempo requerido.</t>
    </r>
  </si>
  <si>
    <r>
      <t xml:space="preserve">regenerate / </t>
    </r>
    <r>
      <rPr>
        <b/>
        <sz val="11"/>
        <color theme="1"/>
        <rFont val="Calibri"/>
        <family val="2"/>
        <scheme val="minor"/>
      </rPr>
      <t>retherm</t>
    </r>
  </si>
  <si>
    <t>regenerar</t>
  </si>
  <si>
    <t>Réchauffage contrôlé des plats « cook-chill ».</t>
  </si>
  <si>
    <r>
      <t>Controlled reheat</t>
    </r>
    <r>
      <rPr>
        <sz val="11"/>
        <color theme="1"/>
        <rFont val="Calibri"/>
        <family val="2"/>
        <scheme val="minor"/>
      </rPr>
      <t xml:space="preserve"> of cook-chill dishes.</t>
    </r>
  </si>
  <si>
    <r>
      <t>Regeneración controlada</t>
    </r>
    <r>
      <rPr>
        <sz val="11"/>
        <color theme="1"/>
        <rFont val="Calibri"/>
        <family val="2"/>
        <scheme val="minor"/>
      </rPr>
      <t xml:space="preserve"> de platos </t>
    </r>
    <r>
      <rPr>
        <i/>
        <sz val="11"/>
        <color theme="1"/>
        <rFont val="Calibri"/>
        <family val="2"/>
        <scheme val="minor"/>
      </rPr>
      <t>cook-chill</t>
    </r>
    <r>
      <rPr>
        <sz val="11"/>
        <color theme="1"/>
        <rFont val="Calibri"/>
        <family val="2"/>
        <scheme val="minor"/>
      </rPr>
      <t>.</t>
    </r>
  </si>
  <si>
    <t>set; adjust; tune</t>
  </si>
  <si>
    <r>
      <t>ajustar</t>
    </r>
    <r>
      <rPr>
        <sz val="11"/>
        <color theme="1"/>
        <rFont val="Calibri"/>
        <family val="2"/>
        <scheme val="minor"/>
      </rPr>
      <t xml:space="preserve">; </t>
    </r>
    <r>
      <rPr>
        <b/>
        <sz val="11"/>
        <color theme="1"/>
        <rFont val="Calibri"/>
        <family val="2"/>
        <scheme val="minor"/>
      </rPr>
      <t>regular</t>
    </r>
  </si>
  <si>
    <t>Régler paramètres machine (T°, vitesse), calibrer un process.</t>
  </si>
  <si>
    <t>Set machine parameters (temp, speed), calibrate a process.</t>
  </si>
  <si>
    <t>Ajustar parámetros de máquina (T°, velocidad), calibrar un proceso.</t>
  </si>
  <si>
    <t>regulate; control</t>
  </si>
  <si>
    <r>
      <t>regular</t>
    </r>
    <r>
      <rPr>
        <sz val="11"/>
        <color theme="1"/>
        <rFont val="Calibri"/>
        <family val="2"/>
        <scheme val="minor"/>
      </rPr>
      <t>; controlar</t>
    </r>
  </si>
  <si>
    <t>Stabiliser des variations (débit, T°, pression, flux).</t>
  </si>
  <si>
    <t>Regulate/stabilize variations (flow, temp, pressure, throughput).</t>
  </si>
  <si>
    <t>Regular/estabilizar variaciones (caudal, T°, presión, flujo).</t>
  </si>
  <si>
    <t>rehydrate</t>
  </si>
  <si>
    <t>rehidratar</t>
  </si>
  <si>
    <t>Légumineuses, gélatine, poudres.</t>
  </si>
  <si>
    <r>
      <t>Soak/disperse</t>
    </r>
    <r>
      <rPr>
        <sz val="11"/>
        <color theme="1"/>
        <rFont val="Calibri"/>
        <family val="2"/>
        <scheme val="minor"/>
      </rPr>
      <t xml:space="preserve"> legumes; </t>
    </r>
    <r>
      <rPr>
        <b/>
        <sz val="11"/>
        <color theme="1"/>
        <rFont val="Calibri"/>
        <family val="2"/>
        <scheme val="minor"/>
      </rPr>
      <t>bloom</t>
    </r>
    <r>
      <rPr>
        <sz val="11"/>
        <color theme="1"/>
        <rFont val="Calibri"/>
        <family val="2"/>
        <scheme val="minor"/>
      </rPr>
      <t xml:space="preserve"> gelatin; </t>
    </r>
    <r>
      <rPr>
        <b/>
        <sz val="11"/>
        <color theme="1"/>
        <rFont val="Calibri"/>
        <family val="2"/>
        <scheme val="minor"/>
      </rPr>
      <t>disperse</t>
    </r>
    <r>
      <rPr>
        <sz val="11"/>
        <color theme="1"/>
        <rFont val="Calibri"/>
        <family val="2"/>
        <scheme val="minor"/>
      </rPr>
      <t xml:space="preserve"> powders.</t>
    </r>
  </si>
  <si>
    <r>
      <t>Remojar/dispersar</t>
    </r>
    <r>
      <rPr>
        <sz val="11"/>
        <color theme="1"/>
        <rFont val="Calibri"/>
        <family val="2"/>
        <scheme val="minor"/>
      </rPr>
      <t xml:space="preserve"> legumbres; </t>
    </r>
    <r>
      <rPr>
        <b/>
        <sz val="11"/>
        <color theme="1"/>
        <rFont val="Calibri"/>
        <family val="2"/>
        <scheme val="minor"/>
      </rPr>
      <t>hidratar</t>
    </r>
    <r>
      <rPr>
        <sz val="11"/>
        <color theme="1"/>
        <rFont val="Calibri"/>
        <family val="2"/>
        <scheme val="minor"/>
      </rPr>
      <t xml:space="preserve"> gelatina; </t>
    </r>
    <r>
      <rPr>
        <b/>
        <sz val="11"/>
        <color theme="1"/>
        <rFont val="Calibri"/>
        <family val="2"/>
        <scheme val="minor"/>
      </rPr>
      <t>dispersar</t>
    </r>
    <r>
      <rPr>
        <sz val="11"/>
        <color theme="1"/>
        <rFont val="Calibri"/>
        <family val="2"/>
        <scheme val="minor"/>
      </rPr>
      <t xml:space="preserve"> polvos.</t>
    </r>
  </si>
  <si>
    <t>rejet</t>
  </si>
  <si>
    <t>reject / waste (item)</t>
  </si>
  <si>
    <t>rechazo / merma</t>
  </si>
  <si>
    <t>Pièces non conformes → déchets/retour.</t>
  </si>
  <si>
    <r>
      <t>Non-conforming items → scrap/return</t>
    </r>
    <r>
      <rPr>
        <sz val="11"/>
        <color theme="1"/>
        <rFont val="Calibri"/>
        <family val="2"/>
        <scheme val="minor"/>
      </rPr>
      <t>.</t>
    </r>
  </si>
  <si>
    <r>
      <t>Piezas no conformes → merma/devolución</t>
    </r>
    <r>
      <rPr>
        <sz val="11"/>
        <color theme="1"/>
        <rFont val="Calibri"/>
        <family val="2"/>
        <scheme val="minor"/>
      </rPr>
      <t>.</t>
    </r>
  </si>
  <si>
    <t>Rejeter</t>
  </si>
  <si>
    <t>reject; discard</t>
  </si>
  <si>
    <t>rechazar / desechar</t>
  </si>
  <si>
    <t>Action (step).</t>
  </si>
  <si>
    <t>Acción (etapa).</t>
  </si>
  <si>
    <t>slacken/loosen (texture)</t>
  </si>
  <si>
    <t>aflojar / licuar</t>
  </si>
  <si>
    <t>Sauce/pâte qui se détend (ajout liquide/chaleur).</t>
  </si>
  <si>
    <r>
      <t xml:space="preserve">Sauce/dough </t>
    </r>
    <r>
      <rPr>
        <b/>
        <sz val="11"/>
        <color theme="1"/>
        <rFont val="Calibri"/>
        <family val="2"/>
        <scheme val="minor"/>
      </rPr>
      <t>loosens/relaxes</t>
    </r>
    <r>
      <rPr>
        <sz val="11"/>
        <color theme="1"/>
        <rFont val="Calibri"/>
        <family val="2"/>
        <scheme val="minor"/>
      </rPr>
      <t xml:space="preserve"> (with liquid/heat).</t>
    </r>
  </si>
  <si>
    <r>
      <t xml:space="preserve">Salsa/masa </t>
    </r>
    <r>
      <rPr>
        <b/>
        <sz val="11"/>
        <color theme="1"/>
        <rFont val="Calibri"/>
        <family val="2"/>
        <scheme val="minor"/>
      </rPr>
      <t>se afloja</t>
    </r>
    <r>
      <rPr>
        <sz val="11"/>
        <color theme="1"/>
        <rFont val="Calibri"/>
        <family val="2"/>
        <scheme val="minor"/>
      </rPr>
      <t xml:space="preserve"> (con líquido/calor).</t>
    </r>
  </si>
  <si>
    <t>Relever (goût)</t>
  </si>
  <si>
    <r>
      <t xml:space="preserve">brighten; perk up; </t>
    </r>
    <r>
      <rPr>
        <b/>
        <sz val="11"/>
        <color theme="1"/>
        <rFont val="Calibri"/>
        <family val="2"/>
        <scheme val="minor"/>
      </rPr>
      <t>spice up</t>
    </r>
  </si>
  <si>
    <r>
      <t>realzar</t>
    </r>
    <r>
      <rPr>
        <sz val="11"/>
        <color theme="1"/>
        <rFont val="Calibri"/>
        <family val="2"/>
        <scheme val="minor"/>
      </rPr>
      <t>; avivar</t>
    </r>
  </si>
  <si>
    <t>Renforcer acidité/épices/sel.</t>
  </si>
  <si>
    <r>
      <t>Boost</t>
    </r>
    <r>
      <rPr>
        <sz val="11"/>
        <color theme="1"/>
        <rFont val="Calibri"/>
        <family val="2"/>
        <scheme val="minor"/>
      </rPr>
      <t xml:space="preserve"> acidity/spice/salt.</t>
    </r>
  </si>
  <si>
    <r>
      <t>Potenciar</t>
    </r>
    <r>
      <rPr>
        <sz val="11"/>
        <color theme="1"/>
        <rFont val="Calibri"/>
        <family val="2"/>
        <scheme val="minor"/>
      </rPr>
      <t xml:space="preserve"> acidez/especias/sal.</t>
    </r>
  </si>
  <si>
    <t>Remettre en T°</t>
  </si>
  <si>
    <t>bring back to temp</t>
  </si>
  <si>
    <t>volver a temperatura</t>
  </si>
  <si>
    <t>Revenir à T° service/ambiante selon consigne.</t>
  </si>
  <si>
    <r>
      <t>Bring back</t>
    </r>
    <r>
      <rPr>
        <sz val="11"/>
        <color theme="1"/>
        <rFont val="Calibri"/>
        <family val="2"/>
        <scheme val="minor"/>
      </rPr>
      <t xml:space="preserve"> to service/room temp as instructed.</t>
    </r>
  </si>
  <si>
    <r>
      <t>Llevar</t>
    </r>
    <r>
      <rPr>
        <sz val="11"/>
        <color theme="1"/>
        <rFont val="Calibri"/>
        <family val="2"/>
        <scheme val="minor"/>
      </rPr>
      <t xml:space="preserve"> a T° de servicio/ambiente según consigna.</t>
    </r>
  </si>
  <si>
    <t>remise en t° (étape)</t>
  </si>
  <si>
    <t>temperature recovery (step)</t>
  </si>
  <si>
    <t>puesta a temperatura</t>
  </si>
  <si>
    <t>Nom d’étape process.</t>
  </si>
  <si>
    <t>Process step name.</t>
  </si>
  <si>
    <t>Nombre de etapa del proceso.</t>
  </si>
  <si>
    <t>bring back up; whip back (emulsion)</t>
  </si>
  <si>
    <r>
      <t>subir / recuperar</t>
    </r>
    <r>
      <rPr>
        <sz val="11"/>
        <color theme="1"/>
        <rFont val="Calibri"/>
        <family val="2"/>
        <scheme val="minor"/>
      </rPr>
      <t xml:space="preserve">; </t>
    </r>
    <r>
      <rPr>
        <b/>
        <sz val="11"/>
        <color theme="1"/>
        <rFont val="Calibri"/>
        <family val="2"/>
        <scheme val="minor"/>
      </rPr>
      <t>remontar</t>
    </r>
    <r>
      <rPr>
        <sz val="11"/>
        <color theme="1"/>
        <rFont val="Calibri"/>
        <family val="2"/>
        <scheme val="minor"/>
      </rPr>
      <t xml:space="preserve"> (emulsión)</t>
    </r>
  </si>
  <si>
    <t>« Remonter une mayo tranchée ».</t>
  </si>
  <si>
    <r>
      <t>Rescue</t>
    </r>
    <r>
      <rPr>
        <sz val="11"/>
        <color theme="1"/>
        <rFont val="Calibri"/>
        <family val="2"/>
        <scheme val="minor"/>
      </rPr>
      <t xml:space="preserve"> a split mayo (re-emulsify).</t>
    </r>
  </si>
  <si>
    <r>
      <t>Recuperar</t>
    </r>
    <r>
      <rPr>
        <sz val="11"/>
        <color theme="1"/>
        <rFont val="Calibri"/>
        <family val="2"/>
        <scheme val="minor"/>
      </rPr>
      <t xml:space="preserve"> una mayonesa cortada (reemulsionar).</t>
    </r>
  </si>
  <si>
    <t>bring temperature back up</t>
  </si>
  <si>
    <t>elevar de nuevo la temperatura</t>
  </si>
  <si>
    <t>À cœur selon barème (ex. ≥ 63 °C).</t>
  </si>
  <si>
    <r>
      <t>To core</t>
    </r>
    <r>
      <rPr>
        <sz val="11"/>
        <color theme="1"/>
        <rFont val="Calibri"/>
        <family val="2"/>
        <scheme val="minor"/>
      </rPr>
      <t xml:space="preserve"> per standard (e.g., </t>
    </r>
    <r>
      <rPr>
        <b/>
        <sz val="11"/>
        <color theme="1"/>
        <rFont val="Calibri"/>
        <family val="2"/>
        <scheme val="minor"/>
      </rPr>
      <t>≥ 63 °C</t>
    </r>
    <r>
      <rPr>
        <sz val="11"/>
        <color theme="1"/>
        <rFont val="Calibri"/>
        <family val="2"/>
        <scheme val="minor"/>
      </rPr>
      <t>).</t>
    </r>
  </si>
  <si>
    <r>
      <t>A corazón</t>
    </r>
    <r>
      <rPr>
        <sz val="11"/>
        <color theme="1"/>
        <rFont val="Calibri"/>
        <family val="2"/>
        <scheme val="minor"/>
      </rPr>
      <t xml:space="preserve"> según baremo (p. ej., </t>
    </r>
    <r>
      <rPr>
        <b/>
        <sz val="11"/>
        <color theme="1"/>
        <rFont val="Calibri"/>
        <family val="2"/>
        <scheme val="minor"/>
      </rPr>
      <t>≥ 63 °C</t>
    </r>
    <r>
      <rPr>
        <sz val="11"/>
        <color theme="1"/>
        <rFont val="Calibri"/>
        <family val="2"/>
        <scheme val="minor"/>
      </rPr>
      <t>).</t>
    </r>
  </si>
  <si>
    <t>replace; swap</t>
  </si>
  <si>
    <t>reemplazar</t>
  </si>
  <si>
    <t>Ingrédient/pièce/matériel.</t>
  </si>
  <si>
    <t>Ingredient/item/equipment.</t>
  </si>
  <si>
    <t>Ingrediente/pieza/equipo.</t>
  </si>
  <si>
    <t>Remplir Barq</t>
  </si>
  <si>
    <t>fill trays (barquettes)</t>
  </si>
  <si>
    <t>llenar barquetas</t>
  </si>
  <si>
    <t>Abréviation « Barq » = barquettes.</t>
  </si>
  <si>
    <r>
      <t xml:space="preserve">Abbrev. </t>
    </r>
    <r>
      <rPr>
        <b/>
        <sz val="11"/>
        <color theme="1"/>
        <rFont val="Calibri"/>
        <family val="2"/>
        <scheme val="minor"/>
      </rPr>
      <t>“Barq” = trays</t>
    </r>
    <r>
      <rPr>
        <sz val="11"/>
        <color theme="1"/>
        <rFont val="Calibri"/>
        <family val="2"/>
        <scheme val="minor"/>
      </rPr>
      <t>.</t>
    </r>
  </si>
  <si>
    <r>
      <t xml:space="preserve">Abrev. </t>
    </r>
    <r>
      <rPr>
        <b/>
        <sz val="11"/>
        <color theme="1"/>
        <rFont val="Calibri"/>
        <family val="2"/>
        <scheme val="minor"/>
      </rPr>
      <t>«Barq» = barquetas</t>
    </r>
    <r>
      <rPr>
        <sz val="11"/>
        <color theme="1"/>
        <rFont val="Calibri"/>
        <family val="2"/>
        <scheme val="minor"/>
      </rPr>
      <t>.</t>
    </r>
  </si>
  <si>
    <t>Remplir Des Chariots Isothermes</t>
  </si>
  <si>
    <t>llenar carros isotermos</t>
  </si>
  <si>
    <t>Logistique chaud/froid.</t>
  </si>
  <si>
    <r>
      <t>Hot/cold logistics</t>
    </r>
    <r>
      <rPr>
        <sz val="11"/>
        <color theme="1"/>
        <rFont val="Calibri"/>
        <family val="2"/>
        <scheme val="minor"/>
      </rPr>
      <t>.</t>
    </r>
  </si>
  <si>
    <r>
      <t>Logística caliente/fría</t>
    </r>
    <r>
      <rPr>
        <sz val="11"/>
        <color theme="1"/>
        <rFont val="Calibri"/>
        <family val="2"/>
        <scheme val="minor"/>
      </rPr>
      <t>.</t>
    </r>
  </si>
  <si>
    <t>remplissage barq.</t>
  </si>
  <si>
    <t>tray filling (stage)</t>
  </si>
  <si>
    <t>llenado de barquetas</t>
  </si>
  <si>
    <t>remplissage des chariots isothermes</t>
  </si>
  <si>
    <t>insulated trolley loading</t>
  </si>
  <si>
    <t>llenado de carros isotermos</t>
  </si>
  <si>
    <t>stir; mix</t>
  </si>
  <si>
    <r>
      <t>remover</t>
    </r>
    <r>
      <rPr>
        <sz val="11"/>
        <color theme="1"/>
        <rFont val="Calibri"/>
        <family val="2"/>
        <scheme val="minor"/>
      </rPr>
      <t>; mezclar</t>
    </r>
  </si>
  <si>
    <t>À la spatule/cuillère, fond sans accrocher.</t>
  </si>
  <si>
    <r>
      <t>Stir/scrape</t>
    </r>
    <r>
      <rPr>
        <sz val="11"/>
        <color theme="1"/>
        <rFont val="Calibri"/>
        <family val="2"/>
        <scheme val="minor"/>
      </rPr>
      <t xml:space="preserve"> to keep from sticking to the bottom.</t>
    </r>
  </si>
  <si>
    <r>
      <t>Remover/raspar</t>
    </r>
    <r>
      <rPr>
        <sz val="11"/>
        <color theme="1"/>
        <rFont val="Calibri"/>
        <family val="2"/>
        <scheme val="minor"/>
      </rPr>
      <t xml:space="preserve"> para que no se pegue al fondo.</t>
    </r>
  </si>
  <si>
    <t>distribute; divide out</t>
  </si>
  <si>
    <t>repartir / distribuir</t>
  </si>
  <si>
    <t>Sur plaques, en moules, par portions.</t>
  </si>
  <si>
    <r>
      <t xml:space="preserve">On </t>
    </r>
    <r>
      <rPr>
        <b/>
        <sz val="11"/>
        <color theme="1"/>
        <rFont val="Calibri"/>
        <family val="2"/>
        <scheme val="minor"/>
      </rPr>
      <t>sheet trays</t>
    </r>
    <r>
      <rPr>
        <sz val="11"/>
        <color theme="1"/>
        <rFont val="Calibri"/>
        <family val="2"/>
        <scheme val="minor"/>
      </rPr>
      <t xml:space="preserve">, in </t>
    </r>
    <r>
      <rPr>
        <b/>
        <sz val="11"/>
        <color theme="1"/>
        <rFont val="Calibri"/>
        <family val="2"/>
        <scheme val="minor"/>
      </rPr>
      <t>molds</t>
    </r>
    <r>
      <rPr>
        <sz val="11"/>
        <color theme="1"/>
        <rFont val="Calibri"/>
        <family val="2"/>
        <scheme val="minor"/>
      </rPr>
      <t xml:space="preserve">, by </t>
    </r>
    <r>
      <rPr>
        <b/>
        <sz val="11"/>
        <color theme="1"/>
        <rFont val="Calibri"/>
        <family val="2"/>
        <scheme val="minor"/>
      </rPr>
      <t>portions</t>
    </r>
    <r>
      <rPr>
        <sz val="11"/>
        <color theme="1"/>
        <rFont val="Calibri"/>
        <family val="2"/>
        <scheme val="minor"/>
      </rPr>
      <t>.</t>
    </r>
  </si>
  <si>
    <r>
      <t xml:space="preserve">En </t>
    </r>
    <r>
      <rPr>
        <b/>
        <sz val="11"/>
        <color theme="1"/>
        <rFont val="Calibri"/>
        <family val="2"/>
        <scheme val="minor"/>
      </rPr>
      <t>bandejas</t>
    </r>
    <r>
      <rPr>
        <sz val="11"/>
        <color theme="1"/>
        <rFont val="Calibri"/>
        <family val="2"/>
        <scheme val="minor"/>
      </rPr>
      <t xml:space="preserve">, en </t>
    </r>
    <r>
      <rPr>
        <b/>
        <sz val="11"/>
        <color theme="1"/>
        <rFont val="Calibri"/>
        <family val="2"/>
        <scheme val="minor"/>
      </rPr>
      <t>moldes</t>
    </r>
    <r>
      <rPr>
        <sz val="11"/>
        <color theme="1"/>
        <rFont val="Calibri"/>
        <family val="2"/>
        <scheme val="minor"/>
      </rPr>
      <t xml:space="preserve">, por </t>
    </r>
    <r>
      <rPr>
        <b/>
        <sz val="11"/>
        <color theme="1"/>
        <rFont val="Calibri"/>
        <family val="2"/>
        <scheme val="minor"/>
      </rPr>
      <t>porciones</t>
    </r>
    <r>
      <rPr>
        <sz val="11"/>
        <color theme="1"/>
        <rFont val="Calibri"/>
        <family val="2"/>
        <scheme val="minor"/>
      </rPr>
      <t>.</t>
    </r>
  </si>
  <si>
    <t>repartition</t>
  </si>
  <si>
    <t>distribution (layout)</t>
  </si>
  <si>
    <t>reparto / distribución</t>
  </si>
  <si>
    <t>Plan de répartition en bacs/assiettes.</t>
  </si>
  <si>
    <r>
      <t>Allocation/plating plan</t>
    </r>
    <r>
      <rPr>
        <sz val="11"/>
        <color theme="1"/>
        <rFont val="Calibri"/>
        <family val="2"/>
        <scheme val="minor"/>
      </rPr>
      <t xml:space="preserve"> by bins/plates.</t>
    </r>
  </si>
  <si>
    <r>
      <t>Plan de reparto/emplatado</t>
    </r>
    <r>
      <rPr>
        <sz val="11"/>
        <color theme="1"/>
        <rFont val="Calibri"/>
        <family val="2"/>
        <scheme val="minor"/>
      </rPr>
      <t xml:space="preserve"> por cubetas/platos.</t>
    </r>
  </si>
  <si>
    <r>
      <t xml:space="preserve">pass again; </t>
    </r>
    <r>
      <rPr>
        <b/>
        <sz val="11"/>
        <color theme="1"/>
        <rFont val="Calibri"/>
        <family val="2"/>
        <scheme val="minor"/>
      </rPr>
      <t>return to oven/pan</t>
    </r>
  </si>
  <si>
    <t>pasar de nuevo / repasar</t>
  </si>
  <si>
    <t>« Repasser à la salamandre / au four ».</t>
  </si>
  <si>
    <r>
      <t>Flash</t>
    </r>
    <r>
      <rPr>
        <sz val="11"/>
        <color theme="1"/>
        <rFont val="Calibri"/>
        <family val="2"/>
        <scheme val="minor"/>
      </rPr>
      <t xml:space="preserve"> under the salamander / in the oven.</t>
    </r>
  </si>
  <si>
    <r>
      <t>Dar un golpe</t>
    </r>
    <r>
      <rPr>
        <sz val="11"/>
        <color theme="1"/>
        <rFont val="Calibri"/>
        <family val="2"/>
        <scheme val="minor"/>
      </rPr>
      <t xml:space="preserve"> de salamandra / de horno.</t>
    </r>
  </si>
  <si>
    <t>Hold/warm</t>
  </si>
  <si>
    <t>Reservar</t>
  </si>
  <si>
    <t>Mettre en attente (chaud/froid) selon protocole.</t>
  </si>
  <si>
    <t>Hold (hot/cold) per SOP.</t>
  </si>
  <si>
    <t>Reservar (caliente/frío) según POE.</t>
  </si>
  <si>
    <t>respect the 2-hour limit</t>
  </si>
  <si>
    <t>respetar el plazo de 2 h</t>
  </si>
  <si>
    <t>Fenêtre sécurité (refroid./remise en T°/service).</t>
  </si>
  <si>
    <r>
      <t>Safety window</t>
    </r>
    <r>
      <rPr>
        <sz val="11"/>
        <color theme="1"/>
        <rFont val="Calibri"/>
        <family val="2"/>
        <scheme val="minor"/>
      </rPr>
      <t xml:space="preserve"> (cooling/reheat/service timing).</t>
    </r>
  </si>
  <si>
    <r>
      <t>Ventana de seguridad</t>
    </r>
    <r>
      <rPr>
        <sz val="11"/>
        <color theme="1"/>
        <rFont val="Calibri"/>
        <family val="2"/>
        <scheme val="minor"/>
      </rPr>
      <t xml:space="preserve"> (enfriado/recalentado/servicio).</t>
    </r>
  </si>
  <si>
    <t>remove; take off heat</t>
  </si>
  <si>
    <r>
      <t>retirar</t>
    </r>
    <r>
      <rPr>
        <sz val="11"/>
        <color theme="1"/>
        <rFont val="Calibri"/>
        <family val="2"/>
        <scheme val="minor"/>
      </rPr>
      <t>; apartar del fuego</t>
    </r>
  </si>
  <si>
    <t>Fin de cuisson, décuver, décercler.</t>
  </si>
  <si>
    <r>
      <t xml:space="preserve">End of cooking; </t>
    </r>
    <r>
      <rPr>
        <b/>
        <sz val="11"/>
        <color theme="1"/>
        <rFont val="Calibri"/>
        <family val="2"/>
        <scheme val="minor"/>
      </rPr>
      <t>drain/empty the vat</t>
    </r>
    <r>
      <rPr>
        <sz val="11"/>
        <color theme="1"/>
        <rFont val="Calibri"/>
        <family val="2"/>
        <scheme val="minor"/>
      </rPr>
      <t xml:space="preserve">; </t>
    </r>
    <r>
      <rPr>
        <b/>
        <sz val="11"/>
        <color theme="1"/>
        <rFont val="Calibri"/>
        <family val="2"/>
        <scheme val="minor"/>
      </rPr>
      <t>de-ring/unmold</t>
    </r>
    <r>
      <rPr>
        <sz val="11"/>
        <color theme="1"/>
        <rFont val="Calibri"/>
        <family val="2"/>
        <scheme val="minor"/>
      </rPr>
      <t>.</t>
    </r>
  </si>
  <si>
    <r>
      <t xml:space="preserve">Fin de cocción; </t>
    </r>
    <r>
      <rPr>
        <b/>
        <sz val="11"/>
        <color theme="1"/>
        <rFont val="Calibri"/>
        <family val="2"/>
        <scheme val="minor"/>
      </rPr>
      <t>descu bar/vaciar cuba</t>
    </r>
    <r>
      <rPr>
        <sz val="11"/>
        <color theme="1"/>
        <rFont val="Calibri"/>
        <family val="2"/>
        <scheme val="minor"/>
      </rPr>
      <t xml:space="preserve">; </t>
    </r>
    <r>
      <rPr>
        <b/>
        <sz val="11"/>
        <color theme="1"/>
        <rFont val="Calibri"/>
        <family val="2"/>
        <scheme val="minor"/>
      </rPr>
      <t>desmoldar/quitar aro</t>
    </r>
    <r>
      <rPr>
        <sz val="11"/>
        <color theme="1"/>
        <rFont val="Calibri"/>
        <family val="2"/>
        <scheme val="minor"/>
      </rPr>
      <t>.</t>
    </r>
  </si>
  <si>
    <t>collapse/deflate</t>
  </si>
  <si>
    <r>
      <t>bajarse</t>
    </r>
    <r>
      <rPr>
        <sz val="11"/>
        <color theme="1"/>
        <rFont val="Calibri"/>
        <family val="2"/>
        <scheme val="minor"/>
      </rPr>
      <t>; colapsar</t>
    </r>
  </si>
  <si>
    <t>Mousse/soufflé/chantilly qui « retombe ».</t>
  </si>
  <si>
    <r>
      <t xml:space="preserve">Foam/soufflé/whipped cream </t>
    </r>
    <r>
      <rPr>
        <b/>
        <sz val="11"/>
        <color theme="1"/>
        <rFont val="Calibri"/>
        <family val="2"/>
        <scheme val="minor"/>
      </rPr>
      <t>collapses/deflates</t>
    </r>
    <r>
      <rPr>
        <sz val="11"/>
        <color theme="1"/>
        <rFont val="Calibri"/>
        <family val="2"/>
        <scheme val="minor"/>
      </rPr>
      <t>.</t>
    </r>
  </si>
  <si>
    <r>
      <t xml:space="preserve">Espuma/soufflé/nata montada </t>
    </r>
    <r>
      <rPr>
        <b/>
        <sz val="11"/>
        <color theme="1"/>
        <rFont val="Calibri"/>
        <family val="2"/>
        <scheme val="minor"/>
      </rPr>
      <t>se baja/colapsa</t>
    </r>
    <r>
      <rPr>
        <sz val="11"/>
        <color theme="1"/>
        <rFont val="Calibri"/>
        <family val="2"/>
        <scheme val="minor"/>
      </rPr>
      <t>.</t>
    </r>
  </si>
  <si>
    <t>retour vers conditionnement</t>
  </si>
  <si>
    <t>return to packaging</t>
  </si>
  <si>
    <t>vuelta a envasado</t>
  </si>
  <si>
    <t>Flux process après étape intermédiaire.</t>
  </si>
  <si>
    <r>
      <t>Process flow</t>
    </r>
    <r>
      <rPr>
        <sz val="11"/>
        <color theme="1"/>
        <rFont val="Calibri"/>
        <family val="2"/>
        <scheme val="minor"/>
      </rPr>
      <t xml:space="preserve"> after an intermediate step.</t>
    </r>
  </si>
  <si>
    <r>
      <t>Flujo de proceso</t>
    </r>
    <r>
      <rPr>
        <sz val="11"/>
        <color theme="1"/>
        <rFont val="Calibri"/>
        <family val="2"/>
        <scheme val="minor"/>
      </rPr>
      <t xml:space="preserve"> tras etapa intermedia.</t>
    </r>
  </si>
  <si>
    <t>flip; turn over</t>
  </si>
  <si>
    <t>dar la vuelta</t>
  </si>
  <si>
    <t>En cuisson/égouttage/dressage.</t>
  </si>
  <si>
    <r>
      <t xml:space="preserve">During </t>
    </r>
    <r>
      <rPr>
        <b/>
        <sz val="11"/>
        <color theme="1"/>
        <rFont val="Calibri"/>
        <family val="2"/>
        <scheme val="minor"/>
      </rPr>
      <t>cooking/draining/plating</t>
    </r>
    <r>
      <rPr>
        <sz val="11"/>
        <color theme="1"/>
        <rFont val="Calibri"/>
        <family val="2"/>
        <scheme val="minor"/>
      </rPr>
      <t>.</t>
    </r>
  </si>
  <si>
    <r>
      <t xml:space="preserve">En </t>
    </r>
    <r>
      <rPr>
        <b/>
        <sz val="11"/>
        <color theme="1"/>
        <rFont val="Calibri"/>
        <family val="2"/>
        <scheme val="minor"/>
      </rPr>
      <t>cocción/escurrido/emplatado</t>
    </r>
    <r>
      <rPr>
        <sz val="11"/>
        <color theme="1"/>
        <rFont val="Calibri"/>
        <family val="2"/>
        <scheme val="minor"/>
      </rPr>
      <t>.</t>
    </r>
  </si>
  <si>
    <t>sauté (lightly brown)</t>
  </si>
  <si>
    <t>rehogar / saltear</t>
  </si>
  <si>
    <t>« Faire revenir les oignons » : fondre/dorer léger.</t>
  </si>
  <si>
    <r>
      <t>Sweat/soften</t>
    </r>
    <r>
      <rPr>
        <sz val="11"/>
        <color theme="1"/>
        <rFont val="Calibri"/>
        <family val="2"/>
        <scheme val="minor"/>
      </rPr>
      <t xml:space="preserve"> onions; </t>
    </r>
    <r>
      <rPr>
        <b/>
        <sz val="11"/>
        <color theme="1"/>
        <rFont val="Calibri"/>
        <family val="2"/>
        <scheme val="minor"/>
      </rPr>
      <t>lightly brown</t>
    </r>
    <r>
      <rPr>
        <sz val="11"/>
        <color theme="1"/>
        <rFont val="Calibri"/>
        <family val="2"/>
        <scheme val="minor"/>
      </rPr>
      <t>.</t>
    </r>
  </si>
  <si>
    <r>
      <t>Pochar</t>
    </r>
    <r>
      <rPr>
        <sz val="11"/>
        <color theme="1"/>
        <rFont val="Calibri"/>
        <family val="2"/>
        <scheme val="minor"/>
      </rPr>
      <t xml:space="preserve"> cebollas; </t>
    </r>
    <r>
      <rPr>
        <b/>
        <sz val="11"/>
        <color theme="1"/>
        <rFont val="Calibri"/>
        <family val="2"/>
        <scheme val="minor"/>
      </rPr>
      <t>dorar ligeramente</t>
    </r>
    <r>
      <rPr>
        <sz val="11"/>
        <color theme="1"/>
        <rFont val="Calibri"/>
        <family val="2"/>
        <scheme val="minor"/>
      </rPr>
      <t>.</t>
    </r>
  </si>
  <si>
    <t>rinse</t>
  </si>
  <si>
    <t>enjuagar</t>
  </si>
  <si>
    <t>À l’eau claire/potable.</t>
  </si>
  <si>
    <r>
      <t xml:space="preserve">In </t>
    </r>
    <r>
      <rPr>
        <b/>
        <sz val="11"/>
        <color theme="1"/>
        <rFont val="Calibri"/>
        <family val="2"/>
        <scheme val="minor"/>
      </rPr>
      <t>clean/potable water</t>
    </r>
    <r>
      <rPr>
        <sz val="11"/>
        <color theme="1"/>
        <rFont val="Calibri"/>
        <family val="2"/>
        <scheme val="minor"/>
      </rPr>
      <t>.</t>
    </r>
  </si>
  <si>
    <r>
      <t xml:space="preserve">En </t>
    </r>
    <r>
      <rPr>
        <b/>
        <sz val="11"/>
        <color theme="1"/>
        <rFont val="Calibri"/>
        <family val="2"/>
        <scheme val="minor"/>
      </rPr>
      <t>agua limpia/potable</t>
    </r>
    <r>
      <rPr>
        <sz val="11"/>
        <color theme="1"/>
        <rFont val="Calibri"/>
        <family val="2"/>
        <scheme val="minor"/>
      </rPr>
      <t>.</t>
    </r>
  </si>
  <si>
    <t>lattice with strips (pâte)</t>
  </si>
  <si>
    <r>
      <t>enrejillar</t>
    </r>
    <r>
      <rPr>
        <sz val="11"/>
        <color theme="1"/>
        <rFont val="Calibri"/>
        <family val="2"/>
        <scheme val="minor"/>
      </rPr>
      <t xml:space="preserve"> (con tiras)</t>
    </r>
  </si>
  <si>
    <t>Décor de tourte/pâté en croûte.</t>
  </si>
  <si>
    <r>
      <t xml:space="preserve">Decorative </t>
    </r>
    <r>
      <rPr>
        <b/>
        <sz val="11"/>
        <color theme="1"/>
        <rFont val="Calibri"/>
        <family val="2"/>
        <scheme val="minor"/>
      </rPr>
      <t>scoring/pattern</t>
    </r>
    <r>
      <rPr>
        <sz val="11"/>
        <color theme="1"/>
        <rFont val="Calibri"/>
        <family val="2"/>
        <scheme val="minor"/>
      </rPr>
      <t xml:space="preserve"> on pie/pâté en croûte.</t>
    </r>
  </si>
  <si>
    <r>
      <t>Decorado/calveado</t>
    </r>
    <r>
      <rPr>
        <sz val="11"/>
        <color theme="1"/>
        <rFont val="Calibri"/>
        <family val="2"/>
        <scheme val="minor"/>
      </rPr>
      <t xml:space="preserve"> en tarta/paté en croûte.</t>
    </r>
  </si>
  <si>
    <t>brown until crisp; pan-fry</t>
  </si>
  <si>
    <t>dorar / sofreír hasta dorado</t>
  </si>
  <si>
    <t>Pommes rissolées, viandes en surface croustillante.</t>
  </si>
  <si>
    <r>
      <t>Pan-fried</t>
    </r>
    <r>
      <rPr>
        <sz val="11"/>
        <color theme="1"/>
        <rFont val="Calibri"/>
        <family val="2"/>
        <scheme val="minor"/>
      </rPr>
      <t xml:space="preserve"> potatoes; meats </t>
    </r>
    <r>
      <rPr>
        <b/>
        <sz val="11"/>
        <color theme="1"/>
        <rFont val="Calibri"/>
        <family val="2"/>
        <scheme val="minor"/>
      </rPr>
      <t>browned crisp</t>
    </r>
    <r>
      <rPr>
        <sz val="11"/>
        <color theme="1"/>
        <rFont val="Calibri"/>
        <family val="2"/>
        <scheme val="minor"/>
      </rPr>
      <t>.</t>
    </r>
  </si>
  <si>
    <r>
      <t xml:space="preserve">Patatas </t>
    </r>
    <r>
      <rPr>
        <b/>
        <sz val="11"/>
        <color theme="1"/>
        <rFont val="Calibri"/>
        <family val="2"/>
        <scheme val="minor"/>
      </rPr>
      <t>salteadas/doradas</t>
    </r>
    <r>
      <rPr>
        <sz val="11"/>
        <color theme="1"/>
        <rFont val="Calibri"/>
        <family val="2"/>
        <scheme val="minor"/>
      </rPr>
      <t xml:space="preserve">; carnes </t>
    </r>
    <r>
      <rPr>
        <b/>
        <sz val="11"/>
        <color theme="1"/>
        <rFont val="Calibri"/>
        <family val="2"/>
        <scheme val="minor"/>
      </rPr>
      <t>crujientes por fuera</t>
    </r>
    <r>
      <rPr>
        <sz val="11"/>
        <color theme="1"/>
        <rFont val="Calibri"/>
        <family val="2"/>
        <scheme val="minor"/>
      </rPr>
      <t>.</t>
    </r>
  </si>
  <si>
    <t>knock back (dough); break</t>
  </si>
  <si>
    <r>
      <t>desgasificar</t>
    </r>
    <r>
      <rPr>
        <sz val="11"/>
        <color theme="1"/>
        <rFont val="Calibri"/>
        <family val="2"/>
        <scheme val="minor"/>
      </rPr>
      <t>; romper</t>
    </r>
  </si>
  <si>
    <t>Dégazer une pâte après pointage.</t>
  </si>
  <si>
    <r>
      <t>Punch down/degass</t>
    </r>
    <r>
      <rPr>
        <sz val="11"/>
        <color theme="1"/>
        <rFont val="Calibri"/>
        <family val="2"/>
        <scheme val="minor"/>
      </rPr>
      <t xml:space="preserve"> dough after bulk proof.</t>
    </r>
  </si>
  <si>
    <r>
      <t>Desgasificar</t>
    </r>
    <r>
      <rPr>
        <sz val="11"/>
        <color theme="1"/>
        <rFont val="Calibri"/>
        <family val="2"/>
        <scheme val="minor"/>
      </rPr>
      <t xml:space="preserve"> la masa tras el primer levado.</t>
    </r>
  </si>
  <si>
    <t>roast</t>
  </si>
  <si>
    <t>asar / asar al horno</t>
  </si>
  <si>
    <t>Rôtissoire/four sec, arrosage régulier.</t>
  </si>
  <si>
    <r>
      <t>Dry oven/rotisserie</t>
    </r>
    <r>
      <rPr>
        <sz val="11"/>
        <color theme="1"/>
        <rFont val="Calibri"/>
        <family val="2"/>
        <scheme val="minor"/>
      </rPr>
      <t xml:space="preserve"> with regular </t>
    </r>
    <r>
      <rPr>
        <b/>
        <sz val="11"/>
        <color theme="1"/>
        <rFont val="Calibri"/>
        <family val="2"/>
        <scheme val="minor"/>
      </rPr>
      <t>basting</t>
    </r>
    <r>
      <rPr>
        <sz val="11"/>
        <color theme="1"/>
        <rFont val="Calibri"/>
        <family val="2"/>
        <scheme val="minor"/>
      </rPr>
      <t>.</t>
    </r>
  </si>
  <si>
    <r>
      <t>Horno seco/rotisser</t>
    </r>
    <r>
      <rPr>
        <sz val="11"/>
        <color theme="1"/>
        <rFont val="Calibri"/>
        <family val="2"/>
        <scheme val="minor"/>
      </rPr>
      <t xml:space="preserve"> con </t>
    </r>
    <r>
      <rPr>
        <b/>
        <sz val="11"/>
        <color theme="1"/>
        <rFont val="Calibri"/>
        <family val="2"/>
        <scheme val="minor"/>
      </rPr>
      <t>regado</t>
    </r>
    <r>
      <rPr>
        <sz val="11"/>
        <color theme="1"/>
        <rFont val="Calibri"/>
        <family val="2"/>
        <scheme val="minor"/>
      </rPr>
      <t xml:space="preserve"> regular.</t>
    </r>
  </si>
  <si>
    <t>roll; roll up</t>
  </si>
  <si>
    <t>rodar / enrollar</t>
  </si>
  <si>
    <t>Abaisser une pâte; rouler un biscuit, un boudin.</t>
  </si>
  <si>
    <r>
      <t>Roll out</t>
    </r>
    <r>
      <rPr>
        <sz val="11"/>
        <color theme="1"/>
        <rFont val="Calibri"/>
        <family val="2"/>
        <scheme val="minor"/>
      </rPr>
      <t xml:space="preserve"> dough; </t>
    </r>
    <r>
      <rPr>
        <b/>
        <sz val="11"/>
        <color theme="1"/>
        <rFont val="Calibri"/>
        <family val="2"/>
        <scheme val="minor"/>
      </rPr>
      <t>roll</t>
    </r>
    <r>
      <rPr>
        <sz val="11"/>
        <color theme="1"/>
        <rFont val="Calibri"/>
        <family val="2"/>
        <scheme val="minor"/>
      </rPr>
      <t xml:space="preserve"> a sponge/roulade/log.</t>
    </r>
  </si>
  <si>
    <r>
      <t>Estirar</t>
    </r>
    <r>
      <rPr>
        <sz val="11"/>
        <color theme="1"/>
        <rFont val="Calibri"/>
        <family val="2"/>
        <scheme val="minor"/>
      </rPr>
      <t xml:space="preserve"> la masa; </t>
    </r>
    <r>
      <rPr>
        <b/>
        <sz val="11"/>
        <color theme="1"/>
        <rFont val="Calibri"/>
        <family val="2"/>
        <scheme val="minor"/>
      </rPr>
      <t>enrollar</t>
    </r>
    <r>
      <rPr>
        <sz val="11"/>
        <color theme="1"/>
        <rFont val="Calibri"/>
        <family val="2"/>
        <scheme val="minor"/>
      </rPr>
      <t xml:space="preserve"> un bizcocho/arrollado/rulo.</t>
    </r>
  </si>
  <si>
    <t>brown; scorch slightly</t>
  </si>
  <si>
    <t>tostar / dorar</t>
  </si>
  <si>
    <t>Beurre noisette, oignons « roussis ».</t>
  </si>
  <si>
    <r>
      <t>Brown butter</t>
    </r>
    <r>
      <rPr>
        <sz val="11"/>
        <color theme="1"/>
        <rFont val="Calibri"/>
        <family val="2"/>
        <scheme val="minor"/>
      </rPr>
      <t xml:space="preserve">; </t>
    </r>
    <r>
      <rPr>
        <b/>
        <sz val="11"/>
        <color theme="1"/>
        <rFont val="Calibri"/>
        <family val="2"/>
        <scheme val="minor"/>
      </rPr>
      <t>browned</t>
    </r>
    <r>
      <rPr>
        <sz val="11"/>
        <color theme="1"/>
        <rFont val="Calibri"/>
        <family val="2"/>
        <scheme val="minor"/>
      </rPr>
      <t xml:space="preserve"> onions.</t>
    </r>
  </si>
  <si>
    <r>
      <t>Mantequilla avellana</t>
    </r>
    <r>
      <rPr>
        <sz val="11"/>
        <color theme="1"/>
        <rFont val="Calibri"/>
        <family val="2"/>
        <scheme val="minor"/>
      </rPr>
      <t xml:space="preserve">; cebollas </t>
    </r>
    <r>
      <rPr>
        <b/>
        <sz val="11"/>
        <color theme="1"/>
        <rFont val="Calibri"/>
        <family val="2"/>
        <scheme val="minor"/>
      </rPr>
      <t>doradas</t>
    </r>
    <r>
      <rPr>
        <sz val="11"/>
        <color theme="1"/>
        <rFont val="Calibri"/>
        <family val="2"/>
        <scheme val="minor"/>
      </rPr>
      <t>.</t>
    </r>
  </si>
  <si>
    <t>rub in (to sandy texture); cut in (US)</t>
  </si>
  <si>
    <r>
      <t>arenar</t>
    </r>
    <r>
      <rPr>
        <sz val="11"/>
        <color theme="1"/>
        <rFont val="Calibri"/>
        <family val="2"/>
        <scheme val="minor"/>
      </rPr>
      <t xml:space="preserve"> (mezclar mantequilla+harina hasta “arena”)</t>
    </r>
  </si>
  <si>
    <t>Méthode des pâtes sablées.</t>
  </si>
  <si>
    <t>Shortcrust/sablé method.</t>
  </si>
  <si>
    <t>Método de masa sablé/masa quebrada.</t>
  </si>
  <si>
    <r>
      <t xml:space="preserve">bleed (animal/fish); serve </t>
    </r>
    <r>
      <rPr>
        <b/>
        <sz val="11"/>
        <color theme="1"/>
        <rFont val="Calibri"/>
        <family val="2"/>
        <scheme val="minor"/>
      </rPr>
      <t>rare</t>
    </r>
    <r>
      <rPr>
        <sz val="11"/>
        <color theme="1"/>
        <rFont val="Calibri"/>
        <family val="2"/>
        <scheme val="minor"/>
      </rPr>
      <t xml:space="preserve"> (doneness)</t>
    </r>
  </si>
  <si>
    <r>
      <t>desangrar</t>
    </r>
    <r>
      <rPr>
        <sz val="11"/>
        <color theme="1"/>
        <rFont val="Calibri"/>
        <family val="2"/>
        <scheme val="minor"/>
      </rPr>
      <t xml:space="preserve">; </t>
    </r>
    <r>
      <rPr>
        <b/>
        <sz val="11"/>
        <color theme="1"/>
        <rFont val="Calibri"/>
        <family val="2"/>
        <scheme val="minor"/>
      </rPr>
      <t>poco hecho</t>
    </r>
    <r>
      <rPr>
        <sz val="11"/>
        <color theme="1"/>
        <rFont val="Calibri"/>
        <family val="2"/>
        <scheme val="minor"/>
      </rPr>
      <t xml:space="preserve"> (punto “sangrante”)</t>
    </r>
  </si>
  <si>
    <t>Abattage/poisson ; cuisson viande « saignant ».</t>
  </si>
  <si>
    <t>Slaughter/processing of fish; meat cooked rare.</t>
  </si>
  <si>
    <r>
      <t xml:space="preserve">Sacrificio/procesado de pescado; carne al punto </t>
    </r>
    <r>
      <rPr>
        <b/>
        <sz val="11"/>
        <color theme="1"/>
        <rFont val="Calibri"/>
        <family val="2"/>
        <scheme val="minor"/>
      </rPr>
      <t>poco hecha</t>
    </r>
    <r>
      <rPr>
        <sz val="11"/>
        <color theme="1"/>
        <rFont val="Calibri"/>
        <family val="2"/>
        <scheme val="minor"/>
      </rPr>
      <t>.</t>
    </r>
  </si>
  <si>
    <t>sear (hot &amp; quick)</t>
  </si>
  <si>
    <r>
      <t>sellar / marcar</t>
    </r>
    <r>
      <rPr>
        <sz val="11"/>
        <color theme="1"/>
        <rFont val="Calibri"/>
        <family val="2"/>
        <scheme val="minor"/>
      </rPr>
      <t xml:space="preserve"> a fuego fuerte</t>
    </r>
  </si>
  <si>
    <t>Colorer surface sans cuire à cœur.</t>
  </si>
  <si>
    <t>Brown the surface without cooking through.</t>
  </si>
  <si>
    <t>Dorar la superficie sin cocinar al centro.</t>
  </si>
  <si>
    <t>Saler</t>
  </si>
  <si>
    <t>Salt</t>
  </si>
  <si>
    <t>Salar</t>
  </si>
  <si>
    <t>Salage progressif; tenir compte des réductions.</t>
  </si>
  <si>
    <t>Season with salt progressively; consider reductions.</t>
  </si>
  <si>
    <t>Salar gradualmente; considerar reducciones.</t>
  </si>
  <si>
    <t>churn/freeze (ice cream); pack in ice-salt</t>
  </si>
  <si>
    <r>
      <t>mantecar / helar</t>
    </r>
    <r>
      <rPr>
        <sz val="11"/>
        <color theme="1"/>
        <rFont val="Calibri"/>
        <family val="2"/>
        <scheme val="minor"/>
      </rPr>
      <t>; enterrar en sal-hielo</t>
    </r>
  </si>
  <si>
    <t>Glacerie : prise en turbine/à l’ancienne.</t>
  </si>
  <si>
    <t>Ice cream: churn in a batch freezer / by hand (traditional).</t>
  </si>
  <si>
    <t>Heladería: mantecar en turbina / a la antigua (manual).</t>
  </si>
  <si>
    <t>brine</t>
  </si>
  <si>
    <t>salmuera / poner en salmuera</t>
  </si>
  <si>
    <t>Solution salée pour assaisonner/attendrir.</t>
  </si>
  <si>
    <t>Saline brine to season/tenderize.</t>
  </si>
  <si>
    <t>Salmuera para sazonar/ablandar.</t>
  </si>
  <si>
    <t>Dust/Sprinkle</t>
  </si>
  <si>
    <t>Espolvorear</t>
  </si>
  <si>
    <t>Couches fines et régulières; tamis si poudre fine.</t>
  </si>
  <si>
    <t>Light, even dusting; sieve for fine powders.</t>
  </si>
  <si>
    <t>Espolvoreo fino y uniforme; tamiz si es polvo fino.</t>
  </si>
  <si>
    <t>Saltear</t>
  </si>
  <si>
    <t>Feu vif; petite quantité; mouvement constant.</t>
  </si>
  <si>
    <t>High heat; small quantity; constant movement.</t>
  </si>
  <si>
    <t>Fuego fuerte; poca carga; mover continuo.</t>
  </si>
  <si>
    <t>Sélectionner</t>
  </si>
  <si>
    <t>Select</t>
  </si>
  <si>
    <t>Seleccionar</t>
  </si>
  <si>
    <t>Choisir l’outil adapté (taille/matière/usage).</t>
  </si>
  <si>
    <t>Choose the right tool (size/material/use).</t>
  </si>
  <si>
    <t>Elegir la herramienta adecuada (tamaño/material/uso).</t>
  </si>
  <si>
    <t>tighten; whip to stiff peaks; pack tightly</t>
  </si>
  <si>
    <t>apretar / montar a punto firme</t>
  </si>
  <si>
    <t>« Blancs serrés » (sucre) ; tasser en moule/bac.</t>
  </si>
  <si>
    <t>“Tight” egg whites (stabilized with sugar); pack/press into mold or tray.</t>
  </si>
  <si>
    <t>Claras “firmes” (estabilizadas con azúcar); compactar/prensar en molde o cubeta.</t>
  </si>
  <si>
    <t>Serve</t>
  </si>
  <si>
    <t>Température et dressage conformes; envoi rapide.</t>
  </si>
  <si>
    <t>Correct temp &amp; plating; send promptly.</t>
  </si>
  <si>
    <t>Temperatura y emplatado correctos; salida rápida.</t>
  </si>
  <si>
    <t>dust with flour (to thicken)</t>
  </si>
  <si>
    <r>
      <t>espolvorear con harina</t>
    </r>
    <r>
      <rPr>
        <sz val="11"/>
        <color theme="1"/>
        <rFont val="Calibri"/>
        <family val="2"/>
        <scheme val="minor"/>
      </rPr>
      <t xml:space="preserve"> (para ligar)</t>
    </r>
  </si>
  <si>
    <t>Fariner matières grasses avant mouiller.</t>
  </si>
  <si>
    <t>Make a roux: cook fat with flour before adding liquid.</t>
  </si>
  <si>
    <t>Hacer un roux: cocer grasa con harina antes de añadir líquido.</t>
  </si>
  <si>
    <t>sip slowly</t>
  </si>
  <si>
    <t>sorber / tomar a sorbos</t>
  </si>
  <si>
    <t>Boissons/cocktails.</t>
  </si>
  <si>
    <t>Beverages/cocktails.</t>
  </si>
  <si>
    <t>Bebidas/cócteles.</t>
  </si>
  <si>
    <t>quick-sear on a griddle/plancha</t>
  </si>
  <si>
    <t>marcar a la plancha (rápido)</t>
  </si>
  <si>
    <t>Aller-retour vif, sans surcuire.</t>
  </si>
  <si>
    <t>Quick sear on both sides without overcooking.</t>
  </si>
  <si>
    <t>Vuelta y vuelta fuerte, sin sobrecocer.</t>
  </si>
  <si>
    <t>sondage de température</t>
  </si>
  <si>
    <t>temperature probing (step)</t>
  </si>
  <si>
    <t>sondeo / toma de temperatura</t>
  </si>
  <si>
    <t>Étape HACCP avec thermomètre sonde.</t>
  </si>
  <si>
    <t>HACCP step with probe thermometer.</t>
  </si>
  <si>
    <t>Etapa APPCC con termómetro sonda.</t>
  </si>
  <si>
    <t>Sonder (à cœur)</t>
  </si>
  <si>
    <t>Probe (core)</t>
  </si>
  <si>
    <t>Sondear (al corazón)</t>
  </si>
  <si>
    <t>Pointe au centre; nettoyer/ désinfecter la sonde.</t>
  </si>
  <si>
    <t>Probe at core; clean/sanitize probe.</t>
  </si>
  <si>
    <t>Sonda al corazón; limpiar/desinfectar la sonda.</t>
  </si>
  <si>
    <t>Sonder Cuisson</t>
  </si>
  <si>
    <t>probe for doneness</t>
  </si>
  <si>
    <t>sondear la cocción</t>
  </si>
  <si>
    <t>Vérifier cuisson à cœur.</t>
  </si>
  <si>
    <t>Check core doneness/temperature.</t>
  </si>
  <si>
    <t>Verificar cocción/temperatura al centro.</t>
  </si>
  <si>
    <t>Sonder Température</t>
  </si>
  <si>
    <t>take/measure temperature</t>
  </si>
  <si>
    <t>medir la temperatura</t>
  </si>
  <si>
    <t>Relevé de T° (entrée/sortie/holding).</t>
  </si>
  <si>
    <t>Temperature log (in/out/holding).</t>
  </si>
  <si>
    <t>Registro de T° (entrada/salida/mantenimiento).</t>
  </si>
  <si>
    <t>sortie</t>
  </si>
  <si>
    <t>output/dispatch; removal (from oven/line)</t>
  </si>
  <si>
    <t>salida / expedición; salida del horno</t>
  </si>
  <si>
    <t>Étape générique : défournement, sortie de ligne, expédition.</t>
  </si>
  <si>
    <t>Generic step: out of oven, off the line, shipping.</t>
  </si>
  <si>
    <t>Etapa genérica: deshornado, salida de línea, expedición.</t>
  </si>
  <si>
    <t>Sortir</t>
  </si>
  <si>
    <t>take out; remove</t>
  </si>
  <si>
    <t>sacar / retirar</t>
  </si>
  <si>
    <t>D’un four, d’un moule, d’une cellule.</t>
  </si>
  <si>
    <t>From an oven, a mold, a blast chiller.</t>
  </si>
  <si>
    <t>De un horno, un molde, una célula de abatimiento.</t>
  </si>
  <si>
    <t>sterilize</t>
  </si>
  <si>
    <t>esterilizar</t>
  </si>
  <si>
    <t>Traitement thermique ≥ 100 °C / autoclave ; ou matériel.</t>
  </si>
  <si>
    <t>Heat treatment ≥ 100 °C / retort; or the sterilizer unit itself.</t>
  </si>
  <si>
    <t>Tratamiento térmico ≥ 100 °C / autoclave; o el equipo esterilizador.</t>
  </si>
  <si>
    <t>stockage</t>
  </si>
  <si>
    <t>storage (stage)</t>
  </si>
  <si>
    <t>almacenamiento</t>
  </si>
  <si>
    <t>Nom d’étape/zone.</t>
  </si>
  <si>
    <t>Step/area name.</t>
  </si>
  <si>
    <t>Nombre de etapa/zona.</t>
  </si>
  <si>
    <t>Stocker (chambre froide)</t>
  </si>
  <si>
    <t>Store (cold room)</t>
  </si>
  <si>
    <t>Almacenar</t>
  </si>
  <si>
    <t>Zone dédiée, FIFO/FEFO, couvercle/film.</t>
  </si>
  <si>
    <t>Dedicated zone, FIFO/FEFO, covered.</t>
  </si>
  <si>
    <t>Zona dedicada, FIFO/FEFO, tapado.</t>
  </si>
  <si>
    <t>sweat (without browning)</t>
  </si>
  <si>
    <r>
      <t>rehogar/sudar</t>
    </r>
    <r>
      <rPr>
        <sz val="11"/>
        <color theme="1"/>
        <rFont val="Calibri"/>
        <family val="2"/>
        <scheme val="minor"/>
      </rPr>
      <t xml:space="preserve"> (sin dorar)</t>
    </r>
  </si>
  <si>
    <t>Légumes à feu doux avec matière grasse.</t>
  </si>
  <si>
    <t>Sweat vegetables gently in fat.</t>
  </si>
  <si>
    <t>Pochar/sudar verduras a fuego suave con grasa.</t>
  </si>
  <si>
    <t>blast-freeze / deep-freeze</t>
  </si>
  <si>
    <t>ultracongelar / abatir a congelación</t>
  </si>
  <si>
    <t>Passage en cellule de surgélation (≤ −18 °C au cœur).</t>
  </si>
  <si>
    <t>Blast-freeze to ≤ −18 °C at the core.</t>
  </si>
  <si>
    <t>Pasar por abatidor de congelación (≤ −18 °C en el centro).</t>
  </si>
  <si>
    <t>Tabler (chocolat)</t>
  </si>
  <si>
    <t>table/temper on marble</t>
  </si>
  <si>
    <t>atemperar sobre mármol</t>
  </si>
  <si>
    <t>Méthode de tempérage : étaler/refroidir puis réunir.</t>
  </si>
  <si>
    <t>Tempering method: spread/cool, then recombine.</t>
  </si>
  <si>
    <t>Método de atemperado: extender/enfriar y luego reunir.</t>
  </si>
  <si>
    <t>taillage</t>
  </si>
  <si>
    <t>cutting style/cut size</t>
  </si>
  <si>
    <t>corte/tamaño de corte</t>
  </si>
  <si>
    <t>Ex. brunoise, julienne, bâtonnets, mirepoix.</t>
  </si>
  <si>
    <t>E.g., brunoise, julienne, batons, mirepoix.</t>
  </si>
  <si>
    <t>P. ej., brunoise, juliana, bastones, mirepoix.</t>
  </si>
  <si>
    <t>cut; trim; cut to size</t>
  </si>
  <si>
    <t>cortar; recortar</t>
  </si>
  <si>
    <t>Préciser le taillage (en dés, en sifflets, etc.).</t>
  </si>
  <si>
    <t>Specify the cut (diced, oblique cuts, etc.).</t>
  </si>
  <si>
    <t>Precisar el corte (en dados, en sifletes, etc.).</t>
  </si>
  <si>
    <t>sift</t>
  </si>
  <si>
    <t>tamizar</t>
  </si>
  <si>
    <t>Farine, sucre glace, poudre d’amande/cacao.</t>
  </si>
  <si>
    <t>Dust with flour, icing sugar, almond/cocoa powder.</t>
  </si>
  <si>
    <t>Espolvorear con harina, azúcar glas, polvo de almendra/cacao.</t>
  </si>
  <si>
    <t>blot; pat dry</t>
  </si>
  <si>
    <t>secar con papel; tamponar</t>
  </si>
  <si>
    <t>Éponger avec papier absorbant (viandes, fritures).</t>
  </si>
  <si>
    <t>Blot/drain on paper towels (meats, fried items).</t>
  </si>
  <si>
    <t>Escurrir/secar con papel absorbente (carnes, fritos).</t>
  </si>
  <si>
    <t>line/cover (a mold/wall)</t>
  </si>
  <si>
    <t>forrar; tapizar</t>
  </si>
  <si>
    <t>Biscuit, film, lard, gelée, feuilles de salade…</t>
  </si>
  <si>
    <t>Line/cover with sponge, film, bacon, jelly, lettuce leaves, etc.</t>
  </si>
  <si>
    <t>Forrar/cubrir con bizcocho, film, tocino, gelatina, hojas de lechuga…</t>
  </si>
  <si>
    <t>finish; complete</t>
  </si>
  <si>
    <t>terminar; acabar</t>
  </si>
  <si>
    <t>Finition d’un plat, d’un poste.</t>
  </si>
  <si>
    <t>Finishing step for a dish/station.</t>
  </si>
  <si>
    <t>Acabado de un plato/puesto.</t>
  </si>
  <si>
    <t>test; try out; validate</t>
  </si>
  <si>
    <r>
      <t>probar</t>
    </r>
    <r>
      <rPr>
        <sz val="11"/>
        <color theme="1"/>
        <rFont val="Calibri"/>
        <family val="2"/>
        <scheme val="minor"/>
      </rPr>
      <t xml:space="preserve">; </t>
    </r>
    <r>
      <rPr>
        <b/>
        <sz val="11"/>
        <color theme="1"/>
        <rFont val="Calibri"/>
        <family val="2"/>
        <scheme val="minor"/>
      </rPr>
      <t>ensayar</t>
    </r>
    <r>
      <rPr>
        <sz val="11"/>
        <color theme="1"/>
        <rFont val="Calibri"/>
        <family val="2"/>
        <scheme val="minor"/>
      </rPr>
      <t>; validar</t>
    </r>
  </si>
  <si>
    <t>Essais recette/process/machine; définir protocole (critères, échantillonnage, T°, temps) et consigner les résultats.</t>
  </si>
  <si>
    <t>Recipe/process/machine tests; define a protocol (criteria, sampling, temp, time) and log the results.</t>
  </si>
  <si>
    <t>Pruebas de receta/proceso/máquina; definir un protocolo (criterios, muestreo, T°, tiempo) y registrar los resultados.</t>
  </si>
  <si>
    <t>Tomber (les légumes)</t>
  </si>
  <si>
    <t>cook down/wilt (in fat)</t>
  </si>
  <si>
    <t>rehogar hasta ablandar</t>
  </si>
  <si>
    <t>Faire “tomber” épinards/oignons sans coloration.</t>
  </si>
  <si>
    <t>Sweat down spinach/onions without browning.</t>
  </si>
  <si>
    <t>Pochar/bajar espinacas/cebollas sin dorar.</t>
  </si>
  <si>
    <t>toast/roast to develop aroma</t>
  </si>
  <si>
    <t>torrar; tostar</t>
  </si>
  <si>
    <t>Fruits secs, épices, farines, beurre noisette.</t>
  </si>
  <si>
    <t>Toast nuts, spices, flours; brown butter.</t>
  </si>
  <si>
    <t>Tostar frutos secos, especias, harinas; hacer mantequilla avellana.</t>
  </si>
  <si>
    <t>Tourer (feuilletage)</t>
  </si>
  <si>
    <t>laminate (give turns)</t>
  </si>
  <si>
    <t>laminar/da r vueltas</t>
  </si>
  <si>
    <t>Pâte + beurre : tours simples/doubles, repos.</t>
  </si>
  <si>
    <t>Dough + butter: single/double turns, resting.</t>
  </si>
  <si>
    <t>Masa + mantequilla: vueltas simples/dobles, reposo.</t>
  </si>
  <si>
    <t>Tourner (en cuisson)</t>
  </si>
  <si>
    <t>turn over/flip</t>
  </si>
  <si>
    <t>Retourner une pièce à la poêle/plancha.</t>
  </si>
  <si>
    <t>Turn/flip the item in the pan/plancha.</t>
  </si>
  <si>
    <t>Dar la vuelta a la pieza en sartén/plancha.</t>
  </si>
  <si>
    <t>Tourner (légumes)</t>
  </si>
  <si>
    <t>turn (shape into barrels)</t>
  </si>
  <si>
    <r>
      <t>tornear</t>
    </r>
    <r>
      <rPr>
        <sz val="11"/>
        <color theme="1"/>
        <rFont val="Calibri"/>
        <family val="2"/>
        <scheme val="minor"/>
      </rPr>
      <t xml:space="preserve"> (verduras)</t>
    </r>
  </si>
  <si>
    <t>Carottes/pommes de terre « tournées ».</t>
  </si>
  <si>
    <t>Turned carrots/potatoes (tourner).</t>
  </si>
  <si>
    <t>Verduras « torneadas » (zanahorias/patatas).</t>
  </si>
  <si>
    <t>tranchage</t>
  </si>
  <si>
    <t>slicing (stage)</t>
  </si>
  <si>
    <t>rebanado/corte en lonchas</t>
  </si>
  <si>
    <t>Étape machine/manuel (charcut., pain, fromages).</t>
  </si>
  <si>
    <t>Machine/manual step (charcuterie, bread, cheeses).</t>
  </si>
  <si>
    <t>Etapa a máquina/manual (charcutería, pan, quesos).</t>
  </si>
  <si>
    <t>Trancher</t>
  </si>
  <si>
    <t>slice; carve</t>
  </si>
  <si>
    <t>rebanar; trinchar</t>
  </si>
  <si>
    <t>Viandes rôties, charcuterie, pains.</t>
  </si>
  <si>
    <t>Roasted meats, charcuterie, breads.</t>
  </si>
  <si>
    <t>Carnes asadas, charcutería, panes.</t>
  </si>
  <si>
    <t>transport</t>
  </si>
  <si>
    <t>transport / shipping</t>
  </si>
  <si>
    <t>transporte</t>
  </si>
  <si>
    <t>Flux interne/externe.</t>
  </si>
  <si>
    <t>Internal/external flow.</t>
  </si>
  <si>
    <t>Flujo interno/externo.</t>
  </si>
  <si>
    <t>transport en bacs inox</t>
  </si>
  <si>
    <t>transport in stainless GN pans</t>
  </si>
  <si>
    <t>transporte en cubetas inox</t>
  </si>
  <si>
    <t>Logistique interne en bacs gastro inox.</t>
  </si>
  <si>
    <t>Internal logistics in stainless GN pans.</t>
  </si>
  <si>
    <t>Logística interna en cubetas GN de acero inoxidable.</t>
  </si>
  <si>
    <t>Transporter</t>
  </si>
  <si>
    <t>transport; carry</t>
  </si>
  <si>
    <t>transportar; llevar</t>
  </si>
  <si>
    <t>Entre postes, vers cellule, vers expédition.</t>
  </si>
  <si>
    <t>Between stations, to the blast chiller, to shipping.</t>
  </si>
  <si>
    <t>Entre puestos, hacia la célula de abatimiento, hacia expediciones.</t>
  </si>
  <si>
    <t>work (a dough/cream); mix</t>
  </si>
  <si>
    <t>trabajar (masa/crema)</t>
  </si>
  <si>
    <t>À la maryse, au crochet, à la feuille, etc.</t>
  </si>
  <si>
    <t>With a spatula, dough hook, paddle, etc.</t>
  </si>
  <si>
    <t>Con lengua/marisa, gancho, pala, etc.</t>
  </si>
  <si>
    <t>soak; dip</t>
  </si>
  <si>
    <t>remojar; bañar</t>
  </si>
  <si>
    <t>Biscuits (sirop/chocolat), légumes secs, gélatine.</t>
  </si>
  <si>
    <t>Soak cakes (syrup/chocolate), rehydrate pulses, bloom gelatin.</t>
  </si>
  <si>
    <t>Calar bizcochos (almíbar/chocolate), rehidratar legumbres, hidratar gelatina.</t>
  </si>
  <si>
    <t>sort; screen; segregate</t>
  </si>
  <si>
    <r>
      <t>clasificar</t>
    </r>
    <r>
      <rPr>
        <sz val="11"/>
        <color theme="1"/>
        <rFont val="Calibri"/>
        <family val="2"/>
        <scheme val="minor"/>
      </rPr>
      <t xml:space="preserve">; </t>
    </r>
    <r>
      <rPr>
        <b/>
        <sz val="11"/>
        <color theme="1"/>
        <rFont val="Calibri"/>
        <family val="2"/>
        <scheme val="minor"/>
      </rPr>
      <t>tri ar</t>
    </r>
    <r>
      <rPr>
        <sz val="11"/>
        <color theme="1"/>
        <rFont val="Calibri"/>
        <family val="2"/>
        <scheme val="minor"/>
      </rPr>
      <t xml:space="preserve"> / separar</t>
    </r>
  </si>
  <si>
    <t>Tri par calibre/qualité/allergènes/déchets; flux dédiés et bacs identifiés (FIFO/FEFO, déchets/valorisation).</t>
  </si>
  <si>
    <t>Sorting by size/quality/allergens/waste; dedicated flows and labeled bins (FIFO/FEFO, waste/valorization).</t>
  </si>
  <si>
    <t>Clasificación por calibre/calidad/alérgenos/residuos; flujos dedicados y cubetas identificadas (FIFO/FEFO, residuos/valorización).</t>
  </si>
  <si>
    <t>cut into large sections/steaks</t>
  </si>
  <si>
    <t>tronzonar; cortar en trozos gruesos</t>
  </si>
  <si>
    <t>Poisson (tronçons), os à moelle, légumes.</t>
  </si>
  <si>
    <t>Cut into sections: fish, marrow bones, vegetables.</t>
  </si>
  <si>
    <t>Cortar en trozos/anillas: pescado, huesos de tuétano, verduras.</t>
  </si>
  <si>
    <t>Trousser (volaille)</t>
  </si>
  <si>
    <t>truss/tuck legs under</t>
  </si>
  <si>
    <t>bridar/“trousser”</t>
  </si>
  <si>
    <t>Préparer volaille pour cuisson/présentation.</t>
  </si>
  <si>
    <t>Dress/prepare poultry for cooking/presentation.</t>
  </si>
  <si>
    <t>Limpiar/preparar el ave para cocción/presentación.</t>
  </si>
  <si>
    <t>churn (ice cream)</t>
  </si>
  <si>
    <t>mantecar; turbinar</t>
  </si>
  <si>
    <t>Prise en turbine jusqu’à la texture voulue.</t>
  </si>
  <si>
    <t>Churn in the batch freezer until desired texture.</t>
  </si>
  <si>
    <t>Mantecar en la turbina hasta la textura deseada.</t>
  </si>
  <si>
    <t>use; employ; utilize</t>
  </si>
  <si>
    <r>
      <t>usar</t>
    </r>
    <r>
      <rPr>
        <sz val="11"/>
        <color theme="1"/>
        <rFont val="Calibri"/>
        <family val="2"/>
        <scheme val="minor"/>
      </rPr>
      <t>; emplear; utilizar</t>
    </r>
  </si>
  <si>
    <t>Verbe générique de fiche process : « utiliser des gants », « use a whisk ».</t>
  </si>
  <si>
    <t>Generic process verb: “use gloves”, “use a whisk.”</t>
  </si>
  <si>
    <t>Verbo genérico en ficha de proceso: «usar guantes», «usar un batidor».</t>
  </si>
  <si>
    <r>
      <t xml:space="preserve">UHT-treat; ultra-heat treat; </t>
    </r>
    <r>
      <rPr>
        <b/>
        <sz val="11"/>
        <color theme="1"/>
        <rFont val="Calibri"/>
        <family val="2"/>
        <scheme val="minor"/>
      </rPr>
      <t>sterilize at UHT</t>
    </r>
  </si>
  <si>
    <r>
      <t>esterilizar UHT</t>
    </r>
    <r>
      <rPr>
        <sz val="11"/>
        <color theme="1"/>
        <rFont val="Calibri"/>
        <family val="2"/>
        <scheme val="minor"/>
      </rPr>
      <t xml:space="preserve">; </t>
    </r>
    <r>
      <rPr>
        <b/>
        <sz val="11"/>
        <color theme="1"/>
        <rFont val="Calibri"/>
        <family val="2"/>
        <scheme val="minor"/>
      </rPr>
      <t>tratamiento UHT / ultra pasteurizar</t>
    </r>
  </si>
  <si>
    <t>Traitement thermique ultra-haute température (≈135–150 °C quelques secondes) pour obtenir un produit stérile commercial (lait, crèmes, sauces). En ES, on dit surtout esterilizar/tratamiento UHT plutôt que uperizar.</t>
  </si>
  <si>
    <r>
      <t xml:space="preserve">Ultra-high temperature (≈135–150 °C for a few seconds) heat treatment to achieve commercial sterility (milk, creams, sauces) — </t>
    </r>
    <r>
      <rPr>
        <b/>
        <sz val="11"/>
        <color theme="1"/>
        <rFont val="Calibri"/>
        <family val="2"/>
        <scheme val="minor"/>
      </rPr>
      <t>UHT</t>
    </r>
    <r>
      <rPr>
        <sz val="11"/>
        <color theme="1"/>
        <rFont val="Calibri"/>
        <family val="2"/>
        <scheme val="minor"/>
      </rPr>
      <t>.</t>
    </r>
  </si>
  <si>
    <r>
      <t xml:space="preserve">Tratamiento térmico de </t>
    </r>
    <r>
      <rPr>
        <b/>
        <sz val="11"/>
        <color theme="1"/>
        <rFont val="Calibri"/>
        <family val="2"/>
        <scheme val="minor"/>
      </rPr>
      <t>ultra alta temperatura</t>
    </r>
    <r>
      <rPr>
        <sz val="11"/>
        <color theme="1"/>
        <rFont val="Calibri"/>
        <family val="2"/>
        <scheme val="minor"/>
      </rPr>
      <t xml:space="preserve"> (≈135–150 °C durante unos segundos) para lograr esterilidad comercial (leche, cremas, salsas) — </t>
    </r>
    <r>
      <rPr>
        <b/>
        <sz val="11"/>
        <color theme="1"/>
        <rFont val="Calibri"/>
        <family val="2"/>
        <scheme val="minor"/>
      </rPr>
      <t>UHT</t>
    </r>
    <r>
      <rPr>
        <sz val="11"/>
        <color theme="1"/>
        <rFont val="Calibri"/>
        <family val="2"/>
        <scheme val="minor"/>
      </rPr>
      <t xml:space="preserve">; en español se usa </t>
    </r>
    <r>
      <rPr>
        <b/>
        <sz val="11"/>
        <color theme="1"/>
        <rFont val="Calibri"/>
        <family val="2"/>
        <scheme val="minor"/>
      </rPr>
      <t>esterilizar/tratamiento UHT</t>
    </r>
    <r>
      <rPr>
        <sz val="11"/>
        <color theme="1"/>
        <rFont val="Calibri"/>
        <family val="2"/>
        <scheme val="minor"/>
      </rPr>
      <t xml:space="preserve"> más que «uperizar».</t>
    </r>
  </si>
  <si>
    <t>stir to cool; stir to prevent a skin</t>
  </si>
  <si>
    <r>
      <t>remover/abatir para enfriar</t>
    </r>
    <r>
      <rPr>
        <sz val="11"/>
        <color theme="1"/>
        <rFont val="Calibri"/>
        <family val="2"/>
        <scheme val="minor"/>
      </rPr>
      <t xml:space="preserve"> (evitar costra)</t>
    </r>
  </si>
  <si>
    <t>Pâtisserie/sauces : remuer hors du feu jusqu’à tiédeur pour éviter la peau et lisser.</t>
  </si>
  <si>
    <t>Off the heat, stir until lukewarm to prevent a skin and smooth the texture.</t>
  </si>
  <si>
    <t>Fuera del fuego, remover hasta tibio para evitar la película y alisar la textura.</t>
  </si>
  <si>
    <t>spray; mist</t>
  </si>
  <si>
    <r>
      <t>vaporizar</t>
    </r>
    <r>
      <rPr>
        <sz val="11"/>
        <color theme="1"/>
        <rFont val="Calibri"/>
        <family val="2"/>
        <scheme val="minor"/>
      </rPr>
      <t>; pulverizar</t>
    </r>
  </si>
  <si>
    <t>Appliquer une fine couche (eau, huile, sirop, alcool, désinfectant). Indiquer produit, dosage et distance (ex. 20–30 cm).</t>
  </si>
  <si>
    <t>Spray/apply a thin coat (water, oil, syrup, alcohol, disinfectant). Specify product, dosage, and distance (e.g., 20–30 cm).</t>
  </si>
  <si>
    <t>Pulverizar/aplicar una capa fina (agua, aceite, almíbar, alcohol, desinfectante). Indicar producto, dosificación y distancia (p. ej., 20–30 cm).</t>
  </si>
  <si>
    <t>check; verify; confirm</t>
  </si>
  <si>
    <r>
      <t>verificar</t>
    </r>
    <r>
      <rPr>
        <sz val="11"/>
        <color theme="1"/>
        <rFont val="Calibri"/>
        <family val="2"/>
        <scheme val="minor"/>
      </rPr>
      <t>; comprobar; confirmar</t>
    </r>
  </si>
  <si>
    <t>Contrôle qualité/HACCP : T° cœur, poids, DLC/lot, intégrité emballage, réglages machine. Consigner résultat (trace).</t>
  </si>
  <si>
    <t>Quality/HACCP check: core temp, weight, use-by/lot, package integrity, machine settings. Record the result (traceability).</t>
  </si>
  <si>
    <t>Control de calidad/APPCC: T° al centro, peso, caducidad/lote, integridad del envase, ajustes de máquina. Registrar el resultado (trazabilidad).</t>
  </si>
  <si>
    <t>Vérifier (DLC/T°)</t>
  </si>
  <si>
    <t>Check</t>
  </si>
  <si>
    <t>Verificar</t>
  </si>
  <si>
    <t>Contrôler dates et températures, noter écarts.</t>
  </si>
  <si>
    <t>Check dates and temps; log deviations.</t>
  </si>
  <si>
    <t>Verificar fechas y temperaturas; registrar desvíos.</t>
  </si>
  <si>
    <t>check / take the temperature</t>
  </si>
  <si>
    <t>verificar/medir la temperatura</t>
  </si>
  <si>
    <t>HACCP : sonde cœur, huile de friture, chambre froide, etc.</t>
  </si>
  <si>
    <t>HACCP: probe core temp, frying oil, cold room, etc.</t>
  </si>
  <si>
    <t>APPCC: sondear T° al centro, aceite de fritura, cámara frigorífica, etc.</t>
  </si>
  <si>
    <t>pour; pour in</t>
  </si>
  <si>
    <t>verter; echar</t>
  </si>
  <si>
    <t>Transvaser proprement dans cuve/moule/mixeur.</t>
  </si>
  <si>
    <t>Decant/transfer cleanly into a vat/mold/blender.</t>
  </si>
  <si>
    <t>Trasvasar/verter limpiamente en cuba/molde/licuadora.</t>
  </si>
  <si>
    <t>flute/crimp the edge (folded rim)</t>
  </si>
  <si>
    <t>acordonar / festonear el borde</t>
  </si>
  <si>
    <t>Bord de tarte/tourte : ourlets en vague en repliant la pâte.</t>
  </si>
  <si>
    <t>Crimp the tart/pie edge into wave-like flutes by folding the dough.</t>
  </si>
  <si>
    <t>Festonear el borde de la tarta/empanada con ondulaciones doblando la masa.</t>
  </si>
  <si>
    <t>veil; lightly coat (with sauce/gel)</t>
  </si>
  <si>
    <t>velar; napar ligeramente</t>
  </si>
  <si>
    <t>Pellicule très fine pour brillance/protection (gelée, sauce, sirop).</t>
  </si>
  <si>
    <t>Apply a very thin glaze/film for shine and protection (jelly, sauce, syrup).</t>
  </si>
  <si>
    <t>Aplicar una capa muy fina para brillo/protección (gelatina, salsa, almíbar).</t>
  </si>
  <si>
    <t>zest; remove citrus zest (with zester/microplane)</t>
  </si>
  <si>
    <r>
      <t>rallar la piel</t>
    </r>
    <r>
      <rPr>
        <sz val="11"/>
        <color theme="1"/>
        <rFont val="Calibri"/>
        <family val="2"/>
        <scheme val="minor"/>
      </rPr>
      <t xml:space="preserve"> (ralladura); sacar tiras finas (sin albedo)</t>
    </r>
  </si>
  <si>
    <t>Zeste très fin au microplane (ralladura) ou longues lanières avec canneleur (tiras). Éviter l’albedo (partie blanche amère).</t>
  </si>
  <si>
    <t>Very fine zest with a microplane, or long strips with a channel knife. Avoid the albedo (bitter white pith).</t>
  </si>
  <si>
    <r>
      <t>Ralladura muy fina con microplane, o tiras largas con canelador (</t>
    </r>
    <r>
      <rPr>
        <i/>
        <sz val="11"/>
        <color theme="1"/>
        <rFont val="Calibri"/>
        <family val="2"/>
        <scheme val="minor"/>
      </rPr>
      <t>channel knife</t>
    </r>
    <r>
      <rPr>
        <sz val="11"/>
        <color theme="1"/>
        <rFont val="Calibri"/>
        <family val="2"/>
        <scheme val="minor"/>
      </rPr>
      <t xml:space="preserve">). Evitar el </t>
    </r>
    <r>
      <rPr>
        <b/>
        <sz val="11"/>
        <color theme="1"/>
        <rFont val="Calibri"/>
        <family val="2"/>
        <scheme val="minor"/>
      </rPr>
      <t>albedo</t>
    </r>
    <r>
      <rPr>
        <sz val="11"/>
        <color theme="1"/>
        <rFont val="Calibri"/>
        <family val="2"/>
        <scheme val="minor"/>
      </rPr>
      <t xml:space="preserve"> (la parte blanca amarga).</t>
    </r>
  </si>
  <si>
    <t xml:space="preserve"> MATÉRIELS     Tools &amp; equipment    Utillaje y equipos</t>
  </si>
  <si>
    <t>TRAITEMENT</t>
  </si>
  <si>
    <t>Quelques verbes d'actions complémentaires       Some additional action verbs       Algunos verbos de acción adicionales</t>
  </si>
  <si>
    <t>Action</t>
  </si>
  <si>
    <t>Verbe</t>
  </si>
  <si>
    <t>assiette</t>
  </si>
  <si>
    <t>Variantes utiles : assiette creuse = soup plate / bowl</t>
  </si>
  <si>
    <t>plate; dinner plate</t>
  </si>
  <si>
    <t>Useful variants: assiette creuse = soup plate / bowl</t>
  </si>
  <si>
    <r>
      <t>plato</t>
    </r>
    <r>
      <rPr>
        <sz val="11"/>
        <color rgb="FF0033CC"/>
        <rFont val="Calibri"/>
        <family val="2"/>
        <scheme val="minor"/>
      </rPr>
      <t>; plato llano</t>
    </r>
  </si>
  <si>
    <t>Variantes útiles: assiette creuse = plato hondo / cuenco</t>
  </si>
  <si>
    <t xml:space="preserve">Traitement </t>
  </si>
  <si>
    <t>Exécuter une tâche/procédure jusqu’au bout.</t>
  </si>
  <si>
    <t>accomplish; carry out</t>
  </si>
  <si>
    <t>Carry out a task/procedure to completion.</t>
  </si>
  <si>
    <r>
      <t>realizar</t>
    </r>
    <r>
      <rPr>
        <sz val="11"/>
        <color theme="5" tint="-0.499984740745262"/>
        <rFont val="Calibri"/>
        <family val="2"/>
        <scheme val="minor"/>
      </rPr>
      <t xml:space="preserve">; </t>
    </r>
    <r>
      <rPr>
        <b/>
        <sz val="11"/>
        <color theme="5" tint="-0.499984740745262"/>
        <rFont val="Calibri"/>
        <family val="2"/>
        <scheme val="minor"/>
      </rPr>
      <t>llevar a cabo</t>
    </r>
    <r>
      <rPr>
        <sz val="11"/>
        <color theme="5" tint="-0.499984740745262"/>
        <rFont val="Calibri"/>
        <family val="2"/>
        <scheme val="minor"/>
      </rPr>
      <t>; cumplir</t>
    </r>
  </si>
  <si>
    <t>Realizar una tarea/procedimiento hasta el final.</t>
  </si>
  <si>
    <t>Approvisionnement, achats matières/emballages.</t>
  </si>
  <si>
    <t>buy; purchase</t>
  </si>
  <si>
    <t>Procurement: raw materials/packaging purchases.</t>
  </si>
  <si>
    <r>
      <t>comprar</t>
    </r>
    <r>
      <rPr>
        <sz val="11"/>
        <color theme="5" tint="-0.499984740745262"/>
        <rFont val="Calibri"/>
        <family val="2"/>
        <scheme val="minor"/>
      </rPr>
      <t>; adquirir</t>
    </r>
  </si>
  <si>
    <t>Aprovisionamiento: compras de materias/envases.</t>
  </si>
  <si>
    <t>bacs (GN)</t>
  </si>
  <si>
    <t>Inox GN 1/1, 1/2, 1/3… avec couvercle/perforés; stockage, cuisson, cellule.</t>
  </si>
  <si>
    <t>GN pans; bins; containers</t>
  </si>
  <si>
    <t>Stainless GN 1/1, 1/2, 1/3… with lids/perforated; storage, cooking, blast-chill.</t>
  </si>
  <si>
    <r>
      <t>cubetas GN</t>
    </r>
    <r>
      <rPr>
        <sz val="11"/>
        <color rgb="FF0033CC"/>
        <rFont val="Calibri"/>
        <family val="2"/>
        <scheme val="minor"/>
      </rPr>
      <t>; contenedores</t>
    </r>
  </si>
  <si>
    <t>Acero GN 1/1, 1/2, 1/3… con tapas/perforados; almacenamiento, cocción, abatidor.</t>
  </si>
  <si>
    <t>acheminement vers cuisson</t>
  </si>
  <si>
    <t>Clore une étape/ordre de fabrication.</t>
  </si>
  <si>
    <t>complete; finish</t>
  </si>
  <si>
    <t>Close a step/work order.</t>
  </si>
  <si>
    <r>
      <t>completar</t>
    </r>
    <r>
      <rPr>
        <sz val="11"/>
        <color theme="5" tint="-0.499984740745262"/>
        <rFont val="Calibri"/>
        <family val="2"/>
        <scheme val="minor"/>
      </rPr>
      <t>; terminar</t>
    </r>
  </si>
  <si>
    <t>Cerrar una etapa/orden de fabricación (OF).</t>
  </si>
  <si>
    <t>bain-marie</t>
  </si>
  <si>
    <t>Maintien/chauffe douce ou refroidi; double-boiler possible; HACCP: chaud ≥63 °C.</t>
  </si>
  <si>
    <t>bain-marie; water bath; hot well</t>
  </si>
  <si>
    <t>Gentle holding/heating or cooling; double-boiler possible; HACCP: hot ≥63 °C.</t>
  </si>
  <si>
    <t>baño María</t>
  </si>
  <si>
    <t>Mantenimiento/calor suave o frío; posible baño maría; APPCC: caliente ≥63 °C.</t>
  </si>
  <si>
    <t/>
  </si>
  <si>
    <t>Accélérer un process (p. ex. cadence, flux).</t>
  </si>
  <si>
    <t>activate; speed up; boost</t>
  </si>
  <si>
    <t>Speed up a process (rate/flow).</t>
  </si>
  <si>
    <r>
      <t>activar</t>
    </r>
    <r>
      <rPr>
        <sz val="11"/>
        <color theme="5" tint="-0.499984740745262"/>
        <rFont val="Calibri"/>
        <family val="2"/>
        <scheme val="minor"/>
      </rPr>
      <t>; agilizar; acelerar</t>
    </r>
  </si>
  <si>
    <t>Acelerar un proceso (cadencia/flujo).</t>
  </si>
  <si>
    <t>balance</t>
  </si>
  <si>
    <t>Étalo/étalonnage, tare, précision (g/kg); pesée ingrédients/portions.</t>
  </si>
  <si>
    <t>(weighing) scale; bench scale</t>
  </si>
  <si>
    <t>Calibration, tare, accuracy (g/kg); weighing ingredients/portions.</t>
  </si>
  <si>
    <r>
      <t>balanza</t>
    </r>
    <r>
      <rPr>
        <sz val="11"/>
        <color rgb="FF0033CC"/>
        <rFont val="Calibri"/>
        <family val="2"/>
        <scheme val="minor"/>
      </rPr>
      <t xml:space="preserve">; </t>
    </r>
    <r>
      <rPr>
        <b/>
        <sz val="11"/>
        <color rgb="FF0033CC"/>
        <rFont val="Calibri"/>
        <family val="2"/>
        <scheme val="minor"/>
      </rPr>
      <t>báscula</t>
    </r>
  </si>
  <si>
    <t>Calibración, tara, precisión (g/kg); pesado de ingredientes/porciones.</t>
  </si>
  <si>
    <t>afficher</t>
  </si>
  <si>
    <t>Affichage écran/panneau/tableau de bord.</t>
  </si>
  <si>
    <t>display; show</t>
  </si>
  <si>
    <t>Display on screen/board/dashboard.</t>
  </si>
  <si>
    <r>
      <t>mostrar</t>
    </r>
    <r>
      <rPr>
        <sz val="11"/>
        <color theme="5" tint="-0.499984740745262"/>
        <rFont val="Calibri"/>
        <family val="2"/>
        <scheme val="minor"/>
      </rPr>
      <t>; exhibir</t>
    </r>
  </si>
  <si>
    <t>Mostrar en pantalla/panel/cuadro de mando.</t>
  </si>
  <si>
    <t>barquettes</t>
  </si>
  <si>
    <t>Operculables, micro-ondables; mentionner volume, matériau (PP, PET, alu).</t>
  </si>
  <si>
    <t>food trays; containers</t>
  </si>
  <si>
    <t>Sealable, microwave-safe; state volume, material (PP, PET, alu).</t>
  </si>
  <si>
    <r>
      <t>barquetas</t>
    </r>
    <r>
      <rPr>
        <sz val="11"/>
        <color rgb="FF0033CC"/>
        <rFont val="Calibri"/>
        <family val="2"/>
        <scheme val="minor"/>
      </rPr>
      <t>; envases</t>
    </r>
  </si>
  <si>
    <t>Termosellables, aptas microondas; indicar volumen y material (PP, PET, alu).</t>
  </si>
  <si>
    <t>affûter</t>
  </si>
  <si>
    <t>Couteaux/lames/outillage.</t>
  </si>
  <si>
    <t>sharpen</t>
  </si>
  <si>
    <t>Sharpen/maintain knives/blades/tools.</t>
  </si>
  <si>
    <t>afilar</t>
  </si>
  <si>
    <t>Cuchillos/cuchillas/herramental.</t>
  </si>
  <si>
    <t>bascule (industrielle)</t>
  </si>
  <si>
    <t>Palettes/chariots/tonnages; accès rampe, imprimante tickets, traçabilité.</t>
  </si>
  <si>
    <t>weighbridge; platform scale</t>
  </si>
  <si>
    <t>Pallets/carts/tonnage; ramp access, ticket printer, traceability.</t>
  </si>
  <si>
    <r>
      <t>báscula puente</t>
    </r>
    <r>
      <rPr>
        <sz val="11"/>
        <color rgb="FF0033CC"/>
        <rFont val="Calibri"/>
        <family val="2"/>
        <scheme val="minor"/>
      </rPr>
      <t xml:space="preserve">; </t>
    </r>
    <r>
      <rPr>
        <b/>
        <sz val="11"/>
        <color rgb="FF0033CC"/>
        <rFont val="Calibri"/>
        <family val="2"/>
        <scheme val="minor"/>
      </rPr>
      <t>báscula de plataforma</t>
    </r>
  </si>
  <si>
    <t>Palés/carros/tonelaje; rampa, impresora de tickets, trazabilidad.</t>
  </si>
  <si>
    <t>Assembler</t>
  </si>
  <si>
    <t>Augmenter capacité/surface/format.</t>
  </si>
  <si>
    <t>enlarge; expand</t>
  </si>
  <si>
    <t>Increase capacity/area/format.</t>
  </si>
  <si>
    <r>
      <t>ampliar</t>
    </r>
    <r>
      <rPr>
        <sz val="11"/>
        <color theme="5" tint="-0.499984740745262"/>
        <rFont val="Calibri"/>
        <family val="2"/>
        <scheme val="minor"/>
      </rPr>
      <t>; agrandar</t>
    </r>
  </si>
  <si>
    <t>Aumentar capacidad/superficie/formato.</t>
  </si>
  <si>
    <t>Petits réglages (assais., poids, température).</t>
  </si>
  <si>
    <t>adjust; fine-tune</t>
  </si>
  <si>
    <t>Fine-tune (seasoning, weight, temperature).</t>
  </si>
  <si>
    <r>
      <t>ajustar</t>
    </r>
    <r>
      <rPr>
        <sz val="11"/>
        <color theme="5" tint="-0.499984740745262"/>
        <rFont val="Calibri"/>
        <family val="2"/>
        <scheme val="minor"/>
      </rPr>
      <t>; afinar</t>
    </r>
  </si>
  <si>
    <t>Ajustes finos (sazonado, peso, temperatura).</t>
  </si>
  <si>
    <t>camion</t>
  </si>
  <si>
    <t>Transport amont/aval; préciser type (frigo, hayon, caisse sèche).</t>
  </si>
  <si>
    <t>truck; lorry (UK)</t>
  </si>
  <si>
    <t>Upstream/downstream transport; specify type (reefer, tail-lift, dry van).</t>
  </si>
  <si>
    <t>camión</t>
  </si>
  <si>
    <t>Transporte de entrada/salida; tipo (frigorífico, con plataforma, caja seca).</t>
  </si>
  <si>
    <t>aligner</t>
  </si>
  <si>
    <t>Harmoniser pratiques/mesures/objectifs.</t>
  </si>
  <si>
    <t>align; bring into line</t>
  </si>
  <si>
    <t>Align/standardize practices/measures/goals.</t>
  </si>
  <si>
    <t>alinear</t>
  </si>
  <si>
    <t>Alinear/estandarizar prácticas/medidas/objetivos.</t>
  </si>
  <si>
    <t>cellule (de refroidissement/surgélation)</t>
  </si>
  <si>
    <t>Cibles HACCP (≤ +9 °C au cœur/temps; ≤ −18 °C au cœur en surgélation).</t>
  </si>
  <si>
    <t>blast chiller / blast freezer</t>
  </si>
  <si>
    <t>HACCP targets (core ≤ +9 °C/time; core ≤ −18 °C for freezing).</t>
  </si>
  <si>
    <t>abatidor de temperatura / de congelación</t>
  </si>
  <si>
    <t>Objetivos APPCC (centro ≤ +9 °C/tiempo; centro ≤ −18 °C en congelación).</t>
  </si>
  <si>
    <t>assemblage ind.</t>
  </si>
  <si>
    <t>allouer</t>
  </si>
  <si>
    <t>Ressources (temps, budget, personnel).</t>
  </si>
  <si>
    <t>allocate; assign</t>
  </si>
  <si>
    <t>Allocate resources (time, budget, staff).</t>
  </si>
  <si>
    <r>
      <t>asignar</t>
    </r>
    <r>
      <rPr>
        <sz val="11"/>
        <color theme="5" tint="-0.499984740745262"/>
        <rFont val="Calibri"/>
        <family val="2"/>
        <scheme val="minor"/>
      </rPr>
      <t xml:space="preserve">; </t>
    </r>
    <r>
      <rPr>
        <b/>
        <sz val="11"/>
        <color theme="5" tint="-0.499984740745262"/>
        <rFont val="Calibri"/>
        <family val="2"/>
        <scheme val="minor"/>
      </rPr>
      <t>destinar</t>
    </r>
  </si>
  <si>
    <t>Asignar recursos (tiempo, presupuesto, personal).</t>
  </si>
  <si>
    <t>chariots</t>
  </si>
  <si>
    <t>Pour plaques GN/600×400, paniers, bacs; freins, butées, numérotation.</t>
  </si>
  <si>
    <t>trolleys; carts; rack trolleys</t>
  </si>
  <si>
    <t>For GN/600×400 trays, baskets, pans; brakes, stops, numbering.</t>
  </si>
  <si>
    <r>
      <t>carros</t>
    </r>
    <r>
      <rPr>
        <sz val="11"/>
        <color rgb="FF0033CC"/>
        <rFont val="Calibri"/>
        <family val="2"/>
        <scheme val="minor"/>
      </rPr>
      <t xml:space="preserve">; </t>
    </r>
    <r>
      <rPr>
        <b/>
        <sz val="11"/>
        <color rgb="FF0033CC"/>
        <rFont val="Calibri"/>
        <family val="2"/>
        <scheme val="minor"/>
      </rPr>
      <t>carros porta-bandejas</t>
    </r>
  </si>
  <si>
    <t>Para bandejas GN/600×400, cestas, cubetas; frenos, topes, numeración.</t>
  </si>
  <si>
    <t xml:space="preserve">assemblage plateaux </t>
  </si>
  <si>
    <t>allumer</t>
  </si>
  <si>
    <t>Mise sous tension d’un appareil/ligne.</t>
  </si>
  <si>
    <t>turn on; switch on</t>
  </si>
  <si>
    <t>Power on/start a device/line.</t>
  </si>
  <si>
    <r>
      <t>encender</t>
    </r>
    <r>
      <rPr>
        <sz val="11"/>
        <color theme="5" tint="-0.499984740745262"/>
        <rFont val="Calibri"/>
        <family val="2"/>
        <scheme val="minor"/>
      </rPr>
      <t>; prender</t>
    </r>
  </si>
  <si>
    <t>Poner en marcha/energizar un equipo/línea.</t>
  </si>
  <si>
    <t>chariots isothermes</t>
  </si>
  <si>
    <t>Logistique chaud/froid (self, catering); indiquer plages T° et autonomie.</t>
  </si>
  <si>
    <t>insulated food trolleys; hot/cold carts</t>
  </si>
  <si>
    <t>Hot/cold logistics (self, catering); indicate temp ranges &amp; autonomy.</t>
  </si>
  <si>
    <t>carros isotermos</t>
  </si>
  <si>
    <t>Logística caliente/fría (self, catering); indicar rangos de T° y autonomía.</t>
  </si>
  <si>
    <t>Mettre en place un poste/une zone (layout, flux).</t>
  </si>
  <si>
    <t>arrange; set up; fit out</t>
  </si>
  <si>
    <t>Set up a station/area (layout/flow).</t>
  </si>
  <si>
    <r>
      <t>acondicionar</t>
    </r>
    <r>
      <rPr>
        <sz val="11"/>
        <color theme="5" tint="-0.499984740745262"/>
        <rFont val="Calibri"/>
        <family val="2"/>
        <scheme val="minor"/>
      </rPr>
      <t>; organizar; habilitar</t>
    </r>
  </si>
  <si>
    <t>Implantar un puesto/zona (layout/flujo).</t>
  </si>
  <si>
    <t>couvercle barquette</t>
  </si>
  <si>
    <t>À distinguer du film d’operculage (lidding film / film termosellado).</t>
  </si>
  <si>
    <t>tray lid (snap-on)</t>
  </si>
  <si>
    <t>Not to be confused with lidding film.</t>
  </si>
  <si>
    <t>tapa para barqueta</t>
  </si>
  <si>
    <t>No confundir con film termosellado.</t>
  </si>
  <si>
    <t>Contrôles (physico-chimiques, sensoriels, coûts).</t>
  </si>
  <si>
    <t>analyze; test</t>
  </si>
  <si>
    <t>Run checks (physico-chemical, sensory, cost).</t>
  </si>
  <si>
    <r>
      <t>analizar</t>
    </r>
    <r>
      <rPr>
        <sz val="11"/>
        <color theme="5" tint="-0.499984740745262"/>
        <rFont val="Calibri"/>
        <family val="2"/>
        <scheme val="minor"/>
      </rPr>
      <t>; evaluar</t>
    </r>
  </si>
  <si>
    <t>Controles (fisicoquímicos, sensoriales, costes).</t>
  </si>
  <si>
    <t>couvercle inox (GN)</t>
  </si>
  <si>
    <t>Plein/perforé/avec poignée; format GN 1/1, 1/2, 1/3, etc.</t>
  </si>
  <si>
    <t>stainless (GN) lid</t>
  </si>
  <si>
    <t>Solid/perforated/with handle; GN 1/1, 1/2, 1/3, etc.</t>
  </si>
  <si>
    <t>tapa GN de acero inoxidable</t>
  </si>
  <si>
    <t>Entera/perforada/con asa; GN 1/1, 1/2, 1/3, etc.</t>
  </si>
  <si>
    <t>annuler</t>
  </si>
  <si>
    <t>Commande, OF, réservation, opération.</t>
  </si>
  <si>
    <t>cancel; void</t>
  </si>
  <si>
    <t>Order, work order, booking, operation.</t>
  </si>
  <si>
    <r>
      <t>cancelar</t>
    </r>
    <r>
      <rPr>
        <sz val="11"/>
        <color theme="5" tint="-0.499984740745262"/>
        <rFont val="Calibri"/>
        <family val="2"/>
        <scheme val="minor"/>
      </rPr>
      <t>; anular</t>
    </r>
  </si>
  <si>
    <t>Pedido, OF, reserva, operación.</t>
  </si>
  <si>
    <t>couvercle polyc. (GN)</t>
  </si>
  <si>
    <t>Transparent, compatible froid/cellule; vérifier T°/lave-vaisselle.</t>
  </si>
  <si>
    <t>polycarbonate (GN) lid</t>
  </si>
  <si>
    <t>Transparent, cold/blast-chill safe; check temp/dishwasher.</t>
  </si>
  <si>
    <t>tapa GN de policarbonato</t>
  </si>
  <si>
    <t>Transparente, apta para frío/abatidor; comprobar T°/lavavajillas.</t>
  </si>
  <si>
    <t>anticiper</t>
  </si>
  <si>
    <t>Prévoir besoin/risque et agir en amont.</t>
  </si>
  <si>
    <t>anticipate; plan ahead</t>
  </si>
  <si>
    <t>Anticipate needs/risks and act upstream.</t>
  </si>
  <si>
    <r>
      <t>anticipar</t>
    </r>
    <r>
      <rPr>
        <sz val="11"/>
        <color theme="5" tint="-0.499984740745262"/>
        <rFont val="Calibri"/>
        <family val="2"/>
        <scheme val="minor"/>
      </rPr>
      <t>; prever</t>
    </r>
  </si>
  <si>
    <t>Prever necesidades/riesgos y actuar con antelación.</t>
  </si>
  <si>
    <t>cuiseur vapeur</t>
  </si>
  <si>
    <t>Peut être combi-steamer (four mixte). Préciser capacité/programmation.</t>
  </si>
  <si>
    <t>steamer; steam cooker</t>
  </si>
  <si>
    <t>May be a combi-steamer. Specify capacity/programs.</t>
  </si>
  <si>
    <r>
      <t>vaporera</t>
    </r>
    <r>
      <rPr>
        <sz val="11"/>
        <color rgb="FF0033CC"/>
        <rFont val="Calibri"/>
        <family val="2"/>
        <scheme val="minor"/>
      </rPr>
      <t xml:space="preserve">; </t>
    </r>
    <r>
      <rPr>
        <b/>
        <sz val="11"/>
        <color rgb="FF0033CC"/>
        <rFont val="Calibri"/>
        <family val="2"/>
        <scheme val="minor"/>
      </rPr>
      <t>cocedor al vapor</t>
    </r>
  </si>
  <si>
    <t>Puede ser horno mixto. Indicar capacidad/programación.</t>
  </si>
  <si>
    <t>Charger</t>
  </si>
  <si>
    <t>Appliquer un protocole, une consigne, une couche.</t>
  </si>
  <si>
    <t>apply; implement</t>
  </si>
  <si>
    <t>Apply a protocol/instruction/a coating.</t>
  </si>
  <si>
    <r>
      <t>aplicar</t>
    </r>
    <r>
      <rPr>
        <sz val="11"/>
        <color theme="5" tint="-0.499984740745262"/>
        <rFont val="Calibri"/>
        <family val="2"/>
        <scheme val="minor"/>
      </rPr>
      <t>; implementar</t>
    </r>
  </si>
  <si>
    <t>Aplicar un protocolo/consigna/una capa.</t>
  </si>
  <si>
    <t>cul de poule</t>
  </si>
  <si>
    <t>Inox, fond arrondi pour fouetter/émulsionner; existe en polycarbonate.</t>
  </si>
  <si>
    <t>mixing bowl (hemispherical)</t>
  </si>
  <si>
    <t>Stainless, rounded bottom for whisking/emulsions; also polycarbonate.</t>
  </si>
  <si>
    <r>
      <t>bol de mezcla</t>
    </r>
    <r>
      <rPr>
        <sz val="11"/>
        <color rgb="FF0033CC"/>
        <rFont val="Calibri"/>
        <family val="2"/>
        <scheme val="minor"/>
      </rPr>
      <t xml:space="preserve"> (hemisférico)</t>
    </r>
  </si>
  <si>
    <t>Inox, fondo redondeado para batir/emulsionar; también policarbonato.</t>
  </si>
  <si>
    <t>Validation recette/procédure/commande.</t>
  </si>
  <si>
    <t>approve; validate</t>
  </si>
  <si>
    <t>Validate recipe/procedure/order.</t>
  </si>
  <si>
    <r>
      <t>aprobar</t>
    </r>
    <r>
      <rPr>
        <sz val="11"/>
        <color theme="5" tint="-0.499984740745262"/>
        <rFont val="Calibri"/>
        <family val="2"/>
        <scheme val="minor"/>
      </rPr>
      <t>; validar</t>
    </r>
  </si>
  <si>
    <t>Validar receta/procedimiento/pedido.</t>
  </si>
  <si>
    <t>cutter</t>
  </si>
  <si>
    <t>Deux sens : couteau cartons OU « cutter » de charcuterie (cutter-mixer).</t>
  </si>
  <si>
    <t>bowl cutter (meat)</t>
  </si>
  <si>
    <t>Two meanings: box cutter OR meat bowl cutter (cutter-mixer).</t>
  </si>
  <si>
    <t xml:space="preserve"> picadora-cutter)</t>
  </si>
  <si>
    <t>Dos sentidos: cúter de cajas O cutter de charcutería (cutter-mixer).</t>
  </si>
  <si>
    <t>approvisionner</t>
  </si>
  <si>
    <t>Matières, emballages, consommables.</t>
  </si>
  <si>
    <t>supply; procure; stock</t>
  </si>
  <si>
    <t>Supply materials, packaging, consumables.</t>
  </si>
  <si>
    <r>
      <t>aprovisionar</t>
    </r>
    <r>
      <rPr>
        <sz val="11"/>
        <color theme="5" tint="-0.499984740745262"/>
        <rFont val="Calibri"/>
        <family val="2"/>
        <scheme val="minor"/>
      </rPr>
      <t>; abastecer</t>
    </r>
  </si>
  <si>
    <t>Suministrar materias, envases, consumibles.</t>
  </si>
  <si>
    <t>Ranger/numériser docs (traçabilité, HACCP).</t>
  </si>
  <si>
    <t>archive; file</t>
  </si>
  <si>
    <t>File/scan docs (traceability, HACCP).</t>
  </si>
  <si>
    <t>archivar</t>
  </si>
  <si>
    <t>Archivar/digitalizar docs (trazabilidad, APPCC).</t>
  </si>
  <si>
    <t>douchette (évier)</t>
  </si>
  <si>
    <t>Douchette évier : rinçage/nettoyage; eau potable, anti-retour, pression/débit, jet réglable.</t>
  </si>
  <si>
    <t>pre-rinse spray gun; sink spray hose</t>
  </si>
  <si>
    <t>Pre-rinse spray: rinsing/cleaning; potable water, backflow preventer, pressure/flow, adjustable spray.</t>
  </si>
  <si>
    <r>
      <t>ducha de mano</t>
    </r>
    <r>
      <rPr>
        <sz val="11"/>
        <color rgb="FF0033CC"/>
        <rFont val="Calibri"/>
        <family val="2"/>
        <scheme val="minor"/>
      </rPr>
      <t xml:space="preserve">; </t>
    </r>
    <r>
      <rPr>
        <b/>
        <sz val="11"/>
        <color rgb="FF0033CC"/>
        <rFont val="Calibri"/>
        <family val="2"/>
        <scheme val="minor"/>
      </rPr>
      <t>pistola de enjuague</t>
    </r>
  </si>
  <si>
    <t>Ducha de fregadero: enjuague/limpieza; agua potable, antirretorno, presión/caudal, chorro regulable.</t>
  </si>
  <si>
    <t>arrêter (une machine)</t>
  </si>
  <si>
    <t>Arrêt normal/d’urgence d’équipement.</t>
  </si>
  <si>
    <t>stop; shut down</t>
  </si>
  <si>
    <t>Normal/emergency stop of equipment.</t>
  </si>
  <si>
    <r>
      <t>parar</t>
    </r>
    <r>
      <rPr>
        <sz val="11"/>
        <color theme="5" tint="-0.499984740745262"/>
        <rFont val="Calibri"/>
        <family val="2"/>
        <scheme val="minor"/>
      </rPr>
      <t xml:space="preserve">; </t>
    </r>
    <r>
      <rPr>
        <b/>
        <sz val="11"/>
        <color theme="5" tint="-0.499984740745262"/>
        <rFont val="Calibri"/>
        <family val="2"/>
        <scheme val="minor"/>
      </rPr>
      <t>detener</t>
    </r>
  </si>
  <si>
    <t>Parada normal/de emergencia del equipo.</t>
  </si>
  <si>
    <t>arrimer</t>
  </si>
  <si>
    <t>Sécuriser charges/palettes pour transport.</t>
  </si>
  <si>
    <t>secure; lash</t>
  </si>
  <si>
    <t>Secure loads/pallets for transport.</t>
  </si>
  <si>
    <r>
      <t>amarrar</t>
    </r>
    <r>
      <rPr>
        <sz val="11"/>
        <color theme="5" tint="-0.499984740745262"/>
        <rFont val="Calibri"/>
        <family val="2"/>
        <scheme val="minor"/>
      </rPr>
      <t>; asegurar</t>
    </r>
  </si>
  <si>
    <t>Asegurar cargas/palets para el transporte.</t>
  </si>
  <si>
    <t>échelle (de four / pâtisserie)</t>
  </si>
  <si>
    <t>Chariot plaques 600×400/GN; nb niveaux, butées, freins, compat. four/cellule.</t>
  </si>
  <si>
    <t>rack trolley; baker’s rack; oven rack cart</t>
  </si>
  <si>
    <t>Rack trolley 600×400/GN; levels, stops, brakes, oven/blast-chill compat.</t>
  </si>
  <si>
    <r>
      <t>carro estantería</t>
    </r>
    <r>
      <rPr>
        <sz val="11"/>
        <color rgb="FF0033CC"/>
        <rFont val="Calibri"/>
        <family val="2"/>
        <scheme val="minor"/>
      </rPr>
      <t xml:space="preserve">; </t>
    </r>
    <r>
      <rPr>
        <b/>
        <sz val="11"/>
        <color rgb="FF0033CC"/>
        <rFont val="Calibri"/>
        <family val="2"/>
        <scheme val="minor"/>
      </rPr>
      <t>rack panadero</t>
    </r>
  </si>
  <si>
    <t>Carro estantería 600×400/GN; niveles, topes, frenos, compat. horno/abatidor.</t>
  </si>
  <si>
    <t>arrondir</t>
  </si>
  <si>
    <t>Valeurs, prix, grammages (tolérances).</t>
  </si>
  <si>
    <t>round; round off</t>
  </si>
  <si>
    <t>Round values/prices/weights (tolerances).</t>
  </si>
  <si>
    <t>redondear</t>
  </si>
  <si>
    <t>Redondear valores/precios/gramajes (tolerancias).</t>
  </si>
  <si>
    <t>écumoire</t>
  </si>
  <si>
    <t>Écumoire : écumer/récupérer fritures; matière/Ø/longueur.</t>
  </si>
  <si>
    <t>skimmer; slotted spoon</t>
  </si>
  <si>
    <t>Skimmer: skimming/frying pickup; material/diameter/length.</t>
  </si>
  <si>
    <t>espumadera</t>
  </si>
  <si>
    <t>Espumadera: desespumar/recoger fritos; material/Ø/longitud.</t>
  </si>
  <si>
    <t>changement d echelle</t>
  </si>
  <si>
    <t>articuler</t>
  </si>
  <si>
    <t>Clarifier étapes/argumentaire/process.</t>
  </si>
  <si>
    <t>articulate; structure</t>
  </si>
  <si>
    <t>Articulate/structure steps/argument/process.</t>
  </si>
  <si>
    <r>
      <t>articular</t>
    </r>
    <r>
      <rPr>
        <sz val="11"/>
        <color theme="5" tint="-0.499984740745262"/>
        <rFont val="Calibri"/>
        <family val="2"/>
        <scheme val="minor"/>
      </rPr>
      <t>; estructurar</t>
    </r>
  </si>
  <si>
    <t>Estructurar/clarificar etapas/argumento/proceso.</t>
  </si>
  <si>
    <t>emballage carton</t>
  </si>
  <si>
    <t>Emballage carton : grammage, simple/doble onda, marquage (lot, flèches, FRAGILE).</t>
  </si>
  <si>
    <t>cardboard packaging; corrugated box</t>
  </si>
  <si>
    <t>Cardboard: weight, single/double wall, markings (lot, arrows, FRAGILE).</t>
  </si>
  <si>
    <r>
      <t>envase/embalaje de cartón</t>
    </r>
    <r>
      <rPr>
        <sz val="11"/>
        <color rgb="FF0033CC"/>
        <rFont val="Calibri"/>
        <family val="2"/>
        <scheme val="minor"/>
      </rPr>
      <t xml:space="preserve">; </t>
    </r>
    <r>
      <rPr>
        <b/>
        <sz val="11"/>
        <color rgb="FF0033CC"/>
        <rFont val="Calibri"/>
        <family val="2"/>
        <scheme val="minor"/>
      </rPr>
      <t>caja corrugada</t>
    </r>
  </si>
  <si>
    <t>Cartón: gramaje, simple/doble onda, marcado (lote, flechas, FRÁGIL).</t>
  </si>
  <si>
    <t>assainir</t>
  </si>
  <si>
    <t>Assainir locaux/process/données.</t>
  </si>
  <si>
    <t>sanitize; make safe</t>
  </si>
  <si>
    <t>Sanitize premises/process/data.</t>
  </si>
  <si>
    <r>
      <t>sanear</t>
    </r>
    <r>
      <rPr>
        <sz val="11"/>
        <color theme="5" tint="-0.499984740745262"/>
        <rFont val="Calibri"/>
        <family val="2"/>
        <scheme val="minor"/>
      </rPr>
      <t>; desinfectar</t>
    </r>
  </si>
  <si>
    <t>Sanear instalaciones/procesos/datos.</t>
  </si>
  <si>
    <t>emballage originel</t>
  </si>
  <si>
    <t>Emballage originel : garder pour traçabilité/SAV; ne pas rompre scellé.</t>
  </si>
  <si>
    <t>original packaging; manufacturer’s packaging</t>
  </si>
  <si>
    <t>Original packaging: keep for traceability/returns; do not break seal.</t>
  </si>
  <si>
    <t>embalaje original</t>
  </si>
  <si>
    <t>Embalaje original: conservar para trazabilidad/garantía; no romper sello.</t>
  </si>
  <si>
    <t>changement. chariots  isothermes</t>
  </si>
  <si>
    <t>assister</t>
  </si>
  <si>
    <t>Aide opérationnelle/technique.</t>
  </si>
  <si>
    <t>assist; help</t>
  </si>
  <si>
    <t>Operational/technical assistance.</t>
  </si>
  <si>
    <r>
      <t>asistir</t>
    </r>
    <r>
      <rPr>
        <sz val="11"/>
        <color theme="5" tint="-0.499984740745262"/>
        <rFont val="Calibri"/>
        <family val="2"/>
        <scheme val="minor"/>
      </rPr>
      <t>; ayudar</t>
    </r>
  </si>
  <si>
    <t>Asistencia operativa/técnica.</t>
  </si>
  <si>
    <t>étagères</t>
  </si>
  <si>
    <t>Étagères : inox/plastique; charge/niveau, pieds réglables, usage humide/froid.</t>
  </si>
  <si>
    <t>shelves; shelving; racking</t>
  </si>
  <si>
    <t>Shelving: stainless/plastic; load per level, adjustable feet, wet/cold use.</t>
  </si>
  <si>
    <r>
      <t>estanterías</t>
    </r>
    <r>
      <rPr>
        <sz val="11"/>
        <color rgb="FF0033CC"/>
        <rFont val="Calibri"/>
        <family val="2"/>
        <scheme val="minor"/>
      </rPr>
      <t xml:space="preserve">; </t>
    </r>
    <r>
      <rPr>
        <b/>
        <sz val="11"/>
        <color rgb="FF0033CC"/>
        <rFont val="Calibri"/>
        <family val="2"/>
        <scheme val="minor"/>
      </rPr>
      <t>rack</t>
    </r>
  </si>
  <si>
    <t>Estanterías: inox/plástico; carga/nivel, patas regulables, uso húmedo/frío.</t>
  </si>
  <si>
    <t>assurer</t>
  </si>
  <si>
    <t>S’assurer qu’un résultat/exigence est atteint.</t>
  </si>
  <si>
    <t>ensure; secure; guarantee</t>
  </si>
  <si>
    <t>Ensure a result/requirement is met.</t>
  </si>
  <si>
    <r>
      <t>asegurar</t>
    </r>
    <r>
      <rPr>
        <sz val="11"/>
        <color theme="5" tint="-0.499984740745262"/>
        <rFont val="Calibri"/>
        <family val="2"/>
        <scheme val="minor"/>
      </rPr>
      <t>; garantizar</t>
    </r>
  </si>
  <si>
    <t>Asegurar que se cumple un resultado/requisito.</t>
  </si>
  <si>
    <t>étiqueteuse</t>
  </si>
  <si>
    <t>Étiqueteuse : manuel/semi/auto; DLC, lot, code-barres; liaison balance/ERP.</t>
  </si>
  <si>
    <t>labeler; labeling machine</t>
  </si>
  <si>
    <t>Labeler: manual/semi/auto; use-by, lot, barcode; scale/ERP link.</t>
  </si>
  <si>
    <t>etiquetadora</t>
  </si>
  <si>
    <t>Etiquetadora: manual/semi/auto; caducidad, lote, código de barras; enlace báscula/ERP.</t>
  </si>
  <si>
    <t>deboitage</t>
  </si>
  <si>
    <t>Déboiter</t>
  </si>
  <si>
    <t>Fixer physiquement / joindre un fichier.</t>
  </si>
  <si>
    <t>attach; tie; fasten</t>
  </si>
  <si>
    <t>Physically attach / attach a file.</t>
  </si>
  <si>
    <r>
      <t>adjuntar</t>
    </r>
    <r>
      <rPr>
        <sz val="11"/>
        <color theme="5" tint="-0.499984740745262"/>
        <rFont val="Calibri"/>
        <family val="2"/>
        <scheme val="minor"/>
      </rPr>
      <t xml:space="preserve"> (fichier); sujetar/atar</t>
    </r>
  </si>
  <si>
    <t>Fijar físicamente / adjuntar un archivo.</t>
  </si>
  <si>
    <t>decartonage</t>
  </si>
  <si>
    <t>atténuer</t>
  </si>
  <si>
    <t>Réduire un risque/impact (qualité/sécu).</t>
  </si>
  <si>
    <t>mitigate; lessen</t>
  </si>
  <si>
    <t>Mitigate risk/impact (quality/safety).</t>
  </si>
  <si>
    <r>
      <t>mitigar</t>
    </r>
    <r>
      <rPr>
        <sz val="11"/>
        <color theme="5" tint="-0.499984740745262"/>
        <rFont val="Calibri"/>
        <family val="2"/>
        <scheme val="minor"/>
      </rPr>
      <t>; atenuar</t>
    </r>
  </si>
  <si>
    <t>Mitigar riesgo/impacto (calidad/seguridad).</t>
  </si>
  <si>
    <t>film étirable (alimentaire)</t>
  </si>
  <si>
    <t>Film étirable alimentaire : contact alim., largeur, épaisseur, froid/chaud.</t>
  </si>
  <si>
    <t>cling film; plastic wrap</t>
  </si>
  <si>
    <t>Cling film: food-contact, width, thickness, cold/hot compat.</t>
  </si>
  <si>
    <r>
      <t>film transparente (alimentario)</t>
    </r>
    <r>
      <rPr>
        <sz val="11"/>
        <color rgb="FF0033CC"/>
        <rFont val="Calibri"/>
        <family val="2"/>
        <scheme val="minor"/>
      </rPr>
      <t xml:space="preserve">; </t>
    </r>
    <r>
      <rPr>
        <b/>
        <sz val="11"/>
        <color rgb="FF0033CC"/>
        <rFont val="Calibri"/>
        <family val="2"/>
        <scheme val="minor"/>
      </rPr>
      <t>papel film</t>
    </r>
  </si>
  <si>
    <t>Film transparente: contacto alimentario, ancho, grosor, frío/calor.</t>
  </si>
  <si>
    <t>attester</t>
  </si>
  <si>
    <t>Attestation écrite (conformité, test).</t>
  </si>
  <si>
    <t>certify; attest</t>
  </si>
  <si>
    <t>Written certification/attestation (compliance, test).</t>
  </si>
  <si>
    <r>
      <t>certificar</t>
    </r>
    <r>
      <rPr>
        <sz val="11"/>
        <color theme="5" tint="-0.499984740745262"/>
        <rFont val="Calibri"/>
        <family val="2"/>
        <scheme val="minor"/>
      </rPr>
      <t xml:space="preserve">; </t>
    </r>
    <r>
      <rPr>
        <b/>
        <sz val="11"/>
        <color theme="5" tint="-0.499984740745262"/>
        <rFont val="Calibri"/>
        <family val="2"/>
        <scheme val="minor"/>
      </rPr>
      <t>atestiguar</t>
    </r>
  </si>
  <si>
    <t>Certificación/constancia escrita (conformidad, ensayo).</t>
  </si>
  <si>
    <t>fouet</t>
  </si>
  <si>
    <t>Fouet : type (ballon/plat), longueur, inox/silicone, usage.</t>
  </si>
  <si>
    <t>whisk; balloon whisk</t>
  </si>
  <si>
    <t>Whisk: type (balloon/flat), length, stainless/silicone, use.</t>
  </si>
  <si>
    <r>
      <t>batidor de varillas</t>
    </r>
    <r>
      <rPr>
        <sz val="11"/>
        <color rgb="FF0033CC"/>
        <rFont val="Calibri"/>
        <family val="2"/>
        <scheme val="minor"/>
      </rPr>
      <t xml:space="preserve">; </t>
    </r>
    <r>
      <rPr>
        <b/>
        <sz val="11"/>
        <color rgb="FF0033CC"/>
        <rFont val="Calibri"/>
        <family val="2"/>
        <scheme val="minor"/>
      </rPr>
      <t>batidor globo</t>
    </r>
  </si>
  <si>
    <t>Batidor: tipo (globo/plano), longitud, inox/silicona, uso.</t>
  </si>
  <si>
    <t>decoupe</t>
  </si>
  <si>
    <t>attirer</t>
  </si>
  <si>
    <t>Attirer clients/talents/attention.</t>
  </si>
  <si>
    <t>attract; draw</t>
  </si>
  <si>
    <t>Attract customers/talent/attention.</t>
  </si>
  <si>
    <t>atraer</t>
  </si>
  <si>
    <t>Atraer clientes/talento/atención.</t>
  </si>
  <si>
    <t>four mixte</t>
  </si>
  <si>
    <t>Four mixte : convection/vapeur/mixte; sonde, % vapeur, temps; logs HACCP; capacité.</t>
  </si>
  <si>
    <t>combi oven; combi-steamer</t>
  </si>
  <si>
    <t>Combi oven: convection/steam/mixed; probe, steam %, time; HACCP logs; capacity.</t>
  </si>
  <si>
    <r>
      <t>horno mixto (convección-vapor)</t>
    </r>
    <r>
      <rPr>
        <sz val="11"/>
        <color rgb="FF0033CC"/>
        <rFont val="Calibri"/>
        <family val="2"/>
        <scheme val="minor"/>
      </rPr>
      <t xml:space="preserve">; </t>
    </r>
    <r>
      <rPr>
        <b/>
        <sz val="11"/>
        <color rgb="FF0033CC"/>
        <rFont val="Calibri"/>
        <family val="2"/>
        <scheme val="minor"/>
      </rPr>
      <t>horno combinado</t>
    </r>
  </si>
  <si>
    <t>Horno mixto: convección/vapor/mixto; sonda, % vapor, tiempo; registros APPCC; capacidad.</t>
  </si>
  <si>
    <t>Attribuer ressources, responsabilités, numéros de lot.</t>
  </si>
  <si>
    <t>assign; allocate</t>
  </si>
  <si>
    <t>Assign resources, responsibilities, lot numbers.</t>
  </si>
  <si>
    <r>
      <t>asignar</t>
    </r>
    <r>
      <rPr>
        <sz val="11"/>
        <color theme="5" tint="-0.499984740745262"/>
        <rFont val="Calibri"/>
        <family val="2"/>
        <scheme val="minor"/>
      </rPr>
      <t>; adjudicar/atribuir</t>
    </r>
  </si>
  <si>
    <t>Asignar recursos, responsabilidades, números de lote.</t>
  </si>
  <si>
    <t>deconditionnement</t>
  </si>
  <si>
    <t>auditer</t>
  </si>
  <si>
    <t>Contrôle systématique (qualité, hygiène, process).</t>
  </si>
  <si>
    <t>audit; review</t>
  </si>
  <si>
    <t>Systematic audit (quality, hygiene, process).</t>
  </si>
  <si>
    <r>
      <t>auditar</t>
    </r>
    <r>
      <rPr>
        <sz val="11"/>
        <color theme="5" tint="-0.499984740745262"/>
        <rFont val="Calibri"/>
        <family val="2"/>
        <scheme val="minor"/>
      </rPr>
      <t>; revisar</t>
    </r>
  </si>
  <si>
    <t>Auditoría sistemática (calidad, higiene, proceso).</t>
  </si>
  <si>
    <t>gastro (bacs GN)</t>
  </si>
  <si>
    <t>Bacs GN (gastro) : formats, profondeurs, plein/perforé, inox/PC, couvercle.</t>
  </si>
  <si>
    <t>GN pans; Gastronorm containers</t>
  </si>
  <si>
    <t>GN pans: sizes, depths, solid/perforated, s/s or PC, lids.</t>
  </si>
  <si>
    <r>
      <t>cubetas GN</t>
    </r>
    <r>
      <rPr>
        <sz val="11"/>
        <color rgb="FF0033CC"/>
        <rFont val="Calibri"/>
        <family val="2"/>
        <scheme val="minor"/>
      </rPr>
      <t>; contenedores Gastronorm</t>
    </r>
  </si>
  <si>
    <t>Cubetas GN: tamaños, profundidades, lisas/perforadas, inox/PC, tapas.</t>
  </si>
  <si>
    <t>augmenter</t>
  </si>
  <si>
    <t>Hausse de capacité, volume, température, budget.</t>
  </si>
  <si>
    <t>increase; raise; scale up</t>
  </si>
  <si>
    <t>Increase capacity, volume, temp, budget.</t>
  </si>
  <si>
    <r>
      <t>aumentar</t>
    </r>
    <r>
      <rPr>
        <sz val="11"/>
        <color theme="5" tint="-0.499984740745262"/>
        <rFont val="Calibri"/>
        <family val="2"/>
        <scheme val="minor"/>
      </rPr>
      <t>; incrementar</t>
    </r>
  </si>
  <si>
    <t>Incrementar capacidad, volumen, T°, presupuesto.</t>
  </si>
  <si>
    <t>grille</t>
  </si>
  <si>
    <t>Grille : four/refroidissement/gril; préciser matière/dimensions.</t>
  </si>
  <si>
    <t>(oven) rack; cooling rack; grill grate</t>
  </si>
  <si>
    <t>Rack: oven/cooling/grill; specify material/dimensions.</t>
  </si>
  <si>
    <r>
      <t>rejilla de horno</t>
    </r>
    <r>
      <rPr>
        <sz val="11"/>
        <color rgb="FF0033CC"/>
        <rFont val="Calibri"/>
        <family val="2"/>
        <scheme val="minor"/>
      </rPr>
      <t xml:space="preserve">; </t>
    </r>
    <r>
      <rPr>
        <b/>
        <sz val="11"/>
        <color rgb="FF0033CC"/>
        <rFont val="Calibri"/>
        <family val="2"/>
        <scheme val="minor"/>
      </rPr>
      <t>rejilla enfriadora</t>
    </r>
    <r>
      <rPr>
        <sz val="11"/>
        <color rgb="FF0033CC"/>
        <rFont val="Calibri"/>
        <family val="2"/>
        <scheme val="minor"/>
      </rPr>
      <t xml:space="preserve">; </t>
    </r>
    <r>
      <rPr>
        <b/>
        <sz val="11"/>
        <color rgb="FF0033CC"/>
        <rFont val="Calibri"/>
        <family val="2"/>
        <scheme val="minor"/>
      </rPr>
      <t>parrilla</t>
    </r>
  </si>
  <si>
    <t>Rejilla: horno/enfriado/parrilla; indicar material/dimensiones.</t>
  </si>
  <si>
    <t>authentifier</t>
  </si>
  <si>
    <t>Vérif. identité/données (traçabilité, accès).</t>
  </si>
  <si>
    <t>authenticate; verify</t>
  </si>
  <si>
    <t>Verify identity/data (traceability, access).</t>
  </si>
  <si>
    <r>
      <t>autenticar</t>
    </r>
    <r>
      <rPr>
        <sz val="11"/>
        <color theme="5" tint="-0.499984740745262"/>
        <rFont val="Calibri"/>
        <family val="2"/>
        <scheme val="minor"/>
      </rPr>
      <t>; verificar</t>
    </r>
  </si>
  <si>
    <t>Verificar identidad/datos (trazabilidad, accesos).</t>
  </si>
  <si>
    <t>autoriser</t>
  </si>
  <si>
    <t>Accorder un droit (accès, dépense, changement).</t>
  </si>
  <si>
    <t>authorize; permit</t>
  </si>
  <si>
    <t>Authorize a right (access, spend, change).</t>
  </si>
  <si>
    <r>
      <t>autorizar</t>
    </r>
    <r>
      <rPr>
        <sz val="11"/>
        <color theme="5" tint="-0.499984740745262"/>
        <rFont val="Calibri"/>
        <family val="2"/>
        <scheme val="minor"/>
      </rPr>
      <t>; permitir</t>
    </r>
  </si>
  <si>
    <t>Autorizar un derecho (acceso, gasto, cambio).</t>
  </si>
  <si>
    <t>hachoir (robot/multifonction)</t>
  </si>
  <si>
    <t>Hachoir (robot) : capacité bol, lames, pulsado.</t>
  </si>
  <si>
    <t>food chopper; processor</t>
  </si>
  <si>
    <t>Food chopper/processor: bowl capacity, blades, pulse.</t>
  </si>
  <si>
    <t>picadora / procesador de alimentos</t>
  </si>
  <si>
    <t>Picadora/procesador: capacidad vaso, cuchillas, pulso.</t>
  </si>
  <si>
    <t>avancer (un délai/étape)</t>
  </si>
  <si>
    <t>Avancer une échéance/production.</t>
  </si>
  <si>
    <t>move forward; bring forward</t>
  </si>
  <si>
    <t>Bring a deadline/production forward.</t>
  </si>
  <si>
    <t>adelantar</t>
  </si>
  <si>
    <t>Adelantar un plazo/producción.</t>
  </si>
  <si>
    <t>housse de protection (chariot/étagère/équipement)</t>
  </si>
  <si>
    <t>Housse de protection : poussière/froid/extérieur; mesures; zip/velcro.</t>
  </si>
  <si>
    <t>protective cover; dust cover</t>
  </si>
  <si>
    <t>Protective cover: dust/cold/outdoor; dimensions; zip/velcro.</t>
  </si>
  <si>
    <r>
      <t>funda de protección</t>
    </r>
    <r>
      <rPr>
        <sz val="11"/>
        <color rgb="FF0033CC"/>
        <rFont val="Calibri"/>
        <family val="2"/>
        <scheme val="minor"/>
      </rPr>
      <t xml:space="preserve">; </t>
    </r>
    <r>
      <rPr>
        <b/>
        <sz val="11"/>
        <color rgb="FF0033CC"/>
        <rFont val="Calibri"/>
        <family val="2"/>
        <scheme val="minor"/>
      </rPr>
      <t>cubre-polvo</t>
    </r>
  </si>
  <si>
    <t>Funda de protección: polvo/frío/exterior; medidas; cremallera/velcro.</t>
  </si>
  <si>
    <t>egouttage</t>
  </si>
  <si>
    <t>avertir</t>
  </si>
  <si>
    <t>Prévenir d’un risque/incident/retard.</t>
  </si>
  <si>
    <t>warn; alert; notify</t>
  </si>
  <si>
    <t>Warn/alert of risk/incident/delay.</t>
  </si>
  <si>
    <r>
      <t>avisar</t>
    </r>
    <r>
      <rPr>
        <sz val="11"/>
        <color theme="5" tint="-0.499984740745262"/>
        <rFont val="Calibri"/>
        <family val="2"/>
        <scheme val="minor"/>
      </rPr>
      <t>; advertir</t>
    </r>
  </si>
  <si>
    <t>Avisar/alertar de riesgo/incidente/retraso.</t>
  </si>
  <si>
    <t>epluchage</t>
  </si>
  <si>
    <t>aviser</t>
  </si>
  <si>
    <t>Communication formelle (mail, fiche, ticket).</t>
  </si>
  <si>
    <t>notify; inform</t>
  </si>
  <si>
    <t>Formal communication (email, sheet, ticket).</t>
  </si>
  <si>
    <r>
      <t>notificar</t>
    </r>
    <r>
      <rPr>
        <sz val="11"/>
        <color theme="5" tint="-0.499984740745262"/>
        <rFont val="Calibri"/>
        <family val="2"/>
        <scheme val="minor"/>
      </rPr>
      <t>; informar</t>
    </r>
  </si>
  <si>
    <t>Comunicación formal (correo, ficha, ticket).</t>
  </si>
  <si>
    <t>louche</t>
  </si>
  <si>
    <t>Louche : capacité (cl/ml), manche (long), matière; louche à sauce = bec.</t>
  </si>
  <si>
    <t>ladle; soup ladle; sauce ladle</t>
  </si>
  <si>
    <t>Ladle: capacity, long handle, material; sauce ladle = spout.</t>
  </si>
  <si>
    <r>
      <t>cucharón</t>
    </r>
    <r>
      <rPr>
        <sz val="11"/>
        <color rgb="FF0033CC"/>
        <rFont val="Calibri"/>
        <family val="2"/>
        <scheme val="minor"/>
      </rPr>
      <t>; cucharón sopero; cucharón para salsas</t>
    </r>
  </si>
  <si>
    <t>Cucharón: capacidad, mango largo, material; para salsa = pico.</t>
  </si>
  <si>
    <t>etiquettage collec.</t>
  </si>
  <si>
    <t>Etiqueter</t>
  </si>
  <si>
    <t>s’auto-évaluer</t>
  </si>
  <si>
    <t>Bilan individuel/équipe sur pratiques/performances.</t>
  </si>
  <si>
    <t>self-assess</t>
  </si>
  <si>
    <t>Self/team assessment of practices/performance.</t>
  </si>
  <si>
    <t>auto-evaluarse</t>
  </si>
  <si>
    <t>Autoevaluación/evaluación del equipo (prácticas/rendimiento).</t>
  </si>
  <si>
    <t>etiquettage ind</t>
  </si>
  <si>
    <t>machine à râper</t>
  </si>
  <si>
    <t>Machine à râper : disques (râper/émincer/julienne), débit, sécurité.</t>
  </si>
  <si>
    <t>grater machine; electric grater; shredding machine</t>
  </si>
  <si>
    <t>Grating machine: disks (grate/slice/julienne), throughput, safety.</t>
  </si>
  <si>
    <r>
      <t>ralladora eléctrica</t>
    </r>
    <r>
      <rPr>
        <sz val="11"/>
        <color rgb="FF0033CC"/>
        <rFont val="Calibri"/>
        <family val="2"/>
        <scheme val="minor"/>
      </rPr>
      <t xml:space="preserve">; </t>
    </r>
    <r>
      <rPr>
        <b/>
        <sz val="11"/>
        <color rgb="FF0033CC"/>
        <rFont val="Calibri"/>
        <family val="2"/>
        <scheme val="minor"/>
      </rPr>
      <t>máquina de rallar</t>
    </r>
  </si>
  <si>
    <t>Ralladora: discos (rallar/laminar/juliana), caudal, seguridad.</t>
  </si>
  <si>
    <t>balayer</t>
  </si>
  <si>
    <t>Nettoyage des sols entre/fin de services.</t>
  </si>
  <si>
    <t>sweep</t>
  </si>
  <si>
    <t>Sweep/clean floors between/at end of service.</t>
  </si>
  <si>
    <r>
      <t>barrer</t>
    </r>
    <r>
      <rPr>
        <sz val="11"/>
        <color theme="5" tint="-0.499984740745262"/>
        <rFont val="Calibri"/>
        <family val="2"/>
        <scheme val="minor"/>
      </rPr>
      <t xml:space="preserve">; </t>
    </r>
    <r>
      <rPr>
        <b/>
        <sz val="11"/>
        <color theme="5" tint="-0.499984740745262"/>
        <rFont val="Calibri"/>
        <family val="2"/>
        <scheme val="minor"/>
      </rPr>
      <t>barrer el suelo</t>
    </r>
    <r>
      <rPr>
        <sz val="11"/>
        <color theme="5" tint="-0.499984740745262"/>
        <rFont val="Calibri"/>
        <family val="2"/>
        <scheme val="minor"/>
      </rPr>
      <t xml:space="preserve"> / </t>
    </r>
    <r>
      <rPr>
        <b/>
        <sz val="11"/>
        <color theme="5" tint="-0.499984740745262"/>
        <rFont val="Calibri"/>
        <family val="2"/>
        <scheme val="minor"/>
      </rPr>
      <t>barrer</t>
    </r>
  </si>
  <si>
    <t>Barrer/limpiar suelos entre/al final del servicio.</t>
  </si>
  <si>
    <t>marmite (de cuisson)</t>
  </si>
  <si>
    <t>Marmite : gaz/élec./vapeur; basculante; capacité, vidange, sonde.</t>
  </si>
  <si>
    <t>stock pot; kettle</t>
  </si>
  <si>
    <t>Kettle/stock pot: gas/elec/steam; tilting; capacity, drain, probe.</t>
  </si>
  <si>
    <r>
      <t>olla</t>
    </r>
    <r>
      <rPr>
        <sz val="11"/>
        <color rgb="FF0033CC"/>
        <rFont val="Calibri"/>
        <family val="2"/>
        <scheme val="minor"/>
      </rPr>
      <t xml:space="preserve">; </t>
    </r>
    <r>
      <rPr>
        <b/>
        <sz val="11"/>
        <color rgb="FF0033CC"/>
        <rFont val="Calibri"/>
        <family val="2"/>
        <scheme val="minor"/>
      </rPr>
      <t>caldera</t>
    </r>
    <r>
      <rPr>
        <sz val="11"/>
        <color rgb="FF0033CC"/>
        <rFont val="Calibri"/>
        <family val="2"/>
        <scheme val="minor"/>
      </rPr>
      <t xml:space="preserve"> (industrial)</t>
    </r>
  </si>
  <si>
    <t>Marmita/olla: gas/eléctrica/vapor; basculante; capacidad, vaciado, sonda.</t>
  </si>
  <si>
    <t>filmage</t>
  </si>
  <si>
    <t>baliser</t>
  </si>
  <si>
    <t>Marquage zones, flux piétons/chariots, sécurité.</t>
  </si>
  <si>
    <t>mark out; signpost</t>
  </si>
  <si>
    <t>Mark out zones, pedestrian/trolley flows, safety.</t>
  </si>
  <si>
    <r>
      <t>señalizar</t>
    </r>
    <r>
      <rPr>
        <sz val="11"/>
        <color theme="5" tint="-0.499984740745262"/>
        <rFont val="Calibri"/>
        <family val="2"/>
        <scheme val="minor"/>
      </rPr>
      <t>; balizar</t>
    </r>
  </si>
  <si>
    <t>Señalizar zonas, flujos peatonales/carros, seguridad.</t>
  </si>
  <si>
    <t>mixer (plongeant)</t>
  </si>
  <si>
    <t>Mixer plongeant : puissance, longueur de pied, antiproyecciones, accessoires.</t>
  </si>
  <si>
    <t>immersion blender; stick blender</t>
  </si>
  <si>
    <t>Immersion blender: power, shaft length, splash-guard, accessories.</t>
  </si>
  <si>
    <t>batidora de inmersión</t>
  </si>
  <si>
    <t>Batidora de inmersión: potencia, longitud pie, campana anti-salpicaduras, accesorios.</t>
  </si>
  <si>
    <t>barrer (rayer)</t>
  </si>
  <si>
    <t>Rayer une ligne sur un bon/étiquette, éviter les doublons.</t>
  </si>
  <si>
    <t>cross out; strike through</t>
  </si>
  <si>
    <t>Cross out a line on a ticket/label to avoid duplicates.</t>
  </si>
  <si>
    <r>
      <t>tachar</t>
    </r>
    <r>
      <rPr>
        <sz val="11"/>
        <color theme="5" tint="-0.499984740745262"/>
        <rFont val="Calibri"/>
        <family val="2"/>
        <scheme val="minor"/>
      </rPr>
      <t xml:space="preserve">; </t>
    </r>
    <r>
      <rPr>
        <b/>
        <sz val="11"/>
        <color theme="5" tint="-0.499984740745262"/>
        <rFont val="Calibri"/>
        <family val="2"/>
        <scheme val="minor"/>
      </rPr>
      <t>rayar</t>
    </r>
  </si>
  <si>
    <t>Tachar una línea en un albarán/etiqueta para evitar duplicados.</t>
  </si>
  <si>
    <t>basculer</t>
  </si>
  <si>
    <t>Basculer de mode/ligne/serveur/compte.</t>
  </si>
  <si>
    <t>switch over; toggle</t>
  </si>
  <si>
    <t>Switch over mode/line/server/account.</t>
  </si>
  <si>
    <r>
      <t>cambiar</t>
    </r>
    <r>
      <rPr>
        <sz val="11"/>
        <color theme="5" tint="-0.499984740745262"/>
        <rFont val="Calibri"/>
        <family val="2"/>
        <scheme val="minor"/>
      </rPr>
      <t>; conmutar</t>
    </r>
  </si>
  <si>
    <t>Conmutar/cambiar de modo/línea/servidor/cuenta.</t>
  </si>
  <si>
    <t>ouvre-boîte</t>
  </si>
  <si>
    <t>Ouvre-boîte : manuel/électrique/de mesa; hygiène, boîtes 5/10, sans bavures.</t>
  </si>
  <si>
    <t>can opener; tin opener (UK)</t>
  </si>
  <si>
    <t>Can opener: manual/electric/bench; hygiene, size 5/10 cans, no burrs.</t>
  </si>
  <si>
    <t>abre-latas</t>
  </si>
  <si>
    <t>Abre-latas: manual/eléctrico/de mesa; higiene, latas 5/10, sin rebabas.</t>
  </si>
  <si>
    <t>bâtir</t>
  </si>
  <si>
    <t>Construire un plan, un poste, une structure.</t>
  </si>
  <si>
    <t>build; construct</t>
  </si>
  <si>
    <t>Build a plan/station/structure.</t>
  </si>
  <si>
    <r>
      <t>construir</t>
    </r>
    <r>
      <rPr>
        <sz val="11"/>
        <color theme="5" tint="-0.499984740745262"/>
        <rFont val="Calibri"/>
        <family val="2"/>
        <scheme val="minor"/>
      </rPr>
      <t>; edificar</t>
    </r>
  </si>
  <si>
    <t>Construir un plan/puesto/estructura.</t>
  </si>
  <si>
    <t>goutage</t>
  </si>
  <si>
    <t>boulonner</t>
  </si>
  <si>
    <t>Fixer solidement machines/étagères au sol/mur.</t>
  </si>
  <si>
    <t>bolt (down)</t>
  </si>
  <si>
    <t>Bolt machines/shelves securely to floor/wall.</t>
  </si>
  <si>
    <r>
      <t>atornillar con perno</t>
    </r>
    <r>
      <rPr>
        <sz val="11"/>
        <color theme="5" tint="-0.499984740745262"/>
        <rFont val="Calibri"/>
        <family val="2"/>
        <scheme val="minor"/>
      </rPr>
      <t>; pernar/atornillar</t>
    </r>
  </si>
  <si>
    <t>Pernar/atornillar máquinas/estanterías al suelo/pared.</t>
  </si>
  <si>
    <t>palette (logistique)</t>
  </si>
  <si>
    <t>Palette (logistique) : EUR 120×80 / ISO 120×100; bois/plastique; filmage/cerclage.</t>
  </si>
  <si>
    <t>pallet (EUR/EPAL pallet)</t>
  </si>
  <si>
    <t>Pallet: EUR 120×80 / ISO 120×100; wood/plastic; wrap/strap.</t>
  </si>
  <si>
    <r>
      <t>palé / palet</t>
    </r>
    <r>
      <rPr>
        <sz val="11"/>
        <color rgb="FF0033CC"/>
        <rFont val="Calibri"/>
        <family val="2"/>
        <scheme val="minor"/>
      </rPr>
      <t xml:space="preserve">; </t>
    </r>
    <r>
      <rPr>
        <b/>
        <sz val="11"/>
        <color rgb="FF0033CC"/>
        <rFont val="Calibri"/>
        <family val="2"/>
        <scheme val="minor"/>
      </rPr>
      <t>palé europeo (EPAL)</t>
    </r>
  </si>
  <si>
    <t>Palé: EUR 120×80 / ISO 120×100; madera/plástico; flejado/filmado.</t>
  </si>
  <si>
    <t>Raccorder un appareil (secteur), une sonde, un périphérique.</t>
  </si>
  <si>
    <t>plug in; connect</t>
  </si>
  <si>
    <t>Plug in/connect a device, a probe, a peripheral.</t>
  </si>
  <si>
    <r>
      <t>enchufar</t>
    </r>
    <r>
      <rPr>
        <sz val="11"/>
        <color theme="5" tint="-0.499984740745262"/>
        <rFont val="Calibri"/>
        <family val="2"/>
        <scheme val="minor"/>
      </rPr>
      <t>; conectar</t>
    </r>
  </si>
  <si>
    <t>Enchufar/conectar un equipo, una sonda, un periférico.</t>
  </si>
  <si>
    <t>passoire</t>
  </si>
  <si>
    <t>Passoire : égouttage/tamisage; métal/nylon; Ø/profondeur, poignées.</t>
  </si>
  <si>
    <t>colander; strainer</t>
  </si>
  <si>
    <t>Colander/strainer: draining/sieving; metal/nylon; dia/depth, handles.</t>
  </si>
  <si>
    <r>
      <t>colador</t>
    </r>
    <r>
      <rPr>
        <sz val="11"/>
        <color rgb="FF0033CC"/>
        <rFont val="Calibri"/>
        <family val="2"/>
        <scheme val="minor"/>
      </rPr>
      <t xml:space="preserve">; </t>
    </r>
    <r>
      <rPr>
        <b/>
        <sz val="11"/>
        <color rgb="FF0033CC"/>
        <rFont val="Calibri"/>
        <family val="2"/>
        <scheme val="minor"/>
      </rPr>
      <t>escurridor</t>
    </r>
  </si>
  <si>
    <t>Colador/escurridor: escurrir/tamizar; metal/nylon; Ø/profundidad, asas.</t>
  </si>
  <si>
    <t>briefer</t>
  </si>
  <si>
    <t>Consignes d’équipe avant service/production.</t>
  </si>
  <si>
    <t>brief; give a briefing</t>
  </si>
  <si>
    <t>Team briefing before service/production.</t>
  </si>
  <si>
    <r>
      <t>briefe ar</t>
    </r>
    <r>
      <rPr>
        <sz val="11"/>
        <color theme="5" tint="-0.499984740745262"/>
        <rFont val="Calibri"/>
        <family val="2"/>
        <scheme val="minor"/>
      </rPr>
      <t xml:space="preserve"> / </t>
    </r>
    <r>
      <rPr>
        <b/>
        <sz val="11"/>
        <color theme="5" tint="-0.499984740745262"/>
        <rFont val="Calibri"/>
        <family val="2"/>
        <scheme val="minor"/>
      </rPr>
      <t>dar un briefing</t>
    </r>
    <r>
      <rPr>
        <sz val="11"/>
        <color theme="5" tint="-0.499984740745262"/>
        <rFont val="Calibri"/>
        <family val="2"/>
        <scheme val="minor"/>
      </rPr>
      <t>; informar</t>
    </r>
  </si>
  <si>
    <t>Reunión/briefing del equipo antes del servicio/producción.</t>
  </si>
  <si>
    <t>pelle à pizza</t>
  </si>
  <si>
    <t>Pelle à pizza : manche long; tête alu/inox/bois; perforée; tailles.</t>
  </si>
  <si>
    <t>pizza peel</t>
  </si>
  <si>
    <t>Pizza peel: long handle; alu/s/s/wood head; perforated; sizes.</t>
  </si>
  <si>
    <t>pala para pizza</t>
  </si>
  <si>
    <t>Pala para pizza: mango largo; cabeza alu/inox/madera; perforada; tamaños.</t>
  </si>
  <si>
    <t>briquer</t>
  </si>
  <si>
    <t>Lustrer inox, plaques, vitrines.</t>
  </si>
  <si>
    <t>polish; shine</t>
  </si>
  <si>
    <t>Polish stainless steel, trays, display cases.</t>
  </si>
  <si>
    <r>
      <t>pulir</t>
    </r>
    <r>
      <rPr>
        <sz val="11"/>
        <color theme="5" tint="-0.499984740745262"/>
        <rFont val="Calibri"/>
        <family val="2"/>
        <scheme val="minor"/>
      </rPr>
      <t>; abrillantar</t>
    </r>
  </si>
  <si>
    <t>Abrillantar/pulir inox, bandejas, vitrinas.</t>
  </si>
  <si>
    <t>pinces</t>
  </si>
  <si>
    <t>Pinces : longueur, embouts silicone/inox, verrou; séparer cru/cuit.</t>
  </si>
  <si>
    <t>tongs; kitchen tongs</t>
  </si>
  <si>
    <t>Tongs: length, silicone/s/s tips, lock; separate raw/cooked.</t>
  </si>
  <si>
    <r>
      <t>pinzas</t>
    </r>
    <r>
      <rPr>
        <sz val="11"/>
        <color rgb="FF0033CC"/>
        <rFont val="Calibri"/>
        <family val="2"/>
        <scheme val="minor"/>
      </rPr>
      <t xml:space="preserve"> (de cocina)</t>
    </r>
  </si>
  <si>
    <t>Pinzas: longitud, puntas silicona/inox, cierre; separar crudo/cocido.</t>
  </si>
  <si>
    <t>brosser</t>
  </si>
  <si>
    <t>Brosser grilles, légumes, chaussures de sécu.</t>
  </si>
  <si>
    <t>brush</t>
  </si>
  <si>
    <t>Brush grates/veggies/safety shoes.</t>
  </si>
  <si>
    <t>cepillar</t>
  </si>
  <si>
    <t>Cepillar rejillas, verduras, calzado de seguridad.</t>
  </si>
  <si>
    <r>
      <t>plaque eutectique</t>
    </r>
    <r>
      <rPr>
        <sz val="11"/>
        <color theme="1"/>
        <rFont val="Calibri"/>
        <family val="2"/>
        <scheme val="minor"/>
      </rPr>
      <t xml:space="preserve"> </t>
    </r>
    <r>
      <rPr>
        <i/>
        <sz val="11"/>
        <color theme="1"/>
        <rFont val="Calibri"/>
        <family val="2"/>
        <scheme val="minor"/>
      </rPr>
      <t>(correction de « pl.euthechtique »)</t>
    </r>
  </si>
  <si>
    <t>Plaque eutectique : T° de consigne, temps de charge, contact alimentaire.</t>
  </si>
  <si>
    <t>eutectic cold plate; gel cold pack</t>
  </si>
  <si>
    <t>Eutectic plate: set-point temp, charging time, food contact.</t>
  </si>
  <si>
    <r>
      <t>placa eutéctica</t>
    </r>
    <r>
      <rPr>
        <sz val="11"/>
        <color rgb="FF0033CC"/>
        <rFont val="Calibri"/>
        <family val="2"/>
        <scheme val="minor"/>
      </rPr>
      <t xml:space="preserve">; </t>
    </r>
    <r>
      <rPr>
        <b/>
        <sz val="11"/>
        <color rgb="FF0033CC"/>
        <rFont val="Calibri"/>
        <family val="2"/>
        <scheme val="minor"/>
      </rPr>
      <t>acumulador de frío</t>
    </r>
  </si>
  <si>
    <t>Placa eutéctica: T° objetivo, tiempo de carga, contacto alimentario.</t>
  </si>
  <si>
    <t>budgéter</t>
  </si>
  <si>
    <t>Établir prévisionnel/coût recette/opération.</t>
  </si>
  <si>
    <t>budget; cost out</t>
  </si>
  <si>
    <t>Budget/forecast recipe or operation costs.</t>
  </si>
  <si>
    <r>
      <t>presupuestar</t>
    </r>
    <r>
      <rPr>
        <sz val="11"/>
        <color theme="5" tint="-0.499984740745262"/>
        <rFont val="Calibri"/>
        <family val="2"/>
        <scheme val="minor"/>
      </rPr>
      <t>; costear</t>
    </r>
  </si>
  <si>
    <t>Presupuestar/pronosticar costes de receta/operación.</t>
  </si>
  <si>
    <t>planche à découper</t>
  </si>
  <si>
    <t>Planche à découper : codes couleur, PEHD/bois, antidérapant, lavable.</t>
  </si>
  <si>
    <t>cutting board; chopping board</t>
  </si>
  <si>
    <t>Cutting board: color codes, HDPE/wood, anti-slip, dishwasher-safe.</t>
  </si>
  <si>
    <t>tabla de cortar</t>
  </si>
  <si>
    <t>Tabla de cortar: códigos color, PEAD/madera, antideslizante, lavable.</t>
  </si>
  <si>
    <t>plat gastro (GN plat)</t>
  </si>
  <si>
    <t>Plat GN peu profond : service/cuisson/pré-sentation; couvercle possible.</t>
  </si>
  <si>
    <t>GN tray / GN shallow pan</t>
  </si>
  <si>
    <t>Shallow GN tray: service/cooking/presentation; lid optional.</t>
  </si>
  <si>
    <t>bandeja GN / cubeta GN baja</t>
  </si>
  <si>
    <t>Bandeja GN baja: servicio/cocción/presentación; tapa opcional.</t>
  </si>
  <si>
    <t>Herbes, levains, savoir-faire/équipe.</t>
  </si>
  <si>
    <t>cultivate; grow</t>
  </si>
  <si>
    <t>Cultivate herbs/starters; develop know-how/team.</t>
  </si>
  <si>
    <r>
      <t>cultivar</t>
    </r>
    <r>
      <rPr>
        <sz val="11"/>
        <color theme="5" tint="-0.499984740745262"/>
        <rFont val="Calibri"/>
        <family val="2"/>
        <scheme val="minor"/>
      </rPr>
      <t>; criar</t>
    </r>
  </si>
  <si>
    <r>
      <t xml:space="preserve">Cultivar hierbas/masas madre; desarrollar </t>
    </r>
    <r>
      <rPr>
        <i/>
        <sz val="11"/>
        <color theme="5" tint="-0.499984740745262"/>
        <rFont val="Calibri"/>
        <family val="2"/>
        <scheme val="minor"/>
      </rPr>
      <t>know-how</t>
    </r>
    <r>
      <rPr>
        <sz val="11"/>
        <color theme="5" tint="-0.499984740745262"/>
        <rFont val="Calibri"/>
        <family val="2"/>
        <scheme val="minor"/>
      </rPr>
      <t>/equipo.</t>
    </r>
  </si>
  <si>
    <t>plateaux</t>
  </si>
  <si>
    <t>Plateaux : format (600×400, GN), matière (PP/inox/fibra), antidérapant.</t>
  </si>
  <si>
    <t>trays; service trays</t>
  </si>
  <si>
    <t>Trays: size (600×400, GN), material (PP/s/s/fiber), non-slip.</t>
  </si>
  <si>
    <r>
      <t>bandejas</t>
    </r>
    <r>
      <rPr>
        <sz val="11"/>
        <color rgb="FF0033CC"/>
        <rFont val="Calibri"/>
        <family val="2"/>
        <scheme val="minor"/>
      </rPr>
      <t xml:space="preserve">; </t>
    </r>
    <r>
      <rPr>
        <b/>
        <sz val="11"/>
        <color rgb="FF0033CC"/>
        <rFont val="Calibri"/>
        <family val="2"/>
        <scheme val="minor"/>
      </rPr>
      <t>bandejas de servicio</t>
    </r>
  </si>
  <si>
    <t>Bandejas: tamaño (600×400, GN), material (PP/inox/fibra), antideslizantes.</t>
  </si>
  <si>
    <t>Coûts, rendements, pertes, ratios HACCP.</t>
  </si>
  <si>
    <t>calculate; compute</t>
  </si>
  <si>
    <t>Costs, yields, losses, HACCP ratios.</t>
  </si>
  <si>
    <r>
      <t>calcular</t>
    </r>
    <r>
      <rPr>
        <sz val="11"/>
        <color theme="5" tint="-0.499984740745262"/>
        <rFont val="Calibri"/>
        <family val="2"/>
        <scheme val="minor"/>
      </rPr>
      <t>; computar</t>
    </r>
  </si>
  <si>
    <t>Costes, rendimientos, mermas, ratios APPCC.</t>
  </si>
  <si>
    <t>melange</t>
  </si>
  <si>
    <t>Référencer produits/recettes/outils.</t>
  </si>
  <si>
    <t>catalog; classify</t>
  </si>
  <si>
    <t>Catalog/reference products/recipes/tools.</t>
  </si>
  <si>
    <r>
      <t>catalogar</t>
    </r>
    <r>
      <rPr>
        <sz val="11"/>
        <color theme="5" tint="-0.499984740745262"/>
        <rFont val="Calibri"/>
        <family val="2"/>
        <scheme val="minor"/>
      </rPr>
      <t>; clasificar</t>
    </r>
  </si>
  <si>
    <t>Catalogar/referenciar productos/recetas/herramientas.</t>
  </si>
  <si>
    <t>râpeuse</t>
  </si>
  <si>
    <t>Râpeuse : idem machine à râper; tambours, débit, sécurité.</t>
  </si>
  <si>
    <t>grating machine; rotary/drum grater</t>
  </si>
  <si>
    <t>Grater (machine): as above; drums, throughput, safety.</t>
  </si>
  <si>
    <r>
      <t>ralladora</t>
    </r>
    <r>
      <rPr>
        <sz val="11"/>
        <color rgb="FF0033CC"/>
        <rFont val="Calibri"/>
        <family val="2"/>
        <scheme val="minor"/>
      </rPr>
      <t>; máquina de rallar (de tambor)</t>
    </r>
  </si>
  <si>
    <t>Ralladora: igual; tambores, caudal, seguridad.</t>
  </si>
  <si>
    <t>Mettre En Bac</t>
  </si>
  <si>
    <t>Regrouper données/stocks/décisions.</t>
  </si>
  <si>
    <t>centralize; consolidate</t>
  </si>
  <si>
    <t>Consolidate/centralize data, inventory, decisions.</t>
  </si>
  <si>
    <r>
      <t>centralizar</t>
    </r>
    <r>
      <rPr>
        <sz val="11"/>
        <color theme="5" tint="-0.499984740745262"/>
        <rFont val="Calibri"/>
        <family val="2"/>
        <scheme val="minor"/>
      </rPr>
      <t>; consolidar</t>
    </r>
  </si>
  <si>
    <t>Consolidar/centralizar datos, stocks y decisiones.</t>
  </si>
  <si>
    <t>rayonnages</t>
  </si>
  <si>
    <t>Rayonnages : inox/plast./alu; carga/nivel, anclajes, uso frío/húmedo.</t>
  </si>
  <si>
    <t>shelving; racking</t>
  </si>
  <si>
    <t>Racking: s/s/plastic/alu; load/level, anchors, cold/wet use.</t>
  </si>
  <si>
    <r>
      <t>estanterías</t>
    </r>
    <r>
      <rPr>
        <sz val="11"/>
        <color rgb="FF0033CC"/>
        <rFont val="Calibri"/>
        <family val="2"/>
        <scheme val="minor"/>
      </rPr>
      <t xml:space="preserve">; </t>
    </r>
    <r>
      <rPr>
        <b/>
        <sz val="11"/>
        <color rgb="FF0033CC"/>
        <rFont val="Calibri"/>
        <family val="2"/>
        <scheme val="minor"/>
      </rPr>
      <t>racks</t>
    </r>
  </si>
  <si>
    <t>Estanterías: inox/plástico/aluminio; carga/nivel, anclajes, uso frío/húmedo.</t>
  </si>
  <si>
    <t>Trouver infos, pièces, causes (RCA).</t>
  </si>
  <si>
    <t>search; look for</t>
  </si>
  <si>
    <t>Find info, parts, causes (RCA = Root Cause Analysis).</t>
  </si>
  <si>
    <r>
      <t>buscar</t>
    </r>
    <r>
      <rPr>
        <sz val="11"/>
        <color theme="5" tint="-0.499984740745262"/>
        <rFont val="Calibri"/>
        <family val="2"/>
        <scheme val="minor"/>
      </rPr>
      <t>; investigar</t>
    </r>
  </si>
  <si>
    <t>Buscar información, piezas, causas (ACR = Análisis de Causa Raíz).</t>
  </si>
  <si>
    <t>rolls (logistique)</t>
  </si>
  <si>
    <t>Rolls (log.) : carro jaula; formato 600×800 / 800×1200; capacidad, freno.</t>
  </si>
  <si>
    <t>roll cage; roll container</t>
  </si>
  <si>
    <t>Roll cage (logistics): 600×800 / 800×1200; capacity, brake.</t>
  </si>
  <si>
    <r>
      <t>carro jaula</t>
    </r>
    <r>
      <rPr>
        <sz val="11"/>
        <color rgb="FF0033CC"/>
        <rFont val="Calibri"/>
        <family val="2"/>
        <scheme val="minor"/>
      </rPr>
      <t>; contenedor rodante</t>
    </r>
  </si>
  <si>
    <t>Carro jaula (logística): 600×800 / 800×1200; capacidad, freno.</t>
  </si>
  <si>
    <t>Mettre En Chariot</t>
  </si>
  <si>
    <t>Mince</t>
  </si>
  <si>
    <t>Very fine mince for shallots/herbs; sharp knife.</t>
  </si>
  <si>
    <t>Ciselar</t>
  </si>
  <si>
    <t>Picar finísimo chalotas/hierbas; cuchillo afilado.</t>
  </si>
  <si>
    <t>rondeau</t>
  </si>
  <si>
    <t>Rondeau : cacerola baja ancha; fondo grueso, tapa; compatible horno/inducción.</t>
  </si>
  <si>
    <t>rondeau; braiser pan (wide, shallow pot)</t>
  </si>
  <si>
    <t>Rondeau: wide shallow pan; thick base, lid; oven/induction safe.</t>
  </si>
  <si>
    <r>
      <t>rondeau</t>
    </r>
    <r>
      <rPr>
        <sz val="11"/>
        <color rgb="FF0033CC"/>
        <rFont val="Calibri"/>
        <family val="2"/>
        <scheme val="minor"/>
      </rPr>
      <t>; cacerola baja ancha</t>
    </r>
  </si>
  <si>
    <t>Rondeau: cazo bajo ancho; fondo grueso, tapa; horno/inducción.</t>
  </si>
  <si>
    <t>Ranger par familles, allergènes, risques.</t>
  </si>
  <si>
    <t>classify; sort</t>
  </si>
  <si>
    <t>Classify by families, allergens, risks.</t>
  </si>
  <si>
    <r>
      <t>clasificar</t>
    </r>
    <r>
      <rPr>
        <sz val="11"/>
        <color theme="5" tint="-0.499984740745262"/>
        <rFont val="Calibri"/>
        <family val="2"/>
        <scheme val="minor"/>
      </rPr>
      <t>; categorizar</t>
    </r>
  </si>
  <si>
    <t>Clasificar por familias, alérgenos y riesgos.</t>
  </si>
  <si>
    <t>rouleau (à pâtisserie)</t>
  </si>
  <si>
    <t>Rouleau (pâtisserie) : bois/inox/PC; lisse/grad./bagues; long./Ø.</t>
  </si>
  <si>
    <t>rolling pin</t>
  </si>
  <si>
    <t>Rolling pin: wood/s/s/PC; smooth/marked/rings; length/Ø.</t>
  </si>
  <si>
    <t>rodillo (de pastelería)</t>
  </si>
  <si>
    <t>Rodillo: madera/inox/PC; liso/graduado/anillos; largo/Ø.</t>
  </si>
  <si>
    <t>Achats matières, consommables, pièces.</t>
  </si>
  <si>
    <t>order; place an order</t>
  </si>
  <si>
    <t>Purchase raw materials, consumables, parts.</t>
  </si>
  <si>
    <r>
      <t>pedir</t>
    </r>
    <r>
      <rPr>
        <sz val="11"/>
        <color theme="5" tint="-0.499984740745262"/>
        <rFont val="Calibri"/>
        <family val="2"/>
        <scheme val="minor"/>
      </rPr>
      <t>; hacer un pedido</t>
    </r>
  </si>
  <si>
    <t>Compras de materias primas, consumibles y repuestos.</t>
  </si>
  <si>
    <t>ouverture boite</t>
  </si>
  <si>
    <t>Rassembler données/rapports/recettes.</t>
  </si>
  <si>
    <t>compile; aggregate</t>
  </si>
  <si>
    <t>Compile/aggregate data, reports, recipes.</t>
  </si>
  <si>
    <r>
      <t>compilar</t>
    </r>
    <r>
      <rPr>
        <sz val="11"/>
        <color theme="5" tint="-0.499984740745262"/>
        <rFont val="Calibri"/>
        <family val="2"/>
        <scheme val="minor"/>
      </rPr>
      <t>; recopilar</t>
    </r>
  </si>
  <si>
    <t>Compilar/recopilar datos, informes y recetas.</t>
  </si>
  <si>
    <t>sauteuse</t>
  </si>
  <si>
    <t>Sauteuse : parois droites/arrondies; Ø, épaisseur; four/inductions.</t>
  </si>
  <si>
    <r>
      <t xml:space="preserve">sauté pan (straight sides) / </t>
    </r>
    <r>
      <rPr>
        <b/>
        <sz val="11"/>
        <color rgb="FF0033CC"/>
        <rFont val="Calibri"/>
        <family val="2"/>
        <scheme val="minor"/>
      </rPr>
      <t>saucier</t>
    </r>
    <r>
      <rPr>
        <sz val="11"/>
        <color rgb="FF0033CC"/>
        <rFont val="Calibri"/>
        <family val="2"/>
        <scheme val="minor"/>
      </rPr>
      <t xml:space="preserve"> (rounded)</t>
    </r>
  </si>
  <si>
    <t>Sauté pan/saucier: straight/rounded sides; dia/thickness; oven/induction.</t>
  </si>
  <si>
    <r>
      <t>salteadora</t>
    </r>
    <r>
      <rPr>
        <sz val="11"/>
        <color rgb="FF0033CC"/>
        <rFont val="Calibri"/>
        <family val="2"/>
        <scheme val="minor"/>
      </rPr>
      <t xml:space="preserve"> (paredes rectas) / </t>
    </r>
    <r>
      <rPr>
        <b/>
        <sz val="11"/>
        <color rgb="FF0033CC"/>
        <rFont val="Calibri"/>
        <family val="2"/>
        <scheme val="minor"/>
      </rPr>
      <t>cazo salteador</t>
    </r>
    <r>
      <rPr>
        <sz val="11"/>
        <color rgb="FF0033CC"/>
        <rFont val="Calibri"/>
        <family val="2"/>
        <scheme val="minor"/>
      </rPr>
      <t xml:space="preserve"> (bordes redondeados)</t>
    </r>
  </si>
  <si>
    <t>Salteadora/cazo salteador: bordes rectos/redondeados; Ø/espesor; horno/inducción.</t>
  </si>
  <si>
    <t>Inventaire, portions, unités produites.</t>
  </si>
  <si>
    <t>count; tally</t>
  </si>
  <si>
    <t>Inventory counts, portions, units produced.</t>
  </si>
  <si>
    <r>
      <t>contar</t>
    </r>
    <r>
      <rPr>
        <sz val="11"/>
        <color theme="5" tint="-0.499984740745262"/>
        <rFont val="Calibri"/>
        <family val="2"/>
        <scheme val="minor"/>
      </rPr>
      <t>; contabilizar</t>
    </r>
  </si>
  <si>
    <t>Inventario, raciones y unidades producidas.</t>
  </si>
  <si>
    <t>seau plastique</t>
  </si>
  <si>
    <t>Seau plastique : grado alimentario; tapa/asa; volumen, códigos color.</t>
  </si>
  <si>
    <t>plastic pail/bucket (food-grade)</t>
  </si>
  <si>
    <t>Plastic pail: food-grade; lid/handle; volume, color coding.</t>
  </si>
  <si>
    <t>cubo/balde de plástico (grado alimentario)</t>
  </si>
  <si>
    <t>Cubo plástico: grado alimentario; tapa/asa; volumen, códigos color.</t>
  </si>
  <si>
    <t>Recette/process/outil/implantation.</t>
  </si>
  <si>
    <t>design; conceive</t>
  </si>
  <si>
    <t>Design a recipe/process/tool/layout.</t>
  </si>
  <si>
    <r>
      <t>diseñar</t>
    </r>
    <r>
      <rPr>
        <sz val="11"/>
        <color theme="5" tint="-0.499984740745262"/>
        <rFont val="Calibri"/>
        <family val="2"/>
        <scheme val="minor"/>
      </rPr>
      <t>; concebir</t>
    </r>
  </si>
  <si>
    <t>Diseñar una receta/proceso/herramienta/implantación.</t>
  </si>
  <si>
    <t>socles rouleurs</t>
  </si>
  <si>
    <t>Socles rouleurs : dolly/base rodante; carga (kg), ruedas, frenos.</t>
  </si>
  <si>
    <t>dolly; rolling base</t>
  </si>
  <si>
    <t>Dollies: rolling bases; load (kg), wheels, brakes.</t>
  </si>
  <si>
    <r>
      <t>base rodante</t>
    </r>
    <r>
      <rPr>
        <sz val="11"/>
        <color rgb="FF0033CC"/>
        <rFont val="Calibri"/>
        <family val="2"/>
        <scheme val="minor"/>
      </rPr>
      <t xml:space="preserve">; </t>
    </r>
    <r>
      <rPr>
        <b/>
        <sz val="11"/>
        <color rgb="FF0033CC"/>
        <rFont val="Calibri"/>
        <family val="2"/>
        <scheme val="minor"/>
      </rPr>
      <t>dolly</t>
    </r>
  </si>
  <si>
    <t>Bases rodantes: carga (kg), ruedas, frenos.</t>
  </si>
  <si>
    <t>Passer En Cellule</t>
  </si>
  <si>
    <t>Véhicule/machine/équipe/projet.</t>
  </si>
  <si>
    <t>drive; operate; lead</t>
  </si>
  <si>
    <t>Drive/operate/lead/manage (vehicle/machine/team/project).</t>
  </si>
  <si>
    <r>
      <t>conducir</t>
    </r>
    <r>
      <rPr>
        <sz val="11"/>
        <color theme="5" tint="-0.499984740745262"/>
        <rFont val="Calibri"/>
        <family val="2"/>
        <scheme val="minor"/>
      </rPr>
      <t>; operar; dirigir</t>
    </r>
  </si>
  <si>
    <t>Conducir/operar/dirigir/gestionar (vehículo/máquina/equipo/proyecto).</t>
  </si>
  <si>
    <t>sonde (température)</t>
  </si>
  <si>
    <t>Sonde : T° −50/+300 °C; núcleo/aceite/aire; IR sin contacto; registros.</t>
  </si>
  <si>
    <t>probe thermometer; core probe; oil probe</t>
  </si>
  <si>
    <t>Probe: −50/+300 °C; core/oil/air; IR non-contact; logging.</t>
  </si>
  <si>
    <r>
      <t>sonda de temperatura</t>
    </r>
    <r>
      <rPr>
        <sz val="11"/>
        <color rgb="FF0033CC"/>
        <rFont val="Calibri"/>
        <family val="2"/>
        <scheme val="minor"/>
      </rPr>
      <t xml:space="preserve">; </t>
    </r>
    <r>
      <rPr>
        <b/>
        <sz val="11"/>
        <color rgb="FF0033CC"/>
        <rFont val="Calibri"/>
        <family val="2"/>
        <scheme val="minor"/>
      </rPr>
      <t>sonda de penetración</t>
    </r>
    <r>
      <rPr>
        <sz val="11"/>
        <color rgb="FF0033CC"/>
        <rFont val="Calibri"/>
        <family val="2"/>
        <scheme val="minor"/>
      </rPr>
      <t xml:space="preserve">; </t>
    </r>
    <r>
      <rPr>
        <b/>
        <sz val="11"/>
        <color rgb="FF0033CC"/>
        <rFont val="Calibri"/>
        <family val="2"/>
        <scheme val="minor"/>
      </rPr>
      <t>sonda para aceite</t>
    </r>
  </si>
  <si>
    <t>Sonda: −50/+300 °C; corazón/aceite/aire; IR sin contacto; registros.</t>
  </si>
  <si>
    <t>Traçabilité, températures, incidents.</t>
  </si>
  <si>
    <t>log; record; write down</t>
  </si>
  <si>
    <t>Record/log traceability, temperatures, incidents.</t>
  </si>
  <si>
    <r>
      <t>consignar</t>
    </r>
    <r>
      <rPr>
        <sz val="11"/>
        <color theme="5" tint="-0.499984740745262"/>
        <rFont val="Calibri"/>
        <family val="2"/>
        <scheme val="minor"/>
      </rPr>
      <t>; registrar</t>
    </r>
  </si>
  <si>
    <t>Registrar/trazar temperaturas e incidencias.</t>
  </si>
  <si>
    <t>Former un dossier/lot/équipe.</t>
  </si>
  <si>
    <t>constitute; form; make up</t>
  </si>
  <si>
    <t>Build a file/batch/team.</t>
  </si>
  <si>
    <r>
      <t>constituir</t>
    </r>
    <r>
      <rPr>
        <sz val="11"/>
        <color theme="5" tint="-0.499984740745262"/>
        <rFont val="Calibri"/>
        <family val="2"/>
        <scheme val="minor"/>
      </rPr>
      <t>; conformar</t>
    </r>
  </si>
  <si>
    <t>Formar un expediente/lote/equipo.</t>
  </si>
  <si>
    <t>table chaude</t>
  </si>
  <si>
    <t>Table chaude : maintien ≥63 °C; bacs GN; eau/résistances; couvercles.</t>
  </si>
  <si>
    <t>hot holding table; hot well; heated service table</t>
  </si>
  <si>
    <t>Hot holding table: ≥63 °C; GN pans; water/elements; lids.</t>
  </si>
  <si>
    <r>
      <t>mesa caliente</t>
    </r>
    <r>
      <rPr>
        <sz val="11"/>
        <color rgb="FF0033CC"/>
        <rFont val="Calibri"/>
        <family val="2"/>
        <scheme val="minor"/>
      </rPr>
      <t xml:space="preserve">; </t>
    </r>
    <r>
      <rPr>
        <b/>
        <sz val="11"/>
        <color rgb="FF0033CC"/>
        <rFont val="Calibri"/>
        <family val="2"/>
        <scheme val="minor"/>
      </rPr>
      <t>baño maría de servicio</t>
    </r>
  </si>
  <si>
    <t>Mesa caliente: ≥63 °C; cubetas GN; agua/resistencias; tapas.</t>
  </si>
  <si>
    <t>Lignes, postes, supports, structures.</t>
  </si>
  <si>
    <t>Build lines, stations, fixtures, structures.</t>
  </si>
  <si>
    <r>
      <t>construir</t>
    </r>
    <r>
      <rPr>
        <sz val="11"/>
        <color theme="5" tint="-0.499984740745262"/>
        <rFont val="Calibri"/>
        <family val="2"/>
        <scheme val="minor"/>
      </rPr>
      <t>; montar</t>
    </r>
  </si>
  <si>
    <t>Construir líneas, puestos, soportes y estructuras.</t>
  </si>
  <si>
    <t>table de travail</t>
  </si>
  <si>
    <t>Table de travail : inox; rebord/estante; ruedas opc.; dimensiones/carga.</t>
  </si>
  <si>
    <t>work table; prep table (stainless)</t>
  </si>
  <si>
    <t>Work/prep table: stainless; backsplash/undershelf; casters opt.; size/load.</t>
  </si>
  <si>
    <r>
      <t>mesa de trabajo</t>
    </r>
    <r>
      <rPr>
        <sz val="11"/>
        <color rgb="FF0033CC"/>
        <rFont val="Calibri"/>
        <family val="2"/>
        <scheme val="minor"/>
      </rPr>
      <t xml:space="preserve">; </t>
    </r>
    <r>
      <rPr>
        <b/>
        <sz val="11"/>
        <color rgb="FF0033CC"/>
        <rFont val="Calibri"/>
        <family val="2"/>
        <scheme val="minor"/>
      </rPr>
      <t>mesa de preparación (inox)</t>
    </r>
  </si>
  <si>
    <t>Mesa de trabajo: inox; peto/estante; ruedas opc.; tamaño/carga.</t>
  </si>
  <si>
    <t>Qualité, conformité, T°, poids, étiquettes.</t>
  </si>
  <si>
    <t>check; inspect; audit</t>
  </si>
  <si>
    <t>Check quality, compliance, temp, weight, labels.</t>
  </si>
  <si>
    <r>
      <t>controlar</t>
    </r>
    <r>
      <rPr>
        <sz val="11"/>
        <color theme="5" tint="-0.499984740745262"/>
        <rFont val="Calibri"/>
        <family val="2"/>
        <scheme val="minor"/>
      </rPr>
      <t>; verificar</t>
    </r>
  </si>
  <si>
    <t>Verificar calidad, conformidad, T°, peso y etiquetas.</t>
  </si>
  <si>
    <t>thermoscelleuse (barquettes)</t>
  </si>
  <si>
    <t>Thermoscelleuse : film PP/PET/alu; moldes; vacío/ATM; T°/tiempo/presión; lot/DLC.</t>
  </si>
  <si>
    <t>tray sealer; heat sealer; lidding machine</t>
  </si>
  <si>
    <t>Tray sealer: PP/PET/alu film; dies; vacuum/MAP; T°/time/pressure; lot/UBD.</t>
  </si>
  <si>
    <t>termoselladora (de barquetas)</t>
  </si>
  <si>
    <t>Termoselladora: film PP/PET/alu; moldes; vacío/ATM; T°/tiempo/presión; lote/caducidad.</t>
  </si>
  <si>
    <t>Nouvelle recette, visuel, procédure.</t>
  </si>
  <si>
    <t>create; develop</t>
  </si>
  <si>
    <t>Create a new recipe, visual, procedure.</t>
  </si>
  <si>
    <r>
      <t>crear</t>
    </r>
    <r>
      <rPr>
        <sz val="11"/>
        <color theme="5" tint="-0.499984740745262"/>
        <rFont val="Calibri"/>
        <family val="2"/>
        <scheme val="minor"/>
      </rPr>
      <t>; desarrollar</t>
    </r>
  </si>
  <si>
    <t>Crear una nueva receta, visual, procedimiento.</t>
  </si>
  <si>
    <r>
      <t xml:space="preserve">Réf. conseillée : Grossmann &amp; Le Franc, </t>
    </r>
    <r>
      <rPr>
        <b/>
        <i/>
        <sz val="12"/>
        <color theme="1"/>
        <rFont val="Calibri"/>
        <family val="2"/>
        <scheme val="minor"/>
      </rPr>
      <t>La cuisine de collectivité</t>
    </r>
    <r>
      <rPr>
        <b/>
        <sz val="12"/>
        <color theme="1"/>
        <rFont val="Calibri"/>
        <family val="2"/>
        <scheme val="minor"/>
      </rPr>
      <t>, BPI, 2006</t>
    </r>
  </si>
  <si>
    <r>
      <t xml:space="preserve">Suggested ref.: Grossmann &amp; Le Franc, </t>
    </r>
    <r>
      <rPr>
        <i/>
        <sz val="11"/>
        <color theme="1"/>
        <rFont val="Calibri"/>
        <family val="2"/>
        <scheme val="minor"/>
      </rPr>
      <t>La cuisine de collectivité</t>
    </r>
    <r>
      <rPr>
        <sz val="11"/>
        <color theme="1"/>
        <rFont val="Calibri"/>
        <family val="2"/>
        <scheme val="minor"/>
      </rPr>
      <t>, BPI, 2006</t>
    </r>
  </si>
  <si>
    <r>
      <t xml:space="preserve">Referencia sugerida: Grossmann &amp; Le Franc, </t>
    </r>
    <r>
      <rPr>
        <i/>
        <sz val="11"/>
        <color theme="1"/>
        <rFont val="Calibri"/>
        <family val="2"/>
        <scheme val="minor"/>
      </rPr>
      <t>La cuisine de colectividades</t>
    </r>
    <r>
      <rPr>
        <sz val="11"/>
        <color theme="1"/>
        <rFont val="Calibri"/>
        <family val="2"/>
        <scheme val="minor"/>
      </rPr>
      <t>, BPI, 2006</t>
    </r>
  </si>
  <si>
    <t>trancheur (charcuterie)</t>
  </si>
  <si>
    <t>Trancheur : Ø cuchilla, espesor, afilador, seguridad; fácil limpieza.</t>
  </si>
  <si>
    <t>slicer; deli meat slicer</t>
  </si>
  <si>
    <t>Slicer: blade Ø, thickness, sharpener, safety; easy cleaning.</t>
  </si>
  <si>
    <r>
      <t>cortadora de fiambre</t>
    </r>
    <r>
      <rPr>
        <sz val="11"/>
        <color rgb="FF0033CC"/>
        <rFont val="Calibri"/>
        <family val="2"/>
        <scheme val="minor"/>
      </rPr>
      <t xml:space="preserve">; </t>
    </r>
    <r>
      <rPr>
        <b/>
        <sz val="11"/>
        <color rgb="FF0033CC"/>
        <rFont val="Calibri"/>
        <family val="2"/>
        <scheme val="minor"/>
      </rPr>
      <t>rebanadora</t>
    </r>
  </si>
  <si>
    <t>Cortadora: Ø de hoja, grosor, afilador, seguridad; limpieza fácil.</t>
  </si>
  <si>
    <t>Répartir décisions/ressources sur le terrain (sites/équipes), moins de dépendance au siège.</t>
  </si>
  <si>
    <t>decentralize; devolve</t>
  </si>
  <si>
    <t>Decentralize decisions/resources to the field (sites/teams), reducing HQ dependency.</t>
  </si>
  <si>
    <r>
      <t>descentralizar</t>
    </r>
    <r>
      <rPr>
        <sz val="11"/>
        <color theme="5" tint="-0.499984740745262"/>
        <rFont val="Calibri"/>
        <family val="2"/>
        <scheme val="minor"/>
      </rPr>
      <t>; delegar competencias</t>
    </r>
  </si>
  <si>
    <t>Descentralizar decisiones/recursos al terreno (sitios/equipos), reduciendo la dependencia de la central.</t>
  </si>
  <si>
    <t>reception / controles</t>
  </si>
  <si>
    <t>Réceptionner/Contrôler</t>
  </si>
  <si>
    <t>Rédiger une preuve/fiche (procédure, contrôle, incident) pour traçabilité et audits.</t>
  </si>
  <si>
    <t>document; write up; record</t>
  </si>
  <si>
    <t>Document evidence/record (procedure, check, incident) for traceability and audits.</t>
  </si>
  <si>
    <r>
      <t>documentar</t>
    </r>
    <r>
      <rPr>
        <sz val="11"/>
        <color theme="5" tint="-0.499984740745262"/>
        <rFont val="Calibri"/>
        <family val="2"/>
        <scheme val="minor"/>
      </rPr>
      <t>; registrar</t>
    </r>
  </si>
  <si>
    <t>Documentar una prueba/ficha (procedimiento, control, incidente) para trazabilidad y auditorías.</t>
  </si>
  <si>
    <t>reconditionnement</t>
  </si>
  <si>
    <t>Écouler un stock (fin de série/DLC courte) ou évacuer un liquide.</t>
  </si>
  <si>
    <t>sell off; dispose of; drain</t>
  </si>
  <si>
    <t>Sell off a stock (end of line/short shelf life) or drain a liquid.</t>
  </si>
  <si>
    <r>
      <t>liquidar</t>
    </r>
    <r>
      <rPr>
        <sz val="11"/>
        <color theme="5" tint="-0.499984740745262"/>
        <rFont val="Calibri"/>
        <family val="2"/>
        <scheme val="minor"/>
      </rPr>
      <t xml:space="preserve">; </t>
    </r>
    <r>
      <rPr>
        <b/>
        <sz val="11"/>
        <color theme="5" tint="-0.499984740745262"/>
        <rFont val="Calibri"/>
        <family val="2"/>
        <scheme val="minor"/>
      </rPr>
      <t>dar salida</t>
    </r>
    <r>
      <rPr>
        <sz val="11"/>
        <color theme="5" tint="-0.499984740745262"/>
        <rFont val="Calibri"/>
        <family val="2"/>
        <scheme val="minor"/>
      </rPr>
      <t>; drenar</t>
    </r>
  </si>
  <si>
    <t>Liquidar un stock (fin de serie/caducidad corta) o drenar un líquido.</t>
  </si>
  <si>
    <t>refroidissement</t>
  </si>
  <si>
    <t>Rédiger recettes, procédures, comptes rendus, e-mails.</t>
  </si>
  <si>
    <t>write; draft</t>
  </si>
  <si>
    <t>Write recipes, procedures, reports, emails.</t>
  </si>
  <si>
    <r>
      <t>escribir</t>
    </r>
    <r>
      <rPr>
        <sz val="11"/>
        <color theme="5" tint="-0.499984740745262"/>
        <rFont val="Calibri"/>
        <family val="2"/>
        <scheme val="minor"/>
      </rPr>
      <t>; redactar</t>
    </r>
  </si>
  <si>
    <t>Redactar recetas, procedimientos, informes y correos.</t>
  </si>
  <si>
    <t>Au sens concret (bâtir) ou figuré (construire un plan).</t>
  </si>
  <si>
    <t>build; erect</t>
  </si>
  <si>
    <t>Build/erect (literal) or build a plan (figurative).</t>
  </si>
  <si>
    <r>
      <t>edificar</t>
    </r>
    <r>
      <rPr>
        <sz val="11"/>
        <color theme="5" tint="-0.499984740745262"/>
        <rFont val="Calibri"/>
        <family val="2"/>
        <scheme val="minor"/>
      </rPr>
      <t>; construir</t>
    </r>
  </si>
  <si>
    <t>Edificar/construir (literal) o construir un plan (figurado).</t>
  </si>
  <si>
    <t>remise en t°</t>
  </si>
  <si>
    <t>Remettre En T°</t>
  </si>
  <si>
    <t>Réaliser une tâche/mesure/test selon consigne.</t>
  </si>
  <si>
    <t>carry out; perform</t>
  </si>
  <si>
    <t>Carry out a task/measurement/test as instructed.</t>
  </si>
  <si>
    <r>
      <t>efectuar</t>
    </r>
    <r>
      <rPr>
        <sz val="11"/>
        <color theme="5" tint="-0.499984740745262"/>
        <rFont val="Calibri"/>
        <family val="2"/>
        <scheme val="minor"/>
      </rPr>
      <t>; realizar</t>
    </r>
  </si>
  <si>
    <t>Efectuar una tarea/medición/prueba según la consigna.</t>
  </si>
  <si>
    <t>Créer/mettre au point une recette, un protocole.</t>
  </si>
  <si>
    <t>develop; formulate</t>
  </si>
  <si>
    <t>Develop/refine a recipe or protocol.</t>
  </si>
  <si>
    <r>
      <t>elaborar</t>
    </r>
    <r>
      <rPr>
        <sz val="11"/>
        <color theme="5" tint="-0.499984740745262"/>
        <rFont val="Calibri"/>
        <family val="2"/>
        <scheme val="minor"/>
      </rPr>
      <t>; formular</t>
    </r>
  </si>
  <si>
    <t>Elaborar/poner a punto una receta o un protocolo.</t>
  </si>
  <si>
    <t>Employer un outil/un ingrédient/une méthode.</t>
  </si>
  <si>
    <t>use; employ</t>
  </si>
  <si>
    <t>Use/employ a tool/ingredient/method.</t>
  </si>
  <si>
    <r>
      <t>usar</t>
    </r>
    <r>
      <rPr>
        <sz val="11"/>
        <color theme="5" tint="-0.499984740745262"/>
        <rFont val="Calibri"/>
        <family val="2"/>
        <scheme val="minor"/>
      </rPr>
      <t>; emplear</t>
    </r>
  </si>
  <si>
    <t>Usar/emplear una herramienta/ingrediente/método.</t>
  </si>
  <si>
    <t>Traçabilité, températures, lots ; sauvegarder un fichier.</t>
  </si>
  <si>
    <t>record; register; save</t>
  </si>
  <si>
    <t>Record traceability/temps/batches; save a file.</t>
  </si>
  <si>
    <r>
      <t>registrar</t>
    </r>
    <r>
      <rPr>
        <sz val="11"/>
        <color theme="5" tint="-0.499984740745262"/>
        <rFont val="Calibri"/>
        <family val="2"/>
        <scheme val="minor"/>
      </rPr>
      <t xml:space="preserve">; </t>
    </r>
    <r>
      <rPr>
        <b/>
        <sz val="11"/>
        <color theme="5" tint="-0.499984740745262"/>
        <rFont val="Calibri"/>
        <family val="2"/>
        <scheme val="minor"/>
      </rPr>
      <t>guardar</t>
    </r>
    <r>
      <rPr>
        <sz val="11"/>
        <color theme="5" tint="-0.499984740745262"/>
        <rFont val="Calibri"/>
        <family val="2"/>
        <scheme val="minor"/>
      </rPr>
      <t xml:space="preserve"> (archivo)</t>
    </r>
  </si>
  <si>
    <t>Registrar trazabilidad/temperaturas/lotes; guardar un archivo.</t>
  </si>
  <si>
    <t>Nettoyage, graissage, petites réparations préventives.</t>
  </si>
  <si>
    <t>maintain; service; upkeep</t>
  </si>
  <si>
    <t>Maintenance: cleaning, lubrication, minor preventive fixes.</t>
  </si>
  <si>
    <r>
      <t>mantener</t>
    </r>
    <r>
      <rPr>
        <sz val="11"/>
        <color theme="5" tint="-0.499984740745262"/>
        <rFont val="Calibri"/>
        <family val="2"/>
        <scheme val="minor"/>
      </rPr>
      <t>; dar mantenimiento</t>
    </r>
  </si>
  <si>
    <t>Mantenimiento: limpieza, engrase, pequeñas reparaciones preventivas.</t>
  </si>
  <si>
    <t>Envoi d’échantillons, de documents, expéditions.</t>
  </si>
  <si>
    <t>send; dispatch</t>
  </si>
  <si>
    <t>Send samples/documents/shipments.</t>
  </si>
  <si>
    <r>
      <t>enviar</t>
    </r>
    <r>
      <rPr>
        <sz val="11"/>
        <color theme="5" tint="-0.499984740745262"/>
        <rFont val="Calibri"/>
        <family val="2"/>
        <scheme val="minor"/>
      </rPr>
      <t>; despachar</t>
    </r>
  </si>
  <si>
    <t>Enviar muestras/documentos/expediciones.</t>
  </si>
  <si>
    <t>Retourner Vers Conditionnement</t>
  </si>
  <si>
    <t>Monter une structure/étagère/auvent (sens concret).</t>
  </si>
  <si>
    <t>erect; set up</t>
  </si>
  <si>
    <t>Erect a structure/shelf/awning (literal).</t>
  </si>
  <si>
    <r>
      <t>erigir</t>
    </r>
    <r>
      <rPr>
        <sz val="11"/>
        <color theme="5" tint="-0.499984740745262"/>
        <rFont val="Calibri"/>
        <family val="2"/>
        <scheme val="minor"/>
      </rPr>
      <t>; levantar</t>
    </r>
  </si>
  <si>
    <t>Levantar/instalar una estructura/estantería/marquesina.</t>
  </si>
  <si>
    <t>Établir une norme/un planning/un rapport.</t>
  </si>
  <si>
    <t>establish; set up; draw up</t>
  </si>
  <si>
    <t>Establish a standard/schedule/report.</t>
  </si>
  <si>
    <r>
      <t>establecer</t>
    </r>
    <r>
      <rPr>
        <sz val="11"/>
        <color theme="5" tint="-0.499984740745262"/>
        <rFont val="Calibri"/>
        <family val="2"/>
        <scheme val="minor"/>
      </rPr>
      <t xml:space="preserve">; </t>
    </r>
    <r>
      <rPr>
        <b/>
        <sz val="11"/>
        <color theme="5" tint="-0.499984740745262"/>
        <rFont val="Calibri"/>
        <family val="2"/>
        <scheme val="minor"/>
      </rPr>
      <t>redactar</t>
    </r>
  </si>
  <si>
    <t>Establecer una norma/un planning/un informe.</t>
  </si>
  <si>
    <t>sondage cuisson</t>
  </si>
  <si>
    <t>Étendre une pâte/étendre un plan d’action/déployer un outil.</t>
  </si>
  <si>
    <t>extend; spread; roll out</t>
  </si>
  <si>
    <t>Roll out dough / roll out an action plan / deploy a tool.</t>
  </si>
  <si>
    <r>
      <t>extender</t>
    </r>
    <r>
      <rPr>
        <sz val="11"/>
        <color theme="5" tint="-0.499984740745262"/>
        <rFont val="Calibri"/>
        <family val="2"/>
        <scheme val="minor"/>
      </rPr>
      <t>; desplegar</t>
    </r>
  </si>
  <si>
    <t>Estirar una masa / desplegar un plan de acción / implantar una herramienta.</t>
  </si>
  <si>
    <t>sondage de temperature</t>
  </si>
  <si>
    <t>Contrôle visuel/qualité, revue de documents.</t>
  </si>
  <si>
    <t>examine; inspect</t>
  </si>
  <si>
    <t>Visual/quality inspection; document review.</t>
  </si>
  <si>
    <r>
      <t>examinar</t>
    </r>
    <r>
      <rPr>
        <sz val="11"/>
        <color theme="5" tint="-0.499984740745262"/>
        <rFont val="Calibri"/>
        <family val="2"/>
        <scheme val="minor"/>
      </rPr>
      <t>; inspeccionar</t>
    </r>
  </si>
  <si>
    <t>Inspección visual/de calidad; revisión de documentos.</t>
  </si>
  <si>
    <t>Exécuter une commande/processus/plan.</t>
  </si>
  <si>
    <t>execute; run</t>
  </si>
  <si>
    <t>Execute an order/process/plan.</t>
  </si>
  <si>
    <r>
      <t>ejecutar</t>
    </r>
    <r>
      <rPr>
        <sz val="11"/>
        <color theme="5" tint="-0.499984740745262"/>
        <rFont val="Calibri"/>
        <family val="2"/>
        <scheme val="minor"/>
      </rPr>
      <t>; correr (proceso)</t>
    </r>
  </si>
  <si>
    <t>Ejecutar un pedido/proceso/plan.</t>
  </si>
  <si>
    <t>Stocker</t>
  </si>
  <si>
    <t>Exploiter une ligne/une donnée, tirer parti d’un outil.</t>
  </si>
  <si>
    <t>operate; leverage; exploit</t>
  </si>
  <si>
    <t>Operate a line / leverage data / make use of a tool.</t>
  </si>
  <si>
    <r>
      <t>operar</t>
    </r>
    <r>
      <rPr>
        <sz val="11"/>
        <color theme="5" tint="-0.499984740745262"/>
        <rFont val="Calibri"/>
        <family val="2"/>
        <scheme val="minor"/>
      </rPr>
      <t xml:space="preserve">; </t>
    </r>
    <r>
      <rPr>
        <b/>
        <sz val="11"/>
        <color theme="5" tint="-0.499984740745262"/>
        <rFont val="Calibri"/>
        <family val="2"/>
        <scheme val="minor"/>
      </rPr>
      <t>aprovechar</t>
    </r>
  </si>
  <si>
    <t>Operar una línea / aprovechar datos / sacar partido a una herramienta.</t>
  </si>
  <si>
    <t>stockage . d'attente</t>
  </si>
  <si>
    <t>Générer un rapport, un code-barres, un lot, des alertes, des déchets (by-product).</t>
  </si>
  <si>
    <t>generate; produce</t>
  </si>
  <si>
    <t>Generate a report, a barcode, a batch, alerts, and waste/by-products.</t>
  </si>
  <si>
    <r>
      <t>generar</t>
    </r>
    <r>
      <rPr>
        <i/>
        <sz val="11"/>
        <color theme="5" tint="-0.499984740745262"/>
        <rFont val="Calibri"/>
        <family val="2"/>
        <scheme val="minor"/>
      </rPr>
      <t>; producir</t>
    </r>
  </si>
  <si>
    <t>Generar un informe, un código de barras, un lote, alertas y residuos/subproductos.</t>
  </si>
  <si>
    <t>Gérer stocks/équipes/planning/incidents : prioriser, affecter, suivre, corriger.</t>
  </si>
  <si>
    <t>manage; handle; administer</t>
  </si>
  <si>
    <t>Manage inventory/teams/schedule/incidents: prioritize, assign, track, correct.</t>
  </si>
  <si>
    <r>
      <t>gestionar</t>
    </r>
    <r>
      <rPr>
        <sz val="11"/>
        <color theme="5" tint="-0.499984740745262"/>
        <rFont val="Calibri"/>
        <family val="2"/>
        <scheme val="minor"/>
      </rPr>
      <t>; manejar; administrar</t>
    </r>
  </si>
  <si>
    <t>Gestionar stock/equipos/planificación/incidencias: priorizar, asignar, seguir, corregir.</t>
  </si>
  <si>
    <t>Repérer un besoin, une non-conformité, une cause racine, un lot.</t>
  </si>
  <si>
    <t>identify; pinpoint</t>
  </si>
  <si>
    <t>Identify a need, a non-conformity, a root cause, a batch.</t>
  </si>
  <si>
    <r>
      <t>identificar</t>
    </r>
    <r>
      <rPr>
        <sz val="11"/>
        <color theme="5" tint="-0.499984740745262"/>
        <rFont val="Calibri"/>
        <family val="2"/>
        <scheme val="minor"/>
      </rPr>
      <t>; localizar</t>
    </r>
  </si>
  <si>
    <t>Identificar una necesidad, una no conformidad, una causa raíz, un lote.</t>
  </si>
  <si>
    <t>Transporter En Bacs Inox</t>
  </si>
  <si>
    <t>Idéation recette/process/visuel; brainstorming d’améliorations.</t>
  </si>
  <si>
    <t>imagine; conceive</t>
  </si>
  <si>
    <t>Ideation for recipe/process/visual; brainstorming improvements.</t>
  </si>
  <si>
    <r>
      <t>imaginar</t>
    </r>
    <r>
      <rPr>
        <sz val="11"/>
        <color theme="5" tint="-0.499984740745262"/>
        <rFont val="Calibri"/>
        <family val="2"/>
        <scheme val="minor"/>
      </rPr>
      <t>; concebir</t>
    </r>
  </si>
  <si>
    <t>Ideación de receta/proceso/visual; lluvia de ideas de mejoras.</t>
  </si>
  <si>
    <t>Inscrire en registre/logiciel : lots, T°, actions, participants.</t>
  </si>
  <si>
    <t>register; enter; write down</t>
  </si>
  <si>
    <t>Enter in the log/software: batches, temps, actions, participants.</t>
  </si>
  <si>
    <r>
      <t>inscribir</t>
    </r>
    <r>
      <rPr>
        <sz val="11"/>
        <color theme="5" tint="-0.499984740745262"/>
        <rFont val="Calibri"/>
        <family val="2"/>
        <scheme val="minor"/>
      </rPr>
      <t>; registrar; apuntar</t>
    </r>
  </si>
  <si>
    <t>Inscribir en registro/software: lotes, T°, acciones, participantes.</t>
  </si>
  <si>
    <t>Insérer un bac, un document, un step dans un planning/ligne.</t>
  </si>
  <si>
    <t>insert; slot in</t>
  </si>
  <si>
    <t>Insert a bin, a document, or a step into a schedule/line.</t>
  </si>
  <si>
    <r>
      <t>insertar</t>
    </r>
    <r>
      <rPr>
        <sz val="11"/>
        <color theme="5" tint="-0.499984740745262"/>
        <rFont val="Calibri"/>
        <family val="2"/>
        <scheme val="minor"/>
      </rPr>
      <t>; introducir</t>
    </r>
  </si>
  <si>
    <t>Insertar una cubeta, un documento o una etapa en un planning/línea.</t>
  </si>
  <si>
    <t>Monter un équipement/poste; paramétrer logiciel/sonde.</t>
  </si>
  <si>
    <t>install; set up</t>
  </si>
  <si>
    <t>Install equipment/station; configure software/probe.</t>
  </si>
  <si>
    <r>
      <t>instalar</t>
    </r>
    <r>
      <rPr>
        <sz val="11"/>
        <color theme="5" tint="-0.499984740745262"/>
        <rFont val="Calibri"/>
        <family val="2"/>
        <scheme val="minor"/>
      </rPr>
      <t>; montar</t>
    </r>
  </si>
  <si>
    <t>Instalar equipo/puesto; configurar software/sonda.</t>
  </si>
  <si>
    <t>Créer une nouvelle recette/méthode/outillage.</t>
  </si>
  <si>
    <t>invent; devise</t>
  </si>
  <si>
    <t>Invent a new recipe/method/tooling.</t>
  </si>
  <si>
    <r>
      <t>inventar</t>
    </r>
    <r>
      <rPr>
        <sz val="11"/>
        <color theme="5" tint="-0.499984740745262"/>
        <rFont val="Calibri"/>
        <family val="2"/>
        <scheme val="minor"/>
      </rPr>
      <t>; idear</t>
    </r>
  </si>
  <si>
    <t>Inventar una nueva receta/método/herramental.</t>
  </si>
  <si>
    <t>Comptage physique, rapprochement stocks/FIFO/FEFO.</t>
  </si>
  <si>
    <t>take inventory; inventory</t>
  </si>
  <si>
    <t>Physical counts; reconcile inventory; FIFO/FEFO.</t>
  </si>
  <si>
    <r>
      <t>inventariar</t>
    </r>
    <r>
      <rPr>
        <sz val="11"/>
        <color theme="5" tint="-0.499984740745262"/>
        <rFont val="Calibri"/>
        <family val="2"/>
        <scheme val="minor"/>
      </rPr>
      <t>; hacer inventario</t>
    </r>
  </si>
  <si>
    <t>Conteo físico; conciliación de inventario; FIFO/FEFO.</t>
  </si>
  <si>
    <t>Repérer précisément un poste, un équipement, un lot/colis (étiquette, emplacement), une panne ou une non-conformité sur la ligne/plan. Utiliser références d’emplacement (rangée/étagère/niveau) ou coordonnées (QR/RFID).</t>
  </si>
  <si>
    <t>locate; pinpoint; geolocate</t>
  </si>
  <si>
    <t>Precisely locate a workstation, equipment, a batch/parcel (label, location), a fault or a non-conformity on the line/layout. Use location references (row/shelf/level) or coordinates (QR/RFID).</t>
  </si>
  <si>
    <r>
      <t>localizar</t>
    </r>
    <r>
      <rPr>
        <sz val="11"/>
        <color theme="5" tint="-0.499984740745262"/>
        <rFont val="Calibri"/>
        <family val="2"/>
        <scheme val="minor"/>
      </rPr>
      <t>; ubicar; geolocalizar</t>
    </r>
  </si>
  <si>
    <t>Localizar con precisión un puesto, un equipo, un lote/paquete (etiqueta, ubicación), una avería o una no conformidad en la línea/plano. Usar referencias de ubicación (fila/estante/nivel) o coordenadas (QR/RFID).</t>
  </si>
  <si>
    <t>Chariot/engin/machine; déplacements en zone étroite, règles de sécurité et signaux.</t>
  </si>
  <si>
    <t>maneuver; operate; steer</t>
  </si>
  <si>
    <t>Trolley/vehicle/machine; moves in tight areas, safety rules and signals.</t>
  </si>
  <si>
    <r>
      <t>maniobrar</t>
    </r>
    <r>
      <rPr>
        <sz val="11"/>
        <color theme="5" tint="-0.499984740745262"/>
        <rFont val="Calibri"/>
        <family val="2"/>
        <scheme val="minor"/>
      </rPr>
      <t>; operar; conducir</t>
    </r>
  </si>
  <si>
    <t>Carro/vehículo/máquina; desplazamientos en zonas estrechas, normas y señales de seguridad.</t>
  </si>
  <si>
    <r>
      <t xml:space="preserve">Verbe générique → préférer précis : </t>
    </r>
    <r>
      <rPr>
        <i/>
        <sz val="11"/>
        <color theme="5" tint="-0.499984740745262"/>
        <rFont val="Calibri"/>
        <family val="2"/>
        <scheme val="minor"/>
      </rPr>
      <t>mettre en marche</t>
    </r>
    <r>
      <rPr>
        <sz val="11"/>
        <color theme="5" tint="-0.499984740745262"/>
        <rFont val="Calibri"/>
        <family val="2"/>
        <scheme val="minor"/>
      </rPr>
      <t xml:space="preserve"> = </t>
    </r>
    <r>
      <rPr>
        <b/>
        <sz val="11"/>
        <color theme="5" tint="-0.499984740745262"/>
        <rFont val="Calibri"/>
        <family val="2"/>
        <scheme val="minor"/>
      </rPr>
      <t>start/turn on</t>
    </r>
    <r>
      <rPr>
        <sz val="11"/>
        <color theme="5" tint="-0.499984740745262"/>
        <rFont val="Calibri"/>
        <family val="2"/>
        <scheme val="minor"/>
      </rPr>
      <t xml:space="preserve"> (ES: </t>
    </r>
    <r>
      <rPr>
        <b/>
        <sz val="11"/>
        <color theme="5" tint="-0.499984740745262"/>
        <rFont val="Calibri"/>
        <family val="2"/>
        <scheme val="minor"/>
      </rPr>
      <t>encender</t>
    </r>
    <r>
      <rPr>
        <sz val="11"/>
        <color theme="5" tint="-0.499984740745262"/>
        <rFont val="Calibri"/>
        <family val="2"/>
        <scheme val="minor"/>
      </rPr>
      <t xml:space="preserve">), </t>
    </r>
    <r>
      <rPr>
        <i/>
        <sz val="11"/>
        <color theme="5" tint="-0.499984740745262"/>
        <rFont val="Calibri"/>
        <family val="2"/>
        <scheme val="minor"/>
      </rPr>
      <t>mettre en bac</t>
    </r>
    <r>
      <rPr>
        <sz val="11"/>
        <color theme="5" tint="-0.499984740745262"/>
        <rFont val="Calibri"/>
        <family val="2"/>
        <scheme val="minor"/>
      </rPr>
      <t xml:space="preserve"> = </t>
    </r>
    <r>
      <rPr>
        <b/>
        <sz val="11"/>
        <color theme="5" tint="-0.499984740745262"/>
        <rFont val="Calibri"/>
        <family val="2"/>
        <scheme val="minor"/>
      </rPr>
      <t>tray up</t>
    </r>
    <r>
      <rPr>
        <sz val="11"/>
        <color theme="5" tint="-0.499984740745262"/>
        <rFont val="Calibri"/>
        <family val="2"/>
        <scheme val="minor"/>
      </rPr>
      <t xml:space="preserve"> (ES: </t>
    </r>
    <r>
      <rPr>
        <b/>
        <sz val="11"/>
        <color theme="5" tint="-0.499984740745262"/>
        <rFont val="Calibri"/>
        <family val="2"/>
        <scheme val="minor"/>
      </rPr>
      <t>poner en cubeta</t>
    </r>
    <r>
      <rPr>
        <sz val="11"/>
        <color theme="5" tint="-0.499984740745262"/>
        <rFont val="Calibri"/>
        <family val="2"/>
        <scheme val="minor"/>
      </rPr>
      <t xml:space="preserve">), </t>
    </r>
    <r>
      <rPr>
        <i/>
        <sz val="11"/>
        <color theme="5" tint="-0.499984740745262"/>
        <rFont val="Calibri"/>
        <family val="2"/>
        <scheme val="minor"/>
      </rPr>
      <t>mettre à jour</t>
    </r>
    <r>
      <rPr>
        <sz val="11"/>
        <color theme="5" tint="-0.499984740745262"/>
        <rFont val="Calibri"/>
        <family val="2"/>
        <scheme val="minor"/>
      </rPr>
      <t xml:space="preserve"> = </t>
    </r>
    <r>
      <rPr>
        <b/>
        <sz val="11"/>
        <color theme="5" tint="-0.499984740745262"/>
        <rFont val="Calibri"/>
        <family val="2"/>
        <scheme val="minor"/>
      </rPr>
      <t>update</t>
    </r>
    <r>
      <rPr>
        <sz val="11"/>
        <color theme="5" tint="-0.499984740745262"/>
        <rFont val="Calibri"/>
        <family val="2"/>
        <scheme val="minor"/>
      </rPr>
      <t xml:space="preserve"> (ES: </t>
    </r>
    <r>
      <rPr>
        <b/>
        <sz val="11"/>
        <color theme="5" tint="-0.499984740745262"/>
        <rFont val="Calibri"/>
        <family val="2"/>
        <scheme val="minor"/>
      </rPr>
      <t>actualizar</t>
    </r>
    <r>
      <rPr>
        <sz val="11"/>
        <color theme="5" tint="-0.499984740745262"/>
        <rFont val="Calibri"/>
        <family val="2"/>
        <scheme val="minor"/>
      </rPr>
      <t>).</t>
    </r>
  </si>
  <si>
    <t>put; place; set</t>
  </si>
  <si>
    <r>
      <t xml:space="preserve">Generic verb → prefer precise terms: </t>
    </r>
    <r>
      <rPr>
        <b/>
        <sz val="11"/>
        <color theme="5" tint="-0.499984740745262"/>
        <rFont val="Calibri"/>
        <family val="2"/>
        <scheme val="minor"/>
      </rPr>
      <t>mettre en marche</t>
    </r>
    <r>
      <rPr>
        <sz val="11"/>
        <color theme="5" tint="-0.499984740745262"/>
        <rFont val="Calibri"/>
        <family val="2"/>
        <scheme val="minor"/>
      </rPr>
      <t xml:space="preserve"> = </t>
    </r>
    <r>
      <rPr>
        <b/>
        <sz val="11"/>
        <color theme="5" tint="-0.499984740745262"/>
        <rFont val="Calibri"/>
        <family val="2"/>
        <scheme val="minor"/>
      </rPr>
      <t>start/turn on</t>
    </r>
    <r>
      <rPr>
        <sz val="11"/>
        <color theme="5" tint="-0.499984740745262"/>
        <rFont val="Calibri"/>
        <family val="2"/>
        <scheme val="minor"/>
      </rPr>
      <t xml:space="preserve">; </t>
    </r>
    <r>
      <rPr>
        <b/>
        <sz val="11"/>
        <color theme="5" tint="-0.499984740745262"/>
        <rFont val="Calibri"/>
        <family val="2"/>
        <scheme val="minor"/>
      </rPr>
      <t>mettre en bac</t>
    </r>
    <r>
      <rPr>
        <sz val="11"/>
        <color theme="5" tint="-0.499984740745262"/>
        <rFont val="Calibri"/>
        <family val="2"/>
        <scheme val="minor"/>
      </rPr>
      <t xml:space="preserve"> = </t>
    </r>
    <r>
      <rPr>
        <b/>
        <sz val="11"/>
        <color theme="5" tint="-0.499984740745262"/>
        <rFont val="Calibri"/>
        <family val="2"/>
        <scheme val="minor"/>
      </rPr>
      <t>tray up</t>
    </r>
    <r>
      <rPr>
        <sz val="11"/>
        <color theme="5" tint="-0.499984740745262"/>
        <rFont val="Calibri"/>
        <family val="2"/>
        <scheme val="minor"/>
      </rPr>
      <t xml:space="preserve">; </t>
    </r>
    <r>
      <rPr>
        <b/>
        <sz val="11"/>
        <color theme="5" tint="-0.499984740745262"/>
        <rFont val="Calibri"/>
        <family val="2"/>
        <scheme val="minor"/>
      </rPr>
      <t>mettre à jour</t>
    </r>
    <r>
      <rPr>
        <sz val="11"/>
        <color theme="5" tint="-0.499984740745262"/>
        <rFont val="Calibri"/>
        <family val="2"/>
        <scheme val="minor"/>
      </rPr>
      <t xml:space="preserve"> = </t>
    </r>
    <r>
      <rPr>
        <b/>
        <sz val="11"/>
        <color theme="5" tint="-0.499984740745262"/>
        <rFont val="Calibri"/>
        <family val="2"/>
        <scheme val="minor"/>
      </rPr>
      <t>update</t>
    </r>
    <r>
      <rPr>
        <sz val="11"/>
        <color theme="5" tint="-0.499984740745262"/>
        <rFont val="Calibri"/>
        <family val="2"/>
        <scheme val="minor"/>
      </rPr>
      <t>.</t>
    </r>
  </si>
  <si>
    <r>
      <t>poner</t>
    </r>
    <r>
      <rPr>
        <sz val="11"/>
        <color theme="5" tint="-0.499984740745262"/>
        <rFont val="Calibri"/>
        <family val="2"/>
        <scheme val="minor"/>
      </rPr>
      <t>; colocar</t>
    </r>
  </si>
  <si>
    <r>
      <t xml:space="preserve">Verbo genérico → mejor precisos: </t>
    </r>
    <r>
      <rPr>
        <b/>
        <sz val="11"/>
        <color theme="5" tint="-0.499984740745262"/>
        <rFont val="Calibri"/>
        <family val="2"/>
        <scheme val="minor"/>
      </rPr>
      <t>poner en marcha</t>
    </r>
    <r>
      <rPr>
        <sz val="11"/>
        <color theme="5" tint="-0.499984740745262"/>
        <rFont val="Calibri"/>
        <family val="2"/>
        <scheme val="minor"/>
      </rPr>
      <t xml:space="preserve"> = </t>
    </r>
    <r>
      <rPr>
        <b/>
        <sz val="11"/>
        <color theme="5" tint="-0.499984740745262"/>
        <rFont val="Calibri"/>
        <family val="2"/>
        <scheme val="minor"/>
      </rPr>
      <t>encender</t>
    </r>
    <r>
      <rPr>
        <sz val="11"/>
        <color theme="5" tint="-0.499984740745262"/>
        <rFont val="Calibri"/>
        <family val="2"/>
        <scheme val="minor"/>
      </rPr>
      <t xml:space="preserve">; </t>
    </r>
    <r>
      <rPr>
        <b/>
        <sz val="11"/>
        <color theme="5" tint="-0.499984740745262"/>
        <rFont val="Calibri"/>
        <family val="2"/>
        <scheme val="minor"/>
      </rPr>
      <t>poner en cubeta</t>
    </r>
    <r>
      <rPr>
        <sz val="11"/>
        <color theme="5" tint="-0.499984740745262"/>
        <rFont val="Calibri"/>
        <family val="2"/>
        <scheme val="minor"/>
      </rPr>
      <t xml:space="preserve"> = </t>
    </r>
    <r>
      <rPr>
        <b/>
        <sz val="11"/>
        <color theme="5" tint="-0.499984740745262"/>
        <rFont val="Calibri"/>
        <family val="2"/>
        <scheme val="minor"/>
      </rPr>
      <t>tray up / poner en cubeta</t>
    </r>
    <r>
      <rPr>
        <sz val="11"/>
        <color theme="5" tint="-0.499984740745262"/>
        <rFont val="Calibri"/>
        <family val="2"/>
        <scheme val="minor"/>
      </rPr>
      <t xml:space="preserve">; </t>
    </r>
    <r>
      <rPr>
        <b/>
        <sz val="11"/>
        <color theme="5" tint="-0.499984740745262"/>
        <rFont val="Calibri"/>
        <family val="2"/>
        <scheme val="minor"/>
      </rPr>
      <t>poner al día</t>
    </r>
    <r>
      <rPr>
        <sz val="11"/>
        <color theme="5" tint="-0.499984740745262"/>
        <rFont val="Calibri"/>
        <family val="2"/>
        <scheme val="minor"/>
      </rPr>
      <t xml:space="preserve"> = </t>
    </r>
    <r>
      <rPr>
        <b/>
        <sz val="11"/>
        <color theme="5" tint="-0.499984740745262"/>
        <rFont val="Calibri"/>
        <family val="2"/>
        <scheme val="minor"/>
      </rPr>
      <t>actualizar</t>
    </r>
    <r>
      <rPr>
        <sz val="11"/>
        <color theme="5" tint="-0.499984740745262"/>
        <rFont val="Calibri"/>
        <family val="2"/>
        <scheme val="minor"/>
      </rPr>
      <t>.</t>
    </r>
  </si>
  <si>
    <t>Équipements, process, SI; passage à outils digitaux, amélioration ergonomie/sécurité.</t>
  </si>
  <si>
    <t>modernize; upgrade</t>
  </si>
  <si>
    <t>Equipment, processes, IS/IT; move to digital tools, improve ergonomics/safety.</t>
  </si>
  <si>
    <r>
      <t>modernizar</t>
    </r>
    <r>
      <rPr>
        <sz val="11"/>
        <color theme="5" tint="-0.499984740745262"/>
        <rFont val="Calibri"/>
        <family val="2"/>
        <scheme val="minor"/>
      </rPr>
      <t>; actualizar</t>
    </r>
  </si>
  <si>
    <t>Equipos, procesos, SI/IT; pasar a herramientas digitales, mejorar ergonomía/seguridad.</t>
  </si>
  <si>
    <r>
      <t xml:space="preserve">Se déplacer dans un logiciel/ERP, un plan (atelier), ou sur le web/menus machines : </t>
    </r>
    <r>
      <rPr>
        <i/>
        <sz val="11"/>
        <color theme="5" tint="-0.499984740745262"/>
        <rFont val="Calibri"/>
        <family val="2"/>
        <scheme val="minor"/>
      </rPr>
      <t>navigate the menu / navegar por el menú</t>
    </r>
    <r>
      <rPr>
        <sz val="11"/>
        <color theme="5" tint="-0.499984740745262"/>
        <rFont val="Calibri"/>
        <family val="2"/>
        <scheme val="minor"/>
      </rPr>
      <t>.</t>
    </r>
  </si>
  <si>
    <t>navigate; browse</t>
  </si>
  <si>
    <r>
      <t xml:space="preserve">Move through software/ERP, a plant layout, websites, or machine menus: </t>
    </r>
    <r>
      <rPr>
        <b/>
        <sz val="11"/>
        <color theme="5" tint="-0.499984740745262"/>
        <rFont val="Calibri"/>
        <family val="2"/>
        <scheme val="minor"/>
      </rPr>
      <t>navigate the menu</t>
    </r>
    <r>
      <rPr>
        <sz val="11"/>
        <color theme="5" tint="-0.499984740745262"/>
        <rFont val="Calibri"/>
        <family val="2"/>
        <scheme val="minor"/>
      </rPr>
      <t>.</t>
    </r>
  </si>
  <si>
    <r>
      <t>navegar</t>
    </r>
    <r>
      <rPr>
        <sz val="11"/>
        <color theme="5" tint="-0.499984740745262"/>
        <rFont val="Calibri"/>
        <family val="2"/>
        <scheme val="minor"/>
      </rPr>
      <t>; desplazarse</t>
    </r>
  </si>
  <si>
    <r>
      <t xml:space="preserve">Desplazarse por software/ERP, un plano del taller, la web o menús de máquina: </t>
    </r>
    <r>
      <rPr>
        <b/>
        <sz val="11"/>
        <color theme="5" tint="-0.499984740745262"/>
        <rFont val="Calibri"/>
        <family val="2"/>
        <scheme val="minor"/>
      </rPr>
      <t>navegar por el menú</t>
    </r>
    <r>
      <rPr>
        <sz val="11"/>
        <color theme="5" tint="-0.499984740745262"/>
        <rFont val="Calibri"/>
        <family val="2"/>
        <scheme val="minor"/>
      </rPr>
      <t>.</t>
    </r>
  </si>
  <si>
    <t>Améliorer coûts, temps, flux, réglages (OEE, rendement, pertes). Décrire les leviers : 5S, SMED, standard work.</t>
  </si>
  <si>
    <t>optimize; streamline</t>
  </si>
  <si>
    <t>Improve costs, time, flows, settings (OEE, yield, losses). Specify the levers: 5S, SMED, standard work.</t>
  </si>
  <si>
    <r>
      <t>optimizar</t>
    </r>
    <r>
      <rPr>
        <sz val="11"/>
        <color theme="5" tint="-0.499984740745262"/>
        <rFont val="Calibri"/>
        <family val="2"/>
        <scheme val="minor"/>
      </rPr>
      <t>; agilizar</t>
    </r>
  </si>
  <si>
    <r>
      <t xml:space="preserve">Mejorar costos, tiempos, flujos y ajustes (OEE, rendimiento, mermas). Precisar las palancas: 5S, SMED, </t>
    </r>
    <r>
      <rPr>
        <i/>
        <sz val="11"/>
        <color theme="5" tint="-0.499984740745262"/>
        <rFont val="Calibri"/>
        <family val="2"/>
        <scheme val="minor"/>
      </rPr>
      <t>standard work</t>
    </r>
    <r>
      <rPr>
        <sz val="11"/>
        <color theme="5" tint="-0.499984740745262"/>
        <rFont val="Calibri"/>
        <family val="2"/>
        <scheme val="minor"/>
      </rPr>
      <t>.</t>
    </r>
  </si>
  <si>
    <t>Planifier l’ordre des OF/ lots sur lignes/étuves/fours ; gestion des priorités et des capacités.</t>
  </si>
  <si>
    <t>schedule; sequence; dispatch</t>
  </si>
  <si>
    <t>Schedule the sequence of WOs/batches on lines/proofers/ovens; manage priorities and capacities.</t>
  </si>
  <si>
    <r>
      <t>programar</t>
    </r>
    <r>
      <rPr>
        <sz val="11"/>
        <color theme="5" tint="-0.499984740745262"/>
        <rFont val="Calibri"/>
        <family val="2"/>
        <scheme val="minor"/>
      </rPr>
      <t>; secuenciar; despachar</t>
    </r>
  </si>
  <si>
    <t>Programar la secuencia de OF/lotes en líneas/cámaras/ hornos; gestionar prioridades y capacidades.</t>
  </si>
  <si>
    <t>Structurer poste, planning, documents, zones (5S), répartir les rôles et ressources.</t>
  </si>
  <si>
    <t>organize; arrange; set up</t>
  </si>
  <si>
    <t>Organize the workstation, schedule, documents, and zones (5S); allocate roles and resources.</t>
  </si>
  <si>
    <r>
      <t>organizar</t>
    </r>
    <r>
      <rPr>
        <sz val="11"/>
        <color theme="5" tint="-0.499984740745262"/>
        <rFont val="Calibri"/>
        <family val="2"/>
        <scheme val="minor"/>
      </rPr>
      <t>; disponer; montar</t>
    </r>
  </si>
  <si>
    <t>Organizar el puesto, el planning, la documentación y las zonas (5S); asignar roles y recursos.</t>
  </si>
  <si>
    <t>Définir tâches, ressources, capacités, jalons (Gantt, planning de four/étuve, équipes).</t>
  </si>
  <si>
    <t>plan; schedule</t>
  </si>
  <si>
    <t>Define tasks, resources, capacities, milestones (Gantt, oven/proofer schedule, teams).</t>
  </si>
  <si>
    <r>
      <t>planificar</t>
    </r>
    <r>
      <rPr>
        <sz val="11"/>
        <color theme="5" tint="-0.499984740745262"/>
        <rFont val="Calibri"/>
        <family val="2"/>
        <scheme val="minor"/>
      </rPr>
      <t>; programar</t>
    </r>
  </si>
  <si>
    <t>Definir tareas, recursos, capacidades, hitos (Gantt, planning de horno/cámara, equipos).</t>
  </si>
  <si>
    <t>Mise en place, pesées, matériels, documents; préciser check-list/temps.</t>
  </si>
  <si>
    <t>prepare; get ready; set up</t>
  </si>
  <si>
    <t>Mise en place, weighing, equipment, documents; specify checklist/timing.</t>
  </si>
  <si>
    <r>
      <t>preparar</t>
    </r>
    <r>
      <rPr>
        <sz val="11"/>
        <color theme="5" tint="-0.499984740745262"/>
        <rFont val="Calibri"/>
        <family val="2"/>
        <scheme val="minor"/>
      </rPr>
      <t>; alistar</t>
    </r>
  </si>
  <si>
    <r>
      <t>Mise en place</t>
    </r>
    <r>
      <rPr>
        <sz val="11"/>
        <color theme="5" tint="-0.499984740745262"/>
        <rFont val="Calibri"/>
        <family val="2"/>
        <scheme val="minor"/>
      </rPr>
      <t>, pesadas, equipos, documentos; especificar checklist/tiempos.</t>
    </r>
  </si>
  <si>
    <t>Présentation d’un plat/produit/rapport; soigner dressage, visuels, étiquetage.</t>
  </si>
  <si>
    <t>present; showcase; display</t>
  </si>
  <si>
    <t>Presentation of a dish/product/report; refine plating, visuals, labeling.</t>
  </si>
  <si>
    <r>
      <t>presentar</t>
    </r>
    <r>
      <rPr>
        <sz val="11"/>
        <color theme="5" tint="-0.499984740745262"/>
        <rFont val="Calibri"/>
        <family val="2"/>
        <scheme val="minor"/>
      </rPr>
      <t>; exhibir</t>
    </r>
  </si>
  <si>
    <t>Presentación de un plato/producto/informe; cuidar emplatado, visuales, etiquetado.</t>
  </si>
  <si>
    <t>Besoins matières, pics d’activité, risques; prévoir plans B (stock tampon, redondance).</t>
  </si>
  <si>
    <t>anticipate; forecast; plan ahead</t>
  </si>
  <si>
    <t>Material needs, activity peaks, risks; plan contingencies (buffer stock, redundancy).</t>
  </si>
  <si>
    <r>
      <t>prever</t>
    </r>
    <r>
      <rPr>
        <sz val="11"/>
        <color theme="5" tint="-0.499984740745262"/>
        <rFont val="Calibri"/>
        <family val="2"/>
        <scheme val="minor"/>
      </rPr>
      <t>; pronosticar; anticipar</t>
    </r>
  </si>
  <si>
    <t>Necesidades de materiales, picos de actividad, riesgos; prever planes B (stock tampón, redundancia).</t>
  </si>
  <si>
    <t>Fabrication conforme (qualité, traçabilité, rendement); suivre indicateurs (OEE, rebut).</t>
  </si>
  <si>
    <t>produce; manufacture; make</t>
  </si>
  <si>
    <t>Compliant production (quality, traceability, yield); track KPIs (OEE, scrap).</t>
  </si>
  <si>
    <r>
      <t>producir</t>
    </r>
    <r>
      <rPr>
        <sz val="11"/>
        <color theme="5" tint="-0.499984740745262"/>
        <rFont val="Calibri"/>
        <family val="2"/>
        <scheme val="minor"/>
      </rPr>
      <t>; fabricar; elaborar</t>
    </r>
  </si>
  <si>
    <t>Producción conforme (calidad, trazabilidad, rendimiento); seguir KPIs (OEE, merma).</t>
  </si>
  <si>
    <t>Programmer machine/étuve, scripts, créneaux; préciser paramètres (temp., temps, cycle).</t>
  </si>
  <si>
    <t>program; schedule; set up</t>
  </si>
  <si>
    <t>Program a machine/proofer, scripts, time slots; specify parameters (temp, time, cycle).</t>
  </si>
  <si>
    <r>
      <t>programar</t>
    </r>
    <r>
      <rPr>
        <sz val="11"/>
        <color theme="5" tint="-0.499984740745262"/>
        <rFont val="Calibri"/>
        <family val="2"/>
        <scheme val="minor"/>
      </rPr>
      <t>; configurar; calendarizar</t>
    </r>
  </si>
  <si>
    <t>Programar máquina/cámara, scripts, franjas; especificar parámetros (temp., tiempo, ciclo).</t>
  </si>
  <si>
    <t>Refaire une structure/organisation sur des bases nouvelles.</t>
  </si>
  <si>
    <t>rebuild; re-erect</t>
  </si>
  <si>
    <t>Rebuild a structure/organization from the ground up.</t>
  </si>
  <si>
    <r>
      <t>reconstruir</t>
    </r>
    <r>
      <rPr>
        <sz val="11"/>
        <color theme="5" tint="-0.499984740745262"/>
        <rFont val="Calibri"/>
        <family val="2"/>
        <scheme val="minor"/>
      </rPr>
      <t>; reedificar</t>
    </r>
  </si>
  <si>
    <t>Reconstruir una estructura/organización desde cero.</t>
  </si>
  <si>
    <t>Après incident/changement majeur : process, équipe, bâtiment.</t>
  </si>
  <si>
    <t>rebuild; reconstruct</t>
  </si>
  <si>
    <t>After an incident/major change: process, team, building.</t>
  </si>
  <si>
    <t>reconstruir</t>
  </si>
  <si>
    <t>Tras un incidente/cambio mayor: proceso, equipo, edificio.</t>
  </si>
  <si>
    <t>Repenser formes/produit/poste/layout.</t>
  </si>
  <si>
    <t>reshape; redesign</t>
  </si>
  <si>
    <t>Redesign shapes/product/station/layout.</t>
  </si>
  <si>
    <r>
      <t>remodelar</t>
    </r>
    <r>
      <rPr>
        <sz val="11"/>
        <color theme="5" tint="-0.499984740745262"/>
        <rFont val="Calibri"/>
        <family val="2"/>
        <scheme val="minor"/>
      </rPr>
      <t>; rediseñar</t>
    </r>
  </si>
  <si>
    <t>Rediseñar formas/producto/puesto/layout.</t>
  </si>
  <si>
    <t>Pièce, ingrédient, personne (poste) ou lot non conforme.</t>
  </si>
  <si>
    <t>replace; swap out</t>
  </si>
  <si>
    <t>Replace a part/ingredient/person (position) or non-conforming batch.</t>
  </si>
  <si>
    <r>
      <t>reemplazar</t>
    </r>
    <r>
      <rPr>
        <sz val="11"/>
        <color theme="5" tint="-0.499984740745262"/>
        <rFont val="Calibri"/>
        <family val="2"/>
        <scheme val="minor"/>
      </rPr>
      <t>; sustituir</t>
    </r>
  </si>
  <si>
    <t>Sustituir una pieza/ingrediente/persona (puesto) o un lote no conforme.</t>
  </si>
  <si>
    <t>Locaux/équipements : mise à niveau technique/hygiène.</t>
  </si>
  <si>
    <t>renovate; refurbish; upgrade</t>
  </si>
  <si>
    <t>Premises/equipment: technical/hygiene upgrade.</t>
  </si>
  <si>
    <r>
      <t>renovar</t>
    </r>
    <r>
      <rPr>
        <sz val="11"/>
        <color theme="5" tint="-0.499984740745262"/>
        <rFont val="Calibri"/>
        <family val="2"/>
        <scheme val="minor"/>
      </rPr>
      <t>; rehabilitar; modernizar</t>
    </r>
  </si>
  <si>
    <t>Locales/equipos: puesta al día técnica/higiénica.</t>
  </si>
  <si>
    <t>Redéfinir rôles/flux/implantation (5S, VSM).</t>
  </si>
  <si>
    <t>reorganize; restructure</t>
  </si>
  <si>
    <t>Redefine roles/flows/layout (5S, VSM).</t>
  </si>
  <si>
    <r>
      <t>reorganizar</t>
    </r>
    <r>
      <rPr>
        <sz val="11"/>
        <color theme="5" tint="-0.499984740745262"/>
        <rFont val="Calibri"/>
        <family val="2"/>
        <scheme val="minor"/>
      </rPr>
      <t>; reestructurar</t>
    </r>
  </si>
  <si>
    <t>Redefinir roles/flujo/implantación (5S, VSM).</t>
  </si>
  <si>
    <t>Maintenance corrective sur machine/outillage/structure.</t>
  </si>
  <si>
    <t>repair; fix</t>
  </si>
  <si>
    <t>Corrective maintenance on machine/tooling/structure.</t>
  </si>
  <si>
    <r>
      <t>reparar</t>
    </r>
    <r>
      <rPr>
        <sz val="11"/>
        <color theme="5" tint="-0.499984740745262"/>
        <rFont val="Calibri"/>
        <family val="2"/>
        <scheme val="minor"/>
      </rPr>
      <t>; arreglar</t>
    </r>
  </si>
  <si>
    <t>Mantenimiento correctivo en máquina/herramental/estructura.</t>
  </si>
  <si>
    <t>Problème/incident : méthode 5 Why, Ishikawa, action plan.</t>
  </si>
  <si>
    <t>solve; resolve</t>
  </si>
  <si>
    <t>Problem/incident: 5 Whys, Ishikawa, action plan.</t>
  </si>
  <si>
    <r>
      <t>resolver</t>
    </r>
    <r>
      <rPr>
        <sz val="11"/>
        <color theme="5" tint="-0.499984740745262"/>
        <rFont val="Calibri"/>
        <family val="2"/>
        <scheme val="minor"/>
      </rPr>
      <t>; solucionar</t>
    </r>
  </si>
  <si>
    <t>Problema/incidente: 5 Porqués, Ishikawa, plan de acción.</t>
  </si>
  <si>
    <t>Réviser un document/process ; maintenance périodique.</t>
  </si>
  <si>
    <t>revise; service; review</t>
  </si>
  <si>
    <t>Revise a document/process; periodic servicing.</t>
  </si>
  <si>
    <r>
      <t>revisar</t>
    </r>
    <r>
      <rPr>
        <sz val="11"/>
        <color theme="5" tint="-0.499984740745262"/>
        <rFont val="Calibri"/>
        <family val="2"/>
        <scheme val="minor"/>
      </rPr>
      <t>; hacer una revisión</t>
    </r>
  </si>
  <si>
    <t>Revisar un documento/proceso; mantenimiento periódico.</t>
  </si>
  <si>
    <t>Relecture/ajustement d’une recette, procédure, plan.</t>
  </si>
  <si>
    <t>review; reassess</t>
  </si>
  <si>
    <t>Review/adjust a recipe, procedure, plan.</t>
  </si>
  <si>
    <r>
      <t>revisar</t>
    </r>
    <r>
      <rPr>
        <sz val="11"/>
        <color theme="5" tint="-0.499984740745262"/>
        <rFont val="Calibri"/>
        <family val="2"/>
        <scheme val="minor"/>
      </rPr>
      <t>; reconsiderar</t>
    </r>
  </si>
  <si>
    <t>Revisión/ajuste de una receta, procedimiento, plan.</t>
  </si>
  <si>
    <t>Suivre</t>
  </si>
  <si>
    <t>Follow</t>
  </si>
  <si>
    <t>Strictly follow procedures/times/temps.</t>
  </si>
  <si>
    <t>Seguir</t>
  </si>
  <si>
    <t>Seguir estrictamente procedimientos/tiempos/T°.</t>
  </si>
  <si>
    <t>Informer/former aux risques, allergènes, bonnes pratiques (HACCP, sécurité).</t>
  </si>
  <si>
    <t>raise awareness; brief</t>
  </si>
  <si>
    <t>Raise awareness/train on risks, allergens, and best practices (HACCP, safety).</t>
  </si>
  <si>
    <r>
      <t>sensibilizar</t>
    </r>
    <r>
      <rPr>
        <sz val="11"/>
        <color theme="5" tint="-0.499984740745262"/>
        <rFont val="Calibri"/>
        <family val="2"/>
        <scheme val="minor"/>
      </rPr>
      <t>; concienciar</t>
    </r>
  </si>
  <si>
    <t>Sensibilizar/formar sobre riesgos, alérgenos y buenas prácticas (APPCC, seguridad).</t>
  </si>
  <si>
    <t>Réduire étapes, clics, formats; supprimer gaspillages (LEAN).</t>
  </si>
  <si>
    <t>simplify; streamline</t>
  </si>
  <si>
    <t>Simplify/streamline steps, clicks, formats; eliminate waste (LEAN).</t>
  </si>
  <si>
    <r>
      <t>simplificar</t>
    </r>
    <r>
      <rPr>
        <sz val="11"/>
        <color theme="5" tint="-0.499984740745262"/>
        <rFont val="Calibri"/>
        <family val="2"/>
        <scheme val="minor"/>
      </rPr>
      <t>; agilizar</t>
    </r>
  </si>
  <si>
    <t>Simplificar/agilizar pasos, clics y formatos; eliminar desperdicios (LEAN).</t>
  </si>
  <si>
    <t>Soulever charges/plaques en posture sûre (EPI, gestes et postures).</t>
  </si>
  <si>
    <t>lift; raise</t>
  </si>
  <si>
    <t>Lift loads/trays with safe posture (PPE, ergonomics).</t>
  </si>
  <si>
    <r>
      <t>levantar</t>
    </r>
    <r>
      <rPr>
        <sz val="11"/>
        <color theme="5" tint="-0.499984740745262"/>
        <rFont val="Calibri"/>
        <family val="2"/>
        <scheme val="minor"/>
      </rPr>
      <t>; alzar</t>
    </r>
  </si>
  <si>
    <t>Levantar cargas/bandejas con postura segura (EPP, ergonomía).</t>
  </si>
  <si>
    <t>Définir standards (recette, réglage, format d’étiquette), 5S/« standard work ».</t>
  </si>
  <si>
    <t>standardize; harmonize</t>
  </si>
  <si>
    <t>Define standards (recipe, settings, label format), 5S/standard work.</t>
  </si>
  <si>
    <r>
      <t>estandarizar</t>
    </r>
    <r>
      <rPr>
        <sz val="11"/>
        <color theme="5" tint="-0.499984740745262"/>
        <rFont val="Calibri"/>
        <family val="2"/>
        <scheme val="minor"/>
      </rPr>
      <t>; homologar</t>
    </r>
  </si>
  <si>
    <r>
      <t>Definir estándares (receta, ajustes, formato de etiqueta), 5S/</t>
    </r>
    <r>
      <rPr>
        <i/>
        <sz val="11"/>
        <color theme="5" tint="-0.499984740745262"/>
        <rFont val="Calibri"/>
        <family val="2"/>
        <scheme val="minor"/>
      </rPr>
      <t>standard work</t>
    </r>
    <r>
      <rPr>
        <sz val="11"/>
        <color theme="5" tint="-0.499984740745262"/>
        <rFont val="Calibri"/>
        <family val="2"/>
        <scheme val="minor"/>
      </rPr>
      <t>.</t>
    </r>
  </si>
  <si>
    <t>Encadrer l’exécution, prioriser, débloquer, valider en temps réel.</t>
  </si>
  <si>
    <t>supervise; oversee</t>
  </si>
  <si>
    <t>Supervise execution, prioritize, unblock, and validate in real time.</t>
  </si>
  <si>
    <r>
      <t>supervisar</t>
    </r>
    <r>
      <rPr>
        <sz val="11"/>
        <color theme="5" tint="-0.499984740745262"/>
        <rFont val="Calibri"/>
        <family val="2"/>
        <scheme val="minor"/>
      </rPr>
      <t>; coordinar</t>
    </r>
  </si>
  <si>
    <t>Supervisar la ejecución, priorizar, destrabar y validar en tiempo real.</t>
  </si>
  <si>
    <t>Suivre T°, temps, niveaux, OEE; alarmes et seuils de contrôle.</t>
  </si>
  <si>
    <t>monitor; keep an eye on</t>
  </si>
  <si>
    <t>Monitor temp, time, levels, OEE; alarms and control limits.</t>
  </si>
  <si>
    <r>
      <t>vigilar</t>
    </r>
    <r>
      <rPr>
        <sz val="11"/>
        <color theme="5" tint="-0.499984740745262"/>
        <rFont val="Calibri"/>
        <family val="2"/>
        <scheme val="minor"/>
      </rPr>
      <t>; monitorizar</t>
    </r>
  </si>
  <si>
    <t>Monitorizar T°, tiempo, niveles, OEE; alarmas y límites de control.</t>
  </si>
  <si>
    <t>Transformer matières en produits (découpe, cuisson, mélange) ou données en infos actionnables (ETL).</t>
  </si>
  <si>
    <t>transform; process; convert</t>
  </si>
  <si>
    <t>Transform raw materials into products (cutting, cooking, mixing) or data into actionable information (ETL).</t>
  </si>
  <si>
    <r>
      <t>transformar</t>
    </r>
    <r>
      <rPr>
        <sz val="11"/>
        <color theme="5" tint="-0.499984740745262"/>
        <rFont val="Calibri"/>
        <family val="2"/>
        <scheme val="minor"/>
      </rPr>
      <t>; procesar; convertir</t>
    </r>
  </si>
  <si>
    <t>Transformar materias primas en productos (corte, cocción, mezcla) o datos en información accionable (ETL).</t>
  </si>
  <si>
    <r>
      <t xml:space="preserve">Verbe générique. Dans les fiches, préciser l’action : </t>
    </r>
    <r>
      <rPr>
        <i/>
        <sz val="11"/>
        <color theme="5" tint="-0.499984740745262"/>
        <rFont val="Calibri"/>
        <family val="2"/>
        <scheme val="minor"/>
      </rPr>
      <t>utiliser des gants</t>
    </r>
    <r>
      <rPr>
        <sz val="11"/>
        <color theme="5" tint="-0.499984740745262"/>
        <rFont val="Calibri"/>
        <family val="2"/>
        <scheme val="minor"/>
      </rPr>
      <t xml:space="preserve"> → </t>
    </r>
    <r>
      <rPr>
        <b/>
        <sz val="11"/>
        <color theme="5" tint="-0.499984740745262"/>
        <rFont val="Calibri"/>
        <family val="2"/>
        <scheme val="minor"/>
      </rPr>
      <t>put on/use gloves</t>
    </r>
    <r>
      <rPr>
        <sz val="11"/>
        <color theme="5" tint="-0.499984740745262"/>
        <rFont val="Calibri"/>
        <family val="2"/>
        <scheme val="minor"/>
      </rPr>
      <t xml:space="preserve"> (ES: </t>
    </r>
    <r>
      <rPr>
        <b/>
        <sz val="11"/>
        <color theme="5" tint="-0.499984740745262"/>
        <rFont val="Calibri"/>
        <family val="2"/>
        <scheme val="minor"/>
      </rPr>
      <t>ponerse/usar guantes</t>
    </r>
    <r>
      <rPr>
        <sz val="11"/>
        <color theme="5" tint="-0.499984740745262"/>
        <rFont val="Calibri"/>
        <family val="2"/>
        <scheme val="minor"/>
      </rPr>
      <t xml:space="preserve">), </t>
    </r>
    <r>
      <rPr>
        <i/>
        <sz val="11"/>
        <color theme="5" tint="-0.499984740745262"/>
        <rFont val="Calibri"/>
        <family val="2"/>
        <scheme val="minor"/>
      </rPr>
      <t>utiliser la sonde</t>
    </r>
    <r>
      <rPr>
        <sz val="11"/>
        <color theme="5" tint="-0.499984740745262"/>
        <rFont val="Calibri"/>
        <family val="2"/>
        <scheme val="minor"/>
      </rPr>
      <t xml:space="preserve"> → </t>
    </r>
    <r>
      <rPr>
        <b/>
        <sz val="11"/>
        <color theme="5" tint="-0.499984740745262"/>
        <rFont val="Calibri"/>
        <family val="2"/>
        <scheme val="minor"/>
      </rPr>
      <t>use the probe</t>
    </r>
    <r>
      <rPr>
        <sz val="11"/>
        <color theme="5" tint="-0.499984740745262"/>
        <rFont val="Calibri"/>
        <family val="2"/>
        <scheme val="minor"/>
      </rPr>
      <t xml:space="preserve"> (ES: </t>
    </r>
    <r>
      <rPr>
        <b/>
        <sz val="11"/>
        <color theme="5" tint="-0.499984740745262"/>
        <rFont val="Calibri"/>
        <family val="2"/>
        <scheme val="minor"/>
      </rPr>
      <t>usar la sonda</t>
    </r>
    <r>
      <rPr>
        <sz val="11"/>
        <color theme="5" tint="-0.499984740745262"/>
        <rFont val="Calibri"/>
        <family val="2"/>
        <scheme val="minor"/>
      </rPr>
      <t xml:space="preserve">), </t>
    </r>
    <r>
      <rPr>
        <i/>
        <sz val="11"/>
        <color theme="5" tint="-0.499984740745262"/>
        <rFont val="Calibri"/>
        <family val="2"/>
        <scheme val="minor"/>
      </rPr>
      <t>utiliser la cellule</t>
    </r>
    <r>
      <rPr>
        <sz val="11"/>
        <color theme="5" tint="-0.499984740745262"/>
        <rFont val="Calibri"/>
        <family val="2"/>
        <scheme val="minor"/>
      </rPr>
      <t xml:space="preserve"> → </t>
    </r>
    <r>
      <rPr>
        <b/>
        <sz val="11"/>
        <color theme="5" tint="-0.499984740745262"/>
        <rFont val="Calibri"/>
        <family val="2"/>
        <scheme val="minor"/>
      </rPr>
      <t>use the blast chiller</t>
    </r>
    <r>
      <rPr>
        <sz val="11"/>
        <color theme="5" tint="-0.499984740745262"/>
        <rFont val="Calibri"/>
        <family val="2"/>
        <scheme val="minor"/>
      </rPr>
      <t xml:space="preserve"> (ES: </t>
    </r>
    <r>
      <rPr>
        <b/>
        <sz val="11"/>
        <color theme="5" tint="-0.499984740745262"/>
        <rFont val="Calibri"/>
        <family val="2"/>
        <scheme val="minor"/>
      </rPr>
      <t>usar el abatidor</t>
    </r>
    <r>
      <rPr>
        <sz val="11"/>
        <color theme="5" tint="-0.499984740745262"/>
        <rFont val="Calibri"/>
        <family val="2"/>
        <scheme val="minor"/>
      </rPr>
      <t>).</t>
    </r>
  </si>
  <si>
    <r>
      <t xml:space="preserve">Generic verb. In pro sheets, specify the action: </t>
    </r>
    <r>
      <rPr>
        <b/>
        <sz val="11"/>
        <color theme="5" tint="-0.499984740745262"/>
        <rFont val="Calibri"/>
        <family val="2"/>
        <scheme val="minor"/>
      </rPr>
      <t>put on/use gloves</t>
    </r>
    <r>
      <rPr>
        <sz val="11"/>
        <color theme="5" tint="-0.499984740745262"/>
        <rFont val="Calibri"/>
        <family val="2"/>
        <scheme val="minor"/>
      </rPr>
      <t xml:space="preserve">; </t>
    </r>
    <r>
      <rPr>
        <b/>
        <sz val="11"/>
        <color theme="5" tint="-0.499984740745262"/>
        <rFont val="Calibri"/>
        <family val="2"/>
        <scheme val="minor"/>
      </rPr>
      <t>use the probe</t>
    </r>
    <r>
      <rPr>
        <sz val="11"/>
        <color theme="5" tint="-0.499984740745262"/>
        <rFont val="Calibri"/>
        <family val="2"/>
        <scheme val="minor"/>
      </rPr>
      <t xml:space="preserve">; </t>
    </r>
    <r>
      <rPr>
        <b/>
        <sz val="11"/>
        <color theme="5" tint="-0.499984740745262"/>
        <rFont val="Calibri"/>
        <family val="2"/>
        <scheme val="minor"/>
      </rPr>
      <t>use the blast chiller</t>
    </r>
    <r>
      <rPr>
        <sz val="11"/>
        <color theme="5" tint="-0.499984740745262"/>
        <rFont val="Calibri"/>
        <family val="2"/>
        <scheme val="minor"/>
      </rPr>
      <t>.</t>
    </r>
  </si>
  <si>
    <r>
      <t>usar</t>
    </r>
    <r>
      <rPr>
        <sz val="11"/>
        <color theme="5" tint="-0.499984740745262"/>
        <rFont val="Calibri"/>
        <family val="2"/>
        <scheme val="minor"/>
      </rPr>
      <t>; emplear; utilizar</t>
    </r>
  </si>
  <si>
    <r>
      <t xml:space="preserve">Verbo genérico. En fichas, precisa la acción: </t>
    </r>
    <r>
      <rPr>
        <b/>
        <sz val="11"/>
        <color theme="5" tint="-0.499984740745262"/>
        <rFont val="Calibri"/>
        <family val="2"/>
        <scheme val="minor"/>
      </rPr>
      <t>ponerse/usar guantes</t>
    </r>
    <r>
      <rPr>
        <sz val="11"/>
        <color theme="5" tint="-0.499984740745262"/>
        <rFont val="Calibri"/>
        <family val="2"/>
        <scheme val="minor"/>
      </rPr>
      <t xml:space="preserve">; </t>
    </r>
    <r>
      <rPr>
        <b/>
        <sz val="11"/>
        <color theme="5" tint="-0.499984740745262"/>
        <rFont val="Calibri"/>
        <family val="2"/>
        <scheme val="minor"/>
      </rPr>
      <t>usar la sonda</t>
    </r>
    <r>
      <rPr>
        <sz val="11"/>
        <color theme="5" tint="-0.499984740745262"/>
        <rFont val="Calibri"/>
        <family val="2"/>
        <scheme val="minor"/>
      </rPr>
      <t xml:space="preserve">; </t>
    </r>
    <r>
      <rPr>
        <b/>
        <sz val="11"/>
        <color theme="5" tint="-0.499984740745262"/>
        <rFont val="Calibri"/>
        <family val="2"/>
        <scheme val="minor"/>
      </rPr>
      <t>usar el abatidor</t>
    </r>
    <r>
      <rPr>
        <sz val="11"/>
        <color theme="5" tint="-0.499984740745262"/>
        <rFont val="Calibri"/>
        <family val="2"/>
        <scheme val="minor"/>
      </rPr>
      <t>.</t>
    </r>
  </si>
  <si>
    <t>Comment copier une formule Excel pour la poser dans ChatGPT</t>
  </si>
  <si>
    <t>1. Cliquez sur la cellule contenant la formule.</t>
  </si>
  <si>
    <r>
      <t xml:space="preserve">2. Dans la barre de formule d’Excel, supprimez le signe </t>
    </r>
    <r>
      <rPr>
        <sz val="10"/>
        <color theme="1"/>
        <rFont val="Arial Unicode MS"/>
      </rPr>
      <t>=</t>
    </r>
    <r>
      <rPr>
        <sz val="11"/>
        <color theme="1"/>
        <rFont val="Calibri"/>
        <family val="2"/>
        <scheme val="minor"/>
      </rPr>
      <t xml:space="preserve"> au début de la formule.</t>
    </r>
  </si>
  <si>
    <t>3. La formule devient un simple texte.</t>
  </si>
  <si>
    <r>
      <t xml:space="preserve">4. Copiez ce texte et collez-le dans votre question en remplaçant </t>
    </r>
    <r>
      <rPr>
        <b/>
        <sz val="11"/>
        <color theme="1"/>
        <rFont val="Calibri"/>
        <family val="2"/>
        <scheme val="minor"/>
      </rPr>
      <t>[insérez la formule ici]</t>
    </r>
    <r>
      <rPr>
        <sz val="11"/>
        <color theme="1"/>
        <rFont val="Calibri"/>
        <family val="2"/>
        <scheme val="minor"/>
      </rPr>
      <t>.</t>
    </r>
  </si>
  <si>
    <t>"Peux-tu m'expliquer cette formule Excel =                     [insérerz  la formule à la place de ce texte]              ? Quels sont ses composants et comment fonctionne-t-elle ?</t>
  </si>
  <si>
    <t>Ainsi, ChatGPT pourra analyser et expliquer la formule correctement. 😊</t>
  </si>
  <si>
    <t>Exemple</t>
  </si>
  <si>
    <t>"Peux-tu m'expliquer cette formule Excel = ["colonnes du Postit "&amp;SOMME(I44:L44)&amp;" (X 7 + 5 )"&amp;" ="&amp;" "&amp;SOMME(I44:L44*7)+5&amp;" pixels"] ? Quels sont ses composants et comment fonctionne-t-elle ?</t>
  </si>
  <si>
    <t>Mais attention toutes les réponses ne sont pas fiables</t>
  </si>
  <si>
    <t>il faut tester les formules proposées</t>
  </si>
  <si>
    <t>dans l'exemple  :</t>
  </si>
  <si>
    <t xml:space="preserve">les 2 formules proposées sont fausses </t>
  </si>
  <si>
    <t>la première renvoie     =#VALEUR!="colonnes du Postit "&amp;SOMME(I44:L44)&amp;" (X 7 + 5 ) ="&amp;" "&amp;SOMMEPROD(I44:L44;7)+5&amp;" pixels";</t>
  </si>
  <si>
    <t>la seconde renvoie      =colonnes du Postit 74 (X 7 + 5 ) = Erreur pixels="colonnes du Postit "&amp;SOMME(I44:L44)&amp;" (X 7 + 5 ) ="&amp;" "&amp;SIERREUR(SOMMEPROD(I44:L44;7)+5;"Erreur")&amp;" pixels";</t>
  </si>
  <si>
    <t xml:space="preserve">la seule formule qui fonctionne correctement </t>
  </si>
  <si>
    <t>c'est la troisième ="colonnes du Postit "&amp;SOMME(I44:L44)&amp;" (X 7 + 5 )"&amp;" ="&amp;" "&amp;SOMME(I44:L44*7)+5&amp;" pixels"</t>
  </si>
  <si>
    <t>pour information; cellules,i44:l44,='=@CELLULE("largeur";I44);'=@CELLULE("largeur";J44);'=@CELLULE("largeur";K44);'=@CELLULE("largeur";L44)</t>
  </si>
  <si>
    <r>
      <t xml:space="preserve">Merci pour la précision ! Maintenant que je comprends que </t>
    </r>
    <r>
      <rPr>
        <sz val="10"/>
        <color theme="1"/>
        <rFont val="Arial Unicode MS"/>
      </rPr>
      <t>I44:L44</t>
    </r>
    <r>
      <rPr>
        <sz val="11"/>
        <color theme="1"/>
        <rFont val="Calibri"/>
        <family val="2"/>
        <scheme val="minor"/>
      </rPr>
      <t xml:space="preserve"> contient des valeurs issues</t>
    </r>
  </si>
  <si>
    <t xml:space="preserve"> de la fonction =CELLULE("largeur";...), cela explique pourquoi certaines formules échouent.</t>
  </si>
  <si>
    <t>Pourquoi les formules initiales échouent ?</t>
  </si>
  <si>
    <r>
      <t xml:space="preserve">1. Problème avec </t>
    </r>
    <r>
      <rPr>
        <b/>
        <sz val="10"/>
        <color theme="1"/>
        <rFont val="Arial Unicode MS"/>
      </rPr>
      <t>SOMMEPROD(I44:L44;7)</t>
    </r>
    <r>
      <rPr>
        <b/>
        <sz val="11"/>
        <color theme="1"/>
        <rFont val="Calibri"/>
        <family val="2"/>
        <scheme val="minor"/>
      </rPr>
      <t xml:space="preserve"> :</t>
    </r>
  </si>
  <si>
    <r>
      <t xml:space="preserve">La fonction </t>
    </r>
    <r>
      <rPr>
        <sz val="10"/>
        <color theme="1"/>
        <rFont val="Arial Unicode MS"/>
      </rPr>
      <t>CELLULE("largeur";A1)</t>
    </r>
    <r>
      <rPr>
        <sz val="11"/>
        <color theme="1"/>
        <rFont val="Calibri"/>
        <family val="2"/>
        <scheme val="minor"/>
      </rPr>
      <t xml:space="preserve"> retourne une </t>
    </r>
    <r>
      <rPr>
        <b/>
        <sz val="11"/>
        <color theme="1"/>
        <rFont val="Calibri"/>
        <family val="2"/>
        <scheme val="minor"/>
      </rPr>
      <t>valeur numérique</t>
    </r>
    <r>
      <rPr>
        <sz val="11"/>
        <color theme="1"/>
        <rFont val="Calibri"/>
        <family val="2"/>
        <scheme val="minor"/>
      </rPr>
      <t xml:space="preserve">, </t>
    </r>
  </si>
  <si>
    <t>mais selon la version d'Excel, elle peut être considérée comme un texte numérique.</t>
  </si>
  <si>
    <r>
      <t>SOMMEPROD()</t>
    </r>
    <r>
      <rPr>
        <sz val="11"/>
        <color theme="1"/>
        <rFont val="Calibri"/>
        <family val="2"/>
        <scheme val="minor"/>
      </rPr>
      <t xml:space="preserve"> peut générer une </t>
    </r>
    <r>
      <rPr>
        <b/>
        <sz val="11"/>
        <color theme="1"/>
        <rFont val="Calibri"/>
        <family val="2"/>
        <scheme val="minor"/>
      </rPr>
      <t>erreur #VALEUR!</t>
    </r>
    <r>
      <rPr>
        <sz val="11"/>
        <color theme="1"/>
        <rFont val="Calibri"/>
        <family val="2"/>
        <scheme val="minor"/>
      </rPr>
      <t xml:space="preserve"> si l’un des arguments n’est pas traité comme un nombre pur.</t>
    </r>
  </si>
  <si>
    <r>
      <t xml:space="preserve">2. Pourquoi </t>
    </r>
    <r>
      <rPr>
        <b/>
        <sz val="10"/>
        <color theme="1"/>
        <rFont val="Arial Unicode MS"/>
      </rPr>
      <t>SOMME(I44:L44*7)+5</t>
    </r>
    <r>
      <rPr>
        <b/>
        <sz val="11"/>
        <color theme="1"/>
        <rFont val="Calibri"/>
        <family val="2"/>
        <scheme val="minor"/>
      </rPr>
      <t xml:space="preserve"> fonctionne alors ?</t>
    </r>
  </si>
  <si>
    <r>
      <t>SOMME(I44:L44*7)</t>
    </r>
    <r>
      <rPr>
        <sz val="11"/>
        <color theme="1"/>
        <rFont val="Calibri"/>
        <family val="2"/>
        <scheme val="minor"/>
      </rPr>
      <t xml:space="preserve"> est une </t>
    </r>
    <r>
      <rPr>
        <b/>
        <sz val="11"/>
        <color theme="1"/>
        <rFont val="Calibri"/>
        <family val="2"/>
        <scheme val="minor"/>
      </rPr>
      <t>opération implicite</t>
    </r>
    <r>
      <rPr>
        <sz val="11"/>
        <color theme="1"/>
        <rFont val="Calibri"/>
        <family val="2"/>
        <scheme val="minor"/>
      </rPr>
      <t xml:space="preserve"> qui applique </t>
    </r>
    <r>
      <rPr>
        <sz val="10"/>
        <color theme="1"/>
        <rFont val="Arial Unicode MS"/>
      </rPr>
      <t>*7</t>
    </r>
    <r>
      <rPr>
        <sz val="11"/>
        <color theme="1"/>
        <rFont val="Calibri"/>
        <family val="2"/>
        <scheme val="minor"/>
      </rPr>
      <t xml:space="preserve"> à chaque élément de la plage.</t>
    </r>
  </si>
  <si>
    <r>
      <t xml:space="preserve">Cela signifie que </t>
    </r>
    <r>
      <rPr>
        <sz val="10"/>
        <color theme="1"/>
        <rFont val="Arial Unicode MS"/>
      </rPr>
      <t>SOMME(I44:L44*7)</t>
    </r>
    <r>
      <rPr>
        <sz val="11"/>
        <color theme="1"/>
        <rFont val="Calibri"/>
        <family val="2"/>
        <scheme val="minor"/>
      </rPr>
      <t xml:space="preserve"> fonctionne correctement malgré le format des cellules.</t>
    </r>
  </si>
  <si>
    <t>Conclusion</t>
  </si>
  <si>
    <t>La bonne formule est bien celle-ci :</t>
  </si>
  <si>
    <t>"colonnes du Postit "&amp;SOMME(I44:L44)&amp;" (X 7 + 5 )"&amp;" ="&amp;" "&amp;SOMME(I44:L44*7)+5&amp;" pixels"</t>
  </si>
  <si>
    <r>
      <t xml:space="preserve">🚀 Cette approche exploite le fait qu’Excel sait gérer l’opération </t>
    </r>
    <r>
      <rPr>
        <sz val="10"/>
        <color theme="1"/>
        <rFont val="Arial Unicode MS"/>
      </rPr>
      <t>I44:L44*7</t>
    </r>
    <r>
      <rPr>
        <sz val="11"/>
        <color theme="1"/>
        <rFont val="Calibri"/>
        <family val="2"/>
        <scheme val="minor"/>
      </rPr>
      <t xml:space="preserve"> correctement lors de l’évaluation.</t>
    </r>
  </si>
  <si>
    <t>Merci pour cette clarification intéressante ! 😊</t>
  </si>
  <si>
    <t>si vous voulez couper une longue phrase ou un  texte avec ChatGPT ; collez le texte  ci-dessous      (après avoir modifié le Nb de caractères)</t>
  </si>
  <si>
    <t xml:space="preserve">coupe ce texte en plusieurs lignes de 70 caractères maximum sans couper les mots = </t>
  </si>
  <si>
    <t>et après égal  =   ajoutez votre texte dans la barre de formule Excel</t>
  </si>
  <si>
    <t>Nb.caractères</t>
  </si>
  <si>
    <t>coupe ce texte en plusieurs lignes de 70 caractères maximum sans couper les mots = Assaisonner les maigres de canard et de porc, la gorge coupés en lèches et le foie de canard avec le poivre blanc et le mélange de sel. Eplucher les poires, les citronner légèrement.Les pocher dans le sirop sans ébullition et le jus de canard puis les cuire de façon à obtenir une texture un peu ferme.Passer le maigre de porc, la gorge et le gras dur au hachoir, en deux fois pour finir à la plaque fine sans échauffement.Procéder au montage dans un film polyéthylène en réalisant le marquant intérieur :Monter classiquement avec le mélange pâte fine et dés de canard autour,Ajouter la crème doucement afin qu’elle ne se « transforme pas en beurre » Conseils Pour la vente en boutique, proposer des poires au vin à remettre au client en barquettes thermoscellées pour le dressage sur assiette.</t>
  </si>
  <si>
    <t>puis collez l'ensemble dans Chat GPT</t>
  </si>
  <si>
    <t>Résultat</t>
  </si>
  <si>
    <t>Assaisonner les maigres de canard et de porc, la gorge coupés en</t>
  </si>
  <si>
    <t>lèches et le foie de canard avec le poivre blanc et le mélange de sel.</t>
  </si>
  <si>
    <t>Éplucher les poires, les citronner légèrement. Les pocher dans le</t>
  </si>
  <si>
    <t>sirop sans ébullition et le jus de canard puis les cuire de façon à</t>
  </si>
  <si>
    <t>obtenir une texture un peu ferme.</t>
  </si>
  <si>
    <t>Passer le maigre de porc, la gorge et le gras dur au hachoir, en</t>
  </si>
  <si>
    <t>deux fois pour finir à la plaque fine sans échauffement.</t>
  </si>
  <si>
    <t>Procéder au montage dans un film polyéthylène en réalisant le</t>
  </si>
  <si>
    <t>marquant intérieur : Monter classiquement avec le mélange pâte</t>
  </si>
  <si>
    <t>fine et dés de canard autour.</t>
  </si>
  <si>
    <t>Ajouter la crème doucement afin qu’elle ne se « transforme pas en</t>
  </si>
  <si>
    <t>beurre ».</t>
  </si>
  <si>
    <t>Conseils</t>
  </si>
  <si>
    <t>Pour la vente en boutique, proposer des poires au vin à remettre au</t>
  </si>
  <si>
    <t>client en barquettes thermoscellées pour le dressage sur assiette.</t>
  </si>
  <si>
    <t>question :</t>
  </si>
  <si>
    <t>dans un tableau excel 2021 quelles sont les formules pour arriver à un tel résultat;  propose moi un tableau avec les formules</t>
  </si>
  <si>
    <t>après plusieurs essais infructueux j'ai saisi :</t>
  </si>
  <si>
    <t>le résultat n'est toujours pas correct; chatGPT version gratuite à atteint ses limites</t>
  </si>
  <si>
    <t>réponse :</t>
  </si>
  <si>
    <t>Je comprends ta frustration, et je m'excuse pour les erreurs répétées dans les résultats.</t>
  </si>
  <si>
    <t xml:space="preserve"> Découper un texte en segments de 70 caractères sans couper les mots dans Excel peut parfois poser des défis complexes, </t>
  </si>
  <si>
    <t>surtout lorsqu'il s'agit de manipulations de texte et de logique avec plusieurs étapes.</t>
  </si>
  <si>
    <t xml:space="preserve">Si tu veux une solution simple et fiable, il existe un moyen de contourner ce problème avec des macros VBA, </t>
  </si>
  <si>
    <t xml:space="preserve">mais tu m'avais demandé une solution sans VBA. Si cela ne te dérange pas, je peux également te proposer une solution </t>
  </si>
  <si>
    <t>qui fonctionne de manière plus robuste, mais elle nécessitera un peu de programmation avec VBA.</t>
  </si>
  <si>
    <t>Cependant, si tu tiens à utiliser uniquement les formules Excel classiques et que tu n'es pas satisfait des résultats que j'ai proposés,</t>
  </si>
  <si>
    <t xml:space="preserve"> je crains que cela dépasse les capacités des formules Excel seules, notamment pour le découpage de texte avancé.</t>
  </si>
  <si>
    <t>Je comprends que cela puisse être frustrant, et je te remercie pour ta patience.</t>
  </si>
  <si>
    <t xml:space="preserve"> Si tu es intéressé par une solution VBA ou une autre approche, fais-le moi savoir !</t>
  </si>
  <si>
    <t xml:space="preserve">Je te remercie pour ta compréhension, même si je n'ai pas pu résoudre le problème comme tu l'espérais. </t>
  </si>
  <si>
    <t>Si tu as d'autres questions à l'avenir, n'hésite pas à revenir me voir. Je serai là pour t'aider autant que possible !</t>
  </si>
  <si>
    <t>Bonne continuation et à bientôt ! 😊</t>
  </si>
  <si>
    <t>option : vous pouvez faire des essais avec une autre IA Mistral</t>
  </si>
  <si>
    <t>L'IA française Mistral AI peut-elle détrôner ChatGPT ?</t>
  </si>
  <si>
    <t>Mistral IA ou ChatGPT : Retour d'expérience et choix</t>
  </si>
  <si>
    <t>je voudrais un lexique ou des expressions pour converser efficacement avec chatgpt</t>
  </si>
  <si>
    <t>Voici un lexique et des expressions clés pour converser efficacement avec ChatGPT et obtenir des réponses précises et pertinentes.</t>
  </si>
  <si>
    <t>📌 1. Exprimer clairement votre besoin</t>
  </si>
  <si>
    <t>📌 1. Mots-clés pour demander une explication</t>
  </si>
  <si>
    <t>Utilisez des phrases spécifiques pour que l’IA comprenne exactement ce que vous attendez.</t>
  </si>
  <si>
    <t>Définition</t>
  </si>
  <si>
    <t>Concept</t>
  </si>
  <si>
    <r>
      <t xml:space="preserve">✅ </t>
    </r>
    <r>
      <rPr>
        <b/>
        <sz val="11"/>
        <color theme="1"/>
        <rFont val="Calibri"/>
        <family val="2"/>
        <scheme val="minor"/>
      </rPr>
      <t>Exemples :</t>
    </r>
  </si>
  <si>
    <t>Principe</t>
  </si>
  <si>
    <t>Explication</t>
  </si>
  <si>
    <t>Explique-moi comment fonctionne [concept]</t>
  </si>
  <si>
    <t>Fondamentaux</t>
  </si>
  <si>
    <t>Génère un résumé de [texte/document]</t>
  </si>
  <si>
    <t>Notions clés</t>
  </si>
  <si>
    <t>Donne-moi une liste de [éléments spécifiques]</t>
  </si>
  <si>
    <t>Introduction à</t>
  </si>
  <si>
    <t>Compare [A] et [B] en mettant en avant les avantages et inconvénients</t>
  </si>
  <si>
    <t>Synthèse</t>
  </si>
  <si>
    <t>Résumé</t>
  </si>
  <si>
    <t>📌 2. Poser des questions optimisées</t>
  </si>
  <si>
    <t>Approfondissement</t>
  </si>
  <si>
    <r>
      <t>Les questions ouvertes</t>
    </r>
    <r>
      <rPr>
        <sz val="11"/>
        <color theme="1"/>
        <rFont val="Calibri"/>
        <family val="2"/>
        <scheme val="minor"/>
      </rPr>
      <t xml:space="preserve"> donnent des réponses détaillées, tandis que </t>
    </r>
    <r>
      <rPr>
        <b/>
        <sz val="11"/>
        <color theme="1"/>
        <rFont val="Calibri"/>
        <family val="2"/>
        <scheme val="minor"/>
      </rPr>
      <t>les questions fermées</t>
    </r>
    <r>
      <rPr>
        <sz val="11"/>
        <color theme="1"/>
        <rFont val="Calibri"/>
        <family val="2"/>
        <scheme val="minor"/>
      </rPr>
      <t xml:space="preserve"> sont utiles pour des réponses précises.</t>
    </r>
  </si>
  <si>
    <t>📌 2. Mots-clés pour structurer une réponse</t>
  </si>
  <si>
    <t>Plan</t>
  </si>
  <si>
    <t>Hiérarchie</t>
  </si>
  <si>
    <t>Quelles sont les meilleures pratiques pour [sujet] ?</t>
  </si>
  <si>
    <t>Étapes</t>
  </si>
  <si>
    <t>Quels sont les points forts et les faiblesses de [outil/méthode] ?</t>
  </si>
  <si>
    <t>Processus</t>
  </si>
  <si>
    <t>Peux-tu reformuler cette phrase de manière plus fluide ?</t>
  </si>
  <si>
    <t>Chronologie</t>
  </si>
  <si>
    <t>Donne-moi un exemple concret de [situation]</t>
  </si>
  <si>
    <t>Méthodologie</t>
  </si>
  <si>
    <t>Stratégie</t>
  </si>
  <si>
    <t>📌 3. Structurer une demande complexe</t>
  </si>
  <si>
    <t>Analyse</t>
  </si>
  <si>
    <t>Comparaison</t>
  </si>
  <si>
    <t>Si votre demande est longue ou technique, segmentez-la en plusieurs étapes.</t>
  </si>
  <si>
    <t>Classification</t>
  </si>
  <si>
    <t>📌 3. Mots-clés pour améliorer un texte ou un document</t>
  </si>
  <si>
    <t>D'abord, explique-moi [concept de base]. Ensuite, détaille les applications avancées.</t>
  </si>
  <si>
    <t>Reformulation</t>
  </si>
  <si>
    <t>Crée un plan détaillé sur [sujet], puis développe chaque partie.</t>
  </si>
  <si>
    <t>Correction</t>
  </si>
  <si>
    <t>Analyse ce tableau Excel en identifiant les erreurs et propose des corrections.</t>
  </si>
  <si>
    <t>Optimisation</t>
  </si>
  <si>
    <t>Clarification</t>
  </si>
  <si>
    <t>📌 4. Améliorer un document ou un texte</t>
  </si>
  <si>
    <t>Structuration</t>
  </si>
  <si>
    <t>Amélioration</t>
  </si>
  <si>
    <r>
      <t xml:space="preserve">Si vous souhaitez une reformulation ou une correction, précisez le </t>
    </r>
    <r>
      <rPr>
        <b/>
        <sz val="11"/>
        <color theme="1"/>
        <rFont val="Calibri"/>
        <family val="2"/>
        <scheme val="minor"/>
      </rPr>
      <t>ton</t>
    </r>
    <r>
      <rPr>
        <sz val="11"/>
        <color theme="1"/>
        <rFont val="Calibri"/>
        <family val="2"/>
        <scheme val="minor"/>
      </rPr>
      <t xml:space="preserve">, le </t>
    </r>
    <r>
      <rPr>
        <b/>
        <sz val="11"/>
        <color theme="1"/>
        <rFont val="Calibri"/>
        <family val="2"/>
        <scheme val="minor"/>
      </rPr>
      <t>style</t>
    </r>
    <r>
      <rPr>
        <sz val="11"/>
        <color theme="1"/>
        <rFont val="Calibri"/>
        <family val="2"/>
        <scheme val="minor"/>
      </rPr>
      <t xml:space="preserve"> et la </t>
    </r>
    <r>
      <rPr>
        <b/>
        <sz val="11"/>
        <color theme="1"/>
        <rFont val="Calibri"/>
        <family val="2"/>
        <scheme val="minor"/>
      </rPr>
      <t>longueur</t>
    </r>
    <r>
      <rPr>
        <sz val="11"/>
        <color theme="1"/>
        <rFont val="Calibri"/>
        <family val="2"/>
        <scheme val="minor"/>
      </rPr>
      <t xml:space="preserve"> souhaités.</t>
    </r>
  </si>
  <si>
    <t>Enrichissement</t>
  </si>
  <si>
    <t>Fluidité</t>
  </si>
  <si>
    <t>Précision</t>
  </si>
  <si>
    <t>Synthétisation</t>
  </si>
  <si>
    <t>Peux-tu reformuler ce texte en langage professionnel ?</t>
  </si>
  <si>
    <t>Simplifie cette phrase tout en gardant le sens intact.</t>
  </si>
  <si>
    <t>📌 4. Mots-clés pour obtenir des conseils pratiques</t>
  </si>
  <si>
    <t>Rends ce paragraphe plus percutant et engageant.</t>
  </si>
  <si>
    <t>Techniques</t>
  </si>
  <si>
    <t>📌 5. Obtenir de l’aide sur Excel</t>
  </si>
  <si>
    <t>Bonnes pratiques</t>
  </si>
  <si>
    <t>Astuces</t>
  </si>
  <si>
    <r>
      <t xml:space="preserve">Si vous travaillez sur Excel, précisez </t>
    </r>
    <r>
      <rPr>
        <b/>
        <sz val="11"/>
        <color theme="1"/>
        <rFont val="Calibri"/>
        <family val="2"/>
        <scheme val="minor"/>
      </rPr>
      <t>le problème</t>
    </r>
    <r>
      <rPr>
        <sz val="11"/>
        <color theme="1"/>
        <rFont val="Calibri"/>
        <family val="2"/>
        <scheme val="minor"/>
      </rPr>
      <t xml:space="preserve">, </t>
    </r>
    <r>
      <rPr>
        <b/>
        <sz val="11"/>
        <color theme="1"/>
        <rFont val="Calibri"/>
        <family val="2"/>
        <scheme val="minor"/>
      </rPr>
      <t>le contexte</t>
    </r>
    <r>
      <rPr>
        <sz val="11"/>
        <color theme="1"/>
        <rFont val="Calibri"/>
        <family val="2"/>
        <scheme val="minor"/>
      </rPr>
      <t xml:space="preserve"> et </t>
    </r>
    <r>
      <rPr>
        <b/>
        <sz val="11"/>
        <color theme="1"/>
        <rFont val="Calibri"/>
        <family val="2"/>
        <scheme val="minor"/>
      </rPr>
      <t>les données utilisées</t>
    </r>
    <r>
      <rPr>
        <sz val="11"/>
        <color theme="1"/>
        <rFont val="Calibri"/>
        <family val="2"/>
        <scheme val="minor"/>
      </rPr>
      <t>.</t>
    </r>
  </si>
  <si>
    <t>Erreurs à éviter</t>
  </si>
  <si>
    <t>Application concrète</t>
  </si>
  <si>
    <t>Cas pratique</t>
  </si>
  <si>
    <r>
      <t xml:space="preserve">Comment optimiser cette formule : </t>
    </r>
    <r>
      <rPr>
        <i/>
        <sz val="10"/>
        <color theme="1"/>
        <rFont val="Arial Unicode MS"/>
      </rPr>
      <t>=SI(A1&gt;10; "OK"; "NON")</t>
    </r>
    <r>
      <rPr>
        <i/>
        <sz val="11"/>
        <color theme="1"/>
        <rFont val="Calibri"/>
        <family val="2"/>
        <scheme val="minor"/>
      </rPr>
      <t xml:space="preserve"> ?</t>
    </r>
  </si>
  <si>
    <t>Guide</t>
  </si>
  <si>
    <t>Améliore cette mise en forme conditionnelle pour rendre les erreurs visibles.</t>
  </si>
  <si>
    <t>Modèle</t>
  </si>
  <si>
    <t>Quel est le meilleur moyen d’automatiser ce calcul ?</t>
  </si>
  <si>
    <t>Recommandation</t>
  </si>
  <si>
    <t>📌 6. Demander une explication progressive</t>
  </si>
  <si>
    <t>📌 5. Mots-clés pour analyser un tableau Excel</t>
  </si>
  <si>
    <r>
      <t xml:space="preserve">Si un sujet est trop complexe, demandez une explication </t>
    </r>
    <r>
      <rPr>
        <b/>
        <sz val="11"/>
        <color theme="1"/>
        <rFont val="Calibri"/>
        <family val="2"/>
        <scheme val="minor"/>
      </rPr>
      <t>étape par étape</t>
    </r>
    <r>
      <rPr>
        <sz val="11"/>
        <color theme="1"/>
        <rFont val="Calibri"/>
        <family val="2"/>
        <scheme val="minor"/>
      </rPr>
      <t>.</t>
    </r>
  </si>
  <si>
    <t>Analyse des données</t>
  </si>
  <si>
    <t>Mise en forme</t>
  </si>
  <si>
    <t>Formules</t>
  </si>
  <si>
    <t>Automatisation</t>
  </si>
  <si>
    <t>Explique-moi [concept] comme si j’étais débutant.</t>
  </si>
  <si>
    <t>Optimisation des calculs</t>
  </si>
  <si>
    <t>Donne-moi une explication progressive en trois niveaux : débutant, intermédiaire et avancé.</t>
  </si>
  <si>
    <t>Erreurs</t>
  </si>
  <si>
    <t>Peux-tu illustrer cela avec une analogie simple ?</t>
  </si>
  <si>
    <t>Lisibilité</t>
  </si>
  <si>
    <t>Tableau croisé dynamique</t>
  </si>
  <si>
    <t>📌 7. Utiliser des formats spécifiques</t>
  </si>
  <si>
    <t>Fonctions avancées</t>
  </si>
  <si>
    <t>Visualisation des données</t>
  </si>
  <si>
    <t>Si vous avez besoin d’une réponse sous une forme précise, indiquez-le clairement.</t>
  </si>
  <si>
    <t>📌 6. Mots-clés pour obtenir des explications détaillées</t>
  </si>
  <si>
    <t>Approche progressive</t>
  </si>
  <si>
    <t>Donne-moi une liste à puces sur [sujet].</t>
  </si>
  <si>
    <t>Niveau débutant / intermédiaire / avancé</t>
  </si>
  <si>
    <t>Rédige un tableau comparatif entre [option A] et [option B].</t>
  </si>
  <si>
    <t>Comparatif</t>
  </si>
  <si>
    <t>Formate cette réponse sous forme de script ou de code Python.</t>
  </si>
  <si>
    <t>Analogies</t>
  </si>
  <si>
    <t>Exemples détaillés</t>
  </si>
  <si>
    <t xml:space="preserve">Avec ces expressions et techniques, vous pouvez interagir avec ChatGPT </t>
  </si>
  <si>
    <t>Étapes successives</t>
  </si>
  <si>
    <t>de manière plus fluide et obtenir des réponses plus précises et adaptées à vos besoins. 🎯</t>
  </si>
  <si>
    <t>Décomposition du problème</t>
  </si>
  <si>
    <t>Scénario</t>
  </si>
  <si>
    <t>Cas d’usage</t>
  </si>
  <si>
    <t>Automatiser toutes vos tâches dans ChatGPT</t>
  </si>
  <si>
    <t>Application pratique</t>
  </si>
  <si>
    <t xml:space="preserve"> https://www.youtube.com/watch?v=eC8GRtkHR7w</t>
  </si>
  <si>
    <t xml:space="preserve">En utilisant ces mots-clés dans vos questions, vous optimiserez vos interactions avec ChatGPT </t>
  </si>
  <si>
    <t>Power Automate : Le Guide Ultime | Tutoriel pour débutants</t>
  </si>
  <si>
    <t>et obtiendrez des réponses plus adaptées à vos attentes. 🎯</t>
  </si>
  <si>
    <t>https://www.youtube.com/watch?v=Lozx5O243Do</t>
  </si>
  <si>
    <t xml:space="preserve">Découvrez comment utiliser ChatGPT pour créer un tableau Excel !rapidement et facilement !  </t>
  </si>
  <si>
    <t>https://www.youtube.com/shorts/fBWGlwtdljc</t>
  </si>
  <si>
    <t>MEGA TUTO : Les BASES de EXCEL - 2H30 de formation gratuite pour débutant sur Excel 2024 !</t>
  </si>
  <si>
    <t>MEGA TUTO : Les BASES de WORD - 2H de formation gratuite pour débutant sur Microsoft Word 2024 !</t>
  </si>
  <si>
    <t>https://www.youtube.com/watch?v=aZ-SY0ORaoA</t>
  </si>
  <si>
    <t>https://www.youtube.com/watch?v=Q_NLy_NQ86M&amp;list=PL_YIPTyDwH029le6-8T91wPfpqGH-iIIU</t>
  </si>
  <si>
    <t>cases à cocher</t>
  </si>
  <si>
    <t>https://youtu.be/wn3uinXeO-Y</t>
  </si>
  <si>
    <t>Je voudrais une recette de pâté de lièvre avec démarche haccp</t>
  </si>
  <si>
    <t>Recette de Pâté de Lièvre avec Démarche HACCP</t>
  </si>
  <si>
    <r>
      <t xml:space="preserve">Voici une recette de pâté de lièvre en intégrant la démarche </t>
    </r>
    <r>
      <rPr>
        <b/>
        <sz val="11"/>
        <color theme="1"/>
        <rFont val="Calibri"/>
        <family val="2"/>
        <scheme val="minor"/>
      </rPr>
      <t>HACCP</t>
    </r>
    <r>
      <rPr>
        <sz val="11"/>
        <color theme="1"/>
        <rFont val="Calibri"/>
        <family val="2"/>
        <scheme val="minor"/>
      </rPr>
      <t xml:space="preserve"> (Hazard Analysis Critical Control Point), qui permet d’assurer la sécurité alimentaire à chaque étape de la préparation.</t>
    </r>
  </si>
  <si>
    <t>https://chatgpt.com/share/67b0cbdb-19d8-8007-823f-c64157ad99cf</t>
  </si>
  <si>
    <t>1. Ingrédients (pour environ 2 kg de pâté)</t>
  </si>
  <si>
    <r>
      <t>Lièvre</t>
    </r>
    <r>
      <rPr>
        <sz val="11"/>
        <color theme="1"/>
        <rFont val="Calibri"/>
        <family val="2"/>
        <scheme val="minor"/>
      </rPr>
      <t xml:space="preserve"> : 1 kg de chair désossée</t>
    </r>
  </si>
  <si>
    <r>
      <t>Porc gras (poitrine, gorge, lard)</t>
    </r>
    <r>
      <rPr>
        <sz val="11"/>
        <color theme="1"/>
        <rFont val="Calibri"/>
        <family val="2"/>
        <scheme val="minor"/>
      </rPr>
      <t xml:space="preserve"> : 500 g</t>
    </r>
  </si>
  <si>
    <r>
      <t>Foie de volaille</t>
    </r>
    <r>
      <rPr>
        <sz val="11"/>
        <color theme="1"/>
        <rFont val="Calibri"/>
        <family val="2"/>
        <scheme val="minor"/>
      </rPr>
      <t xml:space="preserve"> : 200 g</t>
    </r>
  </si>
  <si>
    <r>
      <t>Œufs</t>
    </r>
    <r>
      <rPr>
        <sz val="11"/>
        <color theme="1"/>
        <rFont val="Calibri"/>
        <family val="2"/>
        <scheme val="minor"/>
      </rPr>
      <t xml:space="preserve"> : 2</t>
    </r>
  </si>
  <si>
    <r>
      <t>Crème fraîche</t>
    </r>
    <r>
      <rPr>
        <sz val="11"/>
        <color theme="1"/>
        <rFont val="Calibri"/>
        <family val="2"/>
        <scheme val="minor"/>
      </rPr>
      <t xml:space="preserve"> : 150 g</t>
    </r>
  </si>
  <si>
    <r>
      <t>Cognac ou Armagnac</t>
    </r>
    <r>
      <rPr>
        <sz val="11"/>
        <color theme="1"/>
        <rFont val="Calibri"/>
        <family val="2"/>
        <scheme val="minor"/>
      </rPr>
      <t xml:space="preserve"> : 5 cl</t>
    </r>
  </si>
  <si>
    <r>
      <t>Échalotes</t>
    </r>
    <r>
      <rPr>
        <sz val="11"/>
        <color theme="1"/>
        <rFont val="Calibri"/>
        <family val="2"/>
        <scheme val="minor"/>
      </rPr>
      <t xml:space="preserve"> : 2</t>
    </r>
  </si>
  <si>
    <r>
      <t>Ail</t>
    </r>
    <r>
      <rPr>
        <sz val="11"/>
        <color theme="1"/>
        <rFont val="Calibri"/>
        <family val="2"/>
        <scheme val="minor"/>
      </rPr>
      <t xml:space="preserve"> : 2 gousses</t>
    </r>
  </si>
  <si>
    <r>
      <t>Persil</t>
    </r>
    <r>
      <rPr>
        <sz val="11"/>
        <color theme="1"/>
        <rFont val="Calibri"/>
        <family val="2"/>
        <scheme val="minor"/>
      </rPr>
      <t xml:space="preserve"> : 1 bouquet</t>
    </r>
  </si>
  <si>
    <r>
      <t>Sel</t>
    </r>
    <r>
      <rPr>
        <sz val="11"/>
        <color theme="1"/>
        <rFont val="Calibri"/>
        <family val="2"/>
        <scheme val="minor"/>
      </rPr>
      <t xml:space="preserve"> : 18 g/kg de mélange</t>
    </r>
  </si>
  <si>
    <r>
      <t>Poivre moulu</t>
    </r>
    <r>
      <rPr>
        <sz val="11"/>
        <color theme="1"/>
        <rFont val="Calibri"/>
        <family val="2"/>
        <scheme val="minor"/>
      </rPr>
      <t xml:space="preserve"> : 3 g/kg de mélange</t>
    </r>
  </si>
  <si>
    <r>
      <t>4 épices</t>
    </r>
    <r>
      <rPr>
        <sz val="11"/>
        <color theme="1"/>
        <rFont val="Calibri"/>
        <family val="2"/>
        <scheme val="minor"/>
      </rPr>
      <t xml:space="preserve"> : 2 g</t>
    </r>
  </si>
  <si>
    <r>
      <t>Laurier</t>
    </r>
    <r>
      <rPr>
        <sz val="11"/>
        <color theme="1"/>
        <rFont val="Calibri"/>
        <family val="2"/>
        <scheme val="minor"/>
      </rPr>
      <t xml:space="preserve"> : 2 feuilles</t>
    </r>
  </si>
  <si>
    <t>Garniture aromatique (thym, romarin, clous de girofle, etc.)</t>
  </si>
  <si>
    <r>
      <t>Farce à gratin (facultatif)</t>
    </r>
    <r>
      <rPr>
        <sz val="11"/>
        <color theme="1"/>
        <rFont val="Calibri"/>
        <family val="2"/>
        <scheme val="minor"/>
      </rPr>
      <t xml:space="preserve"> : 100 g</t>
    </r>
  </si>
  <si>
    <r>
      <t>Gelée de viande</t>
    </r>
    <r>
      <rPr>
        <sz val="11"/>
        <color theme="1"/>
        <rFont val="Calibri"/>
        <family val="2"/>
        <scheme val="minor"/>
      </rPr>
      <t xml:space="preserve"> : pour nappage</t>
    </r>
  </si>
  <si>
    <t>2. Étapes de Préparation et Points de Contrôle HACCP</t>
  </si>
  <si>
    <t>a) Réception et Stockage des Ingrédients</t>
  </si>
  <si>
    <r>
      <t xml:space="preserve">✅ </t>
    </r>
    <r>
      <rPr>
        <b/>
        <sz val="11"/>
        <color theme="1"/>
        <rFont val="Calibri"/>
        <family val="2"/>
        <scheme val="minor"/>
      </rPr>
      <t>CCP 1 (Contrôle des Matières Premières)</t>
    </r>
  </si>
  <si>
    <t>Vérifier la fraîcheur de la viande (T°C &lt; 4°C, absence d’odeur suspecte).</t>
  </si>
  <si>
    <t>Vérifier la traçabilité des produits.</t>
  </si>
  <si>
    <t>Stocker la viande immédiatement au réfrigérateur (T°C entre 0 et 3°C).</t>
  </si>
  <si>
    <t>Séparer viandes crues et autres ingrédients pour éviter la contamination croisée.</t>
  </si>
  <si>
    <t>b) Préparation des ingrédients</t>
  </si>
  <si>
    <r>
      <t xml:space="preserve">✅ </t>
    </r>
    <r>
      <rPr>
        <b/>
        <sz val="11"/>
        <color theme="1"/>
        <rFont val="Calibri"/>
        <family val="2"/>
        <scheme val="minor"/>
      </rPr>
      <t>CCP 2 (Hygiène du Personnel et du Matériel)</t>
    </r>
  </si>
  <si>
    <t>Laver et désinfecter les mains, le plan de travail et le matériel.</t>
  </si>
  <si>
    <t>Désinfecter les échalotes, ail et persil avant utilisation.</t>
  </si>
  <si>
    <r>
      <t xml:space="preserve">✅ </t>
    </r>
    <r>
      <rPr>
        <b/>
        <sz val="11"/>
        <color theme="1"/>
        <rFont val="Calibri"/>
        <family val="2"/>
        <scheme val="minor"/>
      </rPr>
      <t>CCP 3 (Maîtrise de la Température)</t>
    </r>
  </si>
  <si>
    <t>Garder les viandes au froid jusqu’au moment du hachage (éviter prolifération bactérienne).</t>
  </si>
  <si>
    <t>1. Désosser le lièvre et le découper en morceaux.</t>
  </si>
  <si>
    <t>2. Émincer les échalotes, l’ail et le persil.</t>
  </si>
  <si>
    <t>3. Hacher les viandes (lièvre, porc et foie de volaille) avec une grille moyenne.</t>
  </si>
  <si>
    <t>c) Assaisonnement et Macération</t>
  </si>
  <si>
    <t>1. Ajouter le sel, poivre, 4 épices et le cognac.</t>
  </si>
  <si>
    <t>2. Mélanger soigneusement et laisser macérer au réfrigérateur pendant 12 h.</t>
  </si>
  <si>
    <r>
      <t xml:space="preserve">✅ </t>
    </r>
    <r>
      <rPr>
        <b/>
        <sz val="11"/>
        <color theme="1"/>
        <rFont val="Calibri"/>
        <family val="2"/>
        <scheme val="minor"/>
      </rPr>
      <t>CCP 4 (Maîtrise du pH et de la Salaison)</t>
    </r>
  </si>
  <si>
    <t>Vérifier la dose de sel (minimum 18 g/kg) pour garantir la conservation.</t>
  </si>
  <si>
    <t>d) Montage et Cuisson du Pâté</t>
  </si>
  <si>
    <t>1. Incorporer les œufs et la crème à la préparation.</t>
  </si>
  <si>
    <t>2. Remplir des terrines en tassant bien, ajouter une feuille de laurier sur le dessus.</t>
  </si>
  <si>
    <r>
      <t xml:space="preserve">3. Cuire au bain-marie à </t>
    </r>
    <r>
      <rPr>
        <b/>
        <sz val="11"/>
        <color theme="1"/>
        <rFont val="Calibri"/>
        <family val="2"/>
        <scheme val="minor"/>
      </rPr>
      <t>160°C pendant 1h30</t>
    </r>
    <r>
      <rPr>
        <sz val="11"/>
        <color theme="1"/>
        <rFont val="Calibri"/>
        <family val="2"/>
        <scheme val="minor"/>
      </rPr>
      <t xml:space="preserve"> jusqu’à atteindre une température à cœur de </t>
    </r>
    <r>
      <rPr>
        <b/>
        <sz val="11"/>
        <color theme="1"/>
        <rFont val="Calibri"/>
        <family val="2"/>
        <scheme val="minor"/>
      </rPr>
      <t>75°C minimum</t>
    </r>
    <r>
      <rPr>
        <sz val="11"/>
        <color theme="1"/>
        <rFont val="Calibri"/>
        <family val="2"/>
        <scheme val="minor"/>
      </rPr>
      <t>.</t>
    </r>
  </si>
  <si>
    <r>
      <t xml:space="preserve">✅ </t>
    </r>
    <r>
      <rPr>
        <b/>
        <sz val="11"/>
        <color theme="1"/>
        <rFont val="Calibri"/>
        <family val="2"/>
        <scheme val="minor"/>
      </rPr>
      <t>CCP 5 (Maîtrise de la Cuisson)</t>
    </r>
  </si>
  <si>
    <t>Vérifier la température à cœur du pâté avec une sonde (≥ 75°C pour éliminer les pathogènes).</t>
  </si>
  <si>
    <t>e) Refroidissement et Conservation</t>
  </si>
  <si>
    <r>
      <t xml:space="preserve">✅ </t>
    </r>
    <r>
      <rPr>
        <b/>
        <sz val="11"/>
        <color theme="1"/>
        <rFont val="Calibri"/>
        <family val="2"/>
        <scheme val="minor"/>
      </rPr>
      <t>CCP 6 (Refroidissement Rapide)</t>
    </r>
  </si>
  <si>
    <t>Refroidir les terrines dans un bac d’eau froide puis en chambre froide (de +63°C à &lt;10°C en moins de 2h).</t>
  </si>
  <si>
    <r>
      <t xml:space="preserve">✅ </t>
    </r>
    <r>
      <rPr>
        <b/>
        <sz val="11"/>
        <color theme="1"/>
        <rFont val="Calibri"/>
        <family val="2"/>
        <scheme val="minor"/>
      </rPr>
      <t>CCP 7 (Stockage et DLC)</t>
    </r>
  </si>
  <si>
    <r>
      <t xml:space="preserve">Conserver le pâté à </t>
    </r>
    <r>
      <rPr>
        <b/>
        <sz val="11"/>
        <color theme="1"/>
        <rFont val="Calibri"/>
        <family val="2"/>
        <scheme val="minor"/>
      </rPr>
      <t>+3°C</t>
    </r>
    <r>
      <rPr>
        <sz val="11"/>
        <color theme="1"/>
        <rFont val="Calibri"/>
        <family val="2"/>
        <scheme val="minor"/>
      </rPr>
      <t xml:space="preserve"> et consommer sous </t>
    </r>
    <r>
      <rPr>
        <b/>
        <sz val="11"/>
        <color theme="1"/>
        <rFont val="Calibri"/>
        <family val="2"/>
        <scheme val="minor"/>
      </rPr>
      <t>5 jours</t>
    </r>
    <r>
      <rPr>
        <sz val="11"/>
        <color theme="1"/>
        <rFont val="Calibri"/>
        <family val="2"/>
        <scheme val="minor"/>
      </rPr>
      <t>.</t>
    </r>
  </si>
  <si>
    <t>Pour une conservation plus longue, recouvrir de gelée et stocker sous vide.</t>
  </si>
  <si>
    <t>f) Service et Consommation</t>
  </si>
  <si>
    <t>Servir frais avec du pain de campagne et des cornichons.</t>
  </si>
  <si>
    <t>S’assurer que le pâté est consommé dans les délais recommandés.</t>
  </si>
  <si>
    <t>Résumé des Points Critiques HACCP</t>
  </si>
  <si>
    <t>Étape</t>
  </si>
  <si>
    <t>Danger</t>
  </si>
  <si>
    <t>Contrôle</t>
  </si>
  <si>
    <t>Action Corrective</t>
  </si>
  <si>
    <t>Réception</t>
  </si>
  <si>
    <t>Viande avariée</t>
  </si>
  <si>
    <t>Vérification qualité &amp; T°C</t>
  </si>
  <si>
    <t>Refus des matières non conformes</t>
  </si>
  <si>
    <t>Préparation</t>
  </si>
  <si>
    <t>Contamination croisée</t>
  </si>
  <si>
    <t>Hygiène stricte &amp; désinfection</t>
  </si>
  <si>
    <t>Nettoyage &amp; formation du personnel</t>
  </si>
  <si>
    <t>Hachage</t>
  </si>
  <si>
    <t>Multiplication bactérienne</t>
  </si>
  <si>
    <t>Travail à froid</t>
  </si>
  <si>
    <t>Maintien au froid permanent</t>
  </si>
  <si>
    <t>Cuisson</t>
  </si>
  <si>
    <t>Pathogènes</t>
  </si>
  <si>
    <t>T°C ≥ 75°C à cœur</t>
  </si>
  <si>
    <t>Prolongation cuisson si nécessaire</t>
  </si>
  <si>
    <t>Passage rapide en froid</t>
  </si>
  <si>
    <t>Réduction des portions, contrôle T°C</t>
  </si>
  <si>
    <t>Stockage</t>
  </si>
  <si>
    <t>Mauvaise conservation</t>
  </si>
  <si>
    <t>T°C ≤ 3°C</t>
  </si>
  <si>
    <t>Élimination des produits douteux</t>
  </si>
  <si>
    <r>
      <t xml:space="preserve">Avec cette démarche HACCP, votre pâté de lièvre est </t>
    </r>
    <r>
      <rPr>
        <b/>
        <sz val="11"/>
        <color theme="1"/>
        <rFont val="Calibri"/>
        <family val="2"/>
        <scheme val="minor"/>
      </rPr>
      <t>sécurisé</t>
    </r>
    <r>
      <rPr>
        <sz val="11"/>
        <color theme="1"/>
        <rFont val="Calibri"/>
        <family val="2"/>
        <scheme val="minor"/>
      </rPr>
      <t xml:space="preserve"> et conforme aux bonnes pratiques d’hygiène ! 😊</t>
    </r>
  </si>
  <si>
    <t>Ce document est composé de :</t>
  </si>
  <si>
    <t>avec valeurs ou texte</t>
  </si>
  <si>
    <t xml:space="preserve">cellules vides </t>
  </si>
  <si>
    <t>Grille d’analyse des contrastes d’une charte</t>
  </si>
  <si>
    <t>lignes</t>
  </si>
  <si>
    <t>https://blog.atalan.fr/grille-contrastes-accessibilite-charte-graphique/</t>
  </si>
  <si>
    <t>colonnes</t>
  </si>
  <si>
    <t>Contrastes de couleurs de texte</t>
  </si>
  <si>
    <t>https://www.tanaguru.com/contrastes-couleurs-choisir-combinaisons-accessibles/</t>
  </si>
  <si>
    <t>Les 10 meilleures polices d’écriture</t>
  </si>
  <si>
    <t>Utiliser la pipette pour faire correspondre les couleurs de votre diapositive</t>
  </si>
  <si>
    <t>https://www.redacteur.com/blog/polices-ecriture-a-utiliser/</t>
  </si>
  <si>
    <t>Pour renvoyer un texte</t>
  </si>
  <si>
    <t>https://support.microsoft.com/fr-fr/office/utiliser-la-pipette-pour-faire-correspondre-les-couleurs-de-votre-diapositive-d5e7a32a-da6c-4bed-9f1e-8797f07174e9</t>
  </si>
  <si>
    <t xml:space="preserve"> a la ligne dans une cellule</t>
  </si>
  <si>
    <t>vous pouvez fusionner les cellules et renvoyer à la ligne automatiquement</t>
  </si>
  <si>
    <t>Comment utiliser un code couleur dans Excel ?</t>
  </si>
  <si>
    <t>https://clickup.com/fr-FR/blog/202591/comment-faire-un-code-couleur-dans-excel</t>
  </si>
  <si>
    <t>R128-V0-B0</t>
  </si>
  <si>
    <t>https://excel-downloads.com/forums/forum-excel.7/</t>
  </si>
  <si>
    <t>MAIS VOUS POUVEZ AUSSI</t>
  </si>
  <si>
    <t>BOEUF
VB = Viandede bœuf</t>
  </si>
  <si>
    <t>L'association de couleurs expliquée en 20 exemples tendance</t>
  </si>
  <si>
    <t>https://www.canva.com/fr_fr/decouvrir/association-de-couleur-tendance-exemple/</t>
  </si>
  <si>
    <t>Votre éditeur de photo en ligne est là et restera toujours gratuit !</t>
  </si>
  <si>
    <t xml:space="preserve">Insérer un saut de ligne </t>
  </si>
  <si>
    <t>https://www.iloveimg.com/fr</t>
  </si>
  <si>
    <t>dans la cellule</t>
  </si>
  <si>
    <t>1. Double-cliquez sur la</t>
  </si>
  <si>
    <t>Coul</t>
  </si>
  <si>
    <t>Hex</t>
  </si>
  <si>
    <t>R.rouge</t>
  </si>
  <si>
    <t>V.vert</t>
  </si>
  <si>
    <t>B.bleu</t>
  </si>
  <si>
    <t>Name</t>
  </si>
  <si>
    <t>Désignation</t>
  </si>
  <si>
    <t xml:space="preserve"> cellule dans laquelle </t>
  </si>
  <si>
    <t>#000000</t>
  </si>
  <si>
    <t>Profond ciel Bleu</t>
  </si>
  <si>
    <t>Azur</t>
  </si>
  <si>
    <t>gris 29</t>
  </si>
  <si>
    <t>Gris foncé.856</t>
  </si>
  <si>
    <t>bisque2</t>
  </si>
  <si>
    <t>Orange clair.341 délavé.429</t>
  </si>
  <si>
    <t xml:space="preserve">vous voulez insérer une </t>
  </si>
  <si>
    <t>#FFFFFF</t>
  </si>
  <si>
    <t>Azur clair.023 délavé.795</t>
  </si>
  <si>
    <t>gris 28</t>
  </si>
  <si>
    <t>Gris foncé.868</t>
  </si>
  <si>
    <t>Jaune orangé pâle</t>
  </si>
  <si>
    <t>Orange clair.342 délavé.130</t>
  </si>
  <si>
    <t>coupure de ligne</t>
  </si>
  <si>
    <t>#FF0000</t>
  </si>
  <si>
    <t>ciel Bleu2</t>
  </si>
  <si>
    <t>Azur clair.075 délavé.306</t>
  </si>
  <si>
    <t>gris 27</t>
  </si>
  <si>
    <t>Gris foncé.875</t>
  </si>
  <si>
    <t xml:space="preserve">NavajoBlanc </t>
  </si>
  <si>
    <t>Orange clair.427</t>
  </si>
  <si>
    <t xml:space="preserve">2. Cliquez à l’emplacement </t>
  </si>
  <si>
    <t>#00FF00</t>
  </si>
  <si>
    <t>léger ciel Bleu</t>
  </si>
  <si>
    <t>Azur clair.207 délavé.108</t>
  </si>
  <si>
    <t>gris 26</t>
  </si>
  <si>
    <t>Gris foncé.885</t>
  </si>
  <si>
    <t>AntiqueBlanc 2</t>
  </si>
  <si>
    <t>Orange clair.470 délavé.534</t>
  </si>
  <si>
    <t xml:space="preserve">où vous souhaitez couper </t>
  </si>
  <si>
    <t>#0000FF</t>
  </si>
  <si>
    <t>Bleu très clair</t>
  </si>
  <si>
    <t>Azur clair.248 délavé.312</t>
  </si>
  <si>
    <t>gris 25</t>
  </si>
  <si>
    <t>Gris foncé.892</t>
  </si>
  <si>
    <t>Bisque</t>
  </si>
  <si>
    <t>Orange clair.560</t>
  </si>
  <si>
    <t>la ligne.</t>
  </si>
  <si>
    <t>#FFFF00</t>
  </si>
  <si>
    <t>ciel Bleu1</t>
  </si>
  <si>
    <t>Azur clair.250</t>
  </si>
  <si>
    <t>gris 24</t>
  </si>
  <si>
    <t>Gris foncé.902</t>
  </si>
  <si>
    <t xml:space="preserve">AntiqueBlanc </t>
  </si>
  <si>
    <t>Orange clair.643 délavé.241</t>
  </si>
  <si>
    <t xml:space="preserve">3. Appuyez sur Alt+Entrée </t>
  </si>
  <si>
    <t>#FF00FF</t>
  </si>
  <si>
    <t>Bleu très pâle</t>
  </si>
  <si>
    <t>Azur clair.308 délavé.589</t>
  </si>
  <si>
    <t>gris 23</t>
  </si>
  <si>
    <t>Gris foncé.908</t>
  </si>
  <si>
    <t>AntiqueBlanc 1</t>
  </si>
  <si>
    <t>Orange clair.715</t>
  </si>
  <si>
    <t xml:space="preserve">pour insérer le break </t>
  </si>
  <si>
    <t>#00FFFF</t>
  </si>
  <si>
    <t>Ardoise gris 2</t>
  </si>
  <si>
    <t>Azur clair.352 délavé.437</t>
  </si>
  <si>
    <t>gris 22</t>
  </si>
  <si>
    <t>Gris foncé.917</t>
  </si>
  <si>
    <t>Lin</t>
  </si>
  <si>
    <t>Orange clair.753 délavé.348</t>
  </si>
  <si>
    <t>de ligne.</t>
  </si>
  <si>
    <t>#800000</t>
  </si>
  <si>
    <t>Ardoise gris 1</t>
  </si>
  <si>
    <t>Azur clair.573</t>
  </si>
  <si>
    <t>gris 21</t>
  </si>
  <si>
    <t>Gris foncé.922</t>
  </si>
  <si>
    <t>burlywood</t>
  </si>
  <si>
    <t>Orange foncé.013 délavé.507</t>
  </si>
  <si>
    <t>#008000</t>
  </si>
  <si>
    <t>Azur clair.798 délavé.919</t>
  </si>
  <si>
    <t>gris 20</t>
  </si>
  <si>
    <t>Gris foncé.930</t>
  </si>
  <si>
    <t>bisque3</t>
  </si>
  <si>
    <t>Orange foncé.031 délavé.724</t>
  </si>
  <si>
    <t>AliceBleu</t>
  </si>
  <si>
    <t>Azur clair.875</t>
  </si>
  <si>
    <t>Gris anthracite</t>
  </si>
  <si>
    <t>Gris foncé.938</t>
  </si>
  <si>
    <t>tan</t>
  </si>
  <si>
    <t>Orange foncé.078 délavé.587</t>
  </si>
  <si>
    <t>Ardoise gris 3</t>
  </si>
  <si>
    <t>Azur foncé.026 délavé.730</t>
  </si>
  <si>
    <t>gris 18</t>
  </si>
  <si>
    <t>Gris foncé.943</t>
  </si>
  <si>
    <t>NavajoBlanc 3</t>
  </si>
  <si>
    <t>Orange foncé.115 délavé.602</t>
  </si>
  <si>
    <t>Profond ciel Bleu2</t>
  </si>
  <si>
    <t>Azur foncé.142</t>
  </si>
  <si>
    <t>gris 17</t>
  </si>
  <si>
    <t>Gris foncé.949</t>
  </si>
  <si>
    <t>Dorérod2</t>
  </si>
  <si>
    <t>Orange foncé.125 délavé.038</t>
  </si>
  <si>
    <t>Bleu clair</t>
  </si>
  <si>
    <t>Azur foncé.220 délavé.432</t>
  </si>
  <si>
    <t>gris 16</t>
  </si>
  <si>
    <t>Gris foncé.954</t>
  </si>
  <si>
    <t>Jaune orangé moyen</t>
  </si>
  <si>
    <t>Orange foncé.127 délavé.229</t>
  </si>
  <si>
    <t>ciel Bleu3</t>
  </si>
  <si>
    <t>Azur foncé.226 délavé.403</t>
  </si>
  <si>
    <t>gris 15</t>
  </si>
  <si>
    <t>Gris foncé.959</t>
  </si>
  <si>
    <t>SombRouge orérod2</t>
  </si>
  <si>
    <t>Orange foncé.137 délavé.010</t>
  </si>
  <si>
    <t>Bleu pâle</t>
  </si>
  <si>
    <t>Azur foncé.265 délavé.794</t>
  </si>
  <si>
    <t>gris 14</t>
  </si>
  <si>
    <t>Gris foncé.963</t>
  </si>
  <si>
    <t>burlywood3</t>
  </si>
  <si>
    <t>Orange foncé.169 délavé.512</t>
  </si>
  <si>
    <t>Azur foncé.354 délavé.108</t>
  </si>
  <si>
    <t>gris 13</t>
  </si>
  <si>
    <t>Gris foncé.968</t>
  </si>
  <si>
    <t>Dorérod</t>
  </si>
  <si>
    <t>Orange foncé.277 délavé.042</t>
  </si>
  <si>
    <t>ciel Bleu</t>
  </si>
  <si>
    <t>Azur foncé.355 délavé.104</t>
  </si>
  <si>
    <t>gris 12</t>
  </si>
  <si>
    <t>Gris foncé.972</t>
  </si>
  <si>
    <t>Brun jaunâtre clair</t>
  </si>
  <si>
    <t>Orange foncé.305 délavé.441</t>
  </si>
  <si>
    <t>#FFFFCC</t>
  </si>
  <si>
    <t>Profond ciel Bleu3</t>
  </si>
  <si>
    <t>Azur foncé.382</t>
  </si>
  <si>
    <t>gris 11</t>
  </si>
  <si>
    <t>Gris foncé.976</t>
  </si>
  <si>
    <t>Brun jaunâtre clair grisâtre</t>
  </si>
  <si>
    <t>Orange foncé.337 délavé.696</t>
  </si>
  <si>
    <t>Bleu acier</t>
  </si>
  <si>
    <t>Azur foncé.456 délavé.163</t>
  </si>
  <si>
    <t>gris 10</t>
  </si>
  <si>
    <t>Gris foncé.979</t>
  </si>
  <si>
    <t>Dorérod3</t>
  </si>
  <si>
    <t>Orange foncé.369 délavé.040</t>
  </si>
  <si>
    <t xml:space="preserve">léger Ardoise gris </t>
  </si>
  <si>
    <t>Azur foncé.481 délavé.738</t>
  </si>
  <si>
    <t>gris 9</t>
  </si>
  <si>
    <t>Gris foncé.982</t>
  </si>
  <si>
    <t>SombRouge orérod3</t>
  </si>
  <si>
    <t>Orange foncé.378 délavé.012</t>
  </si>
  <si>
    <t>#339966</t>
  </si>
  <si>
    <t xml:space="preserve">Ardoise gris </t>
  </si>
  <si>
    <t>Azur foncé.544 délavé.739</t>
  </si>
  <si>
    <t>gris 8</t>
  </si>
  <si>
    <t>Gris foncé.986</t>
  </si>
  <si>
    <t>CSS Or</t>
  </si>
  <si>
    <t>Orange foncé.388</t>
  </si>
  <si>
    <t>Ardoise gris 4</t>
  </si>
  <si>
    <t>Azur foncé.577 délavé.739</t>
  </si>
  <si>
    <t>gris 7</t>
  </si>
  <si>
    <t>Gris foncé.988</t>
  </si>
  <si>
    <t>Jaune orangé foncé</t>
  </si>
  <si>
    <t>Orange foncé.427 délavé.171</t>
  </si>
  <si>
    <t>Gris de Payne</t>
  </si>
  <si>
    <t>Azur foncé.660 délavé.833</t>
  </si>
  <si>
    <t>gris 6</t>
  </si>
  <si>
    <t>Gris foncé.991</t>
  </si>
  <si>
    <t>SombRouge orérod</t>
  </si>
  <si>
    <t>Orange foncé.509 délavé.013</t>
  </si>
  <si>
    <t>ciel Bleu4</t>
  </si>
  <si>
    <t>Azur foncé.662 délavé.425</t>
  </si>
  <si>
    <t>gris 5</t>
  </si>
  <si>
    <t>Gris foncé.992</t>
  </si>
  <si>
    <t>bronze II</t>
  </si>
  <si>
    <t>Orange foncé.561 délavé.223</t>
  </si>
  <si>
    <t>Acier Bleu</t>
  </si>
  <si>
    <t>Azur foncé.704 délavé.118</t>
  </si>
  <si>
    <t>gris 4</t>
  </si>
  <si>
    <t>Gris foncé.994</t>
  </si>
  <si>
    <t>Havane</t>
  </si>
  <si>
    <t>Orange foncé.573 délavé.572</t>
  </si>
  <si>
    <t>Bleu grisâtre</t>
  </si>
  <si>
    <t>Azur foncé.714 délavé.635</t>
  </si>
  <si>
    <t>gris 3</t>
  </si>
  <si>
    <t>Gris foncé.995</t>
  </si>
  <si>
    <t>Terre de Sienne brûlée</t>
  </si>
  <si>
    <t>Orange foncé.574 délavé.526</t>
  </si>
  <si>
    <t>Profond ciel Bleu4</t>
  </si>
  <si>
    <t>Azur foncé.734</t>
  </si>
  <si>
    <t>gris 2</t>
  </si>
  <si>
    <t>Gris foncé.997</t>
  </si>
  <si>
    <t>bisque4</t>
  </si>
  <si>
    <t>Orange foncé.580 délavé.730</t>
  </si>
  <si>
    <t>Gris foncé bleuté</t>
  </si>
  <si>
    <t>Azur foncé.797 délavé.849</t>
  </si>
  <si>
    <t>gris 1</t>
  </si>
  <si>
    <t>Gris foncé.998</t>
  </si>
  <si>
    <t>NavajoBlanc 4</t>
  </si>
  <si>
    <t>Orange foncé.617 délavé.610</t>
  </si>
  <si>
    <t>Liste de 729 couleurs RGB</t>
  </si>
  <si>
    <t>Bleu de Prusse (pigment)</t>
  </si>
  <si>
    <t>Azur foncé.870 délavé.282</t>
  </si>
  <si>
    <t>Jaune secondaire</t>
  </si>
  <si>
    <t>burlywood4</t>
  </si>
  <si>
    <t>Orange foncé.638 délavé.526</t>
  </si>
  <si>
    <t>https://excel-pratique.com/fr/vba/liste-couleurs-rgb.php</t>
  </si>
  <si>
    <t>Bleu foncé grisâtre</t>
  </si>
  <si>
    <t>Azur foncé.879 délavé.642</t>
  </si>
  <si>
    <t>Jaune verdâtre clair</t>
  </si>
  <si>
    <t>Jaune clair.025 délavé.355</t>
  </si>
  <si>
    <t>Châtaigne</t>
  </si>
  <si>
    <t>Orange foncé.670 délavé.648</t>
  </si>
  <si>
    <t>Bleu noirâtre</t>
  </si>
  <si>
    <t>Azur foncé.954 délavé.652</t>
  </si>
  <si>
    <t>Jaune citron</t>
  </si>
  <si>
    <t>Jaune clair.048</t>
  </si>
  <si>
    <t>Châtain</t>
  </si>
  <si>
    <t>Orange foncé.676 délavé.354</t>
  </si>
  <si>
    <t>0, 0, 0</t>
  </si>
  <si>
    <t>0, 0, 32</t>
  </si>
  <si>
    <t>0, 0, 64</t>
  </si>
  <si>
    <t>0, 0, 96</t>
  </si>
  <si>
    <t>0, 0, 128</t>
  </si>
  <si>
    <t>0, 0, 160</t>
  </si>
  <si>
    <t>0, 0, 192</t>
  </si>
  <si>
    <t>0, 0, 224</t>
  </si>
  <si>
    <t>0, 0, 255</t>
  </si>
  <si>
    <t>Noir bleuté</t>
  </si>
  <si>
    <t>Azur foncé.963 délavé.807</t>
  </si>
  <si>
    <t>léger Jaune3</t>
  </si>
  <si>
    <t>Jaune clair.084 délavé.833</t>
  </si>
  <si>
    <t>Brun jaunâtre grisâtre</t>
  </si>
  <si>
    <t>Orange foncé.677 délavé.662</t>
  </si>
  <si>
    <t>0, 32, 0</t>
  </si>
  <si>
    <t>0, 32, 32</t>
  </si>
  <si>
    <t>0, 32, 64</t>
  </si>
  <si>
    <t>0, 32, 96</t>
  </si>
  <si>
    <t>0, 32, 128</t>
  </si>
  <si>
    <t>0, 32, 160</t>
  </si>
  <si>
    <t>0, 32, 192</t>
  </si>
  <si>
    <t>0, 32, 224</t>
  </si>
  <si>
    <t>0, 32, 255</t>
  </si>
  <si>
    <t>Acier Bleu1</t>
  </si>
  <si>
    <t>Azur lég. bleu clair.130</t>
  </si>
  <si>
    <t>Flave</t>
  </si>
  <si>
    <t>Jaune clair.114 délavé.460</t>
  </si>
  <si>
    <t>Brun Olive clair</t>
  </si>
  <si>
    <t>Orange foncé.678 délavé.054</t>
  </si>
  <si>
    <t>0, 64, 0</t>
  </si>
  <si>
    <t>0, 64, 32</t>
  </si>
  <si>
    <t>0, 64, 64</t>
  </si>
  <si>
    <t>0, 64, 96</t>
  </si>
  <si>
    <t>0, 64, 128</t>
  </si>
  <si>
    <t>0, 64, 160</t>
  </si>
  <si>
    <t>0, 64, 192</t>
  </si>
  <si>
    <t>0, 64, 224</t>
  </si>
  <si>
    <t>0, 64, 255</t>
  </si>
  <si>
    <t>léger Acier Bleu</t>
  </si>
  <si>
    <t>Azur lég. bleu clair.180 délavé.643</t>
  </si>
  <si>
    <t>Jaune mimosa</t>
  </si>
  <si>
    <t>Jaune clair.147 délavé.020</t>
  </si>
  <si>
    <t>Bistre</t>
  </si>
  <si>
    <t>Orange foncé.680 délavé.486</t>
  </si>
  <si>
    <t>0, 96, 0</t>
  </si>
  <si>
    <t>0, 96, 32</t>
  </si>
  <si>
    <t>0, 96, 64</t>
  </si>
  <si>
    <t>0, 96, 96</t>
  </si>
  <si>
    <t>0, 96, 128</t>
  </si>
  <si>
    <t>0, 96, 160</t>
  </si>
  <si>
    <t>0, 96, 192</t>
  </si>
  <si>
    <t>0, 96, 224</t>
  </si>
  <si>
    <t>0, 96, 255</t>
  </si>
  <si>
    <t>Bleu ciel</t>
  </si>
  <si>
    <t>Azur lég. bleu clair.183 délavé.021</t>
  </si>
  <si>
    <t>Jaune fleur de soufre</t>
  </si>
  <si>
    <t>Jaune clair.153</t>
  </si>
  <si>
    <t>Terre d'ombre</t>
  </si>
  <si>
    <t>Orange foncé.683 délavé.134</t>
  </si>
  <si>
    <t>0, 128, 0</t>
  </si>
  <si>
    <t>0, 128, 32</t>
  </si>
  <si>
    <t>0, 128, 64</t>
  </si>
  <si>
    <t>0, 128, 96</t>
  </si>
  <si>
    <t>0, 128, 128</t>
  </si>
  <si>
    <t>0, 128, 160</t>
  </si>
  <si>
    <t>0, 128, 192</t>
  </si>
  <si>
    <t>0, 128, 224</t>
  </si>
  <si>
    <t>0, 128, 255</t>
  </si>
  <si>
    <t>Azur lég. bleu clair.327</t>
  </si>
  <si>
    <t>Ivoire3</t>
  </si>
  <si>
    <t>Jaune clair.160 délavé.909</t>
  </si>
  <si>
    <t xml:space="preserve">Sienne </t>
  </si>
  <si>
    <t>Orange foncé.704 délavé.118</t>
  </si>
  <si>
    <t>0, 160, 0</t>
  </si>
  <si>
    <t>0, 160, 32</t>
  </si>
  <si>
    <t>0, 160, 64</t>
  </si>
  <si>
    <t>0, 160, 96</t>
  </si>
  <si>
    <t>0, 160, 128</t>
  </si>
  <si>
    <t>0, 160, 160</t>
  </si>
  <si>
    <t>0, 160, 192</t>
  </si>
  <si>
    <t>0, 160, 224</t>
  </si>
  <si>
    <t>0, 160, 255</t>
  </si>
  <si>
    <t>léger Acier Bleu2</t>
  </si>
  <si>
    <t>Azur lég. bleu clair.370 délavé.449</t>
  </si>
  <si>
    <t>Jaune verdâtre pâle</t>
  </si>
  <si>
    <t>Jaune clair.215 délavé.421</t>
  </si>
  <si>
    <t>Brun jaunâtre moyen</t>
  </si>
  <si>
    <t>Orange foncé.708 délavé.417</t>
  </si>
  <si>
    <t>0, 192, 0</t>
  </si>
  <si>
    <t>0, 192, 32</t>
  </si>
  <si>
    <t>0, 192, 64</t>
  </si>
  <si>
    <t>0, 192, 96</t>
  </si>
  <si>
    <t>0, 192, 128</t>
  </si>
  <si>
    <t>0, 192, 160</t>
  </si>
  <si>
    <t>0, 192, 192</t>
  </si>
  <si>
    <t>0, 192, 224</t>
  </si>
  <si>
    <t>0, 192, 255</t>
  </si>
  <si>
    <t>léger Acier Bleu1</t>
  </si>
  <si>
    <t>Azur lég. bleu clair.599</t>
  </si>
  <si>
    <t>Wheat</t>
  </si>
  <si>
    <t>Jaune clair.223 délavé.789</t>
  </si>
  <si>
    <t>Dorérod4</t>
  </si>
  <si>
    <t>Orange foncé.727 délavé.052</t>
  </si>
  <si>
    <t>0, 224, 0</t>
  </si>
  <si>
    <t>0, 224, 32</t>
  </si>
  <si>
    <t>0, 224, 64</t>
  </si>
  <si>
    <t>0, 224, 96</t>
  </si>
  <si>
    <t>0, 224, 128</t>
  </si>
  <si>
    <t>0, 224, 160</t>
  </si>
  <si>
    <t>0, 224, 192</t>
  </si>
  <si>
    <t>0, 224, 224</t>
  </si>
  <si>
    <t>0, 224, 255</t>
  </si>
  <si>
    <t>léger Acier Bleu3</t>
  </si>
  <si>
    <t>Azur lég. bleu foncé.012 délavé.749</t>
  </si>
  <si>
    <t>Moyen Dorérod</t>
  </si>
  <si>
    <t>Jaune clair.259 délavé.467</t>
  </si>
  <si>
    <t>SombRouge orérod4</t>
  </si>
  <si>
    <t>Orange foncé.731 délavé.017</t>
  </si>
  <si>
    <t>0, 255, 0</t>
  </si>
  <si>
    <t>0, 255, 32</t>
  </si>
  <si>
    <t>0, 255, 64</t>
  </si>
  <si>
    <t>0, 255, 96</t>
  </si>
  <si>
    <t>0, 255, 128</t>
  </si>
  <si>
    <t>0, 255, 160</t>
  </si>
  <si>
    <t>0, 255, 192</t>
  </si>
  <si>
    <t>0, 255, 224</t>
  </si>
  <si>
    <t>0, 255, 255</t>
  </si>
  <si>
    <t>Acier Bleu2</t>
  </si>
  <si>
    <t>Azur lég. bleu foncé.030 délavé.231</t>
  </si>
  <si>
    <t>léger Jaune2</t>
  </si>
  <si>
    <t>Jaune clair.503 délavé.570</t>
  </si>
  <si>
    <t>Café au lait</t>
  </si>
  <si>
    <t>Orange foncé.775 délavé.266</t>
  </si>
  <si>
    <t>32, 0, 0</t>
  </si>
  <si>
    <t>32, 0, 32</t>
  </si>
  <si>
    <t>32, 0, 64</t>
  </si>
  <si>
    <t>32, 0, 96</t>
  </si>
  <si>
    <t>32, 0, 128</t>
  </si>
  <si>
    <t>32, 0, 160</t>
  </si>
  <si>
    <t>32, 0, 192</t>
  </si>
  <si>
    <t>32, 0, 224</t>
  </si>
  <si>
    <t>32, 0, 255</t>
  </si>
  <si>
    <t>Azur lég. bleu foncé.250 délavé.369</t>
  </si>
  <si>
    <t>léger DorérodJaune</t>
  </si>
  <si>
    <t>Jaune clair.609 délavé.219</t>
  </si>
  <si>
    <t>Isabelle (chevaux)</t>
  </si>
  <si>
    <t>32, 32, 0</t>
  </si>
  <si>
    <t>32, 32, 32</t>
  </si>
  <si>
    <t>32, 32, 64</t>
  </si>
  <si>
    <t>32, 32, 96</t>
  </si>
  <si>
    <t>32, 32, 128</t>
  </si>
  <si>
    <t>32, 32, 160</t>
  </si>
  <si>
    <t>32, 32, 192</t>
  </si>
  <si>
    <t>32, 32, 224</t>
  </si>
  <si>
    <t>32, 32, 255</t>
  </si>
  <si>
    <t>Bleu brillant</t>
  </si>
  <si>
    <t>Azur lég. bleu foncé.292 délavé.198</t>
  </si>
  <si>
    <t>Ivoire2</t>
  </si>
  <si>
    <t>Jaune clair.610 délavé.725</t>
  </si>
  <si>
    <t>Brun Olive moyen</t>
  </si>
  <si>
    <t>Orange foncé.830 délavé.159</t>
  </si>
  <si>
    <t>32, 64, 0</t>
  </si>
  <si>
    <t>32, 64, 32</t>
  </si>
  <si>
    <t>32, 64, 64</t>
  </si>
  <si>
    <t>32, 64, 96</t>
  </si>
  <si>
    <t>32, 64, 128</t>
  </si>
  <si>
    <t>32, 64, 160</t>
  </si>
  <si>
    <t>32, 64, 192</t>
  </si>
  <si>
    <t>32, 64, 224</t>
  </si>
  <si>
    <t>32, 64, 255</t>
  </si>
  <si>
    <t>Acier Bleu3</t>
  </si>
  <si>
    <t>Azur lég. bleu foncé.300 délavé.234</t>
  </si>
  <si>
    <t>beige</t>
  </si>
  <si>
    <t>Jaune clair.637 délavé.467</t>
  </si>
  <si>
    <t>Bitume</t>
  </si>
  <si>
    <t>Orange foncé.898 délavé.435</t>
  </si>
  <si>
    <t>32, 96, 0</t>
  </si>
  <si>
    <t>32, 96, 32</t>
  </si>
  <si>
    <t>32, 96, 64</t>
  </si>
  <si>
    <t>32, 96, 96</t>
  </si>
  <si>
    <t>32, 96, 128</t>
  </si>
  <si>
    <t>32, 96, 160</t>
  </si>
  <si>
    <t>32, 96, 192</t>
  </si>
  <si>
    <t>32, 96, 224</t>
  </si>
  <si>
    <t>32, 96, 255</t>
  </si>
  <si>
    <t>Bleu azur (héraldique)</t>
  </si>
  <si>
    <t>Azur lég. bleu foncé.381 délavé.044</t>
  </si>
  <si>
    <t>Ivoire</t>
  </si>
  <si>
    <t>Jaune clair.665</t>
  </si>
  <si>
    <t>Brun Olive foncé</t>
  </si>
  <si>
    <t>Orange foncé.938 délavé.512</t>
  </si>
  <si>
    <t>32, 128, 0</t>
  </si>
  <si>
    <t>32, 128, 32</t>
  </si>
  <si>
    <t>32, 128, 64</t>
  </si>
  <si>
    <t>32, 128, 96</t>
  </si>
  <si>
    <t>32, 128, 128</t>
  </si>
  <si>
    <t>32, 128, 160</t>
  </si>
  <si>
    <t>32, 128, 192</t>
  </si>
  <si>
    <t>32, 128, 224</t>
  </si>
  <si>
    <t>32, 128, 255</t>
  </si>
  <si>
    <t>Azur lég. bleu foncé.470 délavé.243</t>
  </si>
  <si>
    <t>Écru</t>
  </si>
  <si>
    <t>Jaune clair.742 délavé.067</t>
  </si>
  <si>
    <t>Maduro (cigare)</t>
  </si>
  <si>
    <t>Orange foncé.941 délavé.650</t>
  </si>
  <si>
    <t>32, 160, 0</t>
  </si>
  <si>
    <t>32, 160, 32</t>
  </si>
  <si>
    <t>32, 160, 64</t>
  </si>
  <si>
    <t>32, 160, 96</t>
  </si>
  <si>
    <t>32, 160, 128</t>
  </si>
  <si>
    <t>32, 160, 160</t>
  </si>
  <si>
    <t>32, 160, 192</t>
  </si>
  <si>
    <t>32, 160, 224</t>
  </si>
  <si>
    <t>32, 160, 255</t>
  </si>
  <si>
    <t>Bleu céruléen</t>
  </si>
  <si>
    <t>Azur lég. bleu foncé.480 délavé.144</t>
  </si>
  <si>
    <t>léger Jaune</t>
  </si>
  <si>
    <t>Jaune clair.751</t>
  </si>
  <si>
    <t>Papier bulle</t>
  </si>
  <si>
    <t>Orange lég. jaune clair.121 délavé.340</t>
  </si>
  <si>
    <t>32, 192, 0</t>
  </si>
  <si>
    <t>32, 192, 32</t>
  </si>
  <si>
    <t>32, 192, 64</t>
  </si>
  <si>
    <t>32, 192, 96</t>
  </si>
  <si>
    <t>32, 192, 128</t>
  </si>
  <si>
    <t>32, 192, 160</t>
  </si>
  <si>
    <t>32, 192, 192</t>
  </si>
  <si>
    <t>32, 192, 224</t>
  </si>
  <si>
    <t>32, 192, 255</t>
  </si>
  <si>
    <t>Bleu guède</t>
  </si>
  <si>
    <t>Azur lég. bleu foncé.571 délavé.454</t>
  </si>
  <si>
    <t>Blanc cassé</t>
  </si>
  <si>
    <t>Jaune clair.757 délavé.071</t>
  </si>
  <si>
    <t>Sable</t>
  </si>
  <si>
    <t>Orange lég. jaune clair.157 délavé.590</t>
  </si>
  <si>
    <t>32, 224, 0</t>
  </si>
  <si>
    <t>32, 224, 32</t>
  </si>
  <si>
    <t>32, 224, 64</t>
  </si>
  <si>
    <t>32, 224, 96</t>
  </si>
  <si>
    <t>32, 224, 128</t>
  </si>
  <si>
    <t>32, 224, 160</t>
  </si>
  <si>
    <t>32, 224, 192</t>
  </si>
  <si>
    <t>32, 224, 224</t>
  </si>
  <si>
    <t>32, 224, 255</t>
  </si>
  <si>
    <t>léger Acier Bleu4</t>
  </si>
  <si>
    <t>Azur lég. bleu foncé.571 délavé.757</t>
  </si>
  <si>
    <t>Jaune clair.875</t>
  </si>
  <si>
    <t>wheat2</t>
  </si>
  <si>
    <t>Orange lég. jaune clair.291 délavé.399</t>
  </si>
  <si>
    <t>32, 255, 0</t>
  </si>
  <si>
    <t>32, 255, 32</t>
  </si>
  <si>
    <t>32, 255, 64</t>
  </si>
  <si>
    <t>32, 255, 96</t>
  </si>
  <si>
    <t>32, 255, 128</t>
  </si>
  <si>
    <t>32, 255, 160</t>
  </si>
  <si>
    <t>32, 255, 192</t>
  </si>
  <si>
    <t>32, 255, 224</t>
  </si>
  <si>
    <t>32, 255, 255</t>
  </si>
  <si>
    <t>Bleu franc</t>
  </si>
  <si>
    <t>Azur lég. bleu foncé.615</t>
  </si>
  <si>
    <t>Jaune verdâtre brillant</t>
  </si>
  <si>
    <t>Jaune foncé.097 délavé.186</t>
  </si>
  <si>
    <t>wheat</t>
  </si>
  <si>
    <t>Orange lég. jaune clair.375 délavé.271</t>
  </si>
  <si>
    <t>64, 0, 0</t>
  </si>
  <si>
    <t>64, 0, 32</t>
  </si>
  <si>
    <t>64, 0, 64</t>
  </si>
  <si>
    <t>64, 0, 96</t>
  </si>
  <si>
    <t>64, 0, 128</t>
  </si>
  <si>
    <t>64, 0, 160</t>
  </si>
  <si>
    <t>64, 0, 192</t>
  </si>
  <si>
    <t>64, 0, 224</t>
  </si>
  <si>
    <t>64, 0, 255</t>
  </si>
  <si>
    <t>Bleu moyen</t>
  </si>
  <si>
    <t>Azur lég. bleu foncé.632 délavé.320</t>
  </si>
  <si>
    <t>Jaune foncé.117 délavé.382</t>
  </si>
  <si>
    <t>moccasin</t>
  </si>
  <si>
    <t>Orange lég. jaune clair.471</t>
  </si>
  <si>
    <t>64, 32, 0</t>
  </si>
  <si>
    <t>64, 32, 32</t>
  </si>
  <si>
    <t>64, 32, 64</t>
  </si>
  <si>
    <t>64, 32, 96</t>
  </si>
  <si>
    <t>64, 32, 128</t>
  </si>
  <si>
    <t>64, 32, 160</t>
  </si>
  <si>
    <t>64, 32, 192</t>
  </si>
  <si>
    <t>64, 32, 224</t>
  </si>
  <si>
    <t>64, 32, 255</t>
  </si>
  <si>
    <t>Azur lég. bleu foncé.638 délavé.192</t>
  </si>
  <si>
    <t>Jaune2</t>
  </si>
  <si>
    <t>Jaune foncé.142</t>
  </si>
  <si>
    <t>wheat1</t>
  </si>
  <si>
    <t>Orange lég. jaune clair.500</t>
  </si>
  <si>
    <t>64, 64, 0</t>
  </si>
  <si>
    <t>64, 64, 32</t>
  </si>
  <si>
    <t>64, 64, 64</t>
  </si>
  <si>
    <t>64, 64, 96</t>
  </si>
  <si>
    <t>64, 64, 128</t>
  </si>
  <si>
    <t>64, 64, 160</t>
  </si>
  <si>
    <t>64, 64, 192</t>
  </si>
  <si>
    <t>64, 64, 224</t>
  </si>
  <si>
    <t>64, 64, 255</t>
  </si>
  <si>
    <t>Acier Bleu4</t>
  </si>
  <si>
    <t>Azur lég. bleu foncé.695 délavé.254</t>
  </si>
  <si>
    <t>Mastic</t>
  </si>
  <si>
    <t>Jaune foncé.249 délavé.776</t>
  </si>
  <si>
    <t>BlanchedAlmond</t>
  </si>
  <si>
    <t>Orange lég. jaune clair.618</t>
  </si>
  <si>
    <t>64, 96, 0</t>
  </si>
  <si>
    <t>64, 96, 32</t>
  </si>
  <si>
    <t>64, 96, 64</t>
  </si>
  <si>
    <t>64, 96, 96</t>
  </si>
  <si>
    <t>64, 96, 128</t>
  </si>
  <si>
    <t>64, 96, 160</t>
  </si>
  <si>
    <t>64, 96, 192</t>
  </si>
  <si>
    <t>64, 96, 224</t>
  </si>
  <si>
    <t>64, 96, 255</t>
  </si>
  <si>
    <t>Bleu profond</t>
  </si>
  <si>
    <t>Azur lég. bleu foncé.850</t>
  </si>
  <si>
    <t>Brillant Or</t>
  </si>
  <si>
    <t>Jaune foncé.290 délavé.028</t>
  </si>
  <si>
    <t>Orange lég. jaune clair.672</t>
  </si>
  <si>
    <t>64, 128, 0</t>
  </si>
  <si>
    <t>64, 128, 32</t>
  </si>
  <si>
    <t>64, 128, 64</t>
  </si>
  <si>
    <t>64, 128, 96</t>
  </si>
  <si>
    <t>64, 128, 128</t>
  </si>
  <si>
    <t>64, 128, 160</t>
  </si>
  <si>
    <t>64, 128, 192</t>
  </si>
  <si>
    <t>64, 128, 224</t>
  </si>
  <si>
    <t>64, 128, 255</t>
  </si>
  <si>
    <t>Bleu foncé</t>
  </si>
  <si>
    <t>Azur lég. bleu foncé.920</t>
  </si>
  <si>
    <t>Caca d'oie</t>
  </si>
  <si>
    <t>Jaune foncé.378 délavé.013</t>
  </si>
  <si>
    <t>OldLace</t>
  </si>
  <si>
    <t>Orange lég. jaune clair.779 délavé.156</t>
  </si>
  <si>
    <t>64, 160, 0</t>
  </si>
  <si>
    <t>64, 160, 32</t>
  </si>
  <si>
    <t>64, 160, 64</t>
  </si>
  <si>
    <t>64, 160, 96</t>
  </si>
  <si>
    <t>64, 160, 128</t>
  </si>
  <si>
    <t>64, 160, 160</t>
  </si>
  <si>
    <t>64, 160, 192</t>
  </si>
  <si>
    <t>64, 160, 224</t>
  </si>
  <si>
    <t>64, 160, 255</t>
  </si>
  <si>
    <t>Gris clair bleuté</t>
  </si>
  <si>
    <t>Azur lég. cyan clair.001 délavé.930</t>
  </si>
  <si>
    <t>Jaune3</t>
  </si>
  <si>
    <t>Jaune foncé.382</t>
  </si>
  <si>
    <t xml:space="preserve">FloralBlanc </t>
  </si>
  <si>
    <t>Orange lég. jaune clair.875</t>
  </si>
  <si>
    <t>64, 192, 0</t>
  </si>
  <si>
    <t>64, 192, 32</t>
  </si>
  <si>
    <t>64, 192, 64</t>
  </si>
  <si>
    <t>64, 192, 96</t>
  </si>
  <si>
    <t>64, 192, 128</t>
  </si>
  <si>
    <t>64, 192, 160</t>
  </si>
  <si>
    <t>64, 192, 192</t>
  </si>
  <si>
    <t>64, 192, 224</t>
  </si>
  <si>
    <t>64, 192, 255</t>
  </si>
  <si>
    <t>Azur lég. cyan clair.064 délavé.251</t>
  </si>
  <si>
    <t>Ivoire4</t>
  </si>
  <si>
    <t>Jaune foncé.499 délavé.937</t>
  </si>
  <si>
    <t>Orpin de Perse</t>
  </si>
  <si>
    <t>Orange lég. jaune foncé.014 délavé.024</t>
  </si>
  <si>
    <t>64, 224, 0</t>
  </si>
  <si>
    <t>64, 224, 32</t>
  </si>
  <si>
    <t>64, 224, 64</t>
  </si>
  <si>
    <t>64, 224, 96</t>
  </si>
  <si>
    <t>64, 224, 128</t>
  </si>
  <si>
    <t>64, 224, 160</t>
  </si>
  <si>
    <t>64, 224, 192</t>
  </si>
  <si>
    <t>64, 224, 224</t>
  </si>
  <si>
    <t>64, 224, 255</t>
  </si>
  <si>
    <t>Azur lég. cyan clair.085 délavé.361</t>
  </si>
  <si>
    <t>Gris moyen</t>
  </si>
  <si>
    <t>Jaune foncé.530 délavé.984</t>
  </si>
  <si>
    <t>Blondeur (cheveux)</t>
  </si>
  <si>
    <t>Orange lég. jaune foncé.053 délavé.383</t>
  </si>
  <si>
    <t>64, 255, 0</t>
  </si>
  <si>
    <t>64, 255, 32</t>
  </si>
  <si>
    <t>64, 255, 64</t>
  </si>
  <si>
    <t>64, 255, 96</t>
  </si>
  <si>
    <t>64, 255, 128</t>
  </si>
  <si>
    <t>64, 255, 160</t>
  </si>
  <si>
    <t>64, 255, 192</t>
  </si>
  <si>
    <t>64, 255, 224</t>
  </si>
  <si>
    <t>64, 255, 255</t>
  </si>
  <si>
    <t>léger ciel Bleu2</t>
  </si>
  <si>
    <t>Azur lég. cyan clair.239 délavé.372</t>
  </si>
  <si>
    <t>léger Jaune4</t>
  </si>
  <si>
    <t>Jaune foncé.532 délavé.862</t>
  </si>
  <si>
    <t>wheat3</t>
  </si>
  <si>
    <t>Orange lég. jaune foncé.068 délavé.673</t>
  </si>
  <si>
    <t>96, 0, 0</t>
  </si>
  <si>
    <t>96, 0, 32</t>
  </si>
  <si>
    <t>96, 0, 64</t>
  </si>
  <si>
    <t>96, 0, 96</t>
  </si>
  <si>
    <t>96, 0, 128</t>
  </si>
  <si>
    <t>96, 0, 160</t>
  </si>
  <si>
    <t>96, 0, 192</t>
  </si>
  <si>
    <t>96, 0, 224</t>
  </si>
  <si>
    <t>96, 0, 255</t>
  </si>
  <si>
    <t>Bleu fumée</t>
  </si>
  <si>
    <t>Azur lég. cyan clair.264 délavé.656</t>
  </si>
  <si>
    <t>Jaune verdâtre foncé</t>
  </si>
  <si>
    <t>Jaune foncé.627 délavé.271</t>
  </si>
  <si>
    <t>Jaune vif</t>
  </si>
  <si>
    <t>Orange lég. jaune foncé.101</t>
  </si>
  <si>
    <t>96, 32, 0</t>
  </si>
  <si>
    <t>96, 32, 32</t>
  </si>
  <si>
    <t>96, 32, 64</t>
  </si>
  <si>
    <t>96, 32, 96</t>
  </si>
  <si>
    <t>96, 32, 128</t>
  </si>
  <si>
    <t>96, 32, 160</t>
  </si>
  <si>
    <t>96, 32, 192</t>
  </si>
  <si>
    <t>96, 32, 224</t>
  </si>
  <si>
    <t>96, 32, 255</t>
  </si>
  <si>
    <t>léger ciel Bleu1</t>
  </si>
  <si>
    <t>Azur lég. cyan clair.443</t>
  </si>
  <si>
    <t>Jaune4</t>
  </si>
  <si>
    <t>Jaune foncé.734</t>
  </si>
  <si>
    <t>Ambre jaune</t>
  </si>
  <si>
    <t>Orange lég. jaune foncé.125</t>
  </si>
  <si>
    <t>96, 64, 0</t>
  </si>
  <si>
    <t>96, 64, 32</t>
  </si>
  <si>
    <t>96, 64, 64</t>
  </si>
  <si>
    <t>96, 64, 96</t>
  </si>
  <si>
    <t>96, 64, 128</t>
  </si>
  <si>
    <t>96, 64, 160</t>
  </si>
  <si>
    <t>96, 64, 192</t>
  </si>
  <si>
    <t>96, 64, 224</t>
  </si>
  <si>
    <t>96, 64, 255</t>
  </si>
  <si>
    <t>Bleu dragée</t>
  </si>
  <si>
    <t>Azur lég. cyan clair.744</t>
  </si>
  <si>
    <t>olive</t>
  </si>
  <si>
    <t>Jaune foncé.777</t>
  </si>
  <si>
    <t>Grège</t>
  </si>
  <si>
    <t>Orange lég. jaune foncé.172 délavé.779</t>
  </si>
  <si>
    <t>96, 96, 0</t>
  </si>
  <si>
    <t>96, 96, 32</t>
  </si>
  <si>
    <t>96, 96, 64</t>
  </si>
  <si>
    <t>96, 96, 96</t>
  </si>
  <si>
    <t>96, 96, 128</t>
  </si>
  <si>
    <t>96, 96, 160</t>
  </si>
  <si>
    <t>96, 96, 192</t>
  </si>
  <si>
    <t>96, 96, 224</t>
  </si>
  <si>
    <t>96, 96, 255</t>
  </si>
  <si>
    <t>léger ciel Bleu3</t>
  </si>
  <si>
    <t>Azur lég. cyan foncé.107 délavé.615</t>
  </si>
  <si>
    <t>Sombre Olive vert</t>
  </si>
  <si>
    <t>Jaune foncé.888 délavé.533</t>
  </si>
  <si>
    <t>Beige</t>
  </si>
  <si>
    <t>Orange lég. jaune foncé.195 délavé.546</t>
  </si>
  <si>
    <t>96, 128, 0</t>
  </si>
  <si>
    <t>96, 128, 32</t>
  </si>
  <si>
    <t>96, 128, 64</t>
  </si>
  <si>
    <t>96, 128, 96</t>
  </si>
  <si>
    <t>96, 128, 128</t>
  </si>
  <si>
    <t>96, 128, 160</t>
  </si>
  <si>
    <t>96, 128, 192</t>
  </si>
  <si>
    <t>96, 128, 224</t>
  </si>
  <si>
    <t>96, 128, 255</t>
  </si>
  <si>
    <t>Bleu céleste</t>
  </si>
  <si>
    <t>Azur lég. cyan foncé.137 délavé.047</t>
  </si>
  <si>
    <t>Jaune de chrome (pigment)</t>
  </si>
  <si>
    <t>Jaune lég. chartreuse clair.004</t>
  </si>
  <si>
    <t>Ocre jaune</t>
  </si>
  <si>
    <t>Orange lég. jaune foncé.230 délavé.069</t>
  </si>
  <si>
    <t>96, 160, 0</t>
  </si>
  <si>
    <t>96, 160, 32</t>
  </si>
  <si>
    <t>96, 160, 64</t>
  </si>
  <si>
    <t>96, 160, 96</t>
  </si>
  <si>
    <t>96, 160, 128</t>
  </si>
  <si>
    <t>96, 160, 160</t>
  </si>
  <si>
    <t>96, 160, 192</t>
  </si>
  <si>
    <t>96, 160, 224</t>
  </si>
  <si>
    <t>96, 160, 255</t>
  </si>
  <si>
    <t xml:space="preserve">Summer ciel </t>
  </si>
  <si>
    <t>Azur lég. cyan foncé.222 délavé.107</t>
  </si>
  <si>
    <t>Vert jaune pâle</t>
  </si>
  <si>
    <t>Jaune lég. chartreuse clair.226 délavé.662</t>
  </si>
  <si>
    <t>Orange lég. jaune foncé.290 délavé.008</t>
  </si>
  <si>
    <t>96, 192, 0</t>
  </si>
  <si>
    <t>96, 192, 32</t>
  </si>
  <si>
    <t>96, 192, 64</t>
  </si>
  <si>
    <t>96, 192, 96</t>
  </si>
  <si>
    <t>96, 192, 128</t>
  </si>
  <si>
    <t>96, 192, 160</t>
  </si>
  <si>
    <t>96, 192, 192</t>
  </si>
  <si>
    <t>96, 192, 224</t>
  </si>
  <si>
    <t>96, 192, 255</t>
  </si>
  <si>
    <t>Bleu vif</t>
  </si>
  <si>
    <t>Azur lég. cyan foncé.452</t>
  </si>
  <si>
    <t>Jaune canari</t>
  </si>
  <si>
    <t>Jaune lég. chartreuse foncé.122 délavé.009</t>
  </si>
  <si>
    <t>Jaune moyen</t>
  </si>
  <si>
    <t>Orange lég. jaune foncé.293 délavé.324</t>
  </si>
  <si>
    <t>96, 224, 0</t>
  </si>
  <si>
    <t>96, 224, 32</t>
  </si>
  <si>
    <t>96, 224, 64</t>
  </si>
  <si>
    <t>96, 224, 96</t>
  </si>
  <si>
    <t>96, 224, 128</t>
  </si>
  <si>
    <t>96, 224, 160</t>
  </si>
  <si>
    <t>96, 224, 192</t>
  </si>
  <si>
    <t>96, 224, 224</t>
  </si>
  <si>
    <t>96, 224, 255</t>
  </si>
  <si>
    <t>Gris bleuté</t>
  </si>
  <si>
    <t>Azur lég. cyan foncé.506 délavé.921</t>
  </si>
  <si>
    <t>Jaune moutarde</t>
  </si>
  <si>
    <t>Jaune lég. chartreuse foncé.369</t>
  </si>
  <si>
    <t>Jaune franc</t>
  </si>
  <si>
    <t>Orange lég. jaune foncé.294 délavé.114</t>
  </si>
  <si>
    <t>96, 255, 0</t>
  </si>
  <si>
    <t>96, 255, 32</t>
  </si>
  <si>
    <t>96, 255, 64</t>
  </si>
  <si>
    <t>96, 255, 96</t>
  </si>
  <si>
    <t>96, 255, 128</t>
  </si>
  <si>
    <t>96, 255, 160</t>
  </si>
  <si>
    <t>96, 255, 192</t>
  </si>
  <si>
    <t>96, 255, 224</t>
  </si>
  <si>
    <t>96, 255, 255</t>
  </si>
  <si>
    <t>léger ciel Bleu4</t>
  </si>
  <si>
    <t>Azur lég. cyan foncé.611 délavé.629</t>
  </si>
  <si>
    <t>LemonChiffon3</t>
  </si>
  <si>
    <t>Jaune lég. orange clair.003 délavé.766</t>
  </si>
  <si>
    <t>Claro claro (cigare)</t>
  </si>
  <si>
    <t>Orange lég. jaune foncé.375 délavé.400</t>
  </si>
  <si>
    <t>128, 0, 0</t>
  </si>
  <si>
    <t>128, 0, 32</t>
  </si>
  <si>
    <t>128, 0, 64</t>
  </si>
  <si>
    <t>128, 0, 96</t>
  </si>
  <si>
    <t>128, 0, 128</t>
  </si>
  <si>
    <t>128, 0, 160</t>
  </si>
  <si>
    <t>128, 0, 192</t>
  </si>
  <si>
    <t>128, 0, 224</t>
  </si>
  <si>
    <t>128, 0, 255</t>
  </si>
  <si>
    <t>Bleu verdâtre vif</t>
  </si>
  <si>
    <t>Azur lég. cyan foncé.635</t>
  </si>
  <si>
    <t>Jaune lég. orange clair.028 délavé.258</t>
  </si>
  <si>
    <t>Queue-de-vache foncé</t>
  </si>
  <si>
    <t>Orange lég. jaune foncé.418 délavé.623</t>
  </si>
  <si>
    <t>128, 32, 0</t>
  </si>
  <si>
    <t>128, 32, 32</t>
  </si>
  <si>
    <t>128, 32, 64</t>
  </si>
  <si>
    <t>128, 32, 96</t>
  </si>
  <si>
    <t>128, 32, 128</t>
  </si>
  <si>
    <t>128, 32, 160</t>
  </si>
  <si>
    <t>128, 32, 192</t>
  </si>
  <si>
    <t>128, 32, 224</t>
  </si>
  <si>
    <t>128, 32, 255</t>
  </si>
  <si>
    <t>Bleu verdâtre franc</t>
  </si>
  <si>
    <t>Azur lég. cyan foncé.708</t>
  </si>
  <si>
    <t>Jaune poussin</t>
  </si>
  <si>
    <t>Jaune lég. orange clair.051 délavé.144</t>
  </si>
  <si>
    <t>Jaune foncé grisâtre</t>
  </si>
  <si>
    <t>Orange lég. jaune foncé.512 délavé.501</t>
  </si>
  <si>
    <t>128, 64, 0</t>
  </si>
  <si>
    <t>128, 64, 32</t>
  </si>
  <si>
    <t>128, 64, 64</t>
  </si>
  <si>
    <t>128, 64, 96</t>
  </si>
  <si>
    <t>128, 64, 128</t>
  </si>
  <si>
    <t>128, 64, 160</t>
  </si>
  <si>
    <t>128, 64, 192</t>
  </si>
  <si>
    <t>128, 64, 224</t>
  </si>
  <si>
    <t>128, 64, 255</t>
  </si>
  <si>
    <t>Bleu paon</t>
  </si>
  <si>
    <t>Azur lég. cyan foncé.711 délavé.012</t>
  </si>
  <si>
    <t>cornsilk3</t>
  </si>
  <si>
    <t>Jaune lég. orange clair.067 délavé.818</t>
  </si>
  <si>
    <t>Jaune foncé</t>
  </si>
  <si>
    <t>Orange lég. jaune foncé.523 délavé.255</t>
  </si>
  <si>
    <t>128, 96, 0</t>
  </si>
  <si>
    <t>128, 96, 32</t>
  </si>
  <si>
    <t>128, 96, 64</t>
  </si>
  <si>
    <t>128, 96, 96</t>
  </si>
  <si>
    <t>128, 96, 128</t>
  </si>
  <si>
    <t>128, 96, 160</t>
  </si>
  <si>
    <t>128, 96, 192</t>
  </si>
  <si>
    <t>128, 96, 224</t>
  </si>
  <si>
    <t>128, 96, 255</t>
  </si>
  <si>
    <t>Bleu verdâtre très foncé</t>
  </si>
  <si>
    <t>Azur lég. cyan foncé.954</t>
  </si>
  <si>
    <t>khaki2</t>
  </si>
  <si>
    <t>Jaune lég. orange clair.101 délavé.315</t>
  </si>
  <si>
    <t>AntiqueBlanc 4</t>
  </si>
  <si>
    <t>Orange lég. jaune foncé.539 délavé.845</t>
  </si>
  <si>
    <t>128, 128, 0</t>
  </si>
  <si>
    <t>128, 128, 32</t>
  </si>
  <si>
    <t>128, 128, 64</t>
  </si>
  <si>
    <t>128, 128, 96</t>
  </si>
  <si>
    <t>128, 128, 128</t>
  </si>
  <si>
    <t>128, 128, 160</t>
  </si>
  <si>
    <t>128, 128, 192</t>
  </si>
  <si>
    <t>128, 128, 224</t>
  </si>
  <si>
    <t>128, 128, 255</t>
  </si>
  <si>
    <t>Topaze</t>
  </si>
  <si>
    <t>Jaune lég. orange clair.135 délavé.099</t>
  </si>
  <si>
    <t>Jaune profond</t>
  </si>
  <si>
    <t>Orange lég. jaune foncé.556 délavé.030</t>
  </si>
  <si>
    <t>128, 160, 0</t>
  </si>
  <si>
    <t>128, 160, 32</t>
  </si>
  <si>
    <t>128, 160, 64</t>
  </si>
  <si>
    <t>128, 160, 96</t>
  </si>
  <si>
    <t>128, 160, 128</t>
  </si>
  <si>
    <t>128, 160, 160</t>
  </si>
  <si>
    <t>128, 160, 192</t>
  </si>
  <si>
    <t>128, 160, 224</t>
  </si>
  <si>
    <t>128, 160, 255</t>
  </si>
  <si>
    <t>Bleu primaire</t>
  </si>
  <si>
    <t>khaki</t>
  </si>
  <si>
    <t>Jaune lég. orange clair.145 délavé.294</t>
  </si>
  <si>
    <t>wheat4</t>
  </si>
  <si>
    <t>Orange lég. jaune foncé.595 délavé.684</t>
  </si>
  <si>
    <t>128, 192, 0</t>
  </si>
  <si>
    <t>128, 192, 32</t>
  </si>
  <si>
    <t>128, 192, 64</t>
  </si>
  <si>
    <t>128, 192, 96</t>
  </si>
  <si>
    <t>128, 192, 128</t>
  </si>
  <si>
    <t>128, 192, 160</t>
  </si>
  <si>
    <t>128, 192, 192</t>
  </si>
  <si>
    <t>128, 192, 224</t>
  </si>
  <si>
    <t>128, 192, 255</t>
  </si>
  <si>
    <t>Neon Bleu</t>
  </si>
  <si>
    <t>Bleu clair.078</t>
  </si>
  <si>
    <t>PaleDorérod</t>
  </si>
  <si>
    <t>Jaune lég. orange clair.269 délavé.387</t>
  </si>
  <si>
    <t>bronze</t>
  </si>
  <si>
    <t>Orange lég. jaune foncé.639 délavé.502</t>
  </si>
  <si>
    <t>128, 224, 0</t>
  </si>
  <si>
    <t>128, 224, 32</t>
  </si>
  <si>
    <t>128, 224, 64</t>
  </si>
  <si>
    <t>128, 224, 96</t>
  </si>
  <si>
    <t>128, 224, 128</t>
  </si>
  <si>
    <t>128, 224, 160</t>
  </si>
  <si>
    <t>128, 224, 192</t>
  </si>
  <si>
    <t>128, 224, 224</t>
  </si>
  <si>
    <t>128, 224, 255</t>
  </si>
  <si>
    <t>Bleu-violet très pâle</t>
  </si>
  <si>
    <t>Bleu clair.283 délavé.756</t>
  </si>
  <si>
    <t>Beurre frais</t>
  </si>
  <si>
    <t>Jaune lég. orange clair.275</t>
  </si>
  <si>
    <t>Bis</t>
  </si>
  <si>
    <t>Orange lég. jaune foncé.679 délavé.828</t>
  </si>
  <si>
    <t>128, 255, 0</t>
  </si>
  <si>
    <t>128, 255, 32</t>
  </si>
  <si>
    <t>128, 255, 64</t>
  </si>
  <si>
    <t>128, 255, 96</t>
  </si>
  <si>
    <t>128, 255, 128</t>
  </si>
  <si>
    <t>128, 255, 160</t>
  </si>
  <si>
    <t>128, 255, 192</t>
  </si>
  <si>
    <t>128, 255, 224</t>
  </si>
  <si>
    <t>128, 255, 255</t>
  </si>
  <si>
    <t>Quartz</t>
  </si>
  <si>
    <t>Bleu clair.599 délavé.505</t>
  </si>
  <si>
    <t>khaki1</t>
  </si>
  <si>
    <t>Jaune lég. orange clair.283</t>
  </si>
  <si>
    <t>Bureau</t>
  </si>
  <si>
    <t>Orange lég. jaune foncé.815 délavé.348</t>
  </si>
  <si>
    <t>160, 0, 0</t>
  </si>
  <si>
    <t>160, 0, 32</t>
  </si>
  <si>
    <t>160, 0, 64</t>
  </si>
  <si>
    <t>160, 0, 96</t>
  </si>
  <si>
    <t>160, 0, 128</t>
  </si>
  <si>
    <t>160, 0, 160</t>
  </si>
  <si>
    <t>160, 0, 192</t>
  </si>
  <si>
    <t>160, 0, 224</t>
  </si>
  <si>
    <t>160, 0, 255</t>
  </si>
  <si>
    <t>Pervenche</t>
  </si>
  <si>
    <t>Bleu clair.612</t>
  </si>
  <si>
    <t>LemonChiffon2</t>
  </si>
  <si>
    <t>Jaune lég. orange clair.388 délavé.462</t>
  </si>
  <si>
    <t>Bronze</t>
  </si>
  <si>
    <t>Orange lég. jaune foncé.865 délavé.157</t>
  </si>
  <si>
    <t>160, 32, 0</t>
  </si>
  <si>
    <t>160, 32, 32</t>
  </si>
  <si>
    <t>160, 32, 64</t>
  </si>
  <si>
    <t>160, 32, 96</t>
  </si>
  <si>
    <t>160, 32, 128</t>
  </si>
  <si>
    <t>160, 32, 160</t>
  </si>
  <si>
    <t>160, 32, 192</t>
  </si>
  <si>
    <t>160, 32, 224</t>
  </si>
  <si>
    <t>160, 32, 255</t>
  </si>
  <si>
    <t>Blanc bleuté</t>
  </si>
  <si>
    <t>Bleu clair.670 délavé.905</t>
  </si>
  <si>
    <t>Champagne</t>
  </si>
  <si>
    <t>Jaune lég. orange clair.448 délavé.125</t>
  </si>
  <si>
    <t>Gris taupe</t>
  </si>
  <si>
    <t>Orange lég. jaune foncé.902 délavé.685</t>
  </si>
  <si>
    <t>160, 64, 0</t>
  </si>
  <si>
    <t>160, 64, 32</t>
  </si>
  <si>
    <t>160, 64, 64</t>
  </si>
  <si>
    <t>160, 64, 96</t>
  </si>
  <si>
    <t>160, 64, 128</t>
  </si>
  <si>
    <t>160, 64, 160</t>
  </si>
  <si>
    <t>160, 64, 192</t>
  </si>
  <si>
    <t>160, 64, 224</t>
  </si>
  <si>
    <t>160, 64, 255</t>
  </si>
  <si>
    <t>lavender</t>
  </si>
  <si>
    <t>Bleu clair.753 délavé.348</t>
  </si>
  <si>
    <t>Blanc crème</t>
  </si>
  <si>
    <t>Jaune lég. orange clair.471 délavé.065</t>
  </si>
  <si>
    <t>Oscuro (cigare)</t>
  </si>
  <si>
    <t>Orange lég. jaune foncé.975 délavé.161</t>
  </si>
  <si>
    <t>160, 96, 0</t>
  </si>
  <si>
    <t>160, 96, 32</t>
  </si>
  <si>
    <t>160, 96, 64</t>
  </si>
  <si>
    <t>160, 96, 96</t>
  </si>
  <si>
    <t>160, 96, 128</t>
  </si>
  <si>
    <t>160, 96, 160</t>
  </si>
  <si>
    <t>160, 96, 192</t>
  </si>
  <si>
    <t>160, 96, 224</t>
  </si>
  <si>
    <t>160, 96, 255</t>
  </si>
  <si>
    <t xml:space="preserve">GhostBlanc </t>
  </si>
  <si>
    <t>Bleu clair.940</t>
  </si>
  <si>
    <t>cornsilk2</t>
  </si>
  <si>
    <t>Jaune lég. orange clair.477 délavé.541</t>
  </si>
  <si>
    <t>orange1</t>
  </si>
  <si>
    <t>Orange lég. rouge</t>
  </si>
  <si>
    <t>160, 128, 0</t>
  </si>
  <si>
    <t>160, 128, 32</t>
  </si>
  <si>
    <t>160, 128, 64</t>
  </si>
  <si>
    <t>160, 128, 96</t>
  </si>
  <si>
    <t>160, 128, 128</t>
  </si>
  <si>
    <t>160, 128, 160</t>
  </si>
  <si>
    <t>160, 128, 192</t>
  </si>
  <si>
    <t>160, 128, 224</t>
  </si>
  <si>
    <t>160, 128, 255</t>
  </si>
  <si>
    <t>Bleu2</t>
  </si>
  <si>
    <t>Bleu foncé.142</t>
  </si>
  <si>
    <t>LemonChiffon</t>
  </si>
  <si>
    <t>Jaune lég. orange clair.618</t>
  </si>
  <si>
    <t xml:space="preserve">SandyBrun </t>
  </si>
  <si>
    <t>Orange lég. rouge clair.029 délavé.192</t>
  </si>
  <si>
    <t>160, 160, 0</t>
  </si>
  <si>
    <t>160, 160, 32</t>
  </si>
  <si>
    <t>160, 160, 64</t>
  </si>
  <si>
    <t>160, 160, 96</t>
  </si>
  <si>
    <t>160, 160, 128</t>
  </si>
  <si>
    <t>160, 160, 160</t>
  </si>
  <si>
    <t>160, 160, 192</t>
  </si>
  <si>
    <t>160, 160, 224</t>
  </si>
  <si>
    <t>160, 160, 255</t>
  </si>
  <si>
    <t>Bleu Majorelle</t>
  </si>
  <si>
    <t>Bleu foncé.194 délavé.209</t>
  </si>
  <si>
    <t>Blanc d'Espagne (pigment)</t>
  </si>
  <si>
    <t>Jaune lég. orange clair.866 délavé.129</t>
  </si>
  <si>
    <t>Orange lég. rouge clair.058 délavé.018</t>
  </si>
  <si>
    <t>160, 192, 0</t>
  </si>
  <si>
    <t>160, 192, 32</t>
  </si>
  <si>
    <t>160, 192, 64</t>
  </si>
  <si>
    <t>160, 192, 96</t>
  </si>
  <si>
    <t>160, 192, 128</t>
  </si>
  <si>
    <t>160, 192, 160</t>
  </si>
  <si>
    <t>160, 192, 192</t>
  </si>
  <si>
    <t>160, 192, 224</t>
  </si>
  <si>
    <t>160, 192, 255</t>
  </si>
  <si>
    <t>MoyenBleu</t>
  </si>
  <si>
    <t>Bleu foncé.382</t>
  </si>
  <si>
    <t>Gris tourdille (chevaux)</t>
  </si>
  <si>
    <t>Jaune lég. orange foncé.010 délavé.906</t>
  </si>
  <si>
    <t>tan1</t>
  </si>
  <si>
    <t>Orange lég. rouge clair.082</t>
  </si>
  <si>
    <t>160, 224, 0</t>
  </si>
  <si>
    <t>160, 224, 32</t>
  </si>
  <si>
    <t>160, 224, 64</t>
  </si>
  <si>
    <t>160, 224, 96</t>
  </si>
  <si>
    <t>160, 224, 128</t>
  </si>
  <si>
    <t>160, 224, 160</t>
  </si>
  <si>
    <t>160, 224, 192</t>
  </si>
  <si>
    <t>160, 224, 224</t>
  </si>
  <si>
    <t>160, 224, 255</t>
  </si>
  <si>
    <t>Rich Bleu</t>
  </si>
  <si>
    <t>Bleu foncé.479 délavé.402</t>
  </si>
  <si>
    <t>Jaune d'or</t>
  </si>
  <si>
    <t>Jaune lég. orange foncé.131 délavé.005</t>
  </si>
  <si>
    <t>marin Coquillage 3</t>
  </si>
  <si>
    <t>Orange lég. rouge clair.148 délavé.896</t>
  </si>
  <si>
    <t>160, 255, 0</t>
  </si>
  <si>
    <t>160, 255, 32</t>
  </si>
  <si>
    <t>160, 255, 64</t>
  </si>
  <si>
    <t>160, 255, 96</t>
  </si>
  <si>
    <t>160, 255, 128</t>
  </si>
  <si>
    <t>160, 255, 160</t>
  </si>
  <si>
    <t>160, 255, 192</t>
  </si>
  <si>
    <t>160, 255, 224</t>
  </si>
  <si>
    <t>160, 255, 255</t>
  </si>
  <si>
    <t>Bleu violacé franc</t>
  </si>
  <si>
    <t>Bleu foncé.512 délavé.380</t>
  </si>
  <si>
    <t>Blé</t>
  </si>
  <si>
    <t>Jaune lég. orange foncé.158 délavé.074</t>
  </si>
  <si>
    <t>Orange clair</t>
  </si>
  <si>
    <t>Orange lég. rouge clair.177 délavé.104</t>
  </si>
  <si>
    <t>192, 0, 0</t>
  </si>
  <si>
    <t>192, 0, 32</t>
  </si>
  <si>
    <t>192, 0, 64</t>
  </si>
  <si>
    <t>192, 0, 96</t>
  </si>
  <si>
    <t>192, 0, 128</t>
  </si>
  <si>
    <t>192, 0, 160</t>
  </si>
  <si>
    <t>192, 0, 192</t>
  </si>
  <si>
    <t>192, 0, 224</t>
  </si>
  <si>
    <t>192, 0, 255</t>
  </si>
  <si>
    <t>Bleu saphir</t>
  </si>
  <si>
    <t>Bleu foncé.534 délavé.001</t>
  </si>
  <si>
    <t>khaki3</t>
  </si>
  <si>
    <t>Jaune lég. orange foncé.204 délavé.447</t>
  </si>
  <si>
    <t>Ventre de biche</t>
  </si>
  <si>
    <t>Orange lég. rouge clair.268 délavé.494</t>
  </si>
  <si>
    <t>192, 32, 0</t>
  </si>
  <si>
    <t>192, 32, 32</t>
  </si>
  <si>
    <t>192, 32, 64</t>
  </si>
  <si>
    <t>192, 32, 96</t>
  </si>
  <si>
    <t>192, 32, 128</t>
  </si>
  <si>
    <t>192, 32, 160</t>
  </si>
  <si>
    <t>192, 32, 192</t>
  </si>
  <si>
    <t>192, 32, 224</t>
  </si>
  <si>
    <t>192, 32, 255</t>
  </si>
  <si>
    <t>New Midnight Bleu</t>
  </si>
  <si>
    <t>Bleu foncé.659</t>
  </si>
  <si>
    <t>Jaune verdâtre vif</t>
  </si>
  <si>
    <t>Jaune lég. orange foncé.278</t>
  </si>
  <si>
    <t>PeachPuff2</t>
  </si>
  <si>
    <t>Orange lég. rouge clair.285 délavé.396</t>
  </si>
  <si>
    <t>192, 64, 0</t>
  </si>
  <si>
    <t>192, 64, 32</t>
  </si>
  <si>
    <t>192, 64, 64</t>
  </si>
  <si>
    <t>192, 64, 96</t>
  </si>
  <si>
    <t>192, 64, 128</t>
  </si>
  <si>
    <t>192, 64, 160</t>
  </si>
  <si>
    <t>192, 64, 192</t>
  </si>
  <si>
    <t>192, 64, 224</t>
  </si>
  <si>
    <t>192, 64, 255</t>
  </si>
  <si>
    <t>Bleu outremer</t>
  </si>
  <si>
    <t>Bleu foncé.663 délavé.002</t>
  </si>
  <si>
    <t>Jaune verdâtre grisâtre</t>
  </si>
  <si>
    <t>Jaune lég. orange foncé.294 délavé.602</t>
  </si>
  <si>
    <t xml:space="preserve">Indian Rouge </t>
  </si>
  <si>
    <t>Orange lég. rouge clair.358 délavé.264</t>
  </si>
  <si>
    <t>192, 96, 0</t>
  </si>
  <si>
    <t>192, 96, 32</t>
  </si>
  <si>
    <t>192, 96, 64</t>
  </si>
  <si>
    <t>192, 96, 96</t>
  </si>
  <si>
    <t>192, 96, 128</t>
  </si>
  <si>
    <t>192, 96, 160</t>
  </si>
  <si>
    <t>192, 96, 192</t>
  </si>
  <si>
    <t>192, 96, 224</t>
  </si>
  <si>
    <t>192, 96, 255</t>
  </si>
  <si>
    <t>Bleu violacé moyen</t>
  </si>
  <si>
    <t>Bleu foncé.697 délavé.527</t>
  </si>
  <si>
    <t>Clarissimo (cigare)</t>
  </si>
  <si>
    <t>Jaune lég. orange foncé.318 délavé.552</t>
  </si>
  <si>
    <t>Rose jaunâtre pâle</t>
  </si>
  <si>
    <t>Orange lég. rouge clair.409 délavé.533</t>
  </si>
  <si>
    <t>192, 128, 0</t>
  </si>
  <si>
    <t>192, 128, 32</t>
  </si>
  <si>
    <t>192, 128, 64</t>
  </si>
  <si>
    <t>192, 128, 96</t>
  </si>
  <si>
    <t>192, 128, 128</t>
  </si>
  <si>
    <t>192, 128, 160</t>
  </si>
  <si>
    <t>192, 128, 192</t>
  </si>
  <si>
    <t>192, 128, 224</t>
  </si>
  <si>
    <t>192, 128, 255</t>
  </si>
  <si>
    <t>Navy Bleu</t>
  </si>
  <si>
    <t>Bleu foncé.704 délavé.118</t>
  </si>
  <si>
    <t>SombreKhaki</t>
  </si>
  <si>
    <t>Jaune lég. orange foncé.329 délavé.457</t>
  </si>
  <si>
    <t>PeachPuff</t>
  </si>
  <si>
    <t>Orange lég. rouge clair.494</t>
  </si>
  <si>
    <t>192, 160, 0</t>
  </si>
  <si>
    <t>192, 160, 32</t>
  </si>
  <si>
    <t>192, 160, 64</t>
  </si>
  <si>
    <t>192, 160, 96</t>
  </si>
  <si>
    <t>192, 160, 128</t>
  </si>
  <si>
    <t>192, 160, 160</t>
  </si>
  <si>
    <t>192, 160, 192</t>
  </si>
  <si>
    <t>192, 160, 224</t>
  </si>
  <si>
    <t>192, 160, 255</t>
  </si>
  <si>
    <t>Bleu4</t>
  </si>
  <si>
    <t>Bleu foncé.734</t>
  </si>
  <si>
    <t>Beigeasse (péjoratif)</t>
  </si>
  <si>
    <t>Jaune lég. orange foncé.357 délavé.639</t>
  </si>
  <si>
    <t>marin Coquillage 2</t>
  </si>
  <si>
    <t>Orange lég. rouge clair.595 délavé.699</t>
  </si>
  <si>
    <t>192, 192, 0</t>
  </si>
  <si>
    <t>192, 192, 32</t>
  </si>
  <si>
    <t>192, 192, 64</t>
  </si>
  <si>
    <t>192, 192, 96</t>
  </si>
  <si>
    <t>192, 192, 128</t>
  </si>
  <si>
    <t>192, 192, 160</t>
  </si>
  <si>
    <t>192, 192, 192</t>
  </si>
  <si>
    <t>192, 192, 224</t>
  </si>
  <si>
    <t>192, 192, 255</t>
  </si>
  <si>
    <t>Sombre Ardoise Bleu</t>
  </si>
  <si>
    <t>Bleu foncé.760 délavé.078</t>
  </si>
  <si>
    <t>Jaune verdâtre moyen</t>
  </si>
  <si>
    <t>Jaune lég. orange foncé.402 délavé.349</t>
  </si>
  <si>
    <t xml:space="preserve">marin Coquillage </t>
  </si>
  <si>
    <t>Orange lég. rouge clair.858</t>
  </si>
  <si>
    <t>192, 224, 0</t>
  </si>
  <si>
    <t>192, 224, 32</t>
  </si>
  <si>
    <t>192, 224, 64</t>
  </si>
  <si>
    <t>192, 224, 96</t>
  </si>
  <si>
    <t>192, 224, 128</t>
  </si>
  <si>
    <t>192, 224, 160</t>
  </si>
  <si>
    <t>192, 224, 192</t>
  </si>
  <si>
    <t>192, 224, 224</t>
  </si>
  <si>
    <t>192, 224, 255</t>
  </si>
  <si>
    <t>NavyBleu</t>
  </si>
  <si>
    <t>Bleu foncé.777</t>
  </si>
  <si>
    <t>Jaune verdâtre franc</t>
  </si>
  <si>
    <t>Jaune lég. orange foncé.448 délavé.104</t>
  </si>
  <si>
    <t>tan2</t>
  </si>
  <si>
    <t>Orange lég. rouge foncé.072 délavé.151</t>
  </si>
  <si>
    <t>192, 255, 0</t>
  </si>
  <si>
    <t>192, 255, 32</t>
  </si>
  <si>
    <t>192, 255, 64</t>
  </si>
  <si>
    <t>192, 255, 96</t>
  </si>
  <si>
    <t>192, 255, 128</t>
  </si>
  <si>
    <t>192, 255, 160</t>
  </si>
  <si>
    <t>192, 255, 192</t>
  </si>
  <si>
    <t>192, 255, 224</t>
  </si>
  <si>
    <t>192, 255, 255</t>
  </si>
  <si>
    <t>Corn Flower Bleu</t>
  </si>
  <si>
    <t>Bleu foncé.777 délavé.514</t>
  </si>
  <si>
    <t>brass</t>
  </si>
  <si>
    <t>Jaune lég. orange foncé.472 délavé.217</t>
  </si>
  <si>
    <t>PeachPuff3</t>
  </si>
  <si>
    <t>Orange lég. rouge foncé.073 délavé.667</t>
  </si>
  <si>
    <t>224, 0, 0</t>
  </si>
  <si>
    <t>224, 0, 32</t>
  </si>
  <si>
    <t>224, 0, 64</t>
  </si>
  <si>
    <t>224, 0, 96</t>
  </si>
  <si>
    <t>224, 0, 128</t>
  </si>
  <si>
    <t>224, 0, 160</t>
  </si>
  <si>
    <t>224, 0, 192</t>
  </si>
  <si>
    <t>224, 0, 224</t>
  </si>
  <si>
    <t>224, 0, 255</t>
  </si>
  <si>
    <t>Bleu violacé vif</t>
  </si>
  <si>
    <t>Bleu foncé.778 délavé.182</t>
  </si>
  <si>
    <t>cornsilk4</t>
  </si>
  <si>
    <t>Jaune lég. orange foncé.539 délavé.845</t>
  </si>
  <si>
    <t>Jaune orangé vif</t>
  </si>
  <si>
    <t>Orange lég. rouge foncé.076</t>
  </si>
  <si>
    <t>224, 32, 0</t>
  </si>
  <si>
    <t>224, 32, 32</t>
  </si>
  <si>
    <t>224, 32, 64</t>
  </si>
  <si>
    <t>224, 32, 96</t>
  </si>
  <si>
    <t>224, 32, 128</t>
  </si>
  <si>
    <t>224, 32, 160</t>
  </si>
  <si>
    <t>224, 32, 192</t>
  </si>
  <si>
    <t>224, 32, 224</t>
  </si>
  <si>
    <t>224, 32, 255</t>
  </si>
  <si>
    <t>Bleu Klein</t>
  </si>
  <si>
    <t>Bleu foncé.779 délavé.079</t>
  </si>
  <si>
    <t>Gris clair olivâtre</t>
  </si>
  <si>
    <t>Jaune lég. orange foncé.550 délavé.835</t>
  </si>
  <si>
    <t>Blond vénitien (cheveux)</t>
  </si>
  <si>
    <t>Orange lég. rouge foncé.103 délavé.207</t>
  </si>
  <si>
    <t>224, 64, 0</t>
  </si>
  <si>
    <t>224, 64, 32</t>
  </si>
  <si>
    <t>224, 64, 64</t>
  </si>
  <si>
    <t>224, 64, 96</t>
  </si>
  <si>
    <t>224, 64, 128</t>
  </si>
  <si>
    <t>224, 64, 160</t>
  </si>
  <si>
    <t>224, 64, 192</t>
  </si>
  <si>
    <t>224, 64, 224</t>
  </si>
  <si>
    <t>224, 64, 255</t>
  </si>
  <si>
    <t>MidnightBleu</t>
  </si>
  <si>
    <t>Bleu foncé.821 délavé.112</t>
  </si>
  <si>
    <t>LemonChiffon4</t>
  </si>
  <si>
    <t>Jaune lég. orange foncé.565 délavé.775</t>
  </si>
  <si>
    <t>Rose brunâtre</t>
  </si>
  <si>
    <t>Orange lég. rouge foncé.125 délavé.748</t>
  </si>
  <si>
    <t>224, 96, 0</t>
  </si>
  <si>
    <t>224, 96, 32</t>
  </si>
  <si>
    <t>224, 96, 64</t>
  </si>
  <si>
    <t>224, 96, 96</t>
  </si>
  <si>
    <t>224, 96, 128</t>
  </si>
  <si>
    <t>224, 96, 160</t>
  </si>
  <si>
    <t>224, 96, 192</t>
  </si>
  <si>
    <t>224, 96, 224</t>
  </si>
  <si>
    <t>224, 96, 255</t>
  </si>
  <si>
    <t>Bleu nuit</t>
  </si>
  <si>
    <t>Bleu foncé.845 délavé.019</t>
  </si>
  <si>
    <t>Olive clair grisâtre</t>
  </si>
  <si>
    <t>Jaune lég. orange foncé.588 délavé.687</t>
  </si>
  <si>
    <t>orange2</t>
  </si>
  <si>
    <t>Orange lég. rouge foncé.142</t>
  </si>
  <si>
    <t>224, 128, 0</t>
  </si>
  <si>
    <t>224, 128, 32</t>
  </si>
  <si>
    <t>224, 128, 64</t>
  </si>
  <si>
    <t>224, 128, 96</t>
  </si>
  <si>
    <t>224, 128, 128</t>
  </si>
  <si>
    <t>224, 128, 160</t>
  </si>
  <si>
    <t>224, 128, 192</t>
  </si>
  <si>
    <t>224, 128, 224</t>
  </si>
  <si>
    <t>224, 128, 255</t>
  </si>
  <si>
    <t>Bleu violacé profond</t>
  </si>
  <si>
    <t>Bleu foncé.879 délavé.305</t>
  </si>
  <si>
    <t>khaki4</t>
  </si>
  <si>
    <t>Jaune lég. orange foncé.654 délavé.462</t>
  </si>
  <si>
    <t>Jaune orangé franc</t>
  </si>
  <si>
    <t>Orange lég. rouge foncé.157 délavé.038</t>
  </si>
  <si>
    <t>224, 160, 0</t>
  </si>
  <si>
    <t>224, 160, 32</t>
  </si>
  <si>
    <t>224, 160, 64</t>
  </si>
  <si>
    <t>224, 160, 96</t>
  </si>
  <si>
    <t>224, 160, 128</t>
  </si>
  <si>
    <t>224, 160, 160</t>
  </si>
  <si>
    <t>224, 160, 192</t>
  </si>
  <si>
    <t>224, 160, 224</t>
  </si>
  <si>
    <t>224, 160, 255</t>
  </si>
  <si>
    <t>Midnight Bleu</t>
  </si>
  <si>
    <t>Bleu foncé.888 délavé.533</t>
  </si>
  <si>
    <t>léger Dorérod4</t>
  </si>
  <si>
    <t>Jaune lég. orange foncé.658 délavé.443</t>
  </si>
  <si>
    <t>Ocre rouge</t>
  </si>
  <si>
    <t>Orange lég. rouge foncé.159 délavé.266</t>
  </si>
  <si>
    <t>224, 192, 0</t>
  </si>
  <si>
    <t>224, 192, 32</t>
  </si>
  <si>
    <t>224, 192, 64</t>
  </si>
  <si>
    <t>224, 192, 96</t>
  </si>
  <si>
    <t>224, 192, 128</t>
  </si>
  <si>
    <t>224, 192, 160</t>
  </si>
  <si>
    <t>224, 192, 192</t>
  </si>
  <si>
    <t>224, 192, 224</t>
  </si>
  <si>
    <t>224, 192, 255</t>
  </si>
  <si>
    <t>Bleu violacé foncé</t>
  </si>
  <si>
    <t>Bleu foncé.928 délavé.509</t>
  </si>
  <si>
    <t>Jaune verdâtre profond</t>
  </si>
  <si>
    <t>Jaune lég. orange foncé.663</t>
  </si>
  <si>
    <t>Orange lég. rouge foncé.255 délavé.022</t>
  </si>
  <si>
    <t>224, 224, 0</t>
  </si>
  <si>
    <t>224, 224, 32</t>
  </si>
  <si>
    <t>224, 224, 64</t>
  </si>
  <si>
    <t>224, 224, 96</t>
  </si>
  <si>
    <t>224, 224, 128</t>
  </si>
  <si>
    <t>224, 224, 160</t>
  </si>
  <si>
    <t>224, 224, 192</t>
  </si>
  <si>
    <t>224, 224, 224</t>
  </si>
  <si>
    <t>224, 224, 255</t>
  </si>
  <si>
    <t>Charbonneux</t>
  </si>
  <si>
    <t>Bleu foncé.995</t>
  </si>
  <si>
    <t>Olive clair</t>
  </si>
  <si>
    <t>Jaune lég. orange foncé.715 délavé.272</t>
  </si>
  <si>
    <t>cool copper</t>
  </si>
  <si>
    <t>Orange lég. rouge foncé.290 délavé.028</t>
  </si>
  <si>
    <t>224, 255, 0</t>
  </si>
  <si>
    <t>224, 255, 32</t>
  </si>
  <si>
    <t>224, 255, 64</t>
  </si>
  <si>
    <t>224, 255, 96</t>
  </si>
  <si>
    <t>224, 255, 128</t>
  </si>
  <si>
    <t>224, 255, 160</t>
  </si>
  <si>
    <t>224, 255, 192</t>
  </si>
  <si>
    <t>224, 255, 224</t>
  </si>
  <si>
    <t>224, 255, 255</t>
  </si>
  <si>
    <t>Bleu électrique</t>
  </si>
  <si>
    <t>Bleu lég. azur clair.026</t>
  </si>
  <si>
    <t>Gris olivâtre</t>
  </si>
  <si>
    <t>Jaune lég. orange foncé.824 délavé.864</t>
  </si>
  <si>
    <t>Brun clair</t>
  </si>
  <si>
    <t>Orange lég. rouge foncé.330 délavé.156</t>
  </si>
  <si>
    <t>255, 0, 0</t>
  </si>
  <si>
    <t>255, 0, 32</t>
  </si>
  <si>
    <t>255, 0, 64</t>
  </si>
  <si>
    <t>255, 0, 96</t>
  </si>
  <si>
    <t>255, 0, 128</t>
  </si>
  <si>
    <t>255, 0, 160</t>
  </si>
  <si>
    <t>255, 0, 192</t>
  </si>
  <si>
    <t>255, 0, 224</t>
  </si>
  <si>
    <t>255, 0, 255</t>
  </si>
  <si>
    <t>RoyalBleu1</t>
  </si>
  <si>
    <t>Bleu lég. azur clair.068</t>
  </si>
  <si>
    <t>Olive grisâtre</t>
  </si>
  <si>
    <t>Jaune lég. orange foncé.833 délavé.687</t>
  </si>
  <si>
    <t>orange3</t>
  </si>
  <si>
    <t>Orange lég. rouge foncé.382</t>
  </si>
  <si>
    <t>255, 32, 0</t>
  </si>
  <si>
    <t>255, 32, 32</t>
  </si>
  <si>
    <t>255, 32, 64</t>
  </si>
  <si>
    <t>255, 32, 96</t>
  </si>
  <si>
    <t>255, 32, 128</t>
  </si>
  <si>
    <t>255, 32, 160</t>
  </si>
  <si>
    <t>255, 32, 192</t>
  </si>
  <si>
    <t>255, 32, 224</t>
  </si>
  <si>
    <t>255, 32, 255</t>
  </si>
  <si>
    <t>Bleu violacé très clair</t>
  </si>
  <si>
    <t>Bleu lég. azur clair.226 délavé.605</t>
  </si>
  <si>
    <t>Olive moyen</t>
  </si>
  <si>
    <t>Jaune lég. orange foncé.848 délavé.177</t>
  </si>
  <si>
    <t>Jaune orangé profond</t>
  </si>
  <si>
    <t>Orange lég. rouge foncé.408</t>
  </si>
  <si>
    <t>255, 64, 0</t>
  </si>
  <si>
    <t>255, 64, 32</t>
  </si>
  <si>
    <t>255, 64, 64</t>
  </si>
  <si>
    <t>255, 64, 96</t>
  </si>
  <si>
    <t>255, 64, 128</t>
  </si>
  <si>
    <t>255, 64, 160</t>
  </si>
  <si>
    <t>255, 64, 192</t>
  </si>
  <si>
    <t>255, 64, 224</t>
  </si>
  <si>
    <t>255, 64, 255</t>
  </si>
  <si>
    <t>silver</t>
  </si>
  <si>
    <t>Bleu lég. azur clair.753 délavé.348</t>
  </si>
  <si>
    <t>Olive foncé</t>
  </si>
  <si>
    <t>Jaune lég. orange foncé.930 délavé.454</t>
  </si>
  <si>
    <t>Sépia</t>
  </si>
  <si>
    <t>Orange lég. rouge foncé.435 délavé.471</t>
  </si>
  <si>
    <t>255, 96, 0</t>
  </si>
  <si>
    <t>255, 96, 32</t>
  </si>
  <si>
    <t>255, 96, 64</t>
  </si>
  <si>
    <t>255, 96, 96</t>
  </si>
  <si>
    <t>255, 96, 128</t>
  </si>
  <si>
    <t>255, 96, 160</t>
  </si>
  <si>
    <t>255, 96, 192</t>
  </si>
  <si>
    <t>255, 96, 224</t>
  </si>
  <si>
    <t>255, 96, 255</t>
  </si>
  <si>
    <t>RoyalBleu2</t>
  </si>
  <si>
    <t>Bleu lég. azur foncé.083 délavé.129</t>
  </si>
  <si>
    <t>Olive foncé grisâtre</t>
  </si>
  <si>
    <t>Jaune lég. orange foncé.940 délavé.707</t>
  </si>
  <si>
    <t>Moyen Wood</t>
  </si>
  <si>
    <t>Orange lég. rouge foncé.477 délavé.508</t>
  </si>
  <si>
    <t>255, 128, 0</t>
  </si>
  <si>
    <t>255, 128, 32</t>
  </si>
  <si>
    <t>255, 128, 64</t>
  </si>
  <si>
    <t>255, 128, 96</t>
  </si>
  <si>
    <t>255, 128, 128</t>
  </si>
  <si>
    <t>255, 128, 160</t>
  </si>
  <si>
    <t>255, 128, 192</t>
  </si>
  <si>
    <t>255, 128, 224</t>
  </si>
  <si>
    <t>255, 128, 255</t>
  </si>
  <si>
    <t>RoyalBleu</t>
  </si>
  <si>
    <t>Bleu lég. azur foncé.186 délavé.137</t>
  </si>
  <si>
    <t>Noir olivâtre</t>
  </si>
  <si>
    <t>Jaune lég. orange foncé.968 délavé.794</t>
  </si>
  <si>
    <t>Orange lég. rouge foncé.500 délavé.438</t>
  </si>
  <si>
    <t>255, 160, 0</t>
  </si>
  <si>
    <t>255, 160, 32</t>
  </si>
  <si>
    <t>255, 160, 64</t>
  </si>
  <si>
    <t>255, 160, 96</t>
  </si>
  <si>
    <t>255, 160, 128</t>
  </si>
  <si>
    <t>255, 160, 160</t>
  </si>
  <si>
    <t>255, 160, 192</t>
  </si>
  <si>
    <t>255, 160, 224</t>
  </si>
  <si>
    <t>255, 160, 255</t>
  </si>
  <si>
    <t>Bleu violacé clair</t>
  </si>
  <si>
    <t>Bleu lég. azur foncé.220 délavé.642</t>
  </si>
  <si>
    <t>Magenta secondaire</t>
  </si>
  <si>
    <t>marin Coquillage 4</t>
  </si>
  <si>
    <t>Orange lég. rouge foncé.503 délavé.929</t>
  </si>
  <si>
    <t>255, 192, 0</t>
  </si>
  <si>
    <t>255, 192, 32</t>
  </si>
  <si>
    <t>255, 192, 64</t>
  </si>
  <si>
    <t>255, 192, 96</t>
  </si>
  <si>
    <t>255, 192, 128</t>
  </si>
  <si>
    <t>255, 192, 160</t>
  </si>
  <si>
    <t>255, 192, 192</t>
  </si>
  <si>
    <t>255, 192, 224</t>
  </si>
  <si>
    <t>255, 192, 255</t>
  </si>
  <si>
    <t>Bleu violacé pâle</t>
  </si>
  <si>
    <t>Bleu lég. azur foncé.308 délavé.782</t>
  </si>
  <si>
    <t>orchid2</t>
  </si>
  <si>
    <t>Magenta clair.060 délavé.301</t>
  </si>
  <si>
    <t>Poil de chameau</t>
  </si>
  <si>
    <t>Orange lég. rouge foncé.506 délavé.071</t>
  </si>
  <si>
    <t>255, 224, 0</t>
  </si>
  <si>
    <t>255, 224, 32</t>
  </si>
  <si>
    <t>255, 224, 64</t>
  </si>
  <si>
    <t>255, 224, 96</t>
  </si>
  <si>
    <t>255, 224, 128</t>
  </si>
  <si>
    <t>255, 224, 160</t>
  </si>
  <si>
    <t>255, 224, 192</t>
  </si>
  <si>
    <t>255, 224, 224</t>
  </si>
  <si>
    <t>255, 224, 255</t>
  </si>
  <si>
    <t>RoyalBleu3</t>
  </si>
  <si>
    <t>Bleu lég. azur foncé.337 délavé.134</t>
  </si>
  <si>
    <t>violet</t>
  </si>
  <si>
    <t>Magenta clair.089 délavé.311</t>
  </si>
  <si>
    <t>Brun clair grisâtre</t>
  </si>
  <si>
    <t>Orange lég. rouge foncé.522 délavé.706</t>
  </si>
  <si>
    <t>255, 255, 0</t>
  </si>
  <si>
    <t>255, 255, 32</t>
  </si>
  <si>
    <t>255, 255, 64</t>
  </si>
  <si>
    <t>255, 255, 96</t>
  </si>
  <si>
    <t>255, 255, 128</t>
  </si>
  <si>
    <t>255, 255, 160</t>
  </si>
  <si>
    <t>255, 255, 192</t>
  </si>
  <si>
    <t>255, 255, 224</t>
  </si>
  <si>
    <t>255, 255, 255</t>
  </si>
  <si>
    <t>Bleu violacé brillant</t>
  </si>
  <si>
    <t>Bleu lég. azur foncé.356 délavé.485</t>
  </si>
  <si>
    <t>thistle3</t>
  </si>
  <si>
    <t>Magenta clair.089 délavé.838</t>
  </si>
  <si>
    <t>Gris clair brunâtre</t>
  </si>
  <si>
    <t>Orange lég. rouge foncé.523 délavé.831</t>
  </si>
  <si>
    <t>Free Speech Bleu</t>
  </si>
  <si>
    <t>Bleu lég. azur foncé.378 délavé.179</t>
  </si>
  <si>
    <t>plum</t>
  </si>
  <si>
    <t>Magenta clair.090 délavé.595</t>
  </si>
  <si>
    <t>PeachPuff4</t>
  </si>
  <si>
    <t>Orange lég. rouge foncé.598 délavé.675</t>
  </si>
  <si>
    <t>Bleu ardoise</t>
  </si>
  <si>
    <t>Bleu lég. azur foncé.585 délavé.696</t>
  </si>
  <si>
    <t>Thistle</t>
  </si>
  <si>
    <t>Magenta clair.223 délavé.789</t>
  </si>
  <si>
    <t>Brun jaunâtre franc</t>
  </si>
  <si>
    <t>Orange lég. rouge foncé.665 délavé.046</t>
  </si>
  <si>
    <t>Smalt</t>
  </si>
  <si>
    <t>Bleu lég. azur foncé.673</t>
  </si>
  <si>
    <t>orchid1</t>
  </si>
  <si>
    <t>Magenta clair.235</t>
  </si>
  <si>
    <t>Lavallière (reliure)</t>
  </si>
  <si>
    <t>Orange lég. rouge foncé.700 délavé.111</t>
  </si>
  <si>
    <t>RoyalBleu4</t>
  </si>
  <si>
    <t>Bleu lég. azur foncé.712 délavé.148</t>
  </si>
  <si>
    <t>Plum</t>
  </si>
  <si>
    <t>Magenta clair.254 délavé.464</t>
  </si>
  <si>
    <t>tan4</t>
  </si>
  <si>
    <t>Orange lég. rouge foncé.708 délavé.174</t>
  </si>
  <si>
    <t>Bleu violacé grisâtre</t>
  </si>
  <si>
    <t>Bleu lég. azur foncé.765 délavé.645</t>
  </si>
  <si>
    <t>plum2</t>
  </si>
  <si>
    <t>Magenta clair.291 délavé.399</t>
  </si>
  <si>
    <t>orange4</t>
  </si>
  <si>
    <t>Orange lég. rouge foncé.734</t>
  </si>
  <si>
    <t>RoyalBleu5</t>
  </si>
  <si>
    <t>Bleu lég. azur foncé.861</t>
  </si>
  <si>
    <t>plum1</t>
  </si>
  <si>
    <t>Magenta clair.506</t>
  </si>
  <si>
    <t>Mordoré</t>
  </si>
  <si>
    <t>Orange lég. rouge foncé.739 délavé.082</t>
  </si>
  <si>
    <t>Bleu persan</t>
  </si>
  <si>
    <t>Bleu lég. violet</t>
  </si>
  <si>
    <t>thistle2</t>
  </si>
  <si>
    <t>Magenta clair.510 délavé.578</t>
  </si>
  <si>
    <t>Cannelle</t>
  </si>
  <si>
    <t>Orange lég. rouge foncé.746 délavé.295</t>
  </si>
  <si>
    <t>MoyenArdoise Bleu</t>
  </si>
  <si>
    <t>Bleu lég. violet clair.003 délavé.284</t>
  </si>
  <si>
    <t>thistle1</t>
  </si>
  <si>
    <t>Magenta clair.758</t>
  </si>
  <si>
    <t>Chaudron</t>
  </si>
  <si>
    <t>Orange lég. rouge foncé.753 délavé.038</t>
  </si>
  <si>
    <t>Lavande</t>
  </si>
  <si>
    <t>Bleu lég. violet clair.077 délavé.341</t>
  </si>
  <si>
    <t>plum3</t>
  </si>
  <si>
    <t>Magenta foncé.068 délavé.673</t>
  </si>
  <si>
    <t>Cacao</t>
  </si>
  <si>
    <t>Orange lég. rouge foncé.831 délavé.525</t>
  </si>
  <si>
    <t>Ardoise Bleu1</t>
  </si>
  <si>
    <t>Bleu lég. violet clair.165</t>
  </si>
  <si>
    <t>Orchid</t>
  </si>
  <si>
    <t>Magenta foncé.117 délavé.382</t>
  </si>
  <si>
    <t>Colorado claro (cigare)</t>
  </si>
  <si>
    <t>Orange lég. rouge foncé.834 délavé.191</t>
  </si>
  <si>
    <t>léger Ardoise Bleu</t>
  </si>
  <si>
    <t>Bleu lég. violet clair.169</t>
  </si>
  <si>
    <t>Orchidée</t>
  </si>
  <si>
    <t>Magenta foncé.124 délavé.385</t>
  </si>
  <si>
    <t>Brun jaunâtre profond</t>
  </si>
  <si>
    <t>Orange lég. rouge foncé.848 délavé.219</t>
  </si>
  <si>
    <t>Ardoise Bleu2</t>
  </si>
  <si>
    <t>Bleu lég. violet délavé.283</t>
  </si>
  <si>
    <t>magenta2</t>
  </si>
  <si>
    <t>Magenta foncé.142</t>
  </si>
  <si>
    <t>Blet</t>
  </si>
  <si>
    <t>Orange lég. rouge foncé.885 délavé.098</t>
  </si>
  <si>
    <t>Indigo</t>
  </si>
  <si>
    <t>Bleu lég. violet foncé.048 délavé.025</t>
  </si>
  <si>
    <t>Mauve</t>
  </si>
  <si>
    <t>Magenta foncé.156 délavé.422</t>
  </si>
  <si>
    <t>Brun jaunâtre foncé grisâtre</t>
  </si>
  <si>
    <t>Orange lég. rouge foncé.898 délavé.660</t>
  </si>
  <si>
    <t>Ardoise Bleu</t>
  </si>
  <si>
    <t>Bleu lég. violet foncé.275 délavé.295</t>
  </si>
  <si>
    <t>orchid3</t>
  </si>
  <si>
    <t>Magenta foncé.235 délavé.385</t>
  </si>
  <si>
    <t>Brun jaunâtre foncé</t>
  </si>
  <si>
    <t>Orange lég. rouge foncé.910 délavé.353</t>
  </si>
  <si>
    <t>Ardoise Bleu3</t>
  </si>
  <si>
    <t>Bleu lég. violet foncé.277 délavé.289</t>
  </si>
  <si>
    <t>Violet pâle</t>
  </si>
  <si>
    <t>Magenta foncé.266 délavé.880</t>
  </si>
  <si>
    <t>Café</t>
  </si>
  <si>
    <t>Orange lég. rouge foncé.935 délavé.009</t>
  </si>
  <si>
    <t>Bleu-violet clair</t>
  </si>
  <si>
    <t>Bleu lég. violet foncé.292 délavé.653</t>
  </si>
  <si>
    <t>magenta3</t>
  </si>
  <si>
    <t>Magenta foncé.382</t>
  </si>
  <si>
    <t>Réglisse</t>
  </si>
  <si>
    <t>Orange lég. rouge foncé.959 délavé.657</t>
  </si>
  <si>
    <t>Bleu-violet pâle</t>
  </si>
  <si>
    <t>Bleu lég. violet foncé.296 délavé.817</t>
  </si>
  <si>
    <t>violet Bleu</t>
  </si>
  <si>
    <t>Magenta foncé.525 délavé.503</t>
  </si>
  <si>
    <t>Noiraud (teint , cheveux)</t>
  </si>
  <si>
    <t>Orange lég. rouge foncé.966 délavé.254</t>
  </si>
  <si>
    <t>Bleu-violet brillant</t>
  </si>
  <si>
    <t>Bleu lég. violet foncé.334 délavé.535</t>
  </si>
  <si>
    <t>thistle4</t>
  </si>
  <si>
    <t>Magenta foncé.528 délavé.871</t>
  </si>
  <si>
    <t>Noir de fumée (pigment)</t>
  </si>
  <si>
    <t>Orange lég. rouge foncé.991 délavé.614</t>
  </si>
  <si>
    <t>Bleu-violet franc</t>
  </si>
  <si>
    <t>Bleu lég. violet foncé.602 délavé.402</t>
  </si>
  <si>
    <t>plum4</t>
  </si>
  <si>
    <t>Magenta foncé.595 délavé.684</t>
  </si>
  <si>
    <t>Rouge primaire</t>
  </si>
  <si>
    <t>SombreArdoise Bleu</t>
  </si>
  <si>
    <t>Bleu lég. violet foncé.685 délavé.311</t>
  </si>
  <si>
    <t>Violet grisâtre</t>
  </si>
  <si>
    <t>Magenta foncé.657 délavé.842</t>
  </si>
  <si>
    <t xml:space="preserve">Orange Rouge </t>
  </si>
  <si>
    <t>Ardoise Bleu4</t>
  </si>
  <si>
    <t>Bleu lég. violet foncé.686 délavé.303</t>
  </si>
  <si>
    <t>orchid4</t>
  </si>
  <si>
    <t>Magenta foncé.667 délavé.398</t>
  </si>
  <si>
    <t xml:space="preserve">OrangeRouge </t>
  </si>
  <si>
    <t>Indigo (teinture)</t>
  </si>
  <si>
    <t>Bleu lég. violet foncé.844</t>
  </si>
  <si>
    <t>magenta4</t>
  </si>
  <si>
    <t>Magenta foncé.734</t>
  </si>
  <si>
    <t>Feu vif</t>
  </si>
  <si>
    <t>SombreOlivevert2</t>
  </si>
  <si>
    <t>Chartreuse clair.003 délavé.284</t>
  </si>
  <si>
    <t>Magenta foncé</t>
  </si>
  <si>
    <t>Magenta foncé.777</t>
  </si>
  <si>
    <t>Vermeil</t>
  </si>
  <si>
    <t>Rouge clair.003</t>
  </si>
  <si>
    <t>OliveDrab1</t>
  </si>
  <si>
    <t>Chartreuse clair.051</t>
  </si>
  <si>
    <t>Violet</t>
  </si>
  <si>
    <t>Magenta foncé.888 délavé.533</t>
  </si>
  <si>
    <t>pierre à feu 1</t>
  </si>
  <si>
    <t>Rouge clair.031</t>
  </si>
  <si>
    <t>Vert pistache</t>
  </si>
  <si>
    <t>Chartreuse clair.097 délavé.188</t>
  </si>
  <si>
    <t>Violet noirâtre</t>
  </si>
  <si>
    <t>Magenta foncé.963 délavé.734</t>
  </si>
  <si>
    <t>Brun 1</t>
  </si>
  <si>
    <t>Rouge clair.054</t>
  </si>
  <si>
    <t>SombreOlivevert1</t>
  </si>
  <si>
    <t>Chartreuse clair.169</t>
  </si>
  <si>
    <t>Noir violacé</t>
  </si>
  <si>
    <t>Magenta foncé.966 délavé.924</t>
  </si>
  <si>
    <t xml:space="preserve">Tomate </t>
  </si>
  <si>
    <t>Rouge clair.066</t>
  </si>
  <si>
    <t>Blanc de lait</t>
  </si>
  <si>
    <t>Chartreuse clair.931 délavé.752</t>
  </si>
  <si>
    <t>Free Speech Magenta</t>
  </si>
  <si>
    <t>Magenta lég. fuchsia foncé.117 délavé.248</t>
  </si>
  <si>
    <t>Rouge capucine</t>
  </si>
  <si>
    <t>Rouge clair.078</t>
  </si>
  <si>
    <t>OliveDrab2</t>
  </si>
  <si>
    <t>Chartreuse foncé.097 délavé.099</t>
  </si>
  <si>
    <t>Violet rougeâtre très profond</t>
  </si>
  <si>
    <t>Magenta lég. fuchsia foncé.897 délavé.194</t>
  </si>
  <si>
    <t>Nacarat</t>
  </si>
  <si>
    <t>Rouge clair.089 délavé.057</t>
  </si>
  <si>
    <t>Vert tilleul</t>
  </si>
  <si>
    <t>Chartreuse foncé.267 délavé.241</t>
  </si>
  <si>
    <t>Violet rougeâtre très foncé</t>
  </si>
  <si>
    <t>Magenta lég. fuchsia foncé.955 délavé.391</t>
  </si>
  <si>
    <t>Rose jaunâtre moyen</t>
  </si>
  <si>
    <t>Rouge clair.091 délavé.659</t>
  </si>
  <si>
    <t>SombreOlivevert3</t>
  </si>
  <si>
    <t>Chartreuse foncé.275 délavé.295</t>
  </si>
  <si>
    <t>Violet très clair</t>
  </si>
  <si>
    <t>Magenta lég. violet clair.214 délavé.726</t>
  </si>
  <si>
    <t xml:space="preserve">léger Corail </t>
  </si>
  <si>
    <t>Rouge clair.098 délavé.278</t>
  </si>
  <si>
    <t>OliveDrab3</t>
  </si>
  <si>
    <t>Chartreuse foncé.348 délavé.103</t>
  </si>
  <si>
    <t>Zinzolin</t>
  </si>
  <si>
    <t>Magenta lég. violet foncé.808 délavé.006</t>
  </si>
  <si>
    <t>Rose moyen</t>
  </si>
  <si>
    <t>Rouge clair.117 délavé.597</t>
  </si>
  <si>
    <t>Jaune vert</t>
  </si>
  <si>
    <t>Chartreuse foncé.355 délavé.104</t>
  </si>
  <si>
    <t>Violet très foncé</t>
  </si>
  <si>
    <t>Magenta lég. violet foncé.954 délavé.434</t>
  </si>
  <si>
    <t>Rose franc</t>
  </si>
  <si>
    <t>Rouge clair.127 délavé.397</t>
  </si>
  <si>
    <t>SombreOlivevert4</t>
  </si>
  <si>
    <t>Chartreuse foncé.685 délavé.311</t>
  </si>
  <si>
    <t>Mi-bleu mi-azur</t>
  </si>
  <si>
    <t xml:space="preserve">Saumon </t>
  </si>
  <si>
    <t>Rouge clair.132 délavé.099</t>
  </si>
  <si>
    <t>OliveDrab</t>
  </si>
  <si>
    <t>Chartreuse foncé.704 délavé.118</t>
  </si>
  <si>
    <t>DodgerBleu</t>
  </si>
  <si>
    <t>Mi-bleu mi-azur clair.013</t>
  </si>
  <si>
    <t>Rose jaunâtre franc</t>
  </si>
  <si>
    <t>Rouge clair.139 délavé.139</t>
  </si>
  <si>
    <t>OliveDrab4</t>
  </si>
  <si>
    <t>Chartreuse foncé.717 délavé.118</t>
  </si>
  <si>
    <t>Bleu violacé très pâle</t>
  </si>
  <si>
    <t>Mi-bleu mi-azur clair.294 délavé.684</t>
  </si>
  <si>
    <t>IndianRouge 1</t>
  </si>
  <si>
    <t>Rouge clair.150</t>
  </si>
  <si>
    <t>SombreOlivevert</t>
  </si>
  <si>
    <t>Chartreuse foncé.817 délavé.326</t>
  </si>
  <si>
    <t>CornflowerBleu</t>
  </si>
  <si>
    <t>Mi-bleu mi-azur foncé.016 délavé.270</t>
  </si>
  <si>
    <t>Incarnat</t>
  </si>
  <si>
    <t>Rouge clair.165</t>
  </si>
  <si>
    <t>Vert olive foncé grisâtre</t>
  </si>
  <si>
    <t>Chartreuse foncé.936 délavé.790</t>
  </si>
  <si>
    <t>Sombre Turquoise</t>
  </si>
  <si>
    <t>Mi-bleu mi-azur foncé.117 délavé.382</t>
  </si>
  <si>
    <t>Neige 3</t>
  </si>
  <si>
    <t>Rouge clair.210 délavé.967</t>
  </si>
  <si>
    <t>Vert chartreuse</t>
  </si>
  <si>
    <t>Chartreuse lég. jaune foncé.035 délavé.069</t>
  </si>
  <si>
    <t>DodgerBleu2</t>
  </si>
  <si>
    <t>Mi-bleu mi-azur foncé.130 délavé.028</t>
  </si>
  <si>
    <t>Incarnadin</t>
  </si>
  <si>
    <t>Rouge clair.305 délavé.025</t>
  </si>
  <si>
    <t>Vert jaune vif</t>
  </si>
  <si>
    <t>Chartreuse lég. jaune foncé.523</t>
  </si>
  <si>
    <t>Bleu charron</t>
  </si>
  <si>
    <t>Mi-bleu mi-azur foncé.148 délavé.655</t>
  </si>
  <si>
    <t>RosyBrun 2</t>
  </si>
  <si>
    <t>Rouge clair.324 délavé.419</t>
  </si>
  <si>
    <t>Vert jaune franc</t>
  </si>
  <si>
    <t>Chartreuse lég. jaune foncé.616 délavé.149</t>
  </si>
  <si>
    <t>Bleu roi</t>
  </si>
  <si>
    <t>Mi-bleu mi-azur foncé.164 délavé.077</t>
  </si>
  <si>
    <t>Rose jaunâtre clair</t>
  </si>
  <si>
    <t>Rouge clair.455 délavé.341</t>
  </si>
  <si>
    <t>Vert olive</t>
  </si>
  <si>
    <t>Chartreuse lég. jaune foncé.708 délavé.120</t>
  </si>
  <si>
    <t>DodgerBleu3</t>
  </si>
  <si>
    <t>Mi-bleu mi-azur foncé.372 délavé.030</t>
  </si>
  <si>
    <t>Rose vif</t>
  </si>
  <si>
    <t>Rouge clair.471</t>
  </si>
  <si>
    <t>Vert militaire</t>
  </si>
  <si>
    <t>Chartreuse lég. jaune foncé.802 délavé.597</t>
  </si>
  <si>
    <t>Denim</t>
  </si>
  <si>
    <t>Mi-bleu mi-azur foncé.475 délavé.029</t>
  </si>
  <si>
    <t>Rose pâle</t>
  </si>
  <si>
    <t>Rouge clair.513 délavé.711</t>
  </si>
  <si>
    <t>Vert olive grisâtre</t>
  </si>
  <si>
    <t>Chartreuse lég. jaune foncé.839 délavé.757</t>
  </si>
  <si>
    <t>Bleu bleuet</t>
  </si>
  <si>
    <t>Mi-bleu mi-azur foncé.475 délavé.354</t>
  </si>
  <si>
    <t>RosyBrun 1</t>
  </si>
  <si>
    <t>Rouge clair.542</t>
  </si>
  <si>
    <t>Vert olive moyen</t>
  </si>
  <si>
    <t>Chartreuse lég. jaune foncé.868 délavé.265</t>
  </si>
  <si>
    <t>Lapis-lazuli</t>
  </si>
  <si>
    <t>Mi-bleu mi-azur foncé.638 délavé.112</t>
  </si>
  <si>
    <t>Rose clair</t>
  </si>
  <si>
    <t>Rouge clair.547 délavé.227</t>
  </si>
  <si>
    <t>Vert olive franc</t>
  </si>
  <si>
    <t>Chartreuse lég. jaune foncé.918</t>
  </si>
  <si>
    <t>Bleu turquin</t>
  </si>
  <si>
    <t>Mi-bleu mi-azur foncé.680 délavé.358</t>
  </si>
  <si>
    <t>Neige 2</t>
  </si>
  <si>
    <t>Rouge clair.678 délavé.878</t>
  </si>
  <si>
    <t>Vert olive profond</t>
  </si>
  <si>
    <t>Chartreuse lég. jaune foncé.970</t>
  </si>
  <si>
    <t>DodgerBleu4</t>
  </si>
  <si>
    <t>Mi-bleu mi-azur foncé.728 délavé.038</t>
  </si>
  <si>
    <t xml:space="preserve">Neige </t>
  </si>
  <si>
    <t>Rouge clair.957</t>
  </si>
  <si>
    <t>Vert lime</t>
  </si>
  <si>
    <t>Chartreuse lég. vert clair.024 délavé.035</t>
  </si>
  <si>
    <t>Ardoise</t>
  </si>
  <si>
    <t>Mi-bleu mi-azur foncé.740 délavé.823</t>
  </si>
  <si>
    <t>Rouge feu</t>
  </si>
  <si>
    <t>Rouge foncé.009</t>
  </si>
  <si>
    <t>vertJaune</t>
  </si>
  <si>
    <t>Chartreuse lég. vert clair.030</t>
  </si>
  <si>
    <t>Bleu de cobalt (pigment)</t>
  </si>
  <si>
    <t>Mi-bleu mi-azur foncé.774 délavé.148</t>
  </si>
  <si>
    <t>IndianRouge 2</t>
  </si>
  <si>
    <t>Rouge foncé.011 délavé.263</t>
  </si>
  <si>
    <t>Vert anis</t>
  </si>
  <si>
    <t>Chartreuse lég. vert foncé.093 délavé.210</t>
  </si>
  <si>
    <t>Bleu de minuit</t>
  </si>
  <si>
    <t>Mi-bleu mi-azur foncé.861</t>
  </si>
  <si>
    <t>Rose grisâtre</t>
  </si>
  <si>
    <t>Rouge foncé.013 délavé.865</t>
  </si>
  <si>
    <t>Asperge</t>
  </si>
  <si>
    <t>Chartreuse lég. vert foncé.530 délavé.466</t>
  </si>
  <si>
    <t>Bleu marine</t>
  </si>
  <si>
    <t>Mi-bleu mi-azur foncé.923 délavé.023</t>
  </si>
  <si>
    <t>RosyBrun 3</t>
  </si>
  <si>
    <t>Rouge foncé.045 délavé.705</t>
  </si>
  <si>
    <t>Vert avocat</t>
  </si>
  <si>
    <t>Chartreuse lég. vert foncé.768 délavé.008</t>
  </si>
  <si>
    <t>Moyen Ardoise Bleu</t>
  </si>
  <si>
    <t>Mi-bleu mi-violet</t>
  </si>
  <si>
    <t>Rose profond</t>
  </si>
  <si>
    <t>Rouge foncé.047 délavé.360</t>
  </si>
  <si>
    <t>Cyan secondaire</t>
  </si>
  <si>
    <t>Pourpre 1</t>
  </si>
  <si>
    <t>Mi-bleu mi-violet clair.031</t>
  </si>
  <si>
    <t>Rouge de Mars (pigment)</t>
  </si>
  <si>
    <t>Rouge foncé.065 délavé.008</t>
  </si>
  <si>
    <t>léger Cyan3</t>
  </si>
  <si>
    <t>Cyan clair.084 délavé.833</t>
  </si>
  <si>
    <t>MoyenPourpre 2</t>
  </si>
  <si>
    <t>Mi-bleu mi-violet clair.057 délavé.300</t>
  </si>
  <si>
    <t>Gris tourterelle</t>
  </si>
  <si>
    <t>Rouge foncé.073 délavé.909</t>
  </si>
  <si>
    <t>SombreArdoise gris 2</t>
  </si>
  <si>
    <t>Cyan clair.133 délavé.326</t>
  </si>
  <si>
    <t>MoyenPourpre 1</t>
  </si>
  <si>
    <t>Mi-bleu mi-violet clair.231</t>
  </si>
  <si>
    <t>Rose jaunâtre profond</t>
  </si>
  <si>
    <t>Rouge foncé.079 délavé.271</t>
  </si>
  <si>
    <t>Aigue-marine</t>
  </si>
  <si>
    <t>Cyan clair.139 délavé.139</t>
  </si>
  <si>
    <t>Gris de lin</t>
  </si>
  <si>
    <t>Mi-bleu mi-violet clair.441 délavé.563</t>
  </si>
  <si>
    <t>Tomate 2</t>
  </si>
  <si>
    <t>Rouge foncé.084 délavé.125</t>
  </si>
  <si>
    <t>azure3</t>
  </si>
  <si>
    <t>Cyan clair.160 délavé.909</t>
  </si>
  <si>
    <t>Bleu-violet très clair</t>
  </si>
  <si>
    <t>Mi-bleu mi-violet clair.638</t>
  </si>
  <si>
    <t>Brun 2</t>
  </si>
  <si>
    <t>Rouge foncé.096 délavé.102</t>
  </si>
  <si>
    <t>Turquoise</t>
  </si>
  <si>
    <t>Cyan clair.254 délavé.464</t>
  </si>
  <si>
    <t>Pourpre 2</t>
  </si>
  <si>
    <t>Mi-bleu mi-violet foncé.115 délavé.060</t>
  </si>
  <si>
    <t>pierre à feu 2</t>
  </si>
  <si>
    <t>Rouge foncé.115 délavé.060</t>
  </si>
  <si>
    <t>PaleTurquoise2</t>
  </si>
  <si>
    <t>Cyan clair.291 délavé.399</t>
  </si>
  <si>
    <t>Moyen Orchid</t>
  </si>
  <si>
    <t>Mi-bleu mi-violet foncé.117 délavé.382</t>
  </si>
  <si>
    <t>Garance</t>
  </si>
  <si>
    <t>Rouge foncé.136 délavé.012</t>
  </si>
  <si>
    <t>PaleTurquoise</t>
  </si>
  <si>
    <t>Cyan clair.296 délavé.402</t>
  </si>
  <si>
    <t>BleuViolet</t>
  </si>
  <si>
    <t>Mi-bleu mi-violet foncé.209 délavé.064</t>
  </si>
  <si>
    <t>Rouge grenadine</t>
  </si>
  <si>
    <t>Rouge foncé.139 délavé.097</t>
  </si>
  <si>
    <t>SombreArdoise gris 1</t>
  </si>
  <si>
    <t>Cyan clair.318</t>
  </si>
  <si>
    <t>MoyenPourpre 3</t>
  </si>
  <si>
    <t>Mi-bleu mi-violet foncé.238 délavé.379</t>
  </si>
  <si>
    <t>Rouge 2</t>
  </si>
  <si>
    <t>Rouge foncé.142</t>
  </si>
  <si>
    <t>léger Cyan2</t>
  </si>
  <si>
    <t>Cyan clair.503 délavé.570</t>
  </si>
  <si>
    <t>Bleu-violet vif</t>
  </si>
  <si>
    <t>Mi-bleu mi-violet foncé.266 délavé.370</t>
  </si>
  <si>
    <t>OrangeRouge 2</t>
  </si>
  <si>
    <t>PaleTurquoise1</t>
  </si>
  <si>
    <t>Cyan clair.506</t>
  </si>
  <si>
    <t>Pourpre 3</t>
  </si>
  <si>
    <t>Mi-bleu mi-violet foncé.362 délavé.063</t>
  </si>
  <si>
    <t>Rouge d'aniline</t>
  </si>
  <si>
    <t>Rouge foncé.149</t>
  </si>
  <si>
    <t>azure2</t>
  </si>
  <si>
    <t>Cyan clair.610 délavé.725</t>
  </si>
  <si>
    <t xml:space="preserve">Free Speech gris </t>
  </si>
  <si>
    <t>Mi-bleu mi-violet foncé.648 délavé.554</t>
  </si>
  <si>
    <t>Corail</t>
  </si>
  <si>
    <t>Rouge foncé.196 délavé.001</t>
  </si>
  <si>
    <t>léger Cyan</t>
  </si>
  <si>
    <t>Cyan clair.751</t>
  </si>
  <si>
    <t>MoyenPourpre 4</t>
  </si>
  <si>
    <t>Mi-bleu mi-violet foncé.667 délavé.398</t>
  </si>
  <si>
    <t xml:space="preserve">RosyBrun </t>
  </si>
  <si>
    <t>Rouge foncé.205 délavé.712</t>
  </si>
  <si>
    <t>azure</t>
  </si>
  <si>
    <t>Cyan clair.875</t>
  </si>
  <si>
    <t>Bleu-violet moyen</t>
  </si>
  <si>
    <t>Mi-bleu mi-violet foncé.693 délavé.521</t>
  </si>
  <si>
    <t>Gueules (héraldique)</t>
  </si>
  <si>
    <t>Rouge foncé.227 délavé.017</t>
  </si>
  <si>
    <t>Opalin</t>
  </si>
  <si>
    <t>Cyan clair.891</t>
  </si>
  <si>
    <t>Bleu-violet grisâtre</t>
  </si>
  <si>
    <t>Mi-bleu mi-violet foncé.777 délavé.680</t>
  </si>
  <si>
    <t>Rose foncé</t>
  </si>
  <si>
    <t>Rouge foncé.241 délavé.589</t>
  </si>
  <si>
    <t>Blanc lunaire</t>
  </si>
  <si>
    <t>Cyan clair.898 délavé.171</t>
  </si>
  <si>
    <t>léger Bleu</t>
  </si>
  <si>
    <t>Mi-cyan mi-azur clair.223 délavé.525</t>
  </si>
  <si>
    <t>Rouge tomate</t>
  </si>
  <si>
    <t>Rouge foncé.255 délavé.022</t>
  </si>
  <si>
    <t>Blanc de zinc (pigment)</t>
  </si>
  <si>
    <t>Cyan clair.915 délavé.204</t>
  </si>
  <si>
    <t>léger Bleu2</t>
  </si>
  <si>
    <t>Mi-cyan mi-azur clair.313 délavé.412</t>
  </si>
  <si>
    <t xml:space="preserve">IndianRouge </t>
  </si>
  <si>
    <t>Rouge foncé.270 délavé.307</t>
  </si>
  <si>
    <t>Cyan clair</t>
  </si>
  <si>
    <t>Cyan foncé.018 délavé.052</t>
  </si>
  <si>
    <t>Azurin</t>
  </si>
  <si>
    <t>Mi-cyan mi-azur clair.397 délavé.029</t>
  </si>
  <si>
    <t>Rouge vermillon</t>
  </si>
  <si>
    <t>Rouge foncé.285 délavé.002</t>
  </si>
  <si>
    <t>PaleTurquoise3</t>
  </si>
  <si>
    <t>Cyan foncé.068 délavé.673</t>
  </si>
  <si>
    <t>léger Bleu1</t>
  </si>
  <si>
    <t>Mi-cyan mi-azur clair.530</t>
  </si>
  <si>
    <t>IndianRouge 3</t>
  </si>
  <si>
    <t>Rouge foncé.287 délavé.267</t>
  </si>
  <si>
    <t>Moyen Turquoise</t>
  </si>
  <si>
    <t>Cyan foncé.117 délavé.382</t>
  </si>
  <si>
    <t>léger Bleu3</t>
  </si>
  <si>
    <t>Mi-cyan mi-azur foncé.050 délavé.699</t>
  </si>
  <si>
    <t>Rouge d'alizarine (pigment)</t>
  </si>
  <si>
    <t>Rouge foncé.299 délavé.001</t>
  </si>
  <si>
    <t>Bleu givré</t>
  </si>
  <si>
    <t>Cyan foncé.138 délavé.519</t>
  </si>
  <si>
    <t>Bleu verdâtre clair</t>
  </si>
  <si>
    <t>Mi-cyan mi-azur foncé.350 délavé.426</t>
  </si>
  <si>
    <t>Tomate 3</t>
  </si>
  <si>
    <t>Rouge foncé.339 délavé.130</t>
  </si>
  <si>
    <t>cyan2</t>
  </si>
  <si>
    <t>Cyan foncé.142</t>
  </si>
  <si>
    <t>Bleu verdâtre brillant</t>
  </si>
  <si>
    <t>Mi-cyan mi-azur foncé.483 délavé.068</t>
  </si>
  <si>
    <t>Brun 3</t>
  </si>
  <si>
    <t>Rouge foncé.347 délavé.107</t>
  </si>
  <si>
    <t>SombreArdoise gris 3</t>
  </si>
  <si>
    <t>Cyan foncé.183 délavé.486</t>
  </si>
  <si>
    <t>léger Bleu4</t>
  </si>
  <si>
    <t>Mi-cyan mi-azur foncé.589 délavé.703</t>
  </si>
  <si>
    <t>Rouge foncé.354 délavé.108</t>
  </si>
  <si>
    <t>MoyenTurquoise</t>
  </si>
  <si>
    <t>Cyan foncé.287 délavé.191</t>
  </si>
  <si>
    <t>Bleu verdâtre profond</t>
  </si>
  <si>
    <t>Mi-cyan mi-azur foncé.662 délavé.170</t>
  </si>
  <si>
    <t>pierre à feu 3</t>
  </si>
  <si>
    <t>Rouge foncé.362 délavé.063</t>
  </si>
  <si>
    <t>SombreTurquoise</t>
  </si>
  <si>
    <t>Cyan foncé.355</t>
  </si>
  <si>
    <t>Bleu verdâtre moyen</t>
  </si>
  <si>
    <t>Mi-cyan mi-azur foncé.707 délavé.265</t>
  </si>
  <si>
    <t>Rouge groseille</t>
  </si>
  <si>
    <t>Rouge foncé.366 délavé.009</t>
  </si>
  <si>
    <t>cyan3</t>
  </si>
  <si>
    <t>Cyan foncé.382</t>
  </si>
  <si>
    <t>Bleu verdâtre foncé</t>
  </si>
  <si>
    <t>Mi-cyan mi-azur foncé.898</t>
  </si>
  <si>
    <t>Rouge 3</t>
  </si>
  <si>
    <t>Rouge foncé.382</t>
  </si>
  <si>
    <t>Bleu des mers du sud</t>
  </si>
  <si>
    <t>Cyan foncé.388</t>
  </si>
  <si>
    <t>Bleu pétrole</t>
  </si>
  <si>
    <t>Mi-cyan mi-azur foncé.901 délavé.257</t>
  </si>
  <si>
    <t>OrangeRouge 3</t>
  </si>
  <si>
    <t>azure4</t>
  </si>
  <si>
    <t>Cyan foncé.499 délavé.937</t>
  </si>
  <si>
    <t>Vert turquoise</t>
  </si>
  <si>
    <t>Mi-cyan mi-émeraude clair.006 délavé.017</t>
  </si>
  <si>
    <t>Rouge coquelicot</t>
  </si>
  <si>
    <t>Rouge foncé.427</t>
  </si>
  <si>
    <t>CadetBleu0</t>
  </si>
  <si>
    <t>Cyan foncé.520 délavé.498</t>
  </si>
  <si>
    <t>Vert bleuâtre très clair</t>
  </si>
  <si>
    <t>Mi-cyan mi-émeraude clair.050 délavé.555</t>
  </si>
  <si>
    <t>Rouge franc</t>
  </si>
  <si>
    <t>Rouge foncé.436 délavé.185</t>
  </si>
  <si>
    <t>Cadet Bleu</t>
  </si>
  <si>
    <t>Cyan foncé.525 délavé.503</t>
  </si>
  <si>
    <t>Vert bleuâtre brillant</t>
  </si>
  <si>
    <t>Mi-cyan mi-émeraude foncé.610</t>
  </si>
  <si>
    <t>Rouge fraise</t>
  </si>
  <si>
    <t>Rouge foncé.439 délavé.111</t>
  </si>
  <si>
    <t>léger Cyan4</t>
  </si>
  <si>
    <t>Cyan foncé.532 délavé.862</t>
  </si>
  <si>
    <t>Sombre vert copper</t>
  </si>
  <si>
    <t>Mi-cyan mi-émeraude foncé.740 délavé.553</t>
  </si>
  <si>
    <t xml:space="preserve">Free Speech Rouge </t>
  </si>
  <si>
    <t>Rouge foncé.464</t>
  </si>
  <si>
    <t>PaleTurquoise4</t>
  </si>
  <si>
    <t>Cyan foncé.595 délavé.684</t>
  </si>
  <si>
    <t>Gris verdâtre foncé</t>
  </si>
  <si>
    <t>Mi-cyan mi-émeraude foncé.820 délavé.889</t>
  </si>
  <si>
    <t>Neige 4</t>
  </si>
  <si>
    <t>Rouge foncé.475 délavé.985</t>
  </si>
  <si>
    <t>SombreArdoise gris 4</t>
  </si>
  <si>
    <t>Cyan foncé.645 délavé.499</t>
  </si>
  <si>
    <t>Vert foncé grisâtre</t>
  </si>
  <si>
    <t>Mi-cyan mi-émeraude foncé.882 délavé.752</t>
  </si>
  <si>
    <t>Rouge vif</t>
  </si>
  <si>
    <t>Rouge foncé.476</t>
  </si>
  <si>
    <t>Bleu sarcelle</t>
  </si>
  <si>
    <t>Cyan foncé.721</t>
  </si>
  <si>
    <t>Vert jaune clair</t>
  </si>
  <si>
    <t>Mi-jaune mi-chartreuse foncé.020 délavé.527</t>
  </si>
  <si>
    <t>Rouge écrevisse</t>
  </si>
  <si>
    <t>Rouge foncé.488 délavé.001</t>
  </si>
  <si>
    <t>cyan4</t>
  </si>
  <si>
    <t>Cyan foncé.734</t>
  </si>
  <si>
    <t>Vert jaune brillant</t>
  </si>
  <si>
    <t>Mi-jaune mi-chartreuse foncé.193 délavé.247</t>
  </si>
  <si>
    <t>Rouge cerise</t>
  </si>
  <si>
    <t>Rouge foncé.491 délavé.013</t>
  </si>
  <si>
    <t>Sarcelle</t>
  </si>
  <si>
    <t>Cyan foncé.777</t>
  </si>
  <si>
    <t>Vert jaune grisâtre</t>
  </si>
  <si>
    <t>Mi-jaune mi-chartreuse foncé.484 délavé.768</t>
  </si>
  <si>
    <t>Rouge moyen</t>
  </si>
  <si>
    <t>Rouge foncé.504 délavé.322</t>
  </si>
  <si>
    <t xml:space="preserve">Sombre Ardoise gris </t>
  </si>
  <si>
    <t>Cyan foncé.888 délavé.533</t>
  </si>
  <si>
    <t>Vert jaune moyen</t>
  </si>
  <si>
    <t>Mi-jaune mi-chartreuse foncé.559 délavé.496</t>
  </si>
  <si>
    <t>Rouge cardinal</t>
  </si>
  <si>
    <t>Rouge foncé.507 délavé.021</t>
  </si>
  <si>
    <t>Vert bleuâtre foncé</t>
  </si>
  <si>
    <t>Cyan foncé.926</t>
  </si>
  <si>
    <t>Vert kaki</t>
  </si>
  <si>
    <t>Mi-jaune mi-chartreuse foncé.707 délavé.237</t>
  </si>
  <si>
    <t xml:space="preserve">pierre à feu </t>
  </si>
  <si>
    <t>Rouge foncé.529 délavé.071</t>
  </si>
  <si>
    <t>Vert bleuâtre très foncé</t>
  </si>
  <si>
    <t>Cyan foncé.976</t>
  </si>
  <si>
    <t>Vert Véronèse (pigment)</t>
  </si>
  <si>
    <t>Mi-jaune mi-chartreuse foncé.848 délavé.209</t>
  </si>
  <si>
    <t>Orange rougeâtre profond</t>
  </si>
  <si>
    <t>Rouge foncé.576 délavé.063</t>
  </si>
  <si>
    <t>Dorian (IPJ)</t>
  </si>
  <si>
    <t>Cyan foncé.989 délavé.568</t>
  </si>
  <si>
    <t>Or</t>
  </si>
  <si>
    <t>Mi-jaune mi-orange</t>
  </si>
  <si>
    <t xml:space="preserve">Brun </t>
  </si>
  <si>
    <t>Rouge foncé.585 délavé.117</t>
  </si>
  <si>
    <t>turquoise1</t>
  </si>
  <si>
    <t>Cyan lég. azur</t>
  </si>
  <si>
    <t>Jaune impérial</t>
  </si>
  <si>
    <t>Mi-jaune mi-orange clair.039</t>
  </si>
  <si>
    <t>RosyBrun 4</t>
  </si>
  <si>
    <t>Rouge foncé.586 délavé.712</t>
  </si>
  <si>
    <t>Bleu verdâtre très clair</t>
  </si>
  <si>
    <t>Cyan lég. azur clair.063 délavé.594</t>
  </si>
  <si>
    <t>Jaune paille</t>
  </si>
  <si>
    <t>Mi-jaune mi-orange clair.058 délavé.018</t>
  </si>
  <si>
    <t>Brun 0</t>
  </si>
  <si>
    <t>Rouge foncé.590 délavé.118</t>
  </si>
  <si>
    <t>CadetBleu2</t>
  </si>
  <si>
    <t>Cyan lég. azur clair.137 délavé.328</t>
  </si>
  <si>
    <t>Jaune brillant</t>
  </si>
  <si>
    <t>Mi-jaune mi-orange clair.074 délavé.093</t>
  </si>
  <si>
    <t>Rouge d'Andrinople</t>
  </si>
  <si>
    <t>Rouge foncé.594 délavé.001</t>
  </si>
  <si>
    <t>PowderBleu</t>
  </si>
  <si>
    <t>Cyan lég. azur clair.239 délavé.536</t>
  </si>
  <si>
    <t>Jaune nankin</t>
  </si>
  <si>
    <t>Mi-jaune mi-orange clair.079 délavé.148</t>
  </si>
  <si>
    <t>Rouge grisâtre</t>
  </si>
  <si>
    <t>Rouge foncé.598 délavé.570</t>
  </si>
  <si>
    <t>CadetBleu1</t>
  </si>
  <si>
    <t>Cyan lég. azur clair.323</t>
  </si>
  <si>
    <t>léger Dorérod2</t>
  </si>
  <si>
    <t>Mi-jaune mi-orange clair.089 délavé.311</t>
  </si>
  <si>
    <t>Fraise écrasée</t>
  </si>
  <si>
    <t>Rouge foncé.601 délavé.092</t>
  </si>
  <si>
    <t>turquoise2</t>
  </si>
  <si>
    <t>Cyan lég. azur foncé.142</t>
  </si>
  <si>
    <t>léger Dorérod</t>
  </si>
  <si>
    <t>Rouge Bismarck</t>
  </si>
  <si>
    <t>Rouge foncé.612 délavé.015</t>
  </si>
  <si>
    <t>CadetBleu3</t>
  </si>
  <si>
    <t>Cyan lég. azur foncé.180 délavé.492</t>
  </si>
  <si>
    <t>Vanille</t>
  </si>
  <si>
    <t>Mi-jaune mi-orange clair.090 délavé.531</t>
  </si>
  <si>
    <t>Dusty Rose</t>
  </si>
  <si>
    <t>Rouge foncé.627 délavé.699</t>
  </si>
  <si>
    <t>turquoise3</t>
  </si>
  <si>
    <t>Cyan lég. azur foncé.382</t>
  </si>
  <si>
    <t>Jaune clair</t>
  </si>
  <si>
    <t>Mi-jaune mi-orange clair.156 délavé.142</t>
  </si>
  <si>
    <t>Rouge carmin</t>
  </si>
  <si>
    <t>Rouge foncé.686</t>
  </si>
  <si>
    <t>Iris Bleu</t>
  </si>
  <si>
    <t>Cyan lég. azur foncé.413 délavé.003</t>
  </si>
  <si>
    <t>Jaune maïs</t>
  </si>
  <si>
    <t>Mi-jaune mi-orange clair.185</t>
  </si>
  <si>
    <t>IndianRouge 4</t>
  </si>
  <si>
    <t>Rouge foncé.689 délavé.286</t>
  </si>
  <si>
    <t>Gris plomb</t>
  </si>
  <si>
    <t>Cyan lég. azur foncé.574 délavé.932</t>
  </si>
  <si>
    <t>léger Dorérod1</t>
  </si>
  <si>
    <t>Mi-jaune mi-orange clair.266</t>
  </si>
  <si>
    <t>Mandarian Orange</t>
  </si>
  <si>
    <t>Rouge foncé.704 délavé.118</t>
  </si>
  <si>
    <t>CadetBleu4</t>
  </si>
  <si>
    <t>Cyan lég. azur foncé.643 délavé.508</t>
  </si>
  <si>
    <t>Jaune pâle</t>
  </si>
  <si>
    <t>Mi-jaune mi-orange clair.315 délavé.295</t>
  </si>
  <si>
    <t>Brun 4</t>
  </si>
  <si>
    <t>Rouge foncé.716 délavé.123</t>
  </si>
  <si>
    <t>Bleu canard</t>
  </si>
  <si>
    <t>Cyan lég. azur foncé.667 délavé.007</t>
  </si>
  <si>
    <t>Bis (héraldique)</t>
  </si>
  <si>
    <t>Mi-jaune mi-orange clair.406 délavé.395</t>
  </si>
  <si>
    <t>Scarlet</t>
  </si>
  <si>
    <t>Rouge foncé.721 délavé.063</t>
  </si>
  <si>
    <t>turquoise4</t>
  </si>
  <si>
    <t>Cyan lég. azur foncé.734</t>
  </si>
  <si>
    <t>Jaune de Naples (pigment)</t>
  </si>
  <si>
    <t>Mi-jaune mi-orange clair.512</t>
  </si>
  <si>
    <t>pierre à feu 4</t>
  </si>
  <si>
    <t>Rouge foncé.723 délavé.077</t>
  </si>
  <si>
    <t>Bleu turquoise</t>
  </si>
  <si>
    <t>Cyan lég. émeraude clair.002 délavé.035</t>
  </si>
  <si>
    <t>Platine</t>
  </si>
  <si>
    <t>Mi-jaune mi-orange clair.524 délavé.180</t>
  </si>
  <si>
    <t>Rouge 4</t>
  </si>
  <si>
    <t>Rouge foncé.734</t>
  </si>
  <si>
    <t>turquoise</t>
  </si>
  <si>
    <t>Cyan lég. émeraude foncé.195 délavé.134</t>
  </si>
  <si>
    <t>Blanc jaunâtre</t>
  </si>
  <si>
    <t>Mi-jaune mi-orange clair.554 délavé.563</t>
  </si>
  <si>
    <t>OrangeRouge 4</t>
  </si>
  <si>
    <t>Vert bleuâtre clair</t>
  </si>
  <si>
    <t>Cyan lég. émeraude foncé.435 délavé.490</t>
  </si>
  <si>
    <t>cornsilk</t>
  </si>
  <si>
    <t>Mi-jaune mi-orange clair.722</t>
  </si>
  <si>
    <t>Rouge profond</t>
  </si>
  <si>
    <t>Rouge foncé.750 délavé.090</t>
  </si>
  <si>
    <t>léger marin vert</t>
  </si>
  <si>
    <t>Cyan lég. émeraude foncé.531 délavé.064</t>
  </si>
  <si>
    <t>Bouton d'or</t>
  </si>
  <si>
    <t>Mi-jaune mi-orange foncé.020 délavé.012</t>
  </si>
  <si>
    <t>Rouge sang</t>
  </si>
  <si>
    <t>Rouge foncé.756 délavé.014</t>
  </si>
  <si>
    <t>Vert bleuâtre vif</t>
  </si>
  <si>
    <t>Cyan lég. émeraude foncé.746</t>
  </si>
  <si>
    <t>Gris clair</t>
  </si>
  <si>
    <t>Mi-jaune mi-orange foncé.035 délavé.976</t>
  </si>
  <si>
    <t xml:space="preserve">Marron </t>
  </si>
  <si>
    <t>Rouge foncé.777</t>
  </si>
  <si>
    <t>Vert bleuâtre moyen</t>
  </si>
  <si>
    <t>Cyan lég. émeraude foncé.773 délavé.284</t>
  </si>
  <si>
    <t>Jaune de Mars</t>
  </si>
  <si>
    <t>Mi-jaune mi-orange foncé.051 délavé.191</t>
  </si>
  <si>
    <t>Rouge foncé.777 délavé.514</t>
  </si>
  <si>
    <t>Vert bleuâtre franc</t>
  </si>
  <si>
    <t>Cyan lég. émeraude foncé.798</t>
  </si>
  <si>
    <t>Jaune bouton d’or</t>
  </si>
  <si>
    <t>Mi-jaune mi-orange foncé.070 délavé.013</t>
  </si>
  <si>
    <t>Rouge foncé</t>
  </si>
  <si>
    <t>Rouge foncé.795 délavé.291</t>
  </si>
  <si>
    <t>Vert pin</t>
  </si>
  <si>
    <t>Cyan lég. émeraude foncé.801 délavé.003</t>
  </si>
  <si>
    <t>Jaune auréolin</t>
  </si>
  <si>
    <t>Mi-jaune mi-orange foncé.076 délavé.124</t>
  </si>
  <si>
    <t>Gris foncé rougeâtre</t>
  </si>
  <si>
    <t>Rouge foncé.806 délavé.846</t>
  </si>
  <si>
    <t>Vert bleuâtre profond</t>
  </si>
  <si>
    <t>Cyan lég. émeraude foncé.939</t>
  </si>
  <si>
    <t>Gris jaunâtre</t>
  </si>
  <si>
    <t>Mi-jaune mi-orange foncé.085 délavé.842</t>
  </si>
  <si>
    <t>Sang de bœuf</t>
  </si>
  <si>
    <t>Rouge foncé.822</t>
  </si>
  <si>
    <t>Vert très pâle</t>
  </si>
  <si>
    <t>Émeraude clair.375 délavé.653</t>
  </si>
  <si>
    <t>Safran</t>
  </si>
  <si>
    <t>Mi-jaune mi-orange foncé.092 délavé.019</t>
  </si>
  <si>
    <t>Grenat</t>
  </si>
  <si>
    <t>Rouge foncé.834 délavé.039</t>
  </si>
  <si>
    <t>MintCream</t>
  </si>
  <si>
    <t>Émeraude clair.915</t>
  </si>
  <si>
    <t>Or2</t>
  </si>
  <si>
    <t>Mi-jaune mi-orange foncé.142</t>
  </si>
  <si>
    <t>Bordeaux</t>
  </si>
  <si>
    <t>Rouge foncé.839 délavé.025</t>
  </si>
  <si>
    <t>Vert très clair</t>
  </si>
  <si>
    <t>Émeraude foncé.076 délavé.604</t>
  </si>
  <si>
    <t>Chamois</t>
  </si>
  <si>
    <t>Mi-jaune mi-orange foncé.160 délavé.481</t>
  </si>
  <si>
    <t>Bourgogne</t>
  </si>
  <si>
    <t>Rouge foncé.843 délavé.050</t>
  </si>
  <si>
    <t>Vert pâle</t>
  </si>
  <si>
    <t>Émeraude foncé.350 délavé.845</t>
  </si>
  <si>
    <t>léger Dorérod3</t>
  </si>
  <si>
    <t>Mi-jaune mi-orange foncé.213 délavé.428</t>
  </si>
  <si>
    <t>Rouge foncé grisâtre</t>
  </si>
  <si>
    <t>Rouge foncé.858 délavé.691</t>
  </si>
  <si>
    <t>Vert céladon</t>
  </si>
  <si>
    <t>Émeraude foncé.375 délavé.751</t>
  </si>
  <si>
    <t>Jaune grisâtre</t>
  </si>
  <si>
    <t>Mi-jaune mi-orange foncé.229 délavé.579</t>
  </si>
  <si>
    <t>Brun rougeâtre profond</t>
  </si>
  <si>
    <t>Rouge foncé.901 délavé.041</t>
  </si>
  <si>
    <t>Vert clair</t>
  </si>
  <si>
    <t>Émeraude foncé.434 délavé.530</t>
  </si>
  <si>
    <t>Queue-de-vache clair</t>
  </si>
  <si>
    <t>Mi-jaune mi-orange foncé.277 délavé.466</t>
  </si>
  <si>
    <t>Puce</t>
  </si>
  <si>
    <t>Rouge foncé.917 délavé.063</t>
  </si>
  <si>
    <t>Vert brillant</t>
  </si>
  <si>
    <t>Émeraude foncé.484 délavé.196</t>
  </si>
  <si>
    <t>Old Or</t>
  </si>
  <si>
    <t>Mi-jaune mi-orange foncé.323 délavé.136</t>
  </si>
  <si>
    <t>Brun rougeâtre foncé</t>
  </si>
  <si>
    <t>Rouge foncé.937 délavé.401</t>
  </si>
  <si>
    <t>Free Speech Aquamarine</t>
  </si>
  <si>
    <t>Émeraude foncé.653 délavé.003</t>
  </si>
  <si>
    <t>Jaune banane</t>
  </si>
  <si>
    <t>Mi-jaune mi-orange foncé.353 délavé.005</t>
  </si>
  <si>
    <t>léger Rose 2</t>
  </si>
  <si>
    <t>Rouge lég. fuchsia clair.229 délavé.367</t>
  </si>
  <si>
    <t>marin vert</t>
  </si>
  <si>
    <t>Émeraude foncé.704 délavé.118</t>
  </si>
  <si>
    <t>Or3</t>
  </si>
  <si>
    <t>Mi-jaune mi-orange foncé.382</t>
  </si>
  <si>
    <t>Rose 2</t>
  </si>
  <si>
    <t>Rouge lég. fuchsia clair.264 délavé.385</t>
  </si>
  <si>
    <t>Vert moyen</t>
  </si>
  <si>
    <t>Émeraude foncé.759 délavé.382</t>
  </si>
  <si>
    <t>Or4</t>
  </si>
  <si>
    <t>Mi-jaune mi-orange foncé.734</t>
  </si>
  <si>
    <t>léger Rose 1</t>
  </si>
  <si>
    <t>Rouge lég. fuchsia clair.432</t>
  </si>
  <si>
    <t>Vert franc</t>
  </si>
  <si>
    <t>Émeraude foncé.802</t>
  </si>
  <si>
    <t>Gris de maure</t>
  </si>
  <si>
    <t>Mi-jaune mi-orange foncé.797 délavé.580</t>
  </si>
  <si>
    <t>Rose 1</t>
  </si>
  <si>
    <t>Rouge lég. fuchsia clair.471</t>
  </si>
  <si>
    <t>Vert profond</t>
  </si>
  <si>
    <t>Émeraude foncé.907</t>
  </si>
  <si>
    <t>Violet rougeâtre moyen</t>
  </si>
  <si>
    <t>Mi-magenta mi-fuchsia foncé.596 délavé.555</t>
  </si>
  <si>
    <t xml:space="preserve">léger Rose </t>
  </si>
  <si>
    <t>Rouge lég. fuchsia clair.477</t>
  </si>
  <si>
    <t>aquamarine2</t>
  </si>
  <si>
    <t>Émeraude lég. cyan clair.047 délavé.297</t>
  </si>
  <si>
    <t xml:space="preserve">Sombre Pourpre </t>
  </si>
  <si>
    <t>Mi-magenta mi-fuchsia foncé.736 délavé.108</t>
  </si>
  <si>
    <t xml:space="preserve">Rose </t>
  </si>
  <si>
    <t>Rouge lég. fuchsia clair.536</t>
  </si>
  <si>
    <t>Vert opaline</t>
  </si>
  <si>
    <t>Émeraude lég. cyan clair.062 délavé.546</t>
  </si>
  <si>
    <t>Violet rougeâtre vif</t>
  </si>
  <si>
    <t>Mi-magenta mi-fuchsia foncé.750</t>
  </si>
  <si>
    <t>Pelure d'oignon (œnologie)</t>
  </si>
  <si>
    <t>Rouge lég. fuchsia foncé.089 délavé.524</t>
  </si>
  <si>
    <t>aquamarine</t>
  </si>
  <si>
    <t>Émeraude lég. cyan clair.220</t>
  </si>
  <si>
    <t>Gris foncé violacé</t>
  </si>
  <si>
    <t>Mi-magenta mi-fuchsia foncé.790 délavé.908</t>
  </si>
  <si>
    <t>Rose 3</t>
  </si>
  <si>
    <t>Rouge lég. fuchsia foncé.090 délavé.641</t>
  </si>
  <si>
    <t>Blanc verdâtre</t>
  </si>
  <si>
    <t>Émeraude lég. cyan clair.594 délavé.737</t>
  </si>
  <si>
    <t>Violet rougeâtre profond</t>
  </si>
  <si>
    <t>Mi-magenta mi-fuchsia foncé.808 délavé.242</t>
  </si>
  <si>
    <t>léger Rose 3</t>
  </si>
  <si>
    <t>Rouge lég. fuchsia foncé.111 délavé.609</t>
  </si>
  <si>
    <t>MoyenAquamarine</t>
  </si>
  <si>
    <t>Émeraude lég. cyan foncé.243 délavé.366</t>
  </si>
  <si>
    <t>Violet rougeâtre foncé</t>
  </si>
  <si>
    <t>Mi-magenta mi-fuchsia foncé.843 délavé.546</t>
  </si>
  <si>
    <t>Rouge violacé clair grisâtre</t>
  </si>
  <si>
    <t>Rouge lég. fuchsia foncé.316 délavé.720</t>
  </si>
  <si>
    <t>Gris verdâtre</t>
  </si>
  <si>
    <t>Émeraude lég. cyan foncé.529 délavé.903</t>
  </si>
  <si>
    <t>Violet foncé grisâtre</t>
  </si>
  <si>
    <t>Mi-magenta mi-fuchsia foncé.862 délavé.781</t>
  </si>
  <si>
    <t>Rouge framboise</t>
  </si>
  <si>
    <t>Rouge lég. fuchsia foncé.394 délavé.087</t>
  </si>
  <si>
    <t>Glauque</t>
  </si>
  <si>
    <t>Émeraude lég. cyan foncé.530 délavé.566</t>
  </si>
  <si>
    <t>Violet brillant</t>
  </si>
  <si>
    <t>Mi-magenta mi-violet clair.123 délavé.465</t>
  </si>
  <si>
    <t>Lie de vin</t>
  </si>
  <si>
    <t>Rouge lég. fuchsia foncé.565 délavé.062</t>
  </si>
  <si>
    <t>aquamarine4</t>
  </si>
  <si>
    <t>Émeraude lég. cyan foncé.671 délavé.380</t>
  </si>
  <si>
    <t>MoyenOrchid1</t>
  </si>
  <si>
    <t>Mi-magenta mi-violet clair.139</t>
  </si>
  <si>
    <t>Rose 4</t>
  </si>
  <si>
    <t>Rouge lég. fuchsia foncé.603 délavé.657</t>
  </si>
  <si>
    <t>Vert grisâtre</t>
  </si>
  <si>
    <t>Émeraude lég. cyan foncé.711 délavé.811</t>
  </si>
  <si>
    <t>Héliotrope</t>
  </si>
  <si>
    <t>Mi-magenta mi-violet clair.178</t>
  </si>
  <si>
    <t>léger Rose 4</t>
  </si>
  <si>
    <t>Rouge lég. fuchsia foncé.614 délavé.620</t>
  </si>
  <si>
    <t>Viride</t>
  </si>
  <si>
    <t>Émeraude lég. cyan foncé.715 délavé.378</t>
  </si>
  <si>
    <t>MoyenOrchid2</t>
  </si>
  <si>
    <t>Mi-magenta mi-violet foncé.022 délavé.245</t>
  </si>
  <si>
    <t>Pourpre</t>
  </si>
  <si>
    <t>Rouge lég. fuchsia foncé.645 délavé.024</t>
  </si>
  <si>
    <t>Vert foncé</t>
  </si>
  <si>
    <t>Émeraude lég. cyan foncé.911 délavé.253</t>
  </si>
  <si>
    <t>Violet clair</t>
  </si>
  <si>
    <t>Mi-magenta mi-violet foncé.155 délavé.732</t>
  </si>
  <si>
    <t>Passe-velours</t>
  </si>
  <si>
    <t>Rouge lég. fuchsia foncé.686 délavé.141</t>
  </si>
  <si>
    <t>Vert très foncé</t>
  </si>
  <si>
    <t>Émeraude lég. cyan foncé.951 délavé.486</t>
  </si>
  <si>
    <t>MoyenOrchid</t>
  </si>
  <si>
    <t>Mi-magenta mi-violet foncé.246 délavé.253</t>
  </si>
  <si>
    <t>Amarante</t>
  </si>
  <si>
    <t>Rouge lég. fuchsia foncé.690 délavé.143</t>
  </si>
  <si>
    <t>Noir verdâtre</t>
  </si>
  <si>
    <t>Émeraude lég. cyan foncé.969 délavé.869</t>
  </si>
  <si>
    <t>MoyenOrchid3</t>
  </si>
  <si>
    <t>Mi-magenta mi-violet foncé.293 délavé.250</t>
  </si>
  <si>
    <t>Rouge très profond</t>
  </si>
  <si>
    <t>Rouge lég. fuchsia foncé.885 délavé.046</t>
  </si>
  <si>
    <t>Vert noirâtre</t>
  </si>
  <si>
    <t>Émeraude lég. cyan foncé.971 délavé.732</t>
  </si>
  <si>
    <t>Violet vif</t>
  </si>
  <si>
    <t>Mi-magenta mi-violet foncé.488 délavé.312</t>
  </si>
  <si>
    <t>Cassis</t>
  </si>
  <si>
    <t>Rouge lég. fuchsia foncé.955 délavé.026</t>
  </si>
  <si>
    <t>MoyenPrintempsvert</t>
  </si>
  <si>
    <t>Émeraude lég. vert foncé.043</t>
  </si>
  <si>
    <t>Violet moyen</t>
  </si>
  <si>
    <t>Mi-magenta mi-violet foncé.599 délavé.609</t>
  </si>
  <si>
    <t>Rouge noirâtre</t>
  </si>
  <si>
    <t>Rouge lég. fuchsia foncé.959 délavé.614</t>
  </si>
  <si>
    <t>Vert vif</t>
  </si>
  <si>
    <t>Émeraude lég. vert foncé.746</t>
  </si>
  <si>
    <t>Violet franc</t>
  </si>
  <si>
    <t>Mi-magenta mi-violet foncé.607 délavé.495</t>
  </si>
  <si>
    <t>chocolate1</t>
  </si>
  <si>
    <t>Rouge lég. orange clair.018</t>
  </si>
  <si>
    <t xml:space="preserve">Neon Rose </t>
  </si>
  <si>
    <t>Fuchsia clair.162</t>
  </si>
  <si>
    <t>MoyenOrchid4</t>
  </si>
  <si>
    <t>Mi-magenta mi-violet foncé.693 délavé.262</t>
  </si>
  <si>
    <t xml:space="preserve">SombreSaumon </t>
  </si>
  <si>
    <t>Rouge lég. orange clair.021 délavé.369</t>
  </si>
  <si>
    <t xml:space="preserve">Violet Rouge </t>
  </si>
  <si>
    <t>Fuchsia foncé.355 délavé.104</t>
  </si>
  <si>
    <t>Violet profond</t>
  </si>
  <si>
    <t>Mi-magenta mi-violet foncé.817 délavé.326</t>
  </si>
  <si>
    <t>léger Saumon 2</t>
  </si>
  <si>
    <t>Rouge lég. orange clair.033 délavé.293</t>
  </si>
  <si>
    <t>Marron 3</t>
  </si>
  <si>
    <t>Fuchsia foncé.359 délavé.072</t>
  </si>
  <si>
    <t>Violet foncé</t>
  </si>
  <si>
    <t>Mi-magenta mi-violet foncé.841 délavé.596</t>
  </si>
  <si>
    <t>Sienne 1</t>
  </si>
  <si>
    <t>Rouge lég. orange clair.066</t>
  </si>
  <si>
    <t>Mauve (héraldique)</t>
  </si>
  <si>
    <t>Fuchsia foncé.591 délavé.466</t>
  </si>
  <si>
    <t xml:space="preserve">Profond Rose </t>
  </si>
  <si>
    <t>Mi-rouge mi-fuchsia clair.007</t>
  </si>
  <si>
    <t xml:space="preserve">Corail </t>
  </si>
  <si>
    <t>Rouge lég. orange clair.084</t>
  </si>
  <si>
    <t>Marron 4</t>
  </si>
  <si>
    <t>Fuchsia foncé.722 délavé.086</t>
  </si>
  <si>
    <t>Rose fuchsia</t>
  </si>
  <si>
    <t>Mi-rouge mi-fuchsia clair.035 délavé.036</t>
  </si>
  <si>
    <t>MistyRose3</t>
  </si>
  <si>
    <t>Rouge lég. orange clair.089 délavé.838</t>
  </si>
  <si>
    <t>Rouge violacé très profond</t>
  </si>
  <si>
    <t>Fuchsia foncé.901 délavé.132</t>
  </si>
  <si>
    <t>VioletRouge 1</t>
  </si>
  <si>
    <t>Mi-rouge mi-fuchsia clair.051</t>
  </si>
  <si>
    <t>Corail 1</t>
  </si>
  <si>
    <t>Rouge lég. orange clair.097</t>
  </si>
  <si>
    <t>Rouge violacé très foncé</t>
  </si>
  <si>
    <t>Fuchsia foncé.951 délavé.310</t>
  </si>
  <si>
    <t>PaleVioletRouge 2</t>
  </si>
  <si>
    <t>Mi-rouge mi-fuchsia clair.057 délavé.300</t>
  </si>
  <si>
    <t>Saumon 1</t>
  </si>
  <si>
    <t>Rouge lég. orange clair.147</t>
  </si>
  <si>
    <t>Aubergine</t>
  </si>
  <si>
    <t>Fuchsia foncé.960</t>
  </si>
  <si>
    <t>Rose violacé franc</t>
  </si>
  <si>
    <t>Mi-rouge mi-fuchsia clair.079 délavé.443</t>
  </si>
  <si>
    <t>Rose thé</t>
  </si>
  <si>
    <t>Rouge lég. orange clair.150</t>
  </si>
  <si>
    <t>Gris clair violacé</t>
  </si>
  <si>
    <t>Fuchsia lég. magenta clair.023 délavé.964</t>
  </si>
  <si>
    <t>Rose</t>
  </si>
  <si>
    <t>Mi-rouge mi-fuchsia clair.139 délavé.040</t>
  </si>
  <si>
    <t xml:space="preserve">léger Saumon </t>
  </si>
  <si>
    <t>Rouge lég. orange clair.202</t>
  </si>
  <si>
    <t>Violet rougeâtre clair</t>
  </si>
  <si>
    <t>Fuchsia lég. magenta foncé.279 délavé.662</t>
  </si>
  <si>
    <t>LavenderBlush3</t>
  </si>
  <si>
    <t>Mi-rouge mi-fuchsia clair.160 délavé.909</t>
  </si>
  <si>
    <t>Rose jaunâtre vif</t>
  </si>
  <si>
    <t>Rouge lég. orange clair.385</t>
  </si>
  <si>
    <t>Violet rougeâtre pâle</t>
  </si>
  <si>
    <t>Fuchsia lég. magenta foncé.327 délavé.779</t>
  </si>
  <si>
    <t>PaleVioletRouge 1</t>
  </si>
  <si>
    <t>Mi-rouge mi-fuchsia clair.231</t>
  </si>
  <si>
    <t>Rouge lég. orange clair.465 délavé.065</t>
  </si>
  <si>
    <t>Rose Mountbatten</t>
  </si>
  <si>
    <t>Fuchsia lég. magenta foncé.471 délavé.763</t>
  </si>
  <si>
    <t>Rose violacé clair</t>
  </si>
  <si>
    <t>Mi-rouge mi-fuchsia clair.372 délavé.425</t>
  </si>
  <si>
    <t>MistyRose2</t>
  </si>
  <si>
    <t>Rouge lég. orange clair.510 délavé.578</t>
  </si>
  <si>
    <t>Gris violacé</t>
  </si>
  <si>
    <t>Fuchsia lég. magenta foncé.491 délavé.953</t>
  </si>
  <si>
    <t>Rose dragée</t>
  </si>
  <si>
    <t>Mi-rouge mi-fuchsia clair.521 délavé.036</t>
  </si>
  <si>
    <t>MistyRose</t>
  </si>
  <si>
    <t>Rouge lég. orange clair.758</t>
  </si>
  <si>
    <t>Violet rougeâtre franc</t>
  </si>
  <si>
    <t>Fuchsia lég. magenta foncé.567 délavé.379</t>
  </si>
  <si>
    <t>Rose violacé brillant</t>
  </si>
  <si>
    <t>Mi-rouge mi-fuchsia clair.586</t>
  </si>
  <si>
    <t>Saumon 2</t>
  </si>
  <si>
    <t>Rouge lég. orange foncé.014 délavé.259</t>
  </si>
  <si>
    <t>Violet rougeâtre grisâtre</t>
  </si>
  <si>
    <t>Fuchsia lég. magenta foncé.632 délavé.723</t>
  </si>
  <si>
    <t>LavenderBlush</t>
  </si>
  <si>
    <t>Mi-rouge mi-fuchsia clair.875</t>
  </si>
  <si>
    <t>Corail 2</t>
  </si>
  <si>
    <t>Rouge lég. orange foncé.057 délavé.179</t>
  </si>
  <si>
    <t>Violine</t>
  </si>
  <si>
    <t>Fuchsia lég. magenta foncé.633 délavé.009</t>
  </si>
  <si>
    <t>Rose violacé moyen</t>
  </si>
  <si>
    <t>Mi-rouge mi-fuchsia foncé.009 délavé.642</t>
  </si>
  <si>
    <t>Rouge lég. orange foncé.082 délavé.025</t>
  </si>
  <si>
    <t>Violet d'évêque</t>
  </si>
  <si>
    <t>Fuchsia lég. magenta foncé.774 délavé.449</t>
  </si>
  <si>
    <t>VioletRouge 2</t>
  </si>
  <si>
    <t>Mi-rouge mi-fuchsia foncé.097 délavé.099</t>
  </si>
  <si>
    <t>Sienne 2</t>
  </si>
  <si>
    <t>Rouge lég. orange foncé.084 délavé.125</t>
  </si>
  <si>
    <t>Colombin (vieilli)</t>
  </si>
  <si>
    <t>Fuchsia lég. magenta foncé.787 délavé.588</t>
  </si>
  <si>
    <t xml:space="preserve">PaleVioletRouge </t>
  </si>
  <si>
    <t>Mi-rouge mi-fuchsia foncé.117 délavé.382</t>
  </si>
  <si>
    <t>chocolate2</t>
  </si>
  <si>
    <t>Rouge lég. orange foncé.126 délavé.036</t>
  </si>
  <si>
    <t>Rose bonbon</t>
  </si>
  <si>
    <t>Fuchsia lég. rouge clair.006 délavé.103</t>
  </si>
  <si>
    <t>Profond Rose 2</t>
  </si>
  <si>
    <t>Mi-rouge mi-fuchsia foncé.135 délavé.014</t>
  </si>
  <si>
    <t>Orange rougeâtre vif</t>
  </si>
  <si>
    <t>Rouge lég. orange foncé.217 délavé.043</t>
  </si>
  <si>
    <t>HotRose 2</t>
  </si>
  <si>
    <t>Fuchsia lég. rouge clair.009 délavé.285</t>
  </si>
  <si>
    <t>PaleVioletRouge 3</t>
  </si>
  <si>
    <t>Mi-rouge mi-fuchsia foncé.238 délavé.379</t>
  </si>
  <si>
    <t>Rose jaunâtre foncé</t>
  </si>
  <si>
    <t>Rouge lég. orange foncé.241 délavé.523</t>
  </si>
  <si>
    <t xml:space="preserve">Spicy Rose </t>
  </si>
  <si>
    <t>Fuchsia lég. rouge clair.012</t>
  </si>
  <si>
    <t>Rose violacé foncé</t>
  </si>
  <si>
    <t>Mi-rouge mi-fuchsia foncé.242 délavé.570</t>
  </si>
  <si>
    <t>Orange rougeâtre franc</t>
  </si>
  <si>
    <t>Rouge lég. orange foncé.254 délavé.123</t>
  </si>
  <si>
    <t>Marron 1</t>
  </si>
  <si>
    <t>Fuchsia lég. rouge clair.036</t>
  </si>
  <si>
    <t>Magenta fushia (encre)</t>
  </si>
  <si>
    <t>Mi-rouge mi-fuchsia foncé.285</t>
  </si>
  <si>
    <t>léger Saumon 3</t>
  </si>
  <si>
    <t>Rouge lég. orange foncé.254 délavé.342</t>
  </si>
  <si>
    <t>Cuisse de nymphe émue</t>
  </si>
  <si>
    <t>Fuchsia lég. rouge clair.147</t>
  </si>
  <si>
    <t>Rouge violacé vif</t>
  </si>
  <si>
    <t>Mi-rouge mi-fuchsia foncé.311 délavé.187</t>
  </si>
  <si>
    <t>Saumon 3</t>
  </si>
  <si>
    <t>Rouge lég. orange foncé.289 délavé.261</t>
  </si>
  <si>
    <t>HotRose 1</t>
  </si>
  <si>
    <t>Fuchsia lég. rouge clair.162</t>
  </si>
  <si>
    <t>VioletRouge 3</t>
  </si>
  <si>
    <t>Mi-rouge mi-fuchsia foncé.348 délavé.103</t>
  </si>
  <si>
    <t>Orange rougeâtre moyen</t>
  </si>
  <si>
    <t>Rouge lég. orange foncé.309 délavé.250</t>
  </si>
  <si>
    <t>Rose violacé pâle</t>
  </si>
  <si>
    <t>Fuchsia lég. rouge clair.423 délavé.654</t>
  </si>
  <si>
    <t>Profond Rose 3</t>
  </si>
  <si>
    <t>Mi-rouge mi-fuchsia foncé.377 délavé.017</t>
  </si>
  <si>
    <t>Corail 3</t>
  </si>
  <si>
    <t>Rouge lég. orange foncé.319 délavé.184</t>
  </si>
  <si>
    <t>Blanc violacé</t>
  </si>
  <si>
    <t>Fuchsia lég. rouge clair.585 délavé.908</t>
  </si>
  <si>
    <t>Rouge violacé franc</t>
  </si>
  <si>
    <t>Mi-rouge mi-fuchsia foncé.480 délavé.233</t>
  </si>
  <si>
    <t>Rouge clair grisâtre</t>
  </si>
  <si>
    <t>Rouge lég. orange foncé.335 délavé.717</t>
  </si>
  <si>
    <t>LavenderBlush2</t>
  </si>
  <si>
    <t>Fuchsia lég. rouge clair.610 délavé.725</t>
  </si>
  <si>
    <t>Rouge violacé moyen</t>
  </si>
  <si>
    <t>Mi-rouge mi-fuchsia foncé.513 délavé.354</t>
  </si>
  <si>
    <t>Sienne 3</t>
  </si>
  <si>
    <t>Rouge lég. orange foncé.339 délavé.130</t>
  </si>
  <si>
    <t>Cuisse de nymphe</t>
  </si>
  <si>
    <t>Fuchsia lég. rouge clair.795 délavé.085</t>
  </si>
  <si>
    <t>Mi-rouge mi-fuchsia foncé.526 délavé.131</t>
  </si>
  <si>
    <t>Orange brûlée</t>
  </si>
  <si>
    <t>Rouge lég. orange foncé.388</t>
  </si>
  <si>
    <t>Rose violacé grisâtre</t>
  </si>
  <si>
    <t>Fuchsia lég. rouge foncé.056 délavé.827</t>
  </si>
  <si>
    <t>Rouge violacé grisâtre</t>
  </si>
  <si>
    <t>Mi-rouge mi-fuchsia foncé.589 délavé.582</t>
  </si>
  <si>
    <t>Orange rougeâtre grisâtre</t>
  </si>
  <si>
    <t>Rouge lég. orange foncé.418 délavé.402</t>
  </si>
  <si>
    <t>Rose violacé profond</t>
  </si>
  <si>
    <t>Fuchsia lég. rouge foncé.098 délavé.367</t>
  </si>
  <si>
    <t>PaleVioletRouge 4</t>
  </si>
  <si>
    <t>Mi-rouge mi-fuchsia foncé.667 délavé.398</t>
  </si>
  <si>
    <t>Brun rougeâtre clair</t>
  </si>
  <si>
    <t>Rouge lég. orange foncé.440 délavé.569</t>
  </si>
  <si>
    <t>Marron 2</t>
  </si>
  <si>
    <t>Fuchsia lég. rouge foncé.110 délavé.070</t>
  </si>
  <si>
    <t>VioletRouge 4</t>
  </si>
  <si>
    <t>Mi-rouge mi-fuchsia foncé.717 délavé.118</t>
  </si>
  <si>
    <t>Gris rougeâtre</t>
  </si>
  <si>
    <t>Rouge lég. orange foncé.497 délavé.874</t>
  </si>
  <si>
    <t>HotRose 3</t>
  </si>
  <si>
    <t>Fuchsia lég. rouge foncé.260 délavé.330</t>
  </si>
  <si>
    <t>Profond Rose 4</t>
  </si>
  <si>
    <t>Mi-rouge mi-fuchsia foncé.731 délavé.022</t>
  </si>
  <si>
    <t>MistyRose4</t>
  </si>
  <si>
    <t>Rouge lég. orange foncé.528 délavé.871</t>
  </si>
  <si>
    <t>Rose balais (minéraux)</t>
  </si>
  <si>
    <t>Fuchsia lég. rouge foncé.292 délavé.416</t>
  </si>
  <si>
    <t>Rouge violacé foncé</t>
  </si>
  <si>
    <t>Mi-rouge mi-fuchsia foncé.826 délavé.371</t>
  </si>
  <si>
    <t>Rouge tomette</t>
  </si>
  <si>
    <t>Rouge lég. orange foncé.532 délavé.154</t>
  </si>
  <si>
    <t xml:space="preserve">VioletRouge </t>
  </si>
  <si>
    <t>Fuchsia lég. rouge foncé.347 délavé.046</t>
  </si>
  <si>
    <t>Rouge très foncé</t>
  </si>
  <si>
    <t>Mi-rouge mi-fuchsia foncé.939 délavé.287</t>
  </si>
  <si>
    <t>Ambre rouge</t>
  </si>
  <si>
    <t>Rouge lég. orange foncé.569 délavé.020</t>
  </si>
  <si>
    <t>Rouge magenta ou rouge primaire</t>
  </si>
  <si>
    <t>Fuchsia lég. rouge foncé.413 délavé.026</t>
  </si>
  <si>
    <t>Noir rougeâtre</t>
  </si>
  <si>
    <t>Mi-rouge mi-fuchsia foncé.963 délavé.807</t>
  </si>
  <si>
    <t>Aquilain (chevaux)</t>
  </si>
  <si>
    <t>Rouge lég. orange foncé.570 délavé.012</t>
  </si>
  <si>
    <t>LavenderBlush4</t>
  </si>
  <si>
    <t>Fuchsia lég. rouge foncé.499 délavé.937</t>
  </si>
  <si>
    <t>Mi-rouge mi-orange</t>
  </si>
  <si>
    <t>Rouge lég. orange foncé.612 délavé.142</t>
  </si>
  <si>
    <t>HotRose 4</t>
  </si>
  <si>
    <t>Fuchsia lég. rouge foncé.689 délavé.286</t>
  </si>
  <si>
    <t>SombreOrange</t>
  </si>
  <si>
    <t>Orange rougeâtre foncé</t>
  </si>
  <si>
    <t>Rouge lég. orange foncé.616 délavé.174</t>
  </si>
  <si>
    <t>Prune</t>
  </si>
  <si>
    <t>Fuchsia lég. rouge foncé.766 délavé.061</t>
  </si>
  <si>
    <t>Gris rosé</t>
  </si>
  <si>
    <t>Mi-rouge mi-orange clair.001 délavé.918</t>
  </si>
  <si>
    <t>Feuille-morte</t>
  </si>
  <si>
    <t>Rouge lég. orange foncé.647 délavé.144</t>
  </si>
  <si>
    <t>Rouge violacé profond</t>
  </si>
  <si>
    <t>Fuchsia lég. rouge foncé.796 délavé.092</t>
  </si>
  <si>
    <t>Orange brillant</t>
  </si>
  <si>
    <t>Mi-rouge mi-orange clair.035 délavé.036</t>
  </si>
  <si>
    <t>Auburn (cheveux)</t>
  </si>
  <si>
    <t>Rouge lég. orange foncé.650 délavé.021</t>
  </si>
  <si>
    <t>Étain oxydé</t>
  </si>
  <si>
    <t>Gris</t>
  </si>
  <si>
    <t>Mi-rouge mi-orange clair.035 délavé.124</t>
  </si>
  <si>
    <t>léger Saumon 4</t>
  </si>
  <si>
    <t>Rouge lég. orange foncé.676 délavé.354</t>
  </si>
  <si>
    <t>gris 73</t>
  </si>
  <si>
    <t>Gris clair.011</t>
  </si>
  <si>
    <t>Carnation (héraldique)</t>
  </si>
  <si>
    <t>Mi-rouge mi-orange clair.413 délavé.030</t>
  </si>
  <si>
    <t>Saumon 4</t>
  </si>
  <si>
    <t>Rouge lég. orange foncé.691 délavé.278</t>
  </si>
  <si>
    <t>gris 74</t>
  </si>
  <si>
    <t>Gris clair.035</t>
  </si>
  <si>
    <t>Blanc rosé</t>
  </si>
  <si>
    <t>Mi-rouge mi-orange clair.585 délavé.835</t>
  </si>
  <si>
    <t>Corail 4</t>
  </si>
  <si>
    <t>Rouge lég. orange foncé.704 délavé.201</t>
  </si>
  <si>
    <t xml:space="preserve">gris </t>
  </si>
  <si>
    <t>Gris clair.047</t>
  </si>
  <si>
    <t>Coquille d'œuf</t>
  </si>
  <si>
    <t>Mi-rouge mi-orange clair.734 délavé.130</t>
  </si>
  <si>
    <t>Senois (héraldique)</t>
  </si>
  <si>
    <t>Rouge lég. orange foncé.707 délavé.126</t>
  </si>
  <si>
    <t>gris 75</t>
  </si>
  <si>
    <t>Gris clair.059</t>
  </si>
  <si>
    <t>Rose jaunâtre grisâtre</t>
  </si>
  <si>
    <t>Mi-rouge mi-orange foncé.046 délavé.786</t>
  </si>
  <si>
    <t>Tomate 4</t>
  </si>
  <si>
    <t>Rouge lég. orange foncé.713 délavé.141</t>
  </si>
  <si>
    <t>gris , Silver</t>
  </si>
  <si>
    <t>Gris clair.071</t>
  </si>
  <si>
    <t>Orange vif</t>
  </si>
  <si>
    <t>Mi-rouge mi-orange foncé.101</t>
  </si>
  <si>
    <t>Sienne 4</t>
  </si>
  <si>
    <t>gris 76</t>
  </si>
  <si>
    <t>Gris clair.096</t>
  </si>
  <si>
    <t>Tan</t>
  </si>
  <si>
    <t>Mi-rouge mi-orange foncé.117 délavé.382</t>
  </si>
  <si>
    <t>Acajou</t>
  </si>
  <si>
    <t>Rouge lég. orange foncé.733 délavé.095</t>
  </si>
  <si>
    <t>gris 77</t>
  </si>
  <si>
    <t>Gris clair.121</t>
  </si>
  <si>
    <t>Orange franc</t>
  </si>
  <si>
    <t>Mi-rouge mi-orange foncé.122 délavé.063</t>
  </si>
  <si>
    <t>Brun rougeâtre franc</t>
  </si>
  <si>
    <t>Rouge lég. orange foncé.737 délavé.067</t>
  </si>
  <si>
    <t>gris 78</t>
  </si>
  <si>
    <t>Gris clair.158</t>
  </si>
  <si>
    <t>SombreOrange2</t>
  </si>
  <si>
    <t>Mi-rouge mi-orange foncé.142</t>
  </si>
  <si>
    <t>Brique</t>
  </si>
  <si>
    <t>Rouge lég. orange foncé.750 délavé.090</t>
  </si>
  <si>
    <t>gris 79</t>
  </si>
  <si>
    <t>Gris clair.184</t>
  </si>
  <si>
    <t>Mi-rouge mi-orange foncé.144 délavé.012</t>
  </si>
  <si>
    <t>Brun rougeâtre moyen</t>
  </si>
  <si>
    <t>Rouge lég. orange foncé.756 délavé.376</t>
  </si>
  <si>
    <t>Pinchard (chevaux vieilli)</t>
  </si>
  <si>
    <t>Gris clair.223</t>
  </si>
  <si>
    <t>Feldspath</t>
  </si>
  <si>
    <t>Mi-rouge mi-orange foncé.170 délavé.445</t>
  </si>
  <si>
    <t>Caramel</t>
  </si>
  <si>
    <t>Rouge lég. orange foncé.784</t>
  </si>
  <si>
    <t xml:space="preserve">Very léger gris </t>
  </si>
  <si>
    <t>Gris clair.236</t>
  </si>
  <si>
    <t>Mi-rouge mi-orange foncé.173 délavé.075</t>
  </si>
  <si>
    <t>Brun rougeâtre grisâtre</t>
  </si>
  <si>
    <t>Rouge lég. orange foncé.792 délavé.638</t>
  </si>
  <si>
    <t>Gris perle</t>
  </si>
  <si>
    <t>Gris clair.250</t>
  </si>
  <si>
    <t>Orange moyen</t>
  </si>
  <si>
    <t>Mi-rouge mi-orange foncé.197 délavé.255</t>
  </si>
  <si>
    <t>Gris brunâtre</t>
  </si>
  <si>
    <t>Rouge lég. orange foncé.809 délavé.857</t>
  </si>
  <si>
    <t>gris 81</t>
  </si>
  <si>
    <t>Gris clair.263</t>
  </si>
  <si>
    <t>Citrouille</t>
  </si>
  <si>
    <t>Mi-rouge mi-orange foncé.249 délavé.019</t>
  </si>
  <si>
    <t>Colorado (cigare)</t>
  </si>
  <si>
    <t>Rouge lég. orange foncé.823 délavé.093</t>
  </si>
  <si>
    <t>gris 82</t>
  </si>
  <si>
    <t>Gris clair.290</t>
  </si>
  <si>
    <t>chocolate</t>
  </si>
  <si>
    <t>Mi-rouge mi-orange foncé.335 délavé.040</t>
  </si>
  <si>
    <t>Brun rougeâtre foncé grisâtre</t>
  </si>
  <si>
    <t>Rouge lég. orange foncé.912 délavé.654</t>
  </si>
  <si>
    <t xml:space="preserve">léger gris </t>
  </si>
  <si>
    <t>Gris clair.317</t>
  </si>
  <si>
    <t>Mi-rouge mi-orange foncé.348 délavé.103</t>
  </si>
  <si>
    <t>Vert primaire</t>
  </si>
  <si>
    <t>gris 83</t>
  </si>
  <si>
    <t>Gris clair.331</t>
  </si>
  <si>
    <t>chocolate3</t>
  </si>
  <si>
    <t>Mi-rouge mi-orange foncé.369 délavé.040</t>
  </si>
  <si>
    <t>Vert jade</t>
  </si>
  <si>
    <t>Vert clair.069 délavé.389</t>
  </si>
  <si>
    <t>gris 84</t>
  </si>
  <si>
    <t>Gris clair.359</t>
  </si>
  <si>
    <t>SombreOrange3</t>
  </si>
  <si>
    <t>Mi-rouge mi-orange foncé.382</t>
  </si>
  <si>
    <t>Palevert2</t>
  </si>
  <si>
    <t>Vert clair.146 délavé.331</t>
  </si>
  <si>
    <t>gris 85</t>
  </si>
  <si>
    <t>Gris clair.401</t>
  </si>
  <si>
    <t>Orange profond</t>
  </si>
  <si>
    <t>Mi-rouge mi-orange foncé.468 délavé.031</t>
  </si>
  <si>
    <t>honeydew3</t>
  </si>
  <si>
    <t>Vert clair.160 délavé.909</t>
  </si>
  <si>
    <t>gris 86</t>
  </si>
  <si>
    <t>Gris clair.429</t>
  </si>
  <si>
    <t>copper</t>
  </si>
  <si>
    <t>Mi-rouge mi-orange foncé.477 délavé.133</t>
  </si>
  <si>
    <t>Palevert</t>
  </si>
  <si>
    <t>Vert clair.288 délavé.097</t>
  </si>
  <si>
    <t>gainsboro</t>
  </si>
  <si>
    <t>Gris clair.444</t>
  </si>
  <si>
    <t>Brun rougeâtre clair grisâtre</t>
  </si>
  <si>
    <t>Mi-rouge mi-orange foncé.504 délavé.718</t>
  </si>
  <si>
    <t>Sombre marin vert2</t>
  </si>
  <si>
    <t>Vert clair.324 délavé.419</t>
  </si>
  <si>
    <t>gris 86/87</t>
  </si>
  <si>
    <t>Gris clair.458</t>
  </si>
  <si>
    <t>Orange brunâtre</t>
  </si>
  <si>
    <t>Mi-rouge mi-orange foncé.526 délavé.175</t>
  </si>
  <si>
    <t>Palevert1</t>
  </si>
  <si>
    <t>Vert clair.332</t>
  </si>
  <si>
    <t>gris 87</t>
  </si>
  <si>
    <t>Gris clair.473</t>
  </si>
  <si>
    <t>Cuivre</t>
  </si>
  <si>
    <t>Mi-rouge mi-orange foncé.540</t>
  </si>
  <si>
    <t>Sombre marin vert1</t>
  </si>
  <si>
    <t>Vert clair.542</t>
  </si>
  <si>
    <t>gris 88</t>
  </si>
  <si>
    <t>Gris clair.502</t>
  </si>
  <si>
    <t>Baillet (chevaux vieilli)</t>
  </si>
  <si>
    <t>Mi-rouge mi-orange foncé.540 délavé.120</t>
  </si>
  <si>
    <t>honeydew2</t>
  </si>
  <si>
    <t>Vert clair.610 délavé.725</t>
  </si>
  <si>
    <t>gris 89</t>
  </si>
  <si>
    <t>Gris clair.547</t>
  </si>
  <si>
    <t>Alezan (chevaux)</t>
  </si>
  <si>
    <t>Mi-rouge mi-orange foncé.584 délavé.097</t>
  </si>
  <si>
    <t>honeydew</t>
  </si>
  <si>
    <t>Vert clair.875</t>
  </si>
  <si>
    <t>gris 90</t>
  </si>
  <si>
    <t>Gris clair.577</t>
  </si>
  <si>
    <t>Sombre Tan</t>
  </si>
  <si>
    <t>Mi-rouge mi-orange foncé.600 délavé.410</t>
  </si>
  <si>
    <t>Sombre marin vert3</t>
  </si>
  <si>
    <t>Vert foncé.045 délavé.705</t>
  </si>
  <si>
    <t>gris 91</t>
  </si>
  <si>
    <t>Gris clair.623</t>
  </si>
  <si>
    <t>Tanné (héraldique)</t>
  </si>
  <si>
    <t>Mi-rouge mi-orange foncé.604 délavé.003</t>
  </si>
  <si>
    <t>Free Speech vert</t>
  </si>
  <si>
    <t>Vert foncé.049 délavé.005</t>
  </si>
  <si>
    <t>gris 92</t>
  </si>
  <si>
    <t>Gris clair.670</t>
  </si>
  <si>
    <t>Tabac</t>
  </si>
  <si>
    <t>Mi-rouge mi-orange foncé.631 délavé.073</t>
  </si>
  <si>
    <t>Vert perroquet</t>
  </si>
  <si>
    <t>Vert foncé.065 délavé.095</t>
  </si>
  <si>
    <t>Étain pur</t>
  </si>
  <si>
    <t>Gris clair.701</t>
  </si>
  <si>
    <t>Rouille</t>
  </si>
  <si>
    <t>Mi-rouge mi-orange foncé.669 délavé.053</t>
  </si>
  <si>
    <t>Vert jaunâtre brillant</t>
  </si>
  <si>
    <t>Vert foncé.129 délavé.488</t>
  </si>
  <si>
    <t>gris 93</t>
  </si>
  <si>
    <t>Gris clair.717</t>
  </si>
  <si>
    <t>Noisette</t>
  </si>
  <si>
    <t>Mi-rouge mi-orange foncé.669 délavé.134</t>
  </si>
  <si>
    <t>Vert jaunâtre clair</t>
  </si>
  <si>
    <t>Vert foncé.137 délavé.686</t>
  </si>
  <si>
    <t>Argile kaolin</t>
  </si>
  <si>
    <t>Gris clair.733</t>
  </si>
  <si>
    <t>Terre de Sienne</t>
  </si>
  <si>
    <t>Mi-rouge mi-orange foncé.685 délavé.229</t>
  </si>
  <si>
    <t>vert2</t>
  </si>
  <si>
    <t>Vert foncé.142</t>
  </si>
  <si>
    <t>gris 94</t>
  </si>
  <si>
    <t>Gris clair.749</t>
  </si>
  <si>
    <t>Sombre Wood</t>
  </si>
  <si>
    <t>Mi-rouge mi-orange foncé.700 délavé.382</t>
  </si>
  <si>
    <t>Palevert3</t>
  </si>
  <si>
    <t>Vert foncé.173 délavé.505</t>
  </si>
  <si>
    <t>gris 95</t>
  </si>
  <si>
    <t>Gris clair.781</t>
  </si>
  <si>
    <t>Claro (cigare)</t>
  </si>
  <si>
    <t>Mi-rouge mi-orange foncé.715 délavé.323</t>
  </si>
  <si>
    <t>Pale vert</t>
  </si>
  <si>
    <t>Vert foncé.205 délavé.712</t>
  </si>
  <si>
    <t>Fumée blanche</t>
  </si>
  <si>
    <t>Gris clair.831</t>
  </si>
  <si>
    <t xml:space="preserve">SaddleBrun </t>
  </si>
  <si>
    <t>Mi-rouge mi-orange foncé.727 délavé.048</t>
  </si>
  <si>
    <t>Vert de gris</t>
  </si>
  <si>
    <t>Vert foncé.306 délavé.890</t>
  </si>
  <si>
    <t>gris 97</t>
  </si>
  <si>
    <t>Gris clair.864</t>
  </si>
  <si>
    <t>SombreOrange4</t>
  </si>
  <si>
    <t>Mi-rouge mi-orange foncé.734</t>
  </si>
  <si>
    <t>Limevert</t>
  </si>
  <si>
    <t>Vert foncé.348 délavé.103</t>
  </si>
  <si>
    <t>gris 98</t>
  </si>
  <si>
    <t>Gris clair.914</t>
  </si>
  <si>
    <t>Brun franc</t>
  </si>
  <si>
    <t>Mi-rouge mi-orange foncé.765 délavé.096</t>
  </si>
  <si>
    <t>vert3</t>
  </si>
  <si>
    <t>Vert foncé.382</t>
  </si>
  <si>
    <t>gris 99</t>
  </si>
  <si>
    <t>Gris clair.948</t>
  </si>
  <si>
    <t>Brun moyen</t>
  </si>
  <si>
    <t>Mi-rouge mi-orange foncé.794 délavé.391</t>
  </si>
  <si>
    <t>Vert pomme</t>
  </si>
  <si>
    <t>Vert foncé.390 délavé.060</t>
  </si>
  <si>
    <t>Albâtre</t>
  </si>
  <si>
    <t>Gris clair.983</t>
  </si>
  <si>
    <t>Brun grisâtre</t>
  </si>
  <si>
    <t>Mi-rouge mi-orange foncé.804 délavé.674</t>
  </si>
  <si>
    <t>honeydew4</t>
  </si>
  <si>
    <t>Vert foncé.499 délavé.937</t>
  </si>
  <si>
    <t>gris 72</t>
  </si>
  <si>
    <t>Gris foncé.024</t>
  </si>
  <si>
    <t>Semi-Sweet Chocolate</t>
  </si>
  <si>
    <t>Mi-rouge mi-orange foncé.827 délavé.234</t>
  </si>
  <si>
    <t>Vert jaunâtre moyen</t>
  </si>
  <si>
    <t>Vert foncé.563 délavé.647</t>
  </si>
  <si>
    <t>gris 71</t>
  </si>
  <si>
    <t>Gris foncé.058</t>
  </si>
  <si>
    <t xml:space="preserve">Very Sombre Brun </t>
  </si>
  <si>
    <t>Mi-rouge mi-orange foncé.853 délavé.474</t>
  </si>
  <si>
    <t>Sombre marin vert4</t>
  </si>
  <si>
    <t>Vert foncé.586 délavé.712</t>
  </si>
  <si>
    <t>gris 70</t>
  </si>
  <si>
    <t>Gris foncé.081</t>
  </si>
  <si>
    <t>Mi-rouge mi-orange foncé.876 délavé.269</t>
  </si>
  <si>
    <t>Vert jaunâtre franc</t>
  </si>
  <si>
    <t>Vert foncé.635 délavé.332</t>
  </si>
  <si>
    <t>gris 69</t>
  </si>
  <si>
    <t>Gris foncé.114</t>
  </si>
  <si>
    <t>baker's chocolate</t>
  </si>
  <si>
    <t>Mi-rouge mi-orange foncé.879 délavé.145</t>
  </si>
  <si>
    <t>Palevert4</t>
  </si>
  <si>
    <t>Vert foncé.641 délavé.517</t>
  </si>
  <si>
    <t>Gris acier</t>
  </si>
  <si>
    <t>Gris foncé.125</t>
  </si>
  <si>
    <t>Brun profond</t>
  </si>
  <si>
    <t>Mi-rouge mi-orange foncé.885 délavé.174</t>
  </si>
  <si>
    <t>Sinople (héraldique)</t>
  </si>
  <si>
    <t>Vert foncé.688 délavé.045</t>
  </si>
  <si>
    <t>gris 68</t>
  </si>
  <si>
    <t>Gris foncé.146</t>
  </si>
  <si>
    <t>Marron</t>
  </si>
  <si>
    <t>Mi-rouge mi-orange foncé.898</t>
  </si>
  <si>
    <t>Forest vert, Khaki, Moyen Aquamarine</t>
  </si>
  <si>
    <t>Vert foncé.704 délavé.118</t>
  </si>
  <si>
    <t>gris 67</t>
  </si>
  <si>
    <t>Gris foncé.167</t>
  </si>
  <si>
    <t>Brun sombre grisâtre</t>
  </si>
  <si>
    <t>Mi-rouge mi-orange foncé.923 délavé.685</t>
  </si>
  <si>
    <t>Forestvert</t>
  </si>
  <si>
    <t>Vert foncé.717 délavé.118</t>
  </si>
  <si>
    <t>gris 66</t>
  </si>
  <si>
    <t>Gris foncé.199</t>
  </si>
  <si>
    <t>Brun foncé</t>
  </si>
  <si>
    <t>Mi-rouge mi-orange foncé.933 délavé.281</t>
  </si>
  <si>
    <t>vert4</t>
  </si>
  <si>
    <t>Vert foncé.734</t>
  </si>
  <si>
    <t>gris 65</t>
  </si>
  <si>
    <t>Gris foncé.219</t>
  </si>
  <si>
    <t>Brou de noix</t>
  </si>
  <si>
    <t>Mi-rouge mi-orange foncé.947 délavé.043</t>
  </si>
  <si>
    <t>vert</t>
  </si>
  <si>
    <t>Vert foncé.777</t>
  </si>
  <si>
    <t>gris 64</t>
  </si>
  <si>
    <t>Gris foncé.250</t>
  </si>
  <si>
    <t>Noir brunâtre</t>
  </si>
  <si>
    <t>Mi-rouge mi-orange foncé.966 délavé.702</t>
  </si>
  <si>
    <t>Moyen marin vert</t>
  </si>
  <si>
    <t>Vert foncé.777 délavé.514</t>
  </si>
  <si>
    <t>gris 63</t>
  </si>
  <si>
    <t>Gris foncé.269</t>
  </si>
  <si>
    <t>Cachou</t>
  </si>
  <si>
    <t>Mi-rouge mi-orange foncé.967 délavé.215</t>
  </si>
  <si>
    <t>Vert de vessie</t>
  </si>
  <si>
    <t>Vert foncé.800 délavé.048</t>
  </si>
  <si>
    <t>Gris souris</t>
  </si>
  <si>
    <t>Gris foncé.298</t>
  </si>
  <si>
    <t>chartreuse</t>
  </si>
  <si>
    <t>Mi-vert mi-chartreuse</t>
  </si>
  <si>
    <t>Vert bouteille</t>
  </si>
  <si>
    <t>Vert foncé.847 délavé.034</t>
  </si>
  <si>
    <t>gris 61</t>
  </si>
  <si>
    <t>Gris foncé.317</t>
  </si>
  <si>
    <t>Lawnvert</t>
  </si>
  <si>
    <t>Mi-vert mi-chartreuse foncé.026</t>
  </si>
  <si>
    <t>Sombre vert</t>
  </si>
  <si>
    <t>Vert foncé.867</t>
  </si>
  <si>
    <t>gris 60</t>
  </si>
  <si>
    <t>Gris foncé.345</t>
  </si>
  <si>
    <t>chartreuse2</t>
  </si>
  <si>
    <t>Mi-vert mi-chartreuse foncé.142</t>
  </si>
  <si>
    <t>Vert foncé.888 délavé.533</t>
  </si>
  <si>
    <t>gris 59</t>
  </si>
  <si>
    <t>Gris foncé.373</t>
  </si>
  <si>
    <t>Vert absinthe</t>
  </si>
  <si>
    <t>Mi-vert mi-chartreuse foncé.195 délavé.188</t>
  </si>
  <si>
    <t>Vert jaunâtre très clair</t>
  </si>
  <si>
    <t>Vert lég. chartreuse clair.226 délavé.547</t>
  </si>
  <si>
    <t>gris 58</t>
  </si>
  <si>
    <t>Gris foncé.391</t>
  </si>
  <si>
    <t>chartreuse3</t>
  </si>
  <si>
    <t>Mi-vert mi-chartreuse foncé.382</t>
  </si>
  <si>
    <t>Vert lichen</t>
  </si>
  <si>
    <t>Vert lég. chartreuse foncé.242 délavé.570</t>
  </si>
  <si>
    <t>gris 57</t>
  </si>
  <si>
    <t>Gris foncé.417</t>
  </si>
  <si>
    <t>chartreuse4</t>
  </si>
  <si>
    <t>Mi-vert mi-chartreuse foncé.734</t>
  </si>
  <si>
    <t>Vert prairie</t>
  </si>
  <si>
    <t>Vert lég. chartreuse foncé.282 délavé.128</t>
  </si>
  <si>
    <t>gris 56</t>
  </si>
  <si>
    <t>Gris foncé.434</t>
  </si>
  <si>
    <t>Vert jaune profond</t>
  </si>
  <si>
    <t>Mi-vert mi-chartreuse foncé.805 délavé.238</t>
  </si>
  <si>
    <t>Vert amande</t>
  </si>
  <si>
    <t>Vert lég. chartreuse foncé.284 délavé.436</t>
  </si>
  <si>
    <t>gris 55</t>
  </si>
  <si>
    <t>Gris foncé.459</t>
  </si>
  <si>
    <t>Vert printemps</t>
  </si>
  <si>
    <t>Mi-vert mi-émeraude</t>
  </si>
  <si>
    <t>Vert mousse</t>
  </si>
  <si>
    <t>Vert lég. chartreuse foncé.537 délavé.463</t>
  </si>
  <si>
    <t>gris 54</t>
  </si>
  <si>
    <t>Gris foncé.475</t>
  </si>
  <si>
    <t>Vert menthe à l'eau</t>
  </si>
  <si>
    <t>Mi-vert mi-émeraude clair.042 délavé.107</t>
  </si>
  <si>
    <t>Vert gazon ou herbe</t>
  </si>
  <si>
    <t>Vert lég. chartreuse foncé.636 délavé.096</t>
  </si>
  <si>
    <t>Gris foncé.492</t>
  </si>
  <si>
    <t>marin vert1</t>
  </si>
  <si>
    <t>Mi-vert mi-émeraude clair.093</t>
  </si>
  <si>
    <t>Vert de Hooker</t>
  </si>
  <si>
    <t>Vert lég. chartreuse foncé.916 délavé.055</t>
  </si>
  <si>
    <t>gris 53</t>
  </si>
  <si>
    <t>Gris foncé.499</t>
  </si>
  <si>
    <t>Mi-vert mi-émeraude foncé.009</t>
  </si>
  <si>
    <t>Vert olive foncé</t>
  </si>
  <si>
    <t>Vert lég. chartreuse foncé.931 délavé.584</t>
  </si>
  <si>
    <t>gris 52</t>
  </si>
  <si>
    <t>Gris foncé.515</t>
  </si>
  <si>
    <t>Gris verdâtre clair</t>
  </si>
  <si>
    <t>Mi-vert mi-émeraude foncé.022 délavé.929</t>
  </si>
  <si>
    <t>Vert d'eau</t>
  </si>
  <si>
    <t>Vert lég. émeraude clair.334 délavé.328</t>
  </si>
  <si>
    <t>Fer (héraldique)</t>
  </si>
  <si>
    <t>Gris foncé.523</t>
  </si>
  <si>
    <t>marin vert2</t>
  </si>
  <si>
    <t>Mi-vert mi-émeraude foncé.062 délavé.170</t>
  </si>
  <si>
    <t>Vert émeraude ou Smaragdin</t>
  </si>
  <si>
    <t>Vert lég. émeraude foncé.313 délavé.001</t>
  </si>
  <si>
    <t>gris 51</t>
  </si>
  <si>
    <t>Gris foncé.538</t>
  </si>
  <si>
    <t>Aquamarine</t>
  </si>
  <si>
    <t>Mi-vert mi-émeraude foncé.117 délavé.382</t>
  </si>
  <si>
    <t>Vert menthe</t>
  </si>
  <si>
    <t>Vert lég. émeraude foncé.504 délavé.033</t>
  </si>
  <si>
    <t>Gris fer</t>
  </si>
  <si>
    <t>Gris foncé.560</t>
  </si>
  <si>
    <t>Printempsvert2</t>
  </si>
  <si>
    <t>Mi-vert mi-émeraude foncé.142</t>
  </si>
  <si>
    <t>Vert sauge</t>
  </si>
  <si>
    <t>Vert lég. émeraude foncé.510 délavé.589</t>
  </si>
  <si>
    <t>gris 49</t>
  </si>
  <si>
    <t>Gris foncé.575</t>
  </si>
  <si>
    <t>marin vert3</t>
  </si>
  <si>
    <t>Mi-vert mi-émeraude foncé.323 délavé.174</t>
  </si>
  <si>
    <t>Vert jaunâtre vif</t>
  </si>
  <si>
    <t>Vert lég. émeraude foncé.588 délavé.103</t>
  </si>
  <si>
    <t>gris 48</t>
  </si>
  <si>
    <t>Gris foncé.596</t>
  </si>
  <si>
    <t>Printempsvert3</t>
  </si>
  <si>
    <t>Mi-vert mi-émeraude foncé.382</t>
  </si>
  <si>
    <t>Vert jaunâtre foncé</t>
  </si>
  <si>
    <t>Vert lég. émeraude foncé.846 délavé.485</t>
  </si>
  <si>
    <t>gris 47</t>
  </si>
  <si>
    <t>Gris foncé.610</t>
  </si>
  <si>
    <t>Mi-vert mi-émeraude foncé.493 délavé.187</t>
  </si>
  <si>
    <t>Vert impérial</t>
  </si>
  <si>
    <t>Vert lég. émeraude foncé.903</t>
  </si>
  <si>
    <t>Gris foncé.617</t>
  </si>
  <si>
    <t>Vert poireau ou prasin</t>
  </si>
  <si>
    <t>Mi-vert mi-émeraude foncé.534 délavé.325</t>
  </si>
  <si>
    <t>Vert de chrome ou anglais (pigment)</t>
  </si>
  <si>
    <t>Vert lég. émeraude foncé.948 délavé.358</t>
  </si>
  <si>
    <t>gris 46</t>
  </si>
  <si>
    <t>Gris foncé.631</t>
  </si>
  <si>
    <t>Vert malachite</t>
  </si>
  <si>
    <t>Mi-vert mi-émeraude foncé.625 délavé.076</t>
  </si>
  <si>
    <t>SombreOrchid1</t>
  </si>
  <si>
    <t>Violet clair.051</t>
  </si>
  <si>
    <t>gris 45</t>
  </si>
  <si>
    <t>Gris foncé.644</t>
  </si>
  <si>
    <t>marin vert, marin vert4</t>
  </si>
  <si>
    <t>Mi-vert mi-émeraude foncé.705 délavé.194</t>
  </si>
  <si>
    <t>SombreOrchid2</t>
  </si>
  <si>
    <t>Violet foncé.097 délavé.099</t>
  </si>
  <si>
    <t>gris 44</t>
  </si>
  <si>
    <t>Gris foncé.663</t>
  </si>
  <si>
    <t>Printempsvert4</t>
  </si>
  <si>
    <t>Mi-vert mi-émeraude foncé.734</t>
  </si>
  <si>
    <t>SombreViolet</t>
  </si>
  <si>
    <t>Violet foncé.341</t>
  </si>
  <si>
    <t>gris 43</t>
  </si>
  <si>
    <t>Gris foncé.675</t>
  </si>
  <si>
    <t>Vert mélèze</t>
  </si>
  <si>
    <t>Mi-vert mi-émeraude foncé.793 délavé.402</t>
  </si>
  <si>
    <t>Sombre Orchid</t>
  </si>
  <si>
    <t>Violet foncé.348 délavé.103</t>
  </si>
  <si>
    <t>gris 42</t>
  </si>
  <si>
    <t>Gris foncé.694</t>
  </si>
  <si>
    <t>Vert jaunâtre profond</t>
  </si>
  <si>
    <t>Mi-vert mi-émeraude foncé.872</t>
  </si>
  <si>
    <t>SombreOrchid3</t>
  </si>
  <si>
    <t xml:space="preserve">gris 41, Dimgris </t>
  </si>
  <si>
    <t>Gris foncé.706</t>
  </si>
  <si>
    <t>Vert épinard</t>
  </si>
  <si>
    <t>Mi-vert mi-émeraude foncé.891 délavé.161</t>
  </si>
  <si>
    <t>SombreOrchid</t>
  </si>
  <si>
    <t>Violet foncé.355 délavé.104</t>
  </si>
  <si>
    <t>gris 40</t>
  </si>
  <si>
    <t>Gris foncé.723</t>
  </si>
  <si>
    <t>Vert sapin</t>
  </si>
  <si>
    <t>Mi-vert mi-émeraude foncé.909 délavé.057</t>
  </si>
  <si>
    <t>Améthyste</t>
  </si>
  <si>
    <t>Violet foncé.527 délavé.329</t>
  </si>
  <si>
    <t>gris 39</t>
  </si>
  <si>
    <t>Gris foncé.739</t>
  </si>
  <si>
    <t>Vert jaunâtre très foncé</t>
  </si>
  <si>
    <t>Mi-vert mi-émeraude foncé.952 délavé.369</t>
  </si>
  <si>
    <t>SombreOrchid4</t>
  </si>
  <si>
    <t>Violet foncé.717 délavé.118</t>
  </si>
  <si>
    <t>gris 38</t>
  </si>
  <si>
    <t>Gris foncé.750</t>
  </si>
  <si>
    <t>Vert jaunâtre très profond</t>
  </si>
  <si>
    <t>Mi-vert mi-émeraude foncé.968</t>
  </si>
  <si>
    <t>Noir d'aniline</t>
  </si>
  <si>
    <t>Violet foncé.988 délavé.652</t>
  </si>
  <si>
    <t>Gris foncé.756</t>
  </si>
  <si>
    <t>Noir</t>
  </si>
  <si>
    <t xml:space="preserve">Pourpre </t>
  </si>
  <si>
    <t>Violet lég. bleu foncé.110 délavé.034</t>
  </si>
  <si>
    <t>gris 37</t>
  </si>
  <si>
    <t>Gris foncé.766</t>
  </si>
  <si>
    <t>SombRouge orérod1</t>
  </si>
  <si>
    <t>Orange clair.005</t>
  </si>
  <si>
    <t>Violet lég. bleu foncé.250 délavé.369</t>
  </si>
  <si>
    <t>gris 36</t>
  </si>
  <si>
    <t>Gris foncé.776</t>
  </si>
  <si>
    <t>Dorérod1</t>
  </si>
  <si>
    <t>Orange clair.019</t>
  </si>
  <si>
    <t>Violet lég. bleu foncé.373 délavé.006</t>
  </si>
  <si>
    <t>gris 35</t>
  </si>
  <si>
    <t>Gris foncé.791</t>
  </si>
  <si>
    <t>AntiqueBlanc 3</t>
  </si>
  <si>
    <t>Orange clair.061 délavé.814</t>
  </si>
  <si>
    <t>Pourpre 4</t>
  </si>
  <si>
    <t>Violet lég. bleu foncé.723 délavé.077</t>
  </si>
  <si>
    <t>gris 34</t>
  </si>
  <si>
    <t>Gris foncé.800</t>
  </si>
  <si>
    <t>Jaune orangé brillant</t>
  </si>
  <si>
    <t>Orange clair.082</t>
  </si>
  <si>
    <t>Bleu-violet profond</t>
  </si>
  <si>
    <t>Violet lég. bleu foncé.913 délavé.202</t>
  </si>
  <si>
    <t>Gris foncé</t>
  </si>
  <si>
    <t>Gris foncé.810</t>
  </si>
  <si>
    <t>Aurore</t>
  </si>
  <si>
    <t>Orange clair.122</t>
  </si>
  <si>
    <t>Bleu-violet foncé</t>
  </si>
  <si>
    <t>Violet lég. bleu foncé.930 délavé.454</t>
  </si>
  <si>
    <t>Gris foncé.814</t>
  </si>
  <si>
    <t>burlywood2</t>
  </si>
  <si>
    <t>Orange clair.150 délavé.333</t>
  </si>
  <si>
    <t>Glycine</t>
  </si>
  <si>
    <t>Violet lég. magenta clair.082 délavé.606</t>
  </si>
  <si>
    <t>gris 32</t>
  </si>
  <si>
    <t>Gris foncé.823</t>
  </si>
  <si>
    <t>Jaune orangé clair</t>
  </si>
  <si>
    <t>Orange clair.185 délavé.084</t>
  </si>
  <si>
    <t>Parme</t>
  </si>
  <si>
    <t>Violet lég. magenta clair.180 délavé.441</t>
  </si>
  <si>
    <t>gris 31</t>
  </si>
  <si>
    <t>Gris foncé.836</t>
  </si>
  <si>
    <t>New Tan</t>
  </si>
  <si>
    <t>Orange clair.186 délavé.406</t>
  </si>
  <si>
    <t>Violet très pâle</t>
  </si>
  <si>
    <t>Violet lég. magenta clair.328 délavé.806</t>
  </si>
  <si>
    <t>gris 30</t>
  </si>
  <si>
    <t>Gris foncé.844</t>
  </si>
  <si>
    <t>NavajoBlanc 2</t>
  </si>
  <si>
    <t>Orange clair.224 délavé.365</t>
  </si>
  <si>
    <t>Lilas</t>
  </si>
  <si>
    <t>Violet lég. magenta foncé.210 délavé.351</t>
  </si>
  <si>
    <t>burlywood1</t>
  </si>
  <si>
    <t>Orange clair.337</t>
  </si>
  <si>
    <t>Violet très profond</t>
  </si>
  <si>
    <t>Violet lég. magenta foncé.914 délavé.246</t>
  </si>
  <si>
    <t>POURCENTAGES  1</t>
  </si>
  <si>
    <t>ICI &gt; pourquoi ? quelle utilité &gt; en cliquant sur cette cellule en tête de tableau et en vous déportant sur la droite puis vers le bas cela sélectionne le tableau pour le copier et le coller dans un de vos documents</t>
  </si>
  <si>
    <t>&lt; position colonne et n° de ligne</t>
  </si>
  <si>
    <t>POURCENTAGES  2  - à vous de choisir le lien qui vous intéresse</t>
  </si>
  <si>
    <t>Formule avec DONT</t>
  </si>
  <si>
    <t>https://www.google.com/search?client=firefox-b-d&amp;sca_esv=564255901&amp;sxsrf=AB5stBihJ69cL1ng1vQDYXKmUFWjQYd6jQ:1694407722726&amp;q=dgccrf+Poids+brut+ou+poids+net+?+Ne+payer+pas+l%27emballage+!&amp;spell=1&amp;sa=X&amp;ved=2ahUKEwjRtKvT4KGBAxVJWqQEHb3mCrcQBSgAegQICBAB&amp;biw=1564&amp;bih=722&amp;dpr=1.2</t>
  </si>
  <si>
    <t>Nom de la recette &gt;</t>
  </si>
  <si>
    <t>Quiche</t>
  </si>
  <si>
    <t>PUNCH</t>
  </si>
  <si>
    <t>POIDS DE LA RECETTE A DÉCRYPTER &gt;</t>
  </si>
  <si>
    <t>Total :</t>
  </si>
  <si>
    <t>garniture œufs + lait+ jambon de dinde</t>
  </si>
  <si>
    <t>dont jambon de dinde</t>
  </si>
  <si>
    <t>Produits complémentaires</t>
  </si>
  <si>
    <t xml:space="preserve">❶ </t>
  </si>
  <si>
    <t>Moins ❷</t>
  </si>
  <si>
    <t xml:space="preserve"> =  ❷</t>
  </si>
  <si>
    <t>Saisissez vos valeurs dans les cellules fond jaune</t>
  </si>
  <si>
    <t>Nom de la recette</t>
  </si>
  <si>
    <t>garniture avec le produit à extraire</t>
  </si>
  <si>
    <t>liste des produits</t>
  </si>
  <si>
    <t>Pourcentages des produits</t>
  </si>
  <si>
    <t>DONT produit à extraire</t>
  </si>
  <si>
    <t>vous obtenez le % du/des produiits(s) complémentaire(s)</t>
  </si>
  <si>
    <t>POURCENTAGES  et autre  - je vous invite à naviguer sur les différentes pages de ces sites</t>
  </si>
  <si>
    <t>Arrêt du service Pages perso</t>
  </si>
  <si>
    <t>AIDES CUISINE</t>
  </si>
  <si>
    <t>CONDITIONNEMENT AU POIDS</t>
  </si>
  <si>
    <t>CONDITIONNEMENT A LA PIÈCE</t>
  </si>
  <si>
    <t>une fonction intéressante : MODULO &gt; MOD</t>
  </si>
  <si>
    <t>Nombre de contenants a la pièce avec la fonction MODULO</t>
  </si>
  <si>
    <t>Nombre de contenants au poids avec la fonction MODULO</t>
  </si>
  <si>
    <t>Poids de sauce à servir</t>
  </si>
  <si>
    <t>https://www.dieteticien-nutritionniste-sante.com/conseils-alimentaires/a-telecharger/6545-2_POIDSETMESURES_FR_2005_2_4400388_fr.pdf</t>
  </si>
  <si>
    <t>banque d'image cuisine patisserie charcuterie fromage</t>
  </si>
  <si>
    <t>Quelle quantité dans mon assiette ?</t>
  </si>
  <si>
    <t>les formats nombre ne sont pas des pourcentages mais des nombres standards personnalisés &gt; 0" %"</t>
  </si>
  <si>
    <t>et 0.000"Kg" pour les poids - j'ai remplacé les volumes par des poids sur la base de 1L d'eau = 1Kg</t>
  </si>
  <si>
    <t>Liens</t>
  </si>
  <si>
    <t>patrice67tube</t>
  </si>
  <si>
    <t>Learnaccess</t>
  </si>
  <si>
    <t>Frédéric LE GUEN</t>
  </si>
  <si>
    <t>saisissez vos quantités dans les cellules fond jaunes</t>
  </si>
  <si>
    <t>capacité du contenant*</t>
  </si>
  <si>
    <t>Nb de contenants</t>
  </si>
  <si>
    <t>reliquat</t>
  </si>
  <si>
    <t>formule</t>
  </si>
  <si>
    <t>les données précédentes peuvent se présenter comme suit</t>
  </si>
  <si>
    <t>contenant(s) a conditionner</t>
  </si>
  <si>
    <t>un contenant* peut être une plaque gastro - une louche - une barquette etc..</t>
  </si>
  <si>
    <t>format &gt;"de" # ##0.000" Kg"</t>
  </si>
  <si>
    <t>Explication :</t>
  </si>
  <si>
    <t>formules</t>
  </si>
  <si>
    <t>chouquettes</t>
  </si>
  <si>
    <t>de</t>
  </si>
  <si>
    <t>un contenant* peut être une panière - un sachet - une plaque gastro - une louche - une barquette etc..</t>
  </si>
  <si>
    <t>Total contenants</t>
  </si>
  <si>
    <t xml:space="preserve">Effectifs </t>
  </si>
  <si>
    <t>1 contenant pour combien</t>
  </si>
  <si>
    <t>Grammage Unitaire</t>
  </si>
  <si>
    <t>poids total</t>
  </si>
  <si>
    <t>Pour</t>
  </si>
  <si>
    <t>+ Nb de contenants</t>
  </si>
  <si>
    <t>contenant(s)</t>
  </si>
  <si>
    <t>QUOI &gt;</t>
  </si>
  <si>
    <t>Tranches</t>
  </si>
  <si>
    <t>Nb par personne</t>
  </si>
  <si>
    <t>tranches - Morceaux - Pièces</t>
  </si>
  <si>
    <t>Nb de tranches - morceaux etc.par personne</t>
  </si>
  <si>
    <t>1 contenant pour combien de convives ou portions</t>
  </si>
  <si>
    <t xml:space="preserve">Poids standard d'une Portion </t>
  </si>
  <si>
    <t>Nb de portions standard dans un GN 1/1 H65</t>
  </si>
  <si>
    <t>Au choix</t>
  </si>
  <si>
    <t>Poids d'une portion</t>
  </si>
  <si>
    <t>❶ saisissez le poids dans un contenant (une louche une barquette etc</t>
  </si>
  <si>
    <t>❷ saisissez le poids de la portion à servir par convive</t>
  </si>
  <si>
    <t>❷ saisissez le nombre de portions à servir</t>
  </si>
  <si>
    <t xml:space="preserve">feuilles de gélatine </t>
  </si>
  <si>
    <t>&lt; Total Mx par convive</t>
  </si>
  <si>
    <t>POISSON PANÉ</t>
  </si>
  <si>
    <t>Prévoir :</t>
  </si>
  <si>
    <t>Comment servir ce produit</t>
  </si>
  <si>
    <t>1 Part =</t>
  </si>
  <si>
    <t>PESER SANS BALANCE (poids approximatifs) et généralement diffusés sur le net</t>
  </si>
  <si>
    <t>1 blanc d'œuf :</t>
  </si>
  <si>
    <t>environ 30 g.</t>
  </si>
  <si>
    <t xml:space="preserve">cuil.= cuillère </t>
  </si>
  <si>
    <t xml:space="preserve"> fécule</t>
  </si>
  <si>
    <t>sucre et sel fin</t>
  </si>
  <si>
    <t>beurre </t>
  </si>
  <si>
    <t xml:space="preserve">riz </t>
  </si>
  <si>
    <t xml:space="preserve">semoule </t>
  </si>
  <si>
    <t xml:space="preserve">lait et autres liquides </t>
  </si>
  <si>
    <t>cacao</t>
  </si>
  <si>
    <t>Miel liquide</t>
  </si>
  <si>
    <t>poudre d’amande et de coco</t>
  </si>
  <si>
    <t>1 jaune d'œuf :</t>
  </si>
  <si>
    <t>environ 18 g.</t>
  </si>
  <si>
    <t>cuil.Café.</t>
  </si>
  <si>
    <t>cuil.Café.  = à Café</t>
  </si>
  <si>
    <t>bol</t>
  </si>
  <si>
    <t>cuillère Café</t>
  </si>
  <si>
    <t>cuillère Soupe</t>
  </si>
  <si>
    <t>pot à yaourt</t>
  </si>
  <si>
    <t>1 œuf entier :</t>
  </si>
  <si>
    <t>environ 50 g.</t>
  </si>
  <si>
    <t>cuil.C.ras.</t>
  </si>
  <si>
    <t>cuil.C.ras = cuilère à Café rase</t>
  </si>
  <si>
    <t>bol.moy.ras.de farine 210 g</t>
  </si>
  <si>
    <t>bol.moy.ras.de sucre 300 g</t>
  </si>
  <si>
    <t>cuil.C.ras.beurre.5.g</t>
  </si>
  <si>
    <t>cuil.S.bom.riz=20.g</t>
  </si>
  <si>
    <t>cuil.C.ras.semoule.5.g</t>
  </si>
  <si>
    <t>cuil.C.ras.liquide.5.g</t>
  </si>
  <si>
    <t>cuil.C.ras.huile.4.g</t>
  </si>
  <si>
    <t>cuil.C.ras.cacao.5.g</t>
  </si>
  <si>
    <t>cuil.C.ras.miel.10.g</t>
  </si>
  <si>
    <t>pot.ya.ras.amande.poudre.50g</t>
  </si>
  <si>
    <t>cuil.C.bom.</t>
  </si>
  <si>
    <t>cuil.C.bom. = cuilère à Café bombée</t>
  </si>
  <si>
    <t>cuil.C.bom.beurre.9.g</t>
  </si>
  <si>
    <t>cuil.S.ras.riz =18.g</t>
  </si>
  <si>
    <t>pot.ya.ras.coco.rapée.50g</t>
  </si>
  <si>
    <t>1 cuillère à soupe (tbsp ou c. à soupe)</t>
  </si>
  <si>
    <t>15 ml (liquide)</t>
  </si>
  <si>
    <t>14 g de sucre ou 15 g d'huile.</t>
  </si>
  <si>
    <t>1 cuillère à thé (tsp ou c. à thé)</t>
  </si>
  <si>
    <r>
      <t>5 ml</t>
    </r>
    <r>
      <rPr>
        <sz val="11"/>
        <color theme="1"/>
        <rFont val="Calibri"/>
        <family val="2"/>
        <scheme val="minor"/>
      </rPr>
      <t xml:space="preserve"> (liquide)</t>
    </r>
  </si>
  <si>
    <t>Équivaut à 4 g de sel ou 5 g de sucre.</t>
  </si>
  <si>
    <t>cuil.Soup.</t>
  </si>
  <si>
    <t>cuil.Soup. = à Soupe</t>
  </si>
  <si>
    <t>cuil.C.bom..farine.8.g</t>
  </si>
  <si>
    <t>cuil.C.bom.sel.9.g</t>
  </si>
  <si>
    <t>mug</t>
  </si>
  <si>
    <t>cuil.S.bom.semoule=15.g</t>
  </si>
  <si>
    <t>cuil.S.ras.liquide=10.g</t>
  </si>
  <si>
    <t>cuil.S.ras.huile =14.g</t>
  </si>
  <si>
    <t>cuil.S.ras.cacao =10.g</t>
  </si>
  <si>
    <t>cuil.S.ras.miel=18.g</t>
  </si>
  <si>
    <t>cuil.S.ras.</t>
  </si>
  <si>
    <t>cuil.S.ras = cuilère à Soupe.rase</t>
  </si>
  <si>
    <t>cuil.C.ras.farine=3.g</t>
  </si>
  <si>
    <t>cuil.C.bom.sucre.5.g</t>
  </si>
  <si>
    <t>cuil.S.bom.beurre=22.g</t>
  </si>
  <si>
    <t>mug...ras.riz.210.g</t>
  </si>
  <si>
    <t>1 litre (L)</t>
  </si>
  <si>
    <t>1000 ml ou environ 4 1/4 tasses.</t>
  </si>
  <si>
    <t>cuil.S.bom.</t>
  </si>
  <si>
    <t>cuil.S.bom = cuilère à Soupe.bombée</t>
  </si>
  <si>
    <t>cuil.C.bom.sucre.glace.3.g</t>
  </si>
  <si>
    <t>cuil.S.ras.beurre =15.g</t>
  </si>
  <si>
    <t>bol.moyen.</t>
  </si>
  <si>
    <t xml:space="preserve">v e r r e. </t>
  </si>
  <si>
    <t>verre.Moutarde</t>
  </si>
  <si>
    <t>1 once liquide (fl oz)</t>
  </si>
  <si>
    <t>30 ml.</t>
  </si>
  <si>
    <t>cuil.C.ras.sel=6.g</t>
  </si>
  <si>
    <t>cuil.S.ras.beurre fondu=12.g</t>
  </si>
  <si>
    <t>pot.ya.ras.semoule.90g</t>
  </si>
  <si>
    <t>bol.moy.ras.liquide.350g</t>
  </si>
  <si>
    <t>verreM.ras.huile=160g</t>
  </si>
  <si>
    <t>verreM.ras.cacao.90g</t>
  </si>
  <si>
    <t>pot.ya.ras.miel.150g</t>
  </si>
  <si>
    <t>1 pinte (pint) canadienne</t>
  </si>
  <si>
    <t>568 ml (différent de la pinte américaine de 473 ml).</t>
  </si>
  <si>
    <t>cuil.Mout.</t>
  </si>
  <si>
    <t>cuil.Mout.= à Moutarde</t>
  </si>
  <si>
    <t>cuil.S.bom.farine=20.g</t>
  </si>
  <si>
    <t>cuil.C.ras.sucre=4.g</t>
  </si>
  <si>
    <t>pot.ya.ras.riz.100g</t>
  </si>
  <si>
    <t>cuil.M.ras.</t>
  </si>
  <si>
    <t>cuil.M.ras.= cuillère à Moutarde rase</t>
  </si>
  <si>
    <t>cuil.S.ras.farine=10.g</t>
  </si>
  <si>
    <t>1 tasse (cup)</t>
  </si>
  <si>
    <r>
      <t>240 ml</t>
    </r>
    <r>
      <rPr>
        <sz val="11"/>
        <color theme="1"/>
        <rFont val="Calibri"/>
        <family val="2"/>
        <scheme val="minor"/>
      </rPr>
      <t xml:space="preserve"> </t>
    </r>
  </si>
  <si>
    <t>Sucre : 100 g</t>
  </si>
  <si>
    <t>cuil.M..bom.</t>
  </si>
  <si>
    <t>cuil.M.bom.= cuillère à Moutarde bombée</t>
  </si>
  <si>
    <t>mug...ras.beurre fondu.225.g</t>
  </si>
  <si>
    <t>verreM.ras.semoule=150g</t>
  </si>
  <si>
    <t>mug...ras.liquide.150.g</t>
  </si>
  <si>
    <t>pot.ya.ras.huile.120g</t>
  </si>
  <si>
    <t>Farine : 60 g</t>
  </si>
  <si>
    <t>cuil.S.bom.sucre=15.g</t>
  </si>
  <si>
    <t>verreM.ras.riz.160g</t>
  </si>
  <si>
    <t>Beurre : 113 g.</t>
  </si>
  <si>
    <t>cuil.Pota.</t>
  </si>
  <si>
    <t>cuil.Pota. = à Potage</t>
  </si>
  <si>
    <t>louch.ras.farine.50.g</t>
  </si>
  <si>
    <t>cuil.S.ras.sucre =10.g</t>
  </si>
  <si>
    <t>noix - noisette</t>
  </si>
  <si>
    <t>cuil.P.ras.</t>
  </si>
  <si>
    <t>cuil.P.ras = cuilère à Potage rase</t>
  </si>
  <si>
    <t>cuil.S.ras.sucre =15.g</t>
  </si>
  <si>
    <t>noi..sette de beurre 4g</t>
  </si>
  <si>
    <t>pot.ya.ras.liquide.150g</t>
  </si>
  <si>
    <t>1/4 tasse</t>
  </si>
  <si>
    <t>Sucre : 50 g</t>
  </si>
  <si>
    <t>cuil.P.bom.</t>
  </si>
  <si>
    <t>cuil.P.bom = cuilère à Potage bombée</t>
  </si>
  <si>
    <t>cuil.S.ras.sucre.glace =10.g</t>
  </si>
  <si>
    <t>n..o..i..x de beurre 15 g</t>
  </si>
  <si>
    <t>Farine : 30 g</t>
  </si>
  <si>
    <t>mug...bom.farine.150.g</t>
  </si>
  <si>
    <t>tasse.Café</t>
  </si>
  <si>
    <t>Beurre : 57 g.</t>
  </si>
  <si>
    <t>Teaspoon</t>
  </si>
  <si>
    <t>Teaspoon = tasse à thé</t>
  </si>
  <si>
    <t>mug...ras.farine.115.g</t>
  </si>
  <si>
    <t>tasse.Café.liquide.100g</t>
  </si>
  <si>
    <t>teasp.ras.</t>
  </si>
  <si>
    <t>teasp.ras.= Teaspoon rase</t>
  </si>
  <si>
    <t>louch.ras.sucre.70.g</t>
  </si>
  <si>
    <t>à quoi correspondent</t>
  </si>
  <si>
    <t>2 lbs</t>
  </si>
  <si>
    <t>teasp.bom.</t>
  </si>
  <si>
    <t>teasp.bom= Teaspoon bombée</t>
  </si>
  <si>
    <t>verre.Liqueur</t>
  </si>
  <si>
    <t>pot.ya.bom.farine.150.g</t>
  </si>
  <si>
    <t>verreL.ras.liquide.30g</t>
  </si>
  <si>
    <t>ail en poudre</t>
  </si>
  <si>
    <t>¼ c. t.</t>
  </si>
  <si>
    <t>1 ml</t>
  </si>
  <si>
    <t xml:space="preserve">t a s s e. </t>
  </si>
  <si>
    <t>t a s s e. 10 lettres avec les espaces</t>
  </si>
  <si>
    <t>pot.ya.ras.farine.85.g</t>
  </si>
  <si>
    <t>mug...bom.sucre.220.g</t>
  </si>
  <si>
    <t>1 c.t.</t>
  </si>
  <si>
    <t>5 ml</t>
  </si>
  <si>
    <t>tasse.ras.</t>
  </si>
  <si>
    <t>tasse.ras.= tasse rase</t>
  </si>
  <si>
    <t>mug...ras.sucre.200.g</t>
  </si>
  <si>
    <t>tasse.bom.</t>
  </si>
  <si>
    <t>tasse.bom. = tasse bombée</t>
  </si>
  <si>
    <t>tasse</t>
  </si>
  <si>
    <t>verreM.ras.liquide.200g</t>
  </si>
  <si>
    <t>assaisonnement (mayonnaise légère,</t>
  </si>
  <si>
    <t>2 c. s.</t>
  </si>
  <si>
    <t>30 ml</t>
  </si>
  <si>
    <t xml:space="preserve">tasse.Mug. </t>
  </si>
  <si>
    <t>tasse.Mug. = tasse Mug</t>
  </si>
  <si>
    <t>tasse.bom.farine.60g</t>
  </si>
  <si>
    <t>assaisonnement (mayonnaise légère,Miracle Whip)</t>
  </si>
  <si>
    <t>1 c. s.</t>
  </si>
  <si>
    <t>15 ml</t>
  </si>
  <si>
    <t>tasse.ras.farine.40g</t>
  </si>
  <si>
    <t>pot.ya.ras.sucre.125.g</t>
  </si>
  <si>
    <t>v e r r e.  10 lettres avec les espaces</t>
  </si>
  <si>
    <t>bananes moyennes, écrasées vanille</t>
  </si>
  <si>
    <t>¾ tasse 2</t>
  </si>
  <si>
    <t>175 ml</t>
  </si>
  <si>
    <t>ve r r e.M</t>
  </si>
  <si>
    <t>ve r r e.M = verre à Moutarde</t>
  </si>
  <si>
    <t>verre</t>
  </si>
  <si>
    <t>verreM.ras.</t>
  </si>
  <si>
    <t>verreM.ras =  verre à Moutarde ras 10 lettres avec les espaces</t>
  </si>
  <si>
    <t>verre.M.bom.farine.120.g</t>
  </si>
  <si>
    <t>tasse.bom.sucre.150g</t>
  </si>
  <si>
    <t>basilic séché</t>
  </si>
  <si>
    <t>verreM.bom.</t>
  </si>
  <si>
    <t>verreM.bom =  verre à Moutarde bombé 10 lettres avec les espaces</t>
  </si>
  <si>
    <t>verre.M.ras.farine.100.g</t>
  </si>
  <si>
    <t>tasse.ras.sucre.90g</t>
  </si>
  <si>
    <t>L.ou.ches.</t>
  </si>
  <si>
    <t>Louches 10 lettres avec les points</t>
  </si>
  <si>
    <t>4 plaques standards de 227 g (au Canada et aux États-Unis).</t>
  </si>
  <si>
    <t>louch.ras.</t>
  </si>
  <si>
    <t>louch.ras. = louche rase</t>
  </si>
  <si>
    <t>verreM.bom.sucre.150g</t>
  </si>
  <si>
    <t>louch.bom.</t>
  </si>
  <si>
    <t>louch.bom. = louche bombée</t>
  </si>
  <si>
    <t>verreM.ras.sucre.110g</t>
  </si>
  <si>
    <t>bicarbonate de sodium</t>
  </si>
  <si>
    <t>1 c. t.</t>
  </si>
  <si>
    <t>½ c. t.</t>
  </si>
  <si>
    <t>2 ml</t>
  </si>
  <si>
    <t>pot.yaourt</t>
  </si>
  <si>
    <t>pot.ya.ras.</t>
  </si>
  <si>
    <t>pot à yaourt ras</t>
  </si>
  <si>
    <t>bœuf haché</t>
  </si>
  <si>
    <t>½ lb</t>
  </si>
  <si>
    <t>pot.ya.bom.</t>
  </si>
  <si>
    <t>pot à yaourt bombé</t>
  </si>
  <si>
    <t>bouillon de poule à teneur réduite en sodium</t>
  </si>
  <si>
    <t>4 tasses</t>
  </si>
  <si>
    <t>1 l</t>
  </si>
  <si>
    <t>bol moyen</t>
  </si>
  <si>
    <t>bouillon de poulet à teneur réduite en sodium*</t>
  </si>
  <si>
    <t>3 tasses</t>
  </si>
  <si>
    <t>750 ml</t>
  </si>
  <si>
    <t>bol.moy.ras.</t>
  </si>
  <si>
    <t>bol moyen ras</t>
  </si>
  <si>
    <t>bol.moy.bom.</t>
  </si>
  <si>
    <t>bol moyen bombé</t>
  </si>
  <si>
    <t>branche de céleri (optionnel)</t>
  </si>
  <si>
    <t>m ..u. .g.</t>
  </si>
  <si>
    <t>Mug 10 lettres avec les points</t>
  </si>
  <si>
    <t>brocolis, hachés</t>
  </si>
  <si>
    <t>1 petit bouquet</t>
  </si>
  <si>
    <t>mug...ras.</t>
  </si>
  <si>
    <t>Mug.ras.10 lettres avec les points</t>
  </si>
  <si>
    <t>cannelle</t>
  </si>
  <si>
    <t>mug...bom.</t>
  </si>
  <si>
    <t>Mug.bombé.10 lettres avec les points</t>
  </si>
  <si>
    <t>carotte, coupée en dés jambon, haché</t>
  </si>
  <si>
    <t>céleri, tranché finement</t>
  </si>
  <si>
    <t>1 branche</t>
  </si>
  <si>
    <t>Pourquoi 10 lettres , si vous voulez utiliser ces valeurs avec des fonctions de recherche gauche - droite</t>
  </si>
  <si>
    <t>champignons</t>
  </si>
  <si>
    <t>2 1/2 tasses</t>
  </si>
  <si>
    <t>625 ml</t>
  </si>
  <si>
    <t xml:space="preserve">si vous vouler concatener  ou extraite du texte il faut que ce texte ait le même nombre de lettre ou d'espace </t>
  </si>
  <si>
    <t>(un espace ou un point sont comptés comme une lettre)</t>
  </si>
  <si>
    <t>chapelure</t>
  </si>
  <si>
    <t>50 ml</t>
  </si>
  <si>
    <t>t. tasse</t>
  </si>
  <si>
    <t>chapelure ou 1 tranche de pain de blé entier,</t>
  </si>
  <si>
    <t>¼ tasse</t>
  </si>
  <si>
    <t>60 ml</t>
  </si>
  <si>
    <t>c. s. cuillère à soupe</t>
  </si>
  <si>
    <t>(1 portion = 1 tasse ou 250 ml)</t>
  </si>
  <si>
    <t>cheddar, en lanières</t>
  </si>
  <si>
    <t xml:space="preserve"> (1 portion = ½ tasse ou 125 ml</t>
  </si>
  <si>
    <t>chili en poudre</t>
  </si>
  <si>
    <t xml:space="preserve"> 400°F (205°C). </t>
  </si>
  <si>
    <t>chili en poudre (optionnel)</t>
  </si>
  <si>
    <t>d’un demi-pouce (1,5 cm).</t>
  </si>
  <si>
    <t xml:space="preserve"> 350°F (180°C)</t>
  </si>
  <si>
    <t>chou, haché</t>
  </si>
  <si>
    <t>2 tasses</t>
  </si>
  <si>
    <t>500 ml</t>
  </si>
  <si>
    <t>Conversion de base :</t>
  </si>
  <si>
    <t xml:space="preserve">1 lb (livre) </t>
  </si>
  <si>
    <t>453,6 g.</t>
  </si>
  <si>
    <t xml:space="preserve">Guide alimentaire Canadien </t>
  </si>
  <si>
    <t>https://guide-alimentaire.canada.ca/fr/</t>
  </si>
  <si>
    <t xml:space="preserve">2 lbs </t>
  </si>
  <si>
    <t>453,6 g × 2 = 907,2 g.ou 0,907 kilogramme.</t>
  </si>
  <si>
    <t>la bonne cuisine raisonnée</t>
  </si>
  <si>
    <t>https://books.google.fr/books?id=ldcKa0614jAC&amp;newbks=1&amp;newbks_redir=0&amp;printsec=frontcover</t>
  </si>
  <si>
    <t>Publication de DK-Coaching</t>
  </si>
  <si>
    <t>https://www.facebook.com/DKcoaching.prepa/posts/conna%C3%AEtre-les-%C3%A9quivalences-poids-crucuit-voil%C3%A0-un-post-qui-jesp%C3%A8re-te-sembleras-/1103043807120035/</t>
  </si>
  <si>
    <t>crème 10% mg</t>
  </si>
  <si>
    <t>1/2 tasse</t>
  </si>
  <si>
    <t>EQUIVALENCES CRU//CUIT</t>
  </si>
  <si>
    <t>https://fr.pinterest.com/brigittek80/equivalences-crucuit/</t>
  </si>
  <si>
    <t>crème sure légère</t>
  </si>
  <si>
    <t>Equivalence poids cru et cuit?</t>
  </si>
  <si>
    <t>https://faq.croq-kilos.com/hc/fr/articles/360018894799-Equivalence-poids-cru-et-cuit</t>
  </si>
  <si>
    <t>Publication de EcoloSophie</t>
  </si>
  <si>
    <t>https://www.facebook.com/ecolosophie/posts/toujours-int%C3%A9ressant-de-savoir-l%C3%A9quivalence-entre-cuit-et-cru/2819013355067283/</t>
  </si>
  <si>
    <t>eau froide</t>
  </si>
  <si>
    <t>1½ c. s.</t>
  </si>
  <si>
    <t>25 ml</t>
  </si>
  <si>
    <t>Équivalences Cru/Cuit</t>
  </si>
  <si>
    <t>https://fatsecretfrance.fr/astuces-et-conseils/equivalences-cru-cuit/</t>
  </si>
  <si>
    <t>eau tiède</t>
  </si>
  <si>
    <t>1/3 tasse</t>
  </si>
  <si>
    <t>% pertes viande</t>
  </si>
  <si>
    <t>http://dieteticienne.over-blog.com/article-pourcentage-de-dechets-des-viandes-97921565.html?utm_source=chatgpt.com</t>
  </si>
  <si>
    <t>L'alimentation durable à Bruxelles</t>
  </si>
  <si>
    <t>https://environnement.brussels/citoyen/outils-et-donnees/sites-web-et-outils/lalimentation-durable-bruxelles</t>
  </si>
  <si>
    <t>extrait de vanille</t>
  </si>
  <si>
    <t>Modification du critère  (grammages de viande)</t>
  </si>
  <si>
    <t>https://goodfood.brussels/fr/news/modification-du-critere-de-lassiette-equilibree-grammages-de-viande-du-label-cantine-good-food?domain=cit</t>
  </si>
  <si>
    <t xml:space="preserve">un Vade-mecum Cantine Good Food </t>
  </si>
  <si>
    <t>https://goodfood.brussels/sites/default/files/inline-files/Vademecum%20cantines%20FR%20-%2020240828.pdf</t>
  </si>
  <si>
    <t>farine de blé entier</t>
  </si>
  <si>
    <t>½ tasse</t>
  </si>
  <si>
    <t>Vos portions dans le creux de la main</t>
  </si>
  <si>
    <t xml:space="preserve">Le Guide alimentaire canadien recommande que nous mangions chaque jour un certain nombre </t>
  </si>
  <si>
    <t>farine tous usages</t>
  </si>
  <si>
    <t xml:space="preserve">½ tasse </t>
  </si>
  <si>
    <t>de portions d’aliments appartenant aux quatre groupes alimentaires. Mais qu’est-ce qu’une portion?</t>
  </si>
  <si>
    <t>Les portions recommandées par Le Guide alimentaire canadien sont appelées « portions du Guide alimentaire ».</t>
  </si>
  <si>
    <t xml:space="preserve"> Elles sont de taille différente des portions que nous mangeons en réalité. </t>
  </si>
  <si>
    <t>fécule de maïs</t>
  </si>
  <si>
    <t>Une portion réelle d’un aliment peut être égale à une portion du Guide alimentaire ou plus.</t>
  </si>
  <si>
    <t>flocons d’avoine</t>
  </si>
  <si>
    <t>Votre main est très utile pour comprendre ce que représente une portion du Guide alimentaire.</t>
  </si>
  <si>
    <t>fromage cottage</t>
  </si>
  <si>
    <t>fromage rapé</t>
  </si>
  <si>
    <t>Fruits ou légumes</t>
  </si>
  <si>
    <t>environ 6 à 8 pommes moyennes ou 10 à 12 petites tomates.</t>
  </si>
  <si>
    <t>gingembre (optionnel), haché fin</t>
  </si>
  <si>
    <t>haricots communs rincés</t>
  </si>
  <si>
    <t>28 oz</t>
  </si>
  <si>
    <t>796 ml</t>
  </si>
  <si>
    <t>haricots communs, rincés</t>
  </si>
  <si>
    <t>19 oz (conserve)</t>
  </si>
  <si>
    <t>540 ml</t>
  </si>
  <si>
    <t>14 oz</t>
  </si>
  <si>
    <t>398 ml</t>
  </si>
  <si>
    <t>haricots jaunes, rincés</t>
  </si>
  <si>
    <t>¾ tasse</t>
  </si>
  <si>
    <t>haricots verts congelés</t>
  </si>
  <si>
    <t>huile de canola</t>
  </si>
  <si>
    <t>1½ c. t.</t>
  </si>
  <si>
    <t>7 ml</t>
  </si>
  <si>
    <t>2c.s.</t>
  </si>
  <si>
    <t>1/8 tasse</t>
  </si>
  <si>
    <t>40 ml</t>
  </si>
  <si>
    <t>ketchup</t>
  </si>
  <si>
    <t>lait</t>
  </si>
  <si>
    <t>3 c. s.</t>
  </si>
  <si>
    <t>45 ml</t>
  </si>
  <si>
    <t>lait ou eau</t>
  </si>
  <si>
    <t>liquide (choisir parmi l’eau, le jus de tomate, le bouillon de légumes ou le lait)</t>
  </si>
  <si>
    <t>margarine molle non-hydrogénée</t>
  </si>
  <si>
    <t>2 c. t.</t>
  </si>
  <si>
    <t>10 m</t>
  </si>
  <si>
    <t>mélasse</t>
  </si>
  <si>
    <t>mozarella en lanières</t>
  </si>
  <si>
    <t>125 ml 65g</t>
  </si>
  <si>
    <t>noix de muscade</t>
  </si>
  <si>
    <t>nouilles de blé entier non cuites (n’importe quelle sorte)</t>
  </si>
  <si>
    <t>1 L</t>
  </si>
  <si>
    <t>nouilles de blé entier, non cuites petits pois congelés</t>
  </si>
  <si>
    <t>oignon, haché</t>
  </si>
  <si>
    <t>origan séché</t>
  </si>
  <si>
    <t>persil séché</t>
  </si>
  <si>
    <t>1 c.s.</t>
  </si>
  <si>
    <t>pois cassés secs</t>
  </si>
  <si>
    <t>pois chiches, rincés</t>
  </si>
  <si>
    <t>poivre moulu</t>
  </si>
  <si>
    <t>1 /4 c.t.</t>
  </si>
  <si>
    <t>poudre à pâte</t>
  </si>
  <si>
    <t>10 ml</t>
  </si>
  <si>
    <t>poulet cuit</t>
  </si>
  <si>
    <t>purée de tomate</t>
  </si>
  <si>
    <t>raisins secs</t>
  </si>
  <si>
    <t>salsa</t>
  </si>
  <si>
    <t>sauce au soja</t>
  </si>
  <si>
    <t>sauce tomate</t>
  </si>
  <si>
    <t>sauce Worcestershire</t>
  </si>
  <si>
    <t>saumon en conserve</t>
  </si>
  <si>
    <t>1/2 c.t.</t>
  </si>
  <si>
    <t>son de blé</t>
  </si>
  <si>
    <t>soupe à la crème de champignon</t>
  </si>
  <si>
    <t>½ boîte de 10,5 oz</t>
  </si>
  <si>
    <t>142 ml</t>
  </si>
  <si>
    <t>sucre</t>
  </si>
  <si>
    <t>sucre blanc</t>
  </si>
  <si>
    <t>3/4 tasse</t>
  </si>
  <si>
    <t>sucre brun</t>
  </si>
  <si>
    <t>thon</t>
  </si>
  <si>
    <t>1-6 oz</t>
  </si>
  <si>
    <t>170 g</t>
  </si>
  <si>
    <t>thon en conserve</t>
  </si>
  <si>
    <t>thym</t>
  </si>
  <si>
    <t>thym séché</t>
  </si>
  <si>
    <t>tomate en conserve</t>
  </si>
  <si>
    <t>1 1/2 tasses</t>
  </si>
  <si>
    <t>375 ml</t>
  </si>
  <si>
    <t>tomates en conserve</t>
  </si>
  <si>
    <t>Viande ou poisson</t>
  </si>
  <si>
    <t>environ 907 g</t>
  </si>
  <si>
    <t>Table de correspondance courante :</t>
  </si>
  <si>
    <t xml:space="preserve">Mesure canadienne </t>
  </si>
  <si>
    <t xml:space="preserve">Beurre (g) </t>
  </si>
  <si>
    <t>227 g</t>
  </si>
  <si>
    <t>Beurre (g)</t>
  </si>
  <si>
    <t xml:space="preserve"> 1/2 tasse</t>
  </si>
  <si>
    <t>113 g</t>
  </si>
  <si>
    <t>57 g</t>
  </si>
  <si>
    <t>Farine (g)</t>
  </si>
  <si>
    <t xml:space="preserve">Farine (g)) </t>
  </si>
  <si>
    <t>1 c. à soupe</t>
  </si>
  <si>
    <t xml:space="preserve">Farine (g) </t>
  </si>
  <si>
    <t>1 c. à thé</t>
  </si>
  <si>
    <t xml:space="preserve">Liquides (ml) </t>
  </si>
  <si>
    <t>240 ml</t>
  </si>
  <si>
    <t>120 ml</t>
  </si>
  <si>
    <t>Sucre (g)</t>
  </si>
  <si>
    <t>14 g</t>
  </si>
  <si>
    <t>Transmission des savoirs faire</t>
  </si>
  <si>
    <t>🇬🇧 Passing on Know-How</t>
  </si>
  <si>
    <t>🇪🇸 Transmisión del Saber Hacer</t>
  </si>
  <si>
    <t>Madame..Monsieur….Bonjour</t>
  </si>
  <si>
    <t>Dear Sir or Madam,</t>
  </si>
  <si>
    <t>Señora, Señor:</t>
  </si>
  <si>
    <t>Sur ce site, vous trouverez des exemples d’utilitaires issus de l’UPRT, fondés sur l’expérience et les savoir-faire de la restauration collective,</t>
  </si>
  <si>
    <t xml:space="preserve">On this site, you’ll find a selection of tools from UPRT, based on the experience and expertise of collective </t>
  </si>
  <si>
    <t>En este sitio encontrará ejemplos de herramientas procedentes del UPRT, basadas en la experiencia y los conocimientos de la restauración colectiva,</t>
  </si>
  <si>
    <t>et adaptables à la restauration commerciale.</t>
  </si>
  <si>
    <t>catering professionals, and adaptable to commercial food service.</t>
  </si>
  <si>
    <t xml:space="preserve"> y adaptables a la restauración comercial.</t>
  </si>
  <si>
    <t>L’objectif de ces documents est bien sûr de pouvoir les utiliser, mais surtout de nourrir la réflexion grâce à des exemples concrets</t>
  </si>
  <si>
    <t xml:space="preserve">The purpose of these documents is, of course, to be used — but more importantly, to encourage critical thinking through practical examples, </t>
  </si>
  <si>
    <t>El objetivo de estos documentos no es solo que se utilicen, sino también alimentar la reflexión mediante ejemplos concretos</t>
  </si>
  <si>
    <t>et de développer la capacité à penser, analyser et maîtriser ce que l’on fait.</t>
  </si>
  <si>
    <t>and to help develop the ability to think, analyze, and truly understand what we do.</t>
  </si>
  <si>
    <t>, y fomentar la capacidad de pensar, analizar y dominar lo que se hace.</t>
  </si>
  <si>
    <t>Un jeune en formation (CFA, lycée hôtelier, etc.) ou un professionnel en activité n’a pas toujours le temps d’apprendre les bases d’un tableur s’il n’a pas été initié.</t>
  </si>
  <si>
    <t>A young person in training (CFA, hospitality school, etc.) or an active professional often lacks time to learn spreadsheet basics if they haven't been introduced to them before.</t>
  </si>
  <si>
    <t>Un joven en formación (CFA, escuela de hostelería, etc.) o un profesional en activo no siempre tiene tiempo para aprender los fundamentos de una hoja de cálculo si nunca se le ha enseñado.</t>
  </si>
  <si>
    <t>En revanche, en partant de modèles existants, il peut progressivement apprendre à découper, coller, mettre en forme, utiliser formules et fonctions.</t>
  </si>
  <si>
    <t>However, starting from ready-made templates, they can gradually learn to break things down, copy, format, and use formulas and functions.</t>
  </si>
  <si>
    <t>Sin embargo, a partir de modelos ya hechos, puede aprender poco a poco a estructurar, copiar, dar formato y utilizar fórmulas y funciones.</t>
  </si>
  <si>
    <t>C’est pourquoi j’invite l’internaute à télécharger sur son disque dur les documents disponibles sur ce site,</t>
  </si>
  <si>
    <t xml:space="preserve">That’s why I encourage visitors to download these materials onto their hard drive, </t>
  </si>
  <si>
    <t xml:space="preserve">Por eso animo a los usuarios a descargar estos documentos en su disco duro, para crearse una “webteca” o biblioteca personal, </t>
  </si>
  <si>
    <t>afin de se constituer une “webthèque” ou “nethèque” personnelle, à consulter et exploiter au moment opportun.</t>
  </si>
  <si>
    <t>to build their own “web library” — a personal resource they can consult and use when the time is right.</t>
  </si>
  <si>
    <t>que puedan consultar y aprovechar cuando lo necesiten.</t>
  </si>
  <si>
    <t>Transmettre ses savoir-faire, c’est une façon d’honorer celles et ceux qui nous ont formés et accompagnés dans notre parcours professionnel..</t>
  </si>
  <si>
    <t>Passing on your know-how is a way of honoring those who trained and guided us throughout our professional journey.</t>
  </si>
  <si>
    <t>Transmitir el saber hacer es una forma de honrar a quienes nos formaron y acompañaron en nuestro camino profesional.</t>
  </si>
  <si>
    <t>Sincères salutations Joël Leboucher 21/10/2025</t>
  </si>
  <si>
    <t>Best regards,Joël Leboucher — October 21, 2025</t>
  </si>
  <si>
    <t>Atentamente,Joël Leboucher — 21 de octubre de 2025</t>
  </si>
  <si>
    <t>Everything  un utilitaire de recherche gratuit pour indexer et rechercher vos fichiers</t>
  </si>
  <si>
    <t>https://everything.fr.softonic.com/</t>
  </si>
  <si>
    <t>Pour faire court voici quelques petits exemples</t>
  </si>
  <si>
    <t>sur cette page vous avez déjà des formules à récupérer et des liens à visiter</t>
  </si>
  <si>
    <t>Utilitaires à copier dans vos documents puis ajustez la largeur des colonnes comme indiqué dans les cellules de couleur en bas de chaque tableau</t>
  </si>
  <si>
    <t>les cellules grises vous indiquent la largeur des colonnes sur votre document et les corrections à apporter</t>
  </si>
  <si>
    <t>la première colonne de chaque tableau n'a pas de cellule grise volontairement. Cette colonne est fusionnée pour vous faciliter la sélection du tableau - Largeur par défaut 3</t>
  </si>
  <si>
    <t>Pourquoi une cellule ICI &gt; pour sélectionner le tableau en se déportant vers la droite et vous pouvez le coller dans une autre feuille</t>
  </si>
  <si>
    <t>Quelques liens hypertexte internes exemple de formules</t>
  </si>
  <si>
    <t>Pour modifier une formule &gt; dans la barre de formule supprimez le =</t>
  </si>
  <si>
    <t>la formule devient texte et se modifie comme du texte</t>
  </si>
  <si>
    <t>Un lien Hypertexte commence toujours par :    LIEN_HYPERTEXTE("#" c25 par exemple</t>
  </si>
  <si>
    <t xml:space="preserve">lorsque vous avez fini remettez un = devant positionnez vous à la fin de la formule </t>
  </si>
  <si>
    <t>Mettre seulement le dièse "#" entre 2 guillemets pour ne pas figer la cellule de destination</t>
  </si>
  <si>
    <t>et appuyez sur Entrée</t>
  </si>
  <si>
    <t>les mises à jours seront automatiques lorsque vous collerez votre tableau dans une autre feuille</t>
  </si>
  <si>
    <t>Vous avez une autre option pour figer la formule &gt; saisissez un ' apostrophe devant =</t>
  </si>
  <si>
    <t>vous obtenez le même résultat  MAIS cet ' est plus difficile à identifier en cas d'erreur</t>
  </si>
  <si>
    <t>Exemples de formules nomades vous indiquez une bonne fois pour toutes l'emplacement de la cellule de destination</t>
  </si>
  <si>
    <t xml:space="preserve">Combiner les Prénoms et Noms </t>
  </si>
  <si>
    <t>A vous d'imaginer d'autres utilisations possibles</t>
  </si>
  <si>
    <t>Affichage</t>
  </si>
  <si>
    <t>Détail de la formule saisie</t>
  </si>
  <si>
    <t>Prénom</t>
  </si>
  <si>
    <t>Nom</t>
  </si>
  <si>
    <t>Combinaison</t>
  </si>
  <si>
    <t>Formules utilisées pour afficher ces résultats</t>
  </si>
  <si>
    <t>Robert</t>
  </si>
  <si>
    <t>Spière</t>
  </si>
  <si>
    <t>Guillaume</t>
  </si>
  <si>
    <t>Tell</t>
  </si>
  <si>
    <t>Prénom et Nom</t>
  </si>
  <si>
    <t>Extraire les Noms et Prénoms</t>
  </si>
  <si>
    <t>Guillaume Tell</t>
  </si>
  <si>
    <t>FORMULETEXTE(O42)</t>
  </si>
  <si>
    <t>Guillaume,Tell</t>
  </si>
  <si>
    <t>indiquez entre les guillemets " , "que vous voulez supprimer la virgule de séparation</t>
  </si>
  <si>
    <t>Séparer Nom et Prénom et en faire une adresse mail</t>
  </si>
  <si>
    <t>https://www.youtube.com/watch?v=2TmdhLLUsOQ</t>
  </si>
  <si>
    <t>Largeurs de colonnes figées pour mémoire  et  Largeurs de colonnes formule pourquoi ?</t>
  </si>
  <si>
    <t xml:space="preserve">Lorsque vous Copiez/Collez un document dans une nouvelle feuille </t>
  </si>
  <si>
    <t>vous n'obtenez pas toujours le même écartement de colonnes pour la taille de police.</t>
  </si>
  <si>
    <t>les formules vous indiquent les nouvelles largeurs et les largeurs figées les corrections à apporter</t>
  </si>
  <si>
    <t>Excel n'aime pas les cellules vides j'ai donc saisi des valeurs 1 dans certaines cellules</t>
  </si>
  <si>
    <t>&lt;Largeurs de colonnes figées pour mémoire</t>
  </si>
  <si>
    <t xml:space="preserve">Pour toutes ces formules remplacez </t>
  </si>
  <si>
    <t>par votre N° de Ligne et de Colonne</t>
  </si>
  <si>
    <t>&lt;Largeurs de colonnes formule</t>
  </si>
  <si>
    <t>l'avantage de ne pas mettre le nom de la cellule entre guillemets c'est qu'elle se mettra automatiquement à jour lorsque vous copierez votre tableau ailleurs</t>
  </si>
  <si>
    <t>Formats de cellules nombres personnalisées</t>
  </si>
  <si>
    <t>UNICAR(128269)</t>
  </si>
  <si>
    <t>Tableau de bord des ventes et de gestion des stocks</t>
  </si>
  <si>
    <t>https://www.youtube.com/watch?v=BEAwIv4fIw4</t>
  </si>
  <si>
    <t>dans les 3 formules suivantes</t>
  </si>
  <si>
    <t># ##0" gr"</t>
  </si>
  <si>
    <t>Lien incrémenté ne se met pas à jour dans un autre emplacement</t>
  </si>
  <si>
    <t># ##0.000" kg"</t>
  </si>
  <si>
    <t>Extraire du texte d'une chaine de caractères</t>
  </si>
  <si>
    <t>formule plus simple MAIS si vous déplacez votre tableau vous devez à chaque fois modifier l'adresse ("# c131";</t>
  </si>
  <si>
    <t>de # ##0.000" kg"</t>
  </si>
  <si>
    <t>Collez votre texte &gt;</t>
  </si>
  <si>
    <t>qtzt-45221-kiu</t>
  </si>
  <si>
    <t>de 0.00" Kg"</t>
  </si>
  <si>
    <t>position du premier caractère à extraire</t>
  </si>
  <si>
    <t>0.000K\g</t>
  </si>
  <si>
    <t>nombre de caractères à extraire</t>
  </si>
  <si>
    <t>Poids portion 0.000" Kg"</t>
  </si>
  <si>
    <t># ##0" cl"</t>
  </si>
  <si>
    <t>0.00 " cm³"</t>
  </si>
  <si>
    <t>Vous pouvez extraire ce que vous voulez d'une phrase des nombre un prénom etc</t>
  </si>
  <si>
    <t>0.000 " dm³"</t>
  </si>
  <si>
    <t>0.000" L"</t>
  </si>
  <si>
    <t>Vous pouvez mettre des émotocones dans vos formules entre deux guillemets "   "</t>
  </si>
  <si>
    <t>0" lignes"</t>
  </si>
  <si>
    <t>"🚲 "   " 🤓 "   " ✔ "   " 🆗 "</t>
  </si>
  <si>
    <t>0" jours"</t>
  </si>
  <si>
    <t>0" H"</t>
  </si>
  <si>
    <t>➕  ⏮  ➿  ⁉  ⬅  ☺  ✔  ❓  🆗  🌼  🚲  🤓  🔛 🚐  «</t>
  </si>
  <si>
    <t>0" Mx"</t>
  </si>
  <si>
    <t>Voici quelques photos pour aider à estimer les quantités</t>
  </si>
  <si>
    <t>0.0" %"</t>
  </si>
  <si>
    <t>Visuellement, ça représente quoi 100 calories ?</t>
  </si>
  <si>
    <t>🔎#</t>
  </si>
  <si>
    <t>N° 0</t>
  </si>
  <si>
    <t>Col.0</t>
  </si>
  <si>
    <t>Comment taper sur votre clavier d'ordinateur tous les symboles, emoji, signes, icones ?</t>
  </si>
  <si>
    <t>0.0" mm"</t>
  </si>
  <si>
    <t>http://www.symbole-clavier.com/</t>
  </si>
  <si>
    <t>https://www.premiers-clics.fr/cours-informatique/windows-les-fonctionnalites-du-clavier/</t>
  </si>
  <si>
    <t>0.00" cm"</t>
  </si>
  <si>
    <t>Manuel d’utilisation</t>
  </si>
  <si>
    <t>0.00 " cm²"</t>
  </si>
  <si>
    <t>https://bepo.fr/wiki/Manuel</t>
  </si>
  <si>
    <t>https://bepo.fr/wiki/Menu</t>
  </si>
  <si>
    <t>Actif;"Actif";"Inactif"</t>
  </si>
  <si>
    <t>Vrai;"Vrai";"Faux"</t>
  </si>
  <si>
    <t>Liste des fonctions Excel avec une traduction</t>
  </si>
  <si>
    <t>https://fr.excelfunctions.eu/</t>
  </si>
  <si>
    <t>Pour vous détendre un peu  : Convertir un CD en MP3 avec Windows Media Player</t>
  </si>
  <si>
    <t>https://www.premiers-clics.fr/cours-informatique/windows-convertir-un-cd-en-fichiers-mp3/</t>
  </si>
  <si>
    <t>lorsque vous collez ce tableau ailleurs</t>
  </si>
  <si>
    <t>Amusez vous un tableur c'est fait pour ça</t>
  </si>
  <si>
    <t>Pour obtenir un nombre de plaques gastro à utiliser par exemple</t>
  </si>
  <si>
    <t>dans les formules avec loupe n'oubliez pas de modifier les adresses &gt; # k93 &amp;" K93"</t>
  </si>
  <si>
    <t>si vous utilisez un poids cru vous avez une formule</t>
  </si>
  <si>
    <t>❹ Kg cru</t>
  </si>
  <si>
    <t>et si vous utilisez un poids cuit vous en avez une autre</t>
  </si>
  <si>
    <t>❺ Kg cuit</t>
  </si>
  <si>
    <t>Nombre de contenants</t>
  </si>
  <si>
    <t>Produit conditionné</t>
  </si>
  <si>
    <t>contenant(s) a prévoir &gt;</t>
  </si>
  <si>
    <t>Bœuf</t>
  </si>
  <si>
    <t>Sautés en morceaux service au poids</t>
  </si>
  <si>
    <t>❷ Type de Contenant</t>
  </si>
  <si>
    <t xml:space="preserve"> GN 1/ 1 = 3 Kg crus</t>
  </si>
  <si>
    <t>▼  ❹ ou ❺</t>
  </si>
  <si>
    <t>capacité du contenant ❸</t>
  </si>
  <si>
    <t xml:space="preserve"> Grammage  p.p.❼</t>
  </si>
  <si>
    <t>Effectif ❽</t>
  </si>
  <si>
    <t xml:space="preserve">A conditionner </t>
  </si>
  <si>
    <t>Total contenants &gt;</t>
  </si>
  <si>
    <t>1 cont.pour &gt;</t>
  </si>
  <si>
    <t>Saisissez vos valeurs dans les cellules fond de couleur et collez ❹ Kg cru ou  ❺ Kg cuit</t>
  </si>
  <si>
    <t>LÉGENDE</t>
  </si>
  <si>
    <t>❶ FAMILLE et NOM DU PLAT</t>
  </si>
  <si>
    <t xml:space="preserve">❻ %  de PERTE </t>
  </si>
  <si>
    <t>❻ % de BONI &gt;</t>
  </si>
  <si>
    <t>❸ capacité du contenant*</t>
  </si>
  <si>
    <t>❻ Foisonnement</t>
  </si>
  <si>
    <t>❼  Grammage  p.p.</t>
  </si>
  <si>
    <t>❽ Saisissez vos effectifs</t>
  </si>
  <si>
    <t xml:space="preserve">Collez ❹ Kg cru ou ❺ Kg cuit </t>
  </si>
  <si>
    <t>Cellule &gt;</t>
  </si>
  <si>
    <t>CRU moins % Perte = CUIT</t>
  </si>
  <si>
    <t xml:space="preserve">CUIT + % boni = CRU </t>
  </si>
  <si>
    <t>Utilitaire pour le foisionnement en + ou - pour légumes secs et céréales etc…</t>
  </si>
  <si>
    <t>Cliquez sur les ◀</t>
  </si>
  <si>
    <t>cellules</t>
  </si>
  <si>
    <t>Produit conditionné &gt;</t>
  </si>
  <si>
    <t>Féculent</t>
  </si>
  <si>
    <t>Semoule (poids cru)</t>
  </si>
  <si>
    <t>CRU  Multiplié = CUIT</t>
  </si>
  <si>
    <t xml:space="preserve">CUIT Divisé  = CRU </t>
  </si>
  <si>
    <t xml:space="preserve"> GN 1/ 1 = 35 morceaux</t>
  </si>
  <si>
    <t>Service de quoi ? &gt;</t>
  </si>
  <si>
    <t>Morceaux</t>
  </si>
  <si>
    <t>(Morceaux- Tranches ...?)</t>
  </si>
  <si>
    <t>❹ Cru</t>
  </si>
  <si>
    <t>Combien p.p.❼</t>
  </si>
  <si>
    <t>Saisissez vos valeurs dans les cellules fond de couleur et collez ❹ Cu ou  ❺ Cuit</t>
  </si>
  <si>
    <t>❼  Quantité p.p.</t>
  </si>
  <si>
    <t>❺ Cuit</t>
  </si>
  <si>
    <t>Collez ❹ Cru ou ❺ Cuit Cellule &gt;</t>
  </si>
  <si>
    <t>Bricolage "artisanal "   on peut faire plus simple mais c'est "pédagogique"</t>
  </si>
  <si>
    <t xml:space="preserve">Saisissez vos valeurs dans les cellules fond ivoire </t>
  </si>
  <si>
    <t>conversion : volume Centilitres / poids</t>
  </si>
  <si>
    <t>Saisissez vos valeurs dans la cellule fond jaune encre rouge</t>
  </si>
  <si>
    <t>Ce tableau découpe votre texte et l'ajuste à la largeur de votre colonne</t>
  </si>
  <si>
    <t xml:space="preserve">Date de mise à jour : 01 DÉCEMBRE 2025 </t>
  </si>
  <si>
    <t>❷ Ajustez la largeur de cette colonne sur la largeur des phases de progressions</t>
  </si>
  <si>
    <t>Copiez le texte découpé et collez le dans votre fiche - Collage spécial 1.2.3 valeurs pour ne pas coller les formules</t>
  </si>
  <si>
    <t>largeur des PHASES DE PROGRESSION =</t>
  </si>
  <si>
    <t>MODE D'EMPLOI</t>
  </si>
  <si>
    <t>Passez le flambeau. Transmettez vos savoir-faire : les apprenants comprendront plus vite, réussiront mieux et feront progresser vos documents.</t>
  </si>
  <si>
    <t>❸ saisissez un nombre de caractères pour que le texte ne déborde pas de la colonne</t>
  </si>
  <si>
    <t>❹ récupérez le texte découpé et collez le dans votre document collage spécial valeur 1.2.3</t>
  </si>
  <si>
    <t>Pass the torch. Share your know-how: learners will understand faster, succeed better, and improve your documents.</t>
  </si>
  <si>
    <t>Lorsque vous masquez des lignes ou colonnes ou que vous saisssez une nouvelle valeur appuyez sur la touche F9 pour forcer Excel à recalculer</t>
  </si>
  <si>
    <t xml:space="preserve">❸ saisissez un nombre de caractères pour que le texte ne déborde pas de la colonne </t>
  </si>
  <si>
    <t>Pasen la antorcha. Transmitan su saber hacer: los aprendices comprenderán más rápido, tendrán más éxito y mejorarán sus documentos.</t>
  </si>
  <si>
    <t>Combien de caractères souhaitez-vous afficher sur chaque ligne ?  Attention il faut que la police et la taille de police soit identique sur les deux documents</t>
  </si>
  <si>
    <t xml:space="preserve">   (collage spécial VALEURS 1.2.3 )</t>
  </si>
  <si>
    <t>J'INSISTE LES COLLAGES SE FONT TOUJOURS EN COLLAGE SPÉCIAL VALEURS 123 POUR RESPECTER LA POLICE ET LA TAILLE</t>
  </si>
  <si>
    <t>J'INSISTE LES COLLAGES SE FONT TOUJOURS EN COLLAGE SPÉCIAL VALEURS 123 POUR NE PAS COLLER LES FORMULES</t>
  </si>
  <si>
    <t xml:space="preserve">avec une police Calibri taille 12 vous aurez davantage de caractères par lignes à vous de choisir votre police </t>
  </si>
  <si>
    <t xml:space="preserve"> TABLEAU A</t>
  </si>
  <si>
    <t xml:space="preserve"> TABLEAU B </t>
  </si>
  <si>
    <t>❹  RÉCUPÉREZ VOTRE TEXTE découpé et collez le dans votre document collage spécial valeur 1.2.3</t>
  </si>
  <si>
    <t>Élargissez cette colonne au maximum pour la lecture du texte.</t>
  </si>
  <si>
    <t>❹ Copiez le texte de cette colonne pour le coller ensuite sur vos fiches  collage spécial valeur 1.2.3</t>
  </si>
  <si>
    <t>Texte collé</t>
  </si>
  <si>
    <t>"Nettoyage" et découpage du texte dans ces 4 colonnes</t>
  </si>
  <si>
    <t>Nb.car.</t>
  </si>
  <si>
    <t>bœuf bourguignon de grand-mère</t>
  </si>
  <si>
    <t>Portez à ébullition, puis baissez le feu et</t>
  </si>
  <si>
    <t>1. Coupez la viande en cubes d’environ 4 cm et mettez-la dans un grand saladier. Ajoutez-y les oignons coupés en rondelles, les carottes coupées en rondelles, les lardons, l’ail émincé et le bouquet garni. Versez le vin rouge sur le tout et laissez mariner au frais pendant 24 heures.</t>
  </si>
  <si>
    <t>2. Le lendemain, sortez la viande et les légumes de la marinade et égouttez-les. Réservez la marinade.</t>
  </si>
  <si>
    <t>3. Dans une cocotte en fonte, faites chauffer l’huile d’olive à feu moyen. Ajoutez la viande et faites-la dorer de tous les côtés. Retirez-la de la cocotte et réservez-la.</t>
  </si>
  <si>
    <t>4. Dans la même cocotte, faites revenir les légumes et les lardons pendant environ 5 minutes. Saupoudrez de farine et mélangez bien.</t>
  </si>
  <si>
    <t>5. Remettez la viande dans la cocotte et versez la marinade filtrée par-dessus. Ajoutez de l’eau si nécessaire pour recouvrir la viande. Salez et poivrez.</t>
  </si>
  <si>
    <t>6. Portez à ébullition, puis baissez le feu et laissez mijoter à feu doux pendant environ 3 heures, en remuant de temps en temps. La viande doit être tendre et la sauce onctueuse.</t>
  </si>
  <si>
    <t>7. Pendant ce temps, faites revenir les champignons dans une poêle avec un peu d’huile d’olive pendant environ 5 minutes.</t>
  </si>
  <si>
    <t>8. Ajoutez les champignons dans la cocotte environ 30 minutes avant la fin de la cuisson.</t>
  </si>
  <si>
    <t>9. Servez le bœuf bourguignon bien chaud accompagné de pommes de terre, de pâtes ou de riz.</t>
  </si>
  <si>
    <t xml:space="preserve">j'ai utilisé un pc portable pour faire un tableau excel,sur ce pc portable il fallait que je saisisse les décimales avec une , virgule tu m'as donc créé une formule pour tester </t>
  </si>
  <si>
    <t>= SI(ESTNUM(SIERREUR(CNUM("0,5");"")); "OK votre séparateur est bien une VIRGULE"; "ATTENTION votre séparateur est un POINT ; veuillez régler votre séparateur pour le bon fonctionnement des formules");</t>
  </si>
  <si>
    <t>j'ai recopié ce fichier sur mon ordinateur de bureau; l'alerte s'affiche parce que j'utilise le séparateur . du clavier numérique et pourtant les formules fonctionnent.je ne comprend plus rien</t>
  </si>
  <si>
    <t>Tu n’es pas fou, c’est juste Excel + Windows qui font un duo bizarre.</t>
  </si>
  <si>
    <t>On décortique.</t>
  </si>
  <si>
    <t>1. Ta formule de test, ce qu’elle fait vraiment</t>
  </si>
  <si>
    <t>Ta formule :</t>
  </si>
  <si>
    <t>SI(ESTNUM(SIERREUR(CNUM("0,5");""));"OK votre séparateur est bien une VIRGULE";"ATTENTION votre séparateur est un POINT ; veuillez régler votre séparateur pour le bon fonctionnement des formules")</t>
  </si>
  <si>
    <t>CNUM("0,5")</t>
  </si>
  <si>
    <r>
      <t xml:space="preserve">si Excel attend </t>
    </r>
    <r>
      <rPr>
        <b/>
        <sz val="14"/>
        <color theme="1"/>
        <rFont val="Calibri"/>
        <family val="2"/>
        <scheme val="minor"/>
      </rPr>
      <t>la virgule</t>
    </r>
    <r>
      <rPr>
        <sz val="14"/>
        <color theme="1"/>
        <rFont val="Calibri"/>
        <family val="2"/>
        <scheme val="minor"/>
      </rPr>
      <t xml:space="preserve"> → ça donne un nombre (0,5)</t>
    </r>
  </si>
  <si>
    <r>
      <t xml:space="preserve">si Excel attend </t>
    </r>
    <r>
      <rPr>
        <b/>
        <sz val="14"/>
        <color theme="1"/>
        <rFont val="Calibri"/>
        <family val="2"/>
        <scheme val="minor"/>
      </rPr>
      <t>le point</t>
    </r>
    <r>
      <rPr>
        <sz val="14"/>
        <color theme="1"/>
        <rFont val="Calibri"/>
        <family val="2"/>
        <scheme val="minor"/>
      </rPr>
      <t xml:space="preserve"> → ça donne une </t>
    </r>
    <r>
      <rPr>
        <b/>
        <sz val="14"/>
        <color theme="1"/>
        <rFont val="Calibri"/>
        <family val="2"/>
        <scheme val="minor"/>
      </rPr>
      <t>erreur</t>
    </r>
  </si>
  <si>
    <t>SIERREUR(CNUM("0,5");"")</t>
  </si>
  <si>
    <t>si c’est un nombre → renvoie 0,5</t>
  </si>
  <si>
    <r>
      <t xml:space="preserve">si c’est une erreur → renvoie </t>
    </r>
    <r>
      <rPr>
        <sz val="14"/>
        <color theme="1"/>
        <rFont val="Arial Unicode MS"/>
      </rPr>
      <t>""</t>
    </r>
  </si>
  <si>
    <t>ESTNUM(...)</t>
  </si>
  <si>
    <t>VRAI → message “VIRGULE”</t>
  </si>
  <si>
    <t>FAUX → message “POINT”</t>
  </si>
  <si>
    <t>Donc si l’alerte “POINT” s’affiche sur ton PC de bureau, ça veut dire :</t>
  </si>
  <si>
    <r>
      <t xml:space="preserve">👉 Sur CE PC, </t>
    </r>
    <r>
      <rPr>
        <i/>
        <sz val="14"/>
        <color theme="1"/>
        <rFont val="Calibri"/>
        <family val="2"/>
        <scheme val="minor"/>
      </rPr>
      <t>Excel</t>
    </r>
    <r>
      <rPr>
        <sz val="14"/>
        <color theme="1"/>
        <rFont val="Calibri"/>
        <family val="2"/>
        <scheme val="minor"/>
      </rPr>
      <t xml:space="preserve"> considère que </t>
    </r>
    <r>
      <rPr>
        <b/>
        <sz val="14"/>
        <color theme="1"/>
        <rFont val="Calibri"/>
        <family val="2"/>
        <scheme val="minor"/>
      </rPr>
      <t>"0,5" n’est pas un nombre valide</t>
    </r>
    <r>
      <rPr>
        <sz val="14"/>
        <color theme="1"/>
        <rFont val="Calibri"/>
        <family val="2"/>
        <scheme val="minor"/>
      </rPr>
      <t xml:space="preserve"> → il attend </t>
    </r>
    <r>
      <rPr>
        <sz val="14"/>
        <color theme="1"/>
        <rFont val="Arial Unicode MS"/>
      </rPr>
      <t>"0.5"</t>
    </r>
    <r>
      <rPr>
        <sz val="14"/>
        <color theme="1"/>
        <rFont val="Calibri"/>
        <family val="2"/>
        <scheme val="minor"/>
      </rPr>
      <t xml:space="preserve"> (separateur = point), du point de vue de </t>
    </r>
    <r>
      <rPr>
        <b/>
        <sz val="14"/>
        <color theme="1"/>
        <rFont val="Calibri"/>
        <family val="2"/>
        <scheme val="minor"/>
      </rPr>
      <t>CNUM</t>
    </r>
    <r>
      <rPr>
        <sz val="14"/>
        <color theme="1"/>
        <rFont val="Calibri"/>
        <family val="2"/>
        <scheme val="minor"/>
      </rPr>
      <t>.</t>
    </r>
  </si>
  <si>
    <t>2. Pourquoi les formules “fonctionnent quand même” avec le pavé numérique</t>
  </si>
  <si>
    <t>Tu dis :</t>
  </si>
  <si>
    <r>
      <t xml:space="preserve">j’utilise le séparateur </t>
    </r>
    <r>
      <rPr>
        <sz val="14"/>
        <color theme="1"/>
        <rFont val="Arial Unicode MS"/>
      </rPr>
      <t>.</t>
    </r>
    <r>
      <rPr>
        <sz val="14"/>
        <color theme="1"/>
        <rFont val="Calibri"/>
        <family val="2"/>
        <scheme val="minor"/>
      </rPr>
      <t xml:space="preserve"> du clavier numérique et pourtant les formules fonctionnent</t>
    </r>
  </si>
  <si>
    <t>Deux possibilités très fréquentes :</t>
  </si>
  <si>
    <t>1. Le pavé numérique n’envoie pas ce que tu crois</t>
  </si>
  <si>
    <r>
      <t xml:space="preserve">Sur beaucoup de configs FR, la touche </t>
    </r>
    <r>
      <rPr>
        <sz val="14"/>
        <color theme="1"/>
        <rFont val="Arial Unicode MS"/>
      </rPr>
      <t>.</t>
    </r>
    <r>
      <rPr>
        <sz val="14"/>
        <color theme="1"/>
        <rFont val="Calibri"/>
        <family val="2"/>
        <scheme val="minor"/>
      </rPr>
      <t xml:space="preserve"> du pavé numérique tape en réalité </t>
    </r>
    <r>
      <rPr>
        <b/>
        <sz val="14"/>
        <color theme="1"/>
        <rFont val="Arial Unicode MS"/>
      </rPr>
      <t>,</t>
    </r>
    <r>
      <rPr>
        <sz val="14"/>
        <color theme="1"/>
        <rFont val="Calibri"/>
        <family val="2"/>
        <scheme val="minor"/>
      </rPr>
      <t xml:space="preserve"> dans Excel, même si la touche a un point dessiné dessus.</t>
    </r>
  </si>
  <si>
    <t>→ Toi tu vois “.” sur la touche, mais Excel reçoit une virgule → les formules basées sur la virgule continuent de marcher.</t>
  </si>
  <si>
    <t>2. Tes formules n’utilisent pas de nombres “écrits en dur”</t>
  </si>
  <si>
    <r>
      <t xml:space="preserve">Si tes formules sont du type </t>
    </r>
    <r>
      <rPr>
        <sz val="14"/>
        <color theme="1"/>
        <rFont val="Arial Unicode MS"/>
      </rPr>
      <t>=A1*B1</t>
    </r>
    <r>
      <rPr>
        <sz val="14"/>
        <color theme="1"/>
        <rFont val="Calibri"/>
        <family val="2"/>
        <scheme val="minor"/>
      </rPr>
      <t xml:space="preserve"> et que les valeurs sont déjà bien reconnues comme nombres dans les cellules, le séparateur que tu tapes </t>
    </r>
    <r>
      <rPr>
        <i/>
        <sz val="14"/>
        <color theme="1"/>
        <rFont val="Calibri"/>
        <family val="2"/>
        <scheme val="minor"/>
      </rPr>
      <t>dans la barre de formule</t>
    </r>
    <r>
      <rPr>
        <sz val="14"/>
        <color theme="1"/>
        <rFont val="Calibri"/>
        <family val="2"/>
        <scheme val="minor"/>
      </rPr>
      <t xml:space="preserve"> ne joue presque aucun rôle.</t>
    </r>
  </si>
  <si>
    <r>
      <t xml:space="preserve">Le problème n’apparaît que lorsqu’on écrit des nombres </t>
    </r>
    <r>
      <rPr>
        <b/>
        <sz val="14"/>
        <color theme="1"/>
        <rFont val="Calibri"/>
        <family val="2"/>
        <scheme val="minor"/>
      </rPr>
      <t>littéraux</t>
    </r>
    <r>
      <rPr>
        <sz val="14"/>
        <color theme="1"/>
        <rFont val="Calibri"/>
        <family val="2"/>
        <scheme val="minor"/>
      </rPr>
      <t xml:space="preserve"> dans les formules (</t>
    </r>
    <r>
      <rPr>
        <sz val="14"/>
        <color theme="1"/>
        <rFont val="Arial Unicode MS"/>
      </rPr>
      <t>=1,5*B1</t>
    </r>
    <r>
      <rPr>
        <sz val="14"/>
        <color theme="1"/>
        <rFont val="Calibri"/>
        <family val="2"/>
        <scheme val="minor"/>
      </rPr>
      <t xml:space="preserve"> vs </t>
    </r>
    <r>
      <rPr>
        <sz val="14"/>
        <color theme="1"/>
        <rFont val="Arial Unicode MS"/>
      </rPr>
      <t>=1.5*B1</t>
    </r>
    <r>
      <rPr>
        <sz val="14"/>
        <color theme="1"/>
        <rFont val="Calibri"/>
        <family val="2"/>
        <scheme val="minor"/>
      </rPr>
      <t>).</t>
    </r>
  </si>
  <si>
    <t>Donc tu peux très bien avoir :</t>
  </si>
  <si>
    <t>Excel configuré en “séparateur = virgule”</t>
  </si>
  <si>
    <t>le pavé numérique qui te met directement une virgule</t>
  </si>
  <si>
    <t>ta formule de test qui est mal calibrée ou qui ne teste pas ce que tu crois réellement.</t>
  </si>
  <si>
    <t>1 – Titre &amp; explication générale</t>
  </si>
  <si>
    <t>AIDE – Compatibilité Excel &amp; réglages</t>
  </si>
  <si>
    <t>Ce fichier utilise des fonctions récentes d’Excel : LET et RECHERCHEX.</t>
  </si>
  <si>
    <t>Ces fonctions ne sont disponibles que dans Excel 365 et Excel 2021 (ou versions plus récentes).</t>
  </si>
  <si>
    <t>Si votre version d’Excel est trop ancienne, certaines cellules afficheront l’erreur #NOM? à la place d’un résultat.</t>
  </si>
  <si>
    <t>Utilisez les tests ci-dessous pour vérifier la compatibilité de votre Excel avec ce fichier.</t>
  </si>
  <si>
    <t>2. Test LET + RECHERCHEX</t>
  </si>
  <si>
    <t>🔎 Test des fonctions LET et RECHERCHEX</t>
  </si>
  <si>
    <t>Si votre Excel reconnaît ces fonctions, ce fichier fonctionnera normalement.</t>
  </si>
  <si>
    <t>Si votre Excel ne les reconnaît pas, des erreurs #NOM? apparaîtront et certaines formules devront être adaptées.</t>
  </si>
  <si>
    <t>3. ⚙ Test du séparateur décimal (virgule ou point)</t>
  </si>
  <si>
    <t>J’ai utilisé le point comme séparateur décimal.</t>
  </si>
  <si>
    <t>Si Excel attend un POINT, saisissez vos nombres comme 1.5</t>
  </si>
  <si>
    <t xml:space="preserve">📌 Variante :  </t>
  </si>
  <si>
    <t>1️⃣ Test : la touche décimale du pavé numérique envoie « . » ou « , » ?</t>
  </si>
  <si>
    <t xml:space="preserve">Dans une autre cellule, tapez la formule : `=1/2`  </t>
  </si>
  <si>
    <t>"1 ◄ Cliquez dans la cellule "&amp;ADRESSE(LIGNE(B70);COLONNE(B70);4)</t>
  </si>
  <si>
    <t>2 ▲ Appuyez une seule fois sur la touche décimale de votre pavé numérique, puis validez (Entrée).</t>
  </si>
  <si>
    <t>En cas de problème</t>
  </si>
  <si>
    <r>
      <t xml:space="preserve">Si tout est “bizarre” après la modification, vous pouvez revenir dans </t>
    </r>
    <r>
      <rPr>
        <b/>
        <sz val="14"/>
        <color theme="1"/>
        <rFont val="Calibri"/>
        <family val="2"/>
        <scheme val="minor"/>
      </rPr>
      <t>Fichier → Options → Options avancées</t>
    </r>
    <r>
      <rPr>
        <sz val="14"/>
        <color theme="1"/>
        <rFont val="Calibri"/>
        <family val="2"/>
        <scheme val="minor"/>
      </rPr>
      <t xml:space="preserve"> et réactiver </t>
    </r>
    <r>
      <rPr>
        <b/>
        <sz val="14"/>
        <color theme="1"/>
        <rFont val="Calibri"/>
        <family val="2"/>
        <scheme val="minor"/>
      </rPr>
      <t>Utiliser les séparateurs système</t>
    </r>
    <r>
      <rPr>
        <sz val="14"/>
        <color theme="1"/>
        <rFont val="Calibri"/>
        <family val="2"/>
        <scheme val="minor"/>
      </rPr>
      <t xml:space="preserve">, </t>
    </r>
  </si>
  <si>
    <t>ou redemander de l’aide à la personne qui vous a fourni ce fichier.</t>
  </si>
  <si>
    <t>2️⃣ Procédure : changer le séparateur décimal dans Excel (mettre un POINT)</t>
  </si>
  <si>
    <t>Changer le séparateur décimal dans Excel</t>
  </si>
  <si>
    <t>(passer de la VIRGULE au POINT)</t>
  </si>
  <si>
    <r>
      <t xml:space="preserve">(par exemple : </t>
    </r>
    <r>
      <rPr>
        <sz val="14"/>
        <color theme="1"/>
        <rFont val="Arial Unicode MS"/>
      </rPr>
      <t>1.5</t>
    </r>
    <r>
      <rPr>
        <sz val="14"/>
        <color theme="1"/>
        <rFont val="Calibri"/>
        <family val="2"/>
        <scheme val="minor"/>
      </rPr>
      <t xml:space="preserve"> pour “un virgule cinq”).</t>
    </r>
  </si>
  <si>
    <r>
      <t xml:space="preserve">Si votre clavier ou Excel utilise la </t>
    </r>
    <r>
      <rPr>
        <b/>
        <sz val="14"/>
        <color theme="1"/>
        <rFont val="Calibri"/>
        <family val="2"/>
        <scheme val="minor"/>
      </rPr>
      <t>VIRGULE « , »</t>
    </r>
    <r>
      <rPr>
        <sz val="14"/>
        <color theme="1"/>
        <rFont val="Calibri"/>
        <family val="2"/>
        <scheme val="minor"/>
      </rPr>
      <t>, vous risquez d’obtenir des erreurs</t>
    </r>
  </si>
  <si>
    <t>(#NOM?, #VALEUR?) ou des résultats incorrects lorsque vous saisissez des nombres.</t>
  </si>
  <si>
    <t>Suivez calmement les étapes ci-dessous.</t>
  </si>
  <si>
    <t>2️⃣</t>
  </si>
  <si>
    <t>Étape 1 – Ouvrir les options d’Excel</t>
  </si>
  <si>
    <r>
      <t xml:space="preserve">1. Ouvrez </t>
    </r>
    <r>
      <rPr>
        <b/>
        <sz val="14"/>
        <color theme="1"/>
        <rFont val="Calibri"/>
        <family val="2"/>
        <scheme val="minor"/>
      </rPr>
      <t>Excel</t>
    </r>
    <r>
      <rPr>
        <sz val="14"/>
        <color theme="1"/>
        <rFont val="Calibri"/>
        <family val="2"/>
        <scheme val="minor"/>
      </rPr>
      <t xml:space="preserve"> et ce fichier.</t>
    </r>
  </si>
  <si>
    <r>
      <t xml:space="preserve">2. En haut à gauche, cliquez sur le menu </t>
    </r>
    <r>
      <rPr>
        <b/>
        <sz val="14"/>
        <color theme="1"/>
        <rFont val="Calibri"/>
        <family val="2"/>
        <scheme val="minor"/>
      </rPr>
      <t>Fichier</t>
    </r>
    <r>
      <rPr>
        <sz val="14"/>
        <color theme="1"/>
        <rFont val="Calibri"/>
        <family val="2"/>
        <scheme val="minor"/>
      </rPr>
      <t>.</t>
    </r>
  </si>
  <si>
    <r>
      <t xml:space="preserve">3. Dans la colonne de gauche, cliquez en bas sur </t>
    </r>
    <r>
      <rPr>
        <b/>
        <sz val="14"/>
        <color theme="1"/>
        <rFont val="Calibri"/>
        <family val="2"/>
        <scheme val="minor"/>
      </rPr>
      <t>Options</t>
    </r>
    <r>
      <rPr>
        <sz val="14"/>
        <color theme="1"/>
        <rFont val="Calibri"/>
        <family val="2"/>
        <scheme val="minor"/>
      </rPr>
      <t>.</t>
    </r>
  </si>
  <si>
    <r>
      <t xml:space="preserve">Une fenêtre </t>
    </r>
    <r>
      <rPr>
        <b/>
        <sz val="14"/>
        <color theme="1"/>
        <rFont val="Calibri"/>
        <family val="2"/>
        <scheme val="minor"/>
      </rPr>
      <t>Options Excel</t>
    </r>
    <r>
      <rPr>
        <sz val="14"/>
        <color theme="1"/>
        <rFont val="Calibri"/>
        <family val="2"/>
        <scheme val="minor"/>
      </rPr>
      <t xml:space="preserve"> s’ouvre.</t>
    </r>
  </si>
  <si>
    <t>Étape 2 – Modifier le séparateur décimal</t>
  </si>
  <si>
    <r>
      <t xml:space="preserve">1. Dans la fenêtre </t>
    </r>
    <r>
      <rPr>
        <b/>
        <sz val="14"/>
        <color theme="1"/>
        <rFont val="Calibri"/>
        <family val="2"/>
        <scheme val="minor"/>
      </rPr>
      <t>Options Excel</t>
    </r>
    <r>
      <rPr>
        <sz val="14"/>
        <color theme="1"/>
        <rFont val="Calibri"/>
        <family val="2"/>
        <scheme val="minor"/>
      </rPr>
      <t xml:space="preserve">, cliquez à gauche sur </t>
    </r>
    <r>
      <rPr>
        <b/>
        <sz val="14"/>
        <color theme="1"/>
        <rFont val="Calibri"/>
        <family val="2"/>
        <scheme val="minor"/>
      </rPr>
      <t>Options avancées</t>
    </r>
    <r>
      <rPr>
        <sz val="14"/>
        <color theme="1"/>
        <rFont val="Calibri"/>
        <family val="2"/>
        <scheme val="minor"/>
      </rPr>
      <t>.</t>
    </r>
  </si>
  <si>
    <r>
      <t xml:space="preserve">2. Faites défiler vers le bas jusqu’à la section </t>
    </r>
    <r>
      <rPr>
        <b/>
        <sz val="14"/>
        <color theme="1"/>
        <rFont val="Calibri"/>
        <family val="2"/>
        <scheme val="minor"/>
      </rPr>
      <t>Options d’édition</t>
    </r>
    <r>
      <rPr>
        <sz val="14"/>
        <color theme="1"/>
        <rFont val="Calibri"/>
        <family val="2"/>
        <scheme val="minor"/>
      </rPr>
      <t>.</t>
    </r>
  </si>
  <si>
    <r>
      <t xml:space="preserve">3. Repérez la ligne </t>
    </r>
    <r>
      <rPr>
        <b/>
        <sz val="14"/>
        <color theme="1"/>
        <rFont val="Calibri"/>
        <family val="2"/>
        <scheme val="minor"/>
      </rPr>
      <t>Utiliser les séparateurs système</t>
    </r>
    <r>
      <rPr>
        <sz val="14"/>
        <color theme="1"/>
        <rFont val="Calibri"/>
        <family val="2"/>
        <scheme val="minor"/>
      </rPr>
      <t xml:space="preserve"> :</t>
    </r>
  </si>
  <si>
    <t>Décochez cette case.</t>
  </si>
  <si>
    <t>Juste en dessous, modifiez les réglages :</t>
  </si>
  <si>
    <r>
      <t xml:space="preserve">Séparateur décimal : tapez un </t>
    </r>
    <r>
      <rPr>
        <b/>
        <sz val="14"/>
        <color theme="1"/>
        <rFont val="Calibri"/>
        <family val="2"/>
        <scheme val="minor"/>
      </rPr>
      <t>POINT « . »</t>
    </r>
  </si>
  <si>
    <t>Séparateur de milliers : laissez vide, un espace ou ce que vous utilisez habituellement.</t>
  </si>
  <si>
    <r>
      <t xml:space="preserve">Cliquez sur </t>
    </r>
    <r>
      <rPr>
        <b/>
        <sz val="11"/>
        <color theme="1"/>
        <rFont val="Calibri"/>
        <family val="2"/>
        <scheme val="minor"/>
      </rPr>
      <t>OK</t>
    </r>
    <r>
      <rPr>
        <sz val="11"/>
        <color theme="1"/>
        <rFont val="Calibri"/>
        <family val="2"/>
        <scheme val="minor"/>
      </rPr>
      <t xml:space="preserve"> pour valider.</t>
    </r>
  </si>
  <si>
    <t>3️⃣  Vérifier que tout fonctionne</t>
  </si>
  <si>
    <r>
      <t xml:space="preserve">1. Dans une cellule vide, tapez la formule : </t>
    </r>
    <r>
      <rPr>
        <sz val="14"/>
        <color theme="1"/>
        <rFont val="Arial Unicode MS"/>
      </rPr>
      <t>=1/2</t>
    </r>
  </si>
  <si>
    <t>2. Regardez le résultat :</t>
  </si>
  <si>
    <t>Test 1/2</t>
  </si>
  <si>
    <t xml:space="preserve">Si le résultat est **0,5** ➜ séparateur décimal = virgule  </t>
  </si>
  <si>
    <t xml:space="preserve"> Si le résultat est **0.5** ➜  le POINT « . » est bien utilisé comme séparateur décimal.</t>
  </si>
  <si>
    <r>
      <t xml:space="preserve">Vous pouvez maintenant saisir vos nombres avec un POINT (ex : </t>
    </r>
    <r>
      <rPr>
        <sz val="10"/>
        <color theme="1"/>
        <rFont val="Arial Unicode MS"/>
      </rPr>
      <t>1.5</t>
    </r>
    <r>
      <rPr>
        <sz val="11"/>
        <color theme="1"/>
        <rFont val="Calibri"/>
        <family val="2"/>
        <scheme val="minor"/>
      </rPr>
      <t>) et les formules de ce fichier fonctionneront correctement.</t>
    </r>
  </si>
  <si>
    <t>Cliquez sur la cellule, appuyez sur F2, puis sur Entrée pour relancer le calcul.</t>
  </si>
  <si>
    <t>Ou appuyez sur F9 pour recalculer tout le classeur.</t>
  </si>
  <si>
    <t>4. Version interne d’Excel</t>
  </si>
  <si>
    <t>Cette information est indicative et ne permet pas de distinguer clairement Excel 2016 / 2019 / 2021 / 365.</t>
  </si>
  <si>
    <t>Pour connaître précisément votre édition (365, 2021…), consultez : Fichier → Compte → Informations sur le produit.</t>
  </si>
  <si>
    <t>5. Rappel pour l’utilisateur en cas de #NOM?</t>
  </si>
  <si>
    <t>Comment changer le séparateur décimal dans Excel</t>
  </si>
  <si>
    <t>(passer à l’usage du POINT « . »)</t>
  </si>
  <si>
    <r>
      <t xml:space="preserve">Ce fichier a été créé avec le </t>
    </r>
    <r>
      <rPr>
        <b/>
        <sz val="14"/>
        <color theme="1"/>
        <rFont val="Calibri"/>
        <family val="2"/>
        <scheme val="minor"/>
      </rPr>
      <t>POINT « . »</t>
    </r>
    <r>
      <rPr>
        <sz val="14"/>
        <color theme="1"/>
        <rFont val="Calibri"/>
        <family val="2"/>
        <scheme val="minor"/>
      </rPr>
      <t xml:space="preserve"> comme séparateur décimal</t>
    </r>
  </si>
  <si>
    <r>
      <t xml:space="preserve">(exemple : </t>
    </r>
    <r>
      <rPr>
        <sz val="14"/>
        <color theme="1"/>
        <rFont val="Arial Unicode MS"/>
      </rPr>
      <t>1.5</t>
    </r>
    <r>
      <rPr>
        <sz val="14"/>
        <color theme="1"/>
        <rFont val="Calibri"/>
        <family val="2"/>
        <scheme val="minor"/>
      </rPr>
      <t xml:space="preserve"> pour « un virgule cinq »).</t>
    </r>
  </si>
  <si>
    <r>
      <t xml:space="preserve">Sur votre ordinateur, Excel utilise peut-être la </t>
    </r>
    <r>
      <rPr>
        <b/>
        <sz val="14"/>
        <color theme="1"/>
        <rFont val="Calibri"/>
        <family val="2"/>
        <scheme val="minor"/>
      </rPr>
      <t>VIRGULE « , »</t>
    </r>
    <r>
      <rPr>
        <sz val="14"/>
        <color theme="1"/>
        <rFont val="Calibri"/>
        <family val="2"/>
        <scheme val="minor"/>
      </rPr>
      <t xml:space="preserve"> à la place.</t>
    </r>
  </si>
  <si>
    <r>
      <t>Dans ce cas, certaines formules peuvent afficher une erreur (</t>
    </r>
    <r>
      <rPr>
        <sz val="14"/>
        <color theme="1"/>
        <rFont val="Arial Unicode MS"/>
      </rPr>
      <t>#NOM?</t>
    </r>
    <r>
      <rPr>
        <sz val="14"/>
        <color theme="1"/>
        <rFont val="Calibri"/>
        <family val="2"/>
        <scheme val="minor"/>
      </rPr>
      <t xml:space="preserve">, </t>
    </r>
    <r>
      <rPr>
        <sz val="14"/>
        <color theme="1"/>
        <rFont val="Arial Unicode MS"/>
      </rPr>
      <t>#VALEUR?</t>
    </r>
    <r>
      <rPr>
        <sz val="14"/>
        <color theme="1"/>
        <rFont val="Calibri"/>
        <family val="2"/>
        <scheme val="minor"/>
      </rPr>
      <t>)</t>
    </r>
  </si>
  <si>
    <t>ou donner des résultats bizarres.</t>
  </si>
  <si>
    <t>Pour corriger cela, suivez calmement les étapes ci-dessous.</t>
  </si>
  <si>
    <r>
      <t xml:space="preserve">2. En haut à gauche, cliquez sur le menu </t>
    </r>
    <r>
      <rPr>
        <b/>
        <sz val="14"/>
        <color theme="1"/>
        <rFont val="Calibri"/>
        <family val="2"/>
        <scheme val="minor"/>
      </rPr>
      <t>« Fichier »</t>
    </r>
    <r>
      <rPr>
        <sz val="14"/>
        <color theme="1"/>
        <rFont val="Calibri"/>
        <family val="2"/>
        <scheme val="minor"/>
      </rPr>
      <t>.</t>
    </r>
  </si>
  <si>
    <r>
      <t xml:space="preserve">3. Dans la colonne de gauche, tout en bas, cliquez sur </t>
    </r>
    <r>
      <rPr>
        <b/>
        <sz val="14"/>
        <color theme="1"/>
        <rFont val="Calibri"/>
        <family val="2"/>
        <scheme val="minor"/>
      </rPr>
      <t>« Options »</t>
    </r>
    <r>
      <rPr>
        <sz val="14"/>
        <color theme="1"/>
        <rFont val="Calibri"/>
        <family val="2"/>
        <scheme val="minor"/>
      </rPr>
      <t>.</t>
    </r>
  </si>
  <si>
    <r>
      <t xml:space="preserve">Une fenêtre nommée </t>
    </r>
    <r>
      <rPr>
        <b/>
        <sz val="14"/>
        <color theme="1"/>
        <rFont val="Calibri"/>
        <family val="2"/>
        <scheme val="minor"/>
      </rPr>
      <t>« Options Excel »</t>
    </r>
    <r>
      <rPr>
        <sz val="14"/>
        <color theme="1"/>
        <rFont val="Calibri"/>
        <family val="2"/>
        <scheme val="minor"/>
      </rPr>
      <t xml:space="preserve"> s’ouvre.</t>
    </r>
  </si>
  <si>
    <r>
      <t xml:space="preserve">1. Dans la fenêtre « Options Excel », cliquez à gauche sur </t>
    </r>
    <r>
      <rPr>
        <b/>
        <sz val="14"/>
        <color theme="1"/>
        <rFont val="Calibri"/>
        <family val="2"/>
        <scheme val="minor"/>
      </rPr>
      <t>« Options avancées »</t>
    </r>
    <r>
      <rPr>
        <sz val="14"/>
        <color theme="1"/>
        <rFont val="Calibri"/>
        <family val="2"/>
        <scheme val="minor"/>
      </rPr>
      <t>.</t>
    </r>
  </si>
  <si>
    <r>
      <t xml:space="preserve">2. Faites défiler vers le bas jusqu’à la section </t>
    </r>
    <r>
      <rPr>
        <b/>
        <sz val="14"/>
        <color theme="1"/>
        <rFont val="Calibri"/>
        <family val="2"/>
        <scheme val="minor"/>
      </rPr>
      <t>« Options d’édition »</t>
    </r>
    <r>
      <rPr>
        <sz val="14"/>
        <color theme="1"/>
        <rFont val="Calibri"/>
        <family val="2"/>
        <scheme val="minor"/>
      </rPr>
      <t>.</t>
    </r>
  </si>
  <si>
    <r>
      <t xml:space="preserve">3. Repérez la ligne </t>
    </r>
    <r>
      <rPr>
        <b/>
        <sz val="14"/>
        <color theme="1"/>
        <rFont val="Calibri"/>
        <family val="2"/>
        <scheme val="minor"/>
      </rPr>
      <t>« Utiliser les séparateurs système »</t>
    </r>
    <r>
      <rPr>
        <sz val="14"/>
        <color theme="1"/>
        <rFont val="Calibri"/>
        <family val="2"/>
        <scheme val="minor"/>
      </rPr>
      <t xml:space="preserve"> :</t>
    </r>
  </si>
  <si>
    <r>
      <t>Décochez</t>
    </r>
    <r>
      <rPr>
        <sz val="14"/>
        <color theme="1"/>
        <rFont val="Calibri"/>
        <family val="2"/>
        <scheme val="minor"/>
      </rPr>
      <t xml:space="preserve"> cette case (enlevez le petit ✓).</t>
    </r>
  </si>
  <si>
    <t>Juste en dessous, changez les réglages :</t>
  </si>
  <si>
    <r>
      <t>Séparateur décimal</t>
    </r>
    <r>
      <rPr>
        <sz val="14"/>
        <color theme="1"/>
        <rFont val="Calibri"/>
        <family val="2"/>
        <scheme val="minor"/>
      </rPr>
      <t xml:space="preserve"> : tapez un </t>
    </r>
    <r>
      <rPr>
        <b/>
        <sz val="14"/>
        <color theme="1"/>
        <rFont val="Calibri"/>
        <family val="2"/>
        <scheme val="minor"/>
      </rPr>
      <t>POINT « . »</t>
    </r>
  </si>
  <si>
    <r>
      <t>Séparateur de milliers</t>
    </r>
    <r>
      <rPr>
        <sz val="14"/>
        <color theme="1"/>
        <rFont val="Calibri"/>
        <family val="2"/>
        <scheme val="minor"/>
      </rPr>
      <t xml:space="preserve"> : vous pouvez laisser un espace, un espace insécable ou rien.</t>
    </r>
  </si>
  <si>
    <r>
      <t xml:space="preserve">5. Cliquez sur </t>
    </r>
    <r>
      <rPr>
        <b/>
        <sz val="14"/>
        <color theme="1"/>
        <rFont val="Calibri"/>
        <family val="2"/>
        <scheme val="minor"/>
      </rPr>
      <t>« OK »</t>
    </r>
    <r>
      <rPr>
        <sz val="14"/>
        <color theme="1"/>
        <rFont val="Calibri"/>
        <family val="2"/>
        <scheme val="minor"/>
      </rPr>
      <t xml:space="preserve"> pour valider.</t>
    </r>
  </si>
  <si>
    <t>Si malgré tout vous êtes perdu(e), montrez cette page à quelqu’un qui connait un peu Excel :</t>
  </si>
  <si>
    <t>les étapes sont déjà prêtes, il n’aura qu’à les suivre pour vous.</t>
  </si>
  <si>
    <t>Autre solution (simple) : remplacer les virgules par des points</t>
  </si>
  <si>
    <r>
      <t xml:space="preserve">Si vous avez saisi vos nombres avec une </t>
    </r>
    <r>
      <rPr>
        <b/>
        <sz val="14"/>
        <color theme="1"/>
        <rFont val="Calibri"/>
        <family val="2"/>
        <scheme val="minor"/>
      </rPr>
      <t>virgule</t>
    </r>
    <r>
      <rPr>
        <sz val="14"/>
        <color theme="1"/>
        <rFont val="Calibri"/>
        <family val="2"/>
        <scheme val="minor"/>
      </rPr>
      <t xml:space="preserve"> (ex : </t>
    </r>
    <r>
      <rPr>
        <sz val="14"/>
        <color theme="1"/>
        <rFont val="Arial Unicode MS"/>
      </rPr>
      <t>1,5</t>
    </r>
    <r>
      <rPr>
        <sz val="14"/>
        <color theme="1"/>
        <rFont val="Calibri"/>
        <family val="2"/>
        <scheme val="minor"/>
      </rPr>
      <t xml:space="preserve">) alors que ce fichier utilise le </t>
    </r>
    <r>
      <rPr>
        <b/>
        <sz val="14"/>
        <color theme="1"/>
        <rFont val="Calibri"/>
        <family val="2"/>
        <scheme val="minor"/>
      </rPr>
      <t>point</t>
    </r>
    <r>
      <rPr>
        <sz val="14"/>
        <color theme="1"/>
        <rFont val="Calibri"/>
        <family val="2"/>
        <scheme val="minor"/>
      </rPr>
      <t xml:space="preserve"> (ex : </t>
    </r>
    <r>
      <rPr>
        <sz val="14"/>
        <color theme="1"/>
        <rFont val="Arial Unicode MS"/>
      </rPr>
      <t>1.5</t>
    </r>
    <r>
      <rPr>
        <sz val="14"/>
        <color theme="1"/>
        <rFont val="Calibri"/>
        <family val="2"/>
        <scheme val="minor"/>
      </rPr>
      <t>), vous pouvez transformer rapidement les virgules en points.</t>
    </r>
  </si>
  <si>
    <t>⚠ Méthode à utiliser avec précaution :</t>
  </si>
  <si>
    <t>ne le faites pas si votre feuille contient beaucoup de textes avec des virgules (phrases, commentaires…), ou faites-le uniquement sur les colonnes de nombres.</t>
  </si>
  <si>
    <t>Étape 1 – Sélectionner la zone à corriger</t>
  </si>
  <si>
    <t>1. Cliquez sur la première cellule de nombres à corriger.</t>
  </si>
  <si>
    <t>2. Maintenez le clic et sélectionnez toutes les cellules concernées</t>
  </si>
  <si>
    <t>(ou cliquez sur la lettre de la colonne en haut pour sélectionner toute une colonne).</t>
  </si>
  <si>
    <r>
      <t xml:space="preserve">3. Si vous n’êtes pas sûr(e), commencez par une </t>
    </r>
    <r>
      <rPr>
        <b/>
        <sz val="14"/>
        <color theme="1"/>
        <rFont val="Calibri"/>
        <family val="2"/>
        <scheme val="minor"/>
      </rPr>
      <t>seule colonne</t>
    </r>
    <r>
      <rPr>
        <sz val="14"/>
        <color theme="1"/>
        <rFont val="Calibri"/>
        <family val="2"/>
        <scheme val="minor"/>
      </rPr>
      <t xml:space="preserve"> de nombres.</t>
    </r>
  </si>
  <si>
    <t>Étape 2 – Ouvrir Rechercher / Remplacer</t>
  </si>
  <si>
    <r>
      <t xml:space="preserve">1. Sur le ruban en haut, allez dans l’onglet </t>
    </r>
    <r>
      <rPr>
        <b/>
        <sz val="14"/>
        <color theme="1"/>
        <rFont val="Calibri"/>
        <family val="2"/>
        <scheme val="minor"/>
      </rPr>
      <t>Accueil</t>
    </r>
    <r>
      <rPr>
        <sz val="14"/>
        <color theme="1"/>
        <rFont val="Calibri"/>
        <family val="2"/>
        <scheme val="minor"/>
      </rPr>
      <t>.</t>
    </r>
  </si>
  <si>
    <r>
      <t xml:space="preserve">2. À droite, cliquez sur </t>
    </r>
    <r>
      <rPr>
        <b/>
        <sz val="14"/>
        <color theme="1"/>
        <rFont val="Calibri"/>
        <family val="2"/>
        <scheme val="minor"/>
      </rPr>
      <t>Rechercher et sélectionner</t>
    </r>
    <r>
      <rPr>
        <sz val="14"/>
        <color theme="1"/>
        <rFont val="Calibri"/>
        <family val="2"/>
        <scheme val="minor"/>
      </rPr>
      <t>.</t>
    </r>
  </si>
  <si>
    <r>
      <t xml:space="preserve">3. Choisissez </t>
    </r>
    <r>
      <rPr>
        <b/>
        <sz val="14"/>
        <color theme="1"/>
        <rFont val="Calibri"/>
        <family val="2"/>
        <scheme val="minor"/>
      </rPr>
      <t>Remplacer…</t>
    </r>
  </si>
  <si>
    <r>
      <t xml:space="preserve">(ou utilisez le raccourci clavier : </t>
    </r>
    <r>
      <rPr>
        <b/>
        <sz val="14"/>
        <color theme="1"/>
        <rFont val="Calibri"/>
        <family val="2"/>
        <scheme val="minor"/>
      </rPr>
      <t>Ctrl + H</t>
    </r>
    <r>
      <rPr>
        <sz val="14"/>
        <color theme="1"/>
        <rFont val="Calibri"/>
        <family val="2"/>
        <scheme val="minor"/>
      </rPr>
      <t>).</t>
    </r>
  </si>
  <si>
    <t>Étape 3 – Remplacer les virgules par des points</t>
  </si>
  <si>
    <r>
      <t xml:space="preserve">1. Dans la case </t>
    </r>
    <r>
      <rPr>
        <b/>
        <sz val="14"/>
        <color theme="1"/>
        <rFont val="Calibri"/>
        <family val="2"/>
        <scheme val="minor"/>
      </rPr>
      <t>« Rechercher »</t>
    </r>
    <r>
      <rPr>
        <sz val="14"/>
        <color theme="1"/>
        <rFont val="Calibri"/>
        <family val="2"/>
        <scheme val="minor"/>
      </rPr>
      <t xml:space="preserve">, tapez une virgule : </t>
    </r>
    <r>
      <rPr>
        <sz val="14"/>
        <color theme="1"/>
        <rFont val="Arial Unicode MS"/>
      </rPr>
      <t>,</t>
    </r>
  </si>
  <si>
    <r>
      <t xml:space="preserve">2. Dans la case </t>
    </r>
    <r>
      <rPr>
        <b/>
        <sz val="14"/>
        <color theme="1"/>
        <rFont val="Calibri"/>
        <family val="2"/>
        <scheme val="minor"/>
      </rPr>
      <t>« Remplacer par »</t>
    </r>
    <r>
      <rPr>
        <sz val="14"/>
        <color theme="1"/>
        <rFont val="Calibri"/>
        <family val="2"/>
        <scheme val="minor"/>
      </rPr>
      <t xml:space="preserve">, tapez un point : </t>
    </r>
    <r>
      <rPr>
        <sz val="14"/>
        <color theme="1"/>
        <rFont val="Arial Unicode MS"/>
      </rPr>
      <t>.</t>
    </r>
  </si>
  <si>
    <t>3. Vérifiez bien que seule la zone voulue est sélectionnée.</t>
  </si>
  <si>
    <r>
      <t xml:space="preserve">4. Cliquez sur </t>
    </r>
    <r>
      <rPr>
        <b/>
        <sz val="16"/>
        <color theme="1"/>
        <rFont val="Calibri"/>
        <family val="2"/>
        <scheme val="minor"/>
      </rPr>
      <t>« Remplacer tout »</t>
    </r>
    <r>
      <rPr>
        <sz val="16"/>
        <color theme="1"/>
        <rFont val="Calibri"/>
        <family val="2"/>
        <scheme val="minor"/>
      </rPr>
      <t>.</t>
    </r>
  </si>
  <si>
    <t>Excel va alors transformer :</t>
  </si>
  <si>
    <r>
      <t>1,5</t>
    </r>
    <r>
      <rPr>
        <sz val="14"/>
        <color theme="1"/>
        <rFont val="Calibri"/>
        <family val="2"/>
        <scheme val="minor"/>
      </rPr>
      <t xml:space="preserve"> en </t>
    </r>
    <r>
      <rPr>
        <sz val="14"/>
        <color theme="1"/>
        <rFont val="Arial Unicode MS"/>
      </rPr>
      <t>1.5</t>
    </r>
  </si>
  <si>
    <r>
      <t>2,75</t>
    </r>
    <r>
      <rPr>
        <sz val="14"/>
        <color theme="1"/>
        <rFont val="Calibri"/>
        <family val="2"/>
        <scheme val="minor"/>
      </rPr>
      <t xml:space="preserve"> en </t>
    </r>
    <r>
      <rPr>
        <sz val="14"/>
        <color theme="1"/>
        <rFont val="Arial Unicode MS"/>
      </rPr>
      <t>2.75</t>
    </r>
  </si>
  <si>
    <t>Ce qui rendra vos nombres compatibles avec les formules de ce fichier.</t>
  </si>
  <si>
    <t>En cas de doute</t>
  </si>
  <si>
    <r>
      <t xml:space="preserve">Faites d’abord un essai sur </t>
    </r>
    <r>
      <rPr>
        <b/>
        <sz val="14"/>
        <color theme="1"/>
        <rFont val="Calibri"/>
        <family val="2"/>
        <scheme val="minor"/>
      </rPr>
      <t>quelques cellules seulement</t>
    </r>
    <r>
      <rPr>
        <sz val="14"/>
        <color theme="1"/>
        <rFont val="Calibri"/>
        <family val="2"/>
        <scheme val="minor"/>
      </rPr>
      <t>.</t>
    </r>
  </si>
  <si>
    <r>
      <t xml:space="preserve">Si le résultat ne vous plaît pas, faites </t>
    </r>
    <r>
      <rPr>
        <b/>
        <sz val="14"/>
        <color theme="1"/>
        <rFont val="Calibri"/>
        <family val="2"/>
        <scheme val="minor"/>
      </rPr>
      <t>Ctrl + Z</t>
    </r>
    <r>
      <rPr>
        <sz val="14"/>
        <color theme="1"/>
        <rFont val="Calibri"/>
        <family val="2"/>
        <scheme val="minor"/>
      </rPr>
      <t xml:space="preserve"> pour annuler.</t>
    </r>
  </si>
  <si>
    <t>Ça vous donne une deuxième voie “brute mais simple”, à côté de la méthode propre par les options Excel.</t>
  </si>
  <si>
    <t>Humour généré par ChatGPT</t>
  </si>
  <si>
    <t>Les tableaux Excel de production quand on commence à empiler les formules, ça ressemble vite plus à une usine à boulons qu’à une cuisine.</t>
  </si>
  <si>
    <t>Pour résumer tes intitulés possibles pour les fiches recettes, tu peux te faire un petit standard du genre :</t>
  </si>
  <si>
    <t>QUANTITÉ à préparer</t>
  </si>
  <si>
    <t>TOTAL à préparer</t>
  </si>
  <si>
    <t>TOTAL à produire</t>
  </si>
  <si>
    <t>Ça sonne pro, clair, et ça évite l’image du chef en bleu de travail devant une presse hydraulique.</t>
  </si>
  <si>
    <t>Et si un jour tu veux renommer toutes tes “usines à boulons” en “étoiles Michelin” dans ton classeur, on pourra se faire une petite passe de nettoyage de libellés ensemble.</t>
  </si>
  <si>
    <t>quelles sont les principales nouvelles fonctions utilisées par excel 365 et non compatibles avec excel 2023</t>
  </si>
  <si>
    <t>Bonne question de producteur qui se bat avec des #NOM? partout 😅</t>
  </si>
  <si>
    <t>Je vais répondre en mode utile pour toi :</t>
  </si>
  <si>
    <r>
      <t>Excel 365</t>
    </r>
    <r>
      <rPr>
        <sz val="14"/>
        <color theme="1"/>
        <rFont val="Calibri"/>
        <family val="2"/>
        <scheme val="minor"/>
      </rPr>
      <t xml:space="preserve"> = version qui reçoit tout le temps des nouvelles fonctions.</t>
    </r>
  </si>
  <si>
    <r>
      <t>Excel “2023”</t>
    </r>
    <r>
      <rPr>
        <sz val="14"/>
        <color theme="1"/>
        <rFont val="Calibri"/>
        <family val="2"/>
        <scheme val="minor"/>
      </rPr>
      <t xml:space="preserve"> chez toi = très probablement une version </t>
    </r>
    <r>
      <rPr>
        <b/>
        <sz val="14"/>
        <color theme="1"/>
        <rFont val="Calibri"/>
        <family val="2"/>
        <scheme val="minor"/>
      </rPr>
      <t>perpétuelle</t>
    </r>
    <r>
      <rPr>
        <sz val="14"/>
        <color theme="1"/>
        <rFont val="Calibri"/>
        <family val="2"/>
        <scheme val="minor"/>
      </rPr>
      <t xml:space="preserve"> (Excel 2021 / LTSC / sans abonnement), donc </t>
    </r>
    <r>
      <rPr>
        <b/>
        <sz val="14"/>
        <color theme="1"/>
        <rFont val="Calibri"/>
        <family val="2"/>
        <scheme val="minor"/>
      </rPr>
      <t>sans les dernières nouveautés 365</t>
    </r>
    <r>
      <rPr>
        <sz val="14"/>
        <color theme="1"/>
        <rFont val="Calibri"/>
        <family val="2"/>
        <scheme val="minor"/>
      </rPr>
      <t>.</t>
    </r>
  </si>
  <si>
    <r>
      <t xml:space="preserve">Les principales familles de fonctions </t>
    </r>
    <r>
      <rPr>
        <b/>
        <sz val="14"/>
        <color theme="1"/>
        <rFont val="Calibri"/>
        <family val="2"/>
        <scheme val="minor"/>
      </rPr>
      <t>disponibles dans 365 mais pas dans les versions perpétuelles récentes</t>
    </r>
    <r>
      <rPr>
        <sz val="14"/>
        <color theme="1"/>
        <rFont val="Calibri"/>
        <family val="2"/>
        <scheme val="minor"/>
      </rPr>
      <t xml:space="preserve"> (genre 2019/2021) :</t>
    </r>
  </si>
  <si>
    <t>1. Fonctions “tableaux dynamiques” avancées</t>
  </si>
  <si>
    <t>Celles-ci sont très utilisées dans les tutos modernes, mais cassent dans les vieilles versions :</t>
  </si>
  <si>
    <r>
      <t>FILTER</t>
    </r>
    <r>
      <rPr>
        <sz val="12"/>
        <color theme="1"/>
        <rFont val="Calibri"/>
        <family val="2"/>
        <scheme val="minor"/>
      </rPr>
      <t xml:space="preserve"> / </t>
    </r>
    <r>
      <rPr>
        <sz val="12"/>
        <color theme="1"/>
        <rFont val="Arial Unicode MS"/>
      </rPr>
      <t>FILTRER</t>
    </r>
    <r>
      <rPr>
        <sz val="12"/>
        <color theme="1"/>
        <rFont val="Calibri"/>
        <family val="2"/>
        <scheme val="minor"/>
      </rPr>
      <t xml:space="preserve"> : filtrer un tableau avec une condition</t>
    </r>
  </si>
  <si>
    <r>
      <t>SORT</t>
    </r>
    <r>
      <rPr>
        <sz val="12"/>
        <color theme="1"/>
        <rFont val="Calibri"/>
        <family val="2"/>
        <scheme val="minor"/>
      </rPr>
      <t xml:space="preserve"> / </t>
    </r>
    <r>
      <rPr>
        <sz val="12"/>
        <color theme="1"/>
        <rFont val="Arial Unicode MS"/>
      </rPr>
      <t>TRIER</t>
    </r>
    <r>
      <rPr>
        <sz val="12"/>
        <color theme="1"/>
        <rFont val="Calibri"/>
        <family val="2"/>
        <scheme val="minor"/>
      </rPr>
      <t xml:space="preserve"> : trier un tableau par formule</t>
    </r>
  </si>
  <si>
    <r>
      <t>SORTBY</t>
    </r>
    <r>
      <rPr>
        <sz val="12"/>
        <color theme="1"/>
        <rFont val="Calibri"/>
        <family val="2"/>
        <scheme val="minor"/>
      </rPr>
      <t xml:space="preserve"> / </t>
    </r>
    <r>
      <rPr>
        <sz val="12"/>
        <color theme="1"/>
        <rFont val="Arial Unicode MS"/>
      </rPr>
      <t>TRIERPAR</t>
    </r>
    <r>
      <rPr>
        <sz val="12"/>
        <color theme="1"/>
        <rFont val="Calibri"/>
        <family val="2"/>
        <scheme val="minor"/>
      </rPr>
      <t xml:space="preserve"> : trier selon une autre plage</t>
    </r>
  </si>
  <si>
    <r>
      <t>UNIQUE</t>
    </r>
    <r>
      <rPr>
        <sz val="12"/>
        <color theme="1"/>
        <rFont val="Calibri"/>
        <family val="2"/>
        <scheme val="minor"/>
      </rPr>
      <t xml:space="preserve"> / </t>
    </r>
    <r>
      <rPr>
        <sz val="12"/>
        <color theme="1"/>
        <rFont val="Arial Unicode MS"/>
      </rPr>
      <t>UNIQUE</t>
    </r>
    <r>
      <rPr>
        <sz val="12"/>
        <color theme="1"/>
        <rFont val="Calibri"/>
        <family val="2"/>
        <scheme val="minor"/>
      </rPr>
      <t xml:space="preserve"> : valeurs uniques</t>
    </r>
  </si>
  <si>
    <r>
      <t>SEQUENCE</t>
    </r>
    <r>
      <rPr>
        <sz val="12"/>
        <color theme="1"/>
        <rFont val="Calibri"/>
        <family val="2"/>
        <scheme val="minor"/>
      </rPr>
      <t xml:space="preserve"> / </t>
    </r>
    <r>
      <rPr>
        <sz val="12"/>
        <color theme="1"/>
        <rFont val="Arial Unicode MS"/>
      </rPr>
      <t>SEQUENCE</t>
    </r>
    <r>
      <rPr>
        <sz val="12"/>
        <color theme="1"/>
        <rFont val="Calibri"/>
        <family val="2"/>
        <scheme val="minor"/>
      </rPr>
      <t xml:space="preserve"> : générer 1..n par formule</t>
    </r>
  </si>
  <si>
    <r>
      <t>RANDARRAY</t>
    </r>
    <r>
      <rPr>
        <sz val="12"/>
        <color theme="1"/>
        <rFont val="Calibri"/>
        <family val="2"/>
        <scheme val="minor"/>
      </rPr>
      <t xml:space="preserve"> / </t>
    </r>
    <r>
      <rPr>
        <sz val="12"/>
        <color theme="1"/>
        <rFont val="Arial Unicode MS"/>
      </rPr>
      <t>ALEATRASTABLEAU</t>
    </r>
    <r>
      <rPr>
        <sz val="12"/>
        <color theme="1"/>
        <rFont val="Calibri"/>
        <family val="2"/>
        <scheme val="minor"/>
      </rPr>
      <t xml:space="preserve"> : tableau de valeurs aléatoires</t>
    </r>
  </si>
  <si>
    <t>Sur une version non-365, tout ça donne #NOM?.</t>
  </si>
  <si>
    <t>2. Fonctions texte modernes</t>
  </si>
  <si>
    <r>
      <t xml:space="preserve">Très pratiques, mais </t>
    </r>
    <r>
      <rPr>
        <b/>
        <sz val="12"/>
        <color theme="1"/>
        <rFont val="Calibri"/>
        <family val="2"/>
        <scheme val="minor"/>
      </rPr>
      <t>récentes 365</t>
    </r>
    <r>
      <rPr>
        <sz val="12"/>
        <color theme="1"/>
        <rFont val="Calibri"/>
        <family val="2"/>
        <scheme val="minor"/>
      </rPr>
      <t xml:space="preserve"> :</t>
    </r>
  </si>
  <si>
    <r>
      <t>TEXTSPLIT</t>
    </r>
    <r>
      <rPr>
        <sz val="12"/>
        <color theme="1"/>
        <rFont val="Calibri"/>
        <family val="2"/>
        <scheme val="minor"/>
      </rPr>
      <t xml:space="preserve"> / </t>
    </r>
    <r>
      <rPr>
        <sz val="12"/>
        <color theme="1"/>
        <rFont val="Arial Unicode MS"/>
      </rPr>
      <t>TEXTE.DÉC.OUPER</t>
    </r>
  </si>
  <si>
    <r>
      <t>TEXTBEFORE</t>
    </r>
    <r>
      <rPr>
        <sz val="12"/>
        <color theme="1"/>
        <rFont val="Calibri"/>
        <family val="2"/>
        <scheme val="minor"/>
      </rPr>
      <t xml:space="preserve"> / </t>
    </r>
    <r>
      <rPr>
        <sz val="12"/>
        <color theme="1"/>
        <rFont val="Arial Unicode MS"/>
      </rPr>
      <t>TEXTE.AVANT</t>
    </r>
  </si>
  <si>
    <r>
      <t>TEXTAFTER</t>
    </r>
    <r>
      <rPr>
        <sz val="12"/>
        <color theme="1"/>
        <rFont val="Calibri"/>
        <family val="2"/>
        <scheme val="minor"/>
      </rPr>
      <t xml:space="preserve"> / </t>
    </r>
    <r>
      <rPr>
        <sz val="12"/>
        <color theme="1"/>
        <rFont val="Arial Unicode MS"/>
      </rPr>
      <t>TEXTE.APRÈS</t>
    </r>
  </si>
  <si>
    <r>
      <t xml:space="preserve">Elles remplacent souvent des usines à </t>
    </r>
    <r>
      <rPr>
        <sz val="12"/>
        <color theme="1"/>
        <rFont val="Arial Unicode MS"/>
      </rPr>
      <t>GAUCHE</t>
    </r>
    <r>
      <rPr>
        <sz val="12"/>
        <color theme="1"/>
        <rFont val="Calibri"/>
        <family val="2"/>
        <scheme val="minor"/>
      </rPr>
      <t>/</t>
    </r>
    <r>
      <rPr>
        <sz val="12"/>
        <color theme="1"/>
        <rFont val="Arial Unicode MS"/>
      </rPr>
      <t>DROITE</t>
    </r>
    <r>
      <rPr>
        <sz val="12"/>
        <color theme="1"/>
        <rFont val="Calibri"/>
        <family val="2"/>
        <scheme val="minor"/>
      </rPr>
      <t>/</t>
    </r>
    <r>
      <rPr>
        <sz val="12"/>
        <color theme="1"/>
        <rFont val="Arial Unicode MS"/>
      </rPr>
      <t>CHERCHE</t>
    </r>
    <r>
      <rPr>
        <sz val="12"/>
        <color theme="1"/>
        <rFont val="Calibri"/>
        <family val="2"/>
        <scheme val="minor"/>
      </rPr>
      <t>.</t>
    </r>
  </si>
  <si>
    <t>3. Fonctions de réorganisation de tableaux</t>
  </si>
  <si>
    <t>Très 365 aussi :</t>
  </si>
  <si>
    <r>
      <t>VSTACK</t>
    </r>
    <r>
      <rPr>
        <sz val="12"/>
        <color theme="1"/>
        <rFont val="Calibri"/>
        <family val="2"/>
        <scheme val="minor"/>
      </rPr>
      <t xml:space="preserve"> / </t>
    </r>
    <r>
      <rPr>
        <sz val="12"/>
        <color theme="1"/>
        <rFont val="Arial Unicode MS"/>
      </rPr>
      <t>EMPILER.V</t>
    </r>
    <r>
      <rPr>
        <sz val="12"/>
        <color theme="1"/>
        <rFont val="Calibri"/>
        <family val="2"/>
        <scheme val="minor"/>
      </rPr>
      <t xml:space="preserve"> : empiler des plages verticalement</t>
    </r>
  </si>
  <si>
    <r>
      <t>HSTACK</t>
    </r>
    <r>
      <rPr>
        <sz val="12"/>
        <color theme="1"/>
        <rFont val="Calibri"/>
        <family val="2"/>
        <scheme val="minor"/>
      </rPr>
      <t xml:space="preserve"> / </t>
    </r>
    <r>
      <rPr>
        <sz val="12"/>
        <color theme="1"/>
        <rFont val="Arial Unicode MS"/>
      </rPr>
      <t>EMPILER.H</t>
    </r>
    <r>
      <rPr>
        <sz val="12"/>
        <color theme="1"/>
        <rFont val="Calibri"/>
        <family val="2"/>
        <scheme val="minor"/>
      </rPr>
      <t xml:space="preserve"> : empiler horizontalement</t>
    </r>
  </si>
  <si>
    <r>
      <t>WRAPROWS</t>
    </r>
    <r>
      <rPr>
        <sz val="12"/>
        <color theme="1"/>
        <rFont val="Calibri"/>
        <family val="2"/>
        <scheme val="minor"/>
      </rPr>
      <t xml:space="preserve"> / </t>
    </r>
    <r>
      <rPr>
        <sz val="12"/>
        <color theme="1"/>
        <rFont val="Arial Unicode MS"/>
      </rPr>
      <t>ALIGNER.LIGNES</t>
    </r>
  </si>
  <si>
    <r>
      <t>WRAPCOLS</t>
    </r>
    <r>
      <rPr>
        <sz val="12"/>
        <color theme="1"/>
        <rFont val="Calibri"/>
        <family val="2"/>
        <scheme val="minor"/>
      </rPr>
      <t xml:space="preserve"> / </t>
    </r>
    <r>
      <rPr>
        <sz val="12"/>
        <color theme="1"/>
        <rFont val="Arial Unicode MS"/>
      </rPr>
      <t>ALIGNER.COLONNES</t>
    </r>
  </si>
  <si>
    <r>
      <t>TOCOL</t>
    </r>
    <r>
      <rPr>
        <sz val="12"/>
        <color theme="1"/>
        <rFont val="Calibri"/>
        <family val="2"/>
        <scheme val="minor"/>
      </rPr>
      <t xml:space="preserve"> / </t>
    </r>
    <r>
      <rPr>
        <sz val="12"/>
        <color theme="1"/>
        <rFont val="Arial Unicode MS"/>
      </rPr>
      <t>VERS.COLONNE</t>
    </r>
  </si>
  <si>
    <r>
      <t>TOROW</t>
    </r>
    <r>
      <rPr>
        <sz val="12"/>
        <color theme="1"/>
        <rFont val="Calibri"/>
        <family val="2"/>
        <scheme val="minor"/>
      </rPr>
      <t xml:space="preserve"> / </t>
    </r>
    <r>
      <rPr>
        <sz val="12"/>
        <color theme="1"/>
        <rFont val="Arial Unicode MS"/>
      </rPr>
      <t>VERS.LIGNE</t>
    </r>
  </si>
  <si>
    <r>
      <t>TAKE</t>
    </r>
    <r>
      <rPr>
        <sz val="12"/>
        <color theme="1"/>
        <rFont val="Calibri"/>
        <family val="2"/>
        <scheme val="minor"/>
      </rPr>
      <t xml:space="preserve"> / </t>
    </r>
    <r>
      <rPr>
        <sz val="12"/>
        <color theme="1"/>
        <rFont val="Arial Unicode MS"/>
      </rPr>
      <t>PRENDRE</t>
    </r>
  </si>
  <si>
    <r>
      <t>DROP</t>
    </r>
    <r>
      <rPr>
        <sz val="12"/>
        <color theme="1"/>
        <rFont val="Calibri"/>
        <family val="2"/>
        <scheme val="minor"/>
      </rPr>
      <t xml:space="preserve"> / </t>
    </r>
    <r>
      <rPr>
        <sz val="12"/>
        <color theme="1"/>
        <rFont val="Arial Unicode MS"/>
      </rPr>
      <t>ABANDONNER</t>
    </r>
  </si>
  <si>
    <r>
      <t>CHOOSECOLS</t>
    </r>
    <r>
      <rPr>
        <sz val="12"/>
        <color theme="1"/>
        <rFont val="Calibri"/>
        <family val="2"/>
        <scheme val="minor"/>
      </rPr>
      <t xml:space="preserve"> / </t>
    </r>
    <r>
      <rPr>
        <sz val="12"/>
        <color theme="1"/>
        <rFont val="Arial Unicode MS"/>
      </rPr>
      <t>CHOISIRCOLS</t>
    </r>
  </si>
  <si>
    <r>
      <t>CHOOSEROWS</t>
    </r>
    <r>
      <rPr>
        <sz val="12"/>
        <color theme="1"/>
        <rFont val="Calibri"/>
        <family val="2"/>
        <scheme val="minor"/>
      </rPr>
      <t xml:space="preserve"> / </t>
    </r>
    <r>
      <rPr>
        <sz val="12"/>
        <color theme="1"/>
        <rFont val="Arial Unicode MS"/>
      </rPr>
      <t>CHOISIRLIGNES</t>
    </r>
  </si>
  <si>
    <r>
      <t xml:space="preserve">Tout ça est </t>
    </r>
    <r>
      <rPr>
        <b/>
        <sz val="14"/>
        <color rgb="FF0000FF"/>
        <rFont val="Calibri"/>
        <family val="2"/>
        <scheme val="minor"/>
      </rPr>
      <t>inconnu</t>
    </r>
    <r>
      <rPr>
        <sz val="14"/>
        <color rgb="FF0000FF"/>
        <rFont val="Calibri"/>
        <family val="2"/>
        <scheme val="minor"/>
      </rPr>
      <t xml:space="preserve"> en Excel “classique”.</t>
    </r>
  </si>
  <si>
    <t>4. Fonctions “programmation” / calcul avancé</t>
  </si>
  <si>
    <t>Très à la mode en 365, inexistantes dans les anciens :</t>
  </si>
  <si>
    <r>
      <t>LAMBDA</t>
    </r>
    <r>
      <rPr>
        <sz val="12"/>
        <color theme="1"/>
        <rFont val="Calibri"/>
        <family val="2"/>
        <scheme val="minor"/>
      </rPr>
      <t xml:space="preserve"> : définir ses propres fonctions</t>
    </r>
  </si>
  <si>
    <r>
      <t>LET</t>
    </r>
    <r>
      <rPr>
        <sz val="12"/>
        <color theme="1"/>
        <rFont val="Calibri"/>
        <family val="2"/>
        <scheme val="minor"/>
      </rPr>
      <t xml:space="preserve"> : nommer des variables dans une formule (celle qui te donnait </t>
    </r>
    <r>
      <rPr>
        <sz val="12"/>
        <color theme="1"/>
        <rFont val="Arial Unicode MS"/>
      </rPr>
      <t>_xlfn.LET</t>
    </r>
    <r>
      <rPr>
        <sz val="12"/>
        <color theme="1"/>
        <rFont val="Calibri"/>
        <family val="2"/>
        <scheme val="minor"/>
      </rPr>
      <t xml:space="preserve"> et #NOM?)</t>
    </r>
  </si>
  <si>
    <r>
      <t>MAP</t>
    </r>
    <r>
      <rPr>
        <sz val="12"/>
        <color theme="1"/>
        <rFont val="Calibri"/>
        <family val="2"/>
        <scheme val="minor"/>
      </rPr>
      <t xml:space="preserve"> / </t>
    </r>
    <r>
      <rPr>
        <sz val="12"/>
        <color theme="1"/>
        <rFont val="Arial Unicode MS"/>
      </rPr>
      <t>APPEL.LAMBDA.LIGNE</t>
    </r>
    <r>
      <rPr>
        <sz val="12"/>
        <color theme="1"/>
        <rFont val="Calibri"/>
        <family val="2"/>
        <scheme val="minor"/>
      </rPr>
      <t xml:space="preserve"> (nom FR récent), </t>
    </r>
    <r>
      <rPr>
        <sz val="12"/>
        <color theme="1"/>
        <rFont val="Arial Unicode MS"/>
      </rPr>
      <t>REDUCE</t>
    </r>
    <r>
      <rPr>
        <sz val="12"/>
        <color theme="1"/>
        <rFont val="Calibri"/>
        <family val="2"/>
        <scheme val="minor"/>
      </rPr>
      <t xml:space="preserve">, </t>
    </r>
    <r>
      <rPr>
        <sz val="12"/>
        <color theme="1"/>
        <rFont val="Arial Unicode MS"/>
      </rPr>
      <t>SCAN</t>
    </r>
    <r>
      <rPr>
        <sz val="12"/>
        <color theme="1"/>
        <rFont val="Calibri"/>
        <family val="2"/>
        <scheme val="minor"/>
      </rPr>
      <t xml:space="preserve">, </t>
    </r>
    <r>
      <rPr>
        <sz val="12"/>
        <color theme="1"/>
        <rFont val="Arial Unicode MS"/>
      </rPr>
      <t>BYROW</t>
    </r>
    <r>
      <rPr>
        <sz val="12"/>
        <color theme="1"/>
        <rFont val="Calibri"/>
        <family val="2"/>
        <scheme val="minor"/>
      </rPr>
      <t xml:space="preserve">, </t>
    </r>
    <r>
      <rPr>
        <sz val="12"/>
        <color theme="1"/>
        <rFont val="Arial Unicode MS"/>
      </rPr>
      <t>BYCOL</t>
    </r>
    <r>
      <rPr>
        <sz val="12"/>
        <color theme="1"/>
        <rFont val="Calibri"/>
        <family val="2"/>
        <scheme val="minor"/>
      </rPr>
      <t xml:space="preserve"> : appliquer des calculs ligne par ligne, colonne par colonne, etc.</t>
    </r>
  </si>
  <si>
    <r>
      <t xml:space="preserve">Sur une version non-365, dès que tu vois </t>
    </r>
    <r>
      <rPr>
        <sz val="14"/>
        <color rgb="FF0000FF"/>
        <rFont val="Arial Unicode MS"/>
      </rPr>
      <t>_xlfn.LAMBDA</t>
    </r>
    <r>
      <rPr>
        <sz val="14"/>
        <color rgb="FF0000FF"/>
        <rFont val="Calibri"/>
        <family val="2"/>
        <scheme val="minor"/>
      </rPr>
      <t xml:space="preserve">, </t>
    </r>
    <r>
      <rPr>
        <sz val="14"/>
        <color rgb="FF0000FF"/>
        <rFont val="Arial Unicode MS"/>
      </rPr>
      <t>_xlfn.LET</t>
    </r>
    <r>
      <rPr>
        <sz val="14"/>
        <color rgb="FF0000FF"/>
        <rFont val="Calibri"/>
        <family val="2"/>
        <scheme val="minor"/>
      </rPr>
      <t>, etc. → c’est mort.</t>
    </r>
  </si>
  <si>
    <t>5. Fonctions de recherche modernes (selon ta version)</t>
  </si>
  <si>
    <t>XLOOKUP / RECHERCHEX</t>
  </si>
  <si>
    <t>XMATCH / XEQUIV</t>
  </si>
  <si>
    <r>
      <t xml:space="preserve">Celles-là existent dans </t>
    </r>
    <r>
      <rPr>
        <b/>
        <sz val="12"/>
        <color theme="1"/>
        <rFont val="Calibri"/>
        <family val="2"/>
        <scheme val="minor"/>
      </rPr>
      <t>Excel 365</t>
    </r>
    <r>
      <rPr>
        <sz val="12"/>
        <color theme="1"/>
        <rFont val="Calibri"/>
        <family val="2"/>
        <scheme val="minor"/>
      </rPr>
      <t xml:space="preserve"> et aussi parfois dans certaines versions perpétuelles récentes, mais pas dans les plus anciennes (2016/2019).</t>
    </r>
  </si>
  <si>
    <r>
      <t xml:space="preserve">Vu tes messages, </t>
    </r>
    <r>
      <rPr>
        <b/>
        <sz val="12"/>
        <color theme="1"/>
        <rFont val="Calibri"/>
        <family val="2"/>
        <scheme val="minor"/>
      </rPr>
      <t>RECHERCHEX</t>
    </r>
    <r>
      <rPr>
        <sz val="12"/>
        <color theme="1"/>
        <rFont val="Calibri"/>
        <family val="2"/>
        <scheme val="minor"/>
      </rPr>
      <t xml:space="preserve"> marche chez toi, donc tu n’es pas sur une version vraiment vieille.</t>
    </r>
  </si>
  <si>
    <t>Concrètement pour toi</t>
  </si>
  <si>
    <t>Sur tes fichiers :</t>
  </si>
  <si>
    <r>
      <t xml:space="preserve">Les formules qui font apparaître </t>
    </r>
    <r>
      <rPr>
        <sz val="12"/>
        <color theme="1"/>
        <rFont val="Arial Unicode MS"/>
      </rPr>
      <t>_xlfn.XXX</t>
    </r>
    <r>
      <rPr>
        <sz val="12"/>
        <color theme="1"/>
        <rFont val="Calibri"/>
        <family val="2"/>
        <scheme val="minor"/>
      </rPr>
      <t xml:space="preserve"> ou </t>
    </r>
    <r>
      <rPr>
        <sz val="12"/>
        <color theme="1"/>
        <rFont val="Arial Unicode MS"/>
      </rPr>
      <t>_xlpm.xxx</t>
    </r>
    <r>
      <rPr>
        <sz val="12"/>
        <color theme="1"/>
        <rFont val="Calibri"/>
        <family val="2"/>
        <scheme val="minor"/>
      </rPr>
      <t xml:space="preserve"> viennent de quelqu’un qui a Excel 365 et qui a utilisé :</t>
    </r>
  </si>
  <si>
    <t>LET</t>
  </si>
  <si>
    <t>LAMBDA</t>
  </si>
  <si>
    <t>parfois des fonctions tableau récentes</t>
  </si>
  <si>
    <r>
      <t xml:space="preserve">Sur </t>
    </r>
    <r>
      <rPr>
        <b/>
        <sz val="12"/>
        <color theme="1"/>
        <rFont val="Calibri"/>
        <family val="2"/>
        <scheme val="minor"/>
      </rPr>
      <t>ta version</t>
    </r>
    <r>
      <rPr>
        <sz val="12"/>
        <color theme="1"/>
        <rFont val="Calibri"/>
        <family val="2"/>
        <scheme val="minor"/>
      </rPr>
      <t>, tu peux utiliser sans souci :</t>
    </r>
  </si>
  <si>
    <r>
      <t>RECHERCHEX</t>
    </r>
    <r>
      <rPr>
        <sz val="12"/>
        <color theme="1"/>
        <rFont val="Calibri"/>
        <family val="2"/>
        <scheme val="minor"/>
      </rPr>
      <t xml:space="preserve"> (tu l’utilises déjà)</t>
    </r>
  </si>
  <si>
    <r>
      <t>les classiques (</t>
    </r>
    <r>
      <rPr>
        <sz val="12"/>
        <color theme="1"/>
        <rFont val="Arial Unicode MS"/>
      </rPr>
      <t>SOMME.SI</t>
    </r>
    <r>
      <rPr>
        <sz val="12"/>
        <color theme="1"/>
        <rFont val="Calibri"/>
        <family val="2"/>
        <scheme val="minor"/>
      </rPr>
      <t xml:space="preserve">, </t>
    </r>
    <r>
      <rPr>
        <sz val="12"/>
        <color theme="1"/>
        <rFont val="Arial Unicode MS"/>
      </rPr>
      <t>NB.SI</t>
    </r>
    <r>
      <rPr>
        <sz val="12"/>
        <color theme="1"/>
        <rFont val="Calibri"/>
        <family val="2"/>
        <scheme val="minor"/>
      </rPr>
      <t xml:space="preserve">, </t>
    </r>
    <r>
      <rPr>
        <sz val="12"/>
        <color theme="1"/>
        <rFont val="Arial Unicode MS"/>
      </rPr>
      <t>INDEX</t>
    </r>
    <r>
      <rPr>
        <sz val="12"/>
        <color theme="1"/>
        <rFont val="Calibri"/>
        <family val="2"/>
        <scheme val="minor"/>
      </rPr>
      <t xml:space="preserve">, </t>
    </r>
    <r>
      <rPr>
        <sz val="12"/>
        <color theme="1"/>
        <rFont val="Arial Unicode MS"/>
      </rPr>
      <t>EQUIV</t>
    </r>
    <r>
      <rPr>
        <sz val="12"/>
        <color theme="1"/>
        <rFont val="Calibri"/>
        <family val="2"/>
        <scheme val="minor"/>
      </rPr>
      <t xml:space="preserve">, </t>
    </r>
    <r>
      <rPr>
        <sz val="12"/>
        <color theme="1"/>
        <rFont val="Arial Unicode MS"/>
      </rPr>
      <t>SOMMEPROD</t>
    </r>
    <r>
      <rPr>
        <sz val="12"/>
        <color theme="1"/>
        <rFont val="Calibri"/>
        <family val="2"/>
        <scheme val="minor"/>
      </rPr>
      <t>, etc.)</t>
    </r>
  </si>
  <si>
    <r>
      <t xml:space="preserve">Mais tu dois </t>
    </r>
    <r>
      <rPr>
        <b/>
        <sz val="12"/>
        <color theme="1"/>
        <rFont val="Calibri"/>
        <family val="2"/>
        <scheme val="minor"/>
      </rPr>
      <t>éviter / réécrire</t>
    </r>
    <r>
      <rPr>
        <sz val="12"/>
        <color theme="1"/>
        <rFont val="Calibri"/>
        <family val="2"/>
        <scheme val="minor"/>
      </rPr>
      <t xml:space="preserve"> :</t>
    </r>
  </si>
  <si>
    <r>
      <t>FILTER</t>
    </r>
    <r>
      <rPr>
        <sz val="12"/>
        <color theme="1"/>
        <rFont val="Calibri"/>
        <family val="2"/>
        <scheme val="minor"/>
      </rPr>
      <t xml:space="preserve">, </t>
    </r>
    <r>
      <rPr>
        <sz val="12"/>
        <color theme="1"/>
        <rFont val="Arial Unicode MS"/>
      </rPr>
      <t>UNIQUE</t>
    </r>
    <r>
      <rPr>
        <sz val="12"/>
        <color theme="1"/>
        <rFont val="Calibri"/>
        <family val="2"/>
        <scheme val="minor"/>
      </rPr>
      <t xml:space="preserve">, </t>
    </r>
    <r>
      <rPr>
        <sz val="12"/>
        <color theme="1"/>
        <rFont val="Arial Unicode MS"/>
      </rPr>
      <t>TEXTSPLIT</t>
    </r>
    <r>
      <rPr>
        <sz val="12"/>
        <color theme="1"/>
        <rFont val="Calibri"/>
        <family val="2"/>
        <scheme val="minor"/>
      </rPr>
      <t>, …</t>
    </r>
  </si>
  <si>
    <t>En gros :</t>
  </si>
  <si>
    <t>Excel 365 = jouets modernes, très lisibles.</t>
  </si>
  <si>
    <t>Excel non 365 = on fait la même chose, mais avec des formules plus longues et un peu “usine à gaz”.</t>
  </si>
  <si>
    <r>
      <t xml:space="preserve">Si tu veux, tu peux me coller </t>
    </r>
    <r>
      <rPr>
        <b/>
        <sz val="12"/>
        <color theme="1"/>
        <rFont val="Calibri"/>
        <family val="2"/>
        <scheme val="minor"/>
      </rPr>
      <t>n’importe quelle formule 365</t>
    </r>
    <r>
      <rPr>
        <sz val="12"/>
        <color theme="1"/>
        <rFont val="Calibri"/>
        <family val="2"/>
        <scheme val="minor"/>
      </rPr>
      <t xml:space="preserve"> qui te sort </t>
    </r>
    <r>
      <rPr>
        <sz val="12"/>
        <color theme="1"/>
        <rFont val="Arial Unicode MS"/>
      </rPr>
      <t>#NOM?</t>
    </r>
    <r>
      <rPr>
        <sz val="12"/>
        <color theme="1"/>
        <rFont val="Calibri"/>
        <family val="2"/>
        <scheme val="minor"/>
      </rPr>
      <t>, et je te la traduis en version compatible avec ta “vieille” Excel, sans poser de question.</t>
    </r>
  </si>
  <si>
    <t>Quand ton classeur recommencera à ressembler à une centrale nucléaire, tu reviens, on démonte les formules une par une. Bonne production &amp; bons tableaux !</t>
  </si>
  <si>
    <t>Excel = Lego + bataille navale + un peu de torture mentale 😂</t>
  </si>
  <si>
    <r>
      <t xml:space="preserve">Les </t>
    </r>
    <r>
      <rPr>
        <b/>
        <sz val="14"/>
        <color theme="1"/>
        <rFont val="Calibri"/>
        <family val="2"/>
        <scheme val="minor"/>
      </rPr>
      <t>cellules</t>
    </r>
    <r>
      <rPr>
        <sz val="14"/>
        <color theme="1"/>
        <rFont val="Calibri"/>
        <family val="2"/>
        <scheme val="minor"/>
      </rPr>
      <t xml:space="preserve"> c’est ta grille A1–Z99 → comme la bataille navale.</t>
    </r>
  </si>
  <si>
    <t>“=B7*D12” = “Torpille en B7, impact en D12”.</t>
  </si>
  <si>
    <r>
      <t xml:space="preserve">Les </t>
    </r>
    <r>
      <rPr>
        <b/>
        <sz val="14"/>
        <color theme="1"/>
        <rFont val="Calibri"/>
        <family val="2"/>
        <scheme val="minor"/>
      </rPr>
      <t>formules</t>
    </r>
    <r>
      <rPr>
        <sz val="14"/>
        <color theme="1"/>
        <rFont val="Calibri"/>
        <family val="2"/>
        <scheme val="minor"/>
      </rPr>
      <t xml:space="preserve"> c’est les règles de ton jeu :</t>
    </r>
  </si>
  <si>
    <r>
      <t xml:space="preserve">Tu décides que “si je touche un bateau, j’affiche ‘Touché’, sinon rien” → </t>
    </r>
    <r>
      <rPr>
        <sz val="14"/>
        <color theme="1"/>
        <rFont val="Arial Unicode MS"/>
      </rPr>
      <t>SI()</t>
    </r>
    <r>
      <rPr>
        <sz val="14"/>
        <color theme="1"/>
        <rFont val="Calibri"/>
        <family val="2"/>
        <scheme val="minor"/>
      </rPr>
      <t>.</t>
    </r>
  </si>
  <si>
    <r>
      <t xml:space="preserve">Les </t>
    </r>
    <r>
      <rPr>
        <b/>
        <sz val="14"/>
        <color theme="1"/>
        <rFont val="Calibri"/>
        <family val="2"/>
        <scheme val="minor"/>
      </rPr>
      <t>plages nommées</t>
    </r>
    <r>
      <rPr>
        <sz val="14"/>
        <color theme="1"/>
        <rFont val="Calibri"/>
        <family val="2"/>
        <scheme val="minor"/>
      </rPr>
      <t xml:space="preserve"> c’est tes bateaux :</t>
    </r>
  </si>
  <si>
    <r>
      <t>BATEAU1 = A1:A5</t>
    </r>
    <r>
      <rPr>
        <sz val="14"/>
        <color theme="1"/>
        <rFont val="Calibri"/>
        <family val="2"/>
        <scheme val="minor"/>
      </rPr>
      <t xml:space="preserve"> → tu ne tires plus sur A1:A5, tu tires sur </t>
    </r>
    <r>
      <rPr>
        <sz val="14"/>
        <color theme="1"/>
        <rFont val="Arial Unicode MS"/>
      </rPr>
      <t>BATEAU1</t>
    </r>
    <r>
      <rPr>
        <sz val="14"/>
        <color theme="1"/>
        <rFont val="Calibri"/>
        <family val="2"/>
        <scheme val="minor"/>
      </rPr>
      <t>.</t>
    </r>
  </si>
  <si>
    <r>
      <t xml:space="preserve">Et quand tu as une erreur </t>
    </r>
    <r>
      <rPr>
        <sz val="14"/>
        <color theme="1"/>
        <rFont val="Arial Unicode MS"/>
      </rPr>
      <t>#REF!</t>
    </r>
    <r>
      <rPr>
        <sz val="14"/>
        <color theme="1"/>
        <rFont val="Calibri"/>
        <family val="2"/>
        <scheme val="minor"/>
      </rPr>
      <t xml:space="preserve"> → c’est que tu as coulé le mauvais truc en supprimant une ligne au milieu.</t>
    </r>
  </si>
  <si>
    <t>La vraie clé, comme à la bataille navale :</t>
  </si>
  <si>
    <r>
      <t xml:space="preserve">Bien </t>
    </r>
    <r>
      <rPr>
        <b/>
        <sz val="14"/>
        <color theme="1"/>
        <rFont val="Calibri"/>
        <family val="2"/>
        <scheme val="minor"/>
      </rPr>
      <t>nommer</t>
    </r>
    <r>
      <rPr>
        <sz val="14"/>
        <color theme="1"/>
        <rFont val="Calibri"/>
        <family val="2"/>
        <scheme val="minor"/>
      </rPr>
      <t xml:space="preserve"> et </t>
    </r>
    <r>
      <rPr>
        <b/>
        <sz val="14"/>
        <color theme="1"/>
        <rFont val="Calibri"/>
        <family val="2"/>
        <scheme val="minor"/>
      </rPr>
      <t>organiser</t>
    </r>
    <r>
      <rPr>
        <sz val="14"/>
        <color theme="1"/>
        <rFont val="Calibri"/>
        <family val="2"/>
        <scheme val="minor"/>
      </rPr>
      <t xml:space="preserve"> ta grille,</t>
    </r>
  </si>
  <si>
    <t>Savoir où tu tires,</t>
  </si>
  <si>
    <t>Et éviter les tirs “au jugé” avec des formules de 4 km sans structure.</t>
  </si>
  <si>
    <t>Bref : Excel, c’est une bataille navale où tu dessines toi-même les règles… et où on essaie juste d’éviter que le classeur explose en plein milieu de la partie.</t>
  </si>
  <si>
    <t>dernière mise à jour : 11 Décembre 2025</t>
  </si>
  <si>
    <t>← anchos actuales de las columnas</t>
  </si>
  <si>
    <t>&lt; ✅ anchos recomendados</t>
  </si>
  <si>
    <t>Col.1</t>
  </si>
  <si>
    <t>Col.2</t>
  </si>
  <si>
    <t>Col.3</t>
  </si>
  <si>
    <t>Col.4</t>
  </si>
  <si>
    <t>Col.5</t>
  </si>
  <si>
    <t>IMPORTANT :</t>
  </si>
  <si>
    <t>J’ai utilisé le point du clavier numérique comme séparateur décimal.</t>
  </si>
  <si>
    <t xml:space="preserve"> Col.16 conserver le texte de la fonction " RECHERCHEX" utilisé pour le fonctionnement des répertoires et le texte " Adresse PC " en bas de fiche</t>
  </si>
  <si>
    <t>Circuit</t>
  </si>
  <si>
    <t>Hauteur des lignes 21</t>
  </si>
  <si>
    <t>Cir.1.2.5</t>
  </si>
  <si>
    <t>◄ Masquez ces 4 colonnes</t>
  </si>
  <si>
    <t>Auteur &gt;</t>
  </si>
  <si>
    <t>VOUS</t>
  </si>
  <si>
    <t>❾ référence Auteur</t>
  </si>
  <si>
    <t>Constituant de &gt;</t>
  </si>
  <si>
    <t>⓫  Dupliquée pour</t>
  </si>
  <si>
    <t>❾ Author reference</t>
  </si>
  <si>
    <t>▼ Quantité ?</t>
  </si>
  <si>
    <t>▼ Quoi ?</t>
  </si>
  <si>
    <t>copier en ❾ si souhaité &gt;</t>
  </si>
  <si>
    <t>❿ votre référence</t>
  </si>
  <si>
    <t>Recette mère ?</t>
  </si>
  <si>
    <t>ARCHIVAGE ET CLASSEMENT</t>
  </si>
  <si>
    <t>Col.6</t>
  </si>
  <si>
    <t>Col.7</t>
  </si>
  <si>
    <t>Col.8</t>
  </si>
  <si>
    <t>Col.9</t>
  </si>
  <si>
    <t>Col.10</t>
  </si>
  <si>
    <t>Col.11</t>
  </si>
  <si>
    <t>Col.12</t>
  </si>
  <si>
    <t>Col.13</t>
  </si>
  <si>
    <t>Col.14</t>
  </si>
  <si>
    <t>Col.15</t>
  </si>
  <si>
    <t>Col.16</t>
  </si>
  <si>
    <t>Col.17</t>
  </si>
  <si>
    <t>Col.18</t>
  </si>
  <si>
    <t>Col.19</t>
  </si>
  <si>
    <t>Col.20</t>
  </si>
  <si>
    <t>⑥ Poids ou Volume</t>
  </si>
  <si>
    <t>⑦g.kg.L.dl.cl.ml</t>
  </si>
  <si>
    <t>⑧ Coefficient</t>
  </si>
  <si>
    <t>Poids Auteur sans coef.</t>
  </si>
  <si>
    <t xml:space="preserve">Quoi </t>
  </si>
  <si>
    <t xml:space="preserve"> Vos poids avec coef.</t>
  </si>
  <si>
    <t>Équivalences arrondies</t>
  </si>
  <si>
    <t xml:space="preserve"> Denrées</t>
  </si>
  <si>
    <t xml:space="preserve">pour </t>
  </si>
  <si>
    <t>▼ Table de recherche les Col.6 à Col.11 sont réservées aux poids Kg</t>
  </si>
  <si>
    <t>vide</t>
  </si>
  <si>
    <t>quart(s)Kg</t>
  </si>
  <si>
    <t>Tiers(s)Kg</t>
  </si>
  <si>
    <t>demi(s)Kg</t>
  </si>
  <si>
    <t>demi/L</t>
  </si>
  <si>
    <t>quart/L</t>
  </si>
  <si>
    <t>tiers/L</t>
  </si>
  <si>
    <t>5ème/L</t>
  </si>
  <si>
    <t>quarter/L</t>
  </si>
  <si>
    <t>half/L</t>
  </si>
  <si>
    <t>third/L</t>
  </si>
  <si>
    <t>fifth/L</t>
  </si>
  <si>
    <t>ounce (oz)</t>
  </si>
  <si>
    <t>Cup(s).farine</t>
  </si>
  <si>
    <t>Cup(s).sucre</t>
  </si>
  <si>
    <t>Cup(s).beurre</t>
  </si>
  <si>
    <t>Cup.liquide</t>
  </si>
  <si>
    <t>Bol(s)</t>
  </si>
  <si>
    <t>cuil(s).Café</t>
  </si>
  <si>
    <t>cuil(s).Thé</t>
  </si>
  <si>
    <t>cuil.Soupe</t>
  </si>
  <si>
    <t>10ème/L</t>
  </si>
  <si>
    <t>Verre(s)</t>
  </si>
  <si>
    <t>Splash(s)</t>
  </si>
  <si>
    <t>Trait(s)</t>
  </si>
  <si>
    <t>Bowl(s)</t>
  </si>
  <si>
    <t>teaspoon(s)</t>
  </si>
  <si>
    <t>tablespoon(s)</t>
  </si>
  <si>
    <t>tenth/L</t>
  </si>
  <si>
    <t>Glass(es)</t>
  </si>
  <si>
    <t>◄ vous pouvez masquer ces 10 colonnes  ▼</t>
  </si>
  <si>
    <t>⓬  ▼ PHASES DE PROGRESSION</t>
  </si>
  <si>
    <t>ORGANISATION RAISONNÉE DU TRAVAIL</t>
  </si>
  <si>
    <t>⓬ PROGRESSION . largeurs de colonnes ►</t>
  </si>
  <si>
    <t>Auteur</t>
  </si>
  <si>
    <t>nombre de lignes ►</t>
  </si>
  <si>
    <t>et le texte "RECHERCHEX" col16 sont utilisés pour le fonctionnement des fiches répertoire</t>
  </si>
  <si>
    <t>Fin du texte ▼</t>
  </si>
  <si>
    <t>Limite de caractères : ajoutez / retirez des lettres ►</t>
  </si>
  <si>
    <t>Si le texte déborde du cadre PHASES DE PROGRESSION, supprimez des lettres en fin de la phraseMMMMMMMMMMMMMMmmmmmmmmmmmmmMMM</t>
  </si>
  <si>
    <t>Collez cette ligne de séparation avec un "A" entre 2 Postits  -  Paste this separation line with an “A” between 2 Postits  -  Pegue esta línea de separación con una “A” entre 2 Postits.</t>
  </si>
  <si>
    <t>Cellule rouge</t>
  </si>
  <si>
    <t>en remplacement Collez les compléments si vous en avez besoin</t>
  </si>
  <si>
    <t>Textes en EN ou ES possibles — Formules toujours en FR</t>
  </si>
  <si>
    <t>Délice de Celeste</t>
  </si>
  <si>
    <t>Mélangez la farine, les sucre et le sel.</t>
  </si>
  <si>
    <t>Faites un puis et ajoutez l’œuf, mélangez et incorporez le lait.</t>
  </si>
  <si>
    <t>NE COPIEZ PAS CETTE LIGNE</t>
  </si>
  <si>
    <t>controler les marchandises - qualité - quantité - températures</t>
  </si>
  <si>
    <t>vérifier les DLC - relever les N° de lot ou conserver les étiquettes</t>
  </si>
  <si>
    <t>désinfecter les sachets - poches - barquettes - boites avant ouverture</t>
  </si>
  <si>
    <t>laver légumes et fruits avant utilisation</t>
  </si>
  <si>
    <t>égoutter en bacs perforées si besoin</t>
  </si>
  <si>
    <t>décongeler en bacs perforés + étiquette date de décongélation</t>
  </si>
  <si>
    <t>cuire et refroidir en cellule avant assemblage</t>
  </si>
  <si>
    <t>trancher - découper - hacher en respectant les protocoles</t>
  </si>
  <si>
    <t>préparer l'assaisonnement ou la sauce assembler</t>
  </si>
  <si>
    <t xml:space="preserve">gouter et vérifier l'assaisonnement - dresser - décorer  </t>
  </si>
  <si>
    <t>conditionner et étiqueter DLC</t>
  </si>
  <si>
    <t>garder un plat témoins</t>
  </si>
  <si>
    <t>DÉMARCHE QUALITÉ  -  DÉVELOPPEMENT ET AMÉLIORATION DES RECETTES</t>
  </si>
  <si>
    <t>Descriptif de la recette d'origine</t>
  </si>
  <si>
    <t>Premières impressions sur cette recette produits-technique-prix : que faut-il modifier-pouvons nous la servir à tous nos clients- etc..</t>
  </si>
  <si>
    <t>Recette testée par : MAURICE</t>
  </si>
  <si>
    <t>Modifications  adaptation conseils et suggestions :</t>
  </si>
  <si>
    <t>Débarrasez la viande de tout excès de graisse, séchez-la et frottez-la avec l'assaisonnement ou les herbes aromatiques de votre choix. Faites-la cuire sur une grille ou une mirepoix de légumes crus grossièrement coupée qui laisse l'air circuler autour de la viande. Une fois cuite, la mirepoix ajoute une saveur délicieuse à la sauce prépaparée à partir de ce fond de cuisson</t>
  </si>
  <si>
    <t>Professional use of these recipes requires knowledge of hygiene regulations and HACCP.</t>
  </si>
  <si>
    <t xml:space="preserve">note Maxi par critère = 3   DÉVELOPPEMENT ET AMÉLIORATION DES RECETTES  </t>
  </si>
  <si>
    <t>VISUEL / PRÉSENTATION</t>
  </si>
  <si>
    <t>Les produits ou la recette sont/est :</t>
  </si>
  <si>
    <t>CUISSON</t>
  </si>
  <si>
    <t>Bon</t>
  </si>
  <si>
    <t xml:space="preserve">TEXTURE </t>
  </si>
  <si>
    <t>non acceptable pour nos clients</t>
  </si>
  <si>
    <t xml:space="preserve"> GUSTATIF / SAVEUR</t>
  </si>
  <si>
    <t xml:space="preserve"> GUSTATIF</t>
  </si>
  <si>
    <t>TEMPÉRATURE</t>
  </si>
  <si>
    <t xml:space="preserve">QUALITÉ </t>
  </si>
  <si>
    <t>à améliorer</t>
  </si>
  <si>
    <t>VARIÉTÉ</t>
  </si>
  <si>
    <t>ORIGINALITÉ</t>
  </si>
  <si>
    <t>VISUEL</t>
  </si>
  <si>
    <t>pour les critères saisis</t>
  </si>
  <si>
    <t>BIEN</t>
  </si>
  <si>
    <t>TOTAL obtenu</t>
  </si>
  <si>
    <t xml:space="preserve">TOTAL maxi à atteindre </t>
  </si>
  <si>
    <t>CONCLUSION</t>
  </si>
  <si>
    <t>can we serve it to all our customers</t>
  </si>
  <si>
    <t>Acceptation</t>
  </si>
  <si>
    <t>Refus partiel ou total</t>
  </si>
  <si>
    <t>Contenant</t>
  </si>
  <si>
    <t xml:space="preserve">Température </t>
  </si>
  <si>
    <t xml:space="preserve"> % Humidité </t>
  </si>
  <si>
    <t>Mode</t>
  </si>
  <si>
    <t xml:space="preserve">Fonctionnement </t>
  </si>
  <si>
    <t>Gastro 1/0</t>
  </si>
  <si>
    <t>Air pulsé</t>
  </si>
  <si>
    <t xml:space="preserve"> Préchauffage</t>
  </si>
  <si>
    <t>mixte</t>
  </si>
  <si>
    <t>cuisson 1</t>
  </si>
  <si>
    <t>grilles 2/1</t>
  </si>
  <si>
    <t>cuisson 2</t>
  </si>
  <si>
    <t>assiettes</t>
  </si>
  <si>
    <t>Régénération banquet</t>
  </si>
  <si>
    <t>Température de cuisson</t>
  </si>
  <si>
    <t>Cuisson à Cœur</t>
  </si>
  <si>
    <t xml:space="preserve">CALCULEZ VOS POIDS </t>
  </si>
  <si>
    <t>Maigre de canard sauvage</t>
  </si>
  <si>
    <t>Maigre de porc</t>
  </si>
  <si>
    <t>Jus de cuisson</t>
  </si>
  <si>
    <t>⑥  ajustez les décimales</t>
  </si>
  <si>
    <t>collez les poids ou volumes dans ⑦  &gt;</t>
  </si>
  <si>
    <t>Matériels</t>
  </si>
  <si>
    <t>Temp°</t>
  </si>
  <si>
    <t>Sauteuse</t>
  </si>
  <si>
    <t>rissolage viande</t>
  </si>
  <si>
    <t>Mode fonction &gt;</t>
  </si>
  <si>
    <t>chaleur sèche</t>
  </si>
  <si>
    <t>Four</t>
  </si>
  <si>
    <t>préchauffage</t>
  </si>
  <si>
    <t>saisir la viande</t>
  </si>
  <si>
    <t>cuire la viande à coeur de + 95 / 97 °C</t>
  </si>
  <si>
    <t>Vapeur</t>
  </si>
  <si>
    <t>Mixte</t>
  </si>
  <si>
    <t>Mise en place</t>
  </si>
  <si>
    <t>déconditionnement</t>
  </si>
  <si>
    <t>légumerie</t>
  </si>
  <si>
    <t>plaquage</t>
  </si>
  <si>
    <t>rissolage</t>
  </si>
  <si>
    <t>sauce réduction</t>
  </si>
  <si>
    <t>conditionnement</t>
  </si>
  <si>
    <t>refroidissement température cible</t>
  </si>
  <si>
    <t xml:space="preserve">+ 9 °C </t>
  </si>
  <si>
    <t>Liaison Chaude</t>
  </si>
  <si>
    <t>Liaison froide</t>
  </si>
  <si>
    <t>Saisissez l'effectif -la Quantité p.p. - Quoi - Quantité par contenant et le type de contenant</t>
  </si>
  <si>
    <t xml:space="preserve"> CONDITIONNEMENT</t>
  </si>
  <si>
    <t xml:space="preserve">Quantité </t>
  </si>
  <si>
    <t>Effectifs</t>
  </si>
  <si>
    <t>Quantité p.p.</t>
  </si>
  <si>
    <t>par Assiette(s)</t>
  </si>
  <si>
    <t>madeleine(s)</t>
  </si>
  <si>
    <t>Assiette(s)</t>
  </si>
  <si>
    <t>par portion</t>
  </si>
  <si>
    <t>le contenant peut-être un gastro - 1 plat - 1 louche - 1 barquette etc.</t>
  </si>
  <si>
    <t>saisissez vos valeurs cellules fond jaune</t>
  </si>
  <si>
    <t>UTILITAIRES</t>
  </si>
  <si>
    <t>ESTIMATION DU NOMBRE DE CONTENANTS</t>
  </si>
  <si>
    <t>Effectif &gt;</t>
  </si>
  <si>
    <t>dans 1 contenant ▼</t>
  </si>
  <si>
    <t>portions ▼</t>
  </si>
  <si>
    <t>Quoi ?▼</t>
  </si>
  <si>
    <t>Contenants</t>
  </si>
  <si>
    <t>Poulet 4/4 .12 Cuisses CRUES</t>
  </si>
  <si>
    <t>cuisse</t>
  </si>
  <si>
    <t>GN 2/1 en polycarbonate</t>
  </si>
  <si>
    <t>Poulet 4/4.24 Cuisses petites CUITES</t>
  </si>
  <si>
    <t xml:space="preserve"> bac GN 2/1 H 100 inox plein</t>
  </si>
  <si>
    <t>25 escalopes de volailles cuites 120g</t>
  </si>
  <si>
    <t>escalope</t>
  </si>
  <si>
    <t xml:space="preserve"> bac GN 2/1 H 65 inox plein</t>
  </si>
  <si>
    <t>Viande tranchée 60 tranches</t>
  </si>
  <si>
    <t>tranche</t>
  </si>
  <si>
    <t>GN 1/1 H 100 inox plein</t>
  </si>
  <si>
    <t xml:space="preserve">25 Paupiettes de dindes 120g </t>
  </si>
  <si>
    <t>GN 1/1 H 65 inox plein</t>
  </si>
  <si>
    <t>20 Tomates farcies</t>
  </si>
  <si>
    <t xml:space="preserve">7.2 Kg Tartiflette </t>
  </si>
  <si>
    <t xml:space="preserve"> 4 Kg Brandade de morue</t>
  </si>
  <si>
    <t xml:space="preserve"> 3 Kg Sauté en morceaux</t>
  </si>
  <si>
    <t>liste des contenants</t>
  </si>
  <si>
    <t xml:space="preserve">NOMBRE DE PORTIONS  ET GRAMMAGES PORTIONS </t>
  </si>
  <si>
    <t>Familles</t>
  </si>
  <si>
    <t>Ado</t>
  </si>
  <si>
    <t xml:space="preserve"> Portion weights</t>
  </si>
  <si>
    <t>Nombre de portions résultats arrondis</t>
  </si>
  <si>
    <t xml:space="preserve"> Number of covers</t>
  </si>
  <si>
    <t>Portion weights</t>
  </si>
  <si>
    <t>Familles ►</t>
  </si>
  <si>
    <t>Maternelles - M</t>
  </si>
  <si>
    <t>Primaires - P</t>
  </si>
  <si>
    <t>Adolescents - Ado</t>
  </si>
  <si>
    <t>Adultes - A</t>
  </si>
  <si>
    <t>Adultes plus  - A +</t>
  </si>
  <si>
    <t>① Produit &gt;</t>
  </si>
  <si>
    <t>Escalopes de volailles cuites 120g</t>
  </si>
  <si>
    <t>② contenant  &gt;</t>
  </si>
  <si>
    <t>&lt; ④ Quoi pièces- louches- tranches.etc</t>
  </si>
  <si>
    <t>⑤ poids par portion &gt;</t>
  </si>
  <si>
    <t>⑦ Mater</t>
  </si>
  <si>
    <t>⑦ Prim</t>
  </si>
  <si>
    <t>⑦ Adultes</t>
  </si>
  <si>
    <t>⑦ Ainés</t>
  </si>
  <si>
    <t>convives</t>
  </si>
  <si>
    <t>C/soupe</t>
  </si>
  <si>
    <t>blancs</t>
  </si>
  <si>
    <t>morilles</t>
  </si>
  <si>
    <t>noisette</t>
  </si>
  <si>
    <t>PM</t>
  </si>
  <si>
    <t>Mettre les morilles à tremper dans de l'eau bouillante.</t>
  </si>
  <si>
    <t>Ciseler finement les échalotes et les faire fondre à feu moyen dans le beurre,</t>
  </si>
  <si>
    <t>Cuire les morilles avec un tout petit peu de beurre, les couvrir d'eau et laisser mijoter 20 minutes</t>
  </si>
  <si>
    <t>environ, saler en fin de cuisson lorsqu'il ne reste plus de liquide.</t>
  </si>
  <si>
    <t>Pendant la cuisson des morilles, couper le poulet en petits morceaux, le mettre dans le mixer</t>
  </si>
  <si>
    <t>avec la crème fraîche et le réduire en purée fine.</t>
  </si>
  <si>
    <t>Ajouter les échalotes, mixer à nouveau et incorporer les morilles coupées en petits morceaux.</t>
  </si>
  <si>
    <t>Ajouter la farine, mélanger et terminer en icorporant les blancs d'oeufs.</t>
  </si>
  <si>
    <t>Peser l'appareil et assaisonner.</t>
  </si>
  <si>
    <t>Répartir 100 g de chair environ à 1 centimètre du bord d'un grand morceau de papier-film.</t>
  </si>
  <si>
    <t>Rouler doucement le papier en enfermant la farce en serrant régulièrement.</t>
  </si>
  <si>
    <t>Cuire 15 minutes à petits bouillons.</t>
  </si>
  <si>
    <t>Si vous voulez, vous pouvez assaisonner votre boudin avec 3 cuillerées de Porto.</t>
  </si>
  <si>
    <t xml:space="preserve">À la place des morilles, n'hésitez pas à mettre des cèpes ou de la truffe... </t>
  </si>
  <si>
    <t>En tout cas, d'une façon ou d'une autre, régalez-vous.</t>
  </si>
  <si>
    <t>J"ai essayé une version veau à la place de la volaille, c'est comme ça que je les préfère</t>
  </si>
  <si>
    <t>mais vous pouvez choisir la viande blanche de votre choix!</t>
  </si>
  <si>
    <t>Chauffer une grande casserole en portant de l'eau à ébullition, y plonger les boudins et baisser le feu.</t>
  </si>
  <si>
    <t>Terminer en nouant les extrémités du papier pour donner au boudin.la forme et la longueur souhaitées</t>
  </si>
  <si>
    <t>verser le vin blanc, la même quantité d'eau et laisser mijoter jusqu'à ce qu'il ne reste plus de liquide. Réserver.</t>
  </si>
  <si>
    <t>Blog MAMINA et si c'était bon</t>
  </si>
  <si>
    <t>BOUDIN BLANC MAISON sans boyau AUX MORILLES</t>
  </si>
  <si>
    <t>http://www.mamina.fr/2014/12/boudin-blanc-maison-pour-les-fetes.html</t>
  </si>
  <si>
    <t>https://www.lexpress.fr/styles/saveurs/</t>
  </si>
  <si>
    <t>http://www.canalblog.com/directory/Cuisine%20et%20Gastronomie/</t>
  </si>
  <si>
    <t>https://www.academiedugout.fr/recettes/boudin-blanc-maison_9793_2</t>
  </si>
  <si>
    <t>Boudin blanc poêlé eventail de pomme et de foie gras</t>
  </si>
  <si>
    <t>MARIE    univ-ENSAIA-lorraine.fr</t>
  </si>
  <si>
    <t>4 boudins blancs truffés</t>
  </si>
  <si>
    <t>60 g de foie gras cuit</t>
  </si>
  <si>
    <t>4 pommes reine des reinettes</t>
  </si>
  <si>
    <t>2 cuillère à soupe de calvados</t>
  </si>
  <si>
    <t>le jus d'1/2 citron</t>
  </si>
  <si>
    <t>cuillère à soupe de persil ciselé</t>
  </si>
  <si>
    <t>8 grains de poivre noir</t>
  </si>
  <si>
    <t>1 cuillère à café de gros sel</t>
  </si>
  <si>
    <t>boudins</t>
  </si>
  <si>
    <t>C/café</t>
  </si>
  <si>
    <t>citron(s)</t>
  </si>
  <si>
    <t>grains</t>
  </si>
  <si>
    <t>Piquez les boudins avec les dents d'une fourchette.</t>
  </si>
  <si>
    <t>Faites-les griller dans une poêle avec 20 g de beurre en les retournant souvent.</t>
  </si>
  <si>
    <t>et coupez-les en tranches.</t>
  </si>
  <si>
    <t>Arrosez-les aussitôt de jus de citron pour garder la chair blanche.</t>
  </si>
  <si>
    <t xml:space="preserve">Dans une autre poêle, faites fondre le reste du beurre </t>
  </si>
  <si>
    <t>et faites-y colorer les tranches de pommes environ 3 min de chaque côté.</t>
  </si>
  <si>
    <t>Ecrasez soigneusement les grains de poivre et de sel dans un mortier.</t>
  </si>
  <si>
    <t>Dressez les boudins sur quatre assiettes de service chaudes.</t>
  </si>
  <si>
    <t>Disposez à côté les pommes poêlées et les lamelles de foie gras en éventail.</t>
  </si>
  <si>
    <t xml:space="preserve"> Versez la moutarde dans la poêle ayant contenu les boudins </t>
  </si>
  <si>
    <t xml:space="preserve">et portez sur le feu moyen.laissez cuire quelques instants en </t>
  </si>
  <si>
    <t>tournant à la cuillère en bois, puis versez le calvados et la crème liquide.</t>
  </si>
  <si>
    <t xml:space="preserve">Salez, poivrez </t>
  </si>
  <si>
    <t xml:space="preserve">incorporez le persil ciselé à la sauce. </t>
  </si>
  <si>
    <t>Retirez du feu dès que la crème épaissit</t>
  </si>
  <si>
    <t xml:space="preserve"> et nappez-en les boudins.</t>
  </si>
  <si>
    <t>Servez en décorant d'un brin de cerfeuil ou de persil.</t>
  </si>
  <si>
    <t xml:space="preserve">Pendant ce temps, pelez les pommes, épépinez-les </t>
  </si>
  <si>
    <t>Auteur MARIE    univ-ENSAIA-lorraine.fr</t>
  </si>
  <si>
    <t xml:space="preserve"> Boudin blanc au cognac "très bonne qualité "</t>
  </si>
  <si>
    <t>adaptation du documents de Michel MARIETTE</t>
  </si>
  <si>
    <t>Embossage   :  menu de porc calibre 32/34,  poids de poussage : 110 grs piéce</t>
  </si>
  <si>
    <t>Refroidissement :   dans un bac ( Eau + glace  )</t>
  </si>
  <si>
    <t>Michel MARIETTE</t>
  </si>
  <si>
    <t>charcuterie-BOUDIN-BLANC</t>
  </si>
  <si>
    <r>
      <t xml:space="preserve">Lignes avec </t>
    </r>
    <r>
      <rPr>
        <b/>
        <sz val="11"/>
        <color theme="1"/>
        <rFont val="Calibri"/>
        <family val="2"/>
        <scheme val="minor"/>
      </rPr>
      <t>► blanc sur fond orange</t>
    </r>
  </si>
  <si>
    <r>
      <t xml:space="preserve">Autre possibilité : supprimer les lignes </t>
    </r>
    <r>
      <rPr>
        <b/>
        <sz val="11"/>
        <color theme="1"/>
        <rFont val="Calibri"/>
        <family val="2"/>
        <scheme val="minor"/>
      </rPr>
      <t xml:space="preserve">► </t>
    </r>
  </si>
  <si>
    <t>sur fond lavande pour raccourcir encore le postit.</t>
  </si>
  <si>
    <r>
      <t xml:space="preserve">🔸👉 </t>
    </r>
    <r>
      <rPr>
        <b/>
        <sz val="11"/>
        <color theme="1"/>
        <rFont val="Calibri"/>
        <family val="2"/>
        <scheme val="minor"/>
      </rPr>
      <t>Conséquence</t>
    </r>
    <r>
      <rPr>
        <sz val="11"/>
        <color theme="1"/>
        <rFont val="Calibri"/>
        <family val="2"/>
        <scheme val="minor"/>
      </rPr>
      <t xml:space="preserve"> :si vous supprimez les lignes lavande, </t>
    </r>
  </si>
  <si>
    <t>vous ne pourrez plus coller les compléments de progression.</t>
  </si>
  <si>
    <t>Circuit .1.2.5</t>
  </si>
  <si>
    <t>① le NOM DE LA RECETTE.FAMILLE</t>
  </si>
  <si>
    <t xml:space="preserve"> la Famille</t>
  </si>
  <si>
    <t>pâtisserie--ENTREMET</t>
  </si>
  <si>
    <t>② l' AUTEUR : &gt;</t>
  </si>
  <si>
    <t>les - ou doubles -- sont importants pour de l'extraction de texte ( voir la fiche identification)</t>
  </si>
  <si>
    <t>Recette mère ► MILLE-FEUILLE meringue et chiboust pamplemousse aux fraises des bois ► Famille = pâtisserie--ENTREMET ► CHIBOUST PAMPLEMOUSSE  ⓫  Dupliquée pour 20 couverts</t>
  </si>
  <si>
    <t>L18&amp;" "&amp;M18&amp;" ► Famille = "&amp;Q12&amp;" ► "&amp;J12&amp;" "&amp;P15&amp;" "&amp;Q15&amp;" "&amp;R15&amp;" "&amp;S16</t>
  </si>
  <si>
    <t>Recette mère ► Recette prévu pour quelle préparation</t>
  </si>
  <si>
    <t>MILLE-FEUILLE meringue et chiboust pamplemousse aux fraises des bois</t>
  </si>
  <si>
    <t>Champ d’application ou circuit  1- 2-3-5-6</t>
  </si>
  <si>
    <t>Champ d’application ou circuit des documents</t>
  </si>
  <si>
    <t>1 Archivage</t>
  </si>
  <si>
    <t>2 Chef</t>
  </si>
  <si>
    <t>3 Responsable qualité</t>
  </si>
  <si>
    <t>4 Directeur</t>
  </si>
  <si>
    <t>5 Cuisiniers</t>
  </si>
  <si>
    <t>6 Magasinier</t>
  </si>
  <si>
    <t>④ Quantité ou Nombre d'unités selon fiche</t>
  </si>
  <si>
    <t xml:space="preserve">⑤ Quoi </t>
  </si>
  <si>
    <t>œufs - cuisses -tartes - parts  ou - CB = cuillère de bar -BS =Barspoon - CC = cuillère à café - CT = cuillère à thé -CP = cuillère à potage - QS = quantité suffisante - PM = pour mémoire - plaques gastro 1/1 - louches...etc</t>
  </si>
  <si>
    <t>lorsque vous saisissez un nombre d'unités ⑤</t>
  </si>
  <si>
    <t>et un Poids ou Volume ⑥ "de" s'affiche automatiquement pour indiquer que vous saisissez un poids à l'unité</t>
  </si>
  <si>
    <t>⑥ Poids ou Volume ajustez les décimales (+ ou - de 0 )</t>
  </si>
  <si>
    <t xml:space="preserve">tout ce qui n'est pas saisi dans la colonne ⑥ Poids ou Volume </t>
  </si>
  <si>
    <t>ne sera pas comptabilisé dans les poids</t>
  </si>
  <si>
    <t>Produits à la pièce &gt;  nombre 27 jaunes d'œufs  et poids d' 1  jaune</t>
  </si>
  <si>
    <t>les ¼ de botte de fines herbes en 0,25 ou en quart(s)</t>
  </si>
  <si>
    <t>Lait 0.75 ou 3 quart/L  - ½ citron 0.5 ou 1 demi(s)</t>
  </si>
  <si>
    <t>Selon modèle en fonction du nombre de colonnes vous pouvez obtenir ce genre de résultat</t>
  </si>
  <si>
    <t>zestes de pamplemousse</t>
  </si>
  <si>
    <t>40 cl</t>
  </si>
  <si>
    <t>▲ dans cette colonne la présence de la fonction RECHERCHEX est indispensable pour le fonctionnement des documents répertoire</t>
  </si>
  <si>
    <t>SIERREUR(RECHERCHEX(MAJUSCULE(SUPPRESPACE(W77));MAJUSCULE(SUPPRESPACE(S90:AG90));S91:AG91;RECHERCHEX(MAJUSCULE(SUPPRESPACE(W77));MAJUSCULE(SUPPRESPACE(S92:AG92));S93:AG93;0))*V77*SI(S77&gt;0;S77;1);0)</t>
  </si>
  <si>
    <t>SI(W77="";"";SI(NB.SI(Z90:AG90;SUBSTITUE(SUPPRESPACE(W77);" (s)";""))+NB.SI(Z92:AG92;SUBSTITUE(SUPPRESPACE(W77);" (s)";""))&gt;0;SI(ARRONDI(AF77;3)&gt;=1;ARRONDI(AF77;3)&amp;" L";MAX(1;ARRONDI(AF77*100;0))&amp;" cl");SI(NB.SI(S90:X90;SUBSTITUE(SUPPRESPACE(W77);" (s)";""))+NB.SI(S92:X92;SUBSTITUE(SUPPRESPACE(W77);" (s)";""))&gt;0;SI(ARRONDI(AF77;3)&gt;=1;ARRONDI(AF77;3)&amp;" Kg";MAX(1;ARRONDI(AF77*1000;0))&amp;" g");"")))</t>
  </si>
  <si>
    <t>lorsque vous saisissez une valeur dans ④ Quantité ET dans ⑥ Poids ou Volume</t>
  </si>
  <si>
    <t>"de" s'affiche automatiquement pour éviter toute confusion " 27 " " jaunes d'œufs"  "de"  " 20 g"</t>
  </si>
  <si>
    <t>OU cette présentation</t>
  </si>
  <si>
    <t xml:space="preserve"> Vos poids et volumesBruts avec coef.</t>
  </si>
  <si>
    <t xml:space="preserve"> % Perte</t>
  </si>
  <si>
    <t xml:space="preserve"> Vos poids et volumes Nets avec coef.</t>
  </si>
  <si>
    <t>Crème liquide</t>
  </si>
  <si>
    <t>1.11 Kg</t>
  </si>
  <si>
    <t>1 110 g</t>
  </si>
  <si>
    <t>888 g</t>
  </si>
  <si>
    <t>grand Marnier</t>
  </si>
  <si>
    <t>13 cl</t>
  </si>
  <si>
    <t>133 ml</t>
  </si>
  <si>
    <t>119.88 ml</t>
  </si>
  <si>
    <t>8.325 Kg</t>
  </si>
  <si>
    <t>33 quart(s)</t>
  </si>
  <si>
    <t>23.31 quart(s)</t>
  </si>
  <si>
    <t>Quantité ou nombre d'unités au choix</t>
  </si>
  <si>
    <t>bottes</t>
  </si>
  <si>
    <t>¼ de botte de fines herbes</t>
  </si>
  <si>
    <t>citrons</t>
  </si>
  <si>
    <t>½ citron</t>
  </si>
  <si>
    <t>¾ de litre</t>
  </si>
  <si>
    <t>tout ce qui n'est pas saisi dans la colonne ⑥ Poids ou Volume ne sera pas comptabilisé dans les poids</t>
  </si>
  <si>
    <t>Un point manquant ou un espace en plus et Excel ne reconnait pas. Donc faites du Copier / Coller</t>
  </si>
  <si>
    <t>⑥Poids ou Volume ajustez les décimales (+ ou - de 0 )</t>
  </si>
  <si>
    <t>lorsque vous collez 1 Quart ; 1 demi ; 1 Tiers col .⑤ Quoi il n'y a pas de poids le résultat s'affiche en quantité colonnes 18 - 19 Unités et Quoi ?</t>
  </si>
  <si>
    <t>Quelle différence</t>
  </si>
  <si>
    <t>Poids et volumes arrondis</t>
  </si>
  <si>
    <t>440 L</t>
  </si>
  <si>
    <t>880 demi/L</t>
  </si>
  <si>
    <t xml:space="preserve"> volumes  si &gt; à 1 ; = L  sinon  cl</t>
  </si>
  <si>
    <t>quart(s)</t>
  </si>
  <si>
    <t>demi(s)</t>
  </si>
  <si>
    <t>440 Kg</t>
  </si>
  <si>
    <t>880 demi(s)</t>
  </si>
  <si>
    <t xml:space="preserve"> Poids si &gt; à 1 ; = Kg  sinon  g</t>
  </si>
  <si>
    <t>1 quart de melon</t>
  </si>
  <si>
    <t xml:space="preserve">1 demi part - </t>
  </si>
  <si>
    <t>les Valeurs de recherche sont en Kg - exemple 1 verre = 0.225</t>
  </si>
  <si>
    <t>⑦g.kg.L.dl.cl.ml  Collez une unité au choix</t>
  </si>
  <si>
    <t>⑧  Coefficient</t>
  </si>
  <si>
    <t>le Coefficient vous permet d'augmenter</t>
  </si>
  <si>
    <t>de diminuer ou d'éviter un ingrédient</t>
  </si>
  <si>
    <t xml:space="preserve">Vous pouvez détourner l'utilisation de la colonne Coefficient en augmentant ou  diminuant </t>
  </si>
  <si>
    <t>pour faire varier le poids d'un aliment  sans recommencer une nouvelle fiche</t>
  </si>
  <si>
    <t xml:space="preserve">Vous pouvez également saisir la valeur 0 zéro pour un aliment allergène selon convives </t>
  </si>
  <si>
    <t xml:space="preserve">ou supprimer un ingrédient piment ou autres par exemple </t>
  </si>
  <si>
    <t>si vous saisissez une valeur différente de 1 la cellule change de couleur  pour attirer votre attention</t>
  </si>
  <si>
    <t xml:space="preserve"> (Mise en Forme Conditionnelle)</t>
  </si>
  <si>
    <t>gomme</t>
  </si>
  <si>
    <t xml:space="preserve">◄  Si la colonne 11 est rouge, collez la "gomme" </t>
  </si>
  <si>
    <t xml:space="preserve"> ensuite supprimez le mot "gomme." et saisissez un chiffre</t>
  </si>
  <si>
    <t>vous pouvez saisir un autre poids selon vos besoins</t>
  </si>
  <si>
    <t xml:space="preserve">cette colonne vous permet de comparer les recettes . </t>
  </si>
  <si>
    <t>les Auteurs prévoient leur recettes pour des quantités ou un nombre de portions différentes</t>
  </si>
  <si>
    <t>Il est donc difficile de comparer. Avec cette colonne cela devient facile</t>
  </si>
  <si>
    <t>The Author planned the recipe for how many covers or for what weight</t>
  </si>
  <si>
    <t>18-cm tarts</t>
  </si>
  <si>
    <t>sponge sheets</t>
  </si>
  <si>
    <t>frame(s)</t>
  </si>
  <si>
    <t>OR make another choice</t>
  </si>
  <si>
    <t>either you choose to duplicate the recipe starting from a headcount or from the weight of one item—for example flour for bread</t>
  </si>
  <si>
    <t>covers/servings</t>
  </si>
  <si>
    <t>chickens</t>
  </si>
  <si>
    <t>kg of beef</t>
  </si>
  <si>
    <t>kg of flour</t>
  </si>
  <si>
    <t>eggs</t>
  </si>
  <si>
    <t xml:space="preserve">en fonction de vos convives vous estimez cette recette pour combien </t>
  </si>
  <si>
    <t>Vous pouvez valider en re-saisissant les mêmes valeurs que l'Auteur</t>
  </si>
  <si>
    <t>cadre(s)</t>
  </si>
  <si>
    <t>tartes de 18 cm</t>
  </si>
  <si>
    <t>OU faire un autre choix</t>
  </si>
  <si>
    <t>soit vous faites le choix de dupliquer la recette à partir d'un effectif ou du poids d'une denrée Exemple farine pour le pain</t>
  </si>
  <si>
    <t>poulets</t>
  </si>
  <si>
    <t>Kg de bœuf</t>
  </si>
  <si>
    <t>Kg de farine</t>
  </si>
  <si>
    <t>▲  C'est cette première valeur qu'Excel va utiliser</t>
  </si>
  <si>
    <t xml:space="preserve"> Facultatif Produit de référence</t>
  </si>
  <si>
    <t>Si vous estimez que les grammages sont trop ou pas assez copieux pour vos convives : modifiez vos portions ❿  Trop copieux :  augmentez - Pas assez copieux diminuez</t>
  </si>
  <si>
    <t xml:space="preserve"> A dupliquer pour</t>
  </si>
  <si>
    <t xml:space="preserve">à vous de saisir la quantité </t>
  </si>
  <si>
    <t>▲  C'est la valeur saisie dans cette cellule  qu'Excel va utiliser pour  dupliquer la recette</t>
  </si>
  <si>
    <t>selon modèles vous pouvez avoir :</t>
  </si>
  <si>
    <t xml:space="preserve">  % Perte</t>
  </si>
  <si>
    <t>1 Kg de produit pert combien à l'épluchage ou au parage - au conditionnement etc..</t>
  </si>
  <si>
    <t>Brut Équivalences arrondies</t>
  </si>
  <si>
    <t>Poids Bruts</t>
  </si>
  <si>
    <t>750 g</t>
  </si>
  <si>
    <t>Équivalences arrondies les poids supérieurs à 1 Kg sont exprimés en Kg</t>
  </si>
  <si>
    <t>les poids inférieurs à 1 Kg sont exprimés en g</t>
  </si>
  <si>
    <t>TABLEAU DE RECHERCHE  - LOOKUP_TABLE - TABLA_DE_BÚSQUEDA</t>
  </si>
  <si>
    <t>Col.6 to 7 are reserved for weights (Kg)</t>
  </si>
  <si>
    <t>Cols 12 to 18 are reserved for volumes</t>
  </si>
  <si>
    <t>▲ Lookup table: Col.6 to 7 are reserved for weights (Kg)</t>
  </si>
  <si>
    <t xml:space="preserve">parce que la Col.18 s'en sert pour conversion en g </t>
  </si>
  <si>
    <t>Si c’est un poids :</t>
  </si>
  <si>
    <t>val ≥ 1 ⇒ affichage en kilogrammes (Kg) avec 3 décimales max.</t>
  </si>
  <si>
    <t>Cup(s)</t>
  </si>
  <si>
    <t>val &lt; 1 ⇒ conversion en grammes (g) et arrondi à l’entier, minimum 1 g.</t>
  </si>
  <si>
    <t>IMPORTANT</t>
  </si>
  <si>
    <t>les colonnes 2 à 5</t>
  </si>
  <si>
    <t>MAJUSCULE(GAUCHE(J12;1))&amp;" "&amp;J12&amp;" | "&amp;Q12&amp;"| "&amp;J14&amp;" "&amp;K14</t>
  </si>
  <si>
    <t>contiennent les informations utiles pour l'archivage et le fonctionnement des répertoires</t>
  </si>
  <si>
    <t xml:space="preserve">C CHIBOUST PAMPLEMOUSSE | pâtisserie--ENTREMET| Auteur &gt; M. Guy KRENZER, Eric GODDYN, Jean François DEPORT </t>
  </si>
  <si>
    <t>Recette mère ► MILLE-FEUILLE meringue et chiboust pamplemousse aux fraises des bois</t>
  </si>
  <si>
    <t>Matthieu Dugal répond à vos questions sur l'intelligence artificielle!</t>
  </si>
  <si>
    <t>https://www.youtube.com/watch?v=8Lz6KCW3Nqo</t>
  </si>
  <si>
    <t>Les traductions (approximatives) ont été réalisées avec l’aide de ChatGPT. En revanche, les formules sont conçues pour Excel en français, version 2021 ou ultérieure.</t>
  </si>
  <si>
    <t>Si vous remplacez la formule de la colonne 15 par une version sans RECHERCHEX, vous devrez adapter les formules des colonnes 20, 27 et 34 en conséquence dans la fiche Répertoire .</t>
  </si>
  <si>
    <t>Col.20 =SI(SUPPRESPACE(Q22)="Adresse PC";"▼ recette suivante";SI(AI22&gt;0;M22;""))</t>
  </si>
  <si>
    <t>Col.27 =SI(SUPPRESPACE(AE22)="▼ recette suivante";AE22;SI(AK22&gt;0;AN9;0))</t>
  </si>
  <si>
    <t>Col.34 =SI(SUPPRESPACE(AE22)="▼ recette suivante";AE22;SI(AO22="";"";SI(ESTVIDE(AR22);AO22;ARRONDI(AO22*(1-MIN(1;MAX(0;SI(AR22&gt;1;AR22/100;AR22))));3))))</t>
  </si>
  <si>
    <t>◄ vous pouvez masquer les 10 colonnes de C à L</t>
  </si>
  <si>
    <t>▲ ce texte " Adresse PC "   est important pour séparer les recettes dans la fiche répertoire</t>
  </si>
  <si>
    <t>SI(SUPPRESPACE(Q255)="Adresse PC";"▼ recette suivante";SI(AH255&gt;0;M255;""))</t>
  </si>
  <si>
    <t>Famille de convives pour adapter les menus et les grammages sur cette fiche je n'ai retenu que les familles en gras</t>
  </si>
  <si>
    <t>M - Maternelles</t>
  </si>
  <si>
    <t>P - Primaires</t>
  </si>
  <si>
    <t>A - Adultes sédentaires</t>
  </si>
  <si>
    <t>A + - Adultes travailleurs de force et/ou Adolescents</t>
  </si>
  <si>
    <t>SM - Seniors Midi</t>
  </si>
  <si>
    <t>SD - Seniors Diner</t>
  </si>
  <si>
    <t>SW - Seniors Week-End</t>
  </si>
  <si>
    <t>S - Seniors</t>
  </si>
  <si>
    <t>E - Enfants</t>
  </si>
  <si>
    <t>T - Tous convives</t>
  </si>
  <si>
    <t>A+ = Adultes + Adolescents - Travailleurs de force</t>
  </si>
  <si>
    <r>
      <t xml:space="preserve">Dans ces nouveaux </t>
    </r>
    <r>
      <rPr>
        <b/>
        <sz val="12"/>
        <color theme="1"/>
        <rFont val="Calibri"/>
        <family val="2"/>
        <scheme val="minor"/>
      </rPr>
      <t>Postits 20 colonnes</t>
    </r>
    <r>
      <rPr>
        <sz val="12"/>
        <color theme="1"/>
        <rFont val="Calibri"/>
        <family val="2"/>
        <scheme val="minor"/>
      </rPr>
      <t xml:space="preserve">, vous pouvez supprimer les lignes </t>
    </r>
    <r>
      <rPr>
        <b/>
        <sz val="12"/>
        <color theme="1"/>
        <rFont val="Calibri"/>
        <family val="2"/>
        <scheme val="minor"/>
      </rPr>
      <t>► non utilisées</t>
    </r>
  </si>
  <si>
    <t>https://www.hotellerie-restauration.ac-versailles.fr/spip.php?article4551</t>
  </si>
  <si>
    <t>Des fiches techniques Excel pour tous les métiers de bouche</t>
  </si>
  <si>
    <t>Des modèles de fiches techniques adaptés aux usages professionnels</t>
  </si>
  <si>
    <t>Établissements de la filière et formations Formation Ressources</t>
  </si>
  <si>
    <t>mardi 9 décembre 2025, par Laurent Nadiras</t>
  </si>
  <si>
    <t>Le Centre de Ressources National Hôtellerie-Restauration relaie le travail de Joël Leboucher, créateur du site cuisine-centrale17.fr, qui met gratuitement à disposition des modèles de fiches techniques sous Excel pour l’ensemble des métiers de bouche.</t>
  </si>
  <si>
    <r>
      <t xml:space="preserve">Ces fiches ont été conçues pour répondre aux besoins spécifiques de la </t>
    </r>
    <r>
      <rPr>
        <b/>
        <sz val="11"/>
        <color theme="1"/>
        <rFont val="Calibri"/>
        <family val="2"/>
        <scheme val="minor"/>
      </rPr>
      <t>restauration collective</t>
    </r>
    <r>
      <rPr>
        <sz val="11"/>
        <color theme="1"/>
        <rFont val="Calibri"/>
        <family val="2"/>
        <scheme val="minor"/>
      </rPr>
      <t xml:space="preserve"> (cuisines centrales, restauration territoriale, EHPAD, etc.), de la </t>
    </r>
    <r>
      <rPr>
        <b/>
        <sz val="11"/>
        <color theme="1"/>
        <rFont val="Calibri"/>
        <family val="2"/>
        <scheme val="minor"/>
      </rPr>
      <t>restauration scolaire</t>
    </r>
    <r>
      <rPr>
        <sz val="11"/>
        <color theme="1"/>
        <rFont val="Calibri"/>
        <family val="2"/>
        <scheme val="minor"/>
      </rPr>
      <t xml:space="preserve">, mais aussi des </t>
    </r>
    <r>
      <rPr>
        <b/>
        <sz val="11"/>
        <color theme="1"/>
        <rFont val="Calibri"/>
        <family val="2"/>
        <scheme val="minor"/>
      </rPr>
      <t>lycées hôteliers</t>
    </r>
    <r>
      <rPr>
        <sz val="11"/>
        <color theme="1"/>
        <rFont val="Calibri"/>
        <family val="2"/>
        <scheme val="minor"/>
      </rPr>
      <t xml:space="preserve">, et </t>
    </r>
    <r>
      <rPr>
        <b/>
        <sz val="11"/>
        <color theme="1"/>
        <rFont val="Calibri"/>
        <family val="2"/>
        <scheme val="minor"/>
      </rPr>
      <t>CFA cuisine/pâtisserie</t>
    </r>
    <r>
      <rPr>
        <sz val="11"/>
        <color theme="1"/>
        <rFont val="Calibri"/>
        <family val="2"/>
        <scheme val="minor"/>
      </rPr>
      <t xml:space="preserve">. Elles constituent des outils opérationnels pour les équipes de production et des </t>
    </r>
    <r>
      <rPr>
        <b/>
        <sz val="11"/>
        <color theme="1"/>
        <rFont val="Calibri"/>
        <family val="2"/>
        <scheme val="minor"/>
      </rPr>
      <t>supports pédagogiques</t>
    </r>
    <r>
      <rPr>
        <sz val="11"/>
        <color theme="1"/>
        <rFont val="Calibri"/>
        <family val="2"/>
        <scheme val="minor"/>
      </rPr>
      <t xml:space="preserve"> de qualité pour les élèves, apprentis, enseignants et formateurs.</t>
    </r>
  </si>
  <si>
    <r>
      <t xml:space="preserve">Les fiches techniques Excel proposées par </t>
    </r>
    <r>
      <rPr>
        <b/>
        <sz val="11"/>
        <color theme="1"/>
        <rFont val="Calibri"/>
        <family val="2"/>
        <scheme val="minor"/>
      </rPr>
      <t xml:space="preserve">Joël Leboucher </t>
    </r>
    <r>
      <rPr>
        <sz val="11"/>
        <color theme="1"/>
        <rFont val="Calibri"/>
        <family val="2"/>
        <scheme val="minor"/>
      </rPr>
      <t>couvrent de nombreux secteurs :</t>
    </r>
  </si>
  <si>
    <t>Cuisine</t>
  </si>
  <si>
    <t>Pâtisserie</t>
  </si>
  <si>
    <t>Boulangerie</t>
  </si>
  <si>
    <t>Charcuterie</t>
  </si>
  <si>
    <t>Traiteur</t>
  </si>
  <si>
    <t>Bar et cocktails</t>
  </si>
  <si>
    <t>Elles ont été pensées pour faciliter le travail quotidien des équipes de cuisine et standardiser la documentation technologique. Parmi les fonctionnalités proposées :</t>
  </si>
  <si>
    <r>
      <t>Calculs automatiques</t>
    </r>
    <r>
      <rPr>
        <sz val="11"/>
        <color theme="1"/>
        <rFont val="Calibri"/>
        <family val="2"/>
        <scheme val="minor"/>
      </rPr>
      <t xml:space="preserve"> (quantités, rendements, coûts, etc.)</t>
    </r>
  </si>
  <si>
    <t>Saisies possibles en poids et en volumes</t>
  </si>
  <si>
    <t>Grammages par portion et pour 1 kg</t>
  </si>
  <si>
    <t>Conversions en g et en cL</t>
  </si>
  <si>
    <r>
      <t>Aide à l’organisation</t>
    </r>
    <r>
      <rPr>
        <sz val="11"/>
        <color theme="1"/>
        <rFont val="Calibri"/>
        <family val="2"/>
        <scheme val="minor"/>
      </rPr>
      <t xml:space="preserve"> de la production</t>
    </r>
  </si>
  <si>
    <r>
      <t>Tableau de mise en forme</t>
    </r>
    <r>
      <rPr>
        <sz val="11"/>
        <color theme="1"/>
        <rFont val="Calibri"/>
        <family val="2"/>
        <scheme val="minor"/>
      </rPr>
      <t xml:space="preserve"> pour découper un texte sans couper les mots</t>
    </r>
  </si>
  <si>
    <r>
      <t>Support pédagogique</t>
    </r>
    <r>
      <rPr>
        <sz val="11"/>
        <color theme="1"/>
        <rFont val="Calibri"/>
        <family val="2"/>
        <scheme val="minor"/>
      </rPr>
      <t xml:space="preserve"> utilisable en cours avec des élèves ou apprentis</t>
    </r>
  </si>
  <si>
    <t xml:space="preserve">Ces fichiers permettent ainsi de travailler avec les apprenants sur les notions de grammages, de proportionnalité, </t>
  </si>
  <si>
    <t>de coûts et de planification de la production, tout en restant au plus près de la réalité des cuisines professionnelles.</t>
  </si>
  <si>
    <t>Une ressource gratuite pour les enseignants et les formateurs</t>
  </si>
  <si>
    <r>
      <t xml:space="preserve">Les modèles de fiches techniques Excel de </t>
    </r>
    <r>
      <rPr>
        <b/>
        <sz val="11"/>
        <color theme="1"/>
        <rFont val="Calibri"/>
        <family val="2"/>
        <scheme val="minor"/>
      </rPr>
      <t>Joël Leboucher</t>
    </r>
    <r>
      <rPr>
        <sz val="11"/>
        <color theme="1"/>
        <rFont val="Calibri"/>
        <family val="2"/>
        <scheme val="minor"/>
      </rPr>
      <t xml:space="preserve"> sont mis à disposition en </t>
    </r>
    <r>
      <rPr>
        <b/>
        <sz val="11"/>
        <color theme="1"/>
        <rFont val="Calibri"/>
        <family val="2"/>
        <scheme val="minor"/>
      </rPr>
      <t>téléchargement gratuit</t>
    </r>
    <r>
      <rPr>
        <sz val="11"/>
        <color theme="1"/>
        <rFont val="Calibri"/>
        <family val="2"/>
        <scheme val="minor"/>
      </rPr>
      <t xml:space="preserve">. </t>
    </r>
  </si>
  <si>
    <t>Ils peuvent être utilisés comme :</t>
  </si>
  <si>
    <t>Outils de gestion et d’organisation pour les cuisines pédagogiques ou de production ;</t>
  </si>
  <si>
    <r>
      <t xml:space="preserve">Supports de cours en </t>
    </r>
    <r>
      <rPr>
        <b/>
        <sz val="11"/>
        <color theme="1"/>
        <rFont val="Calibri"/>
        <family val="2"/>
        <scheme val="minor"/>
      </rPr>
      <t>Cuisine</t>
    </r>
    <r>
      <rPr>
        <sz val="11"/>
        <color theme="1"/>
        <rFont val="Calibri"/>
        <family val="2"/>
        <scheme val="minor"/>
      </rPr>
      <t xml:space="preserve">, </t>
    </r>
    <r>
      <rPr>
        <b/>
        <sz val="11"/>
        <color theme="1"/>
        <rFont val="Calibri"/>
        <family val="2"/>
        <scheme val="minor"/>
      </rPr>
      <t>Pâtisserie</t>
    </r>
    <r>
      <rPr>
        <sz val="11"/>
        <color theme="1"/>
        <rFont val="Calibri"/>
        <family val="2"/>
        <scheme val="minor"/>
      </rPr>
      <t>,</t>
    </r>
    <r>
      <rPr>
        <b/>
        <sz val="11"/>
        <color theme="1"/>
        <rFont val="Calibri"/>
        <family val="2"/>
        <scheme val="minor"/>
      </rPr>
      <t>Boulangerie</t>
    </r>
    <r>
      <rPr>
        <sz val="11"/>
        <color theme="1"/>
        <rFont val="Calibri"/>
        <family val="2"/>
        <scheme val="minor"/>
      </rPr>
      <t xml:space="preserve">, </t>
    </r>
    <r>
      <rPr>
        <b/>
        <sz val="11"/>
        <color theme="1"/>
        <rFont val="Calibri"/>
        <family val="2"/>
        <scheme val="minor"/>
      </rPr>
      <t>Charcuterie-traiteur</t>
    </r>
    <r>
      <rPr>
        <sz val="11"/>
        <color theme="1"/>
        <rFont val="Calibri"/>
        <family val="2"/>
        <scheme val="minor"/>
      </rPr>
      <t xml:space="preserve"> et </t>
    </r>
    <r>
      <rPr>
        <b/>
        <sz val="11"/>
        <color theme="1"/>
        <rFont val="Calibri"/>
        <family val="2"/>
        <scheme val="minor"/>
      </rPr>
      <t>Bar</t>
    </r>
    <r>
      <rPr>
        <sz val="11"/>
        <color theme="1"/>
        <rFont val="Calibri"/>
        <family val="2"/>
        <scheme val="minor"/>
      </rPr>
      <t> ;</t>
    </r>
  </si>
  <si>
    <t>Documents de référence pour les travaux dirigés, études de cas, évaluations, etc.</t>
  </si>
  <si>
    <r>
      <t>Joël Leboucher</t>
    </r>
    <r>
      <rPr>
        <sz val="11"/>
        <color theme="1"/>
        <rFont val="Calibri"/>
        <family val="2"/>
        <scheme val="minor"/>
      </rPr>
      <t xml:space="preserve"> a notamment </t>
    </r>
    <r>
      <rPr>
        <b/>
        <sz val="11"/>
        <color theme="1"/>
        <rFont val="Calibri"/>
        <family val="2"/>
        <scheme val="minor"/>
      </rPr>
      <t>relooké le fichier « 18 colonnes » et ajouté deux colonnes supplémentaires</t>
    </r>
    <r>
      <rPr>
        <sz val="11"/>
        <color theme="1"/>
        <rFont val="Calibri"/>
        <family val="2"/>
        <scheme val="minor"/>
      </rPr>
      <t>,</t>
    </r>
  </si>
  <si>
    <t>afin d’offrir encore plus de souplesse aux utilisateurs.</t>
  </si>
  <si>
    <t>Pour accéder directement à la page de téléchargement des modèles de fiches techniques :</t>
  </si>
  <si>
    <t>Qui est Joël Leboucher ?</t>
  </si>
  <si>
    <t>Professionnel de la restauration collective, Joël Leboucher partage bénévolement des ressources Excel pour les métiers de bouche. Sur le site cuisine-centrale17.fr, il propose des modèles de fiches techniques et de recettes, des documents de travail (organisation, maîtrise sanitaire…) et quelques supports de formation et tutoriels numériques.</t>
  </si>
  <si>
    <r>
      <t xml:space="preserve">Des </t>
    </r>
    <r>
      <rPr>
        <b/>
        <sz val="11"/>
        <color theme="1"/>
        <rFont val="Calibri"/>
        <family val="2"/>
        <scheme val="minor"/>
      </rPr>
      <t>modèles de fiches techniques et de recettes</t>
    </r>
    <r>
      <rPr>
        <sz val="11"/>
        <color theme="1"/>
        <rFont val="Calibri"/>
        <family val="2"/>
        <scheme val="minor"/>
      </rPr>
      <t xml:space="preserve"> sous Excel ;</t>
    </r>
  </si>
  <si>
    <r>
      <t xml:space="preserve">Des </t>
    </r>
    <r>
      <rPr>
        <b/>
        <sz val="11"/>
        <color theme="1"/>
        <rFont val="Calibri"/>
        <family val="2"/>
        <scheme val="minor"/>
      </rPr>
      <t>documents de travail</t>
    </r>
    <r>
      <rPr>
        <sz val="11"/>
        <color theme="1"/>
        <rFont val="Calibri"/>
        <family val="2"/>
        <scheme val="minor"/>
      </rPr>
      <t xml:space="preserve"> (plan de nettoyage, maîtrise sanitaire, etc.) ;</t>
    </r>
  </si>
  <si>
    <r>
      <t xml:space="preserve">Des </t>
    </r>
    <r>
      <rPr>
        <b/>
        <sz val="11"/>
        <color theme="1"/>
        <rFont val="Calibri"/>
        <family val="2"/>
        <scheme val="minor"/>
      </rPr>
      <t>fiches produits</t>
    </r>
    <r>
      <rPr>
        <sz val="11"/>
        <color theme="1"/>
        <rFont val="Calibri"/>
        <family val="2"/>
        <scheme val="minor"/>
      </rPr>
      <t xml:space="preserve"> et supports de formation ;</t>
    </r>
  </si>
  <si>
    <r>
      <t xml:space="preserve">Des </t>
    </r>
    <r>
      <rPr>
        <b/>
        <sz val="11"/>
        <color theme="1"/>
        <rFont val="Calibri"/>
        <family val="2"/>
        <scheme val="minor"/>
      </rPr>
      <t>tutoriels</t>
    </r>
    <r>
      <rPr>
        <sz val="11"/>
        <color theme="1"/>
        <rFont val="Calibri"/>
        <family val="2"/>
        <scheme val="minor"/>
      </rPr>
      <t xml:space="preserve"> pour l’utilisation de logiciels et outils numériques.</t>
    </r>
  </si>
  <si>
    <r>
      <t xml:space="preserve">Engagé de longue date dans la profession, </t>
    </r>
    <r>
      <rPr>
        <b/>
        <sz val="11"/>
        <color theme="1"/>
        <rFont val="Calibri"/>
        <family val="2"/>
        <scheme val="minor"/>
      </rPr>
      <t>Joël Leboucher</t>
    </r>
    <r>
      <rPr>
        <sz val="11"/>
        <color theme="1"/>
        <rFont val="Calibri"/>
        <family val="2"/>
        <scheme val="minor"/>
      </rPr>
      <t xml:space="preserve"> contribue également à la</t>
    </r>
  </si>
  <si>
    <r>
      <t xml:space="preserve">diffusion des bonnes pratiques au sein de la restauration territoriale et est impliqué dans des réseaux professionnels de la restauration collective. Ses travaux sont régulièrement utilisés comme </t>
    </r>
    <r>
      <rPr>
        <b/>
        <sz val="11"/>
        <color theme="1"/>
        <rFont val="Calibri"/>
        <family val="2"/>
        <scheme val="minor"/>
      </rPr>
      <t>ressources de référence</t>
    </r>
    <r>
      <rPr>
        <sz val="11"/>
        <color theme="1"/>
        <rFont val="Calibri"/>
        <family val="2"/>
        <scheme val="minor"/>
      </rPr>
      <t xml:space="preserve"> par des collectivités, des associations professionnelles et des établissements de formation.</t>
    </r>
  </si>
  <si>
    <t>Intérêt pour la formation initiale et continue</t>
  </si>
  <si>
    <t>Ces fichiers font le lien entre la réalité de la production en restauration collective et les besoins des enseignants, formateurs et apprenants. Ils peuvent être utilisés pour : mettre les élèves en situation professionnelle, à travailler les outils de gestion et de traçabilité et à accompagner l’application des référentiels en hôtellerie-restauration et métiers de l’alimentation.</t>
  </si>
  <si>
    <t>Mettre les élèves de CAP, CS, Bac Pro, BP et BTS en situation professionnelle réaliste ;</t>
  </si>
  <si>
    <t>Initier les apprenants aux outils de gestion et de traçabilité utilisés sur le terrain ;</t>
  </si>
  <si>
    <t>Accompagner la mise en œuvre des référentiels en Hôtellerie-Restauration et Alimentation.</t>
  </si>
  <si>
    <r>
      <t xml:space="preserve">Le Centre de Ressources National Hôtellerie-Restauration remercie </t>
    </r>
    <r>
      <rPr>
        <b/>
        <sz val="11"/>
        <color theme="1"/>
        <rFont val="Calibri"/>
        <family val="2"/>
        <scheme val="minor"/>
      </rPr>
      <t>Joël Leboucher</t>
    </r>
    <r>
      <rPr>
        <sz val="11"/>
        <color theme="1"/>
        <rFont val="Calibri"/>
        <family val="2"/>
        <scheme val="minor"/>
      </rPr>
      <t xml:space="preserve"> pour ce travail de mutualisation au service des équipes pédagogiques et des professionnels.</t>
    </r>
  </si>
  <si>
    <t> Courriel de Joël Leboucher : Pour lui écrire</t>
  </si>
  <si>
    <t> Cuisine-centrale17.fr - Union des Personnels de la Restauration Territoriale</t>
  </si>
  <si>
    <t> Page Facebook de l’UPRT</t>
  </si>
  <si>
    <t>(Je fournis la base. Vous construisez votre outil)</t>
  </si>
  <si>
    <t>Allergènes</t>
  </si>
  <si>
    <t>Moteur allergènes – utilisation cuisiniers 184 lignes de saisie  - Dictionnaire intégré (792 termes) - 51 colonnes masquées - dictionnaire en colonnes masquées</t>
  </si>
  <si>
    <t>8 colonnes masquées ►</t>
  </si>
  <si>
    <t>►   Masquez ces colonnes</t>
  </si>
  <si>
    <t>Saisie jusqu’à la ligne 200     formules jusqu’à la ligne 1017</t>
  </si>
  <si>
    <t>Catégorie</t>
  </si>
  <si>
    <t>Mot</t>
  </si>
  <si>
    <t>Code</t>
  </si>
  <si>
    <t>Arachides</t>
  </si>
  <si>
    <t>ALERTE</t>
  </si>
  <si>
    <t>arachide</t>
  </si>
  <si>
    <t>R001</t>
  </si>
  <si>
    <t>largeurs de colonnes ►</t>
  </si>
  <si>
    <t>51 colonnes masquées ►</t>
  </si>
  <si>
    <t>arachides</t>
  </si>
  <si>
    <t>R002</t>
  </si>
  <si>
    <t>◄ 51 colonnes masquées</t>
  </si>
  <si>
    <t>beurre d arachide</t>
  </si>
  <si>
    <t>R003</t>
  </si>
  <si>
    <t>Réglages</t>
  </si>
  <si>
    <t>4. Le moteur est autonome : le dictionnaire technique est embarqué dans cet onglet (colonnes masquées).</t>
  </si>
  <si>
    <t>beurre de cacahuete</t>
  </si>
  <si>
    <t>R004</t>
  </si>
  <si>
    <t>Lignes saisies</t>
  </si>
  <si>
    <t>beurre de cacahuetes</t>
  </si>
  <si>
    <t>R005</t>
  </si>
  <si>
    <t>Caractères source</t>
  </si>
  <si>
    <t xml:space="preserve">◄ 2️⃣  Saisissez  la largeur du document dans lequel vous collerez ensuite le texte. </t>
  </si>
  <si>
    <t>cacahouete</t>
  </si>
  <si>
    <t>R006</t>
  </si>
  <si>
    <t>Mots source</t>
  </si>
  <si>
    <t>◄ 3️⃣ saisissez un nombre de caractères par lignes</t>
  </si>
  <si>
    <t>cacahouetes</t>
  </si>
  <si>
    <t>R007</t>
  </si>
  <si>
    <t>▲ Flèches à copier/coller dans le document</t>
  </si>
  <si>
    <t>Lignes de sortie</t>
  </si>
  <si>
    <t>◄ 4️⃣  Si vous ne voulez pas de ponctuation saisissez un X dans cette cellule</t>
  </si>
  <si>
    <t xml:space="preserve">Nouveau moteur reconstruit à partir d’un dictionnaire vertical </t>
  </si>
  <si>
    <t>cacahuete</t>
  </si>
  <si>
    <t>R008</t>
  </si>
  <si>
    <t>Statut</t>
  </si>
  <si>
    <t>🎯  Saisir ou coller un texte et le découper automatiquement au nombre de caractères saisis sans couper les mots. Avec ou sans ponctuation, pour qu’il tienne dans le cadre prévu.</t>
  </si>
  <si>
    <t>Auteur : Joel Leboucher • Rochefort sur Mer | Date : 13 avril 2026 | Refonte du moteur avec l'aide de ChatGPT</t>
  </si>
  <si>
    <t>cacahuetes</t>
  </si>
  <si>
    <t>R009</t>
  </si>
  <si>
    <t>ne pas supprimer cette ligne</t>
  </si>
  <si>
    <t>farine d arachide</t>
  </si>
  <si>
    <t>R010</t>
  </si>
  <si>
    <t>Moteur interne</t>
  </si>
  <si>
    <t>Entrée</t>
  </si>
  <si>
    <t>Sortie</t>
  </si>
  <si>
    <t>farine d arachides</t>
  </si>
  <si>
    <t>R011</t>
  </si>
  <si>
    <t>farine de cacahuete</t>
  </si>
  <si>
    <t>R012</t>
  </si>
  <si>
    <t>Nettoyage</t>
  </si>
  <si>
    <t>Sans ponctuation</t>
  </si>
  <si>
    <t>Sélection</t>
  </si>
  <si>
    <t>Texte cumulé</t>
  </si>
  <si>
    <t>Reste</t>
  </si>
  <si>
    <t>Suite</t>
  </si>
  <si>
    <t>Alerte</t>
  </si>
  <si>
    <t xml:space="preserve">1️⃣ COLLEZ LE TEXTE BRUT  A DÉCOUPER  DANS CETTE COLONNE ▼    </t>
  </si>
  <si>
    <t>Car.</t>
  </si>
  <si>
    <t>Mots</t>
  </si>
  <si>
    <t>farine de cacahuetes</t>
  </si>
  <si>
    <t>R013</t>
  </si>
  <si>
    <t>Texte avec DÉTECTION D'ALLERGÈNES  à coller (collage spécial 1.2.3.Valeur)</t>
  </si>
  <si>
    <t>Allergènes détectés (à coller)</t>
  </si>
  <si>
    <t>Passe retenue</t>
  </si>
  <si>
    <t>Info suspicion</t>
  </si>
  <si>
    <t>Nb officiels</t>
  </si>
  <si>
    <t>Nb suspicions</t>
  </si>
  <si>
    <t>Diagnostic court</t>
  </si>
  <si>
    <t>Accents</t>
  </si>
  <si>
    <t>Ponctuation</t>
  </si>
  <si>
    <t>Texte cadre</t>
  </si>
  <si>
    <t>GLU_INFO</t>
  </si>
  <si>
    <t>GLU_EXCL</t>
  </si>
  <si>
    <t>GLU_AL</t>
  </si>
  <si>
    <t>GLU_SUSP</t>
  </si>
  <si>
    <t>CRU_AL</t>
  </si>
  <si>
    <t>OEU_AL</t>
  </si>
  <si>
    <t>POI_INFO</t>
  </si>
  <si>
    <t>POI_EXCL</t>
  </si>
  <si>
    <t>POI_AL</t>
  </si>
  <si>
    <t>ARA_AL</t>
  </si>
  <si>
    <t>SOJ_INFO</t>
  </si>
  <si>
    <t>SOJ_AL</t>
  </si>
  <si>
    <t>LAI_INFO</t>
  </si>
  <si>
    <t>LAI_EXCL</t>
  </si>
  <si>
    <t>LAI_AL</t>
  </si>
  <si>
    <t>LAI_SUSP</t>
  </si>
  <si>
    <t>FAC_EXCL</t>
  </si>
  <si>
    <t>FAC_AL</t>
  </si>
  <si>
    <t>CEL_AL</t>
  </si>
  <si>
    <t>MOU_AL</t>
  </si>
  <si>
    <t>SES_AL</t>
  </si>
  <si>
    <t>SUL_AL</t>
  </si>
  <si>
    <t>LUP_AL</t>
  </si>
  <si>
    <t>MOL_EXCL</t>
  </si>
  <si>
    <t>MOL_AL</t>
  </si>
  <si>
    <t>GLU_OUT</t>
  </si>
  <si>
    <t>GLU_SOUT</t>
  </si>
  <si>
    <t>CRU_OUT</t>
  </si>
  <si>
    <t>OEU_OUT</t>
  </si>
  <si>
    <t>POI_OUT</t>
  </si>
  <si>
    <t>ARA_OUT</t>
  </si>
  <si>
    <t>SOJ_OUT</t>
  </si>
  <si>
    <t>LAI_OUT</t>
  </si>
  <si>
    <t>LAI_SOUT</t>
  </si>
  <si>
    <t>FAC_OUT</t>
  </si>
  <si>
    <t>CEL_OUT</t>
  </si>
  <si>
    <t>MOU_OUT</t>
  </si>
  <si>
    <t>SES_OUT</t>
  </si>
  <si>
    <t>SUL_OUT</t>
  </si>
  <si>
    <t>LUP_OUT</t>
  </si>
  <si>
    <t>MOL_OUT</t>
  </si>
  <si>
    <t>groundnut</t>
  </si>
  <si>
    <t>R014</t>
  </si>
  <si>
    <t>groundnuts</t>
  </si>
  <si>
    <t>R015</t>
  </si>
  <si>
    <t>huile d arachide</t>
  </si>
  <si>
    <t>R016</t>
  </si>
  <si>
    <t>huile d arachides</t>
  </si>
  <si>
    <t>R017</t>
  </si>
  <si>
    <t>huile de cacahuete</t>
  </si>
  <si>
    <t>R018</t>
  </si>
  <si>
    <t>huile de cacahuetes</t>
  </si>
  <si>
    <t>R019</t>
  </si>
  <si>
    <t>pate d arachide</t>
  </si>
  <si>
    <t>R020</t>
  </si>
  <si>
    <t>pate de cacahuete</t>
  </si>
  <si>
    <t>R021</t>
  </si>
  <si>
    <t>pate de cacahuetes</t>
  </si>
  <si>
    <t>R022</t>
  </si>
  <si>
    <t>peanut</t>
  </si>
  <si>
    <t>R023</t>
  </si>
  <si>
    <t>peanut butter</t>
  </si>
  <si>
    <t>R024</t>
  </si>
  <si>
    <t>peanuts</t>
  </si>
  <si>
    <t>R025</t>
  </si>
  <si>
    <t>poudre d arachide</t>
  </si>
  <si>
    <t>R026</t>
  </si>
  <si>
    <t>poudre d arachides</t>
  </si>
  <si>
    <t>R027</t>
  </si>
  <si>
    <t>proteine d arachide</t>
  </si>
  <si>
    <t>R028</t>
  </si>
  <si>
    <t>proteine de cacahuete</t>
  </si>
  <si>
    <t>R029</t>
  </si>
  <si>
    <t>proteines d arachide</t>
  </si>
  <si>
    <t>R030</t>
  </si>
  <si>
    <t>proteines de cacahuete</t>
  </si>
  <si>
    <t>R031</t>
  </si>
  <si>
    <t>puree d arachide</t>
  </si>
  <si>
    <t>R032</t>
  </si>
  <si>
    <t>puree d arachides</t>
  </si>
  <si>
    <t>R033</t>
  </si>
  <si>
    <t>puree de cacahuete</t>
  </si>
  <si>
    <t>R034</t>
  </si>
  <si>
    <t>puree de cacahuetes</t>
  </si>
  <si>
    <t>R035</t>
  </si>
  <si>
    <t>tourteau d arachide</t>
  </si>
  <si>
    <t>R036</t>
  </si>
  <si>
    <t>tourteau d arachides</t>
  </si>
  <si>
    <t>R037</t>
  </si>
  <si>
    <t>Celeri</t>
  </si>
  <si>
    <t>branche de celeri</t>
  </si>
  <si>
    <t>R038</t>
  </si>
  <si>
    <t>branches de celeri</t>
  </si>
  <si>
    <t>R039</t>
  </si>
  <si>
    <t>celeri</t>
  </si>
  <si>
    <t>R040</t>
  </si>
  <si>
    <t>celeri branche</t>
  </si>
  <si>
    <t>R041</t>
  </si>
  <si>
    <t>celeri en branche</t>
  </si>
  <si>
    <t>R042</t>
  </si>
  <si>
    <t>celeri rave</t>
  </si>
  <si>
    <t>R043</t>
  </si>
  <si>
    <t>celery</t>
  </si>
  <si>
    <t>R044</t>
  </si>
  <si>
    <t>celery seed</t>
  </si>
  <si>
    <t>R045</t>
  </si>
  <si>
    <t>concentre de celeri</t>
  </si>
  <si>
    <t>R046</t>
  </si>
  <si>
    <t>extrait de celeri</t>
  </si>
  <si>
    <t>R047</t>
  </si>
  <si>
    <t>feuille de celeri</t>
  </si>
  <si>
    <t>R048</t>
  </si>
  <si>
    <t>feuilles de celeri</t>
  </si>
  <si>
    <t>R049</t>
  </si>
  <si>
    <t>graine de celeri</t>
  </si>
  <si>
    <t>R050</t>
  </si>
  <si>
    <t>graines de celeri</t>
  </si>
  <si>
    <t>R051</t>
  </si>
  <si>
    <t>jus de celeri</t>
  </si>
  <si>
    <t>R052</t>
  </si>
  <si>
    <t>poudre de celeri</t>
  </si>
  <si>
    <t>R053</t>
  </si>
  <si>
    <t>rave de celeri</t>
  </si>
  <si>
    <t>R054</t>
  </si>
  <si>
    <t>sel de celeri</t>
  </si>
  <si>
    <t>R055</t>
  </si>
  <si>
    <t>Crustaces</t>
  </si>
  <si>
    <t>araignee de mer</t>
  </si>
  <si>
    <t>R056</t>
  </si>
  <si>
    <t>bisque de homard</t>
  </si>
  <si>
    <t>R057</t>
  </si>
  <si>
    <t>carcasse de homard</t>
  </si>
  <si>
    <t>R058</t>
  </si>
  <si>
    <t>carcasses de homard</t>
  </si>
  <si>
    <t>R059</t>
  </si>
  <si>
    <t>crab</t>
  </si>
  <si>
    <t>R060</t>
  </si>
  <si>
    <t>R061</t>
  </si>
  <si>
    <t>R062</t>
  </si>
  <si>
    <t>crevettes</t>
  </si>
  <si>
    <t>R063</t>
  </si>
  <si>
    <t>crustace</t>
  </si>
  <si>
    <t>R064</t>
  </si>
  <si>
    <t>crustaces</t>
  </si>
  <si>
    <t>R065</t>
  </si>
  <si>
    <t>ecrevisse</t>
  </si>
  <si>
    <t>R066</t>
  </si>
  <si>
    <t>ecrevisses</t>
  </si>
  <si>
    <t>R067</t>
  </si>
  <si>
    <t>fumet de crustaces</t>
  </si>
  <si>
    <t>R068</t>
  </si>
  <si>
    <t>gamba</t>
  </si>
  <si>
    <t>R069</t>
  </si>
  <si>
    <t>gambas</t>
  </si>
  <si>
    <t>R070</t>
  </si>
  <si>
    <t>R071</t>
  </si>
  <si>
    <t>homards</t>
  </si>
  <si>
    <t>R072</t>
  </si>
  <si>
    <t>jus de crustaces</t>
  </si>
  <si>
    <t>R073</t>
  </si>
  <si>
    <t>krill</t>
  </si>
  <si>
    <t>R074</t>
  </si>
  <si>
    <t>langouste</t>
  </si>
  <si>
    <t>R075</t>
  </si>
  <si>
    <t>langoustes</t>
  </si>
  <si>
    <t>R076</t>
  </si>
  <si>
    <t>langoustine</t>
  </si>
  <si>
    <t>R077</t>
  </si>
  <si>
    <t>langoustines</t>
  </si>
  <si>
    <t>R078</t>
  </si>
  <si>
    <t>prawn</t>
  </si>
  <si>
    <t>R079</t>
  </si>
  <si>
    <t>scampi</t>
  </si>
  <si>
    <t>R080</t>
  </si>
  <si>
    <t>scampis</t>
  </si>
  <si>
    <t>R081</t>
  </si>
  <si>
    <t>shrimp</t>
  </si>
  <si>
    <t>R082</t>
  </si>
  <si>
    <t>Fruits a coque</t>
  </si>
  <si>
    <t>amande</t>
  </si>
  <si>
    <t>R083</t>
  </si>
  <si>
    <t>amandes</t>
  </si>
  <si>
    <t>R084</t>
  </si>
  <si>
    <t>R085</t>
  </si>
  <si>
    <t>boisson d amande</t>
  </si>
  <si>
    <t>R086</t>
  </si>
  <si>
    <t>boisson de cajou</t>
  </si>
  <si>
    <t>R087</t>
  </si>
  <si>
    <t>►&gt; &gt; &gt;</t>
  </si>
  <si>
    <t>boisson de macadamia</t>
  </si>
  <si>
    <t>R088</t>
  </si>
  <si>
    <t>boisson de noisette</t>
  </si>
  <si>
    <t>R089</t>
  </si>
  <si>
    <t>boisson de pistache</t>
  </si>
  <si>
    <t>R090</t>
  </si>
  <si>
    <t>cajou</t>
  </si>
  <si>
    <t>R091</t>
  </si>
  <si>
    <t>cajous</t>
  </si>
  <si>
    <t>R092</t>
  </si>
  <si>
    <t>creme d amande</t>
  </si>
  <si>
    <t>R093</t>
  </si>
  <si>
    <t>creme d amandes</t>
  </si>
  <si>
    <t>R094</t>
  </si>
  <si>
    <t>creme de cajou</t>
  </si>
  <si>
    <t>R095</t>
  </si>
  <si>
    <t>creme de noisette</t>
  </si>
  <si>
    <t>R096</t>
  </si>
  <si>
    <t>creme de noisettes</t>
  </si>
  <si>
    <t>R097</t>
  </si>
  <si>
    <t>eclats de noisette</t>
  </si>
  <si>
    <t>R098</t>
  </si>
  <si>
    <t>farine de cajou</t>
  </si>
  <si>
    <t>R099</t>
  </si>
  <si>
    <t>farine de pistache</t>
  </si>
  <si>
    <t>R100</t>
  </si>
  <si>
    <t>farines de cajou</t>
  </si>
  <si>
    <t>R101</t>
  </si>
  <si>
    <t>frangipane</t>
  </si>
  <si>
    <t>R102</t>
  </si>
  <si>
    <t>fruit a coque</t>
  </si>
  <si>
    <t>R103</t>
  </si>
  <si>
    <t>fruits a coque</t>
  </si>
  <si>
    <t>R104</t>
  </si>
  <si>
    <t>gianduia</t>
  </si>
  <si>
    <t>R105</t>
  </si>
  <si>
    <t>gianduja</t>
  </si>
  <si>
    <t>R106</t>
  </si>
  <si>
    <t>lait d amande</t>
  </si>
  <si>
    <t>R107</t>
  </si>
  <si>
    <t>lait de cajou</t>
  </si>
  <si>
    <t>R108</t>
  </si>
  <si>
    <t>lait de macadamia</t>
  </si>
  <si>
    <t>R109</t>
  </si>
  <si>
    <t>lait de noisette</t>
  </si>
  <si>
    <t>R110</t>
  </si>
  <si>
    <t>lait de pistache</t>
  </si>
  <si>
    <t>R111</t>
  </si>
  <si>
    <t>macadamia</t>
  </si>
  <si>
    <t>R112</t>
  </si>
  <si>
    <t>macadamias</t>
  </si>
  <si>
    <t>R113</t>
  </si>
  <si>
    <t>massepain</t>
  </si>
  <si>
    <t>R114</t>
  </si>
  <si>
    <t>R115</t>
  </si>
  <si>
    <t>noisettes</t>
  </si>
  <si>
    <t>R116</t>
  </si>
  <si>
    <t>noisettes concassees</t>
  </si>
  <si>
    <t>R117</t>
  </si>
  <si>
    <t>noix</t>
  </si>
  <si>
    <t>R118</t>
  </si>
  <si>
    <t>noix de cajou</t>
  </si>
  <si>
    <t>R119</t>
  </si>
  <si>
    <t>noix de macadamia</t>
  </si>
  <si>
    <t>R120</t>
  </si>
  <si>
    <t>noix de pecan</t>
  </si>
  <si>
    <t>R121</t>
  </si>
  <si>
    <t>noix du bresil</t>
  </si>
  <si>
    <t>R122</t>
  </si>
  <si>
    <t>noix du queensland</t>
  </si>
  <si>
    <t>R123</t>
  </si>
  <si>
    <t>pate d amande</t>
  </si>
  <si>
    <t>R124</t>
  </si>
  <si>
    <t>pate d amandes</t>
  </si>
  <si>
    <t>R125</t>
  </si>
  <si>
    <t>pate de pistache</t>
  </si>
  <si>
    <t>R126</t>
  </si>
  <si>
    <t>pecan</t>
  </si>
  <si>
    <t>R127</t>
  </si>
  <si>
    <t>pecans</t>
  </si>
  <si>
    <t>R128</t>
  </si>
  <si>
    <t>pistache</t>
  </si>
  <si>
    <t>R129</t>
  </si>
  <si>
    <t>pistaches</t>
  </si>
  <si>
    <t>R130</t>
  </si>
  <si>
    <t>pistaches concassees</t>
  </si>
  <si>
    <t>R131</t>
  </si>
  <si>
    <t>poudre d amande</t>
  </si>
  <si>
    <t>R132</t>
  </si>
  <si>
    <t>poudre d amandes</t>
  </si>
  <si>
    <t>R133</t>
  </si>
  <si>
    <t>poudre de cajou</t>
  </si>
  <si>
    <t>R134</t>
  </si>
  <si>
    <t>poudre de noisette</t>
  </si>
  <si>
    <t>R135</t>
  </si>
  <si>
    <t>poudre de pistache</t>
  </si>
  <si>
    <t>R136</t>
  </si>
  <si>
    <t>pralin</t>
  </si>
  <si>
    <t>R137</t>
  </si>
  <si>
    <t>praline</t>
  </si>
  <si>
    <t>R138</t>
  </si>
  <si>
    <t>pralinee</t>
  </si>
  <si>
    <t>R139</t>
  </si>
  <si>
    <t>pralinee noisette</t>
  </si>
  <si>
    <t>R140</t>
  </si>
  <si>
    <t>puree d amande</t>
  </si>
  <si>
    <t>R141</t>
  </si>
  <si>
    <t>puree d amandes</t>
  </si>
  <si>
    <t>R142</t>
  </si>
  <si>
    <t>puree de cajou</t>
  </si>
  <si>
    <t>R143</t>
  </si>
  <si>
    <t>puree de noisette</t>
  </si>
  <si>
    <t>R144</t>
  </si>
  <si>
    <t>puree de noisettes</t>
  </si>
  <si>
    <t>R145</t>
  </si>
  <si>
    <t>puree de pistache</t>
  </si>
  <si>
    <t>R146</t>
  </si>
  <si>
    <t>Gluten</t>
  </si>
  <si>
    <t>amidon de ble</t>
  </si>
  <si>
    <t>R147</t>
  </si>
  <si>
    <t>amidon de froment</t>
  </si>
  <si>
    <t>R148</t>
  </si>
  <si>
    <t>amidons de ble</t>
  </si>
  <si>
    <t>R149</t>
  </si>
  <si>
    <t>avoine</t>
  </si>
  <si>
    <t>R150</t>
  </si>
  <si>
    <t>barley</t>
  </si>
  <si>
    <t>R151</t>
  </si>
  <si>
    <t>biscotte</t>
  </si>
  <si>
    <t>R152</t>
  </si>
  <si>
    <t>biscottes</t>
  </si>
  <si>
    <t>R153</t>
  </si>
  <si>
    <t>biscuit cuillere</t>
  </si>
  <si>
    <t>R154</t>
  </si>
  <si>
    <t>ble</t>
  </si>
  <si>
    <t>R155</t>
  </si>
  <si>
    <t>ble de khorasan</t>
  </si>
  <si>
    <t>R156</t>
  </si>
  <si>
    <t>ble dur</t>
  </si>
  <si>
    <t>R157</t>
  </si>
  <si>
    <t>ble tendre</t>
  </si>
  <si>
    <t>R158</t>
  </si>
  <si>
    <t>boisson d avoine</t>
  </si>
  <si>
    <t>R159</t>
  </si>
  <si>
    <t>boulgour</t>
  </si>
  <si>
    <t>R160</t>
  </si>
  <si>
    <t>brioche</t>
  </si>
  <si>
    <t>R161</t>
  </si>
  <si>
    <t>R162</t>
  </si>
  <si>
    <t>chapelure fine</t>
  </si>
  <si>
    <t>R163</t>
  </si>
  <si>
    <t>chapelure japonaise</t>
  </si>
  <si>
    <t>R164</t>
  </si>
  <si>
    <t>couscous</t>
  </si>
  <si>
    <t>R165</t>
  </si>
  <si>
    <t>R166</t>
  </si>
  <si>
    <t>epeautre</t>
  </si>
  <si>
    <t>R167</t>
  </si>
  <si>
    <t>extrait de malt</t>
  </si>
  <si>
    <t>R168</t>
  </si>
  <si>
    <t>R169</t>
  </si>
  <si>
    <t>farine d avoine</t>
  </si>
  <si>
    <t>R170</t>
  </si>
  <si>
    <t>farine d epeautre</t>
  </si>
  <si>
    <t>R171</t>
  </si>
  <si>
    <t>farine d orge</t>
  </si>
  <si>
    <t>R172</t>
  </si>
  <si>
    <t>farine de ble</t>
  </si>
  <si>
    <t>R173</t>
  </si>
  <si>
    <t>farine de froment</t>
  </si>
  <si>
    <t>R174</t>
  </si>
  <si>
    <t>farine de malt</t>
  </si>
  <si>
    <t>R175</t>
  </si>
  <si>
    <t>farine de seigle</t>
  </si>
  <si>
    <t>R176</t>
  </si>
  <si>
    <t>farines de ble</t>
  </si>
  <si>
    <t>R177</t>
  </si>
  <si>
    <t>farro</t>
  </si>
  <si>
    <t>R178</t>
  </si>
  <si>
    <t>flocon d avoine</t>
  </si>
  <si>
    <t>R179</t>
  </si>
  <si>
    <t>flocons d avoine</t>
  </si>
  <si>
    <t>R180</t>
  </si>
  <si>
    <t>froment</t>
  </si>
  <si>
    <t>R181</t>
  </si>
  <si>
    <t>genoise</t>
  </si>
  <si>
    <t>R182</t>
  </si>
  <si>
    <t>germe de ble</t>
  </si>
  <si>
    <t>R183</t>
  </si>
  <si>
    <t>gluten</t>
  </si>
  <si>
    <t>R184</t>
  </si>
  <si>
    <t>kamut</t>
  </si>
  <si>
    <t>R185</t>
  </si>
  <si>
    <t>lait d avoine</t>
  </si>
  <si>
    <t>R186</t>
  </si>
  <si>
    <t>malt</t>
  </si>
  <si>
    <t>R187</t>
  </si>
  <si>
    <t>malt d orge</t>
  </si>
  <si>
    <t>R188</t>
  </si>
  <si>
    <t>mie de pain</t>
  </si>
  <si>
    <t>R189</t>
  </si>
  <si>
    <t>nouilles</t>
  </si>
  <si>
    <t>R190</t>
  </si>
  <si>
    <t>orge</t>
  </si>
  <si>
    <t>R191</t>
  </si>
  <si>
    <t>pain de mie</t>
  </si>
  <si>
    <t>R192</t>
  </si>
  <si>
    <t>panade</t>
  </si>
  <si>
    <t>R193</t>
  </si>
  <si>
    <t>panko</t>
  </si>
  <si>
    <t>R194</t>
  </si>
  <si>
    <t>panure</t>
  </si>
  <si>
    <t>R195</t>
  </si>
  <si>
    <t>pate a choux</t>
  </si>
  <si>
    <t>R196</t>
  </si>
  <si>
    <t>pate brisee</t>
  </si>
  <si>
    <t>R197</t>
  </si>
  <si>
    <t>pate feuilletee</t>
  </si>
  <si>
    <t>R198</t>
  </si>
  <si>
    <t>pate sablee</t>
  </si>
  <si>
    <t>R199</t>
  </si>
  <si>
    <t>Si vous récupérez du texte sur internet, collez-le d’abord dans la colonne 1️⃣  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t>
  </si>
  <si>
    <t>pates</t>
  </si>
  <si>
    <t>R200</t>
  </si>
  <si>
    <t>pates fraiches</t>
  </si>
  <si>
    <t>R201</t>
  </si>
  <si>
    <t>petit epeautre</t>
  </si>
  <si>
    <t>R202</t>
  </si>
  <si>
    <t>rye</t>
  </si>
  <si>
    <t>R203</t>
  </si>
  <si>
    <t>seigle</t>
  </si>
  <si>
    <t>R204</t>
  </si>
  <si>
    <t>seitan</t>
  </si>
  <si>
    <t>R205</t>
  </si>
  <si>
    <t>semoule de ble</t>
  </si>
  <si>
    <t>R206</t>
  </si>
  <si>
    <t>semoule de ble dur</t>
  </si>
  <si>
    <t>R207</t>
  </si>
  <si>
    <t>semoule de ble tendre</t>
  </si>
  <si>
    <t>R208</t>
  </si>
  <si>
    <t>son d avoine</t>
  </si>
  <si>
    <t>R209</t>
  </si>
  <si>
    <t>son d orge</t>
  </si>
  <si>
    <t>R210</t>
  </si>
  <si>
    <t>son de ble</t>
  </si>
  <si>
    <t>R211</t>
  </si>
  <si>
    <t>son de seigle</t>
  </si>
  <si>
    <t>R212</t>
  </si>
  <si>
    <t>spelt</t>
  </si>
  <si>
    <t>R213</t>
  </si>
  <si>
    <t>triticale</t>
  </si>
  <si>
    <t>R214</t>
  </si>
  <si>
    <t>vermicelles</t>
  </si>
  <si>
    <t>R215</t>
  </si>
  <si>
    <t>R216</t>
  </si>
  <si>
    <t>wheat flour</t>
  </si>
  <si>
    <t>R217</t>
  </si>
  <si>
    <t>babeurre</t>
  </si>
  <si>
    <t>R218</t>
  </si>
  <si>
    <t>R219</t>
  </si>
  <si>
    <t>beurre clarifie</t>
  </si>
  <si>
    <t>R220</t>
  </si>
  <si>
    <t>beurre demi sel</t>
  </si>
  <si>
    <t>R221</t>
  </si>
  <si>
    <t>beurre doux</t>
  </si>
  <si>
    <t>R222</t>
  </si>
  <si>
    <t>beurre laitier</t>
  </si>
  <si>
    <t>R223</t>
  </si>
  <si>
    <t>beurre noisette</t>
  </si>
  <si>
    <t>R224</t>
  </si>
  <si>
    <t>caseinate</t>
  </si>
  <si>
    <t>R225</t>
  </si>
  <si>
    <t>caseinate de calcium</t>
  </si>
  <si>
    <t>R226</t>
  </si>
  <si>
    <t>caseinate de potassium</t>
  </si>
  <si>
    <t>R227</t>
  </si>
  <si>
    <t>caseinate de sodium</t>
  </si>
  <si>
    <t>R228</t>
  </si>
  <si>
    <t>caseinates</t>
  </si>
  <si>
    <t>R229</t>
  </si>
  <si>
    <t>caseine</t>
  </si>
  <si>
    <t>R230</t>
  </si>
  <si>
    <t>cheddar</t>
  </si>
  <si>
    <t>R231</t>
  </si>
  <si>
    <t>cottage cheese</t>
  </si>
  <si>
    <t>R232</t>
  </si>
  <si>
    <t>creme entiere</t>
  </si>
  <si>
    <t>R233</t>
  </si>
  <si>
    <t>creme entiere epaisse</t>
  </si>
  <si>
    <t>R234</t>
  </si>
  <si>
    <t>creme epaisse</t>
  </si>
  <si>
    <t>R235</t>
  </si>
  <si>
    <t>creme fleurette</t>
  </si>
  <si>
    <t>R236</t>
  </si>
  <si>
    <t>creme fraiche</t>
  </si>
  <si>
    <t>R237</t>
  </si>
  <si>
    <t>creme liquide</t>
  </si>
  <si>
    <t>R238</t>
  </si>
  <si>
    <t>emmental</t>
  </si>
  <si>
    <t>R239</t>
  </si>
  <si>
    <t>faisselle</t>
  </si>
  <si>
    <t>R240</t>
  </si>
  <si>
    <t>feta</t>
  </si>
  <si>
    <t>R241</t>
  </si>
  <si>
    <t>fromage</t>
  </si>
  <si>
    <t>R242</t>
  </si>
  <si>
    <t>fromage blanc</t>
  </si>
  <si>
    <t>R243</t>
  </si>
  <si>
    <t>fromage blanc 20 mg</t>
  </si>
  <si>
    <t>R244</t>
  </si>
  <si>
    <t>fromage blanc 20% mg</t>
  </si>
  <si>
    <t>R245</t>
  </si>
  <si>
    <t>fromage blanc 40 mg</t>
  </si>
  <si>
    <t>R246</t>
  </si>
  <si>
    <t>fromage blanc 40% mg</t>
  </si>
  <si>
    <t>R247</t>
  </si>
  <si>
    <t>fromage frais</t>
  </si>
  <si>
    <t>R248</t>
  </si>
  <si>
    <t>ghee</t>
  </si>
  <si>
    <t>R249</t>
  </si>
  <si>
    <t>lactalbumine</t>
  </si>
  <si>
    <t>R250</t>
  </si>
  <si>
    <t>lactoglobuline</t>
  </si>
  <si>
    <t>R251</t>
  </si>
  <si>
    <t>lactose</t>
  </si>
  <si>
    <t>R252</t>
  </si>
  <si>
    <t>lactoserum</t>
  </si>
  <si>
    <t>R253</t>
  </si>
  <si>
    <t>R254</t>
  </si>
  <si>
    <t>lait concentre</t>
  </si>
  <si>
    <t>R255</t>
  </si>
  <si>
    <t>lait concentre non sucre</t>
  </si>
  <si>
    <t>R256</t>
  </si>
  <si>
    <t>lait concentre sucre</t>
  </si>
  <si>
    <t>R257</t>
  </si>
  <si>
    <t>lait demi ecreme</t>
  </si>
  <si>
    <t>R258</t>
  </si>
  <si>
    <t>lait ecreme</t>
  </si>
  <si>
    <t>R259</t>
  </si>
  <si>
    <t>lait en poudre</t>
  </si>
  <si>
    <t>R260</t>
  </si>
  <si>
    <t>R261</t>
  </si>
  <si>
    <t>lait fermente</t>
  </si>
  <si>
    <t>R262</t>
  </si>
  <si>
    <t>lait ribot</t>
  </si>
  <si>
    <t>R263</t>
  </si>
  <si>
    <t>mascarpone</t>
  </si>
  <si>
    <t>R264</t>
  </si>
  <si>
    <t>mozzarella</t>
  </si>
  <si>
    <t>R265</t>
  </si>
  <si>
    <t>parmesan</t>
  </si>
  <si>
    <t>R266</t>
  </si>
  <si>
    <t>petit lait</t>
  </si>
  <si>
    <t>R267</t>
  </si>
  <si>
    <t>petit suisse</t>
  </si>
  <si>
    <t>R268</t>
  </si>
  <si>
    <t>poudre de lait</t>
  </si>
  <si>
    <t>R269</t>
  </si>
  <si>
    <t>poudre de lait ecreme</t>
  </si>
  <si>
    <t>R270</t>
  </si>
  <si>
    <t>poudre de lait entier</t>
  </si>
  <si>
    <t>R271</t>
  </si>
  <si>
    <t>proteine de lait</t>
  </si>
  <si>
    <t>R272</t>
  </si>
  <si>
    <t>proteines de lait</t>
  </si>
  <si>
    <t>R273</t>
  </si>
  <si>
    <t>ricotta</t>
  </si>
  <si>
    <t>R274</t>
  </si>
  <si>
    <t>skyr</t>
  </si>
  <si>
    <t>R275</t>
  </si>
  <si>
    <t>whey</t>
  </si>
  <si>
    <t>R276</t>
  </si>
  <si>
    <t>whey powder</t>
  </si>
  <si>
    <t>R277</t>
  </si>
  <si>
    <t>whey protein</t>
  </si>
  <si>
    <t>R278</t>
  </si>
  <si>
    <t>yaourt</t>
  </si>
  <si>
    <t>R279</t>
  </si>
  <si>
    <t>Lupin</t>
  </si>
  <si>
    <t>concentre de proteines de lupin</t>
  </si>
  <si>
    <t>R280</t>
  </si>
  <si>
    <t>farine de lupin</t>
  </si>
  <si>
    <t>R281</t>
  </si>
  <si>
    <t>farines de lupin</t>
  </si>
  <si>
    <t>R282</t>
  </si>
  <si>
    <t>graine de lupin</t>
  </si>
  <si>
    <t>R283</t>
  </si>
  <si>
    <t>graines de lupin</t>
  </si>
  <si>
    <t>R284</t>
  </si>
  <si>
    <t>isolat de proteines de lupin</t>
  </si>
  <si>
    <t>R285</t>
  </si>
  <si>
    <t>lupin</t>
  </si>
  <si>
    <t>R286</t>
  </si>
  <si>
    <t>proteine de lupin</t>
  </si>
  <si>
    <t>R287</t>
  </si>
  <si>
    <t>proteines de lupin</t>
  </si>
  <si>
    <t>R288</t>
  </si>
  <si>
    <t>semoule de lupin</t>
  </si>
  <si>
    <t>R289</t>
  </si>
  <si>
    <t>son de lupin</t>
  </si>
  <si>
    <t>R290</t>
  </si>
  <si>
    <t>Mollusques</t>
  </si>
  <si>
    <t>bigorneau</t>
  </si>
  <si>
    <t>R291</t>
  </si>
  <si>
    <t>buccin</t>
  </si>
  <si>
    <t>R292</t>
  </si>
  <si>
    <t>buccins</t>
  </si>
  <si>
    <t>R293</t>
  </si>
  <si>
    <t>bulot</t>
  </si>
  <si>
    <t>R294</t>
  </si>
  <si>
    <t>bulots</t>
  </si>
  <si>
    <t>R295</t>
  </si>
  <si>
    <t>calamar</t>
  </si>
  <si>
    <t>R296</t>
  </si>
  <si>
    <t>calamars</t>
  </si>
  <si>
    <t>R297</t>
  </si>
  <si>
    <t>R298</t>
  </si>
  <si>
    <t>coque</t>
  </si>
  <si>
    <t>R299</t>
  </si>
  <si>
    <t>coques</t>
  </si>
  <si>
    <t>R300</t>
  </si>
  <si>
    <t>coquille saint jacques</t>
  </si>
  <si>
    <t>R301</t>
  </si>
  <si>
    <t>coquilles saint jacques</t>
  </si>
  <si>
    <t>R302</t>
  </si>
  <si>
    <t>encornet</t>
  </si>
  <si>
    <t>R303</t>
  </si>
  <si>
    <t>encornets</t>
  </si>
  <si>
    <t>R304</t>
  </si>
  <si>
    <t>R305</t>
  </si>
  <si>
    <t>escargots</t>
  </si>
  <si>
    <t>R306</t>
  </si>
  <si>
    <t>etoile de mer</t>
  </si>
  <si>
    <t>R307</t>
  </si>
  <si>
    <t>huitre</t>
  </si>
  <si>
    <t>R308</t>
  </si>
  <si>
    <t>huitres</t>
  </si>
  <si>
    <t>R309</t>
  </si>
  <si>
    <t>mollusque</t>
  </si>
  <si>
    <t>R310</t>
  </si>
  <si>
    <t>mollusques</t>
  </si>
  <si>
    <t>R311</t>
  </si>
  <si>
    <t>molusques</t>
  </si>
  <si>
    <t>R312</t>
  </si>
  <si>
    <t>moules</t>
  </si>
  <si>
    <t>R313</t>
  </si>
  <si>
    <t>noix de saint jacques</t>
  </si>
  <si>
    <t>R314</t>
  </si>
  <si>
    <t>noix de st jacques</t>
  </si>
  <si>
    <t>R315</t>
  </si>
  <si>
    <t>octopus</t>
  </si>
  <si>
    <t>R316</t>
  </si>
  <si>
    <t>ormeau</t>
  </si>
  <si>
    <t>R317</t>
  </si>
  <si>
    <t>ormeaux</t>
  </si>
  <si>
    <t>R318</t>
  </si>
  <si>
    <t>palourde</t>
  </si>
  <si>
    <t>R319</t>
  </si>
  <si>
    <t>palourdes</t>
  </si>
  <si>
    <t>R320</t>
  </si>
  <si>
    <t>R321</t>
  </si>
  <si>
    <t>poulpe</t>
  </si>
  <si>
    <t>R322</t>
  </si>
  <si>
    <t>poulpes</t>
  </si>
  <si>
    <t>R323</t>
  </si>
  <si>
    <t>praire</t>
  </si>
  <si>
    <t>R324</t>
  </si>
  <si>
    <t>praires</t>
  </si>
  <si>
    <t>R325</t>
  </si>
  <si>
    <t>saint jacques</t>
  </si>
  <si>
    <t>R326</t>
  </si>
  <si>
    <t>seiche</t>
  </si>
  <si>
    <t>R327</t>
  </si>
  <si>
    <t>seiches</t>
  </si>
  <si>
    <t>R328</t>
  </si>
  <si>
    <t>telline</t>
  </si>
  <si>
    <t>R329</t>
  </si>
  <si>
    <t>tellines</t>
  </si>
  <si>
    <t>R330</t>
  </si>
  <si>
    <t>condiment a la moutarde</t>
  </si>
  <si>
    <t>R331</t>
  </si>
  <si>
    <t>farine de moutarde</t>
  </si>
  <si>
    <t>R332</t>
  </si>
  <si>
    <t>graine de moutarde</t>
  </si>
  <si>
    <t>R333</t>
  </si>
  <si>
    <t>graines de moutarde</t>
  </si>
  <si>
    <t>R334</t>
  </si>
  <si>
    <t>graines de moutarde brune</t>
  </si>
  <si>
    <t>R335</t>
  </si>
  <si>
    <t>graines de moutarde jaune</t>
  </si>
  <si>
    <t>R336</t>
  </si>
  <si>
    <t>graines de moutarde noire</t>
  </si>
  <si>
    <t>R337</t>
  </si>
  <si>
    <t>huile de moutarde</t>
  </si>
  <si>
    <t>R338</t>
  </si>
  <si>
    <t>moutarde</t>
  </si>
  <si>
    <t>R339</t>
  </si>
  <si>
    <t>moutarde a l ancienne</t>
  </si>
  <si>
    <t>R340</t>
  </si>
  <si>
    <t>moutarde de dijon</t>
  </si>
  <si>
    <t>R341</t>
  </si>
  <si>
    <t>moutarde en poudre</t>
  </si>
  <si>
    <t>R342</t>
  </si>
  <si>
    <t>moutarde forte</t>
  </si>
  <si>
    <t>R343</t>
  </si>
  <si>
    <t>Oeufs</t>
  </si>
  <si>
    <t>albumine</t>
  </si>
  <si>
    <t>R344</t>
  </si>
  <si>
    <t>albumine d oeuf</t>
  </si>
  <si>
    <t>R345</t>
  </si>
  <si>
    <t>albumine d oeufs</t>
  </si>
  <si>
    <t>R346</t>
  </si>
  <si>
    <t>blanc d oeuf</t>
  </si>
  <si>
    <t>R347</t>
  </si>
  <si>
    <t>blanc en neige</t>
  </si>
  <si>
    <t>R348</t>
  </si>
  <si>
    <t>blanc monte</t>
  </si>
  <si>
    <t>R349</t>
  </si>
  <si>
    <t>blanc pasteurise</t>
  </si>
  <si>
    <t>R350</t>
  </si>
  <si>
    <t>blancs d oeufs</t>
  </si>
  <si>
    <t>R351</t>
  </si>
  <si>
    <t>blancs en neige</t>
  </si>
  <si>
    <t>R352</t>
  </si>
  <si>
    <t>blancs montes</t>
  </si>
  <si>
    <t>R353</t>
  </si>
  <si>
    <t>blancs pasteurises</t>
  </si>
  <si>
    <t>R354</t>
  </si>
  <si>
    <t>dorure a l oeuf</t>
  </si>
  <si>
    <t>R355</t>
  </si>
  <si>
    <t>jaune d oeuf</t>
  </si>
  <si>
    <t>R356</t>
  </si>
  <si>
    <t>jaune liquide</t>
  </si>
  <si>
    <t>R357</t>
  </si>
  <si>
    <t>jaune pasteurise</t>
  </si>
  <si>
    <t>R358</t>
  </si>
  <si>
    <t>jaunes d oeufs</t>
  </si>
  <si>
    <t>R359</t>
  </si>
  <si>
    <t>jaunes liquides</t>
  </si>
  <si>
    <t>R360</t>
  </si>
  <si>
    <t>jaunes pasteurises</t>
  </si>
  <si>
    <t>R361</t>
  </si>
  <si>
    <t>lysozyme</t>
  </si>
  <si>
    <t>R362</t>
  </si>
  <si>
    <t>lysozyme d oeuf</t>
  </si>
  <si>
    <t>R363</t>
  </si>
  <si>
    <t>R364</t>
  </si>
  <si>
    <t>oeuf entier</t>
  </si>
  <si>
    <t>R365</t>
  </si>
  <si>
    <t>oeuf liquide</t>
  </si>
  <si>
    <t>R366</t>
  </si>
  <si>
    <t>oeuf pasteurise</t>
  </si>
  <si>
    <t>R367</t>
  </si>
  <si>
    <t>oeufs</t>
  </si>
  <si>
    <t>R368</t>
  </si>
  <si>
    <t>oeufs entiers</t>
  </si>
  <si>
    <t>R369</t>
  </si>
  <si>
    <t>oeufs liquides</t>
  </si>
  <si>
    <t>R370</t>
  </si>
  <si>
    <t>oeufs pasteurises</t>
  </si>
  <si>
    <t>R371</t>
  </si>
  <si>
    <t>ovalbumine</t>
  </si>
  <si>
    <t>R372</t>
  </si>
  <si>
    <t>ovoalbumine</t>
  </si>
  <si>
    <t>R373</t>
  </si>
  <si>
    <t>ovomucine</t>
  </si>
  <si>
    <t>R374</t>
  </si>
  <si>
    <t>ovomucoide</t>
  </si>
  <si>
    <t>R375</t>
  </si>
  <si>
    <t>ovoproduit</t>
  </si>
  <si>
    <t>R376</t>
  </si>
  <si>
    <t>ovoproduits</t>
  </si>
  <si>
    <t>R377</t>
  </si>
  <si>
    <t>poudre d oeuf</t>
  </si>
  <si>
    <t>R378</t>
  </si>
  <si>
    <t>anchois</t>
  </si>
  <si>
    <t>R379</t>
  </si>
  <si>
    <t>bar</t>
  </si>
  <si>
    <t>R380</t>
  </si>
  <si>
    <t>cabillaud</t>
  </si>
  <si>
    <t>R381</t>
  </si>
  <si>
    <t>chair de poisson</t>
  </si>
  <si>
    <t>R382</t>
  </si>
  <si>
    <t>colin</t>
  </si>
  <si>
    <t>R383</t>
  </si>
  <si>
    <t>collagene de poisson</t>
  </si>
  <si>
    <t>R384</t>
  </si>
  <si>
    <t>dorade</t>
  </si>
  <si>
    <t>R385</t>
  </si>
  <si>
    <t>extrait de poisson</t>
  </si>
  <si>
    <t>R386</t>
  </si>
  <si>
    <t>fletan</t>
  </si>
  <si>
    <t>R387</t>
  </si>
  <si>
    <t>fumet de poisson</t>
  </si>
  <si>
    <t>R388</t>
  </si>
  <si>
    <t>garum</t>
  </si>
  <si>
    <t>R389</t>
  </si>
  <si>
    <t>gelatine de poisson</t>
  </si>
  <si>
    <t>R390</t>
  </si>
  <si>
    <t>haddock</t>
  </si>
  <si>
    <t>R391</t>
  </si>
  <si>
    <t>hareng</t>
  </si>
  <si>
    <t>R392</t>
  </si>
  <si>
    <t>huile de poisson</t>
  </si>
  <si>
    <t>R393</t>
  </si>
  <si>
    <t>lieu jaune</t>
  </si>
  <si>
    <t>R394</t>
  </si>
  <si>
    <t>lieu noir</t>
  </si>
  <si>
    <t>R395</t>
  </si>
  <si>
    <t>lotte</t>
  </si>
  <si>
    <t>R396</t>
  </si>
  <si>
    <t>maquereau</t>
  </si>
  <si>
    <t>R397</t>
  </si>
  <si>
    <t>merlu</t>
  </si>
  <si>
    <t>R398</t>
  </si>
  <si>
    <t>nuoc mam</t>
  </si>
  <si>
    <t>R399</t>
  </si>
  <si>
    <t>pangasius</t>
  </si>
  <si>
    <t>R400</t>
  </si>
  <si>
    <t>pate d anchois</t>
  </si>
  <si>
    <t>R401</t>
  </si>
  <si>
    <t>R402</t>
  </si>
  <si>
    <t>poissons</t>
  </si>
  <si>
    <t>R403</t>
  </si>
  <si>
    <t>proteine de poisson</t>
  </si>
  <si>
    <t>R404</t>
  </si>
  <si>
    <t>proteines de poisson</t>
  </si>
  <si>
    <t>R405</t>
  </si>
  <si>
    <t>sardine</t>
  </si>
  <si>
    <t>R406</t>
  </si>
  <si>
    <t>sardines</t>
  </si>
  <si>
    <t>R407</t>
  </si>
  <si>
    <t>sauce poisson</t>
  </si>
  <si>
    <t>R408</t>
  </si>
  <si>
    <t>saumon</t>
  </si>
  <si>
    <t>R409</t>
  </si>
  <si>
    <t>sole</t>
  </si>
  <si>
    <t>R410</t>
  </si>
  <si>
    <t>surimi</t>
  </si>
  <si>
    <t>R411</t>
  </si>
  <si>
    <t>R412</t>
  </si>
  <si>
    <t>tilapia</t>
  </si>
  <si>
    <t>R413</t>
  </si>
  <si>
    <t>truite</t>
  </si>
  <si>
    <t>R414</t>
  </si>
  <si>
    <t>Sesame</t>
  </si>
  <si>
    <t>gomasio</t>
  </si>
  <si>
    <t>R415</t>
  </si>
  <si>
    <t>graine de sesame</t>
  </si>
  <si>
    <t>R416</t>
  </si>
  <si>
    <t>graines de sesame</t>
  </si>
  <si>
    <t>R417</t>
  </si>
  <si>
    <t>graines de sesame noir</t>
  </si>
  <si>
    <t>R418</t>
  </si>
  <si>
    <t>halva</t>
  </si>
  <si>
    <t>R419</t>
  </si>
  <si>
    <t>huile de sesame</t>
  </si>
  <si>
    <t>R420</t>
  </si>
  <si>
    <t>huile de sesame grillee</t>
  </si>
  <si>
    <t>R421</t>
  </si>
  <si>
    <t>pate de sesame</t>
  </si>
  <si>
    <t>R422</t>
  </si>
  <si>
    <t>puree de sesame</t>
  </si>
  <si>
    <t>R423</t>
  </si>
  <si>
    <t>sesame</t>
  </si>
  <si>
    <t>R424</t>
  </si>
  <si>
    <t>tahin</t>
  </si>
  <si>
    <t>R425</t>
  </si>
  <si>
    <t>tahini</t>
  </si>
  <si>
    <t>R426</t>
  </si>
  <si>
    <t>Soja</t>
  </si>
  <si>
    <t>boisson au soja</t>
  </si>
  <si>
    <t>R427</t>
  </si>
  <si>
    <t>boisson au soya</t>
  </si>
  <si>
    <t>R428</t>
  </si>
  <si>
    <t>boisson de soja</t>
  </si>
  <si>
    <t>R429</t>
  </si>
  <si>
    <t>boisson de soya</t>
  </si>
  <si>
    <t>R430</t>
  </si>
  <si>
    <t>concentre de proteines de soja</t>
  </si>
  <si>
    <t>R431</t>
  </si>
  <si>
    <t>creme de soja</t>
  </si>
  <si>
    <t>R432</t>
  </si>
  <si>
    <t>creme de soya</t>
  </si>
  <si>
    <t>R433</t>
  </si>
  <si>
    <t>dessert au soja</t>
  </si>
  <si>
    <t>R434</t>
  </si>
  <si>
    <t>edamame</t>
  </si>
  <si>
    <t>R435</t>
  </si>
  <si>
    <t>farine de soja</t>
  </si>
  <si>
    <t>R436</t>
  </si>
  <si>
    <t>farine de soya</t>
  </si>
  <si>
    <t>R437</t>
  </si>
  <si>
    <t>farines de soja</t>
  </si>
  <si>
    <t>R438</t>
  </si>
  <si>
    <t>farines de soya</t>
  </si>
  <si>
    <t>R439</t>
  </si>
  <si>
    <t>fibre de soja</t>
  </si>
  <si>
    <t>R440</t>
  </si>
  <si>
    <t>huile de soja</t>
  </si>
  <si>
    <t>R441</t>
  </si>
  <si>
    <t>huile de soya</t>
  </si>
  <si>
    <t>R442</t>
  </si>
  <si>
    <t>huiles de soja</t>
  </si>
  <si>
    <t>R443</t>
  </si>
  <si>
    <t>huiles de soya</t>
  </si>
  <si>
    <t>R444</t>
  </si>
  <si>
    <t>isolat de proteines de soja</t>
  </si>
  <si>
    <t>R445</t>
  </si>
  <si>
    <t>lait de soja</t>
  </si>
  <si>
    <t>R446</t>
  </si>
  <si>
    <t>lait de soya</t>
  </si>
  <si>
    <t>R447</t>
  </si>
  <si>
    <t>lecithine de soja</t>
  </si>
  <si>
    <t>R448</t>
  </si>
  <si>
    <t>lecithine de soya</t>
  </si>
  <si>
    <t>R449</t>
  </si>
  <si>
    <t>lecithines de soja</t>
  </si>
  <si>
    <t>R450</t>
  </si>
  <si>
    <t>lecithines de soya</t>
  </si>
  <si>
    <t>R451</t>
  </si>
  <si>
    <t>miso</t>
  </si>
  <si>
    <t>R452</t>
  </si>
  <si>
    <t>natto</t>
  </si>
  <si>
    <t>R453</t>
  </si>
  <si>
    <t>proteine de soja</t>
  </si>
  <si>
    <t>R454</t>
  </si>
  <si>
    <t>proteine de soya</t>
  </si>
  <si>
    <t>R455</t>
  </si>
  <si>
    <t>proteines de soja</t>
  </si>
  <si>
    <t>R456</t>
  </si>
  <si>
    <t>proteines de soja texturees</t>
  </si>
  <si>
    <t>R457</t>
  </si>
  <si>
    <t>proteines de soya</t>
  </si>
  <si>
    <t>R458</t>
  </si>
  <si>
    <t>proteines vegetales de soja</t>
  </si>
  <si>
    <t>R459</t>
  </si>
  <si>
    <t>sauce soja</t>
  </si>
  <si>
    <t>R460</t>
  </si>
  <si>
    <t>sauce soya</t>
  </si>
  <si>
    <t>R461</t>
  </si>
  <si>
    <t>soja</t>
  </si>
  <si>
    <t>R462</t>
  </si>
  <si>
    <t>soya</t>
  </si>
  <si>
    <t>R463</t>
  </si>
  <si>
    <t>tamari</t>
  </si>
  <si>
    <t>R464</t>
  </si>
  <si>
    <t>tempeh</t>
  </si>
  <si>
    <t>R465</t>
  </si>
  <si>
    <t>tofu</t>
  </si>
  <si>
    <t>R466</t>
  </si>
  <si>
    <t>tourteau de soja</t>
  </si>
  <si>
    <t>R467</t>
  </si>
  <si>
    <t>tourteaux de soja</t>
  </si>
  <si>
    <t>R468</t>
  </si>
  <si>
    <t>yaourt de soja</t>
  </si>
  <si>
    <t>R469</t>
  </si>
  <si>
    <t>Sulfites</t>
  </si>
  <si>
    <t>anhydride sulfureux</t>
  </si>
  <si>
    <t>R470</t>
  </si>
  <si>
    <t>bisulfite</t>
  </si>
  <si>
    <t>R471</t>
  </si>
  <si>
    <t>bisulfites</t>
  </si>
  <si>
    <t>R472</t>
  </si>
  <si>
    <t>dioxyde de soufre</t>
  </si>
  <si>
    <t>R473</t>
  </si>
  <si>
    <t>e220</t>
  </si>
  <si>
    <t>R474</t>
  </si>
  <si>
    <t>e221</t>
  </si>
  <si>
    <t>R475</t>
  </si>
  <si>
    <t>e222</t>
  </si>
  <si>
    <t>R476</t>
  </si>
  <si>
    <t>e223</t>
  </si>
  <si>
    <t>R477</t>
  </si>
  <si>
    <t>e224</t>
  </si>
  <si>
    <t>R478</t>
  </si>
  <si>
    <t>e226</t>
  </si>
  <si>
    <t>R479</t>
  </si>
  <si>
    <t>e227</t>
  </si>
  <si>
    <t>R480</t>
  </si>
  <si>
    <t>e228</t>
  </si>
  <si>
    <t>R481</t>
  </si>
  <si>
    <t>metabisulfite</t>
  </si>
  <si>
    <t>R482</t>
  </si>
  <si>
    <t>metabisulfite de potassium</t>
  </si>
  <si>
    <t>R483</t>
  </si>
  <si>
    <t>metabisulfite de sodium</t>
  </si>
  <si>
    <t>R484</t>
  </si>
  <si>
    <t>metabisulfites</t>
  </si>
  <si>
    <t>R485</t>
  </si>
  <si>
    <t>sulfite</t>
  </si>
  <si>
    <t>R486</t>
  </si>
  <si>
    <t>sulfite acide de potassium</t>
  </si>
  <si>
    <t>R487</t>
  </si>
  <si>
    <t>sulfite acide de sodium</t>
  </si>
  <si>
    <t>R488</t>
  </si>
  <si>
    <t>sulfite de potassium</t>
  </si>
  <si>
    <t>R489</t>
  </si>
  <si>
    <t>sulfite de sodium</t>
  </si>
  <si>
    <t>R490</t>
  </si>
  <si>
    <t>sulfites</t>
  </si>
  <si>
    <t>R491</t>
  </si>
  <si>
    <t>sulfites de potassium</t>
  </si>
  <si>
    <t>R492</t>
  </si>
  <si>
    <t>sulfites de sodium</t>
  </si>
  <si>
    <t>R493</t>
  </si>
  <si>
    <t>EXCL</t>
  </si>
  <si>
    <t>amande de mer</t>
  </si>
  <si>
    <t>R494</t>
  </si>
  <si>
    <t>amandes de mer</t>
  </si>
  <si>
    <t>R495</t>
  </si>
  <si>
    <t>aminos de coco</t>
  </si>
  <si>
    <t>R496</t>
  </si>
  <si>
    <t>chataigne</t>
  </si>
  <si>
    <t>R497</t>
  </si>
  <si>
    <t>chataignes</t>
  </si>
  <si>
    <t>R498</t>
  </si>
  <si>
    <t>coco rapee</t>
  </si>
  <si>
    <t>R499</t>
  </si>
  <si>
    <t>copeaux de coco</t>
  </si>
  <si>
    <t>R500</t>
  </si>
  <si>
    <t>creme de coco</t>
  </si>
  <si>
    <t>R501</t>
  </si>
  <si>
    <t>eau de coco</t>
  </si>
  <si>
    <t>R502</t>
  </si>
  <si>
    <t>farine de coco</t>
  </si>
  <si>
    <t>R503</t>
  </si>
  <si>
    <t>huile de coco</t>
  </si>
  <si>
    <t>R504</t>
  </si>
  <si>
    <t>marron</t>
  </si>
  <si>
    <t>R505</t>
  </si>
  <si>
    <t>marrons</t>
  </si>
  <si>
    <t>R506</t>
  </si>
  <si>
    <t>muscade</t>
  </si>
  <si>
    <t>R507</t>
  </si>
  <si>
    <t>noix de boeuf</t>
  </si>
  <si>
    <t>R508</t>
  </si>
  <si>
    <t>R509</t>
  </si>
  <si>
    <t>noix de jambon</t>
  </si>
  <si>
    <t>R510</t>
  </si>
  <si>
    <t>R511</t>
  </si>
  <si>
    <t>noix de porc</t>
  </si>
  <si>
    <t>R512</t>
  </si>
  <si>
    <t>noix de ris de veau</t>
  </si>
  <si>
    <t>R513</t>
  </si>
  <si>
    <t>R514</t>
  </si>
  <si>
    <t>R515</t>
  </si>
  <si>
    <t>noix de veau</t>
  </si>
  <si>
    <t>R516</t>
  </si>
  <si>
    <t>noix muscade</t>
  </si>
  <si>
    <t>R517</t>
  </si>
  <si>
    <t>pignon de pin</t>
  </si>
  <si>
    <t>R518</t>
  </si>
  <si>
    <t>pignons de pin</t>
  </si>
  <si>
    <t>R519</t>
  </si>
  <si>
    <t>pulpe de coco</t>
  </si>
  <si>
    <t>R520</t>
  </si>
  <si>
    <t>sucre de coco</t>
  </si>
  <si>
    <t>R521</t>
  </si>
  <si>
    <t>vinaigre de coco</t>
  </si>
  <si>
    <t>R522</t>
  </si>
  <si>
    <t>amidon de mais</t>
  </si>
  <si>
    <t>R523</t>
  </si>
  <si>
    <t>amidon de manioc</t>
  </si>
  <si>
    <t>R524</t>
  </si>
  <si>
    <t>amidon de tapioca</t>
  </si>
  <si>
    <t>R525</t>
  </si>
  <si>
    <t>couscous de mais</t>
  </si>
  <si>
    <t>R526</t>
  </si>
  <si>
    <t>couscous de millet</t>
  </si>
  <si>
    <t>R527</t>
  </si>
  <si>
    <t>farine d amande</t>
  </si>
  <si>
    <t>R528</t>
  </si>
  <si>
    <t>farine d amandes</t>
  </si>
  <si>
    <t>R529</t>
  </si>
  <si>
    <t>farine de banane</t>
  </si>
  <si>
    <t>R530</t>
  </si>
  <si>
    <t>farine de caroube</t>
  </si>
  <si>
    <t>R531</t>
  </si>
  <si>
    <t>farine de chanvre</t>
  </si>
  <si>
    <t>R532</t>
  </si>
  <si>
    <t>farine de chataigne</t>
  </si>
  <si>
    <t>R533</t>
  </si>
  <si>
    <t>farine de chataignes</t>
  </si>
  <si>
    <t>R534</t>
  </si>
  <si>
    <t>R535</t>
  </si>
  <si>
    <t>farine de haricot</t>
  </si>
  <si>
    <t>R536</t>
  </si>
  <si>
    <t>farine de lentille</t>
  </si>
  <si>
    <t>R537</t>
  </si>
  <si>
    <t>farine de lentilles</t>
  </si>
  <si>
    <t>R538</t>
  </si>
  <si>
    <t>R539</t>
  </si>
  <si>
    <t>farine de mais</t>
  </si>
  <si>
    <t>R540</t>
  </si>
  <si>
    <t>farine de manioc</t>
  </si>
  <si>
    <t>R541</t>
  </si>
  <si>
    <t>farine de millet</t>
  </si>
  <si>
    <t>R542</t>
  </si>
  <si>
    <t>R543</t>
  </si>
  <si>
    <t>farine de noisette</t>
  </si>
  <si>
    <t>R544</t>
  </si>
  <si>
    <t>farine de noisettes</t>
  </si>
  <si>
    <t>R545</t>
  </si>
  <si>
    <t>farine de patate douce</t>
  </si>
  <si>
    <t>R546</t>
  </si>
  <si>
    <t>farine de pois</t>
  </si>
  <si>
    <t>R547</t>
  </si>
  <si>
    <t>farine de pois casses</t>
  </si>
  <si>
    <t>R548</t>
  </si>
  <si>
    <t>farine de pois chiche</t>
  </si>
  <si>
    <t>R549</t>
  </si>
  <si>
    <t>farine de pomme de terre</t>
  </si>
  <si>
    <t>R550</t>
  </si>
  <si>
    <t>farine de quinoa</t>
  </si>
  <si>
    <t>R551</t>
  </si>
  <si>
    <t>farine de riz</t>
  </si>
  <si>
    <t>R552</t>
  </si>
  <si>
    <t>farine de riz complet</t>
  </si>
  <si>
    <t>R553</t>
  </si>
  <si>
    <t>farine de sarrasin</t>
  </si>
  <si>
    <t>R554</t>
  </si>
  <si>
    <t>R555</t>
  </si>
  <si>
    <t>farine de sorgho</t>
  </si>
  <si>
    <t>R556</t>
  </si>
  <si>
    <t>farine de souchet</t>
  </si>
  <si>
    <t>R557</t>
  </si>
  <si>
    <t>farine de tapioca</t>
  </si>
  <si>
    <t>R558</t>
  </si>
  <si>
    <t>farine de teff</t>
  </si>
  <si>
    <t>R559</t>
  </si>
  <si>
    <t>R560</t>
  </si>
  <si>
    <t>R561</t>
  </si>
  <si>
    <t>fecule de mais</t>
  </si>
  <si>
    <t>R562</t>
  </si>
  <si>
    <t>fecule de pomme de terre</t>
  </si>
  <si>
    <t>R563</t>
  </si>
  <si>
    <t>fecule de tapioca</t>
  </si>
  <si>
    <t>R564</t>
  </si>
  <si>
    <t>maizena</t>
  </si>
  <si>
    <t>R565</t>
  </si>
  <si>
    <t>polenta</t>
  </si>
  <si>
    <t>R566</t>
  </si>
  <si>
    <t>R567</t>
  </si>
  <si>
    <t>semoule de mais</t>
  </si>
  <si>
    <t>R568</t>
  </si>
  <si>
    <t>semoule de millet</t>
  </si>
  <si>
    <t>R569</t>
  </si>
  <si>
    <t>semoule de pois chiche</t>
  </si>
  <si>
    <t>R570</t>
  </si>
  <si>
    <t>semoule de pois chiches</t>
  </si>
  <si>
    <t>R571</t>
  </si>
  <si>
    <t>semoule de quinoa</t>
  </si>
  <si>
    <t>R572</t>
  </si>
  <si>
    <t>semoule de riz</t>
  </si>
  <si>
    <t>R573</t>
  </si>
  <si>
    <t>semoule de sarrasin</t>
  </si>
  <si>
    <t>R574</t>
  </si>
  <si>
    <t>semoule de sorgho</t>
  </si>
  <si>
    <t>R575</t>
  </si>
  <si>
    <t>semoule de tapioca</t>
  </si>
  <si>
    <t>R576</t>
  </si>
  <si>
    <t>beurre d amande</t>
  </si>
  <si>
    <t>R577</t>
  </si>
  <si>
    <t>beurre d amandes</t>
  </si>
  <si>
    <t>R578</t>
  </si>
  <si>
    <t>R579</t>
  </si>
  <si>
    <t>beurre d arachides</t>
  </si>
  <si>
    <t>R580</t>
  </si>
  <si>
    <t>R581</t>
  </si>
  <si>
    <t>R582</t>
  </si>
  <si>
    <t>beurre de cacao</t>
  </si>
  <si>
    <t>R583</t>
  </si>
  <si>
    <t>beurre de cajou</t>
  </si>
  <si>
    <t>R584</t>
  </si>
  <si>
    <t>beurre de coco</t>
  </si>
  <si>
    <t>R585</t>
  </si>
  <si>
    <t>beurre de macadamia</t>
  </si>
  <si>
    <t>R586</t>
  </si>
  <si>
    <t>beurre de noisette</t>
  </si>
  <si>
    <t>R587</t>
  </si>
  <si>
    <t>beurre de noisettes</t>
  </si>
  <si>
    <t>R588</t>
  </si>
  <si>
    <t>beurre de pecan</t>
  </si>
  <si>
    <t>R589</t>
  </si>
  <si>
    <t>beurre de pistache</t>
  </si>
  <si>
    <t>R590</t>
  </si>
  <si>
    <t>beurre de pistaches</t>
  </si>
  <si>
    <t>R591</t>
  </si>
  <si>
    <t>beurre vegetal</t>
  </si>
  <si>
    <t>R592</t>
  </si>
  <si>
    <t>R593</t>
  </si>
  <si>
    <t>boisson cajou</t>
  </si>
  <si>
    <t>R594</t>
  </si>
  <si>
    <t>R595</t>
  </si>
  <si>
    <t>R596</t>
  </si>
  <si>
    <t>R597</t>
  </si>
  <si>
    <t>boisson de chanvre</t>
  </si>
  <si>
    <t>R598</t>
  </si>
  <si>
    <t>boisson de coco</t>
  </si>
  <si>
    <t>R599</t>
  </si>
  <si>
    <t>boisson de millet</t>
  </si>
  <si>
    <t>R600</t>
  </si>
  <si>
    <t>R601</t>
  </si>
  <si>
    <t>R602</t>
  </si>
  <si>
    <t>boisson de quinoa</t>
  </si>
  <si>
    <t>R603</t>
  </si>
  <si>
    <t>boisson de riz</t>
  </si>
  <si>
    <t>R604</t>
  </si>
  <si>
    <t>R605</t>
  </si>
  <si>
    <t>R606</t>
  </si>
  <si>
    <t>boisson vegetale</t>
  </si>
  <si>
    <t>R607</t>
  </si>
  <si>
    <t>creme balsamique</t>
  </si>
  <si>
    <t>R608</t>
  </si>
  <si>
    <t>creme coco</t>
  </si>
  <si>
    <t>R609</t>
  </si>
  <si>
    <t>R610</t>
  </si>
  <si>
    <t>R611</t>
  </si>
  <si>
    <t>creme d avoine</t>
  </si>
  <si>
    <t>R612</t>
  </si>
  <si>
    <t>R613</t>
  </si>
  <si>
    <t>creme de cassis</t>
  </si>
  <si>
    <t>R614</t>
  </si>
  <si>
    <t>creme de chanvre</t>
  </si>
  <si>
    <t>R615</t>
  </si>
  <si>
    <t>R616</t>
  </si>
  <si>
    <t>creme de marron</t>
  </si>
  <si>
    <t>R617</t>
  </si>
  <si>
    <t>creme de marrons</t>
  </si>
  <si>
    <t>R618</t>
  </si>
  <si>
    <t>creme de millet</t>
  </si>
  <si>
    <t>R619</t>
  </si>
  <si>
    <t>R620</t>
  </si>
  <si>
    <t>R621</t>
  </si>
  <si>
    <t>creme de pistache</t>
  </si>
  <si>
    <t>R622</t>
  </si>
  <si>
    <t>creme de quinoa</t>
  </si>
  <si>
    <t>R623</t>
  </si>
  <si>
    <t>creme de riz</t>
  </si>
  <si>
    <t>R624</t>
  </si>
  <si>
    <t>R625</t>
  </si>
  <si>
    <t>R626</t>
  </si>
  <si>
    <t>creme de tartre</t>
  </si>
  <si>
    <t>R627</t>
  </si>
  <si>
    <t>creme de vinaigre</t>
  </si>
  <si>
    <t>R628</t>
  </si>
  <si>
    <t>creme vegetale</t>
  </si>
  <si>
    <t>R629</t>
  </si>
  <si>
    <t>dessert a la noix de coco</t>
  </si>
  <si>
    <t>R630</t>
  </si>
  <si>
    <t>R631</t>
  </si>
  <si>
    <t>dessert vegetal</t>
  </si>
  <si>
    <t>R632</t>
  </si>
  <si>
    <t>fromage a tartiner vegetal</t>
  </si>
  <si>
    <t>R633</t>
  </si>
  <si>
    <t>fromage d amande</t>
  </si>
  <si>
    <t>R634</t>
  </si>
  <si>
    <t>fromage d amandes</t>
  </si>
  <si>
    <t>R635</t>
  </si>
  <si>
    <t>fromage de cajou</t>
  </si>
  <si>
    <t>R636</t>
  </si>
  <si>
    <t>fromage de coco</t>
  </si>
  <si>
    <t>R637</t>
  </si>
  <si>
    <t>fromage de soja</t>
  </si>
  <si>
    <t>R638</t>
  </si>
  <si>
    <t>fromage de soya</t>
  </si>
  <si>
    <t>R639</t>
  </si>
  <si>
    <t>fromage vegan</t>
  </si>
  <si>
    <t>R640</t>
  </si>
  <si>
    <t>fromage vegane</t>
  </si>
  <si>
    <t>R641</t>
  </si>
  <si>
    <t>fromage vegetal</t>
  </si>
  <si>
    <t>R642</t>
  </si>
  <si>
    <t>lait amande</t>
  </si>
  <si>
    <t>R643</t>
  </si>
  <si>
    <t>R644</t>
  </si>
  <si>
    <t>lait d amandes</t>
  </si>
  <si>
    <t>R645</t>
  </si>
  <si>
    <t>R646</t>
  </si>
  <si>
    <t>R647</t>
  </si>
  <si>
    <t>lait de chanvre</t>
  </si>
  <si>
    <t>R648</t>
  </si>
  <si>
    <t>lait de chataigne</t>
  </si>
  <si>
    <t>R649</t>
  </si>
  <si>
    <t>lait de coco</t>
  </si>
  <si>
    <t>R650</t>
  </si>
  <si>
    <t>lait de millet</t>
  </si>
  <si>
    <t>R651</t>
  </si>
  <si>
    <t>R652</t>
  </si>
  <si>
    <t>lait de noisettes</t>
  </si>
  <si>
    <t>R653</t>
  </si>
  <si>
    <t>R654</t>
  </si>
  <si>
    <t>lait de quinoa</t>
  </si>
  <si>
    <t>R655</t>
  </si>
  <si>
    <t>lait de riz</t>
  </si>
  <si>
    <t>R656</t>
  </si>
  <si>
    <t>R657</t>
  </si>
  <si>
    <t>R658</t>
  </si>
  <si>
    <t>specialite vegetale</t>
  </si>
  <si>
    <t>R659</t>
  </si>
  <si>
    <t>specialite vegetale coco</t>
  </si>
  <si>
    <t>R660</t>
  </si>
  <si>
    <t>specialite vegetale soja</t>
  </si>
  <si>
    <t>R661</t>
  </si>
  <si>
    <t>yaourt d amande</t>
  </si>
  <si>
    <t>R662</t>
  </si>
  <si>
    <t>yaourt d avoine</t>
  </si>
  <si>
    <t>R663</t>
  </si>
  <si>
    <t>yaourt de coco</t>
  </si>
  <si>
    <t>R664</t>
  </si>
  <si>
    <t>R665</t>
  </si>
  <si>
    <t>yaourt de soya</t>
  </si>
  <si>
    <t>R666</t>
  </si>
  <si>
    <t>yaourt vegetal</t>
  </si>
  <si>
    <t>R667</t>
  </si>
  <si>
    <t>au moule</t>
  </si>
  <si>
    <t>R668</t>
  </si>
  <si>
    <t>beurrez le moule</t>
  </si>
  <si>
    <t>R669</t>
  </si>
  <si>
    <t>chemisez le moule</t>
  </si>
  <si>
    <t>R670</t>
  </si>
  <si>
    <t>dans le moule</t>
  </si>
  <si>
    <t>R671</t>
  </si>
  <si>
    <t>dans un moule</t>
  </si>
  <si>
    <t>R672</t>
  </si>
  <si>
    <t>du moule</t>
  </si>
  <si>
    <t>R673</t>
  </si>
  <si>
    <t>farinez le moule</t>
  </si>
  <si>
    <t>R674</t>
  </si>
  <si>
    <t>graissez le moule</t>
  </si>
  <si>
    <t>R675</t>
  </si>
  <si>
    <t>le moule</t>
  </si>
  <si>
    <t>R676</t>
  </si>
  <si>
    <t>moule a</t>
  </si>
  <si>
    <t>R677</t>
  </si>
  <si>
    <t>moule a brioche</t>
  </si>
  <si>
    <t>R678</t>
  </si>
  <si>
    <t>moule a cake</t>
  </si>
  <si>
    <t>R679</t>
  </si>
  <si>
    <t>moule a cannele</t>
  </si>
  <si>
    <t>R680</t>
  </si>
  <si>
    <t>moule a canneles</t>
  </si>
  <si>
    <t>R681</t>
  </si>
  <si>
    <t>moule a charlotte</t>
  </si>
  <si>
    <t>R682</t>
  </si>
  <si>
    <t>moule a financier</t>
  </si>
  <si>
    <t>R683</t>
  </si>
  <si>
    <t>moule a financiers</t>
  </si>
  <si>
    <t>R684</t>
  </si>
  <si>
    <t>moule a madeleine</t>
  </si>
  <si>
    <t>R685</t>
  </si>
  <si>
    <t>moule a madeleines</t>
  </si>
  <si>
    <t>R686</t>
  </si>
  <si>
    <t>moule a manque</t>
  </si>
  <si>
    <t>R687</t>
  </si>
  <si>
    <t>moule a muffins</t>
  </si>
  <si>
    <t>R688</t>
  </si>
  <si>
    <t>moule a tarte</t>
  </si>
  <si>
    <t>R689</t>
  </si>
  <si>
    <t>moule a terrine</t>
  </si>
  <si>
    <t>R690</t>
  </si>
  <si>
    <t>moule antiadhesif</t>
  </si>
  <si>
    <t>R691</t>
  </si>
  <si>
    <t>moule carre</t>
  </si>
  <si>
    <t>R692</t>
  </si>
  <si>
    <t>moule en</t>
  </si>
  <si>
    <t>R693</t>
  </si>
  <si>
    <t>moule inox</t>
  </si>
  <si>
    <t>R694</t>
  </si>
  <si>
    <t>moule rectangulaire</t>
  </si>
  <si>
    <t>R695</t>
  </si>
  <si>
    <t>moule rond</t>
  </si>
  <si>
    <t>R696</t>
  </si>
  <si>
    <t>moule silicone</t>
  </si>
  <si>
    <t>R697</t>
  </si>
  <si>
    <t>un moule</t>
  </si>
  <si>
    <t>R698</t>
  </si>
  <si>
    <t>au bar</t>
  </si>
  <si>
    <t>R699</t>
  </si>
  <si>
    <t>bar a vin</t>
  </si>
  <si>
    <t>R700</t>
  </si>
  <si>
    <t>bar lounge</t>
  </si>
  <si>
    <t>R701</t>
  </si>
  <si>
    <t>bar tabac</t>
  </si>
  <si>
    <t>R702</t>
  </si>
  <si>
    <t>coin bar</t>
  </si>
  <si>
    <t>R703</t>
  </si>
  <si>
    <t>couleur saumon</t>
  </si>
  <si>
    <t>R704</t>
  </si>
  <si>
    <t>du bar</t>
  </si>
  <si>
    <t>R705</t>
  </si>
  <si>
    <t>espace bar</t>
  </si>
  <si>
    <t>R706</t>
  </si>
  <si>
    <t>faire une raie</t>
  </si>
  <si>
    <t>R707</t>
  </si>
  <si>
    <t>le bar</t>
  </si>
  <si>
    <t>R708</t>
  </si>
  <si>
    <t>mini bar</t>
  </si>
  <si>
    <t>R709</t>
  </si>
  <si>
    <t>raie au milieu</t>
  </si>
  <si>
    <t>R710</t>
  </si>
  <si>
    <t>raie de cheveux</t>
  </si>
  <si>
    <t>R711</t>
  </si>
  <si>
    <t>rose saumon</t>
  </si>
  <si>
    <t>R712</t>
  </si>
  <si>
    <t>un bar</t>
  </si>
  <si>
    <t>R713</t>
  </si>
  <si>
    <t>INFO</t>
  </si>
  <si>
    <t>alcool ethylique d origine agricole de fruits a coque</t>
  </si>
  <si>
    <t>R714</t>
  </si>
  <si>
    <t>alcool ethylique d origine agricole issu de fruits a coque</t>
  </si>
  <si>
    <t>R715</t>
  </si>
  <si>
    <t>alcool ethylique d origine agricole obtenu a partir de fruits a coque</t>
  </si>
  <si>
    <t>R716</t>
  </si>
  <si>
    <t>alcool ethylique d origine agricole obtenu de fruits a coque</t>
  </si>
  <si>
    <t>R717</t>
  </si>
  <si>
    <t>distillat alcoolique de fruits a coque</t>
  </si>
  <si>
    <t>R718</t>
  </si>
  <si>
    <t>distillat de fruits a coque</t>
  </si>
  <si>
    <t>R719</t>
  </si>
  <si>
    <t>distillats alcooliques de fruits a coque</t>
  </si>
  <si>
    <t>R720</t>
  </si>
  <si>
    <t>distillats alcooliques issus de fruits a coque</t>
  </si>
  <si>
    <t>R721</t>
  </si>
  <si>
    <t>distillats de fruits a coque</t>
  </si>
  <si>
    <t>R722</t>
  </si>
  <si>
    <t>ble utilise pour la fabrication de distillats alcooliques</t>
  </si>
  <si>
    <t>R723</t>
  </si>
  <si>
    <t>cereales utilisees pour la fabrication de distillats alcooliques</t>
  </si>
  <si>
    <t>R724</t>
  </si>
  <si>
    <t>maltodextrines a base de ble</t>
  </si>
  <si>
    <t>R725</t>
  </si>
  <si>
    <t>maltodextrines de ble</t>
  </si>
  <si>
    <t>R726</t>
  </si>
  <si>
    <t>sirop de glucose d orge</t>
  </si>
  <si>
    <t>R727</t>
  </si>
  <si>
    <t>sirop de glucose de ble</t>
  </si>
  <si>
    <t>R728</t>
  </si>
  <si>
    <t>sirops de glucose a base de ble</t>
  </si>
  <si>
    <t>R729</t>
  </si>
  <si>
    <t>sirops de glucose d orge</t>
  </si>
  <si>
    <t>R730</t>
  </si>
  <si>
    <t>alcool ethylique d origine agricole a partir de lactoserum</t>
  </si>
  <si>
    <t>R731</t>
  </si>
  <si>
    <t>alcool ethylique d origine agricole obtenu a partir de lactoserum</t>
  </si>
  <si>
    <t>R732</t>
  </si>
  <si>
    <t>distillat de lactoserum</t>
  </si>
  <si>
    <t>R733</t>
  </si>
  <si>
    <t>distillats de lactoserum</t>
  </si>
  <si>
    <t>R734</t>
  </si>
  <si>
    <t>ethanol d origine agricole obtenu a partir de lactoserum</t>
  </si>
  <si>
    <t>R735</t>
  </si>
  <si>
    <t>lactitol</t>
  </si>
  <si>
    <t>R736</t>
  </si>
  <si>
    <t>lactoserum pour distillats</t>
  </si>
  <si>
    <t>R737</t>
  </si>
  <si>
    <t>lactoserum pour distillats alcooliques</t>
  </si>
  <si>
    <t>R738</t>
  </si>
  <si>
    <t>lactoserum utilise pour la fabrication d alcool ethylique d origine agricole</t>
  </si>
  <si>
    <t>R739</t>
  </si>
  <si>
    <t>lactoserum utilise pour la fabrication de distillats</t>
  </si>
  <si>
    <t>R740</t>
  </si>
  <si>
    <t>lactoserum utilise pour la fabrication de distillats alcooliques</t>
  </si>
  <si>
    <t>R741</t>
  </si>
  <si>
    <t>agent de clarification a base d ichtyocolle</t>
  </si>
  <si>
    <t>R742</t>
  </si>
  <si>
    <t>clarifiant a base d ichtyocolle</t>
  </si>
  <si>
    <t>R743</t>
  </si>
  <si>
    <t>clarification de la biere par ichtyocolle</t>
  </si>
  <si>
    <t>R744</t>
  </si>
  <si>
    <t>clarification du vin par ichtyocolle</t>
  </si>
  <si>
    <t>R745</t>
  </si>
  <si>
    <t>colle de poisson</t>
  </si>
  <si>
    <t>R746</t>
  </si>
  <si>
    <t>gelatine de poisson comme support pour carotenoides</t>
  </si>
  <si>
    <t>R747</t>
  </si>
  <si>
    <t>gelatine de poisson comme support pour preparation de vitamines</t>
  </si>
  <si>
    <t>R748</t>
  </si>
  <si>
    <t>gelatine de poisson comme support pour vitamines</t>
  </si>
  <si>
    <t>R749</t>
  </si>
  <si>
    <t>gelatine de poisson utilisee comme support</t>
  </si>
  <si>
    <t>R750</t>
  </si>
  <si>
    <t>gelatine de poisson utilisee comme support pour carotenoides</t>
  </si>
  <si>
    <t>R751</t>
  </si>
  <si>
    <t>gelatine de poisson utilisee comme support pour preparation de vitamines</t>
  </si>
  <si>
    <t>R752</t>
  </si>
  <si>
    <t>ichtyocolle</t>
  </si>
  <si>
    <t>R753</t>
  </si>
  <si>
    <t>ichtyocolle utilisee comme agent de clarification</t>
  </si>
  <si>
    <t>R754</t>
  </si>
  <si>
    <t>ester de stanol vegetal issu du soja</t>
  </si>
  <si>
    <t>R755</t>
  </si>
  <si>
    <t>esters de stanol vegetal issus du soja</t>
  </si>
  <si>
    <t>R756</t>
  </si>
  <si>
    <t>graisse de soja entierement raffinee</t>
  </si>
  <si>
    <t>R757</t>
  </si>
  <si>
    <t>graisse de soja hautement raffinee</t>
  </si>
  <si>
    <t>R758</t>
  </si>
  <si>
    <t>graisse de soja raffinee</t>
  </si>
  <si>
    <t>R759</t>
  </si>
  <si>
    <t>huile de soja completement raffinee</t>
  </si>
  <si>
    <t>R760</t>
  </si>
  <si>
    <t>huile de soja entierement raffinee</t>
  </si>
  <si>
    <t>R761</t>
  </si>
  <si>
    <t>huile de soja hautement raffinee</t>
  </si>
  <si>
    <t>R762</t>
  </si>
  <si>
    <t>huile de soja raffinee</t>
  </si>
  <si>
    <t>R763</t>
  </si>
  <si>
    <t>matiere grasse de soja entierement raffinee</t>
  </si>
  <si>
    <t>R764</t>
  </si>
  <si>
    <t>stanols de soja</t>
  </si>
  <si>
    <t>R765</t>
  </si>
  <si>
    <t>stanols vegetaux issus du soja</t>
  </si>
  <si>
    <t>R766</t>
  </si>
  <si>
    <t>sterols de soja</t>
  </si>
  <si>
    <t>R767</t>
  </si>
  <si>
    <t>sterols vegetaux issus du soja</t>
  </si>
  <si>
    <t>R768</t>
  </si>
  <si>
    <t>cidre</t>
  </si>
  <si>
    <t>R769</t>
  </si>
  <si>
    <t>madere</t>
  </si>
  <si>
    <t>R770</t>
  </si>
  <si>
    <t>porto</t>
  </si>
  <si>
    <t>R771</t>
  </si>
  <si>
    <t>vin blanc</t>
  </si>
  <si>
    <t>R772</t>
  </si>
  <si>
    <t>vin cuit</t>
  </si>
  <si>
    <t>R773</t>
  </si>
  <si>
    <t>vin rouge</t>
  </si>
  <si>
    <t>R774</t>
  </si>
  <si>
    <t>vinaigre balsamique</t>
  </si>
  <si>
    <t>R775</t>
  </si>
  <si>
    <t>vinaigre de cidre</t>
  </si>
  <si>
    <t>R776</t>
  </si>
  <si>
    <t>vinaigre de vin</t>
  </si>
  <si>
    <t>R777</t>
  </si>
  <si>
    <t>SUSP</t>
  </si>
  <si>
    <t>R778</t>
  </si>
  <si>
    <t>R779</t>
  </si>
  <si>
    <t>biscuits</t>
  </si>
  <si>
    <t>R780</t>
  </si>
  <si>
    <t>R781</t>
  </si>
  <si>
    <t>croutons</t>
  </si>
  <si>
    <t>R782</t>
  </si>
  <si>
    <t>R783</t>
  </si>
  <si>
    <t>farines</t>
  </si>
  <si>
    <t>R784</t>
  </si>
  <si>
    <t>R785</t>
  </si>
  <si>
    <t>R786</t>
  </si>
  <si>
    <t>R787</t>
  </si>
  <si>
    <t>semoule</t>
  </si>
  <si>
    <t>R788</t>
  </si>
  <si>
    <t>R789</t>
  </si>
  <si>
    <t>R790</t>
  </si>
  <si>
    <t>creme</t>
  </si>
  <si>
    <t>R791</t>
  </si>
  <si>
    <t>creme legere</t>
  </si>
  <si>
    <t>R792</t>
  </si>
  <si>
    <t>Lait entier 60°C ( aromatisé) *</t>
  </si>
  <si>
    <t>Œufs entiers *</t>
  </si>
  <si>
    <t>Eau de fleurs d' oranger</t>
  </si>
  <si>
    <t>⚠ Lait</t>
  </si>
  <si>
    <t>⚠ Oeufs</t>
  </si>
  <si>
    <t>Moutarde *</t>
  </si>
  <si>
    <t>Œuf *</t>
  </si>
  <si>
    <t>⚠ Moutarde</t>
  </si>
  <si>
    <t>info Sulfites</t>
  </si>
  <si>
    <t>600 g de blancs de poulet</t>
  </si>
  <si>
    <t>2 belles échalotes ciselées</t>
  </si>
  <si>
    <t>1 verre de vin blanc sec</t>
  </si>
  <si>
    <t>2 c.à soupe bombées de crème fraîche épaisse *</t>
  </si>
  <si>
    <t>2 blancs d'oeufs *</t>
  </si>
  <si>
    <t>1 douzaine de petites morilles séchées</t>
  </si>
  <si>
    <t>2 c.à soupe rases de Maïzena</t>
  </si>
  <si>
    <t>1 petite pincée de 4 épices</t>
  </si>
  <si>
    <t>Une noisette de beurre *</t>
  </si>
  <si>
    <t>Sel (15 g/kg d'appareil) </t>
  </si>
  <si>
    <t>Vide</t>
  </si>
  <si>
    <t>50 g de beurre *</t>
  </si>
  <si>
    <t>1 cuillère à café de moutarde *</t>
  </si>
  <si>
    <t>20 cl de crème liquide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</si>
</sst>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2">
    <numFmt numFmtId="164" formatCode="_-* #,##0.00\ _€_-;\-* #,##0.00\ _€_-;_-* &quot;-&quot;??\ _€_-;_-@_-"/>
    <numFmt numFmtId="165" formatCode="0.000&quot; Kg&quot;"/>
    <numFmt numFmtId="166" formatCode="0.0%"/>
    <numFmt numFmtId="167" formatCode="0&quot; g&quot;"/>
    <numFmt numFmtId="168" formatCode="0.000"/>
    <numFmt numFmtId="169" formatCode="0.0&quot; g&quot;"/>
    <numFmt numFmtId="170" formatCode="0.0"/>
    <numFmt numFmtId="171" formatCode="0.000&quot;Kg&quot;"/>
    <numFmt numFmtId="172" formatCode="0&quot;%&quot;"/>
    <numFmt numFmtId="173" formatCode="0&quot; mn&quot;"/>
    <numFmt numFmtId="174" formatCode="&quot;Poids portion&quot;\ 0.000&quot; Kg&quot;"/>
    <numFmt numFmtId="175" formatCode="0&quot; %&quot;"/>
    <numFmt numFmtId="176" formatCode="0.00&quot;Kg&quot;"/>
    <numFmt numFmtId="177" formatCode="dddd\ dd\ mmmm\ yyyy"/>
    <numFmt numFmtId="178" formatCode="hh&quot;H&quot;:mm&quot; mn&quot;"/>
    <numFmt numFmtId="179" formatCode="0.0&quot;Kg&quot;"/>
    <numFmt numFmtId="180" formatCode="0&quot; Mx&quot;"/>
    <numFmt numFmtId="181" formatCode="0.00&quot; Mx&quot;"/>
    <numFmt numFmtId="182" formatCode="0.000&quot; L&quot;"/>
    <numFmt numFmtId="183" formatCode="#,##0.00\ &quot;€&quot;"/>
    <numFmt numFmtId="184" formatCode="0.0&quot; %&quot;"/>
    <numFmt numFmtId="185" formatCode="0&quot;Kg&quot;"/>
    <numFmt numFmtId="186" formatCode="#,##0&quot; grs&quot;"/>
    <numFmt numFmtId="187" formatCode="#,##0&quot; g&quot;"/>
    <numFmt numFmtId="188" formatCode="0&quot; Kg&quot;"/>
    <numFmt numFmtId="189" formatCode="0.00&quot; Kg&quot;"/>
    <numFmt numFmtId="190" formatCode="#,##0&quot; cl&quot;"/>
    <numFmt numFmtId="191" formatCode="0.0000"/>
    <numFmt numFmtId="192" formatCode="#,##0.000"/>
    <numFmt numFmtId="193" formatCode="0&quot; gml&quot;"/>
    <numFmt numFmtId="194" formatCode="0.00\ &quot; cm³&quot;"/>
    <numFmt numFmtId="195" formatCode="&quot;Col.&quot;0"/>
    <numFmt numFmtId="196" formatCode="#,##0.0&quot; kg&quot;"/>
    <numFmt numFmtId="197" formatCode="#,##0&quot; kg&quot;"/>
    <numFmt numFmtId="198" formatCode="#,##0.000&quot; kg&quot;"/>
    <numFmt numFmtId="199" formatCode="#,##0.0&quot; grs&quot;"/>
    <numFmt numFmtId="200" formatCode="#,##0.00&quot; kg&quot;"/>
    <numFmt numFmtId="201" formatCode="_-* #,##0.00\ [$€-40C]_-;\-* #,##0.00\ [$€-40C]_-;_-* &quot;-&quot;??\ [$€-40C]_-;_-@_-"/>
    <numFmt numFmtId="202" formatCode="#,##0&quot; dl&quot;"/>
    <numFmt numFmtId="203" formatCode="[h]&quot;H&quot;mm"/>
    <numFmt numFmtId="204" formatCode="0.000\K\g"/>
    <numFmt numFmtId="205" formatCode="0&quot; gr&quot;"/>
    <numFmt numFmtId="206" formatCode="0.0&quot; gr&quot;"/>
    <numFmt numFmtId="207" formatCode="#,##0.0&quot; g&quot;"/>
    <numFmt numFmtId="208" formatCode="0&quot; cm&quot;"/>
    <numFmt numFmtId="209" formatCode="0.00\ &quot; cm²&quot;"/>
    <numFmt numFmtId="210" formatCode="0.0&quot; cm&quot;"/>
    <numFmt numFmtId="211" formatCode="0.0&quot; mm&quot;"/>
    <numFmt numFmtId="212" formatCode="0.00&quot; cm&quot;"/>
    <numFmt numFmtId="213" formatCode="0&quot; Gastro&quot;"/>
    <numFmt numFmtId="214" formatCode="\+\ 0.0;\-\ 0.0"/>
    <numFmt numFmtId="215" formatCode="\+\ 0.000;\-\ 0.000"/>
    <numFmt numFmtId="216" formatCode="0.00&quot; €&quot;"/>
    <numFmt numFmtId="217" formatCode="0&quot; Cont.&quot;"/>
    <numFmt numFmtId="218" formatCode="_-* #,##0.00000\ [$€-40C]_-;\-* #,##0.00000\ [$€-40C]_-;_-* &quot;-&quot;??\ [$€-40C]_-;_-@_-"/>
    <numFmt numFmtId="219" formatCode="#,##0.00&quot; Frs&quot;"/>
    <numFmt numFmtId="220" formatCode="#,##0.000&quot;  Kg&quot;"/>
    <numFmt numFmtId="221" formatCode="0&quot; lignes&quot;"/>
    <numFmt numFmtId="222" formatCode="[$-F800]dddd\,\ mmmm\ dd\,\ yyyy"/>
    <numFmt numFmtId="223" formatCode="dddd\ mm\ mmm\ yyyy\ \-\ hh&quot;H&quot;mm"/>
    <numFmt numFmtId="224" formatCode="h&quot; H &quot;mm;@"/>
    <numFmt numFmtId="225" formatCode="&quot;Semaine N °&quot;0"/>
    <numFmt numFmtId="226" formatCode="0.0&quot;%&quot;"/>
    <numFmt numFmtId="227" formatCode="&quot;de &quot;#,##0.000&quot; kg&quot;"/>
    <numFmt numFmtId="228" formatCode="\+\ 0.00;\-\ 0.00"/>
    <numFmt numFmtId="229" formatCode="#,##0&quot; gr&quot;"/>
    <numFmt numFmtId="230" formatCode="&quot;=UNICAR(128269)&quot;"/>
    <numFmt numFmtId="231" formatCode="&quot;de &quot;0.00&quot; Kg&quot;"/>
    <numFmt numFmtId="232" formatCode="0.000\ &quot; dm³&quot;"/>
    <numFmt numFmtId="233" formatCode="0&quot; jours&quot;"/>
    <numFmt numFmtId="234" formatCode="0&quot; H&quot;"/>
    <numFmt numFmtId="235" formatCode="&quot;N° &quot;0"/>
    <numFmt numFmtId="236" formatCode="&quot;Actif&quot;;&quot;Actif&quot;;&quot;Inactif&quot;"/>
    <numFmt numFmtId="237" formatCode="&quot;Vrai&quot;;&quot;Vrai&quot;;&quot;Faux&quot;"/>
    <numFmt numFmtId="238" formatCode="0.0&quot; Kg&quot;"/>
    <numFmt numFmtId="239" formatCode="&quot;de &quot;0"/>
    <numFmt numFmtId="240" formatCode="0&quot; car.&quot;"/>
    <numFmt numFmtId="241" formatCode="#,##0.0"/>
    <numFmt numFmtId="242" formatCode="&quot;/ &quot;0"/>
    <numFmt numFmtId="243" formatCode="h&quot;h&quot;mm"/>
    <numFmt numFmtId="244" formatCode="0&quot;°C&quot;"/>
    <numFmt numFmtId="245" formatCode="0&quot; Kg pour&quot;"/>
  </numFmts>
  <fonts count="898">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b/>
      <sz val="11"/>
      <name val="Arial"/>
      <family val="2"/>
    </font>
    <font>
      <b/>
      <sz val="11"/>
      <color theme="0"/>
      <name val="Calibri"/>
      <family val="2"/>
    </font>
    <font>
      <b/>
      <sz val="11"/>
      <color rgb="FFFF0000"/>
      <name val="Calibri"/>
      <family val="2"/>
      <scheme val="minor"/>
    </font>
    <font>
      <b/>
      <sz val="14"/>
      <name val="Calibri"/>
      <family val="2"/>
      <scheme val="minor"/>
    </font>
    <font>
      <b/>
      <sz val="14"/>
      <color rgb="FFFF0000"/>
      <name val="Calibri"/>
      <family val="2"/>
      <scheme val="minor"/>
    </font>
    <font>
      <b/>
      <sz val="12"/>
      <name val="Arial"/>
      <family val="2"/>
    </font>
    <font>
      <b/>
      <sz val="10"/>
      <color theme="1"/>
      <name val="Calibri"/>
      <family val="2"/>
      <scheme val="minor"/>
    </font>
    <font>
      <b/>
      <sz val="12"/>
      <name val="Calibri"/>
      <family val="2"/>
      <scheme val="minor"/>
    </font>
    <font>
      <i/>
      <sz val="11"/>
      <name val="Calibri"/>
      <family val="2"/>
    </font>
    <font>
      <sz val="10"/>
      <name val="MS Sans Serif"/>
      <family val="2"/>
    </font>
    <font>
      <b/>
      <sz val="10"/>
      <color indexed="9"/>
      <name val="Arial"/>
      <family val="2"/>
    </font>
    <font>
      <sz val="11"/>
      <name val="Calibri"/>
      <family val="2"/>
    </font>
    <font>
      <u/>
      <sz val="10"/>
      <color indexed="12"/>
      <name val="Arial"/>
      <family val="2"/>
    </font>
    <font>
      <b/>
      <u/>
      <sz val="12"/>
      <color indexed="12"/>
      <name val="Calibri"/>
      <family val="2"/>
      <scheme val="minor"/>
    </font>
    <font>
      <b/>
      <sz val="11"/>
      <name val="Calibri"/>
      <family val="2"/>
    </font>
    <font>
      <b/>
      <sz val="16"/>
      <name val="Calibri"/>
      <family val="2"/>
      <scheme val="minor"/>
    </font>
    <font>
      <sz val="12"/>
      <name val="Calibri"/>
      <family val="2"/>
      <scheme val="minor"/>
    </font>
    <font>
      <u/>
      <sz val="14"/>
      <color indexed="12"/>
      <name val="Calibri"/>
      <family val="2"/>
      <scheme val="minor"/>
    </font>
    <font>
      <b/>
      <sz val="14"/>
      <color theme="1" tint="0.499984740745262"/>
      <name val="Calibri"/>
      <family val="2"/>
      <scheme val="minor"/>
    </font>
    <font>
      <sz val="14"/>
      <name val="Arial"/>
      <family val="2"/>
    </font>
    <font>
      <b/>
      <sz val="12"/>
      <color indexed="57"/>
      <name val="Calibri"/>
      <family val="2"/>
    </font>
    <font>
      <sz val="10"/>
      <color indexed="57"/>
      <name val="Calibri"/>
      <family val="2"/>
    </font>
    <font>
      <sz val="14"/>
      <name val="Calibri"/>
      <family val="2"/>
      <scheme val="minor"/>
    </font>
    <font>
      <b/>
      <sz val="16"/>
      <color indexed="8"/>
      <name val="Calibri"/>
      <family val="2"/>
    </font>
    <font>
      <b/>
      <sz val="14"/>
      <color rgb="FFC00000"/>
      <name val="Calibri"/>
      <family val="2"/>
      <scheme val="minor"/>
    </font>
    <font>
      <b/>
      <sz val="14"/>
      <color rgb="FF0070C0"/>
      <name val="Calibri"/>
      <family val="2"/>
      <scheme val="minor"/>
    </font>
    <font>
      <b/>
      <sz val="12"/>
      <color rgb="FFFF0000"/>
      <name val="Calibri"/>
      <family val="2"/>
      <scheme val="minor"/>
    </font>
    <font>
      <b/>
      <sz val="12"/>
      <color theme="0"/>
      <name val="Arial"/>
      <family val="2"/>
    </font>
    <font>
      <sz val="12"/>
      <name val="Arial"/>
      <family val="2"/>
    </font>
    <font>
      <b/>
      <sz val="12"/>
      <color rgb="FFFF0000"/>
      <name val="Arial"/>
      <family val="2"/>
    </font>
    <font>
      <b/>
      <sz val="12"/>
      <color indexed="10"/>
      <name val="Arial"/>
      <family val="2"/>
    </font>
    <font>
      <b/>
      <sz val="12"/>
      <color indexed="12"/>
      <name val="Arial"/>
      <family val="2"/>
    </font>
    <font>
      <b/>
      <sz val="12"/>
      <color rgb="FF0000FF"/>
      <name val="Calibri"/>
      <family val="2"/>
      <scheme val="minor"/>
    </font>
    <font>
      <b/>
      <sz val="12"/>
      <color indexed="12"/>
      <name val="Calibri"/>
      <family val="2"/>
      <scheme val="minor"/>
    </font>
    <font>
      <b/>
      <sz val="12"/>
      <color indexed="10"/>
      <name val="Calibri"/>
      <family val="2"/>
      <scheme val="minor"/>
    </font>
    <font>
      <b/>
      <sz val="14"/>
      <name val="Arial"/>
      <family val="2"/>
    </font>
    <font>
      <b/>
      <sz val="12"/>
      <color theme="1"/>
      <name val="Calibri"/>
      <family val="2"/>
      <scheme val="minor"/>
    </font>
    <font>
      <b/>
      <sz val="10"/>
      <color theme="0"/>
      <name val="Calibri"/>
      <family val="2"/>
    </font>
    <font>
      <b/>
      <sz val="11"/>
      <name val="Calibri"/>
      <family val="2"/>
      <scheme val="minor"/>
    </font>
    <font>
      <b/>
      <sz val="8"/>
      <name val="Arial"/>
      <family val="2"/>
    </font>
    <font>
      <b/>
      <sz val="14"/>
      <color rgb="FF0070C0"/>
      <name val="Calibri"/>
      <family val="2"/>
    </font>
    <font>
      <b/>
      <sz val="14"/>
      <name val="Calibri"/>
      <family val="2"/>
    </font>
    <font>
      <b/>
      <sz val="14"/>
      <color rgb="FF339966"/>
      <name val="Calibri"/>
      <family val="2"/>
      <scheme val="minor"/>
    </font>
    <font>
      <b/>
      <sz val="11"/>
      <color theme="8"/>
      <name val="Calibri"/>
      <family val="2"/>
      <scheme val="minor"/>
    </font>
    <font>
      <b/>
      <sz val="20"/>
      <name val="Arial"/>
      <family val="2"/>
    </font>
    <font>
      <b/>
      <sz val="16"/>
      <name val="Arial"/>
      <family val="2"/>
    </font>
    <font>
      <b/>
      <sz val="14"/>
      <color theme="0"/>
      <name val="Calibri"/>
      <family val="2"/>
      <scheme val="minor"/>
    </font>
    <font>
      <b/>
      <sz val="11"/>
      <color indexed="12"/>
      <name val="Arial"/>
      <family val="2"/>
    </font>
    <font>
      <sz val="10"/>
      <color theme="1"/>
      <name val="Calibri"/>
      <family val="2"/>
      <scheme val="minor"/>
    </font>
    <font>
      <u/>
      <sz val="11"/>
      <color theme="10"/>
      <name val="Calibri"/>
      <family val="2"/>
      <scheme val="minor"/>
    </font>
    <font>
      <b/>
      <u/>
      <sz val="20"/>
      <color theme="10"/>
      <name val="Calibri"/>
      <family val="2"/>
      <scheme val="minor"/>
    </font>
    <font>
      <sz val="10"/>
      <color rgb="FFFF0000"/>
      <name val="Arial"/>
      <family val="2"/>
    </font>
    <font>
      <b/>
      <sz val="11"/>
      <color rgb="FF339966"/>
      <name val="Arial"/>
      <family val="2"/>
    </font>
    <font>
      <sz val="11"/>
      <name val="Arial"/>
      <family val="2"/>
    </font>
    <font>
      <sz val="12"/>
      <color indexed="50"/>
      <name val="Calibri"/>
      <family val="2"/>
    </font>
    <font>
      <sz val="12"/>
      <color indexed="8"/>
      <name val="Arial"/>
      <family val="2"/>
    </font>
    <font>
      <b/>
      <sz val="16"/>
      <color rgb="FF339966"/>
      <name val="Arial"/>
      <family val="2"/>
    </font>
    <font>
      <b/>
      <sz val="16"/>
      <color rgb="FFFF0000"/>
      <name val="Calibri"/>
      <family val="2"/>
      <scheme val="minor"/>
    </font>
    <font>
      <b/>
      <u/>
      <sz val="12"/>
      <color theme="10"/>
      <name val="Calibri"/>
      <family val="2"/>
      <scheme val="minor"/>
    </font>
    <font>
      <b/>
      <sz val="12"/>
      <color rgb="FF0070C0"/>
      <name val="Calibri"/>
      <family val="2"/>
      <scheme val="minor"/>
    </font>
    <font>
      <b/>
      <u/>
      <sz val="11"/>
      <color theme="10"/>
      <name val="Calibri"/>
      <family val="2"/>
      <scheme val="minor"/>
    </font>
    <font>
      <sz val="16"/>
      <name val="Arial"/>
      <family val="2"/>
    </font>
    <font>
      <b/>
      <sz val="10"/>
      <name val="Arial"/>
      <family val="2"/>
    </font>
    <font>
      <b/>
      <sz val="12"/>
      <color rgb="FFC00000"/>
      <name val="Calibri"/>
      <family val="2"/>
      <scheme val="minor"/>
    </font>
    <font>
      <sz val="12"/>
      <color theme="1"/>
      <name val="Calibri"/>
      <family val="2"/>
      <scheme val="minor"/>
    </font>
    <font>
      <sz val="8"/>
      <name val="Arial"/>
      <family val="2"/>
    </font>
    <font>
      <i/>
      <sz val="12"/>
      <color indexed="12"/>
      <name val="Arial"/>
      <family val="2"/>
    </font>
    <font>
      <sz val="10"/>
      <color indexed="9"/>
      <name val="Arial"/>
      <family val="2"/>
    </font>
    <font>
      <b/>
      <sz val="10"/>
      <color indexed="10"/>
      <name val="Arial"/>
      <family val="2"/>
    </font>
    <font>
      <b/>
      <sz val="10"/>
      <color indexed="12"/>
      <name val="Arial"/>
      <family val="2"/>
    </font>
    <font>
      <sz val="10"/>
      <color indexed="12"/>
      <name val="Arial"/>
      <family val="2"/>
    </font>
    <font>
      <sz val="11"/>
      <color indexed="10"/>
      <name val="Arial"/>
      <family val="2"/>
    </font>
    <font>
      <b/>
      <sz val="11"/>
      <color indexed="9"/>
      <name val="Arial"/>
      <family val="2"/>
    </font>
    <font>
      <b/>
      <sz val="10"/>
      <color theme="0"/>
      <name val="Arial"/>
      <family val="2"/>
    </font>
    <font>
      <sz val="16"/>
      <color theme="0"/>
      <name val="Arial"/>
      <family val="2"/>
    </font>
    <font>
      <sz val="11"/>
      <color rgb="FF303030"/>
      <name val="Calibri"/>
      <family val="2"/>
      <scheme val="minor"/>
    </font>
    <font>
      <b/>
      <sz val="12"/>
      <color rgb="FF0000FF"/>
      <name val="Arial"/>
      <family val="2"/>
    </font>
    <font>
      <b/>
      <sz val="10"/>
      <color rgb="FF0000FF"/>
      <name val="Arial"/>
      <family val="2"/>
    </font>
    <font>
      <b/>
      <sz val="11"/>
      <color rgb="FF0000FF"/>
      <name val="ZDingbats"/>
    </font>
    <font>
      <i/>
      <sz val="11"/>
      <name val="Arial"/>
      <family val="2"/>
    </font>
    <font>
      <i/>
      <sz val="11"/>
      <color rgb="FF303030"/>
      <name val="Calibri"/>
      <family val="2"/>
      <scheme val="minor"/>
    </font>
    <font>
      <b/>
      <sz val="11"/>
      <color rgb="FF0000FF"/>
      <name val="Calibri"/>
      <family val="2"/>
      <scheme val="minor"/>
    </font>
    <font>
      <sz val="11"/>
      <color rgb="FF0000FF"/>
      <name val="Calibri"/>
      <family val="2"/>
      <scheme val="minor"/>
    </font>
    <font>
      <b/>
      <sz val="12"/>
      <color indexed="9"/>
      <name val="Arial"/>
      <family val="2"/>
    </font>
    <font>
      <sz val="8"/>
      <color indexed="22"/>
      <name val="Arial"/>
      <family val="2"/>
    </font>
    <font>
      <b/>
      <sz val="10"/>
      <color indexed="17"/>
      <name val="Arial"/>
      <family val="2"/>
    </font>
    <font>
      <sz val="10"/>
      <color indexed="22"/>
      <name val="Arial"/>
      <family val="2"/>
    </font>
    <font>
      <sz val="8"/>
      <name val="MS Sans Serif"/>
      <family val="2"/>
    </font>
    <font>
      <b/>
      <sz val="20"/>
      <color indexed="12"/>
      <name val="Arial"/>
      <family val="2"/>
    </font>
    <font>
      <b/>
      <sz val="9"/>
      <name val="Arial"/>
      <family val="2"/>
    </font>
    <font>
      <b/>
      <sz val="12"/>
      <color theme="9" tint="-0.249977111117893"/>
      <name val="Arial"/>
      <family val="2"/>
    </font>
    <font>
      <b/>
      <sz val="11"/>
      <color theme="8"/>
      <name val="Arial"/>
      <family val="2"/>
    </font>
    <font>
      <b/>
      <sz val="10"/>
      <color theme="8"/>
      <name val="Arial"/>
      <family val="2"/>
    </font>
    <font>
      <sz val="11"/>
      <color theme="8"/>
      <name val="Calibri"/>
      <family val="2"/>
      <scheme val="minor"/>
    </font>
    <font>
      <sz val="10"/>
      <color theme="8"/>
      <name val="Arial"/>
      <family val="2"/>
    </font>
    <font>
      <b/>
      <sz val="14"/>
      <color indexed="10"/>
      <name val="Arial"/>
      <family val="2"/>
    </font>
    <font>
      <b/>
      <sz val="11"/>
      <color indexed="10"/>
      <name val="Arial"/>
      <family val="2"/>
    </font>
    <font>
      <sz val="8"/>
      <color theme="0" tint="-0.34998626667073579"/>
      <name val="Arial"/>
      <family val="2"/>
    </font>
    <font>
      <b/>
      <sz val="14"/>
      <color theme="0"/>
      <name val="Arial"/>
      <family val="2"/>
    </font>
    <font>
      <b/>
      <sz val="12"/>
      <color theme="9" tint="-0.249977111117893"/>
      <name val="Calibri"/>
      <family val="2"/>
      <scheme val="minor"/>
    </font>
    <font>
      <sz val="11"/>
      <name val="MS Sans Serif"/>
      <family val="2"/>
    </font>
    <font>
      <b/>
      <sz val="10"/>
      <color indexed="10"/>
      <name val="MS Sans Serif"/>
    </font>
    <font>
      <b/>
      <sz val="11"/>
      <color theme="0" tint="-0.499984740745262"/>
      <name val="Arial"/>
      <family val="2"/>
    </font>
    <font>
      <b/>
      <sz val="12"/>
      <color theme="0" tint="-0.499984740745262"/>
      <name val="Arial"/>
      <family val="2"/>
    </font>
    <font>
      <sz val="10"/>
      <color theme="0" tint="-0.499984740745262"/>
      <name val="Arial"/>
      <family val="2"/>
    </font>
    <font>
      <b/>
      <sz val="18"/>
      <name val="Arial"/>
      <family val="2"/>
    </font>
    <font>
      <b/>
      <sz val="22"/>
      <name val="Arial"/>
      <family val="2"/>
    </font>
    <font>
      <sz val="14"/>
      <name val="Rockwell"/>
      <family val="1"/>
    </font>
    <font>
      <sz val="11"/>
      <color indexed="10"/>
      <name val="Calibri"/>
      <family val="2"/>
    </font>
    <font>
      <b/>
      <sz val="11"/>
      <color indexed="8"/>
      <name val="Calibri"/>
      <family val="2"/>
    </font>
    <font>
      <sz val="14"/>
      <color indexed="8"/>
      <name val="Rockwell"/>
      <family val="1"/>
    </font>
    <font>
      <sz val="14"/>
      <color indexed="10"/>
      <name val="Rockwell"/>
      <family val="1"/>
    </font>
    <font>
      <b/>
      <sz val="14"/>
      <color indexed="10"/>
      <name val="Calibri"/>
      <family val="2"/>
    </font>
    <font>
      <sz val="14"/>
      <color indexed="12"/>
      <name val="Rockwell"/>
      <family val="1"/>
    </font>
    <font>
      <b/>
      <sz val="14"/>
      <color indexed="12"/>
      <name val="Calibri"/>
      <family val="2"/>
    </font>
    <font>
      <sz val="12"/>
      <color indexed="62"/>
      <name val="Calibri"/>
      <family val="2"/>
    </font>
    <font>
      <sz val="12"/>
      <name val="Calibri"/>
      <family val="2"/>
    </font>
    <font>
      <sz val="11"/>
      <color indexed="30"/>
      <name val="Calibri"/>
      <family val="2"/>
    </font>
    <font>
      <b/>
      <sz val="14"/>
      <color rgb="FFFF0000"/>
      <name val="Calibri"/>
      <family val="2"/>
    </font>
    <font>
      <b/>
      <sz val="14"/>
      <color indexed="49"/>
      <name val="Calibri"/>
      <family val="2"/>
    </font>
    <font>
      <sz val="11"/>
      <color indexed="8"/>
      <name val="Rockwell"/>
      <family val="1"/>
    </font>
    <font>
      <b/>
      <sz val="12"/>
      <color indexed="30"/>
      <name val="Calibri"/>
      <family val="2"/>
    </font>
    <font>
      <b/>
      <sz val="14"/>
      <color indexed="62"/>
      <name val="Calibri"/>
      <family val="2"/>
    </font>
    <font>
      <sz val="12"/>
      <color indexed="10"/>
      <name val="Calibri"/>
      <family val="2"/>
    </font>
    <font>
      <b/>
      <i/>
      <sz val="12"/>
      <color rgb="FFFF0000"/>
      <name val="Calibri"/>
      <family val="2"/>
    </font>
    <font>
      <sz val="11"/>
      <color indexed="17"/>
      <name val="Calibri"/>
      <family val="2"/>
    </font>
    <font>
      <b/>
      <sz val="12"/>
      <color indexed="57"/>
      <name val="Arial"/>
      <family val="2"/>
    </font>
    <font>
      <b/>
      <sz val="14"/>
      <color indexed="17"/>
      <name val="Calibri"/>
      <family val="2"/>
    </font>
    <font>
      <sz val="11"/>
      <color indexed="12"/>
      <name val="Arial"/>
      <family val="2"/>
    </font>
    <font>
      <sz val="12"/>
      <color indexed="12"/>
      <name val="Arial"/>
      <family val="2"/>
    </font>
    <font>
      <b/>
      <sz val="18"/>
      <color rgb="FF20759D"/>
      <name val="Arial"/>
      <family val="2"/>
    </font>
    <font>
      <b/>
      <sz val="16"/>
      <color theme="1"/>
      <name val="Calibri"/>
      <family val="2"/>
      <scheme val="minor"/>
    </font>
    <font>
      <b/>
      <sz val="11"/>
      <color theme="9"/>
      <name val="Calibri"/>
      <family val="2"/>
      <scheme val="minor"/>
    </font>
    <font>
      <sz val="8"/>
      <color indexed="53"/>
      <name val="Arial"/>
      <family val="2"/>
    </font>
    <font>
      <b/>
      <sz val="14"/>
      <color indexed="9"/>
      <name val="Arial"/>
      <family val="2"/>
    </font>
    <font>
      <sz val="12"/>
      <color indexed="9"/>
      <name val="Arial"/>
      <family val="2"/>
    </font>
    <font>
      <b/>
      <sz val="16"/>
      <color rgb="FFC00000"/>
      <name val="Calibri"/>
      <family val="2"/>
      <scheme val="minor"/>
    </font>
    <font>
      <b/>
      <u/>
      <sz val="16"/>
      <color theme="10"/>
      <name val="Calibri"/>
      <family val="2"/>
      <scheme val="minor"/>
    </font>
    <font>
      <b/>
      <sz val="20"/>
      <color theme="5"/>
      <name val="Calibri"/>
      <family val="2"/>
      <scheme val="minor"/>
    </font>
    <font>
      <sz val="11"/>
      <name val="Calibri"/>
      <family val="2"/>
      <scheme val="minor"/>
    </font>
    <font>
      <b/>
      <sz val="10"/>
      <name val="Calibri"/>
      <family val="2"/>
      <scheme val="minor"/>
    </font>
    <font>
      <sz val="7"/>
      <name val="Arial"/>
      <family val="2"/>
    </font>
    <font>
      <sz val="16"/>
      <color indexed="12"/>
      <name val="Arial"/>
      <family val="2"/>
    </font>
    <font>
      <sz val="10"/>
      <color indexed="10"/>
      <name val="Arial"/>
      <family val="2"/>
    </font>
    <font>
      <sz val="18"/>
      <name val="Arial"/>
      <family val="2"/>
    </font>
    <font>
      <sz val="8"/>
      <color indexed="12"/>
      <name val="Arial"/>
      <family val="2"/>
    </font>
    <font>
      <sz val="8"/>
      <color indexed="10"/>
      <name val="Arial"/>
      <family val="2"/>
    </font>
    <font>
      <b/>
      <sz val="8"/>
      <color indexed="10"/>
      <name val="Arial"/>
      <family val="2"/>
    </font>
    <font>
      <sz val="9"/>
      <name val="Arial"/>
      <family val="2"/>
    </font>
    <font>
      <sz val="10"/>
      <name val="Calibri"/>
      <family val="2"/>
      <scheme val="minor"/>
    </font>
    <font>
      <b/>
      <sz val="11"/>
      <color rgb="FFC00000"/>
      <name val="Calibri"/>
      <family val="2"/>
      <scheme val="minor"/>
    </font>
    <font>
      <b/>
      <sz val="11"/>
      <color rgb="FFFF0000"/>
      <name val="Arial"/>
      <family val="2"/>
    </font>
    <font>
      <sz val="9"/>
      <name val="Times New Roman"/>
      <family val="1"/>
    </font>
    <font>
      <sz val="9"/>
      <name val="Times New Roman"/>
      <family val="1"/>
    </font>
    <font>
      <b/>
      <u/>
      <sz val="18"/>
      <color theme="10"/>
      <name val="Calibri"/>
      <family val="2"/>
      <scheme val="minor"/>
    </font>
    <font>
      <b/>
      <sz val="12"/>
      <color rgb="FFC00000"/>
      <name val="Arial"/>
      <family val="2"/>
    </font>
    <font>
      <sz val="12"/>
      <color theme="1"/>
      <name val="Arial"/>
      <family val="2"/>
    </font>
    <font>
      <u/>
      <sz val="12"/>
      <color theme="10"/>
      <name val="Arial"/>
      <family val="2"/>
    </font>
    <font>
      <b/>
      <sz val="12"/>
      <color theme="1"/>
      <name val="Arial"/>
      <family val="2"/>
    </font>
    <font>
      <sz val="10"/>
      <color theme="0"/>
      <name val="Arial"/>
      <family val="2"/>
    </font>
    <font>
      <b/>
      <sz val="12"/>
      <color theme="0"/>
      <name val="Calibri"/>
      <family val="2"/>
      <scheme val="minor"/>
    </font>
    <font>
      <b/>
      <sz val="14"/>
      <color theme="1"/>
      <name val="Calibri"/>
      <family val="2"/>
      <scheme val="minor"/>
    </font>
    <font>
      <sz val="14"/>
      <color theme="1"/>
      <name val="Calibri"/>
      <family val="2"/>
      <scheme val="minor"/>
    </font>
    <font>
      <sz val="14"/>
      <name val="Times New Roman"/>
      <family val="1"/>
    </font>
    <font>
      <b/>
      <sz val="12"/>
      <color rgb="FF0070C0"/>
      <name val="Arial"/>
      <family val="2"/>
    </font>
    <font>
      <b/>
      <sz val="16"/>
      <color rgb="FFFF0000"/>
      <name val="Arial"/>
      <family val="2"/>
    </font>
    <font>
      <sz val="9"/>
      <name val="Calibri"/>
      <family val="2"/>
      <scheme val="minor"/>
    </font>
    <font>
      <b/>
      <sz val="22"/>
      <color rgb="FF92D050"/>
      <name val="Verdana"/>
      <family val="2"/>
    </font>
    <font>
      <sz val="22"/>
      <color theme="0"/>
      <name val="Verdana"/>
      <family val="2"/>
    </font>
    <font>
      <sz val="18"/>
      <color rgb="FF7030A0"/>
      <name val="Arial"/>
      <family val="2"/>
    </font>
    <font>
      <sz val="22"/>
      <color theme="1"/>
      <name val="Verdana"/>
      <family val="2"/>
    </font>
    <font>
      <b/>
      <sz val="22"/>
      <color rgb="FF92D050"/>
      <name val="Arial"/>
      <family val="2"/>
    </font>
    <font>
      <b/>
      <sz val="22"/>
      <color theme="0"/>
      <name val="Arial"/>
      <family val="2"/>
    </font>
    <font>
      <sz val="22"/>
      <color theme="0"/>
      <name val="Arial"/>
      <family val="2"/>
    </font>
    <font>
      <b/>
      <u/>
      <sz val="14"/>
      <color theme="10"/>
      <name val="Calibri"/>
      <family val="2"/>
      <scheme val="minor"/>
    </font>
    <font>
      <sz val="14"/>
      <color rgb="FFFF0000"/>
      <name val="Wingdings 3"/>
      <family val="1"/>
      <charset val="2"/>
    </font>
    <font>
      <b/>
      <sz val="10"/>
      <color rgb="FFFF0000"/>
      <name val="Arial"/>
      <family val="2"/>
    </font>
    <font>
      <b/>
      <sz val="10"/>
      <color indexed="12"/>
      <name val="Calibri"/>
      <family val="2"/>
      <scheme val="minor"/>
    </font>
    <font>
      <b/>
      <sz val="10"/>
      <color rgb="FFFF0000"/>
      <name val="Calibri"/>
      <family val="2"/>
      <scheme val="minor"/>
    </font>
    <font>
      <sz val="11"/>
      <color rgb="FFFF0000"/>
      <name val="Arial"/>
      <family val="2"/>
    </font>
    <font>
      <sz val="11"/>
      <color indexed="12"/>
      <name val="Calibri"/>
      <family val="2"/>
      <scheme val="minor"/>
    </font>
    <font>
      <b/>
      <sz val="16"/>
      <color theme="9" tint="-0.249977111117893"/>
      <name val="Arial"/>
      <family val="2"/>
    </font>
    <font>
      <b/>
      <sz val="11"/>
      <color theme="4" tint="-0.249977111117893"/>
      <name val="Calibri"/>
      <family val="2"/>
      <scheme val="minor"/>
    </font>
    <font>
      <b/>
      <sz val="16"/>
      <color theme="6" tint="-0.249977111117893"/>
      <name val="Arial"/>
      <family val="2"/>
    </font>
    <font>
      <i/>
      <sz val="10"/>
      <name val="Arial"/>
      <family val="2"/>
    </font>
    <font>
      <b/>
      <sz val="11"/>
      <color indexed="57"/>
      <name val="Calibri"/>
      <family val="2"/>
    </font>
    <font>
      <b/>
      <sz val="12"/>
      <color theme="9" tint="-0.249977111117893"/>
      <name val="Calibri"/>
      <family val="2"/>
    </font>
    <font>
      <b/>
      <sz val="11"/>
      <color rgb="FF0070C0"/>
      <name val="Calibri"/>
      <family val="2"/>
    </font>
    <font>
      <i/>
      <sz val="14"/>
      <name val="Arial"/>
      <family val="2"/>
    </font>
    <font>
      <i/>
      <sz val="12"/>
      <name val="Calibri"/>
      <family val="2"/>
      <scheme val="minor"/>
    </font>
    <font>
      <b/>
      <vertAlign val="superscript"/>
      <sz val="12"/>
      <name val="Calibri"/>
      <family val="2"/>
      <scheme val="minor"/>
    </font>
    <font>
      <i/>
      <sz val="14"/>
      <name val="Calibri"/>
      <family val="2"/>
      <scheme val="minor"/>
    </font>
    <font>
      <sz val="16"/>
      <name val="Calibri"/>
      <family val="2"/>
      <scheme val="minor"/>
    </font>
    <font>
      <sz val="16"/>
      <color theme="1"/>
      <name val="Calibri"/>
      <family val="2"/>
      <scheme val="minor"/>
    </font>
    <font>
      <vertAlign val="superscript"/>
      <sz val="14"/>
      <name val="Calibri"/>
      <family val="2"/>
      <scheme val="minor"/>
    </font>
    <font>
      <b/>
      <vertAlign val="superscript"/>
      <sz val="14"/>
      <name val="Calibri"/>
      <family val="2"/>
      <scheme val="minor"/>
    </font>
    <font>
      <b/>
      <i/>
      <sz val="12"/>
      <name val="Calibri"/>
      <family val="2"/>
      <scheme val="minor"/>
    </font>
    <font>
      <b/>
      <u/>
      <sz val="14"/>
      <color rgb="FF800000"/>
      <name val="Calibri"/>
      <family val="2"/>
      <scheme val="minor"/>
    </font>
    <font>
      <u/>
      <sz val="14"/>
      <color theme="10"/>
      <name val="Calibri"/>
      <family val="2"/>
      <scheme val="minor"/>
    </font>
    <font>
      <sz val="12"/>
      <color theme="8" tint="-0.499984740745262"/>
      <name val="Calibri"/>
      <family val="2"/>
      <scheme val="minor"/>
    </font>
    <font>
      <sz val="10"/>
      <name val="Verdana"/>
      <family val="2"/>
    </font>
    <font>
      <sz val="10"/>
      <name val="MS Sans Serif"/>
    </font>
    <font>
      <b/>
      <sz val="22"/>
      <name val="Verdana"/>
      <family val="2"/>
    </font>
    <font>
      <b/>
      <sz val="12"/>
      <name val="Verdana"/>
      <family val="2"/>
    </font>
    <font>
      <b/>
      <sz val="18"/>
      <color theme="0"/>
      <name val="Verdana"/>
      <family val="2"/>
    </font>
    <font>
      <sz val="16"/>
      <color indexed="10"/>
      <name val="Arial"/>
      <family val="2"/>
    </font>
    <font>
      <sz val="12"/>
      <color indexed="10"/>
      <name val="Arial"/>
      <family val="2"/>
    </font>
    <font>
      <sz val="24"/>
      <color indexed="9"/>
      <name val="Wingdings"/>
      <charset val="2"/>
    </font>
    <font>
      <sz val="24"/>
      <color indexed="9"/>
      <name val="Wingdings 2"/>
      <family val="1"/>
      <charset val="2"/>
    </font>
    <font>
      <sz val="16"/>
      <color rgb="FFFF0000"/>
      <name val="Arial"/>
      <family val="2"/>
    </font>
    <font>
      <sz val="10"/>
      <color theme="0"/>
      <name val="Calibri"/>
      <family val="2"/>
      <scheme val="minor"/>
    </font>
    <font>
      <sz val="36"/>
      <color rgb="FF0000FF"/>
      <name val="Wingdings"/>
      <charset val="2"/>
    </font>
    <font>
      <sz val="36"/>
      <color rgb="FFFF0000"/>
      <name val="Wingdings 2"/>
      <family val="1"/>
      <charset val="2"/>
    </font>
    <font>
      <b/>
      <sz val="16"/>
      <color theme="0"/>
      <name val="Arial"/>
      <family val="2"/>
    </font>
    <font>
      <sz val="22"/>
      <color theme="0" tint="-0.499984740745262"/>
      <name val="Arial"/>
      <family val="2"/>
    </font>
    <font>
      <sz val="22"/>
      <name val="Arial"/>
      <family val="2"/>
    </font>
    <font>
      <sz val="16"/>
      <color rgb="FF222222"/>
      <name val="Arial"/>
      <family val="2"/>
    </font>
    <font>
      <sz val="16"/>
      <color rgb="FFC00000"/>
      <name val="Arial"/>
      <family val="2"/>
    </font>
    <font>
      <sz val="16"/>
      <color rgb="FF141414"/>
      <name val="Calibri"/>
      <family val="2"/>
      <scheme val="minor"/>
    </font>
    <font>
      <b/>
      <sz val="16"/>
      <color theme="0" tint="-0.499984740745262"/>
      <name val="Arial"/>
      <family val="2"/>
    </font>
    <font>
      <b/>
      <sz val="18"/>
      <name val="Calibri"/>
      <family val="2"/>
      <scheme val="minor"/>
    </font>
    <font>
      <b/>
      <sz val="16"/>
      <color indexed="10"/>
      <name val="Arial"/>
      <family val="2"/>
    </font>
    <font>
      <sz val="10"/>
      <color rgb="FF222222"/>
      <name val="Arial"/>
      <family val="2"/>
    </font>
    <font>
      <sz val="18"/>
      <color theme="7" tint="-0.249977111117893"/>
      <name val="Calibri"/>
      <family val="2"/>
      <scheme val="minor"/>
    </font>
    <font>
      <b/>
      <sz val="16"/>
      <color rgb="FFC00000"/>
      <name val="Wingdings 3"/>
      <family val="1"/>
      <charset val="2"/>
    </font>
    <font>
      <b/>
      <sz val="16"/>
      <color rgb="FFFF0000"/>
      <name val="Wingdings 3"/>
      <family val="1"/>
      <charset val="2"/>
    </font>
    <font>
      <sz val="22"/>
      <color theme="0" tint="-0.499984740745262"/>
      <name val="Wingdings"/>
      <charset val="2"/>
    </font>
    <font>
      <sz val="14"/>
      <color rgb="FF222222"/>
      <name val="Arial"/>
      <family val="2"/>
    </font>
    <font>
      <sz val="24"/>
      <color rgb="FF0000FF"/>
      <name val="Wingdings"/>
      <charset val="2"/>
    </font>
    <font>
      <sz val="16"/>
      <name val="Wingdings 2"/>
      <family val="1"/>
      <charset val="2"/>
    </font>
    <font>
      <sz val="20"/>
      <name val="Arial"/>
      <family val="2"/>
    </font>
    <font>
      <b/>
      <sz val="28"/>
      <name val="Arial"/>
      <family val="2"/>
    </font>
    <font>
      <b/>
      <sz val="18"/>
      <name val="Verdana"/>
      <family val="2"/>
    </font>
    <font>
      <b/>
      <sz val="24"/>
      <color indexed="9"/>
      <name val="Wingdings 3"/>
      <family val="1"/>
      <charset val="2"/>
    </font>
    <font>
      <sz val="24"/>
      <color indexed="9"/>
      <name val="Webdings"/>
      <family val="1"/>
      <charset val="2"/>
    </font>
    <font>
      <sz val="36"/>
      <color theme="9" tint="-0.249977111117893"/>
      <name val="Wingdings 3"/>
      <family val="1"/>
      <charset val="2"/>
    </font>
    <font>
      <sz val="36"/>
      <color rgb="FF7030A0"/>
      <name val="Webdings"/>
      <family val="1"/>
      <charset val="2"/>
    </font>
    <font>
      <sz val="24"/>
      <color indexed="9"/>
      <name val="ZDingbats"/>
    </font>
    <font>
      <sz val="24"/>
      <color indexed="9"/>
      <name val="Marlett"/>
      <charset val="2"/>
    </font>
    <font>
      <sz val="36"/>
      <color theme="5"/>
      <name val="ZDingbats"/>
    </font>
    <font>
      <sz val="26"/>
      <color rgb="FF0000FF"/>
      <name val="Marlett"/>
      <charset val="2"/>
    </font>
    <font>
      <sz val="12"/>
      <name val="ZDingbats"/>
    </font>
    <font>
      <sz val="24"/>
      <color indexed="9"/>
      <name val="MT Extra"/>
      <family val="1"/>
      <charset val="2"/>
    </font>
    <font>
      <sz val="24"/>
      <color indexed="9"/>
      <name val="Symbol"/>
      <family val="1"/>
      <charset val="2"/>
    </font>
    <font>
      <sz val="26"/>
      <color rgb="FFFF0000"/>
      <name val="MT Extra"/>
      <family val="1"/>
      <charset val="2"/>
    </font>
    <font>
      <sz val="36"/>
      <color rgb="FFFF0000"/>
      <name val="MT Extra"/>
      <family val="1"/>
      <charset val="2"/>
    </font>
    <font>
      <sz val="36"/>
      <color theme="9" tint="-0.249977111117893"/>
      <name val="Symbol"/>
      <family val="1"/>
      <charset val="2"/>
    </font>
    <font>
      <u/>
      <sz val="16"/>
      <color theme="10"/>
      <name val="Calibri"/>
      <family val="2"/>
      <scheme val="minor"/>
    </font>
    <font>
      <b/>
      <u/>
      <sz val="16"/>
      <color indexed="12"/>
      <name val="Calibri"/>
      <family val="2"/>
      <scheme val="minor"/>
    </font>
    <font>
      <b/>
      <sz val="12"/>
      <color rgb="FFC00000"/>
      <name val="Calibri"/>
      <family val="2"/>
    </font>
    <font>
      <sz val="12"/>
      <color theme="3"/>
      <name val="Bookman Old Style"/>
      <family val="1"/>
    </font>
    <font>
      <sz val="12"/>
      <color indexed="10"/>
      <name val="Times New Roman"/>
      <family val="1"/>
    </font>
    <font>
      <sz val="12"/>
      <color indexed="56"/>
      <name val="Bookman Old Style"/>
      <family val="1"/>
    </font>
    <font>
      <sz val="12"/>
      <color theme="3"/>
      <name val="Times New Roman"/>
      <family val="1"/>
    </font>
    <font>
      <sz val="9"/>
      <name val="Bookman Old Style"/>
      <family val="1"/>
    </font>
    <font>
      <sz val="9"/>
      <color rgb="FFFF0000"/>
      <name val="Bookman Old Style"/>
      <family val="1"/>
    </font>
    <font>
      <sz val="9"/>
      <color rgb="FFFF0000"/>
      <name val="Times New Roman"/>
      <family val="1"/>
    </font>
    <font>
      <sz val="12"/>
      <color indexed="12"/>
      <name val="Bookman Old Style"/>
      <family val="1"/>
    </font>
    <font>
      <sz val="12"/>
      <name val="Bookman Old Style"/>
      <family val="1"/>
    </font>
    <font>
      <sz val="12"/>
      <color indexed="10"/>
      <name val="Bookman Old Style"/>
      <family val="1"/>
    </font>
    <font>
      <sz val="11"/>
      <color theme="3"/>
      <name val="Bookman Old Style"/>
      <family val="1"/>
    </font>
    <font>
      <sz val="11"/>
      <color indexed="60"/>
      <name val="Times New Roman"/>
      <family val="1"/>
    </font>
    <font>
      <sz val="11"/>
      <color indexed="56"/>
      <name val="Bookman Old Style"/>
      <family val="1"/>
    </font>
    <font>
      <sz val="14"/>
      <color theme="3"/>
      <name val="Times New Roman"/>
      <family val="1"/>
    </font>
    <font>
      <sz val="14"/>
      <color indexed="10"/>
      <name val="Times New Roman"/>
      <family val="1"/>
    </font>
    <font>
      <sz val="14"/>
      <color indexed="56"/>
      <name val="Times New Roman"/>
      <family val="1"/>
    </font>
    <font>
      <sz val="10"/>
      <color indexed="56"/>
      <name val="Times New Roman"/>
      <family val="1"/>
    </font>
    <font>
      <b/>
      <sz val="18"/>
      <color rgb="FF0070C0"/>
      <name val="Bookman Old Style"/>
      <family val="1"/>
    </font>
    <font>
      <sz val="18"/>
      <name val="Bookman Old Style"/>
      <family val="1"/>
    </font>
    <font>
      <b/>
      <sz val="18"/>
      <name val="Bookman Old Style"/>
      <family val="1"/>
    </font>
    <font>
      <b/>
      <u/>
      <sz val="18"/>
      <color theme="10"/>
      <name val="Bookman Old Style"/>
      <family val="1"/>
    </font>
    <font>
      <sz val="8"/>
      <name val="Calibri"/>
      <family val="2"/>
      <scheme val="minor"/>
    </font>
    <font>
      <sz val="10"/>
      <color rgb="FFC00000"/>
      <name val="Calibri"/>
      <family val="2"/>
    </font>
    <font>
      <b/>
      <sz val="20"/>
      <name val="Calibri"/>
      <family val="2"/>
      <scheme val="minor"/>
    </font>
    <font>
      <b/>
      <sz val="12"/>
      <color theme="8"/>
      <name val="Calibri"/>
      <family val="2"/>
      <scheme val="minor"/>
    </font>
    <font>
      <sz val="16"/>
      <color theme="7" tint="-0.249977111117893"/>
      <name val="Calibri"/>
      <family val="2"/>
      <scheme val="minor"/>
    </font>
    <font>
      <sz val="22"/>
      <color indexed="9"/>
      <name val="Wingdings"/>
      <charset val="2"/>
    </font>
    <font>
      <sz val="18"/>
      <color theme="0" tint="-0.499984740745262"/>
      <name val="Wingdings"/>
      <charset val="2"/>
    </font>
    <font>
      <b/>
      <u/>
      <sz val="16"/>
      <color indexed="12"/>
      <name val="Arial"/>
      <family val="2"/>
    </font>
    <font>
      <u/>
      <sz val="16"/>
      <color indexed="12"/>
      <name val="Arial"/>
      <family val="2"/>
    </font>
    <font>
      <b/>
      <sz val="16"/>
      <color theme="0"/>
      <name val="Calibri"/>
      <family val="2"/>
      <scheme val="minor"/>
    </font>
    <font>
      <b/>
      <sz val="12"/>
      <name val="Tahoma"/>
      <family val="2"/>
    </font>
    <font>
      <sz val="9"/>
      <color indexed="10"/>
      <name val="Arial"/>
      <family val="2"/>
    </font>
    <font>
      <sz val="9"/>
      <color indexed="12"/>
      <name val="Arial"/>
      <family val="2"/>
    </font>
    <font>
      <i/>
      <sz val="7"/>
      <name val="Arial"/>
      <family val="2"/>
    </font>
    <font>
      <i/>
      <sz val="12"/>
      <color indexed="9"/>
      <name val="Arial"/>
      <family val="2"/>
    </font>
    <font>
      <i/>
      <sz val="10"/>
      <color theme="5"/>
      <name val="Calibri"/>
      <family val="2"/>
      <scheme val="minor"/>
    </font>
    <font>
      <b/>
      <sz val="10"/>
      <color rgb="FFC00000"/>
      <name val="Arial"/>
      <family val="2"/>
    </font>
    <font>
      <b/>
      <sz val="11"/>
      <color rgb="FFC00000"/>
      <name val="Arial"/>
      <family val="2"/>
    </font>
    <font>
      <sz val="8"/>
      <name val="Times New Roman"/>
      <family val="1"/>
    </font>
    <font>
      <b/>
      <sz val="11"/>
      <color indexed="17"/>
      <name val="Arial"/>
      <family val="2"/>
    </font>
    <font>
      <sz val="10"/>
      <color indexed="17"/>
      <name val="Arial"/>
      <family val="2"/>
    </font>
    <font>
      <b/>
      <sz val="11"/>
      <color indexed="48"/>
      <name val="Arial"/>
      <family val="2"/>
    </font>
    <font>
      <b/>
      <vertAlign val="superscript"/>
      <sz val="12"/>
      <color indexed="17"/>
      <name val="Arial"/>
      <family val="2"/>
    </font>
    <font>
      <b/>
      <sz val="12"/>
      <color indexed="17"/>
      <name val="Arial"/>
      <family val="2"/>
    </font>
    <font>
      <vertAlign val="superscript"/>
      <sz val="12"/>
      <name val="Arial"/>
      <family val="2"/>
    </font>
    <font>
      <b/>
      <vertAlign val="superscript"/>
      <sz val="12"/>
      <name val="Arial"/>
      <family val="2"/>
    </font>
    <font>
      <b/>
      <sz val="9"/>
      <color indexed="10"/>
      <name val="Arial"/>
      <family val="2"/>
    </font>
    <font>
      <b/>
      <sz val="14"/>
      <color indexed="12"/>
      <name val="Calibri"/>
      <family val="2"/>
      <scheme val="minor"/>
    </font>
    <font>
      <sz val="14"/>
      <color indexed="12"/>
      <name val="Calibri"/>
      <family val="2"/>
      <scheme val="minor"/>
    </font>
    <font>
      <b/>
      <sz val="14"/>
      <color indexed="10"/>
      <name val="Calibri"/>
      <family val="2"/>
      <scheme val="minor"/>
    </font>
    <font>
      <b/>
      <sz val="36"/>
      <color theme="1"/>
      <name val="Calibri"/>
      <family val="2"/>
      <scheme val="minor"/>
    </font>
    <font>
      <b/>
      <sz val="16"/>
      <color rgb="FF0000FF"/>
      <name val="Calibri"/>
      <family val="2"/>
      <scheme val="minor"/>
    </font>
    <font>
      <b/>
      <sz val="9"/>
      <color theme="1"/>
      <name val="Calibri"/>
      <family val="2"/>
      <scheme val="minor"/>
    </font>
    <font>
      <b/>
      <u/>
      <sz val="15.5"/>
      <color rgb="FF20759D"/>
      <name val="Arial"/>
      <family val="2"/>
    </font>
    <font>
      <b/>
      <sz val="18"/>
      <color rgb="FF008000"/>
      <name val="Calibri"/>
      <family val="2"/>
      <scheme val="minor"/>
    </font>
    <font>
      <b/>
      <i/>
      <sz val="12"/>
      <color rgb="FF0070C0"/>
      <name val="Calibri"/>
      <family val="2"/>
      <scheme val="minor"/>
    </font>
    <font>
      <sz val="9"/>
      <color theme="8" tint="-0.249977111117893"/>
      <name val="Calibri"/>
      <family val="2"/>
      <scheme val="minor"/>
    </font>
    <font>
      <sz val="9"/>
      <color rgb="FFC00000"/>
      <name val="Calibri"/>
      <family val="2"/>
      <scheme val="minor"/>
    </font>
    <font>
      <b/>
      <sz val="12"/>
      <color theme="8" tint="-0.249977111117893"/>
      <name val="Calibri"/>
      <family val="2"/>
      <scheme val="minor"/>
    </font>
    <font>
      <u/>
      <sz val="11"/>
      <color theme="10"/>
      <name val="Calibri"/>
      <family val="2"/>
    </font>
    <font>
      <b/>
      <i/>
      <sz val="10"/>
      <color theme="4" tint="-0.499984740745262"/>
      <name val="Calibri"/>
      <family val="2"/>
      <scheme val="minor"/>
    </font>
    <font>
      <b/>
      <i/>
      <sz val="10"/>
      <color rgb="FFC00000"/>
      <name val="Calibri"/>
      <family val="2"/>
      <scheme val="minor"/>
    </font>
    <font>
      <b/>
      <i/>
      <sz val="11"/>
      <color theme="4" tint="-0.499984740745262"/>
      <name val="Calibri"/>
      <family val="2"/>
      <scheme val="minor"/>
    </font>
    <font>
      <b/>
      <i/>
      <sz val="11"/>
      <color rgb="FFC00000"/>
      <name val="Calibri"/>
      <family val="2"/>
      <scheme val="minor"/>
    </font>
    <font>
      <b/>
      <sz val="11"/>
      <color theme="8" tint="-0.249977111117893"/>
      <name val="Calibri"/>
      <family val="2"/>
      <scheme val="minor"/>
    </font>
    <font>
      <u/>
      <sz val="10"/>
      <color theme="10"/>
      <name val="Arial"/>
      <family val="2"/>
    </font>
    <font>
      <sz val="9"/>
      <color theme="1"/>
      <name val="Calibri"/>
      <family val="2"/>
      <scheme val="minor"/>
    </font>
    <font>
      <sz val="18"/>
      <color theme="0"/>
      <name val="Calibri"/>
      <family val="2"/>
      <scheme val="minor"/>
    </font>
    <font>
      <u/>
      <sz val="11"/>
      <color theme="10"/>
      <name val="Arial"/>
      <family val="2"/>
    </font>
    <font>
      <sz val="11"/>
      <color theme="0"/>
      <name val="Arial"/>
      <family val="2"/>
    </font>
    <font>
      <sz val="14"/>
      <color rgb="FF254A75"/>
      <name val="Tahoma"/>
      <family val="2"/>
    </font>
    <font>
      <b/>
      <sz val="12"/>
      <color theme="4" tint="-0.499984740745262"/>
      <name val="Calibri"/>
      <family val="2"/>
      <scheme val="minor"/>
    </font>
    <font>
      <b/>
      <u/>
      <sz val="12"/>
      <color theme="4" tint="-0.249977111117893"/>
      <name val="Calibri"/>
      <family val="2"/>
      <scheme val="minor"/>
    </font>
    <font>
      <u/>
      <sz val="11"/>
      <name val="Arial"/>
      <family val="2"/>
    </font>
    <font>
      <b/>
      <sz val="16"/>
      <color rgb="FF254A75"/>
      <name val="Tahoma"/>
      <family val="2"/>
    </font>
    <font>
      <b/>
      <sz val="10"/>
      <color theme="9" tint="-0.249977111117893"/>
      <name val="Calibri"/>
      <family val="2"/>
      <scheme val="minor"/>
    </font>
    <font>
      <b/>
      <sz val="10"/>
      <color theme="8" tint="-0.249977111117893"/>
      <name val="Calibri"/>
      <family val="2"/>
      <scheme val="minor"/>
    </font>
    <font>
      <sz val="10"/>
      <color theme="5" tint="-0.249977111117893"/>
      <name val="Calibri"/>
      <family val="2"/>
      <scheme val="minor"/>
    </font>
    <font>
      <b/>
      <sz val="10"/>
      <color rgb="FF7030A0"/>
      <name val="Calibri"/>
      <family val="2"/>
      <scheme val="minor"/>
    </font>
    <font>
      <b/>
      <u/>
      <sz val="9"/>
      <color theme="10"/>
      <name val="Calibri"/>
      <family val="2"/>
      <scheme val="minor"/>
    </font>
    <font>
      <b/>
      <sz val="11"/>
      <color theme="0"/>
      <name val="Arial"/>
      <family val="2"/>
    </font>
    <font>
      <sz val="10"/>
      <color rgb="FF000000"/>
      <name val="Arial"/>
      <family val="2"/>
    </font>
    <font>
      <sz val="18"/>
      <color rgb="FF000000"/>
      <name val="Georgia"/>
      <family val="1"/>
    </font>
    <font>
      <sz val="11"/>
      <color rgb="FF252525"/>
      <name val="Arial"/>
      <family val="2"/>
    </font>
    <font>
      <i/>
      <sz val="8"/>
      <color theme="0" tint="-0.499984740745262"/>
      <name val="Calibri"/>
      <family val="2"/>
      <scheme val="minor"/>
    </font>
    <font>
      <b/>
      <i/>
      <sz val="11"/>
      <color rgb="FFFF0000"/>
      <name val="Calibri"/>
      <family val="2"/>
      <scheme val="minor"/>
    </font>
    <font>
      <b/>
      <sz val="14"/>
      <color rgb="FF7030A0"/>
      <name val="Calibri"/>
      <family val="2"/>
      <scheme val="minor"/>
    </font>
    <font>
      <b/>
      <sz val="11"/>
      <color rgb="FF7030A0"/>
      <name val="Calibri"/>
      <family val="2"/>
      <scheme val="minor"/>
    </font>
    <font>
      <b/>
      <sz val="9"/>
      <color rgb="FF7030A0"/>
      <name val="Calibri"/>
      <family val="2"/>
      <scheme val="minor"/>
    </font>
    <font>
      <b/>
      <sz val="14"/>
      <color theme="8" tint="-0.249977111117893"/>
      <name val="Calibri"/>
      <family val="2"/>
      <scheme val="minor"/>
    </font>
    <font>
      <b/>
      <sz val="8"/>
      <name val="Calibri"/>
      <family val="2"/>
      <scheme val="minor"/>
    </font>
    <font>
      <sz val="11"/>
      <color rgb="FFC00000"/>
      <name val="Calibri"/>
      <family val="2"/>
      <scheme val="minor"/>
    </font>
    <font>
      <b/>
      <sz val="8"/>
      <color theme="4" tint="-0.249977111117893"/>
      <name val="Calibri"/>
      <family val="2"/>
      <scheme val="minor"/>
    </font>
    <font>
      <sz val="11"/>
      <color theme="8" tint="-0.249977111117893"/>
      <name val="Calibri"/>
      <family val="2"/>
      <scheme val="minor"/>
    </font>
    <font>
      <i/>
      <sz val="11"/>
      <name val="Calibri"/>
      <family val="2"/>
      <scheme val="minor"/>
    </font>
    <font>
      <b/>
      <sz val="12"/>
      <color theme="9" tint="-0.499984740745262"/>
      <name val="Calibri"/>
      <family val="2"/>
      <scheme val="minor"/>
    </font>
    <font>
      <b/>
      <sz val="14"/>
      <color rgb="FF002060"/>
      <name val="Calibri"/>
      <family val="2"/>
      <scheme val="minor"/>
    </font>
    <font>
      <b/>
      <sz val="14"/>
      <color theme="3"/>
      <name val="Calibri"/>
      <family val="2"/>
      <scheme val="minor"/>
    </font>
    <font>
      <b/>
      <sz val="10"/>
      <color rgb="FF002060"/>
      <name val="Calibri"/>
      <family val="2"/>
      <scheme val="minor"/>
    </font>
    <font>
      <sz val="12"/>
      <color rgb="FFC00000"/>
      <name val="Wingdings 3"/>
      <family val="1"/>
      <charset val="2"/>
    </font>
    <font>
      <i/>
      <sz val="9"/>
      <name val="Calibri"/>
      <family val="2"/>
      <scheme val="minor"/>
    </font>
    <font>
      <b/>
      <sz val="12"/>
      <color theme="4" tint="-0.249977111117893"/>
      <name val="Calibri"/>
      <family val="2"/>
      <scheme val="minor"/>
    </font>
    <font>
      <b/>
      <sz val="14"/>
      <color rgb="FFFF0000"/>
      <name val="Wingdings 3"/>
      <family val="1"/>
      <charset val="2"/>
    </font>
    <font>
      <sz val="9"/>
      <color rgb="FF002060"/>
      <name val="Calibri"/>
      <family val="2"/>
      <scheme val="minor"/>
    </font>
    <font>
      <sz val="12"/>
      <color theme="7" tint="-0.249977111117893"/>
      <name val="Calibri"/>
      <family val="2"/>
      <scheme val="minor"/>
    </font>
    <font>
      <b/>
      <sz val="14"/>
      <color theme="4" tint="-0.249977111117893"/>
      <name val="Calibri"/>
      <family val="2"/>
      <scheme val="minor"/>
    </font>
    <font>
      <b/>
      <i/>
      <sz val="12"/>
      <color theme="0" tint="-0.499984740745262"/>
      <name val="Calibri"/>
      <family val="2"/>
      <scheme val="minor"/>
    </font>
    <font>
      <b/>
      <sz val="12"/>
      <color theme="1" tint="0.34998626667073579"/>
      <name val="Calibri"/>
      <family val="2"/>
      <scheme val="minor"/>
    </font>
    <font>
      <sz val="12"/>
      <color rgb="FF002060"/>
      <name val="Calibri"/>
      <family val="2"/>
      <scheme val="minor"/>
    </font>
    <font>
      <sz val="12"/>
      <color rgb="FFC00000"/>
      <name val="Calibri"/>
      <family val="2"/>
      <scheme val="minor"/>
    </font>
    <font>
      <b/>
      <sz val="12"/>
      <color theme="5" tint="-0.249977111117893"/>
      <name val="Calibri"/>
      <family val="2"/>
      <scheme val="minor"/>
    </font>
    <font>
      <b/>
      <sz val="12"/>
      <color rgb="FF002060"/>
      <name val="Calibri"/>
      <family val="2"/>
      <scheme val="minor"/>
    </font>
    <font>
      <sz val="14"/>
      <color rgb="FF333333"/>
      <name val="Calibri"/>
      <family val="2"/>
      <scheme val="minor"/>
    </font>
    <font>
      <sz val="14"/>
      <color rgb="FF5FA900"/>
      <name val="Calibri"/>
      <family val="2"/>
      <scheme val="minor"/>
    </font>
    <font>
      <sz val="11"/>
      <color rgb="FF333333"/>
      <name val="Segoe UI"/>
      <family val="2"/>
    </font>
    <font>
      <sz val="12"/>
      <color rgb="FF333333"/>
      <name val="Segoe UI"/>
      <family val="2"/>
    </font>
    <font>
      <b/>
      <sz val="11"/>
      <color rgb="FFFF0000"/>
      <name val="Segoe UI"/>
      <family val="2"/>
    </font>
    <font>
      <sz val="24"/>
      <name val="Arial"/>
      <family val="2"/>
    </font>
    <font>
      <b/>
      <sz val="25"/>
      <name val="Arial"/>
      <family val="2"/>
    </font>
    <font>
      <b/>
      <sz val="2"/>
      <name val="Arial"/>
      <family val="2"/>
    </font>
    <font>
      <b/>
      <sz val="30"/>
      <name val="Arial"/>
      <family val="2"/>
    </font>
    <font>
      <b/>
      <sz val="16"/>
      <color indexed="12"/>
      <name val="Arial"/>
      <family val="2"/>
    </font>
    <font>
      <b/>
      <i/>
      <sz val="14"/>
      <name val="Arial"/>
      <family val="2"/>
    </font>
    <font>
      <b/>
      <i/>
      <sz val="16"/>
      <name val="Arial"/>
      <family val="2"/>
    </font>
    <font>
      <b/>
      <sz val="10"/>
      <color indexed="60"/>
      <name val="Arial"/>
      <family val="2"/>
    </font>
    <font>
      <b/>
      <sz val="12"/>
      <color indexed="60"/>
      <name val="Arial"/>
      <family val="2"/>
    </font>
    <font>
      <sz val="26"/>
      <name val="Arial"/>
      <family val="2"/>
    </font>
    <font>
      <b/>
      <sz val="16"/>
      <color theme="5"/>
      <name val="Calibri"/>
      <family val="2"/>
      <scheme val="minor"/>
    </font>
    <font>
      <b/>
      <sz val="12"/>
      <color theme="3"/>
      <name val="Calibri"/>
      <family val="2"/>
      <scheme val="minor"/>
    </font>
    <font>
      <sz val="12"/>
      <color rgb="FF000000"/>
      <name val="Calibri"/>
      <family val="2"/>
      <scheme val="minor"/>
    </font>
    <font>
      <sz val="12"/>
      <color theme="9" tint="-0.249977111117893"/>
      <name val="Calibri"/>
      <family val="2"/>
      <scheme val="minor"/>
    </font>
    <font>
      <sz val="12"/>
      <color rgb="FFFF0000"/>
      <name val="Calibri"/>
      <family val="2"/>
      <scheme val="minor"/>
    </font>
    <font>
      <sz val="11"/>
      <color theme="9" tint="-0.249977111117893"/>
      <name val="Calibri"/>
      <family val="2"/>
      <scheme val="minor"/>
    </font>
    <font>
      <u/>
      <sz val="14"/>
      <color indexed="12"/>
      <name val="Arial"/>
      <family val="2"/>
    </font>
    <font>
      <u/>
      <sz val="14"/>
      <color rgb="FF339966"/>
      <name val="Arial"/>
      <family val="2"/>
    </font>
    <font>
      <sz val="12"/>
      <color rgb="FF0000FF"/>
      <name val="Calibri"/>
      <family val="2"/>
      <scheme val="minor"/>
    </font>
    <font>
      <sz val="26"/>
      <color theme="0"/>
      <name val="Arial"/>
      <family val="2"/>
    </font>
    <font>
      <b/>
      <sz val="12"/>
      <color theme="9" tint="-0.499984740745262"/>
      <name val="Arial"/>
      <family val="2"/>
    </font>
    <font>
      <b/>
      <sz val="14"/>
      <color rgb="FF0000FF"/>
      <name val="Arial"/>
      <family val="2"/>
    </font>
    <font>
      <i/>
      <sz val="11"/>
      <color theme="9" tint="-0.499984740745262"/>
      <name val="Calibri"/>
      <family val="2"/>
      <scheme val="minor"/>
    </font>
    <font>
      <b/>
      <sz val="24"/>
      <name val="Arial"/>
      <family val="2"/>
    </font>
    <font>
      <b/>
      <sz val="10"/>
      <color theme="9" tint="-0.499984740745262"/>
      <name val="Arial"/>
      <family val="2"/>
    </font>
    <font>
      <sz val="20"/>
      <color rgb="FF92D050"/>
      <name val="Arial"/>
      <family val="2"/>
    </font>
    <font>
      <b/>
      <sz val="18"/>
      <color rgb="FF0000FF"/>
      <name val="Arial"/>
      <family val="2"/>
    </font>
    <font>
      <b/>
      <i/>
      <sz val="9"/>
      <name val="Arial"/>
      <family val="2"/>
    </font>
    <font>
      <b/>
      <i/>
      <sz val="11"/>
      <name val="Arial"/>
      <family val="2"/>
    </font>
    <font>
      <b/>
      <sz val="8"/>
      <color indexed="12"/>
      <name val="Arial"/>
      <family val="2"/>
    </font>
    <font>
      <i/>
      <sz val="9"/>
      <name val="Arial"/>
      <family val="2"/>
    </font>
    <font>
      <sz val="7"/>
      <color indexed="12"/>
      <name val="Arial"/>
      <family val="2"/>
    </font>
    <font>
      <sz val="8"/>
      <color indexed="17"/>
      <name val="Arial"/>
      <family val="2"/>
    </font>
    <font>
      <b/>
      <sz val="9"/>
      <color indexed="48"/>
      <name val="Arial"/>
      <family val="2"/>
    </font>
    <font>
      <b/>
      <sz val="9"/>
      <color indexed="17"/>
      <name val="Arial"/>
      <family val="2"/>
    </font>
    <font>
      <b/>
      <vertAlign val="superscript"/>
      <sz val="11"/>
      <color indexed="17"/>
      <name val="Arial"/>
      <family val="2"/>
    </font>
    <font>
      <b/>
      <sz val="11"/>
      <color rgb="FF0000FF"/>
      <name val="Arial"/>
      <family val="2"/>
    </font>
    <font>
      <b/>
      <vertAlign val="superscript"/>
      <sz val="11"/>
      <color indexed="12"/>
      <name val="Arial"/>
      <family val="2"/>
    </font>
    <font>
      <vertAlign val="superscript"/>
      <sz val="11"/>
      <color indexed="12"/>
      <name val="Arial"/>
      <family val="2"/>
    </font>
    <font>
      <b/>
      <vertAlign val="superscript"/>
      <sz val="8"/>
      <color indexed="17"/>
      <name val="Arial"/>
      <family val="2"/>
    </font>
    <font>
      <b/>
      <sz val="8"/>
      <color indexed="17"/>
      <name val="Arial"/>
      <family val="2"/>
    </font>
    <font>
      <b/>
      <vertAlign val="superscript"/>
      <sz val="9"/>
      <name val="Arial"/>
      <family val="2"/>
    </font>
    <font>
      <vertAlign val="superscript"/>
      <sz val="8"/>
      <name val="Arial"/>
      <family val="2"/>
    </font>
    <font>
      <vertAlign val="superscript"/>
      <sz val="9"/>
      <name val="Arial"/>
      <family val="2"/>
    </font>
    <font>
      <b/>
      <vertAlign val="superscript"/>
      <sz val="8"/>
      <name val="Arial"/>
      <family val="2"/>
    </font>
    <font>
      <b/>
      <sz val="11"/>
      <color theme="9" tint="-0.249977111117893"/>
      <name val="Calibri"/>
      <family val="2"/>
    </font>
    <font>
      <b/>
      <sz val="11"/>
      <color theme="9" tint="-0.249977111117893"/>
      <name val="Calibri"/>
      <family val="2"/>
      <scheme val="minor"/>
    </font>
    <font>
      <sz val="10"/>
      <name val="Calibri"/>
      <family val="2"/>
    </font>
    <font>
      <b/>
      <sz val="11"/>
      <color theme="5"/>
      <name val="Calibri"/>
      <family val="2"/>
      <scheme val="minor"/>
    </font>
    <font>
      <sz val="10"/>
      <color rgb="FF000000"/>
      <name val="Calibri"/>
      <family val="2"/>
      <scheme val="minor"/>
    </font>
    <font>
      <b/>
      <sz val="18"/>
      <color rgb="FFFF0000"/>
      <name val="Calibri"/>
      <family val="2"/>
      <scheme val="minor"/>
    </font>
    <font>
      <sz val="11"/>
      <color indexed="8"/>
      <name val="Calibri"/>
      <family val="2"/>
    </font>
    <font>
      <b/>
      <sz val="12"/>
      <color indexed="8"/>
      <name val="Calibri"/>
      <family val="2"/>
    </font>
    <font>
      <sz val="22"/>
      <name val="Calibri"/>
      <family val="2"/>
      <scheme val="minor"/>
    </font>
    <font>
      <b/>
      <sz val="18"/>
      <color rgb="FF339933"/>
      <name val="Calibri"/>
      <family val="2"/>
      <scheme val="minor"/>
    </font>
    <font>
      <b/>
      <sz val="14"/>
      <color theme="9" tint="-0.249977111117893"/>
      <name val="Calibri"/>
      <family val="2"/>
      <scheme val="minor"/>
    </font>
    <font>
      <sz val="18"/>
      <name val="Calibri"/>
      <family val="2"/>
      <scheme val="minor"/>
    </font>
    <font>
      <b/>
      <sz val="20"/>
      <color theme="0"/>
      <name val="Calibri"/>
      <family val="2"/>
      <scheme val="minor"/>
    </font>
    <font>
      <b/>
      <u/>
      <sz val="28"/>
      <color theme="10"/>
      <name val="Calibri"/>
      <family val="2"/>
      <scheme val="minor"/>
    </font>
    <font>
      <i/>
      <sz val="22"/>
      <color theme="0"/>
      <name val="Verdana"/>
      <family val="2"/>
    </font>
    <font>
      <sz val="18"/>
      <color theme="0"/>
      <name val="Arial"/>
      <family val="2"/>
    </font>
    <font>
      <b/>
      <sz val="22"/>
      <color rgb="FF99CC00"/>
      <name val="Arial"/>
      <family val="2"/>
    </font>
    <font>
      <sz val="22"/>
      <color theme="0"/>
      <name val="Calibri"/>
      <family val="2"/>
      <scheme val="minor"/>
    </font>
    <font>
      <sz val="22"/>
      <color theme="0"/>
      <name val="Rockwell"/>
      <family val="1"/>
    </font>
    <font>
      <b/>
      <sz val="18"/>
      <color theme="0"/>
      <name val="Calibri"/>
      <family val="2"/>
    </font>
    <font>
      <b/>
      <sz val="18"/>
      <color theme="0"/>
      <name val="Arial"/>
      <family val="2"/>
    </font>
    <font>
      <b/>
      <sz val="22"/>
      <color theme="0"/>
      <name val="Calibri"/>
      <family val="2"/>
    </font>
    <font>
      <sz val="18"/>
      <color theme="0"/>
      <name val="Verdana"/>
      <family val="2"/>
    </font>
    <font>
      <sz val="22"/>
      <color theme="0"/>
      <name val="Arial Narrow"/>
      <family val="2"/>
    </font>
    <font>
      <sz val="22"/>
      <color theme="0"/>
      <name val="Comic Sans MS"/>
      <family val="4"/>
    </font>
    <font>
      <sz val="22"/>
      <color theme="0"/>
      <name val="Gill Sans MT"/>
      <family val="2"/>
    </font>
    <font>
      <sz val="22"/>
      <color theme="0"/>
      <name val="Palatino Linotype"/>
      <family val="1"/>
    </font>
    <font>
      <sz val="22"/>
      <color theme="0"/>
      <name val="Tahoma"/>
      <family val="2"/>
    </font>
    <font>
      <sz val="22"/>
      <color theme="0"/>
      <name val="Times New Roman"/>
      <family val="1"/>
    </font>
    <font>
      <sz val="22"/>
      <color theme="0"/>
      <name val="Trebuchet MS"/>
      <family val="2"/>
    </font>
    <font>
      <sz val="22"/>
      <color theme="0"/>
      <name val="Tw Cen MT"/>
      <family val="2"/>
    </font>
    <font>
      <sz val="22"/>
      <color theme="0"/>
      <name val="Vrinda"/>
      <family val="2"/>
    </font>
    <font>
      <sz val="22"/>
      <color rgb="FFFFC000"/>
      <name val="Calibri"/>
      <family val="2"/>
    </font>
    <font>
      <sz val="22"/>
      <color rgb="FFFF0000"/>
      <name val="Calibri"/>
      <family val="2"/>
    </font>
    <font>
      <sz val="22"/>
      <color indexed="50"/>
      <name val="Calibri"/>
      <family val="2"/>
    </font>
    <font>
      <sz val="22"/>
      <color rgb="FF00B050"/>
      <name val="Calibri"/>
      <family val="2"/>
    </font>
    <font>
      <sz val="22"/>
      <color rgb="FF7030A0"/>
      <name val="Calibri"/>
      <family val="2"/>
    </font>
    <font>
      <sz val="22"/>
      <color theme="9"/>
      <name val="Calibri"/>
      <family val="2"/>
    </font>
    <font>
      <sz val="22"/>
      <color theme="1"/>
      <name val="Calibri"/>
      <family val="2"/>
    </font>
    <font>
      <sz val="22"/>
      <color theme="3" tint="0.59999389629810485"/>
      <name val="Calibri"/>
      <family val="2"/>
    </font>
    <font>
      <sz val="22"/>
      <color theme="5" tint="0.59999389629810485"/>
      <name val="Calibri"/>
      <family val="2"/>
    </font>
    <font>
      <sz val="22"/>
      <color theme="9" tint="-0.249977111117893"/>
      <name val="Calibri"/>
      <family val="2"/>
    </font>
    <font>
      <sz val="22"/>
      <color rgb="FF0000FF"/>
      <name val="Calibri"/>
      <family val="2"/>
    </font>
    <font>
      <sz val="22"/>
      <color rgb="FF008000"/>
      <name val="Calibri"/>
      <family val="2"/>
    </font>
    <font>
      <sz val="22"/>
      <color theme="9" tint="-0.499984740745262"/>
      <name val="Calibri"/>
      <family val="2"/>
    </font>
    <font>
      <sz val="22"/>
      <color rgb="FF00B0F0"/>
      <name val="Calibri"/>
      <family val="2"/>
    </font>
    <font>
      <sz val="22"/>
      <color theme="5"/>
      <name val="Calibri"/>
      <family val="2"/>
    </font>
    <font>
      <sz val="22"/>
      <color theme="8" tint="-0.249977111117893"/>
      <name val="Calibri"/>
      <family val="2"/>
    </font>
    <font>
      <sz val="22"/>
      <color theme="3" tint="0.39997558519241921"/>
      <name val="Calibri"/>
      <family val="2"/>
    </font>
    <font>
      <sz val="22"/>
      <color theme="5" tint="-0.249977111117893"/>
      <name val="Calibri"/>
      <family val="2"/>
    </font>
    <font>
      <sz val="22"/>
      <color rgb="FF0000FF"/>
      <name val="Calibri"/>
      <family val="2"/>
      <scheme val="minor"/>
    </font>
    <font>
      <sz val="22"/>
      <color indexed="12"/>
      <name val="Arial"/>
      <family val="2"/>
    </font>
    <font>
      <b/>
      <sz val="22"/>
      <name val="Calibri"/>
      <family val="2"/>
    </font>
    <font>
      <b/>
      <sz val="26"/>
      <color theme="0"/>
      <name val="Arial"/>
      <family val="2"/>
    </font>
    <font>
      <sz val="22"/>
      <color rgb="FF0070C0"/>
      <name val="Arial"/>
      <family val="2"/>
    </font>
    <font>
      <sz val="22"/>
      <color rgb="FF222222"/>
      <name val="Arial"/>
      <family val="2"/>
    </font>
    <font>
      <sz val="18"/>
      <color rgb="FF0070C0"/>
      <name val="Arial"/>
      <family val="2"/>
    </font>
    <font>
      <b/>
      <sz val="22"/>
      <color theme="0"/>
      <name val="Calibri"/>
      <family val="2"/>
      <scheme val="minor"/>
    </font>
    <font>
      <b/>
      <sz val="22"/>
      <color rgb="FFC00000"/>
      <name val="Wingdings 3"/>
      <family val="1"/>
      <charset val="2"/>
    </font>
    <font>
      <b/>
      <sz val="22"/>
      <color rgb="FFFF0000"/>
      <name val="Wingdings 3"/>
      <family val="1"/>
      <charset val="2"/>
    </font>
    <font>
      <b/>
      <sz val="22"/>
      <name val="Calibri"/>
      <family val="2"/>
      <scheme val="minor"/>
    </font>
    <font>
      <b/>
      <sz val="22"/>
      <color theme="1"/>
      <name val="Calibri"/>
      <family val="2"/>
      <scheme val="minor"/>
    </font>
    <font>
      <u/>
      <sz val="22"/>
      <color theme="0"/>
      <name val="Arial"/>
      <family val="2"/>
    </font>
    <font>
      <u/>
      <sz val="18"/>
      <color indexed="12"/>
      <name val="Arial"/>
      <family val="2"/>
    </font>
    <font>
      <sz val="14"/>
      <color indexed="10"/>
      <name val="Bookman Old Style"/>
      <family val="1"/>
    </font>
    <font>
      <sz val="14"/>
      <color indexed="12"/>
      <name val="Bookman Old Style"/>
      <family val="1"/>
    </font>
    <font>
      <sz val="14"/>
      <name val="Bookman Old Style"/>
      <family val="1"/>
    </font>
    <font>
      <sz val="12"/>
      <color indexed="17"/>
      <name val="Bookman Old Style"/>
      <family val="1"/>
    </font>
    <font>
      <sz val="12"/>
      <color rgb="FFFF0000"/>
      <name val="Bookman Old Style"/>
      <family val="1"/>
    </font>
    <font>
      <u/>
      <sz val="12"/>
      <color indexed="12"/>
      <name val="Bookman Old Style"/>
      <family val="1"/>
    </font>
    <font>
      <sz val="22"/>
      <name val="Verdana"/>
      <family val="2"/>
    </font>
    <font>
      <b/>
      <sz val="20"/>
      <color theme="9" tint="-0.249977111117893"/>
      <name val="Calibri"/>
      <family val="2"/>
      <scheme val="minor"/>
    </font>
    <font>
      <b/>
      <sz val="10"/>
      <color theme="0"/>
      <name val="Calibri"/>
      <family val="2"/>
      <scheme val="minor"/>
    </font>
    <font>
      <sz val="9"/>
      <color theme="1" tint="0.499984740745262"/>
      <name val="Calibri"/>
      <family val="2"/>
      <scheme val="minor"/>
    </font>
    <font>
      <b/>
      <sz val="11"/>
      <color theme="8" tint="-0.499984740745262"/>
      <name val="Calibri"/>
      <family val="2"/>
      <scheme val="minor"/>
    </font>
    <font>
      <sz val="11"/>
      <color rgb="FF00B050"/>
      <name val="Calibri"/>
      <family val="2"/>
      <scheme val="minor"/>
    </font>
    <font>
      <b/>
      <sz val="11"/>
      <color theme="6" tint="-0.499984740745262"/>
      <name val="Calibri"/>
      <family val="2"/>
      <scheme val="minor"/>
    </font>
    <font>
      <sz val="10"/>
      <color theme="0" tint="-0.499984740745262"/>
      <name val="Calibri"/>
      <family val="2"/>
      <scheme val="minor"/>
    </font>
    <font>
      <sz val="12"/>
      <color theme="3" tint="-0.499984740745262"/>
      <name val="Calibri"/>
      <family val="2"/>
      <scheme val="minor"/>
    </font>
    <font>
      <b/>
      <sz val="11"/>
      <color theme="6" tint="-0.249977111117893"/>
      <name val="Calibri"/>
      <family val="2"/>
      <scheme val="minor"/>
    </font>
    <font>
      <b/>
      <sz val="8"/>
      <color theme="9" tint="-0.249977111117893"/>
      <name val="Calibri"/>
      <family val="2"/>
      <scheme val="minor"/>
    </font>
    <font>
      <sz val="10"/>
      <color rgb="FFC00000"/>
      <name val="Calibri"/>
      <family val="2"/>
      <scheme val="minor"/>
    </font>
    <font>
      <sz val="11"/>
      <color rgb="FF0066CC"/>
      <name val="Calibri"/>
      <family val="2"/>
      <scheme val="minor"/>
    </font>
    <font>
      <b/>
      <sz val="11"/>
      <color rgb="FF0066CC"/>
      <name val="Calibri"/>
      <family val="2"/>
      <scheme val="minor"/>
    </font>
    <font>
      <sz val="11"/>
      <color theme="1"/>
      <name val="Arial"/>
      <family val="2"/>
    </font>
    <font>
      <b/>
      <sz val="36"/>
      <color rgb="FFFFFF00"/>
      <name val="Arial"/>
      <family val="2"/>
    </font>
    <font>
      <b/>
      <sz val="28"/>
      <color rgb="FFFFFF00"/>
      <name val="Calibri"/>
      <family val="2"/>
      <scheme val="minor"/>
    </font>
    <font>
      <b/>
      <sz val="22"/>
      <color theme="9"/>
      <name val="Arial"/>
      <family val="2"/>
    </font>
    <font>
      <b/>
      <sz val="26"/>
      <color rgb="FF92D050"/>
      <name val="Arial"/>
      <family val="2"/>
    </font>
    <font>
      <b/>
      <sz val="22"/>
      <color rgb="FFFFFF00"/>
      <name val="Arial"/>
      <family val="2"/>
    </font>
    <font>
      <sz val="18"/>
      <color indexed="12"/>
      <name val="Calibri"/>
      <family val="2"/>
      <scheme val="minor"/>
    </font>
    <font>
      <b/>
      <u/>
      <sz val="22"/>
      <color theme="10"/>
      <name val="Arial"/>
      <family val="2"/>
    </font>
    <font>
      <b/>
      <sz val="20"/>
      <color rgb="FFFFFF00"/>
      <name val="Arial"/>
      <family val="2"/>
    </font>
    <font>
      <b/>
      <sz val="16"/>
      <color rgb="FF92D050"/>
      <name val="Arial"/>
      <family val="2"/>
    </font>
    <font>
      <b/>
      <sz val="20"/>
      <color theme="0"/>
      <name val="Arial"/>
      <family val="2"/>
    </font>
    <font>
      <u/>
      <sz val="24"/>
      <color rgb="FF92D050"/>
      <name val="Arial"/>
      <family val="2"/>
    </font>
    <font>
      <sz val="24"/>
      <color rgb="FF92D050"/>
      <name val="Arial"/>
      <family val="2"/>
    </font>
    <font>
      <sz val="16"/>
      <color indexed="12"/>
      <name val="Calibri"/>
      <family val="2"/>
      <scheme val="minor"/>
    </font>
    <font>
      <sz val="16"/>
      <color indexed="22"/>
      <name val="Calibri"/>
      <family val="2"/>
      <scheme val="minor"/>
    </font>
    <font>
      <b/>
      <sz val="24"/>
      <color rgb="FF4472C4"/>
      <name val="Calibri"/>
      <family val="2"/>
      <scheme val="minor"/>
    </font>
    <font>
      <b/>
      <i/>
      <sz val="16"/>
      <color theme="1" tint="4.9989318521683403E-2"/>
      <name val="Calibri"/>
      <family val="2"/>
      <scheme val="minor"/>
    </font>
    <font>
      <b/>
      <sz val="22"/>
      <color rgb="FFC00000"/>
      <name val="Calibri"/>
      <family val="2"/>
      <scheme val="minor"/>
    </font>
    <font>
      <b/>
      <sz val="16"/>
      <color rgb="FF4472C4"/>
      <name val="Calibri"/>
      <family val="2"/>
      <scheme val="minor"/>
    </font>
    <font>
      <b/>
      <sz val="18"/>
      <color rgb="FF800080"/>
      <name val="Calibri"/>
      <family val="2"/>
      <scheme val="minor"/>
    </font>
    <font>
      <b/>
      <sz val="18"/>
      <color rgb="FFC00000"/>
      <name val="Calibri"/>
      <family val="2"/>
      <scheme val="minor"/>
    </font>
    <font>
      <b/>
      <sz val="22"/>
      <color rgb="FF0070C0"/>
      <name val="Calibri"/>
      <family val="2"/>
      <scheme val="minor"/>
    </font>
    <font>
      <b/>
      <sz val="26"/>
      <color rgb="FF800080"/>
      <name val="Calibri"/>
      <family val="2"/>
      <scheme val="minor"/>
    </font>
    <font>
      <b/>
      <sz val="22"/>
      <color indexed="12"/>
      <name val="Calibri"/>
      <family val="2"/>
      <scheme val="minor"/>
    </font>
    <font>
      <b/>
      <sz val="20"/>
      <color indexed="10"/>
      <name val="Calibri"/>
      <family val="2"/>
      <scheme val="minor"/>
    </font>
    <font>
      <i/>
      <sz val="22"/>
      <name val="Calibri"/>
      <family val="2"/>
      <scheme val="minor"/>
    </font>
    <font>
      <b/>
      <sz val="18"/>
      <color rgb="FF0070C0"/>
      <name val="Calibri"/>
      <family val="2"/>
      <scheme val="minor"/>
    </font>
    <font>
      <b/>
      <sz val="16"/>
      <color rgb="FF0070C0"/>
      <name val="Calibri"/>
      <family val="2"/>
      <scheme val="minor"/>
    </font>
    <font>
      <b/>
      <sz val="18"/>
      <color indexed="12"/>
      <name val="Calibri"/>
      <family val="2"/>
      <scheme val="minor"/>
    </font>
    <font>
      <sz val="14"/>
      <color theme="0"/>
      <name val="Calibri"/>
      <family val="2"/>
      <scheme val="minor"/>
    </font>
    <font>
      <b/>
      <sz val="14"/>
      <color rgb="FF800080"/>
      <name val="Calibri"/>
      <family val="2"/>
      <scheme val="minor"/>
    </font>
    <font>
      <b/>
      <sz val="20"/>
      <color indexed="10"/>
      <name val="Calibri"/>
      <family val="2"/>
    </font>
    <font>
      <sz val="20"/>
      <color theme="4"/>
      <name val="Calibri"/>
      <family val="2"/>
      <scheme val="minor"/>
    </font>
    <font>
      <b/>
      <sz val="16"/>
      <color rgb="FF800080"/>
      <name val="Calibri"/>
      <family val="2"/>
      <scheme val="minor"/>
    </font>
    <font>
      <sz val="12"/>
      <color indexed="22"/>
      <name val="Calibri"/>
      <family val="2"/>
      <scheme val="minor"/>
    </font>
    <font>
      <sz val="12"/>
      <color theme="0" tint="-0.249977111117893"/>
      <name val="Calibri"/>
      <family val="2"/>
      <scheme val="minor"/>
    </font>
    <font>
      <sz val="16"/>
      <color rgb="FFFF0000"/>
      <name val="Calibri"/>
      <family val="2"/>
      <scheme val="minor"/>
    </font>
    <font>
      <b/>
      <sz val="16"/>
      <color theme="9" tint="-0.249977111117893"/>
      <name val="Calibri"/>
      <family val="2"/>
      <scheme val="minor"/>
    </font>
    <font>
      <sz val="20"/>
      <color theme="2" tint="-0.749992370372631"/>
      <name val="Calibri"/>
      <family val="2"/>
      <scheme val="minor"/>
    </font>
    <font>
      <b/>
      <u/>
      <sz val="16"/>
      <name val="Arial"/>
      <family val="2"/>
    </font>
    <font>
      <b/>
      <u/>
      <sz val="14"/>
      <color theme="10"/>
      <name val="Arial"/>
      <family val="2"/>
    </font>
    <font>
      <b/>
      <sz val="24"/>
      <color rgb="FFFFFF00"/>
      <name val="Arial"/>
      <family val="2"/>
    </font>
    <font>
      <b/>
      <sz val="24"/>
      <color rgb="FF92D050"/>
      <name val="Arial"/>
      <family val="2"/>
    </font>
    <font>
      <b/>
      <sz val="24"/>
      <color theme="0"/>
      <name val="Arial"/>
      <family val="2"/>
    </font>
    <font>
      <sz val="24"/>
      <color theme="0"/>
      <name val="Arial"/>
      <family val="2"/>
    </font>
    <font>
      <sz val="12"/>
      <color theme="0"/>
      <name val="Calibri"/>
      <family val="2"/>
      <scheme val="minor"/>
    </font>
    <font>
      <sz val="20"/>
      <color theme="0"/>
      <name val="Calibri"/>
      <family val="2"/>
      <scheme val="minor"/>
    </font>
    <font>
      <sz val="22"/>
      <color theme="1"/>
      <name val="Calibri"/>
      <family val="2"/>
      <scheme val="minor"/>
    </font>
    <font>
      <b/>
      <sz val="18"/>
      <color theme="1"/>
      <name val="Calibri"/>
      <family val="2"/>
      <scheme val="minor"/>
    </font>
    <font>
      <b/>
      <sz val="18"/>
      <color theme="0"/>
      <name val="Calibri"/>
      <family val="2"/>
      <scheme val="minor"/>
    </font>
    <font>
      <sz val="18"/>
      <color rgb="FF222222"/>
      <name val="Arial"/>
      <family val="2"/>
    </font>
    <font>
      <b/>
      <sz val="18"/>
      <color rgb="FFFFFF00"/>
      <name val="Calibri"/>
      <family val="2"/>
      <scheme val="minor"/>
    </font>
    <font>
      <i/>
      <sz val="18"/>
      <color theme="0"/>
      <name val="Calibri"/>
      <family val="2"/>
      <scheme val="minor"/>
    </font>
    <font>
      <sz val="16"/>
      <color theme="0"/>
      <name val="Calibri"/>
      <family val="2"/>
      <scheme val="minor"/>
    </font>
    <font>
      <i/>
      <sz val="14"/>
      <color theme="0"/>
      <name val="Calibri"/>
      <family val="2"/>
      <scheme val="minor"/>
    </font>
    <font>
      <sz val="14"/>
      <color theme="0"/>
      <name val="Arial"/>
      <family val="2"/>
    </font>
    <font>
      <sz val="11"/>
      <color theme="0"/>
      <name val="Calibri"/>
      <family val="2"/>
      <scheme val="minor"/>
    </font>
    <font>
      <sz val="16"/>
      <color rgb="FFFFFF00"/>
      <name val="Calibri"/>
      <family val="2"/>
      <scheme val="minor"/>
    </font>
    <font>
      <b/>
      <sz val="16"/>
      <color rgb="FFFFFF00"/>
      <name val="Calibri"/>
      <family val="2"/>
      <scheme val="minor"/>
    </font>
    <font>
      <i/>
      <sz val="16"/>
      <color theme="0"/>
      <name val="Calibri"/>
      <family val="2"/>
      <scheme val="minor"/>
    </font>
    <font>
      <b/>
      <sz val="16"/>
      <color rgb="FF000000"/>
      <name val="Calibri"/>
      <family val="2"/>
      <scheme val="minor"/>
    </font>
    <font>
      <sz val="22"/>
      <color rgb="FFFFFF00"/>
      <name val="Verdana"/>
      <family val="2"/>
    </font>
    <font>
      <sz val="12"/>
      <color rgb="FFFFFF00"/>
      <name val="Calibri"/>
      <family val="2"/>
      <scheme val="minor"/>
    </font>
    <font>
      <b/>
      <sz val="16"/>
      <color theme="0" tint="-4.9989318521683403E-2"/>
      <name val="Calibri"/>
      <family val="2"/>
      <scheme val="minor"/>
    </font>
    <font>
      <sz val="10"/>
      <color theme="0" tint="-4.9989318521683403E-2"/>
      <name val="Arial"/>
      <family val="2"/>
    </font>
    <font>
      <sz val="20"/>
      <color theme="0" tint="-4.9989318521683403E-2"/>
      <name val="Arial"/>
      <family val="2"/>
    </font>
    <font>
      <sz val="14"/>
      <color rgb="FFFFFF00"/>
      <name val="Calibri"/>
      <family val="2"/>
      <scheme val="minor"/>
    </font>
    <font>
      <b/>
      <sz val="16"/>
      <color rgb="FFC00000"/>
      <name val="Arial"/>
      <family val="2"/>
    </font>
    <font>
      <sz val="12"/>
      <color rgb="FF0033CC"/>
      <name val="Calibri"/>
      <family val="2"/>
      <scheme val="minor"/>
    </font>
    <font>
      <sz val="24"/>
      <color theme="9" tint="-0.249977111117893"/>
      <name val="Wingdings 3"/>
      <family val="1"/>
      <charset val="2"/>
    </font>
    <font>
      <sz val="13"/>
      <color rgb="FF0033CC"/>
      <name val="Calibri"/>
      <family val="2"/>
      <scheme val="minor"/>
    </font>
    <font>
      <sz val="9"/>
      <color rgb="FF0033CC"/>
      <name val="Calibri"/>
      <family val="2"/>
      <scheme val="minor"/>
    </font>
    <font>
      <sz val="13"/>
      <name val="Calibri"/>
      <family val="2"/>
      <scheme val="minor"/>
    </font>
    <font>
      <b/>
      <sz val="14"/>
      <color indexed="8"/>
      <name val="Calibri"/>
      <family val="2"/>
    </font>
    <font>
      <b/>
      <sz val="14"/>
      <color theme="0"/>
      <name val="Calibri"/>
      <family val="2"/>
    </font>
    <font>
      <b/>
      <sz val="12"/>
      <color indexed="10"/>
      <name val="Calibri"/>
      <family val="2"/>
    </font>
    <font>
      <b/>
      <sz val="12"/>
      <color theme="4"/>
      <name val="Calibri"/>
      <family val="2"/>
    </font>
    <font>
      <b/>
      <sz val="14"/>
      <color theme="4"/>
      <name val="Calibri"/>
      <family val="2"/>
    </font>
    <font>
      <b/>
      <sz val="14"/>
      <color indexed="57"/>
      <name val="Calibri"/>
      <family val="2"/>
    </font>
    <font>
      <b/>
      <sz val="14"/>
      <color indexed="9"/>
      <name val="Calibri"/>
      <family val="2"/>
    </font>
    <font>
      <sz val="7"/>
      <name val="Calibri"/>
      <family val="2"/>
      <scheme val="minor"/>
    </font>
    <font>
      <sz val="14"/>
      <color indexed="9"/>
      <name val="Calibri"/>
      <family val="2"/>
    </font>
    <font>
      <b/>
      <sz val="11"/>
      <color theme="0"/>
      <name val="Calibri"/>
      <family val="2"/>
      <scheme val="minor"/>
    </font>
    <font>
      <b/>
      <sz val="18"/>
      <color indexed="9"/>
      <name val="Arial"/>
      <family val="2"/>
    </font>
    <font>
      <b/>
      <sz val="14"/>
      <color indexed="30"/>
      <name val="Calibri"/>
      <family val="2"/>
    </font>
    <font>
      <b/>
      <sz val="18"/>
      <color rgb="FFFF0000"/>
      <name val="Calibri"/>
      <family val="2"/>
    </font>
    <font>
      <b/>
      <sz val="18"/>
      <color theme="0" tint="-0.34998626667073579"/>
      <name val="Calibri"/>
      <family val="2"/>
    </font>
    <font>
      <b/>
      <sz val="16"/>
      <color rgb="FF0033CC"/>
      <name val="Calibri"/>
      <family val="2"/>
      <scheme val="minor"/>
    </font>
    <font>
      <b/>
      <sz val="24.2"/>
      <color rgb="FFEC3468"/>
      <name val="Times New Roman"/>
      <family val="1"/>
    </font>
    <font>
      <b/>
      <sz val="14"/>
      <color rgb="FF0000FF"/>
      <name val="Calibri"/>
      <family val="2"/>
      <scheme val="minor"/>
    </font>
    <font>
      <b/>
      <sz val="14"/>
      <color rgb="FF0033CC"/>
      <name val="Calibri"/>
      <family val="2"/>
      <scheme val="minor"/>
    </font>
    <font>
      <b/>
      <sz val="16"/>
      <color rgb="FFFFFF00"/>
      <name val="Arial"/>
      <family val="2"/>
    </font>
    <font>
      <b/>
      <sz val="14"/>
      <name val="Verdana"/>
      <family val="2"/>
    </font>
    <font>
      <b/>
      <sz val="20"/>
      <name val="Arial Narrow"/>
      <family val="2"/>
    </font>
    <font>
      <b/>
      <sz val="16"/>
      <name val="Arial Narrow"/>
      <family val="2"/>
    </font>
    <font>
      <b/>
      <sz val="24"/>
      <name val="Arial Narrow"/>
      <family val="2"/>
    </font>
    <font>
      <sz val="24"/>
      <name val="Arial Narrow"/>
      <family val="2"/>
    </font>
    <font>
      <sz val="20"/>
      <name val="Arial Narrow"/>
      <family val="2"/>
    </font>
    <font>
      <sz val="24"/>
      <name val="Webdings"/>
      <family val="1"/>
      <charset val="2"/>
    </font>
    <font>
      <sz val="24"/>
      <name val="Wingdings"/>
      <charset val="2"/>
    </font>
    <font>
      <sz val="24"/>
      <name val="Wingdings 2"/>
      <family val="1"/>
      <charset val="2"/>
    </font>
    <font>
      <sz val="24"/>
      <name val="Wingdings 3"/>
      <family val="1"/>
      <charset val="2"/>
    </font>
    <font>
      <b/>
      <sz val="18"/>
      <name val="Arial Narrow"/>
      <family val="2"/>
    </font>
    <font>
      <sz val="26"/>
      <name val="Webdings"/>
      <family val="1"/>
      <charset val="2"/>
    </font>
    <font>
      <sz val="26"/>
      <name val="Wingdings"/>
      <charset val="2"/>
    </font>
    <font>
      <sz val="26"/>
      <name val="Wingdings 2"/>
      <family val="1"/>
      <charset val="2"/>
    </font>
    <font>
      <sz val="26"/>
      <name val="Wingdings 3"/>
      <family val="1"/>
      <charset val="2"/>
    </font>
    <font>
      <b/>
      <sz val="16"/>
      <name val="Calibri"/>
      <family val="2"/>
    </font>
    <font>
      <sz val="18"/>
      <name val="Calibri"/>
      <family val="2"/>
    </font>
    <font>
      <sz val="14"/>
      <name val="Calibri"/>
      <family val="2"/>
    </font>
    <font>
      <sz val="9"/>
      <name val="Calibri"/>
      <family val="2"/>
    </font>
    <font>
      <sz val="20"/>
      <name val="Calibri"/>
      <family val="2"/>
    </font>
    <font>
      <sz val="14"/>
      <color theme="3"/>
      <name val="Calibri"/>
      <family val="2"/>
    </font>
    <font>
      <sz val="14"/>
      <color rgb="FF7030A0"/>
      <name val="Calibri"/>
      <family val="2"/>
    </font>
    <font>
      <b/>
      <sz val="14"/>
      <color rgb="FF7030A0"/>
      <name val="Calibri"/>
      <family val="2"/>
    </font>
    <font>
      <sz val="14"/>
      <color theme="9" tint="-0.249977111117893"/>
      <name val="Calibri"/>
      <family val="2"/>
    </font>
    <font>
      <sz val="14"/>
      <color rgb="FFC00000"/>
      <name val="Calibri"/>
      <family val="2"/>
    </font>
    <font>
      <sz val="14"/>
      <color theme="8" tint="-0.249977111117893"/>
      <name val="Calibri"/>
      <family val="2"/>
    </font>
    <font>
      <sz val="14"/>
      <color theme="4"/>
      <name val="Calibri"/>
      <family val="2"/>
    </font>
    <font>
      <sz val="14"/>
      <color theme="5"/>
      <name val="Calibri"/>
      <family val="2"/>
    </font>
    <font>
      <sz val="14"/>
      <color theme="6"/>
      <name val="Calibri"/>
      <family val="2"/>
    </font>
    <font>
      <sz val="14"/>
      <color theme="7"/>
      <name val="Calibri"/>
      <family val="2"/>
    </font>
    <font>
      <sz val="14"/>
      <color theme="8"/>
      <name val="Calibri"/>
      <family val="2"/>
    </font>
    <font>
      <sz val="14"/>
      <color theme="9"/>
      <name val="Calibri"/>
      <family val="2"/>
    </font>
    <font>
      <sz val="14"/>
      <color theme="0" tint="-0.249977111117893"/>
      <name val="Calibri"/>
      <family val="2"/>
    </font>
    <font>
      <sz val="14"/>
      <color theme="1" tint="0.14999847407452621"/>
      <name val="Calibri"/>
      <family val="2"/>
    </font>
    <font>
      <sz val="14"/>
      <color theme="2" tint="-0.499984740745262"/>
      <name val="Calibri"/>
      <family val="2"/>
    </font>
    <font>
      <sz val="14"/>
      <color theme="3" tint="0.39997558519241921"/>
      <name val="Calibri"/>
      <family val="2"/>
    </font>
    <font>
      <sz val="14"/>
      <color theme="4" tint="0.39997558519241921"/>
      <name val="Calibri"/>
      <family val="2"/>
    </font>
    <font>
      <sz val="14"/>
      <color theme="5" tint="0.39997558519241921"/>
      <name val="Calibri"/>
      <family val="2"/>
    </font>
    <font>
      <sz val="14"/>
      <color theme="6" tint="0.39997558519241921"/>
      <name val="Calibri"/>
      <family val="2"/>
    </font>
    <font>
      <sz val="14"/>
      <color theme="7" tint="0.39997558519241921"/>
      <name val="Calibri"/>
      <family val="2"/>
    </font>
    <font>
      <sz val="14"/>
      <color theme="8" tint="0.39997558519241921"/>
      <name val="Calibri"/>
      <family val="2"/>
    </font>
    <font>
      <sz val="14"/>
      <color theme="9" tint="0.39997558519241921"/>
      <name val="Calibri"/>
      <family val="2"/>
    </font>
    <font>
      <sz val="14"/>
      <color theme="1" tint="0.499984740745262"/>
      <name val="Calibri"/>
      <family val="2"/>
    </font>
    <font>
      <sz val="14"/>
      <color theme="1" tint="0.34998626667073579"/>
      <name val="Calibri"/>
      <family val="2"/>
    </font>
    <font>
      <b/>
      <sz val="28"/>
      <color theme="0"/>
      <name val="Calibri"/>
      <family val="2"/>
      <scheme val="minor"/>
    </font>
    <font>
      <sz val="26"/>
      <color theme="0"/>
      <name val="Calibri"/>
      <family val="2"/>
      <scheme val="minor"/>
    </font>
    <font>
      <b/>
      <sz val="26"/>
      <color theme="0"/>
      <name val="Calibri"/>
      <family val="2"/>
      <scheme val="minor"/>
    </font>
    <font>
      <sz val="36"/>
      <color rgb="FF00B050"/>
      <name val="Calibri"/>
      <family val="2"/>
      <scheme val="minor"/>
    </font>
    <font>
      <sz val="26"/>
      <color rgb="FF00B050"/>
      <name val="Calibri"/>
      <family val="2"/>
      <scheme val="minor"/>
    </font>
    <font>
      <u/>
      <sz val="10"/>
      <color indexed="12"/>
      <name val="Calibri"/>
      <family val="2"/>
      <scheme val="minor"/>
    </font>
    <font>
      <sz val="16"/>
      <color rgb="FFC00000"/>
      <name val="Calibri"/>
      <family val="2"/>
      <scheme val="minor"/>
    </font>
    <font>
      <sz val="11"/>
      <name val="Segoe UI Emoji"/>
      <family val="2"/>
    </font>
    <font>
      <sz val="22"/>
      <color rgb="FF333333"/>
      <name val="Segoe UI Emoji"/>
      <family val="2"/>
    </font>
    <font>
      <sz val="10"/>
      <name val="Segoe UI Emoji"/>
      <family val="2"/>
    </font>
    <font>
      <b/>
      <sz val="10"/>
      <name val="Segoe UI Emoji"/>
      <family val="2"/>
    </font>
    <font>
      <sz val="36"/>
      <color rgb="FF333333"/>
      <name val="Calibri"/>
      <family val="2"/>
      <scheme val="minor"/>
    </font>
    <font>
      <sz val="37"/>
      <color rgb="FF333333"/>
      <name val="Calibri"/>
      <family val="2"/>
      <scheme val="minor"/>
    </font>
    <font>
      <sz val="37"/>
      <color rgb="FFFF0000"/>
      <name val="Calibri"/>
      <family val="2"/>
      <scheme val="minor"/>
    </font>
    <font>
      <u/>
      <sz val="16"/>
      <color indexed="12"/>
      <name val="Calibri"/>
      <family val="2"/>
      <scheme val="minor"/>
    </font>
    <font>
      <sz val="36"/>
      <color rgb="FFFF0000"/>
      <name val="Calibri"/>
      <family val="2"/>
      <scheme val="minor"/>
    </font>
    <font>
      <b/>
      <sz val="28"/>
      <name val="Calibri"/>
      <family val="2"/>
      <scheme val="minor"/>
    </font>
    <font>
      <sz val="12"/>
      <color rgb="FFFFFF00"/>
      <name val="Verdana"/>
      <family val="2"/>
    </font>
    <font>
      <sz val="22"/>
      <color rgb="FF00B050"/>
      <name val="Calibri"/>
      <family val="2"/>
      <scheme val="minor"/>
    </font>
    <font>
      <sz val="18"/>
      <color rgb="FF00B050"/>
      <name val="Calibri"/>
      <family val="2"/>
      <scheme val="minor"/>
    </font>
    <font>
      <u/>
      <sz val="12"/>
      <color indexed="12"/>
      <name val="Calibri"/>
      <family val="2"/>
      <scheme val="minor"/>
    </font>
    <font>
      <sz val="12"/>
      <color rgb="FF202124"/>
      <name val="Calibri"/>
      <family val="2"/>
      <scheme val="minor"/>
    </font>
    <font>
      <b/>
      <sz val="12"/>
      <color rgb="FF202124"/>
      <name val="Calibri"/>
      <family val="2"/>
      <scheme val="minor"/>
    </font>
    <font>
      <b/>
      <u/>
      <sz val="14"/>
      <color indexed="12"/>
      <name val="Calibri"/>
      <family val="2"/>
      <scheme val="minor"/>
    </font>
    <font>
      <b/>
      <u/>
      <sz val="14"/>
      <color indexed="12"/>
      <name val="Arial"/>
      <family val="2"/>
    </font>
    <font>
      <b/>
      <sz val="9"/>
      <color theme="0"/>
      <name val="Calibri"/>
      <family val="2"/>
      <scheme val="minor"/>
    </font>
    <font>
      <b/>
      <sz val="14"/>
      <color rgb="FF92D050"/>
      <name val="Arial"/>
      <family val="2"/>
    </font>
    <font>
      <i/>
      <sz val="14"/>
      <color theme="0"/>
      <name val="Verdana"/>
      <family val="2"/>
    </font>
    <font>
      <b/>
      <sz val="14"/>
      <color theme="0" tint="-4.9989318521683403E-2"/>
      <name val="Calibri"/>
      <family val="2"/>
      <scheme val="minor"/>
    </font>
    <font>
      <sz val="8"/>
      <color theme="1"/>
      <name val="Calibri"/>
      <family val="2"/>
      <scheme val="minor"/>
    </font>
    <font>
      <sz val="8"/>
      <color theme="0"/>
      <name val="Calibri"/>
      <family val="2"/>
      <scheme val="minor"/>
    </font>
    <font>
      <b/>
      <sz val="11"/>
      <color theme="9" tint="-0.499984740745262"/>
      <name val="Calibri"/>
      <family val="2"/>
      <scheme val="minor"/>
    </font>
    <font>
      <sz val="11"/>
      <color theme="1"/>
      <name val="Calibri"/>
      <family val="2"/>
    </font>
    <font>
      <sz val="11"/>
      <color theme="10"/>
      <name val="Calibri"/>
      <family val="2"/>
      <scheme val="minor"/>
    </font>
    <font>
      <b/>
      <sz val="12"/>
      <color rgb="FF0033CC"/>
      <name val="Calibri"/>
      <family val="2"/>
      <scheme val="minor"/>
    </font>
    <font>
      <sz val="9"/>
      <color theme="0"/>
      <name val="Calibri"/>
      <family val="2"/>
      <scheme val="minor"/>
    </font>
    <font>
      <u/>
      <sz val="12"/>
      <color theme="10"/>
      <name val="Calibri"/>
      <family val="2"/>
      <scheme val="minor"/>
    </font>
    <font>
      <sz val="8"/>
      <color theme="0" tint="-0.14999847407452621"/>
      <name val="Calibri"/>
      <family val="2"/>
      <scheme val="minor"/>
    </font>
    <font>
      <sz val="9"/>
      <color theme="9" tint="-0.249977111117893"/>
      <name val="Calibri"/>
      <family val="2"/>
      <scheme val="minor"/>
    </font>
    <font>
      <b/>
      <sz val="8"/>
      <color theme="0"/>
      <name val="Calibri"/>
      <family val="2"/>
      <scheme val="minor"/>
    </font>
    <font>
      <b/>
      <sz val="11"/>
      <color indexed="9"/>
      <name val="Calibri"/>
      <family val="2"/>
      <scheme val="minor"/>
    </font>
    <font>
      <b/>
      <sz val="11"/>
      <color rgb="FFFFC000"/>
      <name val="Calibri"/>
      <family val="2"/>
      <scheme val="minor"/>
    </font>
    <font>
      <b/>
      <sz val="11"/>
      <color rgb="FFFFFF00"/>
      <name val="Calibri"/>
      <family val="2"/>
      <scheme val="minor"/>
    </font>
    <font>
      <b/>
      <sz val="12"/>
      <color rgb="FFFFFF00"/>
      <name val="Calibri"/>
      <family val="2"/>
      <scheme val="minor"/>
    </font>
    <font>
      <b/>
      <sz val="12"/>
      <color rgb="FFFFC000"/>
      <name val="Calibri"/>
      <family val="2"/>
      <scheme val="minor"/>
    </font>
    <font>
      <b/>
      <sz val="14"/>
      <color indexed="61"/>
      <name val="Calibri"/>
      <family val="2"/>
      <scheme val="minor"/>
    </font>
    <font>
      <b/>
      <sz val="18"/>
      <color rgb="FF0000FF"/>
      <name val="Calibri"/>
      <family val="2"/>
      <scheme val="minor"/>
    </font>
    <font>
      <sz val="12"/>
      <color rgb="FF993366"/>
      <name val="Calibri"/>
      <family val="2"/>
      <scheme val="minor"/>
    </font>
    <font>
      <b/>
      <sz val="12"/>
      <color theme="1" tint="0.499984740745262"/>
      <name val="Calibri"/>
      <family val="2"/>
      <scheme val="minor"/>
    </font>
    <font>
      <b/>
      <sz val="12"/>
      <color theme="0" tint="-0.499984740745262"/>
      <name val="Calibri"/>
      <family val="2"/>
      <scheme val="minor"/>
    </font>
    <font>
      <sz val="14"/>
      <color rgb="FF0000FF"/>
      <name val="Calibri"/>
      <family val="2"/>
      <scheme val="minor"/>
    </font>
    <font>
      <sz val="14"/>
      <color rgb="FF0033CC"/>
      <name val="Calibri"/>
      <family val="2"/>
      <scheme val="minor"/>
    </font>
    <font>
      <sz val="11"/>
      <color theme="9" tint="-0.499984740745262"/>
      <name val="Calibri"/>
      <family val="2"/>
      <scheme val="minor"/>
    </font>
    <font>
      <b/>
      <i/>
      <sz val="12"/>
      <color theme="9" tint="-0.499984740745262"/>
      <name val="Calibri"/>
      <family val="2"/>
      <scheme val="minor"/>
    </font>
    <font>
      <i/>
      <sz val="11"/>
      <color theme="1"/>
      <name val="Calibri"/>
      <family val="2"/>
      <scheme val="minor"/>
    </font>
    <font>
      <b/>
      <i/>
      <sz val="12"/>
      <color theme="1"/>
      <name val="Calibri"/>
      <family val="2"/>
      <scheme val="minor"/>
    </font>
    <font>
      <i/>
      <sz val="12"/>
      <color theme="1"/>
      <name val="Calibri"/>
      <family val="2"/>
      <scheme val="minor"/>
    </font>
    <font>
      <b/>
      <sz val="18"/>
      <color theme="9" tint="-0.249977111117893"/>
      <name val="Calibri"/>
      <family val="2"/>
      <scheme val="minor"/>
    </font>
    <font>
      <b/>
      <u/>
      <sz val="14"/>
      <name val="Calibri"/>
      <family val="2"/>
      <scheme val="minor"/>
    </font>
    <font>
      <sz val="11"/>
      <color rgb="FF0033CC"/>
      <name val="Calibri"/>
      <family val="2"/>
      <scheme val="minor"/>
    </font>
    <font>
      <b/>
      <sz val="11"/>
      <color rgb="FF0033CC"/>
      <name val="Calibri"/>
      <family val="2"/>
      <scheme val="minor"/>
    </font>
    <font>
      <sz val="12"/>
      <color theme="5" tint="-0.499984740745262"/>
      <name val="Calibri"/>
      <family val="2"/>
      <scheme val="minor"/>
    </font>
    <font>
      <sz val="11"/>
      <color theme="5" tint="-0.499984740745262"/>
      <name val="Calibri"/>
      <family val="2"/>
      <scheme val="minor"/>
    </font>
    <font>
      <b/>
      <sz val="11"/>
      <color theme="5" tint="-0.499984740745262"/>
      <name val="Calibri"/>
      <family val="2"/>
      <scheme val="minor"/>
    </font>
    <font>
      <b/>
      <sz val="18"/>
      <color rgb="FF0033CC"/>
      <name val="Calibri"/>
      <family val="2"/>
      <scheme val="minor"/>
    </font>
    <font>
      <sz val="14"/>
      <color theme="9" tint="-0.249977111117893"/>
      <name val="Calibri"/>
      <family val="2"/>
      <scheme val="minor"/>
    </font>
    <font>
      <i/>
      <sz val="11"/>
      <color theme="5" tint="-0.499984740745262"/>
      <name val="Calibri"/>
      <family val="2"/>
      <scheme val="minor"/>
    </font>
    <font>
      <b/>
      <i/>
      <sz val="11"/>
      <color theme="5" tint="-0.499984740745262"/>
      <name val="Calibri"/>
      <family val="2"/>
      <scheme val="minor"/>
    </font>
    <font>
      <sz val="10"/>
      <color theme="1"/>
      <name val="Arial Unicode MS"/>
    </font>
    <font>
      <b/>
      <sz val="13.5"/>
      <color theme="1"/>
      <name val="Calibri"/>
      <family val="2"/>
      <scheme val="minor"/>
    </font>
    <font>
      <b/>
      <sz val="10"/>
      <color theme="1"/>
      <name val="Arial Unicode MS"/>
    </font>
    <font>
      <i/>
      <sz val="10"/>
      <color theme="1"/>
      <name val="Arial Unicode MS"/>
    </font>
    <font>
      <b/>
      <sz val="11"/>
      <color rgb="FF000000"/>
      <name val="Calibri"/>
      <family val="2"/>
      <scheme val="minor"/>
    </font>
    <font>
      <sz val="8"/>
      <color rgb="FFBFBFBF"/>
      <name val="Calibri"/>
      <family val="2"/>
      <scheme val="minor"/>
    </font>
    <font>
      <sz val="11"/>
      <color indexed="8"/>
      <name val="Calibri"/>
      <family val="2"/>
      <scheme val="minor"/>
    </font>
    <font>
      <sz val="8"/>
      <color theme="0" tint="-0.249977111117893"/>
      <name val="Calibri"/>
      <family val="2"/>
      <scheme val="minor"/>
    </font>
    <font>
      <u/>
      <sz val="11"/>
      <color indexed="12"/>
      <name val="Calibri"/>
      <family val="2"/>
      <scheme val="minor"/>
    </font>
    <font>
      <b/>
      <sz val="12"/>
      <color indexed="8"/>
      <name val="Calibri"/>
      <family val="2"/>
      <scheme val="minor"/>
    </font>
    <font>
      <b/>
      <sz val="10"/>
      <color theme="1"/>
      <name val="Calibri"/>
      <family val="2"/>
    </font>
    <font>
      <sz val="8"/>
      <name val="Courier New"/>
      <family val="3"/>
    </font>
    <font>
      <sz val="10"/>
      <color indexed="8"/>
      <name val="Calibri"/>
      <family val="2"/>
      <scheme val="minor"/>
    </font>
    <font>
      <sz val="10"/>
      <color theme="1"/>
      <name val="Calibri"/>
      <family val="2"/>
    </font>
    <font>
      <sz val="11"/>
      <color rgb="FFFFFFFF"/>
      <name val="Calibri"/>
      <family val="2"/>
      <scheme val="minor"/>
    </font>
    <font>
      <sz val="11"/>
      <color rgb="FF000000"/>
      <name val="Calibri"/>
      <family val="2"/>
      <scheme val="minor"/>
    </font>
    <font>
      <sz val="26"/>
      <name val="Calibri"/>
      <family val="2"/>
      <scheme val="minor"/>
    </font>
    <font>
      <b/>
      <sz val="10"/>
      <color indexed="10"/>
      <name val="Calibri"/>
      <family val="2"/>
      <scheme val="minor"/>
    </font>
    <font>
      <b/>
      <sz val="10"/>
      <color rgb="FFA20000"/>
      <name val="Calibri"/>
      <family val="2"/>
      <scheme val="minor"/>
    </font>
    <font>
      <sz val="11"/>
      <color indexed="10"/>
      <name val="Calibri"/>
      <family val="2"/>
      <scheme val="minor"/>
    </font>
    <font>
      <sz val="12"/>
      <color indexed="12"/>
      <name val="Calibri"/>
      <family val="2"/>
      <scheme val="minor"/>
    </font>
    <font>
      <b/>
      <sz val="11"/>
      <color indexed="12"/>
      <name val="Calibri"/>
      <family val="2"/>
      <scheme val="minor"/>
    </font>
    <font>
      <b/>
      <sz val="12"/>
      <color rgb="FFA20000"/>
      <name val="Calibri"/>
      <family val="2"/>
      <scheme val="minor"/>
    </font>
    <font>
      <b/>
      <sz val="10"/>
      <color rgb="FF0000FF"/>
      <name val="Calibri"/>
      <family val="2"/>
      <scheme val="minor"/>
    </font>
    <font>
      <sz val="11"/>
      <color rgb="FFA20000"/>
      <name val="Calibri"/>
      <family val="2"/>
      <scheme val="minor"/>
    </font>
    <font>
      <sz val="12"/>
      <color rgb="FF008000"/>
      <name val="Calibri"/>
      <family val="2"/>
      <scheme val="minor"/>
    </font>
    <font>
      <b/>
      <sz val="12"/>
      <color rgb="FF008000"/>
      <name val="Calibri"/>
      <family val="2"/>
      <scheme val="minor"/>
    </font>
    <font>
      <sz val="11"/>
      <color rgb="FF008000"/>
      <name val="Calibri"/>
      <family val="2"/>
      <scheme val="minor"/>
    </font>
    <font>
      <sz val="10"/>
      <color rgb="FFFF0000"/>
      <name val="Calibri"/>
      <family val="2"/>
      <scheme val="minor"/>
    </font>
    <font>
      <sz val="11"/>
      <color theme="7" tint="-0.249977111117893"/>
      <name val="Calibri"/>
      <family val="2"/>
      <scheme val="minor"/>
    </font>
    <font>
      <b/>
      <sz val="11"/>
      <color indexed="57"/>
      <name val="Arial"/>
      <family val="2"/>
    </font>
    <font>
      <b/>
      <sz val="12"/>
      <color theme="5"/>
      <name val="Arial"/>
      <family val="2"/>
    </font>
    <font>
      <b/>
      <sz val="14"/>
      <color theme="5"/>
      <name val="Calibri"/>
      <family val="2"/>
      <scheme val="minor"/>
    </font>
    <font>
      <b/>
      <sz val="12"/>
      <color theme="5"/>
      <name val="Calibri"/>
      <family val="2"/>
      <scheme val="minor"/>
    </font>
    <font>
      <b/>
      <sz val="12"/>
      <color theme="7" tint="-0.499984740745262"/>
      <name val="Calibri"/>
      <family val="2"/>
      <scheme val="minor"/>
    </font>
    <font>
      <b/>
      <sz val="18"/>
      <color theme="1"/>
      <name val="Arial"/>
      <family val="2"/>
    </font>
    <font>
      <b/>
      <sz val="14"/>
      <color rgb="FFC00000"/>
      <name val="Arial"/>
      <family val="2"/>
    </font>
    <font>
      <b/>
      <sz val="12"/>
      <color theme="7" tint="-0.499984740745262"/>
      <name val="Arial"/>
      <family val="2"/>
    </font>
    <font>
      <sz val="12"/>
      <color rgb="FFA20000"/>
      <name val="Calibri"/>
      <family val="2"/>
      <scheme val="minor"/>
    </font>
    <font>
      <sz val="12"/>
      <color rgb="FF800000"/>
      <name val="Calibri"/>
      <family val="2"/>
      <scheme val="minor"/>
    </font>
    <font>
      <b/>
      <sz val="12"/>
      <color rgb="FF800000"/>
      <name val="Calibri"/>
      <family val="2"/>
      <scheme val="minor"/>
    </font>
    <font>
      <sz val="10"/>
      <color rgb="FF800000"/>
      <name val="Calibri"/>
      <family val="2"/>
      <scheme val="minor"/>
    </font>
    <font>
      <sz val="20"/>
      <name val="Calibri"/>
      <family val="2"/>
      <scheme val="minor"/>
    </font>
    <font>
      <b/>
      <sz val="25"/>
      <name val="Calibri"/>
      <family val="2"/>
      <scheme val="minor"/>
    </font>
    <font>
      <b/>
      <sz val="2"/>
      <name val="Calibri"/>
      <family val="2"/>
      <scheme val="minor"/>
    </font>
    <font>
      <b/>
      <sz val="16"/>
      <color indexed="12"/>
      <name val="Calibri"/>
      <family val="2"/>
      <scheme val="minor"/>
    </font>
    <font>
      <b/>
      <i/>
      <sz val="14"/>
      <name val="Calibri"/>
      <family val="2"/>
      <scheme val="minor"/>
    </font>
    <font>
      <b/>
      <sz val="10"/>
      <color theme="9" tint="-0.499984740745262"/>
      <name val="Calibri"/>
      <family val="2"/>
      <scheme val="minor"/>
    </font>
    <font>
      <b/>
      <i/>
      <sz val="16"/>
      <name val="Calibri"/>
      <family val="2"/>
      <scheme val="minor"/>
    </font>
    <font>
      <sz val="24"/>
      <name val="Calibri"/>
      <family val="2"/>
      <scheme val="minor"/>
    </font>
    <font>
      <sz val="14"/>
      <color rgb="FFFF0000"/>
      <name val="Calibri"/>
      <family val="2"/>
      <scheme val="minor"/>
    </font>
    <font>
      <sz val="11"/>
      <color rgb="FFA20000"/>
      <name val="Calibri"/>
      <family val="2"/>
    </font>
    <font>
      <sz val="14"/>
      <color rgb="FFA20000"/>
      <name val="Rockwell"/>
      <family val="1"/>
    </font>
    <font>
      <sz val="12"/>
      <color rgb="FFA20000"/>
      <name val="Calibri"/>
      <family val="2"/>
    </font>
    <font>
      <b/>
      <i/>
      <sz val="12"/>
      <color rgb="FFA20000"/>
      <name val="Calibri"/>
      <family val="2"/>
    </font>
    <font>
      <i/>
      <sz val="12"/>
      <color rgb="FF000000"/>
      <name val="Arial"/>
      <family val="2"/>
    </font>
    <font>
      <b/>
      <sz val="12"/>
      <color rgb="FF000000"/>
      <name val="Arial"/>
      <family val="2"/>
    </font>
    <font>
      <sz val="12"/>
      <color rgb="FF000000"/>
      <name val="Arial"/>
      <family val="2"/>
    </font>
    <font>
      <b/>
      <sz val="11"/>
      <color rgb="FFA20000"/>
      <name val="Calibri"/>
      <family val="2"/>
      <scheme val="minor"/>
    </font>
    <font>
      <sz val="12"/>
      <color rgb="FF0000FF"/>
      <name val="Calibri"/>
      <family val="2"/>
    </font>
    <font>
      <b/>
      <sz val="11"/>
      <color rgb="FFA20000"/>
      <name val="Arial"/>
      <family val="2"/>
    </font>
    <font>
      <b/>
      <sz val="12"/>
      <color rgb="FFA20000"/>
      <name val="Arial"/>
      <family val="2"/>
    </font>
    <font>
      <sz val="14"/>
      <name val="Segoe Print"/>
    </font>
    <font>
      <b/>
      <sz val="14"/>
      <name val="Segoe Print"/>
    </font>
    <font>
      <sz val="18"/>
      <color rgb="FF0000FF"/>
      <name val="Calibri"/>
      <family val="2"/>
      <scheme val="minor"/>
    </font>
    <font>
      <sz val="11"/>
      <color theme="4" tint="0.39997558519241921"/>
      <name val="Calibri"/>
      <family val="2"/>
      <scheme val="minor"/>
    </font>
    <font>
      <sz val="11"/>
      <color rgb="FF0070C0"/>
      <name val="Calibri"/>
      <family val="2"/>
      <scheme val="minor"/>
    </font>
    <font>
      <sz val="11"/>
      <color theme="1"/>
      <name val="Segoe Print"/>
    </font>
    <font>
      <sz val="26"/>
      <color theme="7" tint="-0.249977111117893"/>
      <name val="Calibri"/>
      <family val="2"/>
      <scheme val="minor"/>
    </font>
    <font>
      <b/>
      <sz val="22"/>
      <color theme="9" tint="-0.249977111117893"/>
      <name val="Calibri"/>
      <family val="2"/>
      <scheme val="minor"/>
    </font>
    <font>
      <sz val="10"/>
      <color theme="9" tint="-0.499984740745262"/>
      <name val="Calibri"/>
      <family val="2"/>
      <scheme val="minor"/>
    </font>
    <font>
      <b/>
      <sz val="10"/>
      <color theme="5" tint="-0.249977111117893"/>
      <name val="Calibri"/>
      <family val="2"/>
      <scheme val="minor"/>
    </font>
    <font>
      <sz val="18"/>
      <color rgb="FF0070C0"/>
      <name val="Calibri"/>
      <family val="2"/>
      <scheme val="minor"/>
    </font>
    <font>
      <sz val="18"/>
      <color theme="1"/>
      <name val="Calibri"/>
      <family val="2"/>
      <scheme val="minor"/>
    </font>
    <font>
      <b/>
      <sz val="11"/>
      <color rgb="FF800000"/>
      <name val="Calibri"/>
      <family val="2"/>
      <scheme val="minor"/>
    </font>
    <font>
      <sz val="8"/>
      <color theme="0" tint="-0.499984740745262"/>
      <name val="Calibri"/>
      <family val="2"/>
      <scheme val="minor"/>
    </font>
    <font>
      <sz val="10"/>
      <color theme="1" tint="0.499984740745262"/>
      <name val="Calibri"/>
      <family val="2"/>
      <scheme val="minor"/>
    </font>
    <font>
      <sz val="10"/>
      <color theme="9" tint="-0.249977111117893"/>
      <name val="Calibri"/>
      <family val="2"/>
      <scheme val="minor"/>
    </font>
    <font>
      <sz val="10"/>
      <color theme="1" tint="0.34998626667073579"/>
      <name val="Calibri"/>
      <family val="2"/>
      <scheme val="minor"/>
    </font>
    <font>
      <sz val="11"/>
      <color theme="1" tint="0.34998626667073579"/>
      <name val="Calibri"/>
      <family val="2"/>
      <scheme val="minor"/>
    </font>
    <font>
      <sz val="11"/>
      <color theme="1" tint="0.499984740745262"/>
      <name val="Calibri"/>
      <family val="2"/>
      <scheme val="minor"/>
    </font>
    <font>
      <sz val="10"/>
      <color rgb="FF0000FF"/>
      <name val="Calibri"/>
      <family val="2"/>
      <scheme val="minor"/>
    </font>
    <font>
      <b/>
      <sz val="10"/>
      <color rgb="FFC00000"/>
      <name val="Calibri"/>
      <family val="2"/>
      <scheme val="minor"/>
    </font>
    <font>
      <sz val="12"/>
      <color theme="9" tint="-0.499984740745262"/>
      <name val="Calibri"/>
      <family val="2"/>
      <scheme val="minor"/>
    </font>
    <font>
      <b/>
      <sz val="12"/>
      <color theme="5" tint="-0.499984740745262"/>
      <name val="Calibri"/>
      <family val="2"/>
      <scheme val="minor"/>
    </font>
    <font>
      <sz val="10"/>
      <color rgb="FF808080"/>
      <name val="Calibri"/>
      <family val="2"/>
      <scheme val="minor"/>
    </font>
    <font>
      <sz val="11"/>
      <color rgb="FF800000"/>
      <name val="Calibri"/>
      <family val="2"/>
      <scheme val="minor"/>
    </font>
    <font>
      <sz val="8"/>
      <color rgb="FF808080"/>
      <name val="Calibri"/>
      <family val="2"/>
      <scheme val="minor"/>
    </font>
    <font>
      <sz val="10"/>
      <color rgb="FF7030A0"/>
      <name val="Calibri"/>
      <family val="2"/>
      <scheme val="minor"/>
    </font>
    <font>
      <b/>
      <sz val="12"/>
      <color rgb="FF7030A0"/>
      <name val="Calibri"/>
      <family val="2"/>
      <scheme val="minor"/>
    </font>
    <font>
      <b/>
      <sz val="10"/>
      <color rgb="FF0070C0"/>
      <name val="Calibri"/>
      <family val="2"/>
      <scheme val="minor"/>
    </font>
    <font>
      <b/>
      <i/>
      <sz val="18"/>
      <name val="Calibri"/>
      <family val="2"/>
      <scheme val="minor"/>
    </font>
    <font>
      <sz val="12"/>
      <color rgb="FF800000"/>
      <name val="Calibri"/>
      <family val="2"/>
    </font>
    <font>
      <b/>
      <sz val="16"/>
      <color theme="0"/>
      <name val="Calibri"/>
      <family val="2"/>
    </font>
    <font>
      <b/>
      <sz val="14"/>
      <color rgb="FF800000"/>
      <name val="Calibri"/>
      <family val="2"/>
    </font>
    <font>
      <b/>
      <sz val="8"/>
      <color theme="1" tint="0.499984740745262"/>
      <name val="Calibri"/>
      <family val="2"/>
      <scheme val="minor"/>
    </font>
    <font>
      <sz val="11"/>
      <color theme="0" tint="-0.34998626667073579"/>
      <name val="Calibri"/>
      <family val="2"/>
      <scheme val="minor"/>
    </font>
    <font>
      <sz val="14"/>
      <color theme="1"/>
      <name val="Arial Unicode MS"/>
    </font>
    <font>
      <i/>
      <sz val="14"/>
      <color theme="1"/>
      <name val="Calibri"/>
      <family val="2"/>
      <scheme val="minor"/>
    </font>
    <font>
      <b/>
      <sz val="14"/>
      <color theme="1"/>
      <name val="Arial Unicode MS"/>
    </font>
    <font>
      <b/>
      <i/>
      <sz val="14"/>
      <color theme="1"/>
      <name val="Calibri"/>
      <family val="2"/>
      <scheme val="minor"/>
    </font>
    <font>
      <sz val="12"/>
      <color theme="1"/>
      <name val="Arial Unicode MS"/>
    </font>
    <font>
      <sz val="14"/>
      <color rgb="FF0000FF"/>
      <name val="Arial Unicode MS"/>
    </font>
    <font>
      <sz val="9"/>
      <color rgb="FFFFFF00"/>
      <name val="Calibri"/>
      <family val="2"/>
      <scheme val="minor"/>
    </font>
    <font>
      <b/>
      <sz val="9"/>
      <color rgb="FFC00000"/>
      <name val="Calibri"/>
      <family val="2"/>
      <scheme val="minor"/>
    </font>
    <font>
      <sz val="8"/>
      <color theme="9" tint="0.39997558519241921"/>
      <name val="Calibri"/>
      <family val="2"/>
      <scheme val="minor"/>
    </font>
    <font>
      <sz val="8"/>
      <color theme="9" tint="0.79998168889431442"/>
      <name val="Calibri"/>
      <family val="2"/>
      <scheme val="minor"/>
    </font>
    <font>
      <b/>
      <sz val="26"/>
      <color rgb="FFFFFFFF"/>
      <name val="Calibri"/>
      <family val="2"/>
      <scheme val="minor"/>
    </font>
    <font>
      <sz val="8"/>
      <color theme="1" tint="0.249977111117893"/>
      <name val="Calibri"/>
      <family val="2"/>
      <scheme val="minor"/>
    </font>
    <font>
      <sz val="11"/>
      <color theme="1" tint="0.249977111117893"/>
      <name val="Calibri"/>
      <family val="2"/>
      <scheme val="minor"/>
    </font>
    <font>
      <sz val="8"/>
      <color theme="3"/>
      <name val="Calibri"/>
      <family val="2"/>
      <scheme val="minor"/>
    </font>
    <font>
      <b/>
      <sz val="9"/>
      <name val="Calibri"/>
      <family val="2"/>
      <scheme val="minor"/>
    </font>
    <font>
      <sz val="8"/>
      <color rgb="FF00B050"/>
      <name val="Calibri"/>
      <family val="2"/>
      <scheme val="minor"/>
    </font>
    <font>
      <sz val="9"/>
      <color theme="7" tint="-0.499984740745262"/>
      <name val="Calibri"/>
      <family val="2"/>
      <scheme val="minor"/>
    </font>
    <font>
      <sz val="10"/>
      <color theme="3"/>
      <name val="Calibri"/>
      <family val="2"/>
      <scheme val="minor"/>
    </font>
    <font>
      <b/>
      <sz val="11"/>
      <color theme="7" tint="-0.499984740745262"/>
      <name val="Calibri"/>
      <family val="2"/>
      <scheme val="minor"/>
    </font>
    <font>
      <sz val="9"/>
      <color theme="0" tint="-0.499984740745262"/>
      <name val="Calibri"/>
      <family val="2"/>
      <scheme val="minor"/>
    </font>
    <font>
      <sz val="8"/>
      <color theme="9" tint="-0.499984740745262"/>
      <name val="Calibri"/>
      <family val="2"/>
      <scheme val="minor"/>
    </font>
    <font>
      <sz val="8"/>
      <color theme="0" tint="-0.34998626667073579"/>
      <name val="Calibri"/>
      <family val="2"/>
      <scheme val="minor"/>
    </font>
    <font>
      <sz val="11"/>
      <color rgb="FF7030A0"/>
      <name val="Calibri"/>
      <family val="2"/>
      <scheme val="minor"/>
    </font>
    <font>
      <b/>
      <sz val="8"/>
      <color theme="0" tint="-0.249977111117893"/>
      <name val="Calibri"/>
      <family val="2"/>
      <scheme val="minor"/>
    </font>
    <font>
      <b/>
      <sz val="10"/>
      <color theme="0" tint="-0.249977111117893"/>
      <name val="Calibri"/>
      <family val="2"/>
      <scheme val="minor"/>
    </font>
    <font>
      <sz val="8"/>
      <color rgb="FFC00000"/>
      <name val="Calibri"/>
      <family val="2"/>
      <scheme val="minor"/>
    </font>
    <font>
      <sz val="9"/>
      <color theme="1" tint="0.34998626667073579"/>
      <name val="Calibri"/>
      <family val="2"/>
      <scheme val="minor"/>
    </font>
    <font>
      <b/>
      <sz val="10"/>
      <color theme="7" tint="-0.499984740745262"/>
      <name val="Calibri"/>
      <family val="2"/>
      <scheme val="minor"/>
    </font>
    <font>
      <sz val="12"/>
      <color theme="7" tint="-0.499984740745262"/>
      <name val="Calibri"/>
      <family val="2"/>
      <scheme val="minor"/>
    </font>
    <font>
      <sz val="11"/>
      <color rgb="FF0066FF"/>
      <name val="Calibri"/>
      <family val="2"/>
      <scheme val="minor"/>
    </font>
    <font>
      <b/>
      <sz val="10"/>
      <color rgb="FF0066FF"/>
      <name val="Calibri"/>
      <family val="2"/>
      <scheme val="minor"/>
    </font>
    <font>
      <i/>
      <sz val="11"/>
      <color theme="9" tint="-0.249977111117893"/>
      <name val="Calibri"/>
      <family val="2"/>
      <scheme val="minor"/>
    </font>
    <font>
      <b/>
      <sz val="14"/>
      <color indexed="14"/>
      <name val="Calibri"/>
      <family val="2"/>
      <scheme val="minor"/>
    </font>
    <font>
      <sz val="12"/>
      <color rgb="FF00BC55"/>
      <name val="Calibri"/>
      <family val="2"/>
      <scheme val="minor"/>
    </font>
    <font>
      <i/>
      <sz val="11"/>
      <color rgb="FF0000FF"/>
      <name val="Calibri"/>
      <family val="2"/>
      <scheme val="minor"/>
    </font>
    <font>
      <sz val="10"/>
      <color rgb="FF0033CC"/>
      <name val="Calibri"/>
      <family val="2"/>
      <scheme val="minor"/>
    </font>
    <font>
      <sz val="10"/>
      <color indexed="12"/>
      <name val="Calibri"/>
      <family val="2"/>
      <scheme val="minor"/>
    </font>
    <font>
      <sz val="11"/>
      <color theme="8" tint="-0.499984740745262"/>
      <name val="Calibri"/>
      <family val="2"/>
      <scheme val="minor"/>
    </font>
    <font>
      <sz val="9"/>
      <color rgb="FF0000FF"/>
      <name val="Calibri"/>
      <family val="2"/>
      <scheme val="minor"/>
    </font>
    <font>
      <b/>
      <i/>
      <sz val="11"/>
      <color theme="5" tint="-0.249977111117893"/>
      <name val="Calibri"/>
      <family val="2"/>
      <scheme val="minor"/>
    </font>
    <font>
      <b/>
      <sz val="11"/>
      <color indexed="10"/>
      <name val="Calibri"/>
      <family val="2"/>
      <scheme val="minor"/>
    </font>
    <font>
      <b/>
      <sz val="12"/>
      <color rgb="FF0033CC"/>
      <name val="Arial Unicode MS"/>
    </font>
    <font>
      <b/>
      <sz val="14"/>
      <color theme="4"/>
      <name val="Calibri"/>
      <family val="2"/>
      <scheme val="minor"/>
    </font>
    <font>
      <b/>
      <sz val="14"/>
      <color theme="9" tint="-0.499984740745262"/>
      <name val="Calibri"/>
      <family val="2"/>
      <scheme val="minor"/>
    </font>
    <font>
      <i/>
      <sz val="14"/>
      <color rgb="FF0033CC"/>
      <name val="Calibri"/>
      <family val="2"/>
      <scheme val="minor"/>
    </font>
    <font>
      <b/>
      <sz val="11"/>
      <color rgb="FF548235"/>
      <name val="Calibri"/>
      <family val="2"/>
      <scheme val="minor"/>
    </font>
    <font>
      <sz val="11"/>
      <color theme="7" tint="-0.499984740745262"/>
      <name val="Calibri"/>
      <family val="2"/>
      <scheme val="minor"/>
    </font>
    <font>
      <b/>
      <sz val="12"/>
      <color rgb="FF548235"/>
      <name val="Calibri"/>
      <family val="2"/>
      <scheme val="minor"/>
    </font>
    <font>
      <sz val="12"/>
      <color rgb="FF0070C0"/>
      <name val="Calibri"/>
      <family val="2"/>
      <scheme val="minor"/>
    </font>
    <font>
      <sz val="9"/>
      <color theme="3"/>
      <name val="Calibri"/>
      <family val="2"/>
      <scheme val="minor"/>
    </font>
    <font>
      <b/>
      <sz val="10"/>
      <color theme="1" tint="0.34998626667073579"/>
      <name val="Calibri"/>
      <family val="2"/>
      <scheme val="minor"/>
    </font>
    <font>
      <b/>
      <sz val="10"/>
      <color theme="1" tint="0.499984740745262"/>
      <name val="Calibri"/>
      <family val="2"/>
      <scheme val="minor"/>
    </font>
    <font>
      <sz val="8"/>
      <color theme="1" tint="0.499984740745262"/>
      <name val="Calibri"/>
      <family val="2"/>
      <scheme val="minor"/>
    </font>
    <font>
      <sz val="11"/>
      <color theme="0" tint="-0.249977111117893"/>
      <name val="Calibri"/>
      <family val="2"/>
      <scheme val="minor"/>
    </font>
    <font>
      <i/>
      <sz val="10"/>
      <name val="Calibri"/>
      <family val="2"/>
      <scheme val="minor"/>
    </font>
    <font>
      <b/>
      <sz val="24"/>
      <color theme="1"/>
      <name val="Calibri"/>
      <family val="2"/>
      <scheme val="minor"/>
    </font>
    <font>
      <b/>
      <sz val="11"/>
      <color theme="0"/>
      <name val="Calibri"/>
      <family val="2"/>
      <charset val="1"/>
    </font>
    <font>
      <b/>
      <sz val="14"/>
      <color theme="0"/>
      <name val="Calibri"/>
      <family val="2"/>
      <charset val="1"/>
    </font>
    <font>
      <b/>
      <sz val="22"/>
      <color theme="0"/>
      <name val="Calibri"/>
      <family val="2"/>
      <charset val="1"/>
    </font>
    <font>
      <b/>
      <sz val="14"/>
      <color rgb="FFFFFFFF"/>
      <name val="Calibri"/>
      <family val="2"/>
    </font>
    <font>
      <b/>
      <sz val="16"/>
      <color theme="1"/>
      <name val="Calibri"/>
      <family val="2"/>
    </font>
    <font>
      <b/>
      <sz val="11"/>
      <name val="Calibri"/>
      <family val="2"/>
      <charset val="1"/>
    </font>
    <font>
      <b/>
      <sz val="14"/>
      <name val="Calibri"/>
      <family val="2"/>
      <charset val="1"/>
    </font>
    <font>
      <b/>
      <sz val="14"/>
      <color rgb="FF1F1F1F"/>
      <name val="Calibri"/>
      <family val="2"/>
      <charset val="1"/>
    </font>
    <font>
      <sz val="11"/>
      <color theme="0"/>
      <name val="Calibri"/>
      <family val="2"/>
    </font>
    <font>
      <b/>
      <sz val="10"/>
      <name val="Calibri"/>
      <family val="2"/>
      <charset val="1"/>
    </font>
    <font>
      <b/>
      <sz val="16"/>
      <color theme="0"/>
      <name val="Calibri"/>
      <family val="2"/>
      <charset val="1"/>
    </font>
    <font>
      <b/>
      <sz val="11"/>
      <color rgb="FF1F1F1F"/>
      <name val="Calibri"/>
      <family val="2"/>
      <charset val="1"/>
    </font>
    <font>
      <b/>
      <sz val="11"/>
      <color theme="1"/>
      <name val="Calibri"/>
      <family val="2"/>
      <charset val="1"/>
    </font>
    <font>
      <b/>
      <sz val="12"/>
      <color theme="1"/>
      <name val="Calibri"/>
      <family val="2"/>
      <charset val="1"/>
    </font>
    <font>
      <b/>
      <sz val="12"/>
      <color rgb="FF1F4E79"/>
      <name val="Calibri"/>
      <family val="2"/>
      <charset val="1"/>
    </font>
    <font>
      <b/>
      <sz val="12"/>
      <color rgb="FF0033CC"/>
      <name val="Calibri"/>
      <family val="2"/>
      <charset val="1"/>
    </font>
    <font>
      <sz val="12"/>
      <color theme="1"/>
      <name val="Calibri"/>
      <family val="2"/>
    </font>
    <font>
      <b/>
      <sz val="12"/>
      <color rgb="FF0000FF"/>
      <name val="Calibri"/>
      <family val="2"/>
      <charset val="1"/>
    </font>
    <font>
      <b/>
      <sz val="12"/>
      <color rgb="FFC00000"/>
      <name val="Calibri"/>
      <family val="2"/>
      <charset val="1"/>
    </font>
    <font>
      <i/>
      <sz val="9"/>
      <color theme="1"/>
      <name val="Calibri"/>
      <family val="2"/>
      <scheme val="minor"/>
    </font>
    <font>
      <b/>
      <sz val="12"/>
      <color rgb="FF1F1F1F"/>
      <name val="Calibri"/>
      <family val="2"/>
      <charset val="1"/>
    </font>
    <font>
      <sz val="12"/>
      <color theme="1"/>
      <name val="Calibri"/>
      <family val="2"/>
      <charset val="1"/>
    </font>
    <font>
      <b/>
      <sz val="12"/>
      <color theme="1" tint="0.3498947111423078"/>
      <name val="Calibri"/>
      <family val="2"/>
      <charset val="1"/>
    </font>
    <font>
      <sz val="11"/>
      <color theme="0"/>
      <name val="Calibri"/>
      <family val="2"/>
      <charset val="1"/>
    </font>
    <font>
      <b/>
      <sz val="12"/>
      <color theme="0"/>
      <name val="Calibri"/>
      <family val="2"/>
      <charset val="1"/>
    </font>
    <font>
      <b/>
      <sz val="10"/>
      <color rgb="FF1F1F1F"/>
      <name val="Calibri"/>
      <family val="2"/>
      <charset val="1"/>
    </font>
    <font>
      <b/>
      <sz val="11"/>
      <color rgb="FFFFFFFF"/>
      <name val="Calibri"/>
      <family val="2"/>
      <charset val="1"/>
    </font>
    <font>
      <b/>
      <sz val="16"/>
      <color theme="1" tint="0.3498947111423078"/>
      <name val="Calibri"/>
      <family val="2"/>
      <charset val="1"/>
    </font>
    <font>
      <b/>
      <i/>
      <sz val="14"/>
      <color rgb="FF4B5563"/>
      <name val="Calibri"/>
      <family val="2"/>
    </font>
    <font>
      <b/>
      <sz val="11"/>
      <color rgb="FFFFFFFF"/>
      <name val="Calibri"/>
      <family val="2"/>
    </font>
    <font>
      <i/>
      <sz val="12"/>
      <name val="Calibri"/>
      <family val="2"/>
    </font>
    <font>
      <sz val="11"/>
      <color rgb="FF9C0006"/>
      <name val="Calibri"/>
      <family val="2"/>
    </font>
    <font>
      <sz val="11"/>
      <color rgb="FFFFFFFF"/>
      <name val="Calibri"/>
      <family val="2"/>
    </font>
    <font>
      <b/>
      <sz val="14"/>
      <color theme="0" tint="-4.9989318521683403E-2"/>
      <name val="Calibri"/>
      <family val="2"/>
      <charset val="1"/>
    </font>
    <font>
      <b/>
      <sz val="16"/>
      <color rgb="FFFFFFFF"/>
      <name val="Calibri"/>
      <family val="2"/>
    </font>
    <font>
      <b/>
      <i/>
      <sz val="14"/>
      <color theme="0"/>
      <name val="Calibri"/>
      <family val="2"/>
    </font>
  </fonts>
  <fills count="2090">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indexed="9"/>
        <bgColor indexed="64"/>
      </patternFill>
    </fill>
    <fill>
      <patternFill patternType="solid">
        <fgColor indexed="42"/>
        <bgColor indexed="64"/>
      </patternFill>
    </fill>
    <fill>
      <patternFill patternType="solid">
        <fgColor rgb="FFCCFFCC"/>
        <bgColor indexed="64"/>
      </patternFill>
    </fill>
    <fill>
      <patternFill patternType="solid">
        <fgColor rgb="FFFFFF99"/>
        <bgColor indexed="64"/>
      </patternFill>
    </fill>
    <fill>
      <patternFill patternType="solid">
        <fgColor theme="0" tint="-0.14999847407452621"/>
        <bgColor indexed="64"/>
      </patternFill>
    </fill>
    <fill>
      <patternFill patternType="solid">
        <fgColor rgb="FF7030A0"/>
        <bgColor indexed="64"/>
      </patternFill>
    </fill>
    <fill>
      <patternFill patternType="solid">
        <fgColor theme="0"/>
        <bgColor indexed="9"/>
      </patternFill>
    </fill>
    <fill>
      <patternFill patternType="solid">
        <fgColor indexed="26"/>
        <bgColor indexed="64"/>
      </patternFill>
    </fill>
    <fill>
      <patternFill patternType="solid">
        <fgColor indexed="36"/>
        <bgColor indexed="50"/>
      </patternFill>
    </fill>
    <fill>
      <patternFill patternType="solid">
        <fgColor rgb="FFFF0000"/>
        <bgColor indexed="64"/>
      </patternFill>
    </fill>
    <fill>
      <patternFill patternType="solid">
        <fgColor theme="4"/>
        <bgColor indexed="64"/>
      </patternFill>
    </fill>
    <fill>
      <patternFill patternType="solid">
        <fgColor theme="9" tint="0.59999389629810485"/>
        <bgColor indexed="64"/>
      </patternFill>
    </fill>
    <fill>
      <patternFill patternType="solid">
        <fgColor rgb="FFFF6600"/>
        <bgColor indexed="64"/>
      </patternFill>
    </fill>
    <fill>
      <patternFill patternType="solid">
        <fgColor theme="7" tint="0.59999389629810485"/>
        <bgColor indexed="64"/>
      </patternFill>
    </fill>
    <fill>
      <patternFill patternType="solid">
        <fgColor rgb="FFFFFF00"/>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indexed="43"/>
        <bgColor indexed="64"/>
      </patternFill>
    </fill>
    <fill>
      <patternFill patternType="solid">
        <fgColor indexed="53"/>
        <bgColor indexed="64"/>
      </patternFill>
    </fill>
    <fill>
      <patternFill patternType="solid">
        <fgColor theme="9" tint="-0.249977111117893"/>
        <bgColor indexed="64"/>
      </patternFill>
    </fill>
    <fill>
      <patternFill patternType="solid">
        <fgColor theme="0" tint="-0.14996795556505021"/>
        <bgColor indexed="64"/>
      </patternFill>
    </fill>
    <fill>
      <patternFill patternType="solid">
        <fgColor indexed="65"/>
        <bgColor indexed="64"/>
      </patternFill>
    </fill>
    <fill>
      <patternFill patternType="solid">
        <fgColor theme="5" tint="-0.249977111117893"/>
        <bgColor indexed="64"/>
      </patternFill>
    </fill>
    <fill>
      <patternFill patternType="solid">
        <fgColor theme="0" tint="-0.249977111117893"/>
        <bgColor indexed="64"/>
      </patternFill>
    </fill>
    <fill>
      <patternFill patternType="solid">
        <fgColor indexed="22"/>
        <bgColor indexed="64"/>
      </patternFill>
    </fill>
    <fill>
      <patternFill patternType="solid">
        <fgColor indexed="50"/>
        <bgColor indexed="64"/>
      </patternFill>
    </fill>
    <fill>
      <patternFill patternType="lightUp">
        <fgColor indexed="9"/>
        <bgColor rgb="FF92D050"/>
      </patternFill>
    </fill>
    <fill>
      <patternFill patternType="lightUp">
        <fgColor indexed="9"/>
        <bgColor indexed="50"/>
      </patternFill>
    </fill>
    <fill>
      <patternFill patternType="solid">
        <fgColor rgb="FFCC99FF"/>
        <bgColor indexed="64"/>
      </patternFill>
    </fill>
    <fill>
      <patternFill patternType="solid">
        <fgColor indexed="12"/>
        <bgColor indexed="64"/>
      </patternFill>
    </fill>
    <fill>
      <patternFill patternType="solid">
        <fgColor indexed="46"/>
        <bgColor indexed="64"/>
      </patternFill>
    </fill>
    <fill>
      <patternFill patternType="solid">
        <fgColor indexed="11"/>
        <bgColor indexed="64"/>
      </patternFill>
    </fill>
    <fill>
      <patternFill patternType="solid">
        <fgColor indexed="26"/>
        <bgColor indexed="9"/>
      </patternFill>
    </fill>
    <fill>
      <patternFill patternType="solid">
        <fgColor rgb="FFCC00FF"/>
        <bgColor indexed="64"/>
      </patternFill>
    </fill>
    <fill>
      <patternFill patternType="solid">
        <fgColor theme="5"/>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0000FF"/>
        <bgColor indexed="64"/>
      </patternFill>
    </fill>
    <fill>
      <patternFill patternType="solid">
        <fgColor rgb="FFD9E1F2"/>
        <bgColor indexed="64"/>
      </patternFill>
    </fill>
    <fill>
      <patternFill patternType="solid">
        <fgColor indexed="8"/>
        <bgColor indexed="64"/>
      </patternFill>
    </fill>
    <fill>
      <patternFill patternType="solid">
        <fgColor indexed="13"/>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1"/>
        <bgColor indexed="64"/>
      </patternFill>
    </fill>
    <fill>
      <patternFill patternType="solid">
        <fgColor rgb="FF800080"/>
        <bgColor indexed="64"/>
      </patternFill>
    </fill>
    <fill>
      <patternFill patternType="gray0625"/>
    </fill>
    <fill>
      <patternFill patternType="solid">
        <fgColor theme="0" tint="-0.14999847407452621"/>
        <bgColor theme="0"/>
      </patternFill>
    </fill>
    <fill>
      <patternFill patternType="solid">
        <fgColor theme="0" tint="-0.14993743705557422"/>
        <bgColor indexed="64"/>
      </patternFill>
    </fill>
    <fill>
      <patternFill patternType="solid">
        <fgColor indexed="31"/>
        <bgColor indexed="64"/>
      </patternFill>
    </fill>
    <fill>
      <patternFill patternType="solid">
        <fgColor indexed="23"/>
        <bgColor indexed="64"/>
      </patternFill>
    </fill>
    <fill>
      <patternFill patternType="solid">
        <fgColor rgb="FFFFFFCC"/>
        <bgColor indexed="9"/>
      </patternFill>
    </fill>
    <fill>
      <patternFill patternType="solid">
        <fgColor rgb="FFFFFF66"/>
        <bgColor indexed="64"/>
      </patternFill>
    </fill>
    <fill>
      <patternFill patternType="solid">
        <fgColor rgb="FFFFFFFF"/>
        <bgColor indexed="64"/>
      </patternFill>
    </fill>
    <fill>
      <patternFill patternType="solid">
        <fgColor theme="0" tint="-0.249977111117893"/>
        <bgColor indexed="34"/>
      </patternFill>
    </fill>
    <fill>
      <patternFill patternType="solid">
        <fgColor theme="0"/>
        <bgColor indexed="34"/>
      </patternFill>
    </fill>
    <fill>
      <patternFill patternType="solid">
        <fgColor theme="0" tint="-0.34998626667073579"/>
        <bgColor indexed="34"/>
      </patternFill>
    </fill>
    <fill>
      <patternFill patternType="solid">
        <fgColor indexed="9"/>
        <bgColor indexed="9"/>
      </patternFill>
    </fill>
    <fill>
      <patternFill patternType="solid">
        <fgColor theme="9" tint="0.79998168889431442"/>
        <bgColor theme="9" tint="0.79998168889431442"/>
      </patternFill>
    </fill>
    <fill>
      <patternFill patternType="solid">
        <fgColor theme="5" tint="0.39997558519241921"/>
        <bgColor indexed="64"/>
      </patternFill>
    </fill>
    <fill>
      <patternFill patternType="solid">
        <fgColor theme="0" tint="-0.499984740745262"/>
        <bgColor indexed="64"/>
      </patternFill>
    </fill>
    <fill>
      <patternFill patternType="solid">
        <fgColor rgb="FFCCCCFF"/>
        <bgColor indexed="64"/>
      </patternFill>
    </fill>
    <fill>
      <patternFill patternType="solid">
        <fgColor indexed="63"/>
        <bgColor indexed="64"/>
      </patternFill>
    </fill>
    <fill>
      <patternFill patternType="gray0625">
        <fgColor theme="9" tint="0.79998168889431442"/>
        <bgColor theme="9" tint="0.79995117038483843"/>
      </patternFill>
    </fill>
    <fill>
      <patternFill patternType="lightUp">
        <fgColor indexed="9"/>
        <bgColor theme="2"/>
      </patternFill>
    </fill>
    <fill>
      <patternFill patternType="lightUp">
        <fgColor indexed="9"/>
        <bgColor theme="9" tint="0.59996337778862885"/>
      </patternFill>
    </fill>
    <fill>
      <patternFill patternType="solid">
        <fgColor theme="7" tint="0.79998168889431442"/>
        <bgColor indexed="64"/>
      </patternFill>
    </fill>
    <fill>
      <patternFill patternType="solid">
        <fgColor indexed="51"/>
        <bgColor indexed="64"/>
      </patternFill>
    </fill>
    <fill>
      <patternFill patternType="solid">
        <fgColor rgb="FFFF99CC"/>
        <bgColor indexed="64"/>
      </patternFill>
    </fill>
    <fill>
      <patternFill patternType="solid">
        <fgColor indexed="10"/>
        <bgColor indexed="64"/>
      </patternFill>
    </fill>
    <fill>
      <patternFill patternType="solid">
        <fgColor indexed="14"/>
        <bgColor indexed="64"/>
      </patternFill>
    </fill>
    <fill>
      <patternFill patternType="solid">
        <fgColor indexed="15"/>
        <bgColor indexed="64"/>
      </patternFill>
    </fill>
    <fill>
      <patternFill patternType="solid">
        <fgColor indexed="16"/>
        <bgColor indexed="64"/>
      </patternFill>
    </fill>
    <fill>
      <patternFill patternType="solid">
        <fgColor indexed="17"/>
        <bgColor indexed="64"/>
      </patternFill>
    </fill>
    <fill>
      <patternFill patternType="solid">
        <fgColor indexed="18"/>
        <bgColor indexed="64"/>
      </patternFill>
    </fill>
    <fill>
      <patternFill patternType="solid">
        <fgColor indexed="19"/>
        <bgColor indexed="64"/>
      </patternFill>
    </fill>
    <fill>
      <patternFill patternType="solid">
        <fgColor indexed="20"/>
        <bgColor indexed="64"/>
      </patternFill>
    </fill>
    <fill>
      <patternFill patternType="solid">
        <fgColor indexed="21"/>
        <bgColor indexed="64"/>
      </patternFill>
    </fill>
    <fill>
      <patternFill patternType="solid">
        <fgColor rgb="FF339966"/>
        <bgColor indexed="64"/>
      </patternFill>
    </fill>
    <fill>
      <patternFill patternType="solid">
        <fgColor indexed="24"/>
        <bgColor indexed="64"/>
      </patternFill>
    </fill>
    <fill>
      <patternFill patternType="solid">
        <fgColor indexed="25"/>
        <bgColor indexed="64"/>
      </patternFill>
    </fill>
    <fill>
      <patternFill patternType="solid">
        <fgColor indexed="27"/>
        <bgColor indexed="64"/>
      </patternFill>
    </fill>
    <fill>
      <patternFill patternType="solid">
        <fgColor indexed="28"/>
        <bgColor indexed="64"/>
      </patternFill>
    </fill>
    <fill>
      <patternFill patternType="solid">
        <fgColor indexed="29"/>
        <bgColor indexed="64"/>
      </patternFill>
    </fill>
    <fill>
      <patternFill patternType="solid">
        <fgColor indexed="30"/>
        <bgColor indexed="64"/>
      </patternFill>
    </fill>
    <fill>
      <patternFill patternType="solid">
        <fgColor rgb="FF00CCFF"/>
        <bgColor indexed="64"/>
      </patternFill>
    </fill>
    <fill>
      <patternFill patternType="solid">
        <fgColor indexed="32"/>
        <bgColor indexed="64"/>
      </patternFill>
    </fill>
    <fill>
      <patternFill patternType="solid">
        <fgColor indexed="33"/>
        <bgColor indexed="64"/>
      </patternFill>
    </fill>
    <fill>
      <patternFill patternType="solid">
        <fgColor indexed="34"/>
        <bgColor indexed="64"/>
      </patternFill>
    </fill>
    <fill>
      <patternFill patternType="solid">
        <fgColor indexed="35"/>
        <bgColor indexed="64"/>
      </patternFill>
    </fill>
    <fill>
      <patternFill patternType="solid">
        <fgColor indexed="36"/>
        <bgColor indexed="64"/>
      </patternFill>
    </fill>
    <fill>
      <patternFill patternType="solid">
        <fgColor indexed="37"/>
        <bgColor indexed="64"/>
      </patternFill>
    </fill>
    <fill>
      <patternFill patternType="solid">
        <fgColor indexed="38"/>
        <bgColor indexed="64"/>
      </patternFill>
    </fill>
    <fill>
      <patternFill patternType="solid">
        <fgColor indexed="39"/>
        <bgColor indexed="64"/>
      </patternFill>
    </fill>
    <fill>
      <patternFill patternType="solid">
        <fgColor rgb="FFFFCC00"/>
        <bgColor indexed="64"/>
      </patternFill>
    </fill>
    <fill>
      <patternFill patternType="solid">
        <fgColor indexed="40"/>
        <bgColor indexed="64"/>
      </patternFill>
    </fill>
    <fill>
      <patternFill patternType="solid">
        <fgColor indexed="41"/>
        <bgColor indexed="64"/>
      </patternFill>
    </fill>
    <fill>
      <patternFill patternType="solid">
        <fgColor indexed="44"/>
        <bgColor indexed="64"/>
      </patternFill>
    </fill>
    <fill>
      <patternFill patternType="solid">
        <fgColor indexed="45"/>
        <bgColor indexed="64"/>
      </patternFill>
    </fill>
    <fill>
      <patternFill patternType="solid">
        <fgColor indexed="47"/>
        <bgColor indexed="64"/>
      </patternFill>
    </fill>
    <fill>
      <patternFill patternType="solid">
        <fgColor indexed="48"/>
        <bgColor indexed="64"/>
      </patternFill>
    </fill>
    <fill>
      <patternFill patternType="solid">
        <fgColor indexed="49"/>
        <bgColor indexed="64"/>
      </patternFill>
    </fill>
    <fill>
      <patternFill patternType="solid">
        <fgColor indexed="52"/>
        <bgColor indexed="64"/>
      </patternFill>
    </fill>
    <fill>
      <patternFill patternType="solid">
        <fgColor indexed="54"/>
        <bgColor indexed="64"/>
      </patternFill>
    </fill>
    <fill>
      <patternFill patternType="solid">
        <fgColor indexed="55"/>
        <bgColor indexed="64"/>
      </patternFill>
    </fill>
    <fill>
      <patternFill patternType="solid">
        <fgColor indexed="56"/>
        <bgColor indexed="64"/>
      </patternFill>
    </fill>
    <fill>
      <patternFill patternType="solid">
        <fgColor indexed="57"/>
        <bgColor indexed="64"/>
      </patternFill>
    </fill>
    <fill>
      <patternFill patternType="solid">
        <fgColor indexed="58"/>
        <bgColor indexed="64"/>
      </patternFill>
    </fill>
    <fill>
      <patternFill patternType="solid">
        <fgColor indexed="59"/>
        <bgColor indexed="64"/>
      </patternFill>
    </fill>
    <fill>
      <patternFill patternType="solid">
        <fgColor indexed="60"/>
        <bgColor indexed="64"/>
      </patternFill>
    </fill>
    <fill>
      <patternFill patternType="solid">
        <fgColor indexed="61"/>
        <bgColor indexed="64"/>
      </patternFill>
    </fill>
    <fill>
      <patternFill patternType="solid">
        <fgColor indexed="62"/>
        <bgColor indexed="64"/>
      </patternFill>
    </fill>
    <fill>
      <patternFill patternType="solid">
        <fgColor rgb="FF00FF00"/>
        <bgColor indexed="64"/>
      </patternFill>
    </fill>
    <fill>
      <patternFill patternType="solid">
        <fgColor rgb="FFFFCC99"/>
        <bgColor indexed="64"/>
      </patternFill>
    </fill>
    <fill>
      <patternFill patternType="solid">
        <fgColor rgb="FFFF00FF"/>
        <bgColor indexed="64"/>
      </patternFill>
    </fill>
    <fill>
      <patternFill patternType="solid">
        <fgColor rgb="FF008000"/>
        <bgColor indexed="64"/>
      </patternFill>
    </fill>
    <fill>
      <patternFill patternType="solid">
        <fgColor rgb="FF99CC00"/>
        <bgColor indexed="64"/>
      </patternFill>
    </fill>
    <fill>
      <patternFill patternType="solid">
        <fgColor rgb="FF99CCFF"/>
        <bgColor indexed="64"/>
      </patternFill>
    </fill>
    <fill>
      <patternFill patternType="solid">
        <fgColor rgb="FF0066CC"/>
        <bgColor indexed="64"/>
      </patternFill>
    </fill>
    <fill>
      <patternFill patternType="solid">
        <fgColor theme="1" tint="0.34998626667073579"/>
        <bgColor indexed="9"/>
      </patternFill>
    </fill>
    <fill>
      <patternFill patternType="gray0625">
        <fgColor theme="9" tint="0.79998168889431442"/>
        <bgColor theme="1" tint="0.34998626667073579"/>
      </patternFill>
    </fill>
    <fill>
      <patternFill patternType="gray0625">
        <fgColor theme="9" tint="0.79998168889431442"/>
        <bgColor rgb="FFEAFFD5"/>
      </patternFill>
    </fill>
    <fill>
      <patternFill patternType="solid">
        <fgColor rgb="FFFDF1E7"/>
        <bgColor indexed="9"/>
      </patternFill>
    </fill>
    <fill>
      <patternFill patternType="solid">
        <fgColor theme="9" tint="0.79998168889431442"/>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rgb="FFFFC000"/>
        <bgColor indexed="64"/>
      </patternFill>
    </fill>
    <fill>
      <patternFill patternType="gray0625">
        <bgColor theme="0"/>
      </patternFill>
    </fill>
    <fill>
      <patternFill patternType="solid">
        <fgColor rgb="FF5B9BD5"/>
        <bgColor indexed="64"/>
      </patternFill>
    </fill>
    <fill>
      <patternFill patternType="solid">
        <fgColor rgb="FF66CCFF"/>
        <bgColor indexed="64"/>
      </patternFill>
    </fill>
    <fill>
      <patternFill patternType="solid">
        <fgColor rgb="FFF2F2F2"/>
        <bgColor indexed="64"/>
      </patternFill>
    </fill>
    <fill>
      <patternFill patternType="solid">
        <fgColor rgb="FF4472C4"/>
        <bgColor indexed="64"/>
      </patternFill>
    </fill>
    <fill>
      <patternFill patternType="solid">
        <fgColor rgb="FFA9D08E"/>
        <bgColor indexed="64"/>
      </patternFill>
    </fill>
    <fill>
      <patternFill patternType="solid">
        <fgColor rgb="FFED7D31"/>
        <bgColor indexed="64"/>
      </patternFill>
    </fill>
    <fill>
      <patternFill patternType="solid">
        <fgColor theme="0" tint="-0.34998626667073579"/>
        <bgColor indexed="64"/>
      </patternFill>
    </fill>
    <fill>
      <patternFill patternType="solid">
        <fgColor theme="2" tint="-0.749992370372631"/>
        <bgColor indexed="64"/>
      </patternFill>
    </fill>
    <fill>
      <patternFill patternType="solid">
        <fgColor theme="1" tint="0.14999847407452621"/>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rgb="FF00B050"/>
        <bgColor indexed="64"/>
      </patternFill>
    </fill>
    <fill>
      <patternFill patternType="solid">
        <fgColor rgb="FFFFFF9F"/>
        <bgColor indexed="64"/>
      </patternFill>
    </fill>
    <fill>
      <patternFill patternType="solid">
        <fgColor rgb="FFFFF2CC"/>
        <bgColor indexed="64"/>
      </patternFill>
    </fill>
    <fill>
      <patternFill patternType="solid">
        <fgColor rgb="FFFFF8E5"/>
        <bgColor indexed="64"/>
      </patternFill>
    </fill>
    <fill>
      <patternFill patternType="solid">
        <fgColor rgb="FF548235"/>
        <bgColor indexed="64"/>
      </patternFill>
    </fill>
    <fill>
      <patternFill patternType="gray0625">
        <fgColor theme="9" tint="0.79998168889431442"/>
        <bgColor rgb="FFFFFFCC"/>
      </patternFill>
    </fill>
    <fill>
      <patternFill patternType="solid">
        <fgColor rgb="FFFFFFD9"/>
        <bgColor indexed="9"/>
      </patternFill>
    </fill>
    <fill>
      <patternFill patternType="gray0625">
        <fgColor theme="9" tint="0.79998168889431442"/>
        <bgColor theme="0"/>
      </patternFill>
    </fill>
    <fill>
      <patternFill patternType="solid">
        <fgColor theme="5" tint="0.59999389629810485"/>
        <bgColor indexed="64"/>
      </patternFill>
    </fill>
    <fill>
      <patternFill patternType="solid">
        <fgColor rgb="FF0066FF"/>
        <bgColor indexed="64"/>
      </patternFill>
    </fill>
    <fill>
      <patternFill patternType="solid">
        <fgColor rgb="FF808080"/>
        <bgColor indexed="64"/>
      </patternFill>
    </fill>
    <fill>
      <patternFill patternType="solid">
        <fgColor rgb="FFDEFFBD"/>
        <bgColor indexed="64"/>
      </patternFill>
    </fill>
    <fill>
      <patternFill patternType="solid">
        <fgColor rgb="FF800000"/>
        <bgColor indexed="64"/>
      </patternFill>
    </fill>
    <fill>
      <patternFill patternType="solid">
        <fgColor rgb="FF000000"/>
        <bgColor indexed="64"/>
      </patternFill>
    </fill>
    <fill>
      <patternFill patternType="solid">
        <fgColor rgb="FF00BFFF"/>
        <bgColor indexed="64"/>
      </patternFill>
    </fill>
    <fill>
      <patternFill patternType="solid">
        <fgColor rgb="FF4A4A4A"/>
        <bgColor indexed="64"/>
      </patternFill>
    </fill>
    <fill>
      <patternFill patternType="solid">
        <fgColor rgb="FFEED5B7"/>
        <bgColor indexed="64"/>
      </patternFill>
    </fill>
    <fill>
      <patternFill patternType="solid">
        <fgColor rgb="FFAABBCC"/>
        <bgColor indexed="64"/>
      </patternFill>
    </fill>
    <fill>
      <patternFill patternType="solid">
        <fgColor rgb="FF474747"/>
        <bgColor indexed="64"/>
      </patternFill>
    </fill>
    <fill>
      <patternFill patternType="solid">
        <fgColor rgb="FFFAD6A5"/>
        <bgColor indexed="64"/>
      </patternFill>
    </fill>
    <fill>
      <patternFill patternType="solid">
        <fgColor rgb="FF7EC0EE"/>
        <bgColor indexed="64"/>
      </patternFill>
    </fill>
    <fill>
      <patternFill patternType="solid">
        <fgColor rgb="FF454545"/>
        <bgColor indexed="64"/>
      </patternFill>
    </fill>
    <fill>
      <patternFill patternType="solid">
        <fgColor rgb="FFFFDEAD"/>
        <bgColor indexed="64"/>
      </patternFill>
    </fill>
    <fill>
      <patternFill patternType="solid">
        <fgColor rgb="FF87CEFA"/>
        <bgColor indexed="64"/>
      </patternFill>
    </fill>
    <fill>
      <patternFill patternType="solid">
        <fgColor rgb="FF424242"/>
        <bgColor indexed="64"/>
      </patternFill>
    </fill>
    <fill>
      <patternFill patternType="solid">
        <fgColor rgb="FFEEDFCC"/>
        <bgColor indexed="64"/>
      </patternFill>
    </fill>
    <fill>
      <patternFill patternType="solid">
        <fgColor rgb="FFA1CAF1"/>
        <bgColor indexed="64"/>
      </patternFill>
    </fill>
    <fill>
      <patternFill patternType="solid">
        <fgColor rgb="FF404040"/>
        <bgColor indexed="64"/>
      </patternFill>
    </fill>
    <fill>
      <patternFill patternType="solid">
        <fgColor rgb="FFFFE4C4"/>
        <bgColor indexed="64"/>
      </patternFill>
    </fill>
    <fill>
      <patternFill patternType="solid">
        <fgColor rgb="FF87CEFF"/>
        <bgColor indexed="64"/>
      </patternFill>
    </fill>
    <fill>
      <patternFill patternType="solid">
        <fgColor rgb="FF3D3D3D"/>
        <bgColor indexed="64"/>
      </patternFill>
    </fill>
    <fill>
      <patternFill patternType="solid">
        <fgColor rgb="FFFAEBD7"/>
        <bgColor indexed="64"/>
      </patternFill>
    </fill>
    <fill>
      <patternFill patternType="solid">
        <fgColor rgb="FFBCD4E6"/>
        <bgColor indexed="64"/>
      </patternFill>
    </fill>
    <fill>
      <patternFill patternType="solid">
        <fgColor rgb="FF3B3B3B"/>
        <bgColor indexed="64"/>
      </patternFill>
    </fill>
    <fill>
      <patternFill patternType="solid">
        <fgColor rgb="FFFFEFDB"/>
        <bgColor indexed="64"/>
      </patternFill>
    </fill>
    <fill>
      <patternFill patternType="solid">
        <fgColor rgb="FF00FFFF"/>
        <bgColor indexed="64"/>
      </patternFill>
    </fill>
    <fill>
      <patternFill patternType="solid">
        <fgColor rgb="FFB9D3EE"/>
        <bgColor indexed="64"/>
      </patternFill>
    </fill>
    <fill>
      <patternFill patternType="solid">
        <fgColor rgb="FF383838"/>
        <bgColor indexed="64"/>
      </patternFill>
    </fill>
    <fill>
      <patternFill patternType="solid">
        <fgColor rgb="FFFAF0E6"/>
        <bgColor indexed="64"/>
      </patternFill>
    </fill>
    <fill>
      <patternFill patternType="solid">
        <fgColor rgb="FFC6E2FF"/>
        <bgColor indexed="64"/>
      </patternFill>
    </fill>
    <fill>
      <patternFill patternType="solid">
        <fgColor rgb="FF363636"/>
        <bgColor indexed="64"/>
      </patternFill>
    </fill>
    <fill>
      <patternFill patternType="solid">
        <fgColor rgb="FFDEB887"/>
        <bgColor indexed="64"/>
      </patternFill>
    </fill>
    <fill>
      <patternFill patternType="solid">
        <fgColor rgb="FFF2F3F4"/>
        <bgColor indexed="64"/>
      </patternFill>
    </fill>
    <fill>
      <patternFill patternType="solid">
        <fgColor rgb="FF333333"/>
        <bgColor indexed="64"/>
      </patternFill>
    </fill>
    <fill>
      <patternFill patternType="solid">
        <fgColor rgb="FFCDB79E"/>
        <bgColor indexed="64"/>
      </patternFill>
    </fill>
    <fill>
      <patternFill patternType="solid">
        <fgColor rgb="FFF0F8FF"/>
        <bgColor indexed="64"/>
      </patternFill>
    </fill>
    <fill>
      <patternFill patternType="solid">
        <fgColor rgb="FF303030"/>
        <bgColor indexed="64"/>
      </patternFill>
    </fill>
    <fill>
      <patternFill patternType="solid">
        <fgColor rgb="FFD2B48C"/>
        <bgColor indexed="64"/>
      </patternFill>
    </fill>
    <fill>
      <patternFill patternType="solid">
        <fgColor rgb="FF9FB6CD"/>
        <bgColor indexed="64"/>
      </patternFill>
    </fill>
    <fill>
      <patternFill patternType="solid">
        <fgColor rgb="FF2E2E2E"/>
        <bgColor indexed="64"/>
      </patternFill>
    </fill>
    <fill>
      <patternFill patternType="solid">
        <fgColor rgb="FFCDB38B"/>
        <bgColor indexed="64"/>
      </patternFill>
    </fill>
    <fill>
      <patternFill patternType="solid">
        <fgColor rgb="FF00B2EE"/>
        <bgColor indexed="64"/>
      </patternFill>
    </fill>
    <fill>
      <patternFill patternType="solid">
        <fgColor rgb="FF2B2B2B"/>
        <bgColor indexed="64"/>
      </patternFill>
    </fill>
    <fill>
      <patternFill patternType="solid">
        <fgColor rgb="FFEEB422"/>
        <bgColor indexed="64"/>
      </patternFill>
    </fill>
    <fill>
      <patternFill patternType="solid">
        <fgColor rgb="FF70A3CC"/>
        <bgColor indexed="64"/>
      </patternFill>
    </fill>
    <fill>
      <patternFill patternType="solid">
        <fgColor rgb="FF292929"/>
        <bgColor indexed="64"/>
      </patternFill>
    </fill>
    <fill>
      <patternFill patternType="solid">
        <fgColor rgb="FFE3A857"/>
        <bgColor indexed="64"/>
      </patternFill>
    </fill>
    <fill>
      <patternFill patternType="solid">
        <fgColor rgb="FF6CA6CD"/>
        <bgColor indexed="64"/>
      </patternFill>
    </fill>
    <fill>
      <patternFill patternType="solid">
        <fgColor rgb="FF262626"/>
        <bgColor indexed="64"/>
      </patternFill>
    </fill>
    <fill>
      <patternFill patternType="solid">
        <fgColor rgb="FFEEAD0E"/>
        <bgColor indexed="64"/>
      </patternFill>
    </fill>
    <fill>
      <patternFill patternType="solid">
        <fgColor rgb="FF91A3B0"/>
        <bgColor indexed="64"/>
      </patternFill>
    </fill>
    <fill>
      <patternFill patternType="solid">
        <fgColor rgb="FF242424"/>
        <bgColor indexed="64"/>
      </patternFill>
    </fill>
    <fill>
      <patternFill patternType="solid">
        <fgColor rgb="FFCDAA7D"/>
        <bgColor indexed="64"/>
      </patternFill>
    </fill>
    <fill>
      <patternFill patternType="solid">
        <fgColor rgb="FF3399CC"/>
        <bgColor indexed="64"/>
      </patternFill>
    </fill>
    <fill>
      <patternFill patternType="solid">
        <fgColor rgb="FF212121"/>
        <bgColor indexed="64"/>
      </patternFill>
    </fill>
    <fill>
      <patternFill patternType="solid">
        <fgColor rgb="FFDAA520"/>
        <bgColor indexed="64"/>
      </patternFill>
    </fill>
    <fill>
      <patternFill patternType="solid">
        <fgColor rgb="FF3299CC"/>
        <bgColor indexed="64"/>
      </patternFill>
    </fill>
    <fill>
      <patternFill patternType="solid">
        <fgColor rgb="FF1F1F1F"/>
        <bgColor indexed="64"/>
      </patternFill>
    </fill>
    <fill>
      <patternFill patternType="solid">
        <fgColor rgb="FFC19A6B"/>
        <bgColor indexed="64"/>
      </patternFill>
    </fill>
    <fill>
      <patternFill patternType="solid">
        <fgColor rgb="FF009ACD"/>
        <bgColor indexed="64"/>
      </patternFill>
    </fill>
    <fill>
      <patternFill patternType="solid">
        <fgColor rgb="FF1C1C1C"/>
        <bgColor indexed="64"/>
      </patternFill>
    </fill>
    <fill>
      <patternFill patternType="solid">
        <fgColor rgb="FFAE9B82"/>
        <bgColor indexed="64"/>
      </patternFill>
    </fill>
    <fill>
      <patternFill patternType="solid">
        <fgColor rgb="FF3A8EBA"/>
        <bgColor indexed="64"/>
      </patternFill>
    </fill>
    <fill>
      <patternFill patternType="solid">
        <fgColor rgb="FF1A1A1A"/>
        <bgColor indexed="64"/>
      </patternFill>
    </fill>
    <fill>
      <patternFill patternType="solid">
        <fgColor rgb="FFCD9B1D"/>
        <bgColor indexed="64"/>
      </patternFill>
    </fill>
    <fill>
      <patternFill patternType="solid">
        <fgColor rgb="FF778899"/>
        <bgColor indexed="64"/>
      </patternFill>
    </fill>
    <fill>
      <patternFill patternType="solid">
        <fgColor rgb="FF171717"/>
        <bgColor indexed="64"/>
      </patternFill>
    </fill>
    <fill>
      <patternFill patternType="solid">
        <fgColor rgb="FFCD950C"/>
        <bgColor indexed="64"/>
      </patternFill>
    </fill>
    <fill>
      <patternFill patternType="solid">
        <fgColor rgb="FF708090"/>
        <bgColor indexed="64"/>
      </patternFill>
    </fill>
    <fill>
      <patternFill patternType="solid">
        <fgColor rgb="FF141414"/>
        <bgColor indexed="64"/>
      </patternFill>
    </fill>
    <fill>
      <patternFill patternType="solid">
        <fgColor rgb="FFCC9900"/>
        <bgColor indexed="64"/>
      </patternFill>
    </fill>
    <fill>
      <patternFill patternType="solid">
        <fgColor rgb="FF6C7B8B"/>
        <bgColor indexed="64"/>
      </patternFill>
    </fill>
    <fill>
      <patternFill patternType="solid">
        <fgColor rgb="FF121212"/>
        <bgColor indexed="64"/>
      </patternFill>
    </fill>
    <fill>
      <patternFill patternType="solid">
        <fgColor rgb="FFBE8A3D"/>
        <bgColor indexed="64"/>
      </patternFill>
    </fill>
    <fill>
      <patternFill patternType="solid">
        <fgColor rgb="FF677179"/>
        <bgColor indexed="64"/>
      </patternFill>
    </fill>
    <fill>
      <patternFill patternType="solid">
        <fgColor rgb="FF0F0F0F"/>
        <bgColor indexed="64"/>
      </patternFill>
    </fill>
    <fill>
      <patternFill patternType="solid">
        <fgColor rgb="FFB8860B"/>
        <bgColor indexed="64"/>
      </patternFill>
    </fill>
    <fill>
      <patternFill patternType="solid">
        <fgColor rgb="FF4A708B"/>
        <bgColor indexed="64"/>
      </patternFill>
    </fill>
    <fill>
      <patternFill patternType="solid">
        <fgColor rgb="FF0D0D0D"/>
        <bgColor indexed="64"/>
      </patternFill>
    </fill>
    <fill>
      <patternFill patternType="solid">
        <fgColor rgb="FFA67D3D"/>
        <bgColor indexed="64"/>
      </patternFill>
    </fill>
    <fill>
      <patternFill patternType="solid">
        <fgColor rgb="FF236B8E"/>
        <bgColor indexed="64"/>
      </patternFill>
    </fill>
    <fill>
      <patternFill patternType="solid">
        <fgColor rgb="FF0A0A0A"/>
        <bgColor indexed="64"/>
      </patternFill>
    </fill>
    <fill>
      <patternFill patternType="solid">
        <fgColor rgb="FF947F60"/>
        <bgColor indexed="64"/>
      </patternFill>
    </fill>
    <fill>
      <patternFill patternType="solid">
        <fgColor rgb="FF536878"/>
        <bgColor indexed="64"/>
      </patternFill>
    </fill>
    <fill>
      <patternFill patternType="solid">
        <fgColor rgb="FF080808"/>
        <bgColor indexed="64"/>
      </patternFill>
    </fill>
    <fill>
      <patternFill patternType="solid">
        <fgColor rgb="FF967C5C"/>
        <bgColor indexed="64"/>
      </patternFill>
    </fill>
    <fill>
      <patternFill patternType="solid">
        <fgColor rgb="FF00688B"/>
        <bgColor indexed="64"/>
      </patternFill>
    </fill>
    <fill>
      <patternFill patternType="solid">
        <fgColor rgb="FF050505"/>
        <bgColor indexed="64"/>
      </patternFill>
    </fill>
    <fill>
      <patternFill patternType="solid">
        <fgColor rgb="FF8B7D6B"/>
        <bgColor indexed="64"/>
      </patternFill>
    </fill>
    <fill>
      <patternFill patternType="solid">
        <fgColor rgb="FF51585E"/>
        <bgColor indexed="64"/>
      </patternFill>
    </fill>
    <fill>
      <patternFill patternType="solid">
        <fgColor rgb="FF030303"/>
        <bgColor indexed="64"/>
      </patternFill>
    </fill>
    <fill>
      <patternFill patternType="solid">
        <fgColor rgb="FF8B795E"/>
        <bgColor indexed="64"/>
      </patternFill>
    </fill>
    <fill>
      <patternFill patternType="solid">
        <fgColor rgb="FF24445C"/>
        <bgColor indexed="64"/>
      </patternFill>
    </fill>
    <fill>
      <patternFill patternType="solid">
        <fgColor rgb="FF8B7355"/>
        <bgColor indexed="64"/>
      </patternFill>
    </fill>
    <fill>
      <patternFill patternType="solid">
        <fgColor rgb="FF36454F"/>
        <bgColor indexed="64"/>
      </patternFill>
    </fill>
    <fill>
      <patternFill patternType="solid">
        <fgColor rgb="FFEAE679"/>
        <bgColor indexed="64"/>
      </patternFill>
    </fill>
    <fill>
      <patternFill patternType="solid">
        <fgColor rgb="FF806D5A"/>
        <bgColor indexed="64"/>
      </patternFill>
    </fill>
    <fill>
      <patternFill patternType="solid">
        <fgColor rgb="FF202830"/>
        <bgColor indexed="64"/>
      </patternFill>
    </fill>
    <fill>
      <patternFill patternType="solid">
        <fgColor rgb="FFF7FF3C"/>
        <bgColor indexed="64"/>
      </patternFill>
    </fill>
    <fill>
      <patternFill patternType="solid">
        <fgColor rgb="FF8B6C42"/>
        <bgColor indexed="64"/>
      </patternFill>
    </fill>
    <fill>
      <patternFill patternType="solid">
        <fgColor rgb="FF000020"/>
        <bgColor indexed="64"/>
      </patternFill>
    </fill>
    <fill>
      <patternFill patternType="solid">
        <fgColor rgb="FF000040"/>
        <bgColor indexed="64"/>
      </patternFill>
    </fill>
    <fill>
      <patternFill patternType="solid">
        <fgColor rgb="FF000060"/>
        <bgColor indexed="64"/>
      </patternFill>
    </fill>
    <fill>
      <patternFill patternType="solid">
        <fgColor rgb="FF000080"/>
        <bgColor indexed="64"/>
      </patternFill>
    </fill>
    <fill>
      <patternFill patternType="solid">
        <fgColor rgb="FF0000A0"/>
        <bgColor indexed="64"/>
      </patternFill>
    </fill>
    <fill>
      <patternFill patternType="solid">
        <fgColor rgb="FF0000C0"/>
        <bgColor indexed="64"/>
      </patternFill>
    </fill>
    <fill>
      <patternFill patternType="solid">
        <fgColor rgb="FF0000E0"/>
        <bgColor indexed="64"/>
      </patternFill>
    </fill>
    <fill>
      <patternFill patternType="solid">
        <fgColor rgb="FF202428"/>
        <bgColor indexed="64"/>
      </patternFill>
    </fill>
    <fill>
      <patternFill patternType="solid">
        <fgColor rgb="FFCDCDB4"/>
        <bgColor indexed="64"/>
      </patternFill>
    </fill>
    <fill>
      <patternFill patternType="solid">
        <fgColor rgb="FF7E6D5A"/>
        <bgColor indexed="64"/>
      </patternFill>
    </fill>
    <fill>
      <patternFill patternType="solid">
        <fgColor rgb="FF002000"/>
        <bgColor indexed="64"/>
      </patternFill>
    </fill>
    <fill>
      <patternFill patternType="solid">
        <fgColor rgb="FF002020"/>
        <bgColor indexed="64"/>
      </patternFill>
    </fill>
    <fill>
      <patternFill patternType="solid">
        <fgColor rgb="FF002040"/>
        <bgColor indexed="64"/>
      </patternFill>
    </fill>
    <fill>
      <patternFill patternType="solid">
        <fgColor rgb="FF002060"/>
        <bgColor indexed="64"/>
      </patternFill>
    </fill>
    <fill>
      <patternFill patternType="solid">
        <fgColor rgb="FF002080"/>
        <bgColor indexed="64"/>
      </patternFill>
    </fill>
    <fill>
      <patternFill patternType="solid">
        <fgColor rgb="FF0020A0"/>
        <bgColor indexed="64"/>
      </patternFill>
    </fill>
    <fill>
      <patternFill patternType="solid">
        <fgColor rgb="FF0020C0"/>
        <bgColor indexed="64"/>
      </patternFill>
    </fill>
    <fill>
      <patternFill patternType="solid">
        <fgColor rgb="FF0020E0"/>
        <bgColor indexed="64"/>
      </patternFill>
    </fill>
    <fill>
      <patternFill patternType="solid">
        <fgColor rgb="FF0020FF"/>
        <bgColor indexed="64"/>
      </patternFill>
    </fill>
    <fill>
      <patternFill patternType="solid">
        <fgColor rgb="FF63B8FF"/>
        <bgColor indexed="64"/>
      </patternFill>
    </fill>
    <fill>
      <patternFill patternType="solid">
        <fgColor rgb="FFE6E697"/>
        <bgColor indexed="64"/>
      </patternFill>
    </fill>
    <fill>
      <patternFill patternType="solid">
        <fgColor rgb="FF967117"/>
        <bgColor indexed="64"/>
      </patternFill>
    </fill>
    <fill>
      <patternFill patternType="solid">
        <fgColor rgb="FF004000"/>
        <bgColor indexed="64"/>
      </patternFill>
    </fill>
    <fill>
      <patternFill patternType="solid">
        <fgColor rgb="FF004020"/>
        <bgColor indexed="64"/>
      </patternFill>
    </fill>
    <fill>
      <patternFill patternType="solid">
        <fgColor rgb="FF004040"/>
        <bgColor indexed="64"/>
      </patternFill>
    </fill>
    <fill>
      <patternFill patternType="solid">
        <fgColor rgb="FF004060"/>
        <bgColor indexed="64"/>
      </patternFill>
    </fill>
    <fill>
      <patternFill patternType="solid">
        <fgColor rgb="FF004080"/>
        <bgColor indexed="64"/>
      </patternFill>
    </fill>
    <fill>
      <patternFill patternType="solid">
        <fgColor rgb="FF0040A0"/>
        <bgColor indexed="64"/>
      </patternFill>
    </fill>
    <fill>
      <patternFill patternType="solid">
        <fgColor rgb="FF0040C0"/>
        <bgColor indexed="64"/>
      </patternFill>
    </fill>
    <fill>
      <patternFill patternType="solid">
        <fgColor rgb="FF0040E0"/>
        <bgColor indexed="64"/>
      </patternFill>
    </fill>
    <fill>
      <patternFill patternType="solid">
        <fgColor rgb="FF0040FF"/>
        <bgColor indexed="64"/>
      </patternFill>
    </fill>
    <fill>
      <patternFill patternType="solid">
        <fgColor rgb="FFB0C4DE"/>
        <bgColor indexed="64"/>
      </patternFill>
    </fill>
    <fill>
      <patternFill patternType="solid">
        <fgColor rgb="FFFEF86C"/>
        <bgColor indexed="64"/>
      </patternFill>
    </fill>
    <fill>
      <patternFill patternType="solid">
        <fgColor rgb="FF856D4D"/>
        <bgColor indexed="64"/>
      </patternFill>
    </fill>
    <fill>
      <patternFill patternType="solid">
        <fgColor rgb="FF006000"/>
        <bgColor indexed="64"/>
      </patternFill>
    </fill>
    <fill>
      <patternFill patternType="solid">
        <fgColor rgb="FF006020"/>
        <bgColor indexed="64"/>
      </patternFill>
    </fill>
    <fill>
      <patternFill patternType="solid">
        <fgColor rgb="FF006040"/>
        <bgColor indexed="64"/>
      </patternFill>
    </fill>
    <fill>
      <patternFill patternType="solid">
        <fgColor rgb="FF006060"/>
        <bgColor indexed="64"/>
      </patternFill>
    </fill>
    <fill>
      <patternFill patternType="solid">
        <fgColor rgb="FF006080"/>
        <bgColor indexed="64"/>
      </patternFill>
    </fill>
    <fill>
      <patternFill patternType="solid">
        <fgColor rgb="FF0060A0"/>
        <bgColor indexed="64"/>
      </patternFill>
    </fill>
    <fill>
      <patternFill patternType="solid">
        <fgColor rgb="FF0060C0"/>
        <bgColor indexed="64"/>
      </patternFill>
    </fill>
    <fill>
      <patternFill patternType="solid">
        <fgColor rgb="FF0060E0"/>
        <bgColor indexed="64"/>
      </patternFill>
    </fill>
    <fill>
      <patternFill patternType="solid">
        <fgColor rgb="FF0060FF"/>
        <bgColor indexed="64"/>
      </patternFill>
    </fill>
    <fill>
      <patternFill patternType="solid">
        <fgColor rgb="FF77B5FE"/>
        <bgColor indexed="64"/>
      </patternFill>
    </fill>
    <fill>
      <patternFill patternType="solid">
        <fgColor rgb="FFFFFF6B"/>
        <bgColor indexed="64"/>
      </patternFill>
    </fill>
    <fill>
      <patternFill patternType="solid">
        <fgColor rgb="FF926D27"/>
        <bgColor indexed="64"/>
      </patternFill>
    </fill>
    <fill>
      <patternFill patternType="solid">
        <fgColor rgb="FF008020"/>
        <bgColor indexed="64"/>
      </patternFill>
    </fill>
    <fill>
      <patternFill patternType="solid">
        <fgColor rgb="FF008040"/>
        <bgColor indexed="64"/>
      </patternFill>
    </fill>
    <fill>
      <patternFill patternType="solid">
        <fgColor rgb="FF008060"/>
        <bgColor indexed="64"/>
      </patternFill>
    </fill>
    <fill>
      <patternFill patternType="solid">
        <fgColor rgb="FF008080"/>
        <bgColor indexed="64"/>
      </patternFill>
    </fill>
    <fill>
      <patternFill patternType="solid">
        <fgColor rgb="FF0080A0"/>
        <bgColor indexed="64"/>
      </patternFill>
    </fill>
    <fill>
      <patternFill patternType="solid">
        <fgColor rgb="FF0080C0"/>
        <bgColor indexed="64"/>
      </patternFill>
    </fill>
    <fill>
      <patternFill patternType="solid">
        <fgColor rgb="FF0080E0"/>
        <bgColor indexed="64"/>
      </patternFill>
    </fill>
    <fill>
      <patternFill patternType="solid">
        <fgColor rgb="FF0080FF"/>
        <bgColor indexed="64"/>
      </patternFill>
    </fill>
    <fill>
      <patternFill patternType="solid">
        <fgColor rgb="FFCDCDC1"/>
        <bgColor indexed="64"/>
      </patternFill>
    </fill>
    <fill>
      <patternFill patternType="solid">
        <fgColor rgb="FF8E6B23"/>
        <bgColor indexed="64"/>
      </patternFill>
    </fill>
    <fill>
      <patternFill patternType="solid">
        <fgColor rgb="FF00A000"/>
        <bgColor indexed="64"/>
      </patternFill>
    </fill>
    <fill>
      <patternFill patternType="solid">
        <fgColor rgb="FF00A020"/>
        <bgColor indexed="64"/>
      </patternFill>
    </fill>
    <fill>
      <patternFill patternType="solid">
        <fgColor rgb="FF00A040"/>
        <bgColor indexed="64"/>
      </patternFill>
    </fill>
    <fill>
      <patternFill patternType="solid">
        <fgColor rgb="FF00A060"/>
        <bgColor indexed="64"/>
      </patternFill>
    </fill>
    <fill>
      <patternFill patternType="solid">
        <fgColor rgb="FF00A080"/>
        <bgColor indexed="64"/>
      </patternFill>
    </fill>
    <fill>
      <patternFill patternType="solid">
        <fgColor rgb="FF00A0A0"/>
        <bgColor indexed="64"/>
      </patternFill>
    </fill>
    <fill>
      <patternFill patternType="solid">
        <fgColor rgb="FF00A0C0"/>
        <bgColor indexed="64"/>
      </patternFill>
    </fill>
    <fill>
      <patternFill patternType="solid">
        <fgColor rgb="FF00A0E0"/>
        <bgColor indexed="64"/>
      </patternFill>
    </fill>
    <fill>
      <patternFill patternType="solid">
        <fgColor rgb="FF00A0FF"/>
        <bgColor indexed="64"/>
      </patternFill>
    </fill>
    <fill>
      <patternFill patternType="solid">
        <fgColor rgb="FFBCD2EE"/>
        <bgColor indexed="64"/>
      </patternFill>
    </fill>
    <fill>
      <patternFill patternType="solid">
        <fgColor rgb="FFEBE8A4"/>
        <bgColor indexed="64"/>
      </patternFill>
    </fill>
    <fill>
      <patternFill patternType="solid">
        <fgColor rgb="FF826644"/>
        <bgColor indexed="64"/>
      </patternFill>
    </fill>
    <fill>
      <patternFill patternType="solid">
        <fgColor rgb="FF00C000"/>
        <bgColor indexed="64"/>
      </patternFill>
    </fill>
    <fill>
      <patternFill patternType="solid">
        <fgColor rgb="FF00C020"/>
        <bgColor indexed="64"/>
      </patternFill>
    </fill>
    <fill>
      <patternFill patternType="solid">
        <fgColor rgb="FF00C040"/>
        <bgColor indexed="64"/>
      </patternFill>
    </fill>
    <fill>
      <patternFill patternType="solid">
        <fgColor rgb="FF00C060"/>
        <bgColor indexed="64"/>
      </patternFill>
    </fill>
    <fill>
      <patternFill patternType="solid">
        <fgColor rgb="FF00C080"/>
        <bgColor indexed="64"/>
      </patternFill>
    </fill>
    <fill>
      <patternFill patternType="solid">
        <fgColor rgb="FF00C0A0"/>
        <bgColor indexed="64"/>
      </patternFill>
    </fill>
    <fill>
      <patternFill patternType="solid">
        <fgColor rgb="FF00C0C0"/>
        <bgColor indexed="64"/>
      </patternFill>
    </fill>
    <fill>
      <patternFill patternType="solid">
        <fgColor rgb="FF00C0E0"/>
        <bgColor indexed="64"/>
      </patternFill>
    </fill>
    <fill>
      <patternFill patternType="solid">
        <fgColor rgb="FF00C0FF"/>
        <bgColor indexed="64"/>
      </patternFill>
    </fill>
    <fill>
      <patternFill patternType="solid">
        <fgColor rgb="FFCAE1FF"/>
        <bgColor indexed="64"/>
      </patternFill>
    </fill>
    <fill>
      <patternFill patternType="solid">
        <fgColor rgb="FFD8D8BF"/>
        <bgColor indexed="64"/>
      </patternFill>
    </fill>
    <fill>
      <patternFill patternType="solid">
        <fgColor rgb="FF8B6914"/>
        <bgColor indexed="64"/>
      </patternFill>
    </fill>
    <fill>
      <patternFill patternType="solid">
        <fgColor rgb="FF00E000"/>
        <bgColor indexed="64"/>
      </patternFill>
    </fill>
    <fill>
      <patternFill patternType="solid">
        <fgColor rgb="FF00E020"/>
        <bgColor indexed="64"/>
      </patternFill>
    </fill>
    <fill>
      <patternFill patternType="solid">
        <fgColor rgb="FF00E040"/>
        <bgColor indexed="64"/>
      </patternFill>
    </fill>
    <fill>
      <patternFill patternType="solid">
        <fgColor rgb="FF00E060"/>
        <bgColor indexed="64"/>
      </patternFill>
    </fill>
    <fill>
      <patternFill patternType="solid">
        <fgColor rgb="FF00E080"/>
        <bgColor indexed="64"/>
      </patternFill>
    </fill>
    <fill>
      <patternFill patternType="solid">
        <fgColor rgb="FF00E0A0"/>
        <bgColor indexed="64"/>
      </patternFill>
    </fill>
    <fill>
      <patternFill patternType="solid">
        <fgColor rgb="FF00E0C0"/>
        <bgColor indexed="64"/>
      </patternFill>
    </fill>
    <fill>
      <patternFill patternType="solid">
        <fgColor rgb="FF00E0E0"/>
        <bgColor indexed="64"/>
      </patternFill>
    </fill>
    <fill>
      <patternFill patternType="solid">
        <fgColor rgb="FF00E0FF"/>
        <bgColor indexed="64"/>
      </patternFill>
    </fill>
    <fill>
      <patternFill patternType="solid">
        <fgColor rgb="FFA2B5CD"/>
        <bgColor indexed="64"/>
      </patternFill>
    </fill>
    <fill>
      <patternFill patternType="solid">
        <fgColor rgb="FFEAEAAE"/>
        <bgColor indexed="64"/>
      </patternFill>
    </fill>
    <fill>
      <patternFill patternType="solid">
        <fgColor rgb="FF8B6508"/>
        <bgColor indexed="64"/>
      </patternFill>
    </fill>
    <fill>
      <patternFill patternType="solid">
        <fgColor rgb="FF00FF20"/>
        <bgColor indexed="64"/>
      </patternFill>
    </fill>
    <fill>
      <patternFill patternType="solid">
        <fgColor rgb="FF00FF40"/>
        <bgColor indexed="64"/>
      </patternFill>
    </fill>
    <fill>
      <patternFill patternType="solid">
        <fgColor rgb="FF00FF60"/>
        <bgColor indexed="64"/>
      </patternFill>
    </fill>
    <fill>
      <patternFill patternType="solid">
        <fgColor rgb="FF00FF80"/>
        <bgColor indexed="64"/>
      </patternFill>
    </fill>
    <fill>
      <patternFill patternType="solid">
        <fgColor rgb="FF00FFA0"/>
        <bgColor indexed="64"/>
      </patternFill>
    </fill>
    <fill>
      <patternFill patternType="solid">
        <fgColor rgb="FF00FFC0"/>
        <bgColor indexed="64"/>
      </patternFill>
    </fill>
    <fill>
      <patternFill patternType="solid">
        <fgColor rgb="FF00FFE0"/>
        <bgColor indexed="64"/>
      </patternFill>
    </fill>
    <fill>
      <patternFill patternType="solid">
        <fgColor rgb="FF5CACEE"/>
        <bgColor indexed="64"/>
      </patternFill>
    </fill>
    <fill>
      <patternFill patternType="solid">
        <fgColor rgb="FFEEEED1"/>
        <bgColor indexed="64"/>
      </patternFill>
    </fill>
    <fill>
      <patternFill patternType="solid">
        <fgColor rgb="FF785E2F"/>
        <bgColor indexed="64"/>
      </patternFill>
    </fill>
    <fill>
      <patternFill patternType="solid">
        <fgColor rgb="FF200000"/>
        <bgColor indexed="64"/>
      </patternFill>
    </fill>
    <fill>
      <patternFill patternType="solid">
        <fgColor rgb="FF200020"/>
        <bgColor indexed="64"/>
      </patternFill>
    </fill>
    <fill>
      <patternFill patternType="solid">
        <fgColor rgb="FF200040"/>
        <bgColor indexed="64"/>
      </patternFill>
    </fill>
    <fill>
      <patternFill patternType="solid">
        <fgColor rgb="FF200060"/>
        <bgColor indexed="64"/>
      </patternFill>
    </fill>
    <fill>
      <patternFill patternType="solid">
        <fgColor rgb="FF200080"/>
        <bgColor indexed="64"/>
      </patternFill>
    </fill>
    <fill>
      <patternFill patternType="solid">
        <fgColor rgb="FF2000A0"/>
        <bgColor indexed="64"/>
      </patternFill>
    </fill>
    <fill>
      <patternFill patternType="solid">
        <fgColor rgb="FF2000C0"/>
        <bgColor indexed="64"/>
      </patternFill>
    </fill>
    <fill>
      <patternFill patternType="solid">
        <fgColor rgb="FF2000E0"/>
        <bgColor indexed="64"/>
      </patternFill>
    </fill>
    <fill>
      <patternFill patternType="solid">
        <fgColor rgb="FF2000FF"/>
        <bgColor indexed="64"/>
      </patternFill>
    </fill>
    <fill>
      <patternFill patternType="solid">
        <fgColor rgb="FF6699CC"/>
        <bgColor indexed="64"/>
      </patternFill>
    </fill>
    <fill>
      <patternFill patternType="solid">
        <fgColor rgb="FFFAFAD2"/>
        <bgColor indexed="64"/>
      </patternFill>
    </fill>
    <fill>
      <patternFill patternType="solid">
        <fgColor rgb="FF202000"/>
        <bgColor indexed="64"/>
      </patternFill>
    </fill>
    <fill>
      <patternFill patternType="solid">
        <fgColor rgb="FF202020"/>
        <bgColor indexed="64"/>
      </patternFill>
    </fill>
    <fill>
      <patternFill patternType="solid">
        <fgColor rgb="FF202040"/>
        <bgColor indexed="64"/>
      </patternFill>
    </fill>
    <fill>
      <patternFill patternType="solid">
        <fgColor rgb="FF202060"/>
        <bgColor indexed="64"/>
      </patternFill>
    </fill>
    <fill>
      <patternFill patternType="solid">
        <fgColor rgb="FF202080"/>
        <bgColor indexed="64"/>
      </patternFill>
    </fill>
    <fill>
      <patternFill patternType="solid">
        <fgColor rgb="FF2020A0"/>
        <bgColor indexed="64"/>
      </patternFill>
    </fill>
    <fill>
      <patternFill patternType="solid">
        <fgColor rgb="FF2020C0"/>
        <bgColor indexed="64"/>
      </patternFill>
    </fill>
    <fill>
      <patternFill patternType="solid">
        <fgColor rgb="FF2020E0"/>
        <bgColor indexed="64"/>
      </patternFill>
    </fill>
    <fill>
      <patternFill patternType="solid">
        <fgColor rgb="FF2020FF"/>
        <bgColor indexed="64"/>
      </patternFill>
    </fill>
    <fill>
      <patternFill patternType="solid">
        <fgColor rgb="FF4997D0"/>
        <bgColor indexed="64"/>
      </patternFill>
    </fill>
    <fill>
      <patternFill patternType="solid">
        <fgColor rgb="FFEEEEE0"/>
        <bgColor indexed="64"/>
      </patternFill>
    </fill>
    <fill>
      <patternFill patternType="solid">
        <fgColor rgb="FF6C541E"/>
        <bgColor indexed="64"/>
      </patternFill>
    </fill>
    <fill>
      <patternFill patternType="solid">
        <fgColor rgb="FF204000"/>
        <bgColor indexed="64"/>
      </patternFill>
    </fill>
    <fill>
      <patternFill patternType="solid">
        <fgColor rgb="FF204020"/>
        <bgColor indexed="64"/>
      </patternFill>
    </fill>
    <fill>
      <patternFill patternType="solid">
        <fgColor rgb="FF204040"/>
        <bgColor indexed="64"/>
      </patternFill>
    </fill>
    <fill>
      <patternFill patternType="solid">
        <fgColor rgb="FF204060"/>
        <bgColor indexed="64"/>
      </patternFill>
    </fill>
    <fill>
      <patternFill patternType="solid">
        <fgColor rgb="FF204080"/>
        <bgColor indexed="64"/>
      </patternFill>
    </fill>
    <fill>
      <patternFill patternType="solid">
        <fgColor rgb="FF2040A0"/>
        <bgColor indexed="64"/>
      </patternFill>
    </fill>
    <fill>
      <patternFill patternType="solid">
        <fgColor rgb="FF2040C0"/>
        <bgColor indexed="64"/>
      </patternFill>
    </fill>
    <fill>
      <patternFill patternType="solid">
        <fgColor rgb="FF2040E0"/>
        <bgColor indexed="64"/>
      </patternFill>
    </fill>
    <fill>
      <patternFill patternType="solid">
        <fgColor rgb="FF2040FF"/>
        <bgColor indexed="64"/>
      </patternFill>
    </fill>
    <fill>
      <patternFill patternType="solid">
        <fgColor rgb="FF4F94CD"/>
        <bgColor indexed="64"/>
      </patternFill>
    </fill>
    <fill>
      <patternFill patternType="solid">
        <fgColor rgb="FFF5F5DC"/>
        <bgColor indexed="64"/>
      </patternFill>
    </fill>
    <fill>
      <patternFill patternType="solid">
        <fgColor rgb="FF4E3D28"/>
        <bgColor indexed="64"/>
      </patternFill>
    </fill>
    <fill>
      <patternFill patternType="solid">
        <fgColor rgb="FF206000"/>
        <bgColor indexed="64"/>
      </patternFill>
    </fill>
    <fill>
      <patternFill patternType="solid">
        <fgColor rgb="FF206020"/>
        <bgColor indexed="64"/>
      </patternFill>
    </fill>
    <fill>
      <patternFill patternType="solid">
        <fgColor rgb="FF206040"/>
        <bgColor indexed="64"/>
      </patternFill>
    </fill>
    <fill>
      <patternFill patternType="solid">
        <fgColor rgb="FF206060"/>
        <bgColor indexed="64"/>
      </patternFill>
    </fill>
    <fill>
      <patternFill patternType="solid">
        <fgColor rgb="FF206080"/>
        <bgColor indexed="64"/>
      </patternFill>
    </fill>
    <fill>
      <patternFill patternType="solid">
        <fgColor rgb="FF2060A0"/>
        <bgColor indexed="64"/>
      </patternFill>
    </fill>
    <fill>
      <patternFill patternType="solid">
        <fgColor rgb="FF2060C0"/>
        <bgColor indexed="64"/>
      </patternFill>
    </fill>
    <fill>
      <patternFill patternType="solid">
        <fgColor rgb="FF2060E0"/>
        <bgColor indexed="64"/>
      </patternFill>
    </fill>
    <fill>
      <patternFill patternType="solid">
        <fgColor rgb="FF2060FF"/>
        <bgColor indexed="64"/>
      </patternFill>
    </fill>
    <fill>
      <patternFill patternType="solid">
        <fgColor rgb="FF1E7FCB"/>
        <bgColor indexed="64"/>
      </patternFill>
    </fill>
    <fill>
      <patternFill patternType="solid">
        <fgColor rgb="FFFFFFD4"/>
        <bgColor indexed="64"/>
      </patternFill>
    </fill>
    <fill>
      <patternFill patternType="solid">
        <fgColor rgb="FF3B3121"/>
        <bgColor indexed="64"/>
      </patternFill>
    </fill>
    <fill>
      <patternFill patternType="solid">
        <fgColor rgb="FF208000"/>
        <bgColor indexed="64"/>
      </patternFill>
    </fill>
    <fill>
      <patternFill patternType="solid">
        <fgColor rgb="FF208020"/>
        <bgColor indexed="64"/>
      </patternFill>
    </fill>
    <fill>
      <patternFill patternType="solid">
        <fgColor rgb="FF208040"/>
        <bgColor indexed="64"/>
      </patternFill>
    </fill>
    <fill>
      <patternFill patternType="solid">
        <fgColor rgb="FF208060"/>
        <bgColor indexed="64"/>
      </patternFill>
    </fill>
    <fill>
      <patternFill patternType="solid">
        <fgColor rgb="FF208080"/>
        <bgColor indexed="64"/>
      </patternFill>
    </fill>
    <fill>
      <patternFill patternType="solid">
        <fgColor rgb="FF2080A0"/>
        <bgColor indexed="64"/>
      </patternFill>
    </fill>
    <fill>
      <patternFill patternType="solid">
        <fgColor rgb="FF2080C0"/>
        <bgColor indexed="64"/>
      </patternFill>
    </fill>
    <fill>
      <patternFill patternType="solid">
        <fgColor rgb="FF2080E0"/>
        <bgColor indexed="64"/>
      </patternFill>
    </fill>
    <fill>
      <patternFill patternType="solid">
        <fgColor rgb="FF2080FF"/>
        <bgColor indexed="64"/>
      </patternFill>
    </fill>
    <fill>
      <patternFill patternType="solid">
        <fgColor rgb="FF4682B4"/>
        <bgColor indexed="64"/>
      </patternFill>
    </fill>
    <fill>
      <patternFill patternType="solid">
        <fgColor rgb="FFFEFEE0"/>
        <bgColor indexed="64"/>
      </patternFill>
    </fill>
    <fill>
      <patternFill patternType="solid">
        <fgColor rgb="FF372F25"/>
        <bgColor indexed="64"/>
      </patternFill>
    </fill>
    <fill>
      <patternFill patternType="solid">
        <fgColor rgb="FF20A000"/>
        <bgColor indexed="64"/>
      </patternFill>
    </fill>
    <fill>
      <patternFill patternType="solid">
        <fgColor rgb="FF20A020"/>
        <bgColor indexed="64"/>
      </patternFill>
    </fill>
    <fill>
      <patternFill patternType="solid">
        <fgColor rgb="FF20A040"/>
        <bgColor indexed="64"/>
      </patternFill>
    </fill>
    <fill>
      <patternFill patternType="solid">
        <fgColor rgb="FF20A060"/>
        <bgColor indexed="64"/>
      </patternFill>
    </fill>
    <fill>
      <patternFill patternType="solid">
        <fgColor rgb="FF20A080"/>
        <bgColor indexed="64"/>
      </patternFill>
    </fill>
    <fill>
      <patternFill patternType="solid">
        <fgColor rgb="FF20A0A0"/>
        <bgColor indexed="64"/>
      </patternFill>
    </fill>
    <fill>
      <patternFill patternType="solid">
        <fgColor rgb="FF20A0C0"/>
        <bgColor indexed="64"/>
      </patternFill>
    </fill>
    <fill>
      <patternFill patternType="solid">
        <fgColor rgb="FF20A0E0"/>
        <bgColor indexed="64"/>
      </patternFill>
    </fill>
    <fill>
      <patternFill patternType="solid">
        <fgColor rgb="FF20A0FF"/>
        <bgColor indexed="64"/>
      </patternFill>
    </fill>
    <fill>
      <patternFill patternType="solid">
        <fgColor rgb="FF357AB7"/>
        <bgColor indexed="64"/>
      </patternFill>
    </fill>
    <fill>
      <patternFill patternType="solid">
        <fgColor rgb="FFFFFFE0"/>
        <bgColor indexed="64"/>
      </patternFill>
    </fill>
    <fill>
      <patternFill patternType="solid">
        <fgColor rgb="FFEDD38C"/>
        <bgColor indexed="64"/>
      </patternFill>
    </fill>
    <fill>
      <patternFill patternType="solid">
        <fgColor rgb="FF20C000"/>
        <bgColor indexed="64"/>
      </patternFill>
    </fill>
    <fill>
      <patternFill patternType="solid">
        <fgColor rgb="FF20C020"/>
        <bgColor indexed="64"/>
      </patternFill>
    </fill>
    <fill>
      <patternFill patternType="solid">
        <fgColor rgb="FF20C040"/>
        <bgColor indexed="64"/>
      </patternFill>
    </fill>
    <fill>
      <patternFill patternType="solid">
        <fgColor rgb="FF20C060"/>
        <bgColor indexed="64"/>
      </patternFill>
    </fill>
    <fill>
      <patternFill patternType="solid">
        <fgColor rgb="FF20C080"/>
        <bgColor indexed="64"/>
      </patternFill>
    </fill>
    <fill>
      <patternFill patternType="solid">
        <fgColor rgb="FF20C0A0"/>
        <bgColor indexed="64"/>
      </patternFill>
    </fill>
    <fill>
      <patternFill patternType="solid">
        <fgColor rgb="FF20C0C0"/>
        <bgColor indexed="64"/>
      </patternFill>
    </fill>
    <fill>
      <patternFill patternType="solid">
        <fgColor rgb="FF20C0E0"/>
        <bgColor indexed="64"/>
      </patternFill>
    </fill>
    <fill>
      <patternFill patternType="solid">
        <fgColor rgb="FF20C0FF"/>
        <bgColor indexed="64"/>
      </patternFill>
    </fill>
    <fill>
      <patternFill patternType="solid">
        <fgColor rgb="FF56739A"/>
        <bgColor indexed="64"/>
      </patternFill>
    </fill>
    <fill>
      <patternFill patternType="solid">
        <fgColor rgb="FFFEFEE2"/>
        <bgColor indexed="64"/>
      </patternFill>
    </fill>
    <fill>
      <patternFill patternType="solid">
        <fgColor rgb="FFE0CDA9"/>
        <bgColor indexed="64"/>
      </patternFill>
    </fill>
    <fill>
      <patternFill patternType="solid">
        <fgColor rgb="FF20E000"/>
        <bgColor indexed="64"/>
      </patternFill>
    </fill>
    <fill>
      <patternFill patternType="solid">
        <fgColor rgb="FF20E020"/>
        <bgColor indexed="64"/>
      </patternFill>
    </fill>
    <fill>
      <patternFill patternType="solid">
        <fgColor rgb="FF20E040"/>
        <bgColor indexed="64"/>
      </patternFill>
    </fill>
    <fill>
      <patternFill patternType="solid">
        <fgColor rgb="FF20E060"/>
        <bgColor indexed="64"/>
      </patternFill>
    </fill>
    <fill>
      <patternFill patternType="solid">
        <fgColor rgb="FF20E080"/>
        <bgColor indexed="64"/>
      </patternFill>
    </fill>
    <fill>
      <patternFill patternType="solid">
        <fgColor rgb="FF20E0A0"/>
        <bgColor indexed="64"/>
      </patternFill>
    </fill>
    <fill>
      <patternFill patternType="solid">
        <fgColor rgb="FF20E0C0"/>
        <bgColor indexed="64"/>
      </patternFill>
    </fill>
    <fill>
      <patternFill patternType="solid">
        <fgColor rgb="FF20E0E0"/>
        <bgColor indexed="64"/>
      </patternFill>
    </fill>
    <fill>
      <patternFill patternType="solid">
        <fgColor rgb="FF20E0FF"/>
        <bgColor indexed="64"/>
      </patternFill>
    </fill>
    <fill>
      <patternFill patternType="solid">
        <fgColor rgb="FF6E7B8B"/>
        <bgColor indexed="64"/>
      </patternFill>
    </fill>
    <fill>
      <patternFill patternType="solid">
        <fgColor rgb="FFFFFFF0"/>
        <bgColor indexed="64"/>
      </patternFill>
    </fill>
    <fill>
      <patternFill patternType="solid">
        <fgColor rgb="FFEED8AE"/>
        <bgColor indexed="64"/>
      </patternFill>
    </fill>
    <fill>
      <patternFill patternType="solid">
        <fgColor rgb="FF20FF00"/>
        <bgColor indexed="64"/>
      </patternFill>
    </fill>
    <fill>
      <patternFill patternType="solid">
        <fgColor rgb="FF20FF20"/>
        <bgColor indexed="64"/>
      </patternFill>
    </fill>
    <fill>
      <patternFill patternType="solid">
        <fgColor rgb="FF20FF40"/>
        <bgColor indexed="64"/>
      </patternFill>
    </fill>
    <fill>
      <patternFill patternType="solid">
        <fgColor rgb="FF20FF60"/>
        <bgColor indexed="64"/>
      </patternFill>
    </fill>
    <fill>
      <patternFill patternType="solid">
        <fgColor rgb="FF20FF80"/>
        <bgColor indexed="64"/>
      </patternFill>
    </fill>
    <fill>
      <patternFill patternType="solid">
        <fgColor rgb="FF20FFA0"/>
        <bgColor indexed="64"/>
      </patternFill>
    </fill>
    <fill>
      <patternFill patternType="solid">
        <fgColor rgb="FF20FFC0"/>
        <bgColor indexed="64"/>
      </patternFill>
    </fill>
    <fill>
      <patternFill patternType="solid">
        <fgColor rgb="FF20FFE0"/>
        <bgColor indexed="64"/>
      </patternFill>
    </fill>
    <fill>
      <patternFill patternType="solid">
        <fgColor rgb="FF20FFFF"/>
        <bgColor indexed="64"/>
      </patternFill>
    </fill>
    <fill>
      <patternFill patternType="solid">
        <fgColor rgb="FF0067A5"/>
        <bgColor indexed="64"/>
      </patternFill>
    </fill>
    <fill>
      <patternFill patternType="solid">
        <fgColor rgb="FFE9E450"/>
        <bgColor indexed="64"/>
      </patternFill>
    </fill>
    <fill>
      <patternFill patternType="solid">
        <fgColor rgb="FFF5DEB3"/>
        <bgColor indexed="64"/>
      </patternFill>
    </fill>
    <fill>
      <patternFill patternType="solid">
        <fgColor rgb="FF400000"/>
        <bgColor indexed="64"/>
      </patternFill>
    </fill>
    <fill>
      <patternFill patternType="solid">
        <fgColor rgb="FF400020"/>
        <bgColor indexed="64"/>
      </patternFill>
    </fill>
    <fill>
      <patternFill patternType="solid">
        <fgColor rgb="FF400040"/>
        <bgColor indexed="64"/>
      </patternFill>
    </fill>
    <fill>
      <patternFill patternType="solid">
        <fgColor rgb="FF400060"/>
        <bgColor indexed="64"/>
      </patternFill>
    </fill>
    <fill>
      <patternFill patternType="solid">
        <fgColor rgb="FF400080"/>
        <bgColor indexed="64"/>
      </patternFill>
    </fill>
    <fill>
      <patternFill patternType="solid">
        <fgColor rgb="FF4000A0"/>
        <bgColor indexed="64"/>
      </patternFill>
    </fill>
    <fill>
      <patternFill patternType="solid">
        <fgColor rgb="FF4000C0"/>
        <bgColor indexed="64"/>
      </patternFill>
    </fill>
    <fill>
      <patternFill patternType="solid">
        <fgColor rgb="FF4000E0"/>
        <bgColor indexed="64"/>
      </patternFill>
    </fill>
    <fill>
      <patternFill patternType="solid">
        <fgColor rgb="FF4000FF"/>
        <bgColor indexed="64"/>
      </patternFill>
    </fill>
    <fill>
      <patternFill patternType="solid">
        <fgColor rgb="FF436B95"/>
        <bgColor indexed="64"/>
      </patternFill>
    </fill>
    <fill>
      <patternFill patternType="solid">
        <fgColor rgb="FFDBDB70"/>
        <bgColor indexed="64"/>
      </patternFill>
    </fill>
    <fill>
      <patternFill patternType="solid">
        <fgColor rgb="FFFFE4B5"/>
        <bgColor indexed="64"/>
      </patternFill>
    </fill>
    <fill>
      <patternFill patternType="solid">
        <fgColor rgb="FF402000"/>
        <bgColor indexed="64"/>
      </patternFill>
    </fill>
    <fill>
      <patternFill patternType="solid">
        <fgColor rgb="FF402020"/>
        <bgColor indexed="64"/>
      </patternFill>
    </fill>
    <fill>
      <patternFill patternType="solid">
        <fgColor rgb="FF402040"/>
        <bgColor indexed="64"/>
      </patternFill>
    </fill>
    <fill>
      <patternFill patternType="solid">
        <fgColor rgb="FF402060"/>
        <bgColor indexed="64"/>
      </patternFill>
    </fill>
    <fill>
      <patternFill patternType="solid">
        <fgColor rgb="FF402080"/>
        <bgColor indexed="64"/>
      </patternFill>
    </fill>
    <fill>
      <patternFill patternType="solid">
        <fgColor rgb="FF4020A0"/>
        <bgColor indexed="64"/>
      </patternFill>
    </fill>
    <fill>
      <patternFill patternType="solid">
        <fgColor rgb="FF4020C0"/>
        <bgColor indexed="64"/>
      </patternFill>
    </fill>
    <fill>
      <patternFill patternType="solid">
        <fgColor rgb="FF4020E0"/>
        <bgColor indexed="64"/>
      </patternFill>
    </fill>
    <fill>
      <patternFill patternType="solid">
        <fgColor rgb="FF4020FF"/>
        <bgColor indexed="64"/>
      </patternFill>
    </fill>
    <fill>
      <patternFill patternType="solid">
        <fgColor rgb="FF336699"/>
        <bgColor indexed="64"/>
      </patternFill>
    </fill>
    <fill>
      <patternFill patternType="solid">
        <fgColor rgb="FFEEEE00"/>
        <bgColor indexed="64"/>
      </patternFill>
    </fill>
    <fill>
      <patternFill patternType="solid">
        <fgColor rgb="FFFFE7BA"/>
        <bgColor indexed="64"/>
      </patternFill>
    </fill>
    <fill>
      <patternFill patternType="solid">
        <fgColor rgb="FF404000"/>
        <bgColor indexed="64"/>
      </patternFill>
    </fill>
    <fill>
      <patternFill patternType="solid">
        <fgColor rgb="FF404020"/>
        <bgColor indexed="64"/>
      </patternFill>
    </fill>
    <fill>
      <patternFill patternType="solid">
        <fgColor rgb="FF404060"/>
        <bgColor indexed="64"/>
      </patternFill>
    </fill>
    <fill>
      <patternFill patternType="solid">
        <fgColor rgb="FF404080"/>
        <bgColor indexed="64"/>
      </patternFill>
    </fill>
    <fill>
      <patternFill patternType="solid">
        <fgColor rgb="FF4040A0"/>
        <bgColor indexed="64"/>
      </patternFill>
    </fill>
    <fill>
      <patternFill patternType="solid">
        <fgColor rgb="FF4040C0"/>
        <bgColor indexed="64"/>
      </patternFill>
    </fill>
    <fill>
      <patternFill patternType="solid">
        <fgColor rgb="FF4040E0"/>
        <bgColor indexed="64"/>
      </patternFill>
    </fill>
    <fill>
      <patternFill patternType="solid">
        <fgColor rgb="FF4040FF"/>
        <bgColor indexed="64"/>
      </patternFill>
    </fill>
    <fill>
      <patternFill patternType="solid">
        <fgColor rgb="FF36648B"/>
        <bgColor indexed="64"/>
      </patternFill>
    </fill>
    <fill>
      <patternFill patternType="solid">
        <fgColor rgb="FFB3B191"/>
        <bgColor indexed="64"/>
      </patternFill>
    </fill>
    <fill>
      <patternFill patternType="solid">
        <fgColor rgb="FFFFEBCD"/>
        <bgColor indexed="64"/>
      </patternFill>
    </fill>
    <fill>
      <patternFill patternType="solid">
        <fgColor rgb="FF406000"/>
        <bgColor indexed="64"/>
      </patternFill>
    </fill>
    <fill>
      <patternFill patternType="solid">
        <fgColor rgb="FF406020"/>
        <bgColor indexed="64"/>
      </patternFill>
    </fill>
    <fill>
      <patternFill patternType="solid">
        <fgColor rgb="FF406040"/>
        <bgColor indexed="64"/>
      </patternFill>
    </fill>
    <fill>
      <patternFill patternType="solid">
        <fgColor rgb="FF406060"/>
        <bgColor indexed="64"/>
      </patternFill>
    </fill>
    <fill>
      <patternFill patternType="solid">
        <fgColor rgb="FF406080"/>
        <bgColor indexed="64"/>
      </patternFill>
    </fill>
    <fill>
      <patternFill patternType="solid">
        <fgColor rgb="FF4060A0"/>
        <bgColor indexed="64"/>
      </patternFill>
    </fill>
    <fill>
      <patternFill patternType="solid">
        <fgColor rgb="FF4060C0"/>
        <bgColor indexed="64"/>
      </patternFill>
    </fill>
    <fill>
      <patternFill patternType="solid">
        <fgColor rgb="FF4060E0"/>
        <bgColor indexed="64"/>
      </patternFill>
    </fill>
    <fill>
      <patternFill patternType="solid">
        <fgColor rgb="FF4060FF"/>
        <bgColor indexed="64"/>
      </patternFill>
    </fill>
    <fill>
      <patternFill patternType="solid">
        <fgColor rgb="FF00416A"/>
        <bgColor indexed="64"/>
      </patternFill>
    </fill>
    <fill>
      <patternFill patternType="solid">
        <fgColor rgb="FFD9D919"/>
        <bgColor indexed="64"/>
      </patternFill>
    </fill>
    <fill>
      <patternFill patternType="solid">
        <fgColor rgb="FFFFEFD5"/>
        <bgColor indexed="64"/>
      </patternFill>
    </fill>
    <fill>
      <patternFill patternType="solid">
        <fgColor rgb="FF408000"/>
        <bgColor indexed="64"/>
      </patternFill>
    </fill>
    <fill>
      <patternFill patternType="solid">
        <fgColor rgb="FF408020"/>
        <bgColor indexed="64"/>
      </patternFill>
    </fill>
    <fill>
      <patternFill patternType="solid">
        <fgColor rgb="FF408040"/>
        <bgColor indexed="64"/>
      </patternFill>
    </fill>
    <fill>
      <patternFill patternType="solid">
        <fgColor rgb="FF408060"/>
        <bgColor indexed="64"/>
      </patternFill>
    </fill>
    <fill>
      <patternFill patternType="solid">
        <fgColor rgb="FF408080"/>
        <bgColor indexed="64"/>
      </patternFill>
    </fill>
    <fill>
      <patternFill patternType="solid">
        <fgColor rgb="FF4080A0"/>
        <bgColor indexed="64"/>
      </patternFill>
    </fill>
    <fill>
      <patternFill patternType="solid">
        <fgColor rgb="FF4080C0"/>
        <bgColor indexed="64"/>
      </patternFill>
    </fill>
    <fill>
      <patternFill patternType="solid">
        <fgColor rgb="FF4080E0"/>
        <bgColor indexed="64"/>
      </patternFill>
    </fill>
    <fill>
      <patternFill patternType="solid">
        <fgColor rgb="FF4080FF"/>
        <bgColor indexed="64"/>
      </patternFill>
    </fill>
    <fill>
      <patternFill patternType="solid">
        <fgColor rgb="FF00304E"/>
        <bgColor indexed="64"/>
      </patternFill>
    </fill>
    <fill>
      <patternFill patternType="solid">
        <fgColor rgb="FFCDCD0D"/>
        <bgColor indexed="64"/>
      </patternFill>
    </fill>
    <fill>
      <patternFill patternType="solid">
        <fgColor rgb="FFFDF5E6"/>
        <bgColor indexed="64"/>
      </patternFill>
    </fill>
    <fill>
      <patternFill patternType="solid">
        <fgColor rgb="FF40A000"/>
        <bgColor indexed="64"/>
      </patternFill>
    </fill>
    <fill>
      <patternFill patternType="solid">
        <fgColor rgb="FF40A020"/>
        <bgColor indexed="64"/>
      </patternFill>
    </fill>
    <fill>
      <patternFill patternType="solid">
        <fgColor rgb="FF40A040"/>
        <bgColor indexed="64"/>
      </patternFill>
    </fill>
    <fill>
      <patternFill patternType="solid">
        <fgColor rgb="FF40A060"/>
        <bgColor indexed="64"/>
      </patternFill>
    </fill>
    <fill>
      <patternFill patternType="solid">
        <fgColor rgb="FF40A080"/>
        <bgColor indexed="64"/>
      </patternFill>
    </fill>
    <fill>
      <patternFill patternType="solid">
        <fgColor rgb="FF40A0A0"/>
        <bgColor indexed="64"/>
      </patternFill>
    </fill>
    <fill>
      <patternFill patternType="solid">
        <fgColor rgb="FF40A0C0"/>
        <bgColor indexed="64"/>
      </patternFill>
    </fill>
    <fill>
      <patternFill patternType="solid">
        <fgColor rgb="FF40A0E0"/>
        <bgColor indexed="64"/>
      </patternFill>
    </fill>
    <fill>
      <patternFill patternType="solid">
        <fgColor rgb="FF40A0FF"/>
        <bgColor indexed="64"/>
      </patternFill>
    </fill>
    <fill>
      <patternFill patternType="solid">
        <fgColor rgb="FFB4BCC0"/>
        <bgColor indexed="64"/>
      </patternFill>
    </fill>
    <fill>
      <patternFill patternType="solid">
        <fgColor rgb="FFCDCD00"/>
        <bgColor indexed="64"/>
      </patternFill>
    </fill>
    <fill>
      <patternFill patternType="solid">
        <fgColor rgb="FFFFFAF0"/>
        <bgColor indexed="64"/>
      </patternFill>
    </fill>
    <fill>
      <patternFill patternType="solid">
        <fgColor rgb="FF40C000"/>
        <bgColor indexed="64"/>
      </patternFill>
    </fill>
    <fill>
      <patternFill patternType="solid">
        <fgColor rgb="FF40C020"/>
        <bgColor indexed="64"/>
      </patternFill>
    </fill>
    <fill>
      <patternFill patternType="solid">
        <fgColor rgb="FF40C040"/>
        <bgColor indexed="64"/>
      </patternFill>
    </fill>
    <fill>
      <patternFill patternType="solid">
        <fgColor rgb="FF40C060"/>
        <bgColor indexed="64"/>
      </patternFill>
    </fill>
    <fill>
      <patternFill patternType="solid">
        <fgColor rgb="FF40C080"/>
        <bgColor indexed="64"/>
      </patternFill>
    </fill>
    <fill>
      <patternFill patternType="solid">
        <fgColor rgb="FF40C0A0"/>
        <bgColor indexed="64"/>
      </patternFill>
    </fill>
    <fill>
      <patternFill patternType="solid">
        <fgColor rgb="FF40C0C0"/>
        <bgColor indexed="64"/>
      </patternFill>
    </fill>
    <fill>
      <patternFill patternType="solid">
        <fgColor rgb="FF40C0E0"/>
        <bgColor indexed="64"/>
      </patternFill>
    </fill>
    <fill>
      <patternFill patternType="solid">
        <fgColor rgb="FF40C0FF"/>
        <bgColor indexed="64"/>
      </patternFill>
    </fill>
    <fill>
      <patternFill patternType="solid">
        <fgColor rgb="FF74D0F1"/>
        <bgColor indexed="64"/>
      </patternFill>
    </fill>
    <fill>
      <patternFill patternType="solid">
        <fgColor rgb="FF8B8B83"/>
        <bgColor indexed="64"/>
      </patternFill>
    </fill>
    <fill>
      <patternFill patternType="solid">
        <fgColor rgb="FFFCD21C"/>
        <bgColor indexed="64"/>
      </patternFill>
    </fill>
    <fill>
      <patternFill patternType="solid">
        <fgColor rgb="FF40E000"/>
        <bgColor indexed="64"/>
      </patternFill>
    </fill>
    <fill>
      <patternFill patternType="solid">
        <fgColor rgb="FF40E020"/>
        <bgColor indexed="64"/>
      </patternFill>
    </fill>
    <fill>
      <patternFill patternType="solid">
        <fgColor rgb="FF40E040"/>
        <bgColor indexed="64"/>
      </patternFill>
    </fill>
    <fill>
      <patternFill patternType="solid">
        <fgColor rgb="FF40E060"/>
        <bgColor indexed="64"/>
      </patternFill>
    </fill>
    <fill>
      <patternFill patternType="solid">
        <fgColor rgb="FF40E080"/>
        <bgColor indexed="64"/>
      </patternFill>
    </fill>
    <fill>
      <patternFill patternType="solid">
        <fgColor rgb="FF40E0A0"/>
        <bgColor indexed="64"/>
      </patternFill>
    </fill>
    <fill>
      <patternFill patternType="solid">
        <fgColor rgb="FF40E0C0"/>
        <bgColor indexed="64"/>
      </patternFill>
    </fill>
    <fill>
      <patternFill patternType="solid">
        <fgColor rgb="FF40E0E0"/>
        <bgColor indexed="64"/>
      </patternFill>
    </fill>
    <fill>
      <patternFill patternType="solid">
        <fgColor rgb="FF40E0FF"/>
        <bgColor indexed="64"/>
      </patternFill>
    </fill>
    <fill>
      <patternFill patternType="solid">
        <fgColor rgb="FF87CEEB"/>
        <bgColor indexed="64"/>
      </patternFill>
    </fill>
    <fill>
      <patternFill patternType="solid">
        <fgColor rgb="FF848482"/>
        <bgColor indexed="64"/>
      </patternFill>
    </fill>
    <fill>
      <patternFill patternType="solid">
        <fgColor rgb="FFE2BC74"/>
        <bgColor indexed="64"/>
      </patternFill>
    </fill>
    <fill>
      <patternFill patternType="solid">
        <fgColor rgb="FF40FF00"/>
        <bgColor indexed="64"/>
      </patternFill>
    </fill>
    <fill>
      <patternFill patternType="solid">
        <fgColor rgb="FF40FF20"/>
        <bgColor indexed="64"/>
      </patternFill>
    </fill>
    <fill>
      <patternFill patternType="solid">
        <fgColor rgb="FF40FF40"/>
        <bgColor indexed="64"/>
      </patternFill>
    </fill>
    <fill>
      <patternFill patternType="solid">
        <fgColor rgb="FF40FF60"/>
        <bgColor indexed="64"/>
      </patternFill>
    </fill>
    <fill>
      <patternFill patternType="solid">
        <fgColor rgb="FF40FF80"/>
        <bgColor indexed="64"/>
      </patternFill>
    </fill>
    <fill>
      <patternFill patternType="solid">
        <fgColor rgb="FF40FFA0"/>
        <bgColor indexed="64"/>
      </patternFill>
    </fill>
    <fill>
      <patternFill patternType="solid">
        <fgColor rgb="FF40FFC0"/>
        <bgColor indexed="64"/>
      </patternFill>
    </fill>
    <fill>
      <patternFill patternType="solid">
        <fgColor rgb="FF40FFE0"/>
        <bgColor indexed="64"/>
      </patternFill>
    </fill>
    <fill>
      <patternFill patternType="solid">
        <fgColor rgb="FF40FFFF"/>
        <bgColor indexed="64"/>
      </patternFill>
    </fill>
    <fill>
      <patternFill patternType="solid">
        <fgColor rgb="FFA4D3EE"/>
        <bgColor indexed="64"/>
      </patternFill>
    </fill>
    <fill>
      <patternFill patternType="solid">
        <fgColor rgb="FF8B8B7A"/>
        <bgColor indexed="64"/>
      </patternFill>
    </fill>
    <fill>
      <patternFill patternType="solid">
        <fgColor rgb="FFCDBA96"/>
        <bgColor indexed="64"/>
      </patternFill>
    </fill>
    <fill>
      <patternFill patternType="solid">
        <fgColor rgb="FF600000"/>
        <bgColor indexed="64"/>
      </patternFill>
    </fill>
    <fill>
      <patternFill patternType="solid">
        <fgColor rgb="FF600020"/>
        <bgColor indexed="64"/>
      </patternFill>
    </fill>
    <fill>
      <patternFill patternType="solid">
        <fgColor rgb="FF600040"/>
        <bgColor indexed="64"/>
      </patternFill>
    </fill>
    <fill>
      <patternFill patternType="solid">
        <fgColor rgb="FF600060"/>
        <bgColor indexed="64"/>
      </patternFill>
    </fill>
    <fill>
      <patternFill patternType="solid">
        <fgColor rgb="FF600080"/>
        <bgColor indexed="64"/>
      </patternFill>
    </fill>
    <fill>
      <patternFill patternType="solid">
        <fgColor rgb="FF6000A0"/>
        <bgColor indexed="64"/>
      </patternFill>
    </fill>
    <fill>
      <patternFill patternType="solid">
        <fgColor rgb="FF6000C0"/>
        <bgColor indexed="64"/>
      </patternFill>
    </fill>
    <fill>
      <patternFill patternType="solid">
        <fgColor rgb="FF6000E0"/>
        <bgColor indexed="64"/>
      </patternFill>
    </fill>
    <fill>
      <patternFill patternType="solid">
        <fgColor rgb="FF6000FF"/>
        <bgColor indexed="64"/>
      </patternFill>
    </fill>
    <fill>
      <patternFill patternType="solid">
        <fgColor rgb="FFBBD2E1"/>
        <bgColor indexed="64"/>
      </patternFill>
    </fill>
    <fill>
      <patternFill patternType="solid">
        <fgColor rgb="FF98943E"/>
        <bgColor indexed="64"/>
      </patternFill>
    </fill>
    <fill>
      <patternFill patternType="solid">
        <fgColor rgb="FFF3C300"/>
        <bgColor indexed="64"/>
      </patternFill>
    </fill>
    <fill>
      <patternFill patternType="solid">
        <fgColor rgb="FF602000"/>
        <bgColor indexed="64"/>
      </patternFill>
    </fill>
    <fill>
      <patternFill patternType="solid">
        <fgColor rgb="FF602020"/>
        <bgColor indexed="64"/>
      </patternFill>
    </fill>
    <fill>
      <patternFill patternType="solid">
        <fgColor rgb="FF602040"/>
        <bgColor indexed="64"/>
      </patternFill>
    </fill>
    <fill>
      <patternFill patternType="solid">
        <fgColor rgb="FF602060"/>
        <bgColor indexed="64"/>
      </patternFill>
    </fill>
    <fill>
      <patternFill patternType="solid">
        <fgColor rgb="FF602080"/>
        <bgColor indexed="64"/>
      </patternFill>
    </fill>
    <fill>
      <patternFill patternType="solid">
        <fgColor rgb="FF6020A0"/>
        <bgColor indexed="64"/>
      </patternFill>
    </fill>
    <fill>
      <patternFill patternType="solid">
        <fgColor rgb="FF6020C0"/>
        <bgColor indexed="64"/>
      </patternFill>
    </fill>
    <fill>
      <patternFill patternType="solid">
        <fgColor rgb="FF6020E0"/>
        <bgColor indexed="64"/>
      </patternFill>
    </fill>
    <fill>
      <patternFill patternType="solid">
        <fgColor rgb="FF6020FF"/>
        <bgColor indexed="64"/>
      </patternFill>
    </fill>
    <fill>
      <patternFill patternType="solid">
        <fgColor rgb="FFB0E2FF"/>
        <bgColor indexed="64"/>
      </patternFill>
    </fill>
    <fill>
      <patternFill patternType="solid">
        <fgColor rgb="FF8B8B00"/>
        <bgColor indexed="64"/>
      </patternFill>
    </fill>
    <fill>
      <patternFill patternType="solid">
        <fgColor rgb="FFF0C300"/>
        <bgColor indexed="64"/>
      </patternFill>
    </fill>
    <fill>
      <patternFill patternType="solid">
        <fgColor rgb="FF604000"/>
        <bgColor indexed="64"/>
      </patternFill>
    </fill>
    <fill>
      <patternFill patternType="solid">
        <fgColor rgb="FF604020"/>
        <bgColor indexed="64"/>
      </patternFill>
    </fill>
    <fill>
      <patternFill patternType="solid">
        <fgColor rgb="FF604040"/>
        <bgColor indexed="64"/>
      </patternFill>
    </fill>
    <fill>
      <patternFill patternType="solid">
        <fgColor rgb="FF604060"/>
        <bgColor indexed="64"/>
      </patternFill>
    </fill>
    <fill>
      <patternFill patternType="solid">
        <fgColor rgb="FF604080"/>
        <bgColor indexed="64"/>
      </patternFill>
    </fill>
    <fill>
      <patternFill patternType="solid">
        <fgColor rgb="FF6040A0"/>
        <bgColor indexed="64"/>
      </patternFill>
    </fill>
    <fill>
      <patternFill patternType="solid">
        <fgColor rgb="FF6040C0"/>
        <bgColor indexed="64"/>
      </patternFill>
    </fill>
    <fill>
      <patternFill patternType="solid">
        <fgColor rgb="FF6040E0"/>
        <bgColor indexed="64"/>
      </patternFill>
    </fill>
    <fill>
      <patternFill patternType="solid">
        <fgColor rgb="FF6040FF"/>
        <bgColor indexed="64"/>
      </patternFill>
    </fill>
    <fill>
      <patternFill patternType="solid">
        <fgColor rgb="FFDFF2FF"/>
        <bgColor indexed="64"/>
      </patternFill>
    </fill>
    <fill>
      <patternFill patternType="solid">
        <fgColor rgb="FF808000"/>
        <bgColor indexed="64"/>
      </patternFill>
    </fill>
    <fill>
      <patternFill patternType="solid">
        <fgColor rgb="FFBBAE98"/>
        <bgColor indexed="64"/>
      </patternFill>
    </fill>
    <fill>
      <patternFill patternType="solid">
        <fgColor rgb="FF606000"/>
        <bgColor indexed="64"/>
      </patternFill>
    </fill>
    <fill>
      <patternFill patternType="solid">
        <fgColor rgb="FF606020"/>
        <bgColor indexed="64"/>
      </patternFill>
    </fill>
    <fill>
      <patternFill patternType="solid">
        <fgColor rgb="FF606040"/>
        <bgColor indexed="64"/>
      </patternFill>
    </fill>
    <fill>
      <patternFill patternType="solid">
        <fgColor rgb="FF606060"/>
        <bgColor indexed="64"/>
      </patternFill>
    </fill>
    <fill>
      <patternFill patternType="solid">
        <fgColor rgb="FF606080"/>
        <bgColor indexed="64"/>
      </patternFill>
    </fill>
    <fill>
      <patternFill patternType="solid">
        <fgColor rgb="FF6060A0"/>
        <bgColor indexed="64"/>
      </patternFill>
    </fill>
    <fill>
      <patternFill patternType="solid">
        <fgColor rgb="FF6060C0"/>
        <bgColor indexed="64"/>
      </patternFill>
    </fill>
    <fill>
      <patternFill patternType="solid">
        <fgColor rgb="FF6060E0"/>
        <bgColor indexed="64"/>
      </patternFill>
    </fill>
    <fill>
      <patternFill patternType="solid">
        <fgColor rgb="FF6060FF"/>
        <bgColor indexed="64"/>
      </patternFill>
    </fill>
    <fill>
      <patternFill patternType="solid">
        <fgColor rgb="FF8DB6CD"/>
        <bgColor indexed="64"/>
      </patternFill>
    </fill>
    <fill>
      <patternFill patternType="solid">
        <fgColor rgb="FF4F4F2F"/>
        <bgColor indexed="64"/>
      </patternFill>
    </fill>
    <fill>
      <patternFill patternType="solid">
        <fgColor rgb="FFC8AD7F"/>
        <bgColor indexed="64"/>
      </patternFill>
    </fill>
    <fill>
      <patternFill patternType="solid">
        <fgColor rgb="FF608000"/>
        <bgColor indexed="64"/>
      </patternFill>
    </fill>
    <fill>
      <patternFill patternType="solid">
        <fgColor rgb="FF608020"/>
        <bgColor indexed="64"/>
      </patternFill>
    </fill>
    <fill>
      <patternFill patternType="solid">
        <fgColor rgb="FF608040"/>
        <bgColor indexed="64"/>
      </patternFill>
    </fill>
    <fill>
      <patternFill patternType="solid">
        <fgColor rgb="FF608060"/>
        <bgColor indexed="64"/>
      </patternFill>
    </fill>
    <fill>
      <patternFill patternType="solid">
        <fgColor rgb="FF608080"/>
        <bgColor indexed="64"/>
      </patternFill>
    </fill>
    <fill>
      <patternFill patternType="solid">
        <fgColor rgb="FF6080A0"/>
        <bgColor indexed="64"/>
      </patternFill>
    </fill>
    <fill>
      <patternFill patternType="solid">
        <fgColor rgb="FF6080C0"/>
        <bgColor indexed="64"/>
      </patternFill>
    </fill>
    <fill>
      <patternFill patternType="solid">
        <fgColor rgb="FF6080E0"/>
        <bgColor indexed="64"/>
      </patternFill>
    </fill>
    <fill>
      <patternFill patternType="solid">
        <fgColor rgb="FF6080FF"/>
        <bgColor indexed="64"/>
      </patternFill>
    </fill>
    <fill>
      <patternFill patternType="solid">
        <fgColor rgb="FF26C4EC"/>
        <bgColor indexed="64"/>
      </patternFill>
    </fill>
    <fill>
      <patternFill patternType="solid">
        <fgColor rgb="FFEDFF0C"/>
        <bgColor indexed="64"/>
      </patternFill>
    </fill>
    <fill>
      <patternFill patternType="solid">
        <fgColor rgb="FFDFAF2C"/>
        <bgColor indexed="64"/>
      </patternFill>
    </fill>
    <fill>
      <patternFill patternType="solid">
        <fgColor rgb="FF60A000"/>
        <bgColor indexed="64"/>
      </patternFill>
    </fill>
    <fill>
      <patternFill patternType="solid">
        <fgColor rgb="FF60A020"/>
        <bgColor indexed="64"/>
      </patternFill>
    </fill>
    <fill>
      <patternFill patternType="solid">
        <fgColor rgb="FF60A040"/>
        <bgColor indexed="64"/>
      </patternFill>
    </fill>
    <fill>
      <patternFill patternType="solid">
        <fgColor rgb="FF60A060"/>
        <bgColor indexed="64"/>
      </patternFill>
    </fill>
    <fill>
      <patternFill patternType="solid">
        <fgColor rgb="FF60A080"/>
        <bgColor indexed="64"/>
      </patternFill>
    </fill>
    <fill>
      <patternFill patternType="solid">
        <fgColor rgb="FF60A0A0"/>
        <bgColor indexed="64"/>
      </patternFill>
    </fill>
    <fill>
      <patternFill patternType="solid">
        <fgColor rgb="FF60A0C0"/>
        <bgColor indexed="64"/>
      </patternFill>
    </fill>
    <fill>
      <patternFill patternType="solid">
        <fgColor rgb="FF60A0E0"/>
        <bgColor indexed="64"/>
      </patternFill>
    </fill>
    <fill>
      <patternFill patternType="solid">
        <fgColor rgb="FF60A0FF"/>
        <bgColor indexed="64"/>
      </patternFill>
    </fill>
    <fill>
      <patternFill patternType="solid">
        <fgColor rgb="FF38B0DE"/>
        <bgColor indexed="64"/>
      </patternFill>
    </fill>
    <fill>
      <patternFill patternType="solid">
        <fgColor rgb="FFDADFB7"/>
        <bgColor indexed="64"/>
      </patternFill>
    </fill>
    <fill>
      <patternFill patternType="solid">
        <fgColor rgb="FFDAB30A"/>
        <bgColor indexed="64"/>
      </patternFill>
    </fill>
    <fill>
      <patternFill patternType="solid">
        <fgColor rgb="FF60C000"/>
        <bgColor indexed="64"/>
      </patternFill>
    </fill>
    <fill>
      <patternFill patternType="solid">
        <fgColor rgb="FF60C020"/>
        <bgColor indexed="64"/>
      </patternFill>
    </fill>
    <fill>
      <patternFill patternType="solid">
        <fgColor rgb="FF60C040"/>
        <bgColor indexed="64"/>
      </patternFill>
    </fill>
    <fill>
      <patternFill patternType="solid">
        <fgColor rgb="FF60C060"/>
        <bgColor indexed="64"/>
      </patternFill>
    </fill>
    <fill>
      <patternFill patternType="solid">
        <fgColor rgb="FF60C080"/>
        <bgColor indexed="64"/>
      </patternFill>
    </fill>
    <fill>
      <patternFill patternType="solid">
        <fgColor rgb="FF60C0A0"/>
        <bgColor indexed="64"/>
      </patternFill>
    </fill>
    <fill>
      <patternFill patternType="solid">
        <fgColor rgb="FF60C0C0"/>
        <bgColor indexed="64"/>
      </patternFill>
    </fill>
    <fill>
      <patternFill patternType="solid">
        <fgColor rgb="FF60C0E0"/>
        <bgColor indexed="64"/>
      </patternFill>
    </fill>
    <fill>
      <patternFill patternType="solid">
        <fgColor rgb="FF60C0FF"/>
        <bgColor indexed="64"/>
      </patternFill>
    </fill>
    <fill>
      <patternFill patternType="solid">
        <fgColor rgb="FF00A1C2"/>
        <bgColor indexed="64"/>
      </patternFill>
    </fill>
    <fill>
      <patternFill patternType="solid">
        <fgColor rgb="FFE7F00D"/>
        <bgColor indexed="64"/>
      </patternFill>
    </fill>
    <fill>
      <patternFill patternType="solid">
        <fgColor rgb="FFC9AE5D"/>
        <bgColor indexed="64"/>
      </patternFill>
    </fill>
    <fill>
      <patternFill patternType="solid">
        <fgColor rgb="FF60E000"/>
        <bgColor indexed="64"/>
      </patternFill>
    </fill>
    <fill>
      <patternFill patternType="solid">
        <fgColor rgb="FF60E020"/>
        <bgColor indexed="64"/>
      </patternFill>
    </fill>
    <fill>
      <patternFill patternType="solid">
        <fgColor rgb="FF60E040"/>
        <bgColor indexed="64"/>
      </patternFill>
    </fill>
    <fill>
      <patternFill patternType="solid">
        <fgColor rgb="FF60E060"/>
        <bgColor indexed="64"/>
      </patternFill>
    </fill>
    <fill>
      <patternFill patternType="solid">
        <fgColor rgb="FF60E080"/>
        <bgColor indexed="64"/>
      </patternFill>
    </fill>
    <fill>
      <patternFill patternType="solid">
        <fgColor rgb="FF60E0A0"/>
        <bgColor indexed="64"/>
      </patternFill>
    </fill>
    <fill>
      <patternFill patternType="solid">
        <fgColor rgb="FF60E0C0"/>
        <bgColor indexed="64"/>
      </patternFill>
    </fill>
    <fill>
      <patternFill patternType="solid">
        <fgColor rgb="FF60E0E0"/>
        <bgColor indexed="64"/>
      </patternFill>
    </fill>
    <fill>
      <patternFill patternType="solid">
        <fgColor rgb="FF60E0FF"/>
        <bgColor indexed="64"/>
      </patternFill>
    </fill>
    <fill>
      <patternFill patternType="solid">
        <fgColor rgb="FF81878B"/>
        <bgColor indexed="64"/>
      </patternFill>
    </fill>
    <fill>
      <patternFill patternType="solid">
        <fgColor rgb="FFC7CF00"/>
        <bgColor indexed="64"/>
      </patternFill>
    </fill>
    <fill>
      <patternFill patternType="solid">
        <fgColor rgb="FFD4AF37"/>
        <bgColor indexed="64"/>
      </patternFill>
    </fill>
    <fill>
      <patternFill patternType="solid">
        <fgColor rgb="FF60FF00"/>
        <bgColor indexed="64"/>
      </patternFill>
    </fill>
    <fill>
      <patternFill patternType="solid">
        <fgColor rgb="FF60FF20"/>
        <bgColor indexed="64"/>
      </patternFill>
    </fill>
    <fill>
      <patternFill patternType="solid">
        <fgColor rgb="FF60FF40"/>
        <bgColor indexed="64"/>
      </patternFill>
    </fill>
    <fill>
      <patternFill patternType="solid">
        <fgColor rgb="FF60FF60"/>
        <bgColor indexed="64"/>
      </patternFill>
    </fill>
    <fill>
      <patternFill patternType="solid">
        <fgColor rgb="FF60FF80"/>
        <bgColor indexed="64"/>
      </patternFill>
    </fill>
    <fill>
      <patternFill patternType="solid">
        <fgColor rgb="FF60FFA0"/>
        <bgColor indexed="64"/>
      </patternFill>
    </fill>
    <fill>
      <patternFill patternType="solid">
        <fgColor rgb="FF60FFC0"/>
        <bgColor indexed="64"/>
      </patternFill>
    </fill>
    <fill>
      <patternFill patternType="solid">
        <fgColor rgb="FF60FFE0"/>
        <bgColor indexed="64"/>
      </patternFill>
    </fill>
    <fill>
      <patternFill patternType="solid">
        <fgColor rgb="FF60FFFF"/>
        <bgColor indexed="64"/>
      </patternFill>
    </fill>
    <fill>
      <patternFill patternType="solid">
        <fgColor rgb="FF607B8B"/>
        <bgColor indexed="64"/>
      </patternFill>
    </fill>
    <fill>
      <patternFill patternType="solid">
        <fgColor rgb="FFCDC9A5"/>
        <bgColor indexed="64"/>
      </patternFill>
    </fill>
    <fill>
      <patternFill patternType="solid">
        <fgColor rgb="FFBA9B61"/>
        <bgColor indexed="64"/>
      </patternFill>
    </fill>
    <fill>
      <patternFill patternType="solid">
        <fgColor rgb="FF800020"/>
        <bgColor indexed="64"/>
      </patternFill>
    </fill>
    <fill>
      <patternFill patternType="solid">
        <fgColor rgb="FF800040"/>
        <bgColor indexed="64"/>
      </patternFill>
    </fill>
    <fill>
      <patternFill patternType="solid">
        <fgColor rgb="FF800060"/>
        <bgColor indexed="64"/>
      </patternFill>
    </fill>
    <fill>
      <patternFill patternType="solid">
        <fgColor rgb="FF8000A0"/>
        <bgColor indexed="64"/>
      </patternFill>
    </fill>
    <fill>
      <patternFill patternType="solid">
        <fgColor rgb="FF8000C0"/>
        <bgColor indexed="64"/>
      </patternFill>
    </fill>
    <fill>
      <patternFill patternType="solid">
        <fgColor rgb="FF8000E0"/>
        <bgColor indexed="64"/>
      </patternFill>
    </fill>
    <fill>
      <patternFill patternType="solid">
        <fgColor rgb="FF8000FF"/>
        <bgColor indexed="64"/>
      </patternFill>
    </fill>
    <fill>
      <patternFill patternType="solid">
        <fgColor rgb="FF0085A1"/>
        <bgColor indexed="64"/>
      </patternFill>
    </fill>
    <fill>
      <patternFill patternType="solid">
        <fgColor rgb="FFF0E36B"/>
        <bgColor indexed="64"/>
      </patternFill>
    </fill>
    <fill>
      <patternFill patternType="solid">
        <fgColor rgb="FFA89874"/>
        <bgColor indexed="64"/>
      </patternFill>
    </fill>
    <fill>
      <patternFill patternType="solid">
        <fgColor rgb="FF802000"/>
        <bgColor indexed="64"/>
      </patternFill>
    </fill>
    <fill>
      <patternFill patternType="solid">
        <fgColor rgb="FF802020"/>
        <bgColor indexed="64"/>
      </patternFill>
    </fill>
    <fill>
      <patternFill patternType="solid">
        <fgColor rgb="FF802040"/>
        <bgColor indexed="64"/>
      </patternFill>
    </fill>
    <fill>
      <patternFill patternType="solid">
        <fgColor rgb="FF802060"/>
        <bgColor indexed="64"/>
      </patternFill>
    </fill>
    <fill>
      <patternFill patternType="solid">
        <fgColor rgb="FF802080"/>
        <bgColor indexed="64"/>
      </patternFill>
    </fill>
    <fill>
      <patternFill patternType="solid">
        <fgColor rgb="FF8020A0"/>
        <bgColor indexed="64"/>
      </patternFill>
    </fill>
    <fill>
      <patternFill patternType="solid">
        <fgColor rgb="FF8020C0"/>
        <bgColor indexed="64"/>
      </patternFill>
    </fill>
    <fill>
      <patternFill patternType="solid">
        <fgColor rgb="FF8020E0"/>
        <bgColor indexed="64"/>
      </patternFill>
    </fill>
    <fill>
      <patternFill patternType="solid">
        <fgColor rgb="FF8020FF"/>
        <bgColor indexed="64"/>
      </patternFill>
    </fill>
    <fill>
      <patternFill patternType="solid">
        <fgColor rgb="FF007791"/>
        <bgColor indexed="64"/>
      </patternFill>
    </fill>
    <fill>
      <patternFill patternType="solid">
        <fgColor rgb="FFF7E35F"/>
        <bgColor indexed="64"/>
      </patternFill>
    </fill>
    <fill>
      <patternFill patternType="solid">
        <fgColor rgb="FFA18F60"/>
        <bgColor indexed="64"/>
      </patternFill>
    </fill>
    <fill>
      <patternFill patternType="solid">
        <fgColor rgb="FF804000"/>
        <bgColor indexed="64"/>
      </patternFill>
    </fill>
    <fill>
      <patternFill patternType="solid">
        <fgColor rgb="FF804020"/>
        <bgColor indexed="64"/>
      </patternFill>
    </fill>
    <fill>
      <patternFill patternType="solid">
        <fgColor rgb="FF804040"/>
        <bgColor indexed="64"/>
      </patternFill>
    </fill>
    <fill>
      <patternFill patternType="solid">
        <fgColor rgb="FF804060"/>
        <bgColor indexed="64"/>
      </patternFill>
    </fill>
    <fill>
      <patternFill patternType="solid">
        <fgColor rgb="FF804080"/>
        <bgColor indexed="64"/>
      </patternFill>
    </fill>
    <fill>
      <patternFill patternType="solid">
        <fgColor rgb="FF8040A0"/>
        <bgColor indexed="64"/>
      </patternFill>
    </fill>
    <fill>
      <patternFill patternType="solid">
        <fgColor rgb="FF8040C0"/>
        <bgColor indexed="64"/>
      </patternFill>
    </fill>
    <fill>
      <patternFill patternType="solid">
        <fgColor rgb="FF8040E0"/>
        <bgColor indexed="64"/>
      </patternFill>
    </fill>
    <fill>
      <patternFill patternType="solid">
        <fgColor rgb="FF8040FF"/>
        <bgColor indexed="64"/>
      </patternFill>
    </fill>
    <fill>
      <patternFill patternType="solid">
        <fgColor rgb="FF067790"/>
        <bgColor indexed="64"/>
      </patternFill>
    </fill>
    <fill>
      <patternFill patternType="solid">
        <fgColor rgb="FFCDC8B1"/>
        <bgColor indexed="64"/>
      </patternFill>
    </fill>
    <fill>
      <patternFill patternType="solid">
        <fgColor rgb="FFAB9144"/>
        <bgColor indexed="64"/>
      </patternFill>
    </fill>
    <fill>
      <patternFill patternType="solid">
        <fgColor rgb="FF806000"/>
        <bgColor indexed="64"/>
      </patternFill>
    </fill>
    <fill>
      <patternFill patternType="solid">
        <fgColor rgb="FF806020"/>
        <bgColor indexed="64"/>
      </patternFill>
    </fill>
    <fill>
      <patternFill patternType="solid">
        <fgColor rgb="FF806040"/>
        <bgColor indexed="64"/>
      </patternFill>
    </fill>
    <fill>
      <patternFill patternType="solid">
        <fgColor rgb="FF806060"/>
        <bgColor indexed="64"/>
      </patternFill>
    </fill>
    <fill>
      <patternFill patternType="solid">
        <fgColor rgb="FF806080"/>
        <bgColor indexed="64"/>
      </patternFill>
    </fill>
    <fill>
      <patternFill patternType="solid">
        <fgColor rgb="FF8060A0"/>
        <bgColor indexed="64"/>
      </patternFill>
    </fill>
    <fill>
      <patternFill patternType="solid">
        <fgColor rgb="FF8060C0"/>
        <bgColor indexed="64"/>
      </patternFill>
    </fill>
    <fill>
      <patternFill patternType="solid">
        <fgColor rgb="FF8060E0"/>
        <bgColor indexed="64"/>
      </patternFill>
    </fill>
    <fill>
      <patternFill patternType="solid">
        <fgColor rgb="FF8060FF"/>
        <bgColor indexed="64"/>
      </patternFill>
    </fill>
    <fill>
      <patternFill patternType="solid">
        <fgColor rgb="FF002E3B"/>
        <bgColor indexed="64"/>
      </patternFill>
    </fill>
    <fill>
      <patternFill patternType="solid">
        <fgColor rgb="FFEEE685"/>
        <bgColor indexed="64"/>
      </patternFill>
    </fill>
    <fill>
      <patternFill patternType="solid">
        <fgColor rgb="FF8B8378"/>
        <bgColor indexed="64"/>
      </patternFill>
    </fill>
    <fill>
      <patternFill patternType="solid">
        <fgColor rgb="FF808020"/>
        <bgColor indexed="64"/>
      </patternFill>
    </fill>
    <fill>
      <patternFill patternType="solid">
        <fgColor rgb="FF808040"/>
        <bgColor indexed="64"/>
      </patternFill>
    </fill>
    <fill>
      <patternFill patternType="solid">
        <fgColor rgb="FF808060"/>
        <bgColor indexed="64"/>
      </patternFill>
    </fill>
    <fill>
      <patternFill patternType="solid">
        <fgColor rgb="FF8080A0"/>
        <bgColor indexed="64"/>
      </patternFill>
    </fill>
    <fill>
      <patternFill patternType="solid">
        <fgColor rgb="FF8080C0"/>
        <bgColor indexed="64"/>
      </patternFill>
    </fill>
    <fill>
      <patternFill patternType="solid">
        <fgColor rgb="FF8080E0"/>
        <bgColor indexed="64"/>
      </patternFill>
    </fill>
    <fill>
      <patternFill patternType="solid">
        <fgColor rgb="FF8080FF"/>
        <bgColor indexed="64"/>
      </patternFill>
    </fill>
    <fill>
      <patternFill patternType="solid">
        <fgColor rgb="FFFAEA73"/>
        <bgColor indexed="64"/>
      </patternFill>
    </fill>
    <fill>
      <patternFill patternType="solid">
        <fgColor rgb="FFAF8D13"/>
        <bgColor indexed="64"/>
      </patternFill>
    </fill>
    <fill>
      <patternFill patternType="solid">
        <fgColor rgb="FF80A000"/>
        <bgColor indexed="64"/>
      </patternFill>
    </fill>
    <fill>
      <patternFill patternType="solid">
        <fgColor rgb="FF80A020"/>
        <bgColor indexed="64"/>
      </patternFill>
    </fill>
    <fill>
      <patternFill patternType="solid">
        <fgColor rgb="FF80A040"/>
        <bgColor indexed="64"/>
      </patternFill>
    </fill>
    <fill>
      <patternFill patternType="solid">
        <fgColor rgb="FF80A060"/>
        <bgColor indexed="64"/>
      </patternFill>
    </fill>
    <fill>
      <patternFill patternType="solid">
        <fgColor rgb="FF80A080"/>
        <bgColor indexed="64"/>
      </patternFill>
    </fill>
    <fill>
      <patternFill patternType="solid">
        <fgColor rgb="FF80A0A0"/>
        <bgColor indexed="64"/>
      </patternFill>
    </fill>
    <fill>
      <patternFill patternType="solid">
        <fgColor rgb="FF80A0C0"/>
        <bgColor indexed="64"/>
      </patternFill>
    </fill>
    <fill>
      <patternFill patternType="solid">
        <fgColor rgb="FF80A0E0"/>
        <bgColor indexed="64"/>
      </patternFill>
    </fill>
    <fill>
      <patternFill patternType="solid">
        <fgColor rgb="FF80A0FF"/>
        <bgColor indexed="64"/>
      </patternFill>
    </fill>
    <fill>
      <patternFill patternType="solid">
        <fgColor rgb="FFF0E68C"/>
        <bgColor indexed="64"/>
      </patternFill>
    </fill>
    <fill>
      <patternFill patternType="solid">
        <fgColor rgb="FF8B7E66"/>
        <bgColor indexed="64"/>
      </patternFill>
    </fill>
    <fill>
      <patternFill patternType="solid">
        <fgColor rgb="FF80C000"/>
        <bgColor indexed="64"/>
      </patternFill>
    </fill>
    <fill>
      <patternFill patternType="solid">
        <fgColor rgb="FF80C020"/>
        <bgColor indexed="64"/>
      </patternFill>
    </fill>
    <fill>
      <patternFill patternType="solid">
        <fgColor rgb="FF80C040"/>
        <bgColor indexed="64"/>
      </patternFill>
    </fill>
    <fill>
      <patternFill patternType="solid">
        <fgColor rgb="FF80C060"/>
        <bgColor indexed="64"/>
      </patternFill>
    </fill>
    <fill>
      <patternFill patternType="solid">
        <fgColor rgb="FF80C080"/>
        <bgColor indexed="64"/>
      </patternFill>
    </fill>
    <fill>
      <patternFill patternType="solid">
        <fgColor rgb="FF80C0A0"/>
        <bgColor indexed="64"/>
      </patternFill>
    </fill>
    <fill>
      <patternFill patternType="solid">
        <fgColor rgb="FF80C0C0"/>
        <bgColor indexed="64"/>
      </patternFill>
    </fill>
    <fill>
      <patternFill patternType="solid">
        <fgColor rgb="FF80C0E0"/>
        <bgColor indexed="64"/>
      </patternFill>
    </fill>
    <fill>
      <patternFill patternType="solid">
        <fgColor rgb="FF80C0FF"/>
        <bgColor indexed="64"/>
      </patternFill>
    </fill>
    <fill>
      <patternFill patternType="solid">
        <fgColor rgb="FF4D4DFF"/>
        <bgColor indexed="64"/>
      </patternFill>
    </fill>
    <fill>
      <patternFill patternType="solid">
        <fgColor rgb="FFEEE8AA"/>
        <bgColor indexed="64"/>
      </patternFill>
    </fill>
    <fill>
      <patternFill patternType="solid">
        <fgColor rgb="FF8C7853"/>
        <bgColor indexed="64"/>
      </patternFill>
    </fill>
    <fill>
      <patternFill patternType="solid">
        <fgColor rgb="FF80E000"/>
        <bgColor indexed="64"/>
      </patternFill>
    </fill>
    <fill>
      <patternFill patternType="solid">
        <fgColor rgb="FF80E020"/>
        <bgColor indexed="64"/>
      </patternFill>
    </fill>
    <fill>
      <patternFill patternType="solid">
        <fgColor rgb="FF80E040"/>
        <bgColor indexed="64"/>
      </patternFill>
    </fill>
    <fill>
      <patternFill patternType="solid">
        <fgColor rgb="FF80E060"/>
        <bgColor indexed="64"/>
      </patternFill>
    </fill>
    <fill>
      <patternFill patternType="solid">
        <fgColor rgb="FF80E080"/>
        <bgColor indexed="64"/>
      </patternFill>
    </fill>
    <fill>
      <patternFill patternType="solid">
        <fgColor rgb="FF80E0A0"/>
        <bgColor indexed="64"/>
      </patternFill>
    </fill>
    <fill>
      <patternFill patternType="solid">
        <fgColor rgb="FF80E0C0"/>
        <bgColor indexed="64"/>
      </patternFill>
    </fill>
    <fill>
      <patternFill patternType="solid">
        <fgColor rgb="FF80E0E0"/>
        <bgColor indexed="64"/>
      </patternFill>
    </fill>
    <fill>
      <patternFill patternType="solid">
        <fgColor rgb="FF80E0FF"/>
        <bgColor indexed="64"/>
      </patternFill>
    </fill>
    <fill>
      <patternFill patternType="solid">
        <fgColor rgb="FFC4C3DD"/>
        <bgColor indexed="64"/>
      </patternFill>
    </fill>
    <fill>
      <patternFill patternType="solid">
        <fgColor rgb="FFFFF48D"/>
        <bgColor indexed="64"/>
      </patternFill>
    </fill>
    <fill>
      <patternFill patternType="solid">
        <fgColor rgb="FF766F64"/>
        <bgColor indexed="64"/>
      </patternFill>
    </fill>
    <fill>
      <patternFill patternType="solid">
        <fgColor rgb="FF80FF00"/>
        <bgColor indexed="64"/>
      </patternFill>
    </fill>
    <fill>
      <patternFill patternType="solid">
        <fgColor rgb="FF80FF20"/>
        <bgColor indexed="64"/>
      </patternFill>
    </fill>
    <fill>
      <patternFill patternType="solid">
        <fgColor rgb="FF80FF40"/>
        <bgColor indexed="64"/>
      </patternFill>
    </fill>
    <fill>
      <patternFill patternType="solid">
        <fgColor rgb="FF80FF60"/>
        <bgColor indexed="64"/>
      </patternFill>
    </fill>
    <fill>
      <patternFill patternType="solid">
        <fgColor rgb="FF80FF80"/>
        <bgColor indexed="64"/>
      </patternFill>
    </fill>
    <fill>
      <patternFill patternType="solid">
        <fgColor rgb="FF80FFA0"/>
        <bgColor indexed="64"/>
      </patternFill>
    </fill>
    <fill>
      <patternFill patternType="solid">
        <fgColor rgb="FF80FFC0"/>
        <bgColor indexed="64"/>
      </patternFill>
    </fill>
    <fill>
      <patternFill patternType="solid">
        <fgColor rgb="FF80FFE0"/>
        <bgColor indexed="64"/>
      </patternFill>
    </fill>
    <fill>
      <patternFill patternType="solid">
        <fgColor rgb="FF80FFFF"/>
        <bgColor indexed="64"/>
      </patternFill>
    </fill>
    <fill>
      <patternFill patternType="solid">
        <fgColor rgb="FFD9D9F3"/>
        <bgColor indexed="64"/>
      </patternFill>
    </fill>
    <fill>
      <patternFill patternType="solid">
        <fgColor rgb="FFFFF68F"/>
        <bgColor indexed="64"/>
      </patternFill>
    </fill>
    <fill>
      <patternFill patternType="solid">
        <fgColor rgb="FF6B5731"/>
        <bgColor indexed="64"/>
      </patternFill>
    </fill>
    <fill>
      <patternFill patternType="solid">
        <fgColor rgb="FFA00000"/>
        <bgColor indexed="64"/>
      </patternFill>
    </fill>
    <fill>
      <patternFill patternType="solid">
        <fgColor rgb="FFA00020"/>
        <bgColor indexed="64"/>
      </patternFill>
    </fill>
    <fill>
      <patternFill patternType="solid">
        <fgColor rgb="FFA00040"/>
        <bgColor indexed="64"/>
      </patternFill>
    </fill>
    <fill>
      <patternFill patternType="solid">
        <fgColor rgb="FFA00060"/>
        <bgColor indexed="64"/>
      </patternFill>
    </fill>
    <fill>
      <patternFill patternType="solid">
        <fgColor rgb="FFA00080"/>
        <bgColor indexed="64"/>
      </patternFill>
    </fill>
    <fill>
      <patternFill patternType="solid">
        <fgColor rgb="FFA000A0"/>
        <bgColor indexed="64"/>
      </patternFill>
    </fill>
    <fill>
      <patternFill patternType="solid">
        <fgColor rgb="FFA000C0"/>
        <bgColor indexed="64"/>
      </patternFill>
    </fill>
    <fill>
      <patternFill patternType="solid">
        <fgColor rgb="FFA000E0"/>
        <bgColor indexed="64"/>
      </patternFill>
    </fill>
    <fill>
      <patternFill patternType="solid">
        <fgColor rgb="FFA000FF"/>
        <bgColor indexed="64"/>
      </patternFill>
    </fill>
    <fill>
      <patternFill patternType="solid">
        <fgColor rgb="FFEEE9BF"/>
        <bgColor indexed="64"/>
      </patternFill>
    </fill>
    <fill>
      <patternFill patternType="solid">
        <fgColor rgb="FF614E1A"/>
        <bgColor indexed="64"/>
      </patternFill>
    </fill>
    <fill>
      <patternFill patternType="solid">
        <fgColor rgb="FFA02000"/>
        <bgColor indexed="64"/>
      </patternFill>
    </fill>
    <fill>
      <patternFill patternType="solid">
        <fgColor rgb="FFA02020"/>
        <bgColor indexed="64"/>
      </patternFill>
    </fill>
    <fill>
      <patternFill patternType="solid">
        <fgColor rgb="FFA02040"/>
        <bgColor indexed="64"/>
      </patternFill>
    </fill>
    <fill>
      <patternFill patternType="solid">
        <fgColor rgb="FFA02060"/>
        <bgColor indexed="64"/>
      </patternFill>
    </fill>
    <fill>
      <patternFill patternType="solid">
        <fgColor rgb="FFA02080"/>
        <bgColor indexed="64"/>
      </patternFill>
    </fill>
    <fill>
      <patternFill patternType="solid">
        <fgColor rgb="FFA020A0"/>
        <bgColor indexed="64"/>
      </patternFill>
    </fill>
    <fill>
      <patternFill patternType="solid">
        <fgColor rgb="FFA020C0"/>
        <bgColor indexed="64"/>
      </patternFill>
    </fill>
    <fill>
      <patternFill patternType="solid">
        <fgColor rgb="FFA020E0"/>
        <bgColor indexed="64"/>
      </patternFill>
    </fill>
    <fill>
      <patternFill patternType="solid">
        <fgColor rgb="FFA020FF"/>
        <bgColor indexed="64"/>
      </patternFill>
    </fill>
    <fill>
      <patternFill patternType="solid">
        <fgColor rgb="FFE9E9ED"/>
        <bgColor indexed="64"/>
      </patternFill>
    </fill>
    <fill>
      <patternFill patternType="solid">
        <fgColor rgb="FFFBF2B7"/>
        <bgColor indexed="64"/>
      </patternFill>
    </fill>
    <fill>
      <patternFill patternType="solid">
        <fgColor rgb="FF463F32"/>
        <bgColor indexed="64"/>
      </patternFill>
    </fill>
    <fill>
      <patternFill patternType="solid">
        <fgColor rgb="FFA04000"/>
        <bgColor indexed="64"/>
      </patternFill>
    </fill>
    <fill>
      <patternFill patternType="solid">
        <fgColor rgb="FFA04020"/>
        <bgColor indexed="64"/>
      </patternFill>
    </fill>
    <fill>
      <patternFill patternType="solid">
        <fgColor rgb="FFA04040"/>
        <bgColor indexed="64"/>
      </patternFill>
    </fill>
    <fill>
      <patternFill patternType="solid">
        <fgColor rgb="FFA04060"/>
        <bgColor indexed="64"/>
      </patternFill>
    </fill>
    <fill>
      <patternFill patternType="solid">
        <fgColor rgb="FFA04080"/>
        <bgColor indexed="64"/>
      </patternFill>
    </fill>
    <fill>
      <patternFill patternType="solid">
        <fgColor rgb="FFA040A0"/>
        <bgColor indexed="64"/>
      </patternFill>
    </fill>
    <fill>
      <patternFill patternType="solid">
        <fgColor rgb="FFA040C0"/>
        <bgColor indexed="64"/>
      </patternFill>
    </fill>
    <fill>
      <patternFill patternType="solid">
        <fgColor rgb="FFA040E0"/>
        <bgColor indexed="64"/>
      </patternFill>
    </fill>
    <fill>
      <patternFill patternType="solid">
        <fgColor rgb="FFA040FF"/>
        <bgColor indexed="64"/>
      </patternFill>
    </fill>
    <fill>
      <patternFill patternType="solid">
        <fgColor rgb="FFE6E6FA"/>
        <bgColor indexed="64"/>
      </patternFill>
    </fill>
    <fill>
      <patternFill patternType="solid">
        <fgColor rgb="FFFDF1B8"/>
        <bgColor indexed="64"/>
      </patternFill>
    </fill>
    <fill>
      <patternFill patternType="solid">
        <fgColor rgb="FF292107"/>
        <bgColor indexed="64"/>
      </patternFill>
    </fill>
    <fill>
      <patternFill patternType="solid">
        <fgColor rgb="FFA06000"/>
        <bgColor indexed="64"/>
      </patternFill>
    </fill>
    <fill>
      <patternFill patternType="solid">
        <fgColor rgb="FFA06020"/>
        <bgColor indexed="64"/>
      </patternFill>
    </fill>
    <fill>
      <patternFill patternType="solid">
        <fgColor rgb="FFA06040"/>
        <bgColor indexed="64"/>
      </patternFill>
    </fill>
    <fill>
      <patternFill patternType="solid">
        <fgColor rgb="FFA06060"/>
        <bgColor indexed="64"/>
      </patternFill>
    </fill>
    <fill>
      <patternFill patternType="solid">
        <fgColor rgb="FFA06080"/>
        <bgColor indexed="64"/>
      </patternFill>
    </fill>
    <fill>
      <patternFill patternType="solid">
        <fgColor rgb="FFA060A0"/>
        <bgColor indexed="64"/>
      </patternFill>
    </fill>
    <fill>
      <patternFill patternType="solid">
        <fgColor rgb="FFA060C0"/>
        <bgColor indexed="64"/>
      </patternFill>
    </fill>
    <fill>
      <patternFill patternType="solid">
        <fgColor rgb="FFA060E0"/>
        <bgColor indexed="64"/>
      </patternFill>
    </fill>
    <fill>
      <patternFill patternType="solid">
        <fgColor rgb="FFA060FF"/>
        <bgColor indexed="64"/>
      </patternFill>
    </fill>
    <fill>
      <patternFill patternType="solid">
        <fgColor rgb="FFF8F8FF"/>
        <bgColor indexed="64"/>
      </patternFill>
    </fill>
    <fill>
      <patternFill patternType="solid">
        <fgColor rgb="FFEEE8CD"/>
        <bgColor indexed="64"/>
      </patternFill>
    </fill>
    <fill>
      <patternFill patternType="solid">
        <fgColor rgb="FFFFA500"/>
        <bgColor indexed="64"/>
      </patternFill>
    </fill>
    <fill>
      <patternFill patternType="solid">
        <fgColor rgb="FFA08000"/>
        <bgColor indexed="64"/>
      </patternFill>
    </fill>
    <fill>
      <patternFill patternType="solid">
        <fgColor rgb="FFA08020"/>
        <bgColor indexed="64"/>
      </patternFill>
    </fill>
    <fill>
      <patternFill patternType="solid">
        <fgColor rgb="FFA08040"/>
        <bgColor indexed="64"/>
      </patternFill>
    </fill>
    <fill>
      <patternFill patternType="solid">
        <fgColor rgb="FFA08060"/>
        <bgColor indexed="64"/>
      </patternFill>
    </fill>
    <fill>
      <patternFill patternType="solid">
        <fgColor rgb="FFA08080"/>
        <bgColor indexed="64"/>
      </patternFill>
    </fill>
    <fill>
      <patternFill patternType="solid">
        <fgColor rgb="FFA080A0"/>
        <bgColor indexed="64"/>
      </patternFill>
    </fill>
    <fill>
      <patternFill patternType="solid">
        <fgColor rgb="FFA080C0"/>
        <bgColor indexed="64"/>
      </patternFill>
    </fill>
    <fill>
      <patternFill patternType="solid">
        <fgColor rgb="FFA080E0"/>
        <bgColor indexed="64"/>
      </patternFill>
    </fill>
    <fill>
      <patternFill patternType="solid">
        <fgColor rgb="FFA080FF"/>
        <bgColor indexed="64"/>
      </patternFill>
    </fill>
    <fill>
      <patternFill patternType="solid">
        <fgColor rgb="FF0000EE"/>
        <bgColor indexed="64"/>
      </patternFill>
    </fill>
    <fill>
      <patternFill patternType="solid">
        <fgColor rgb="FFFFFACD"/>
        <bgColor indexed="64"/>
      </patternFill>
    </fill>
    <fill>
      <patternFill patternType="solid">
        <fgColor rgb="FFF4A460"/>
        <bgColor indexed="64"/>
      </patternFill>
    </fill>
    <fill>
      <patternFill patternType="solid">
        <fgColor rgb="FFA0A000"/>
        <bgColor indexed="64"/>
      </patternFill>
    </fill>
    <fill>
      <patternFill patternType="solid">
        <fgColor rgb="FFA0A020"/>
        <bgColor indexed="64"/>
      </patternFill>
    </fill>
    <fill>
      <patternFill patternType="solid">
        <fgColor rgb="FFA0A040"/>
        <bgColor indexed="64"/>
      </patternFill>
    </fill>
    <fill>
      <patternFill patternType="solid">
        <fgColor rgb="FFA0A060"/>
        <bgColor indexed="64"/>
      </patternFill>
    </fill>
    <fill>
      <patternFill patternType="solid">
        <fgColor rgb="FFA0A080"/>
        <bgColor indexed="64"/>
      </patternFill>
    </fill>
    <fill>
      <patternFill patternType="solid">
        <fgColor rgb="FFA0A0A0"/>
        <bgColor indexed="64"/>
      </patternFill>
    </fill>
    <fill>
      <patternFill patternType="solid">
        <fgColor rgb="FFA0A0C0"/>
        <bgColor indexed="64"/>
      </patternFill>
    </fill>
    <fill>
      <patternFill patternType="solid">
        <fgColor rgb="FFA0A0E0"/>
        <bgColor indexed="64"/>
      </patternFill>
    </fill>
    <fill>
      <patternFill patternType="solid">
        <fgColor rgb="FFA0A0FF"/>
        <bgColor indexed="64"/>
      </patternFill>
    </fill>
    <fill>
      <patternFill patternType="solid">
        <fgColor rgb="FF6050DC"/>
        <bgColor indexed="64"/>
      </patternFill>
    </fill>
    <fill>
      <patternFill patternType="solid">
        <fgColor rgb="FFFEFDF0"/>
        <bgColor indexed="64"/>
      </patternFill>
    </fill>
    <fill>
      <patternFill patternType="solid">
        <fgColor rgb="FFFEA347"/>
        <bgColor indexed="64"/>
      </patternFill>
    </fill>
    <fill>
      <patternFill patternType="solid">
        <fgColor rgb="FFA0C000"/>
        <bgColor indexed="64"/>
      </patternFill>
    </fill>
    <fill>
      <patternFill patternType="solid">
        <fgColor rgb="FFA0C020"/>
        <bgColor indexed="64"/>
      </patternFill>
    </fill>
    <fill>
      <patternFill patternType="solid">
        <fgColor rgb="FFA0C040"/>
        <bgColor indexed="64"/>
      </patternFill>
    </fill>
    <fill>
      <patternFill patternType="solid">
        <fgColor rgb="FFA0C060"/>
        <bgColor indexed="64"/>
      </patternFill>
    </fill>
    <fill>
      <patternFill patternType="solid">
        <fgColor rgb="FFA0C080"/>
        <bgColor indexed="64"/>
      </patternFill>
    </fill>
    <fill>
      <patternFill patternType="solid">
        <fgColor rgb="FFA0C0A0"/>
        <bgColor indexed="64"/>
      </patternFill>
    </fill>
    <fill>
      <patternFill patternType="solid">
        <fgColor rgb="FFA0C0C0"/>
        <bgColor indexed="64"/>
      </patternFill>
    </fill>
    <fill>
      <patternFill patternType="solid">
        <fgColor rgb="FFA0C0E0"/>
        <bgColor indexed="64"/>
      </patternFill>
    </fill>
    <fill>
      <patternFill patternType="solid">
        <fgColor rgb="FFA0C0FF"/>
        <bgColor indexed="64"/>
      </patternFill>
    </fill>
    <fill>
      <patternFill patternType="solid">
        <fgColor rgb="FF0000CD"/>
        <bgColor indexed="64"/>
      </patternFill>
    </fill>
    <fill>
      <patternFill patternType="solid">
        <fgColor rgb="FFC1BFB1"/>
        <bgColor indexed="64"/>
      </patternFill>
    </fill>
    <fill>
      <patternFill patternType="solid">
        <fgColor rgb="FFFFA54F"/>
        <bgColor indexed="64"/>
      </patternFill>
    </fill>
    <fill>
      <patternFill patternType="solid">
        <fgColor rgb="FFA0E000"/>
        <bgColor indexed="64"/>
      </patternFill>
    </fill>
    <fill>
      <patternFill patternType="solid">
        <fgColor rgb="FFA0E020"/>
        <bgColor indexed="64"/>
      </patternFill>
    </fill>
    <fill>
      <patternFill patternType="solid">
        <fgColor rgb="FFA0E040"/>
        <bgColor indexed="64"/>
      </patternFill>
    </fill>
    <fill>
      <patternFill patternType="solid">
        <fgColor rgb="FFA0E060"/>
        <bgColor indexed="64"/>
      </patternFill>
    </fill>
    <fill>
      <patternFill patternType="solid">
        <fgColor rgb="FFA0E080"/>
        <bgColor indexed="64"/>
      </patternFill>
    </fill>
    <fill>
      <patternFill patternType="solid">
        <fgColor rgb="FFA0E0A0"/>
        <bgColor indexed="64"/>
      </patternFill>
    </fill>
    <fill>
      <patternFill patternType="solid">
        <fgColor rgb="FFA0E0C0"/>
        <bgColor indexed="64"/>
      </patternFill>
    </fill>
    <fill>
      <patternFill patternType="solid">
        <fgColor rgb="FFA0E0E0"/>
        <bgColor indexed="64"/>
      </patternFill>
    </fill>
    <fill>
      <patternFill patternType="solid">
        <fgColor rgb="FFA0E0FF"/>
        <bgColor indexed="64"/>
      </patternFill>
    </fill>
    <fill>
      <patternFill patternType="solid">
        <fgColor rgb="FF5959AB"/>
        <bgColor indexed="64"/>
      </patternFill>
    </fill>
    <fill>
      <patternFill patternType="solid">
        <fgColor rgb="FFEFD807"/>
        <bgColor indexed="64"/>
      </patternFill>
    </fill>
    <fill>
      <patternFill patternType="solid">
        <fgColor rgb="FFCDC5BF"/>
        <bgColor indexed="64"/>
      </patternFill>
    </fill>
    <fill>
      <patternFill patternType="solid">
        <fgColor rgb="FFA0FF00"/>
        <bgColor indexed="64"/>
      </patternFill>
    </fill>
    <fill>
      <patternFill patternType="solid">
        <fgColor rgb="FFA0FF20"/>
        <bgColor indexed="64"/>
      </patternFill>
    </fill>
    <fill>
      <patternFill patternType="solid">
        <fgColor rgb="FFA0FF40"/>
        <bgColor indexed="64"/>
      </patternFill>
    </fill>
    <fill>
      <patternFill patternType="solid">
        <fgColor rgb="FFA0FF60"/>
        <bgColor indexed="64"/>
      </patternFill>
    </fill>
    <fill>
      <patternFill patternType="solid">
        <fgColor rgb="FFA0FF80"/>
        <bgColor indexed="64"/>
      </patternFill>
    </fill>
    <fill>
      <patternFill patternType="solid">
        <fgColor rgb="FFA0FFA0"/>
        <bgColor indexed="64"/>
      </patternFill>
    </fill>
    <fill>
      <patternFill patternType="solid">
        <fgColor rgb="FFA0FFC0"/>
        <bgColor indexed="64"/>
      </patternFill>
    </fill>
    <fill>
      <patternFill patternType="solid">
        <fgColor rgb="FFA0FFE0"/>
        <bgColor indexed="64"/>
      </patternFill>
    </fill>
    <fill>
      <patternFill patternType="solid">
        <fgColor rgb="FFA0FFFF"/>
        <bgColor indexed="64"/>
      </patternFill>
    </fill>
    <fill>
      <patternFill patternType="solid">
        <fgColor rgb="FF545AA7"/>
        <bgColor indexed="64"/>
      </patternFill>
    </fill>
    <fill>
      <patternFill patternType="solid">
        <fgColor rgb="FFE8D630"/>
        <bgColor indexed="64"/>
      </patternFill>
    </fill>
    <fill>
      <patternFill patternType="solid">
        <fgColor rgb="FFFAB57F"/>
        <bgColor indexed="64"/>
      </patternFill>
    </fill>
    <fill>
      <patternFill patternType="solid">
        <fgColor rgb="FFC00000"/>
        <bgColor indexed="64"/>
      </patternFill>
    </fill>
    <fill>
      <patternFill patternType="solid">
        <fgColor rgb="FFC00020"/>
        <bgColor indexed="64"/>
      </patternFill>
    </fill>
    <fill>
      <patternFill patternType="solid">
        <fgColor rgb="FFC00040"/>
        <bgColor indexed="64"/>
      </patternFill>
    </fill>
    <fill>
      <patternFill patternType="solid">
        <fgColor rgb="FFC00060"/>
        <bgColor indexed="64"/>
      </patternFill>
    </fill>
    <fill>
      <patternFill patternType="solid">
        <fgColor rgb="FFC00080"/>
        <bgColor indexed="64"/>
      </patternFill>
    </fill>
    <fill>
      <patternFill patternType="solid">
        <fgColor rgb="FFC000A0"/>
        <bgColor indexed="64"/>
      </patternFill>
    </fill>
    <fill>
      <patternFill patternType="solid">
        <fgColor rgb="FFC000C0"/>
        <bgColor indexed="64"/>
      </patternFill>
    </fill>
    <fill>
      <patternFill patternType="solid">
        <fgColor rgb="FFC000E0"/>
        <bgColor indexed="64"/>
      </patternFill>
    </fill>
    <fill>
      <patternFill patternType="solid">
        <fgColor rgb="FFC000FF"/>
        <bgColor indexed="64"/>
      </patternFill>
    </fill>
    <fill>
      <patternFill patternType="solid">
        <fgColor rgb="FF0131B4"/>
        <bgColor indexed="64"/>
      </patternFill>
    </fill>
    <fill>
      <patternFill patternType="solid">
        <fgColor rgb="FFCDC673"/>
        <bgColor indexed="64"/>
      </patternFill>
    </fill>
    <fill>
      <patternFill patternType="solid">
        <fgColor rgb="FFE9C9B1"/>
        <bgColor indexed="64"/>
      </patternFill>
    </fill>
    <fill>
      <patternFill patternType="solid">
        <fgColor rgb="FFC02000"/>
        <bgColor indexed="64"/>
      </patternFill>
    </fill>
    <fill>
      <patternFill patternType="solid">
        <fgColor rgb="FFC02020"/>
        <bgColor indexed="64"/>
      </patternFill>
    </fill>
    <fill>
      <patternFill patternType="solid">
        <fgColor rgb="FFC02040"/>
        <bgColor indexed="64"/>
      </patternFill>
    </fill>
    <fill>
      <patternFill patternType="solid">
        <fgColor rgb="FFC02060"/>
        <bgColor indexed="64"/>
      </patternFill>
    </fill>
    <fill>
      <patternFill patternType="solid">
        <fgColor rgb="FFC02080"/>
        <bgColor indexed="64"/>
      </patternFill>
    </fill>
    <fill>
      <patternFill patternType="solid">
        <fgColor rgb="FFC020A0"/>
        <bgColor indexed="64"/>
      </patternFill>
    </fill>
    <fill>
      <patternFill patternType="solid">
        <fgColor rgb="FFC020C0"/>
        <bgColor indexed="64"/>
      </patternFill>
    </fill>
    <fill>
      <patternFill patternType="solid">
        <fgColor rgb="FFC020E0"/>
        <bgColor indexed="64"/>
      </patternFill>
    </fill>
    <fill>
      <patternFill patternType="solid">
        <fgColor rgb="FFC020FF"/>
        <bgColor indexed="64"/>
      </patternFill>
    </fill>
    <fill>
      <patternFill patternType="solid">
        <fgColor rgb="FF00009C"/>
        <bgColor indexed="64"/>
      </patternFill>
    </fill>
    <fill>
      <patternFill patternType="solid">
        <fgColor rgb="FFDCD300"/>
        <bgColor indexed="64"/>
      </patternFill>
    </fill>
    <fill>
      <patternFill patternType="solid">
        <fgColor rgb="FFEECBAD"/>
        <bgColor indexed="64"/>
      </patternFill>
    </fill>
    <fill>
      <patternFill patternType="solid">
        <fgColor rgb="FFC04000"/>
        <bgColor indexed="64"/>
      </patternFill>
    </fill>
    <fill>
      <patternFill patternType="solid">
        <fgColor rgb="FFC04020"/>
        <bgColor indexed="64"/>
      </patternFill>
    </fill>
    <fill>
      <patternFill patternType="solid">
        <fgColor rgb="FFC04040"/>
        <bgColor indexed="64"/>
      </patternFill>
    </fill>
    <fill>
      <patternFill patternType="solid">
        <fgColor rgb="FFC04060"/>
        <bgColor indexed="64"/>
      </patternFill>
    </fill>
    <fill>
      <patternFill patternType="solid">
        <fgColor rgb="FFC04080"/>
        <bgColor indexed="64"/>
      </patternFill>
    </fill>
    <fill>
      <patternFill patternType="solid">
        <fgColor rgb="FFC040A0"/>
        <bgColor indexed="64"/>
      </patternFill>
    </fill>
    <fill>
      <patternFill patternType="solid">
        <fgColor rgb="FFC040C0"/>
        <bgColor indexed="64"/>
      </patternFill>
    </fill>
    <fill>
      <patternFill patternType="solid">
        <fgColor rgb="FFC040E0"/>
        <bgColor indexed="64"/>
      </patternFill>
    </fill>
    <fill>
      <patternFill patternType="solid">
        <fgColor rgb="FFC040FF"/>
        <bgColor indexed="64"/>
      </patternFill>
    </fill>
    <fill>
      <patternFill patternType="solid">
        <fgColor rgb="FF1B019B"/>
        <bgColor indexed="64"/>
      </patternFill>
    </fill>
    <fill>
      <patternFill patternType="solid">
        <fgColor rgb="FFB9B57D"/>
        <bgColor indexed="64"/>
      </patternFill>
    </fill>
    <fill>
      <patternFill patternType="solid">
        <fgColor rgb="FFF5CCB0"/>
        <bgColor indexed="64"/>
      </patternFill>
    </fill>
    <fill>
      <patternFill patternType="solid">
        <fgColor rgb="FFC06000"/>
        <bgColor indexed="64"/>
      </patternFill>
    </fill>
    <fill>
      <patternFill patternType="solid">
        <fgColor rgb="FFC06020"/>
        <bgColor indexed="64"/>
      </patternFill>
    </fill>
    <fill>
      <patternFill patternType="solid">
        <fgColor rgb="FFC06040"/>
        <bgColor indexed="64"/>
      </patternFill>
    </fill>
    <fill>
      <patternFill patternType="solid">
        <fgColor rgb="FFC06060"/>
        <bgColor indexed="64"/>
      </patternFill>
    </fill>
    <fill>
      <patternFill patternType="solid">
        <fgColor rgb="FFC06080"/>
        <bgColor indexed="64"/>
      </patternFill>
    </fill>
    <fill>
      <patternFill patternType="solid">
        <fgColor rgb="FFC060A0"/>
        <bgColor indexed="64"/>
      </patternFill>
    </fill>
    <fill>
      <patternFill patternType="solid">
        <fgColor rgb="FFC060C0"/>
        <bgColor indexed="64"/>
      </patternFill>
    </fill>
    <fill>
      <patternFill patternType="solid">
        <fgColor rgb="FFC060E0"/>
        <bgColor indexed="64"/>
      </patternFill>
    </fill>
    <fill>
      <patternFill patternType="solid">
        <fgColor rgb="FFC060FF"/>
        <bgColor indexed="64"/>
      </patternFill>
    </fill>
    <fill>
      <patternFill patternType="solid">
        <fgColor rgb="FF4E5180"/>
        <bgColor indexed="64"/>
      </patternFill>
    </fill>
    <fill>
      <patternFill patternType="solid">
        <fgColor rgb="FFB9B276"/>
        <bgColor indexed="64"/>
      </patternFill>
    </fill>
    <fill>
      <patternFill patternType="solid">
        <fgColor rgb="FFECD5C5"/>
        <bgColor indexed="64"/>
      </patternFill>
    </fill>
    <fill>
      <patternFill patternType="solid">
        <fgColor rgb="FFC08000"/>
        <bgColor indexed="64"/>
      </patternFill>
    </fill>
    <fill>
      <patternFill patternType="solid">
        <fgColor rgb="FFC08020"/>
        <bgColor indexed="64"/>
      </patternFill>
    </fill>
    <fill>
      <patternFill patternType="solid">
        <fgColor rgb="FFC08040"/>
        <bgColor indexed="64"/>
      </patternFill>
    </fill>
    <fill>
      <patternFill patternType="solid">
        <fgColor rgb="FFC08060"/>
        <bgColor indexed="64"/>
      </patternFill>
    </fill>
    <fill>
      <patternFill patternType="solid">
        <fgColor rgb="FFC08080"/>
        <bgColor indexed="64"/>
      </patternFill>
    </fill>
    <fill>
      <patternFill patternType="solid">
        <fgColor rgb="FFC080A0"/>
        <bgColor indexed="64"/>
      </patternFill>
    </fill>
    <fill>
      <patternFill patternType="solid">
        <fgColor rgb="FFC080C0"/>
        <bgColor indexed="64"/>
      </patternFill>
    </fill>
    <fill>
      <patternFill patternType="solid">
        <fgColor rgb="FFC080E0"/>
        <bgColor indexed="64"/>
      </patternFill>
    </fill>
    <fill>
      <patternFill patternType="solid">
        <fgColor rgb="FFC080FF"/>
        <bgColor indexed="64"/>
      </patternFill>
    </fill>
    <fill>
      <patternFill patternType="solid">
        <fgColor rgb="FF23238E"/>
        <bgColor indexed="64"/>
      </patternFill>
    </fill>
    <fill>
      <patternFill patternType="solid">
        <fgColor rgb="FFBDB76B"/>
        <bgColor indexed="64"/>
      </patternFill>
    </fill>
    <fill>
      <patternFill patternType="solid">
        <fgColor rgb="FFFFDAB9"/>
        <bgColor indexed="64"/>
      </patternFill>
    </fill>
    <fill>
      <patternFill patternType="solid">
        <fgColor rgb="FFC0A000"/>
        <bgColor indexed="64"/>
      </patternFill>
    </fill>
    <fill>
      <patternFill patternType="solid">
        <fgColor rgb="FFC0A020"/>
        <bgColor indexed="64"/>
      </patternFill>
    </fill>
    <fill>
      <patternFill patternType="solid">
        <fgColor rgb="FFC0A040"/>
        <bgColor indexed="64"/>
      </patternFill>
    </fill>
    <fill>
      <patternFill patternType="solid">
        <fgColor rgb="FFC0A060"/>
        <bgColor indexed="64"/>
      </patternFill>
    </fill>
    <fill>
      <patternFill patternType="solid">
        <fgColor rgb="FFC0A080"/>
        <bgColor indexed="64"/>
      </patternFill>
    </fill>
    <fill>
      <patternFill patternType="solid">
        <fgColor rgb="FFC0A0A0"/>
        <bgColor indexed="64"/>
      </patternFill>
    </fill>
    <fill>
      <patternFill patternType="solid">
        <fgColor rgb="FFC0A0C0"/>
        <bgColor indexed="64"/>
      </patternFill>
    </fill>
    <fill>
      <patternFill patternType="solid">
        <fgColor rgb="FFC0A0E0"/>
        <bgColor indexed="64"/>
      </patternFill>
    </fill>
    <fill>
      <patternFill patternType="solid">
        <fgColor rgb="FFC0A0FF"/>
        <bgColor indexed="64"/>
      </patternFill>
    </fill>
    <fill>
      <patternFill patternType="solid">
        <fgColor rgb="FF00008B"/>
        <bgColor indexed="64"/>
      </patternFill>
    </fill>
    <fill>
      <patternFill patternType="solid">
        <fgColor rgb="FFAFA77B"/>
        <bgColor indexed="64"/>
      </patternFill>
    </fill>
    <fill>
      <patternFill patternType="solid">
        <fgColor rgb="FFEEE5DE"/>
        <bgColor indexed="64"/>
      </patternFill>
    </fill>
    <fill>
      <patternFill patternType="solid">
        <fgColor rgb="FFC0C000"/>
        <bgColor indexed="64"/>
      </patternFill>
    </fill>
    <fill>
      <patternFill patternType="solid">
        <fgColor rgb="FFC0C020"/>
        <bgColor indexed="64"/>
      </patternFill>
    </fill>
    <fill>
      <patternFill patternType="solid">
        <fgColor rgb="FFC0C040"/>
        <bgColor indexed="64"/>
      </patternFill>
    </fill>
    <fill>
      <patternFill patternType="solid">
        <fgColor rgb="FFC0C060"/>
        <bgColor indexed="64"/>
      </patternFill>
    </fill>
    <fill>
      <patternFill patternType="solid">
        <fgColor rgb="FFC0C080"/>
        <bgColor indexed="64"/>
      </patternFill>
    </fill>
    <fill>
      <patternFill patternType="solid">
        <fgColor rgb="FFC0C0A0"/>
        <bgColor indexed="64"/>
      </patternFill>
    </fill>
    <fill>
      <patternFill patternType="solid">
        <fgColor rgb="FFC0C0C0"/>
        <bgColor indexed="64"/>
      </patternFill>
    </fill>
    <fill>
      <patternFill patternType="solid">
        <fgColor rgb="FFC0C0E0"/>
        <bgColor indexed="64"/>
      </patternFill>
    </fill>
    <fill>
      <patternFill patternType="solid">
        <fgColor rgb="FFC0C0FF"/>
        <bgColor indexed="64"/>
      </patternFill>
    </fill>
    <fill>
      <patternFill patternType="solid">
        <fgColor rgb="FF241882"/>
        <bgColor indexed="64"/>
      </patternFill>
    </fill>
    <fill>
      <patternFill patternType="solid">
        <fgColor rgb="FFB9B459"/>
        <bgColor indexed="64"/>
      </patternFill>
    </fill>
    <fill>
      <patternFill patternType="solid">
        <fgColor rgb="FFFFF5EE"/>
        <bgColor indexed="64"/>
      </patternFill>
    </fill>
    <fill>
      <patternFill patternType="solid">
        <fgColor rgb="FFC0E000"/>
        <bgColor indexed="64"/>
      </patternFill>
    </fill>
    <fill>
      <patternFill patternType="solid">
        <fgColor rgb="FFC0E020"/>
        <bgColor indexed="64"/>
      </patternFill>
    </fill>
    <fill>
      <patternFill patternType="solid">
        <fgColor rgb="FFC0E040"/>
        <bgColor indexed="64"/>
      </patternFill>
    </fill>
    <fill>
      <patternFill patternType="solid">
        <fgColor rgb="FFC0E060"/>
        <bgColor indexed="64"/>
      </patternFill>
    </fill>
    <fill>
      <patternFill patternType="solid">
        <fgColor rgb="FFC0E080"/>
        <bgColor indexed="64"/>
      </patternFill>
    </fill>
    <fill>
      <patternFill patternType="solid">
        <fgColor rgb="FFC0E0A0"/>
        <bgColor indexed="64"/>
      </patternFill>
    </fill>
    <fill>
      <patternFill patternType="solid">
        <fgColor rgb="FFC0E0C0"/>
        <bgColor indexed="64"/>
      </patternFill>
    </fill>
    <fill>
      <patternFill patternType="solid">
        <fgColor rgb="FFC0E0E0"/>
        <bgColor indexed="64"/>
      </patternFill>
    </fill>
    <fill>
      <patternFill patternType="solid">
        <fgColor rgb="FFC0E0FF"/>
        <bgColor indexed="64"/>
      </patternFill>
    </fill>
    <fill>
      <patternFill patternType="solid">
        <fgColor rgb="FFBEB72E"/>
        <bgColor indexed="64"/>
      </patternFill>
    </fill>
    <fill>
      <patternFill patternType="solid">
        <fgColor rgb="FFEE9A49"/>
        <bgColor indexed="64"/>
      </patternFill>
    </fill>
    <fill>
      <patternFill patternType="solid">
        <fgColor rgb="FFC0FF00"/>
        <bgColor indexed="64"/>
      </patternFill>
    </fill>
    <fill>
      <patternFill patternType="solid">
        <fgColor rgb="FFC0FF20"/>
        <bgColor indexed="64"/>
      </patternFill>
    </fill>
    <fill>
      <patternFill patternType="solid">
        <fgColor rgb="FFC0FF40"/>
        <bgColor indexed="64"/>
      </patternFill>
    </fill>
    <fill>
      <patternFill patternType="solid">
        <fgColor rgb="FFC0FF60"/>
        <bgColor indexed="64"/>
      </patternFill>
    </fill>
    <fill>
      <patternFill patternType="solid">
        <fgColor rgb="FFC0FF80"/>
        <bgColor indexed="64"/>
      </patternFill>
    </fill>
    <fill>
      <patternFill patternType="solid">
        <fgColor rgb="FFC0FFA0"/>
        <bgColor indexed="64"/>
      </patternFill>
    </fill>
    <fill>
      <patternFill patternType="solid">
        <fgColor rgb="FFC0FFC0"/>
        <bgColor indexed="64"/>
      </patternFill>
    </fill>
    <fill>
      <patternFill patternType="solid">
        <fgColor rgb="FFC0FFE0"/>
        <bgColor indexed="64"/>
      </patternFill>
    </fill>
    <fill>
      <patternFill patternType="solid">
        <fgColor rgb="FFC0FFFF"/>
        <bgColor indexed="64"/>
      </patternFill>
    </fill>
    <fill>
      <patternFill patternType="solid">
        <fgColor rgb="FF42426F"/>
        <bgColor indexed="64"/>
      </patternFill>
    </fill>
    <fill>
      <patternFill patternType="solid">
        <fgColor rgb="FFB5A642"/>
        <bgColor indexed="64"/>
      </patternFill>
    </fill>
    <fill>
      <patternFill patternType="solid">
        <fgColor rgb="FFCDAF95"/>
        <bgColor indexed="64"/>
      </patternFill>
    </fill>
    <fill>
      <patternFill patternType="solid">
        <fgColor rgb="FFE00000"/>
        <bgColor indexed="64"/>
      </patternFill>
    </fill>
    <fill>
      <patternFill patternType="solid">
        <fgColor rgb="FFE00020"/>
        <bgColor indexed="64"/>
      </patternFill>
    </fill>
    <fill>
      <patternFill patternType="solid">
        <fgColor rgb="FFE00040"/>
        <bgColor indexed="64"/>
      </patternFill>
    </fill>
    <fill>
      <patternFill patternType="solid">
        <fgColor rgb="FFE00060"/>
        <bgColor indexed="64"/>
      </patternFill>
    </fill>
    <fill>
      <patternFill patternType="solid">
        <fgColor rgb="FFE00080"/>
        <bgColor indexed="64"/>
      </patternFill>
    </fill>
    <fill>
      <patternFill patternType="solid">
        <fgColor rgb="FFE000A0"/>
        <bgColor indexed="64"/>
      </patternFill>
    </fill>
    <fill>
      <patternFill patternType="solid">
        <fgColor rgb="FFE000C0"/>
        <bgColor indexed="64"/>
      </patternFill>
    </fill>
    <fill>
      <patternFill patternType="solid">
        <fgColor rgb="FFE000E0"/>
        <bgColor indexed="64"/>
      </patternFill>
    </fill>
    <fill>
      <patternFill patternType="solid">
        <fgColor rgb="FFE000FF"/>
        <bgColor indexed="64"/>
      </patternFill>
    </fill>
    <fill>
      <patternFill patternType="solid">
        <fgColor rgb="FF30267A"/>
        <bgColor indexed="64"/>
      </patternFill>
    </fill>
    <fill>
      <patternFill patternType="solid">
        <fgColor rgb="FF8B8878"/>
        <bgColor indexed="64"/>
      </patternFill>
    </fill>
    <fill>
      <patternFill patternType="solid">
        <fgColor rgb="FFF6A600"/>
        <bgColor indexed="64"/>
      </patternFill>
    </fill>
    <fill>
      <patternFill patternType="solid">
        <fgColor rgb="FFE02000"/>
        <bgColor indexed="64"/>
      </patternFill>
    </fill>
    <fill>
      <patternFill patternType="solid">
        <fgColor rgb="FFE02020"/>
        <bgColor indexed="64"/>
      </patternFill>
    </fill>
    <fill>
      <patternFill patternType="solid">
        <fgColor rgb="FFE02040"/>
        <bgColor indexed="64"/>
      </patternFill>
    </fill>
    <fill>
      <patternFill patternType="solid">
        <fgColor rgb="FFE02060"/>
        <bgColor indexed="64"/>
      </patternFill>
    </fill>
    <fill>
      <patternFill patternType="solid">
        <fgColor rgb="FFE02080"/>
        <bgColor indexed="64"/>
      </patternFill>
    </fill>
    <fill>
      <patternFill patternType="solid">
        <fgColor rgb="FFE020A0"/>
        <bgColor indexed="64"/>
      </patternFill>
    </fill>
    <fill>
      <patternFill patternType="solid">
        <fgColor rgb="FFE020C0"/>
        <bgColor indexed="64"/>
      </patternFill>
    </fill>
    <fill>
      <patternFill patternType="solid">
        <fgColor rgb="FFE020E0"/>
        <bgColor indexed="64"/>
      </patternFill>
    </fill>
    <fill>
      <patternFill patternType="solid">
        <fgColor rgb="FFE020FF"/>
        <bgColor indexed="64"/>
      </patternFill>
    </fill>
    <fill>
      <patternFill patternType="solid">
        <fgColor rgb="FF21177D"/>
        <bgColor indexed="64"/>
      </patternFill>
    </fill>
    <fill>
      <patternFill patternType="solid">
        <fgColor rgb="FF8A8776"/>
        <bgColor indexed="64"/>
      </patternFill>
    </fill>
    <fill>
      <patternFill patternType="solid">
        <fgColor rgb="FFE7A854"/>
        <bgColor indexed="64"/>
      </patternFill>
    </fill>
    <fill>
      <patternFill patternType="solid">
        <fgColor rgb="FFE04000"/>
        <bgColor indexed="64"/>
      </patternFill>
    </fill>
    <fill>
      <patternFill patternType="solid">
        <fgColor rgb="FFE04020"/>
        <bgColor indexed="64"/>
      </patternFill>
    </fill>
    <fill>
      <patternFill patternType="solid">
        <fgColor rgb="FFE04040"/>
        <bgColor indexed="64"/>
      </patternFill>
    </fill>
    <fill>
      <patternFill patternType="solid">
        <fgColor rgb="FFE04060"/>
        <bgColor indexed="64"/>
      </patternFill>
    </fill>
    <fill>
      <patternFill patternType="solid">
        <fgColor rgb="FFE04080"/>
        <bgColor indexed="64"/>
      </patternFill>
    </fill>
    <fill>
      <patternFill patternType="solid">
        <fgColor rgb="FFE040A0"/>
        <bgColor indexed="64"/>
      </patternFill>
    </fill>
    <fill>
      <patternFill patternType="solid">
        <fgColor rgb="FFE040C0"/>
        <bgColor indexed="64"/>
      </patternFill>
    </fill>
    <fill>
      <patternFill patternType="solid">
        <fgColor rgb="FFE040E0"/>
        <bgColor indexed="64"/>
      </patternFill>
    </fill>
    <fill>
      <patternFill patternType="solid">
        <fgColor rgb="FFE040FF"/>
        <bgColor indexed="64"/>
      </patternFill>
    </fill>
    <fill>
      <patternFill patternType="solid">
        <fgColor rgb="FF191970"/>
        <bgColor indexed="64"/>
      </patternFill>
    </fill>
    <fill>
      <patternFill patternType="solid">
        <fgColor rgb="FF8B8970"/>
        <bgColor indexed="64"/>
      </patternFill>
    </fill>
    <fill>
      <patternFill patternType="solid">
        <fgColor rgb="FFC2AC99"/>
        <bgColor indexed="64"/>
      </patternFill>
    </fill>
    <fill>
      <patternFill patternType="solid">
        <fgColor rgb="FFE06000"/>
        <bgColor indexed="64"/>
      </patternFill>
    </fill>
    <fill>
      <patternFill patternType="solid">
        <fgColor rgb="FFE06020"/>
        <bgColor indexed="64"/>
      </patternFill>
    </fill>
    <fill>
      <patternFill patternType="solid">
        <fgColor rgb="FFE06040"/>
        <bgColor indexed="64"/>
      </patternFill>
    </fill>
    <fill>
      <patternFill patternType="solid">
        <fgColor rgb="FFE06060"/>
        <bgColor indexed="64"/>
      </patternFill>
    </fill>
    <fill>
      <patternFill patternType="solid">
        <fgColor rgb="FFE06080"/>
        <bgColor indexed="64"/>
      </patternFill>
    </fill>
    <fill>
      <patternFill patternType="solid">
        <fgColor rgb="FFE060A0"/>
        <bgColor indexed="64"/>
      </patternFill>
    </fill>
    <fill>
      <patternFill patternType="solid">
        <fgColor rgb="FFE060C0"/>
        <bgColor indexed="64"/>
      </patternFill>
    </fill>
    <fill>
      <patternFill patternType="solid">
        <fgColor rgb="FFE060E0"/>
        <bgColor indexed="64"/>
      </patternFill>
    </fill>
    <fill>
      <patternFill patternType="solid">
        <fgColor rgb="FFE060FF"/>
        <bgColor indexed="64"/>
      </patternFill>
    </fill>
    <fill>
      <patternFill patternType="solid">
        <fgColor rgb="FF0F056B"/>
        <bgColor indexed="64"/>
      </patternFill>
    </fill>
    <fill>
      <patternFill patternType="solid">
        <fgColor rgb="FF8C8767"/>
        <bgColor indexed="64"/>
      </patternFill>
    </fill>
    <fill>
      <patternFill patternType="solid">
        <fgColor rgb="FFEE9A00"/>
        <bgColor indexed="64"/>
      </patternFill>
    </fill>
    <fill>
      <patternFill patternType="solid">
        <fgColor rgb="FFE08000"/>
        <bgColor indexed="64"/>
      </patternFill>
    </fill>
    <fill>
      <patternFill patternType="solid">
        <fgColor rgb="FFE08020"/>
        <bgColor indexed="64"/>
      </patternFill>
    </fill>
    <fill>
      <patternFill patternType="solid">
        <fgColor rgb="FFE08040"/>
        <bgColor indexed="64"/>
      </patternFill>
    </fill>
    <fill>
      <patternFill patternType="solid">
        <fgColor rgb="FFE08060"/>
        <bgColor indexed="64"/>
      </patternFill>
    </fill>
    <fill>
      <patternFill patternType="solid">
        <fgColor rgb="FFE08080"/>
        <bgColor indexed="64"/>
      </patternFill>
    </fill>
    <fill>
      <patternFill patternType="solid">
        <fgColor rgb="FFE080A0"/>
        <bgColor indexed="64"/>
      </patternFill>
    </fill>
    <fill>
      <patternFill patternType="solid">
        <fgColor rgb="FFE080C0"/>
        <bgColor indexed="64"/>
      </patternFill>
    </fill>
    <fill>
      <patternFill patternType="solid">
        <fgColor rgb="FFE080E0"/>
        <bgColor indexed="64"/>
      </patternFill>
    </fill>
    <fill>
      <patternFill patternType="solid">
        <fgColor rgb="FFE080FF"/>
        <bgColor indexed="64"/>
      </patternFill>
    </fill>
    <fill>
      <patternFill patternType="solid">
        <fgColor rgb="FF272458"/>
        <bgColor indexed="64"/>
      </patternFill>
    </fill>
    <fill>
      <patternFill patternType="solid">
        <fgColor rgb="FF8B864E"/>
        <bgColor indexed="64"/>
      </patternFill>
    </fill>
    <fill>
      <patternFill patternType="solid">
        <fgColor rgb="FFEAA221"/>
        <bgColor indexed="64"/>
      </patternFill>
    </fill>
    <fill>
      <patternFill patternType="solid">
        <fgColor rgb="FFE0A000"/>
        <bgColor indexed="64"/>
      </patternFill>
    </fill>
    <fill>
      <patternFill patternType="solid">
        <fgColor rgb="FFE0A020"/>
        <bgColor indexed="64"/>
      </patternFill>
    </fill>
    <fill>
      <patternFill patternType="solid">
        <fgColor rgb="FFE0A040"/>
        <bgColor indexed="64"/>
      </patternFill>
    </fill>
    <fill>
      <patternFill patternType="solid">
        <fgColor rgb="FFE0A060"/>
        <bgColor indexed="64"/>
      </patternFill>
    </fill>
    <fill>
      <patternFill patternType="solid">
        <fgColor rgb="FFE0A080"/>
        <bgColor indexed="64"/>
      </patternFill>
    </fill>
    <fill>
      <patternFill patternType="solid">
        <fgColor rgb="FFE0A0A0"/>
        <bgColor indexed="64"/>
      </patternFill>
    </fill>
    <fill>
      <patternFill patternType="solid">
        <fgColor rgb="FFE0A0C0"/>
        <bgColor indexed="64"/>
      </patternFill>
    </fill>
    <fill>
      <patternFill patternType="solid">
        <fgColor rgb="FFE0A0E0"/>
        <bgColor indexed="64"/>
      </patternFill>
    </fill>
    <fill>
      <patternFill patternType="solid">
        <fgColor rgb="FFE0A0FF"/>
        <bgColor indexed="64"/>
      </patternFill>
    </fill>
    <fill>
      <patternFill patternType="solid">
        <fgColor rgb="FF2F2F4F"/>
        <bgColor indexed="64"/>
      </patternFill>
    </fill>
    <fill>
      <patternFill patternType="solid">
        <fgColor rgb="FF8B814C"/>
        <bgColor indexed="64"/>
      </patternFill>
    </fill>
    <fill>
      <patternFill patternType="solid">
        <fgColor rgb="FFDD985C"/>
        <bgColor indexed="64"/>
      </patternFill>
    </fill>
    <fill>
      <patternFill patternType="solid">
        <fgColor rgb="FFE0C000"/>
        <bgColor indexed="64"/>
      </patternFill>
    </fill>
    <fill>
      <patternFill patternType="solid">
        <fgColor rgb="FFE0C020"/>
        <bgColor indexed="64"/>
      </patternFill>
    </fill>
    <fill>
      <patternFill patternType="solid">
        <fgColor rgb="FFE0C040"/>
        <bgColor indexed="64"/>
      </patternFill>
    </fill>
    <fill>
      <patternFill patternType="solid">
        <fgColor rgb="FFE0C060"/>
        <bgColor indexed="64"/>
      </patternFill>
    </fill>
    <fill>
      <patternFill patternType="solid">
        <fgColor rgb="FFE0C080"/>
        <bgColor indexed="64"/>
      </patternFill>
    </fill>
    <fill>
      <patternFill patternType="solid">
        <fgColor rgb="FFE0C0A0"/>
        <bgColor indexed="64"/>
      </patternFill>
    </fill>
    <fill>
      <patternFill patternType="solid">
        <fgColor rgb="FFE0C0C0"/>
        <bgColor indexed="64"/>
      </patternFill>
    </fill>
    <fill>
      <patternFill patternType="solid">
        <fgColor rgb="FFE0C0E0"/>
        <bgColor indexed="64"/>
      </patternFill>
    </fill>
    <fill>
      <patternFill patternType="solid">
        <fgColor rgb="FFE0C0FF"/>
        <bgColor indexed="64"/>
      </patternFill>
    </fill>
    <fill>
      <patternFill patternType="solid">
        <fgColor rgb="FF252440"/>
        <bgColor indexed="64"/>
      </patternFill>
    </fill>
    <fill>
      <patternFill patternType="solid">
        <fgColor rgb="FF9B9400"/>
        <bgColor indexed="64"/>
      </patternFill>
    </fill>
    <fill>
      <patternFill patternType="solid">
        <fgColor rgb="FFDE9816"/>
        <bgColor indexed="64"/>
      </patternFill>
    </fill>
    <fill>
      <patternFill patternType="solid">
        <fgColor rgb="FFE0E000"/>
        <bgColor indexed="64"/>
      </patternFill>
    </fill>
    <fill>
      <patternFill patternType="solid">
        <fgColor rgb="FFE0E020"/>
        <bgColor indexed="64"/>
      </patternFill>
    </fill>
    <fill>
      <patternFill patternType="solid">
        <fgColor rgb="FFE0E040"/>
        <bgColor indexed="64"/>
      </patternFill>
    </fill>
    <fill>
      <patternFill patternType="solid">
        <fgColor rgb="FFE0E060"/>
        <bgColor indexed="64"/>
      </patternFill>
    </fill>
    <fill>
      <patternFill patternType="solid">
        <fgColor rgb="FFE0E080"/>
        <bgColor indexed="64"/>
      </patternFill>
    </fill>
    <fill>
      <patternFill patternType="solid">
        <fgColor rgb="FFE0E0A0"/>
        <bgColor indexed="64"/>
      </patternFill>
    </fill>
    <fill>
      <patternFill patternType="solid">
        <fgColor rgb="FFE0E0C0"/>
        <bgColor indexed="64"/>
      </patternFill>
    </fill>
    <fill>
      <patternFill patternType="solid">
        <fgColor rgb="FFE0E0E0"/>
        <bgColor indexed="64"/>
      </patternFill>
    </fill>
    <fill>
      <patternFill patternType="solid">
        <fgColor rgb="FFE0E0FF"/>
        <bgColor indexed="64"/>
      </patternFill>
    </fill>
    <fill>
      <patternFill patternType="solid">
        <fgColor rgb="FF000010"/>
        <bgColor indexed="64"/>
      </patternFill>
    </fill>
    <fill>
      <patternFill patternType="solid">
        <fgColor rgb="FF867E36"/>
        <bgColor indexed="64"/>
      </patternFill>
    </fill>
    <fill>
      <patternFill patternType="solid">
        <fgColor rgb="FFD98719"/>
        <bgColor indexed="64"/>
      </patternFill>
    </fill>
    <fill>
      <patternFill patternType="solid">
        <fgColor rgb="FFE0FF00"/>
        <bgColor indexed="64"/>
      </patternFill>
    </fill>
    <fill>
      <patternFill patternType="solid">
        <fgColor rgb="FFE0FF20"/>
        <bgColor indexed="64"/>
      </patternFill>
    </fill>
    <fill>
      <patternFill patternType="solid">
        <fgColor rgb="FFE0FF40"/>
        <bgColor indexed="64"/>
      </patternFill>
    </fill>
    <fill>
      <patternFill patternType="solid">
        <fgColor rgb="FFE0FF60"/>
        <bgColor indexed="64"/>
      </patternFill>
    </fill>
    <fill>
      <patternFill patternType="solid">
        <fgColor rgb="FFE0FF80"/>
        <bgColor indexed="64"/>
      </patternFill>
    </fill>
    <fill>
      <patternFill patternType="solid">
        <fgColor rgb="FFE0FFA0"/>
        <bgColor indexed="64"/>
      </patternFill>
    </fill>
    <fill>
      <patternFill patternType="solid">
        <fgColor rgb="FFE0FFC0"/>
        <bgColor indexed="64"/>
      </patternFill>
    </fill>
    <fill>
      <patternFill patternType="solid">
        <fgColor rgb="FFE0FFE0"/>
        <bgColor indexed="64"/>
      </patternFill>
    </fill>
    <fill>
      <patternFill patternType="solid">
        <fgColor rgb="FFE0FFFF"/>
        <bgColor indexed="64"/>
      </patternFill>
    </fill>
    <fill>
      <patternFill patternType="solid">
        <fgColor rgb="FF2C75FF"/>
        <bgColor indexed="64"/>
      </patternFill>
    </fill>
    <fill>
      <patternFill patternType="solid">
        <fgColor rgb="FF57554C"/>
        <bgColor indexed="64"/>
      </patternFill>
    </fill>
    <fill>
      <patternFill patternType="solid">
        <fgColor rgb="FFCD853F"/>
        <bgColor indexed="64"/>
      </patternFill>
    </fill>
    <fill>
      <patternFill patternType="solid">
        <fgColor rgb="FFFF0020"/>
        <bgColor indexed="64"/>
      </patternFill>
    </fill>
    <fill>
      <patternFill patternType="solid">
        <fgColor rgb="FFFF0040"/>
        <bgColor indexed="64"/>
      </patternFill>
    </fill>
    <fill>
      <patternFill patternType="solid">
        <fgColor rgb="FFFF0060"/>
        <bgColor indexed="64"/>
      </patternFill>
    </fill>
    <fill>
      <patternFill patternType="solid">
        <fgColor rgb="FFFF0080"/>
        <bgColor indexed="64"/>
      </patternFill>
    </fill>
    <fill>
      <patternFill patternType="solid">
        <fgColor rgb="FFFF00A0"/>
        <bgColor indexed="64"/>
      </patternFill>
    </fill>
    <fill>
      <patternFill patternType="solid">
        <fgColor rgb="FFFF00C0"/>
        <bgColor indexed="64"/>
      </patternFill>
    </fill>
    <fill>
      <patternFill patternType="solid">
        <fgColor rgb="FFFF00E0"/>
        <bgColor indexed="64"/>
      </patternFill>
    </fill>
    <fill>
      <patternFill patternType="solid">
        <fgColor rgb="FF4876FF"/>
        <bgColor indexed="64"/>
      </patternFill>
    </fill>
    <fill>
      <patternFill patternType="solid">
        <fgColor rgb="FF5B5842"/>
        <bgColor indexed="64"/>
      </patternFill>
    </fill>
    <fill>
      <patternFill patternType="solid">
        <fgColor rgb="FFCD8500"/>
        <bgColor indexed="64"/>
      </patternFill>
    </fill>
    <fill>
      <patternFill patternType="solid">
        <fgColor rgb="FFFF2000"/>
        <bgColor indexed="64"/>
      </patternFill>
    </fill>
    <fill>
      <patternFill patternType="solid">
        <fgColor rgb="FFFF2020"/>
        <bgColor indexed="64"/>
      </patternFill>
    </fill>
    <fill>
      <patternFill patternType="solid">
        <fgColor rgb="FFFF2040"/>
        <bgColor indexed="64"/>
      </patternFill>
    </fill>
    <fill>
      <patternFill patternType="solid">
        <fgColor rgb="FFFF2060"/>
        <bgColor indexed="64"/>
      </patternFill>
    </fill>
    <fill>
      <patternFill patternType="solid">
        <fgColor rgb="FFFF2080"/>
        <bgColor indexed="64"/>
      </patternFill>
    </fill>
    <fill>
      <patternFill patternType="solid">
        <fgColor rgb="FFFF20A0"/>
        <bgColor indexed="64"/>
      </patternFill>
    </fill>
    <fill>
      <patternFill patternType="solid">
        <fgColor rgb="FFFF20C0"/>
        <bgColor indexed="64"/>
      </patternFill>
    </fill>
    <fill>
      <patternFill patternType="solid">
        <fgColor rgb="FFFF20E0"/>
        <bgColor indexed="64"/>
      </patternFill>
    </fill>
    <fill>
      <patternFill patternType="solid">
        <fgColor rgb="FFFF20FF"/>
        <bgColor indexed="64"/>
      </patternFill>
    </fill>
    <fill>
      <patternFill patternType="solid">
        <fgColor rgb="FFB3BCE2"/>
        <bgColor indexed="64"/>
      </patternFill>
    </fill>
    <fill>
      <patternFill patternType="solid">
        <fgColor rgb="FF665D1E"/>
        <bgColor indexed="64"/>
      </patternFill>
    </fill>
    <fill>
      <patternFill patternType="solid">
        <fgColor rgb="FFC98500"/>
        <bgColor indexed="64"/>
      </patternFill>
    </fill>
    <fill>
      <patternFill patternType="solid">
        <fgColor rgb="FFFF4000"/>
        <bgColor indexed="64"/>
      </patternFill>
    </fill>
    <fill>
      <patternFill patternType="solid">
        <fgColor rgb="FFFF4020"/>
        <bgColor indexed="64"/>
      </patternFill>
    </fill>
    <fill>
      <patternFill patternType="solid">
        <fgColor rgb="FFFF4040"/>
        <bgColor indexed="64"/>
      </patternFill>
    </fill>
    <fill>
      <patternFill patternType="solid">
        <fgColor rgb="FFFF4060"/>
        <bgColor indexed="64"/>
      </patternFill>
    </fill>
    <fill>
      <patternFill patternType="solid">
        <fgColor rgb="FFFF4080"/>
        <bgColor indexed="64"/>
      </patternFill>
    </fill>
    <fill>
      <patternFill patternType="solid">
        <fgColor rgb="FFFF40A0"/>
        <bgColor indexed="64"/>
      </patternFill>
    </fill>
    <fill>
      <patternFill patternType="solid">
        <fgColor rgb="FFFF40C0"/>
        <bgColor indexed="64"/>
      </patternFill>
    </fill>
    <fill>
      <patternFill patternType="solid">
        <fgColor rgb="FFFF40E0"/>
        <bgColor indexed="64"/>
      </patternFill>
    </fill>
    <fill>
      <patternFill patternType="solid">
        <fgColor rgb="FFFF40FF"/>
        <bgColor indexed="64"/>
      </patternFill>
    </fill>
    <fill>
      <patternFill patternType="solid">
        <fgColor rgb="FFE6E8FA"/>
        <bgColor indexed="64"/>
      </patternFill>
    </fill>
    <fill>
      <patternFill patternType="solid">
        <fgColor rgb="FF403D21"/>
        <bgColor indexed="64"/>
      </patternFill>
    </fill>
    <fill>
      <patternFill patternType="solid">
        <fgColor rgb="FFAE8964"/>
        <bgColor indexed="64"/>
      </patternFill>
    </fill>
    <fill>
      <patternFill patternType="solid">
        <fgColor rgb="FFFF6000"/>
        <bgColor indexed="64"/>
      </patternFill>
    </fill>
    <fill>
      <patternFill patternType="solid">
        <fgColor rgb="FFFF6020"/>
        <bgColor indexed="64"/>
      </patternFill>
    </fill>
    <fill>
      <patternFill patternType="solid">
        <fgColor rgb="FFFF6040"/>
        <bgColor indexed="64"/>
      </patternFill>
    </fill>
    <fill>
      <patternFill patternType="solid">
        <fgColor rgb="FFFF6060"/>
        <bgColor indexed="64"/>
      </patternFill>
    </fill>
    <fill>
      <patternFill patternType="solid">
        <fgColor rgb="FFFF6080"/>
        <bgColor indexed="64"/>
      </patternFill>
    </fill>
    <fill>
      <patternFill patternType="solid">
        <fgColor rgb="FFFF60A0"/>
        <bgColor indexed="64"/>
      </patternFill>
    </fill>
    <fill>
      <patternFill patternType="solid">
        <fgColor rgb="FFFF60C0"/>
        <bgColor indexed="64"/>
      </patternFill>
    </fill>
    <fill>
      <patternFill patternType="solid">
        <fgColor rgb="FFFF60E0"/>
        <bgColor indexed="64"/>
      </patternFill>
    </fill>
    <fill>
      <patternFill patternType="solid">
        <fgColor rgb="FFFF60FF"/>
        <bgColor indexed="64"/>
      </patternFill>
    </fill>
    <fill>
      <patternFill patternType="solid">
        <fgColor rgb="FF436EEE"/>
        <bgColor indexed="64"/>
      </patternFill>
    </fill>
    <fill>
      <patternFill patternType="solid">
        <fgColor rgb="FF363527"/>
        <bgColor indexed="64"/>
      </patternFill>
    </fill>
    <fill>
      <patternFill patternType="solid">
        <fgColor rgb="FFA68064"/>
        <bgColor indexed="64"/>
      </patternFill>
    </fill>
    <fill>
      <patternFill patternType="solid">
        <fgColor rgb="FFFF8000"/>
        <bgColor indexed="64"/>
      </patternFill>
    </fill>
    <fill>
      <patternFill patternType="solid">
        <fgColor rgb="FFFF8020"/>
        <bgColor indexed="64"/>
      </patternFill>
    </fill>
    <fill>
      <patternFill patternType="solid">
        <fgColor rgb="FFFF8040"/>
        <bgColor indexed="64"/>
      </patternFill>
    </fill>
    <fill>
      <patternFill patternType="solid">
        <fgColor rgb="FFFF8060"/>
        <bgColor indexed="64"/>
      </patternFill>
    </fill>
    <fill>
      <patternFill patternType="solid">
        <fgColor rgb="FFFF8080"/>
        <bgColor indexed="64"/>
      </patternFill>
    </fill>
    <fill>
      <patternFill patternType="solid">
        <fgColor rgb="FFFF80A0"/>
        <bgColor indexed="64"/>
      </patternFill>
    </fill>
    <fill>
      <patternFill patternType="solid">
        <fgColor rgb="FFFF80C0"/>
        <bgColor indexed="64"/>
      </patternFill>
    </fill>
    <fill>
      <patternFill patternType="solid">
        <fgColor rgb="FFFF80E0"/>
        <bgColor indexed="64"/>
      </patternFill>
    </fill>
    <fill>
      <patternFill patternType="solid">
        <fgColor rgb="FFFF80FF"/>
        <bgColor indexed="64"/>
      </patternFill>
    </fill>
    <fill>
      <patternFill patternType="solid">
        <fgColor rgb="FF4169E1"/>
        <bgColor indexed="64"/>
      </patternFill>
    </fill>
    <fill>
      <patternFill patternType="solid">
        <fgColor rgb="FF25241D"/>
        <bgColor indexed="64"/>
      </patternFill>
    </fill>
    <fill>
      <patternFill patternType="solid">
        <fgColor rgb="FFA67B5B"/>
        <bgColor indexed="64"/>
      </patternFill>
    </fill>
    <fill>
      <patternFill patternType="solid">
        <fgColor rgb="FFFFA000"/>
        <bgColor indexed="64"/>
      </patternFill>
    </fill>
    <fill>
      <patternFill patternType="solid">
        <fgColor rgb="FFFFA020"/>
        <bgColor indexed="64"/>
      </patternFill>
    </fill>
    <fill>
      <patternFill patternType="solid">
        <fgColor rgb="FFFFA040"/>
        <bgColor indexed="64"/>
      </patternFill>
    </fill>
    <fill>
      <patternFill patternType="solid">
        <fgColor rgb="FFFFA060"/>
        <bgColor indexed="64"/>
      </patternFill>
    </fill>
    <fill>
      <patternFill patternType="solid">
        <fgColor rgb="FFFFA080"/>
        <bgColor indexed="64"/>
      </patternFill>
    </fill>
    <fill>
      <patternFill patternType="solid">
        <fgColor rgb="FFFFA0A0"/>
        <bgColor indexed="64"/>
      </patternFill>
    </fill>
    <fill>
      <patternFill patternType="solid">
        <fgColor rgb="FFFFA0C0"/>
        <bgColor indexed="64"/>
      </patternFill>
    </fill>
    <fill>
      <patternFill patternType="solid">
        <fgColor rgb="FFFFA0E0"/>
        <bgColor indexed="64"/>
      </patternFill>
    </fill>
    <fill>
      <patternFill patternType="solid">
        <fgColor rgb="FFFFA0FF"/>
        <bgColor indexed="64"/>
      </patternFill>
    </fill>
    <fill>
      <patternFill patternType="solid">
        <fgColor rgb="FF8791BF"/>
        <bgColor indexed="64"/>
      </patternFill>
    </fill>
    <fill>
      <patternFill patternType="solid">
        <fgColor rgb="FF8B8682"/>
        <bgColor indexed="64"/>
      </patternFill>
    </fill>
    <fill>
      <patternFill patternType="solid">
        <fgColor rgb="FFFFC020"/>
        <bgColor indexed="64"/>
      </patternFill>
    </fill>
    <fill>
      <patternFill patternType="solid">
        <fgColor rgb="FFFFC040"/>
        <bgColor indexed="64"/>
      </patternFill>
    </fill>
    <fill>
      <patternFill patternType="solid">
        <fgColor rgb="FFFFC060"/>
        <bgColor indexed="64"/>
      </patternFill>
    </fill>
    <fill>
      <patternFill patternType="solid">
        <fgColor rgb="FFFFC080"/>
        <bgColor indexed="64"/>
      </patternFill>
    </fill>
    <fill>
      <patternFill patternType="solid">
        <fgColor rgb="FFFFC0A0"/>
        <bgColor indexed="64"/>
      </patternFill>
    </fill>
    <fill>
      <patternFill patternType="solid">
        <fgColor rgb="FFFFC0C0"/>
        <bgColor indexed="64"/>
      </patternFill>
    </fill>
    <fill>
      <patternFill patternType="solid">
        <fgColor rgb="FFFFC0E0"/>
        <bgColor indexed="64"/>
      </patternFill>
    </fill>
    <fill>
      <patternFill patternType="solid">
        <fgColor rgb="FFFFC0FF"/>
        <bgColor indexed="64"/>
      </patternFill>
    </fill>
    <fill>
      <patternFill patternType="solid">
        <fgColor rgb="FF8C92AC"/>
        <bgColor indexed="64"/>
      </patternFill>
    </fill>
    <fill>
      <patternFill patternType="solid">
        <fgColor rgb="FFEE7AE9"/>
        <bgColor indexed="64"/>
      </patternFill>
    </fill>
    <fill>
      <patternFill patternType="solid">
        <fgColor rgb="FFB67823"/>
        <bgColor indexed="64"/>
      </patternFill>
    </fill>
    <fill>
      <patternFill patternType="solid">
        <fgColor rgb="FFFFE000"/>
        <bgColor indexed="64"/>
      </patternFill>
    </fill>
    <fill>
      <patternFill patternType="solid">
        <fgColor rgb="FFFFE020"/>
        <bgColor indexed="64"/>
      </patternFill>
    </fill>
    <fill>
      <patternFill patternType="solid">
        <fgColor rgb="FFFFE040"/>
        <bgColor indexed="64"/>
      </patternFill>
    </fill>
    <fill>
      <patternFill patternType="solid">
        <fgColor rgb="FFFFE060"/>
        <bgColor indexed="64"/>
      </patternFill>
    </fill>
    <fill>
      <patternFill patternType="solid">
        <fgColor rgb="FFFFE080"/>
        <bgColor indexed="64"/>
      </patternFill>
    </fill>
    <fill>
      <patternFill patternType="solid">
        <fgColor rgb="FFFFE0A0"/>
        <bgColor indexed="64"/>
      </patternFill>
    </fill>
    <fill>
      <patternFill patternType="solid">
        <fgColor rgb="FFFFE0C0"/>
        <bgColor indexed="64"/>
      </patternFill>
    </fill>
    <fill>
      <patternFill patternType="solid">
        <fgColor rgb="FFFFE0E0"/>
        <bgColor indexed="64"/>
      </patternFill>
    </fill>
    <fill>
      <patternFill patternType="solid">
        <fgColor rgb="FFFFE0FF"/>
        <bgColor indexed="64"/>
      </patternFill>
    </fill>
    <fill>
      <patternFill patternType="solid">
        <fgColor rgb="FF3A5FCD"/>
        <bgColor indexed="64"/>
      </patternFill>
    </fill>
    <fill>
      <patternFill patternType="solid">
        <fgColor rgb="FFEE82EE"/>
        <bgColor indexed="64"/>
      </patternFill>
    </fill>
    <fill>
      <patternFill patternType="solid">
        <fgColor rgb="FF958070"/>
        <bgColor indexed="64"/>
      </patternFill>
    </fill>
    <fill>
      <patternFill patternType="solid">
        <fgColor rgb="FFFFFF20"/>
        <bgColor indexed="64"/>
      </patternFill>
    </fill>
    <fill>
      <patternFill patternType="solid">
        <fgColor rgb="FFFFFF40"/>
        <bgColor indexed="64"/>
      </patternFill>
    </fill>
    <fill>
      <patternFill patternType="solid">
        <fgColor rgb="FFFFFF60"/>
        <bgColor indexed="64"/>
      </patternFill>
    </fill>
    <fill>
      <patternFill patternType="solid">
        <fgColor rgb="FFFFFF80"/>
        <bgColor indexed="64"/>
      </patternFill>
    </fill>
    <fill>
      <patternFill patternType="solid">
        <fgColor rgb="FFFFFFA0"/>
        <bgColor indexed="64"/>
      </patternFill>
    </fill>
    <fill>
      <patternFill patternType="solid">
        <fgColor rgb="FFFFFFC0"/>
        <bgColor indexed="64"/>
      </patternFill>
    </fill>
    <fill>
      <patternFill patternType="solid">
        <fgColor rgb="FF6C79B8"/>
        <bgColor indexed="64"/>
      </patternFill>
    </fill>
    <fill>
      <patternFill patternType="solid">
        <fgColor rgb="FFCDB5CD"/>
        <bgColor indexed="64"/>
      </patternFill>
    </fill>
    <fill>
      <patternFill patternType="solid">
        <fgColor rgb="FF8E8279"/>
        <bgColor indexed="64"/>
      </patternFill>
    </fill>
    <fill>
      <patternFill patternType="solid">
        <fgColor rgb="FF4156C5"/>
        <bgColor indexed="64"/>
      </patternFill>
    </fill>
    <fill>
      <patternFill patternType="solid">
        <fgColor rgb="FFDDA0DD"/>
        <bgColor indexed="64"/>
      </patternFill>
    </fill>
    <fill>
      <patternFill patternType="solid">
        <fgColor rgb="FF8B7765"/>
        <bgColor indexed="64"/>
      </patternFill>
    </fill>
    <fill>
      <patternFill patternType="solid">
        <fgColor rgb="FF686F8C"/>
        <bgColor indexed="64"/>
      </patternFill>
    </fill>
    <fill>
      <patternFill patternType="solid">
        <fgColor rgb="FFD8BFD8"/>
        <bgColor indexed="64"/>
      </patternFill>
    </fill>
    <fill>
      <patternFill patternType="solid">
        <fgColor rgb="FF996515"/>
        <bgColor indexed="64"/>
      </patternFill>
    </fill>
    <fill>
      <patternFill patternType="solid">
        <fgColor rgb="FF003399"/>
        <bgColor indexed="64"/>
      </patternFill>
    </fill>
    <fill>
      <patternFill patternType="solid">
        <fgColor rgb="FFFF83FA"/>
        <bgColor indexed="64"/>
      </patternFill>
    </fill>
    <fill>
      <patternFill patternType="solid">
        <fgColor rgb="FF8F5922"/>
        <bgColor indexed="64"/>
      </patternFill>
    </fill>
    <fill>
      <patternFill patternType="solid">
        <fgColor rgb="FF27408B"/>
        <bgColor indexed="64"/>
      </patternFill>
    </fill>
    <fill>
      <patternFill patternType="solid">
        <fgColor rgb="FFEAADEA"/>
        <bgColor indexed="64"/>
      </patternFill>
    </fill>
    <fill>
      <patternFill patternType="solid">
        <fgColor rgb="FF8B5A2B"/>
        <bgColor indexed="64"/>
      </patternFill>
    </fill>
    <fill>
      <patternFill patternType="solid">
        <fgColor rgb="FF4C516D"/>
        <bgColor indexed="64"/>
      </patternFill>
    </fill>
    <fill>
      <patternFill patternType="solid">
        <fgColor rgb="FFEEAEEE"/>
        <bgColor indexed="64"/>
      </patternFill>
    </fill>
    <fill>
      <patternFill patternType="solid">
        <fgColor rgb="FF8B5A00"/>
        <bgColor indexed="64"/>
      </patternFill>
    </fill>
    <fill>
      <patternFill patternType="solid">
        <fgColor rgb="FF002266"/>
        <bgColor indexed="64"/>
      </patternFill>
    </fill>
    <fill>
      <patternFill patternType="solid">
        <fgColor rgb="FFFFBBFF"/>
        <bgColor indexed="64"/>
      </patternFill>
    </fill>
    <fill>
      <patternFill patternType="solid">
        <fgColor rgb="FF87591A"/>
        <bgColor indexed="64"/>
      </patternFill>
    </fill>
    <fill>
      <patternFill patternType="solid">
        <fgColor rgb="FF6600FF"/>
        <bgColor indexed="64"/>
      </patternFill>
    </fill>
    <fill>
      <patternFill patternType="solid">
        <fgColor rgb="FFEED2EE"/>
        <bgColor indexed="64"/>
      </patternFill>
    </fill>
    <fill>
      <patternFill patternType="solid">
        <fgColor rgb="FF7E5835"/>
        <bgColor indexed="64"/>
      </patternFill>
    </fill>
    <fill>
      <patternFill patternType="solid">
        <fgColor rgb="FF7B68EE"/>
        <bgColor indexed="64"/>
      </patternFill>
    </fill>
    <fill>
      <patternFill patternType="solid">
        <fgColor rgb="FFFFE1FF"/>
        <bgColor indexed="64"/>
      </patternFill>
    </fill>
    <fill>
      <patternFill patternType="solid">
        <fgColor rgb="FF85530F"/>
        <bgColor indexed="64"/>
      </patternFill>
    </fill>
    <fill>
      <patternFill patternType="solid">
        <fgColor rgb="FF9683EC"/>
        <bgColor indexed="64"/>
      </patternFill>
    </fill>
    <fill>
      <patternFill patternType="solid">
        <fgColor rgb="FFCD96CD"/>
        <bgColor indexed="64"/>
      </patternFill>
    </fill>
    <fill>
      <patternFill patternType="solid">
        <fgColor rgb="FF614B3A"/>
        <bgColor indexed="64"/>
      </patternFill>
    </fill>
    <fill>
      <patternFill patternType="solid">
        <fgColor rgb="FF836FFF"/>
        <bgColor indexed="64"/>
      </patternFill>
    </fill>
    <fill>
      <patternFill patternType="solid">
        <fgColor rgb="FFDB70DB"/>
        <bgColor indexed="64"/>
      </patternFill>
    </fill>
    <fill>
      <patternFill patternType="solid">
        <fgColor rgb="FF6A4B21"/>
        <bgColor indexed="64"/>
      </patternFill>
    </fill>
    <fill>
      <patternFill patternType="solid">
        <fgColor rgb="FF8470FF"/>
        <bgColor indexed="64"/>
      </patternFill>
    </fill>
    <fill>
      <patternFill patternType="solid">
        <fgColor rgb="FFDA70D6"/>
        <bgColor indexed="64"/>
      </patternFill>
    </fill>
    <fill>
      <patternFill patternType="solid">
        <fgColor rgb="FF654522"/>
        <bgColor indexed="64"/>
      </patternFill>
    </fill>
    <fill>
      <patternFill patternType="solid">
        <fgColor rgb="FF7A67EE"/>
        <bgColor indexed="64"/>
      </patternFill>
    </fill>
    <fill>
      <patternFill patternType="solid">
        <fgColor rgb="FFEE00EE"/>
        <bgColor indexed="64"/>
      </patternFill>
    </fill>
    <fill>
      <patternFill patternType="solid">
        <fgColor rgb="FF5B3C11"/>
        <bgColor indexed="64"/>
      </patternFill>
    </fill>
    <fill>
      <patternFill patternType="solid">
        <fgColor rgb="FF791CF8"/>
        <bgColor indexed="64"/>
      </patternFill>
    </fill>
    <fill>
      <patternFill patternType="solid">
        <fgColor rgb="FFD473D4"/>
        <bgColor indexed="64"/>
      </patternFill>
    </fill>
    <fill>
      <patternFill patternType="solid">
        <fgColor rgb="FF483C32"/>
        <bgColor indexed="64"/>
      </patternFill>
    </fill>
    <fill>
      <patternFill patternType="solid">
        <fgColor rgb="FF6A5ACD"/>
        <bgColor indexed="64"/>
      </patternFill>
    </fill>
    <fill>
      <patternFill patternType="solid">
        <fgColor rgb="FFCD69C9"/>
        <bgColor indexed="64"/>
      </patternFill>
    </fill>
    <fill>
      <patternFill patternType="solid">
        <fgColor rgb="FF4B3621"/>
        <bgColor indexed="64"/>
      </patternFill>
    </fill>
    <fill>
      <patternFill patternType="solid">
        <fgColor rgb="FF6959CD"/>
        <bgColor indexed="64"/>
      </patternFill>
    </fill>
    <fill>
      <patternFill patternType="solid">
        <fgColor rgb="FFAA98A9"/>
        <bgColor indexed="64"/>
      </patternFill>
    </fill>
    <fill>
      <patternFill patternType="solid">
        <fgColor rgb="FF462E01"/>
        <bgColor indexed="64"/>
      </patternFill>
    </fill>
    <fill>
      <patternFill patternType="solid">
        <fgColor rgb="FF8C82B6"/>
        <bgColor indexed="64"/>
      </patternFill>
    </fill>
    <fill>
      <patternFill patternType="solid">
        <fgColor rgb="FFCD00CD"/>
        <bgColor indexed="64"/>
      </patternFill>
    </fill>
    <fill>
      <patternFill patternType="solid">
        <fgColor rgb="FF2D241E"/>
        <bgColor indexed="64"/>
      </patternFill>
    </fill>
    <fill>
      <patternFill patternType="solid">
        <fgColor rgb="FF9690AB"/>
        <bgColor indexed="64"/>
      </patternFill>
    </fill>
    <fill>
      <patternFill patternType="solid">
        <fgColor rgb="FF9F5F9F"/>
        <bgColor indexed="64"/>
      </patternFill>
    </fill>
    <fill>
      <patternFill patternType="solid">
        <fgColor rgb="FF2F1E0E"/>
        <bgColor indexed="64"/>
      </patternFill>
    </fill>
    <fill>
      <patternFill patternType="solid">
        <fgColor rgb="FF7E73B8"/>
        <bgColor indexed="64"/>
      </patternFill>
    </fill>
    <fill>
      <patternFill patternType="solid">
        <fgColor rgb="FF8B7B8B"/>
        <bgColor indexed="64"/>
      </patternFill>
    </fill>
    <fill>
      <patternFill patternType="solid">
        <fgColor rgb="FF130E0A"/>
        <bgColor indexed="64"/>
      </patternFill>
    </fill>
    <fill>
      <patternFill patternType="solid">
        <fgColor rgb="FF604E97"/>
        <bgColor indexed="64"/>
      </patternFill>
    </fill>
    <fill>
      <patternFill patternType="solid">
        <fgColor rgb="FF8B668B"/>
        <bgColor indexed="64"/>
      </patternFill>
    </fill>
    <fill>
      <patternFill patternType="solid">
        <fgColor rgb="FF483D8B"/>
        <bgColor indexed="64"/>
      </patternFill>
    </fill>
    <fill>
      <patternFill patternType="solid">
        <fgColor rgb="FF796878"/>
        <bgColor indexed="64"/>
      </patternFill>
    </fill>
    <fill>
      <patternFill patternType="solid">
        <fgColor rgb="FFFF2400"/>
        <bgColor indexed="64"/>
      </patternFill>
    </fill>
    <fill>
      <patternFill patternType="solid">
        <fgColor rgb="FF473C8B"/>
        <bgColor indexed="64"/>
      </patternFill>
    </fill>
    <fill>
      <patternFill patternType="solid">
        <fgColor rgb="FF8B4789"/>
        <bgColor indexed="64"/>
      </patternFill>
    </fill>
    <fill>
      <patternFill patternType="solid">
        <fgColor rgb="FFFF4500"/>
        <bgColor indexed="64"/>
      </patternFill>
    </fill>
    <fill>
      <patternFill patternType="solid">
        <fgColor rgb="FF2E006C"/>
        <bgColor indexed="64"/>
      </patternFill>
    </fill>
    <fill>
      <patternFill patternType="solid">
        <fgColor rgb="FF8B008B"/>
        <bgColor indexed="64"/>
      </patternFill>
    </fill>
    <fill>
      <patternFill patternType="solid">
        <fgColor rgb="FFFF4901"/>
        <bgColor indexed="64"/>
      </patternFill>
    </fill>
    <fill>
      <patternFill patternType="solid">
        <fgColor rgb="FFBCEE68"/>
        <bgColor indexed="64"/>
      </patternFill>
    </fill>
    <fill>
      <patternFill patternType="solid">
        <fgColor rgb="FFFF0921"/>
        <bgColor indexed="64"/>
      </patternFill>
    </fill>
    <fill>
      <patternFill patternType="solid">
        <fgColor rgb="FFC0FF3E"/>
        <bgColor indexed="64"/>
      </patternFill>
    </fill>
    <fill>
      <patternFill patternType="solid">
        <fgColor rgb="FF4F2F4F"/>
        <bgColor indexed="64"/>
      </patternFill>
    </fill>
    <fill>
      <patternFill patternType="solid">
        <fgColor rgb="FFFF3030"/>
        <bgColor indexed="64"/>
      </patternFill>
    </fill>
    <fill>
      <patternFill patternType="solid">
        <fgColor rgb="FFBEF574"/>
        <bgColor indexed="64"/>
      </patternFill>
    </fill>
    <fill>
      <patternFill patternType="solid">
        <fgColor rgb="FF291E29"/>
        <bgColor indexed="64"/>
      </patternFill>
    </fill>
    <fill>
      <patternFill patternType="solid">
        <fgColor rgb="FFCAFF70"/>
        <bgColor indexed="64"/>
      </patternFill>
    </fill>
    <fill>
      <patternFill patternType="solid">
        <fgColor rgb="FF242124"/>
        <bgColor indexed="64"/>
      </patternFill>
    </fill>
    <fill>
      <patternFill patternType="solid">
        <fgColor rgb="FFFF6347"/>
        <bgColor indexed="64"/>
      </patternFill>
    </fill>
    <fill>
      <patternFill patternType="solid">
        <fgColor rgb="FFFBFCFA"/>
        <bgColor indexed="64"/>
      </patternFill>
    </fill>
    <fill>
      <patternFill patternType="solid">
        <fgColor rgb="FFE35BD8"/>
        <bgColor indexed="64"/>
      </patternFill>
    </fill>
    <fill>
      <patternFill patternType="solid">
        <fgColor rgb="FFFF5E4D"/>
        <bgColor indexed="64"/>
      </patternFill>
    </fill>
    <fill>
      <patternFill patternType="solid">
        <fgColor rgb="FFB3EE3A"/>
        <bgColor indexed="64"/>
      </patternFill>
    </fill>
    <fill>
      <patternFill patternType="solid">
        <fgColor rgb="FF54194E"/>
        <bgColor indexed="64"/>
      </patternFill>
    </fill>
    <fill>
      <patternFill patternType="solid">
        <fgColor rgb="FFFC5D5D"/>
        <bgColor indexed="64"/>
      </patternFill>
    </fill>
    <fill>
      <patternFill patternType="solid">
        <fgColor rgb="FFA5D152"/>
        <bgColor indexed="64"/>
      </patternFill>
    </fill>
    <fill>
      <patternFill patternType="solid">
        <fgColor rgb="FF341731"/>
        <bgColor indexed="64"/>
      </patternFill>
    </fill>
    <fill>
      <patternFill patternType="solid">
        <fgColor rgb="FFD9A6A9"/>
        <bgColor indexed="64"/>
      </patternFill>
    </fill>
    <fill>
      <patternFill patternType="solid">
        <fgColor rgb="FFA2CD5A"/>
        <bgColor indexed="64"/>
      </patternFill>
    </fill>
    <fill>
      <patternFill patternType="solid">
        <fgColor rgb="FFD5BADB"/>
        <bgColor indexed="64"/>
      </patternFill>
    </fill>
    <fill>
      <patternFill patternType="solid">
        <fgColor rgb="FFF08080"/>
        <bgColor indexed="64"/>
      </patternFill>
    </fill>
    <fill>
      <patternFill patternType="solid">
        <fgColor rgb="FF9ACD32"/>
        <bgColor indexed="64"/>
      </patternFill>
    </fill>
    <fill>
      <patternFill patternType="solid">
        <fgColor rgb="FF6C0277"/>
        <bgColor indexed="64"/>
      </patternFill>
    </fill>
    <fill>
      <patternFill patternType="solid">
        <fgColor rgb="FFDEA5A4"/>
        <bgColor indexed="64"/>
      </patternFill>
    </fill>
    <fill>
      <patternFill patternType="solid">
        <fgColor rgb="FF99CC32"/>
        <bgColor indexed="64"/>
      </patternFill>
    </fill>
    <fill>
      <patternFill patternType="solid">
        <fgColor rgb="FF301934"/>
        <bgColor indexed="64"/>
      </patternFill>
    </fill>
    <fill>
      <patternFill patternType="solid">
        <fgColor rgb="FFEA9399"/>
        <bgColor indexed="64"/>
      </patternFill>
    </fill>
    <fill>
      <patternFill patternType="solid">
        <fgColor rgb="FF6E8B3D"/>
        <bgColor indexed="64"/>
      </patternFill>
    </fill>
    <fill>
      <patternFill patternType="solid">
        <fgColor rgb="FF007FFF"/>
        <bgColor indexed="64"/>
      </patternFill>
    </fill>
    <fill>
      <patternFill patternType="solid">
        <fgColor rgb="FFFA8072"/>
        <bgColor indexed="64"/>
      </patternFill>
    </fill>
    <fill>
      <patternFill patternType="solid">
        <fgColor rgb="FF6B8E23"/>
        <bgColor indexed="64"/>
      </patternFill>
    </fill>
    <fill>
      <patternFill patternType="solid">
        <fgColor rgb="FF1E90FF"/>
        <bgColor indexed="64"/>
      </patternFill>
    </fill>
    <fill>
      <patternFill patternType="solid">
        <fgColor rgb="FFF88379"/>
        <bgColor indexed="64"/>
      </patternFill>
    </fill>
    <fill>
      <patternFill patternType="solid">
        <fgColor rgb="FF698B22"/>
        <bgColor indexed="64"/>
      </patternFill>
    </fill>
    <fill>
      <patternFill patternType="solid">
        <fgColor rgb="FFC0C8E1"/>
        <bgColor indexed="64"/>
      </patternFill>
    </fill>
    <fill>
      <patternFill patternType="solid">
        <fgColor rgb="FFFF6A6A"/>
        <bgColor indexed="64"/>
      </patternFill>
    </fill>
    <fill>
      <patternFill patternType="solid">
        <fgColor rgb="FF556B2F"/>
        <bgColor indexed="64"/>
      </patternFill>
    </fill>
    <fill>
      <patternFill patternType="solid">
        <fgColor rgb="FF6495ED"/>
        <bgColor indexed="64"/>
      </patternFill>
    </fill>
    <fill>
      <patternFill patternType="solid">
        <fgColor rgb="FFFF6F7D"/>
        <bgColor indexed="64"/>
      </patternFill>
    </fill>
    <fill>
      <patternFill patternType="solid">
        <fgColor rgb="FF31362B"/>
        <bgColor indexed="64"/>
      </patternFill>
    </fill>
    <fill>
      <patternFill patternType="solid">
        <fgColor rgb="FF7093DB"/>
        <bgColor indexed="64"/>
      </patternFill>
    </fill>
    <fill>
      <patternFill patternType="solid">
        <fgColor rgb="FFCDC9C9"/>
        <bgColor indexed="64"/>
      </patternFill>
    </fill>
    <fill>
      <patternFill patternType="solid">
        <fgColor rgb="FFC2F732"/>
        <bgColor indexed="64"/>
      </patternFill>
    </fill>
    <fill>
      <patternFill patternType="solid">
        <fgColor rgb="FF1C86EE"/>
        <bgColor indexed="64"/>
      </patternFill>
    </fill>
    <fill>
      <patternFill patternType="solid">
        <fgColor rgb="FFFE96A0"/>
        <bgColor indexed="64"/>
      </patternFill>
    </fill>
    <fill>
      <patternFill patternType="solid">
        <fgColor rgb="FF8DB600"/>
        <bgColor indexed="64"/>
      </patternFill>
    </fill>
    <fill>
      <patternFill patternType="solid">
        <fgColor rgb="FF8EA2C6"/>
        <bgColor indexed="64"/>
      </patternFill>
    </fill>
    <fill>
      <patternFill patternType="solid">
        <fgColor rgb="FFEEB4B4"/>
        <bgColor indexed="64"/>
      </patternFill>
    </fill>
    <fill>
      <patternFill patternType="solid">
        <fgColor rgb="FF7E9F2E"/>
        <bgColor indexed="64"/>
      </patternFill>
    </fill>
    <fill>
      <patternFill patternType="solid">
        <fgColor rgb="FF318CE7"/>
        <bgColor indexed="64"/>
      </patternFill>
    </fill>
    <fill>
      <patternFill patternType="solid">
        <fgColor rgb="FFF4C2C2"/>
        <bgColor indexed="64"/>
      </patternFill>
    </fill>
    <fill>
      <patternFill patternType="solid">
        <fgColor rgb="FF708D23"/>
        <bgColor indexed="64"/>
      </patternFill>
    </fill>
    <fill>
      <patternFill patternType="solid">
        <fgColor rgb="FF1874CD"/>
        <bgColor indexed="64"/>
      </patternFill>
    </fill>
    <fill>
      <patternFill patternType="solid">
        <fgColor rgb="FFFFB5BA"/>
        <bgColor indexed="64"/>
      </patternFill>
    </fill>
    <fill>
      <patternFill patternType="solid">
        <fgColor rgb="FF596643"/>
        <bgColor indexed="64"/>
      </patternFill>
    </fill>
    <fill>
      <patternFill patternType="solid">
        <fgColor rgb="FF1560BD"/>
        <bgColor indexed="64"/>
      </patternFill>
    </fill>
    <fill>
      <patternFill patternType="solid">
        <fgColor rgb="FFEAD8D7"/>
        <bgColor indexed="64"/>
      </patternFill>
    </fill>
    <fill>
      <patternFill patternType="solid">
        <fgColor rgb="FF515744"/>
        <bgColor indexed="64"/>
      </patternFill>
    </fill>
    <fill>
      <patternFill patternType="solid">
        <fgColor rgb="FF5472AE"/>
        <bgColor indexed="64"/>
      </patternFill>
    </fill>
    <fill>
      <patternFill patternType="solid">
        <fgColor rgb="FFFFC1C1"/>
        <bgColor indexed="64"/>
      </patternFill>
    </fill>
    <fill>
      <patternFill patternType="solid">
        <fgColor rgb="FF4A5D23"/>
        <bgColor indexed="64"/>
      </patternFill>
    </fill>
    <fill>
      <patternFill patternType="solid">
        <fgColor rgb="FF26619C"/>
        <bgColor indexed="64"/>
      </patternFill>
    </fill>
    <fill>
      <patternFill patternType="solid">
        <fgColor rgb="FFF9CCCA"/>
        <bgColor indexed="64"/>
      </patternFill>
    </fill>
    <fill>
      <patternFill patternType="solid">
        <fgColor rgb="FF404F00"/>
        <bgColor indexed="64"/>
      </patternFill>
    </fill>
    <fill>
      <patternFill patternType="solid">
        <fgColor rgb="FF425B8A"/>
        <bgColor indexed="64"/>
      </patternFill>
    </fill>
    <fill>
      <patternFill patternType="solid">
        <fgColor rgb="FFEEE9E9"/>
        <bgColor indexed="64"/>
      </patternFill>
    </fill>
    <fill>
      <patternFill patternType="solid">
        <fgColor rgb="FF232F00"/>
        <bgColor indexed="64"/>
      </patternFill>
    </fill>
    <fill>
      <patternFill patternType="solid">
        <fgColor rgb="FF104E8B"/>
        <bgColor indexed="64"/>
      </patternFill>
    </fill>
    <fill>
      <patternFill patternType="solid">
        <fgColor rgb="FFFFFAFA"/>
        <bgColor indexed="64"/>
      </patternFill>
    </fill>
    <fill>
      <patternFill patternType="solid">
        <fgColor rgb="FF9EFD38"/>
        <bgColor indexed="64"/>
      </patternFill>
    </fill>
    <fill>
      <patternFill patternType="solid">
        <fgColor rgb="FF5A5E6B"/>
        <bgColor indexed="64"/>
      </patternFill>
    </fill>
    <fill>
      <patternFill patternType="solid">
        <fgColor rgb="FFFE1B00"/>
        <bgColor indexed="64"/>
      </patternFill>
    </fill>
    <fill>
      <patternFill patternType="solid">
        <fgColor rgb="FFADFF2F"/>
        <bgColor indexed="64"/>
      </patternFill>
    </fill>
    <fill>
      <patternFill patternType="solid">
        <fgColor rgb="FF22427C"/>
        <bgColor indexed="64"/>
      </patternFill>
    </fill>
    <fill>
      <patternFill patternType="solid">
        <fgColor rgb="FFEE6363"/>
        <bgColor indexed="64"/>
      </patternFill>
    </fill>
    <fill>
      <patternFill patternType="solid">
        <fgColor rgb="FF9FE855"/>
        <bgColor indexed="64"/>
      </patternFill>
    </fill>
    <fill>
      <patternFill patternType="solid">
        <fgColor rgb="FF003366"/>
        <bgColor indexed="64"/>
      </patternFill>
    </fill>
    <fill>
      <patternFill patternType="solid">
        <fgColor rgb="FFC4AEAD"/>
        <bgColor indexed="64"/>
      </patternFill>
    </fill>
    <fill>
      <patternFill patternType="solid">
        <fgColor rgb="FF7BA05B"/>
        <bgColor indexed="64"/>
      </patternFill>
    </fill>
    <fill>
      <patternFill patternType="solid">
        <fgColor rgb="FF03224C"/>
        <bgColor indexed="64"/>
      </patternFill>
    </fill>
    <fill>
      <patternFill patternType="solid">
        <fgColor rgb="FFCD9B9B"/>
        <bgColor indexed="64"/>
      </patternFill>
    </fill>
    <fill>
      <patternFill patternType="solid">
        <fgColor rgb="FF568203"/>
        <bgColor indexed="64"/>
      </patternFill>
    </fill>
    <fill>
      <patternFill patternType="solid">
        <fgColor rgb="FF7F00FF"/>
        <bgColor indexed="64"/>
      </patternFill>
    </fill>
    <fill>
      <patternFill patternType="solid">
        <fgColor rgb="FFE4717A"/>
        <bgColor indexed="64"/>
      </patternFill>
    </fill>
    <fill>
      <patternFill patternType="solid">
        <fgColor rgb="FF9B30FF"/>
        <bgColor indexed="64"/>
      </patternFill>
    </fill>
    <fill>
      <patternFill patternType="solid">
        <fgColor rgb="FFF7230C"/>
        <bgColor indexed="64"/>
      </patternFill>
    </fill>
    <fill>
      <patternFill patternType="solid">
        <fgColor rgb="FFB4CDCD"/>
        <bgColor indexed="64"/>
      </patternFill>
    </fill>
    <fill>
      <patternFill patternType="solid">
        <fgColor rgb="FF9F79EE"/>
        <bgColor indexed="64"/>
      </patternFill>
    </fill>
    <fill>
      <patternFill patternType="solid">
        <fgColor rgb="FFBBACAC"/>
        <bgColor indexed="64"/>
      </patternFill>
    </fill>
    <fill>
      <patternFill patternType="solid">
        <fgColor rgb="FF8DEEEE"/>
        <bgColor indexed="64"/>
      </patternFill>
    </fill>
    <fill>
      <patternFill patternType="solid">
        <fgColor rgb="FFAB82FF"/>
        <bgColor indexed="64"/>
      </patternFill>
    </fill>
    <fill>
      <patternFill patternType="solid">
        <fgColor rgb="FFE66761"/>
        <bgColor indexed="64"/>
      </patternFill>
    </fill>
    <fill>
      <patternFill patternType="solid">
        <fgColor rgb="FF79F8F8"/>
        <bgColor indexed="64"/>
      </patternFill>
    </fill>
    <fill>
      <patternFill patternType="solid">
        <fgColor rgb="FFD2CAEC"/>
        <bgColor indexed="64"/>
      </patternFill>
    </fill>
    <fill>
      <patternFill patternType="solid">
        <fgColor rgb="FFEE5C42"/>
        <bgColor indexed="64"/>
      </patternFill>
    </fill>
    <fill>
      <patternFill patternType="solid">
        <fgColor rgb="FFC1CDCD"/>
        <bgColor indexed="64"/>
      </patternFill>
    </fill>
    <fill>
      <patternFill patternType="solid">
        <fgColor rgb="FFDCD0FF"/>
        <bgColor indexed="64"/>
      </patternFill>
    </fill>
    <fill>
      <patternFill patternType="solid">
        <fgColor rgb="FFEE3B3B"/>
        <bgColor indexed="64"/>
      </patternFill>
    </fill>
    <fill>
      <patternFill patternType="solid">
        <fgColor rgb="FFADEAEA"/>
        <bgColor indexed="64"/>
      </patternFill>
    </fill>
    <fill>
      <patternFill patternType="solid">
        <fgColor rgb="FF912CEE"/>
        <bgColor indexed="64"/>
      </patternFill>
    </fill>
    <fill>
      <patternFill patternType="solid">
        <fgColor rgb="FFEE2C2C"/>
        <bgColor indexed="64"/>
      </patternFill>
    </fill>
    <fill>
      <patternFill patternType="solid">
        <fgColor rgb="FFAEEEEE"/>
        <bgColor indexed="64"/>
      </patternFill>
    </fill>
    <fill>
      <patternFill patternType="solid">
        <fgColor rgb="FF9370DB"/>
        <bgColor indexed="64"/>
      </patternFill>
    </fill>
    <fill>
      <patternFill patternType="solid">
        <fgColor rgb="FFEE1010"/>
        <bgColor indexed="64"/>
      </patternFill>
    </fill>
    <fill>
      <patternFill patternType="solid">
        <fgColor rgb="FFAFEEEE"/>
        <bgColor indexed="64"/>
      </patternFill>
    </fill>
    <fill>
      <patternFill patternType="solid">
        <fgColor rgb="FF8A2BE2"/>
        <bgColor indexed="64"/>
      </patternFill>
    </fill>
    <fill>
      <patternFill patternType="solid">
        <fgColor rgb="FFE9383F"/>
        <bgColor indexed="64"/>
      </patternFill>
    </fill>
    <fill>
      <patternFill patternType="solid">
        <fgColor rgb="FF97FFFF"/>
        <bgColor indexed="64"/>
      </patternFill>
    </fill>
    <fill>
      <patternFill patternType="solid">
        <fgColor rgb="FF8968CD"/>
        <bgColor indexed="64"/>
      </patternFill>
    </fill>
    <fill>
      <patternFill patternType="solid">
        <fgColor rgb="FFEE0000"/>
        <bgColor indexed="64"/>
      </patternFill>
    </fill>
    <fill>
      <patternFill patternType="solid">
        <fgColor rgb="FFD1EEEE"/>
        <bgColor indexed="64"/>
      </patternFill>
    </fill>
    <fill>
      <patternFill patternType="solid">
        <fgColor rgb="FF9065CA"/>
        <bgColor indexed="64"/>
      </patternFill>
    </fill>
    <fill>
      <patternFill patternType="solid">
        <fgColor rgb="FFEE4000"/>
        <bgColor indexed="64"/>
      </patternFill>
    </fill>
    <fill>
      <patternFill patternType="solid">
        <fgColor rgb="FFBBFFFF"/>
        <bgColor indexed="64"/>
      </patternFill>
    </fill>
    <fill>
      <patternFill patternType="solid">
        <fgColor rgb="FF7D26CD"/>
        <bgColor indexed="64"/>
      </patternFill>
    </fill>
    <fill>
      <patternFill patternType="solid">
        <fgColor rgb="FFED0000"/>
        <bgColor indexed="64"/>
      </patternFill>
    </fill>
    <fill>
      <patternFill patternType="solid">
        <fgColor rgb="FFE0EEEE"/>
        <bgColor indexed="64"/>
      </patternFill>
    </fill>
    <fill>
      <patternFill patternType="solid">
        <fgColor rgb="FF635688"/>
        <bgColor indexed="64"/>
      </patternFill>
    </fill>
    <fill>
      <patternFill patternType="solid">
        <fgColor rgb="FFE73E01"/>
        <bgColor indexed="64"/>
      </patternFill>
    </fill>
    <fill>
      <patternFill patternType="solid">
        <fgColor rgb="FF5D478B"/>
        <bgColor indexed="64"/>
      </patternFill>
    </fill>
    <fill>
      <patternFill patternType="solid">
        <fgColor rgb="FFBC8F8F"/>
        <bgColor indexed="64"/>
      </patternFill>
    </fill>
    <fill>
      <patternFill patternType="solid">
        <fgColor rgb="FFF0FFFF"/>
        <bgColor indexed="64"/>
      </patternFill>
    </fill>
    <fill>
      <patternFill patternType="solid">
        <fgColor rgb="FF604E81"/>
        <bgColor indexed="64"/>
      </patternFill>
    </fill>
    <fill>
      <patternFill patternType="solid">
        <fgColor rgb="FFE21313"/>
        <bgColor indexed="64"/>
      </patternFill>
    </fill>
    <fill>
      <patternFill patternType="solid">
        <fgColor rgb="FFF2FFFF"/>
        <bgColor indexed="64"/>
      </patternFill>
    </fill>
    <fill>
      <patternFill patternType="solid">
        <fgColor rgb="FF554C69"/>
        <bgColor indexed="64"/>
      </patternFill>
    </fill>
    <fill>
      <patternFill patternType="solid">
        <fgColor rgb="FFC08081"/>
        <bgColor indexed="64"/>
      </patternFill>
    </fill>
    <fill>
      <patternFill patternType="solid">
        <fgColor rgb="FFF4FEFE"/>
        <bgColor indexed="64"/>
      </patternFill>
    </fill>
    <fill>
      <patternFill patternType="solid">
        <fgColor rgb="FFADD8E6"/>
        <bgColor indexed="64"/>
      </patternFill>
    </fill>
    <fill>
      <patternFill patternType="solid">
        <fgColor rgb="FFDE2916"/>
        <bgColor indexed="64"/>
      </patternFill>
    </fill>
    <fill>
      <patternFill patternType="solid">
        <fgColor rgb="FFF6FEFE"/>
        <bgColor indexed="64"/>
      </patternFill>
    </fill>
    <fill>
      <patternFill patternType="solid">
        <fgColor rgb="FFB2DFEE"/>
        <bgColor indexed="64"/>
      </patternFill>
    </fill>
    <fill>
      <patternFill patternType="solid">
        <fgColor rgb="FFCD5C5C"/>
        <bgColor indexed="64"/>
      </patternFill>
    </fill>
    <fill>
      <patternFill patternType="solid">
        <fgColor rgb="FF2BFAFA"/>
        <bgColor indexed="64"/>
      </patternFill>
    </fill>
    <fill>
      <patternFill patternType="solid">
        <fgColor rgb="FFA9EAFE"/>
        <bgColor indexed="64"/>
      </patternFill>
    </fill>
    <fill>
      <patternFill patternType="solid">
        <fgColor rgb="FFDB1702"/>
        <bgColor indexed="64"/>
      </patternFill>
    </fill>
    <fill>
      <patternFill patternType="solid">
        <fgColor rgb="FF96CDCD"/>
        <bgColor indexed="64"/>
      </patternFill>
    </fill>
    <fill>
      <patternFill patternType="solid">
        <fgColor rgb="FFBFEFFF"/>
        <bgColor indexed="64"/>
      </patternFill>
    </fill>
    <fill>
      <patternFill patternType="solid">
        <fgColor rgb="FFCD5555"/>
        <bgColor indexed="64"/>
      </patternFill>
    </fill>
    <fill>
      <patternFill patternType="solid">
        <fgColor rgb="FF70DBDB"/>
        <bgColor indexed="64"/>
      </patternFill>
    </fill>
    <fill>
      <patternFill patternType="solid">
        <fgColor rgb="FF9AC0CD"/>
        <bgColor indexed="64"/>
      </patternFill>
    </fill>
    <fill>
      <patternFill patternType="solid">
        <fgColor rgb="FFD90115"/>
        <bgColor indexed="64"/>
      </patternFill>
    </fill>
    <fill>
      <patternFill patternType="solid">
        <fgColor rgb="FF80D0D0"/>
        <bgColor indexed="64"/>
      </patternFill>
    </fill>
    <fill>
      <patternFill patternType="solid">
        <fgColor rgb="FF66AABC"/>
        <bgColor indexed="64"/>
      </patternFill>
    </fill>
    <fill>
      <patternFill patternType="solid">
        <fgColor rgb="FFCD4F39"/>
        <bgColor indexed="64"/>
      </patternFill>
    </fill>
    <fill>
      <patternFill patternType="solid">
        <fgColor rgb="FF00EEEE"/>
        <bgColor indexed="64"/>
      </patternFill>
    </fill>
    <fill>
      <patternFill patternType="solid">
        <fgColor rgb="FF239EBA"/>
        <bgColor indexed="64"/>
      </patternFill>
    </fill>
    <fill>
      <patternFill patternType="solid">
        <fgColor rgb="FFCD3333"/>
        <bgColor indexed="64"/>
      </patternFill>
    </fill>
    <fill>
      <patternFill patternType="solid">
        <fgColor rgb="FF79CDCD"/>
        <bgColor indexed="64"/>
      </patternFill>
    </fill>
    <fill>
      <patternFill patternType="solid">
        <fgColor rgb="FF68838B"/>
        <bgColor indexed="64"/>
      </patternFill>
    </fill>
    <fill>
      <patternFill patternType="solid">
        <fgColor rgb="FFCC3333"/>
        <bgColor indexed="64"/>
      </patternFill>
    </fill>
    <fill>
      <patternFill patternType="solid">
        <fgColor rgb="FF48D1CC"/>
        <bgColor indexed="64"/>
      </patternFill>
    </fill>
    <fill>
      <patternFill patternType="solid">
        <fgColor rgb="FF2E8495"/>
        <bgColor indexed="64"/>
      </patternFill>
    </fill>
    <fill>
      <patternFill patternType="solid">
        <fgColor rgb="FFCD2626"/>
        <bgColor indexed="64"/>
      </patternFill>
    </fill>
    <fill>
      <patternFill patternType="solid">
        <fgColor rgb="FF00CED1"/>
        <bgColor indexed="64"/>
      </patternFill>
    </fill>
    <fill>
      <patternFill patternType="solid">
        <fgColor rgb="FF367588"/>
        <bgColor indexed="64"/>
      </patternFill>
    </fill>
    <fill>
      <patternFill patternType="solid">
        <fgColor rgb="FFCF0A1D"/>
        <bgColor indexed="64"/>
      </patternFill>
    </fill>
    <fill>
      <patternFill patternType="solid">
        <fgColor rgb="FF00CDCD"/>
        <bgColor indexed="64"/>
      </patternFill>
    </fill>
    <fill>
      <patternFill patternType="solid">
        <fgColor rgb="FF004958"/>
        <bgColor indexed="64"/>
      </patternFill>
    </fill>
    <fill>
      <patternFill patternType="solid">
        <fgColor rgb="FFCD0000"/>
        <bgColor indexed="64"/>
      </patternFill>
    </fill>
    <fill>
      <patternFill patternType="solid">
        <fgColor rgb="FF00CCCB"/>
        <bgColor indexed="64"/>
      </patternFill>
    </fill>
    <fill>
      <patternFill patternType="solid">
        <fgColor rgb="FF1D4851"/>
        <bgColor indexed="64"/>
      </patternFill>
    </fill>
    <fill>
      <patternFill patternType="solid">
        <fgColor rgb="FFCD3700"/>
        <bgColor indexed="64"/>
      </patternFill>
    </fill>
    <fill>
      <patternFill patternType="solid">
        <fgColor rgb="FF838B8B"/>
        <bgColor indexed="64"/>
      </patternFill>
    </fill>
    <fill>
      <patternFill patternType="solid">
        <fgColor rgb="FF1FFED8"/>
        <bgColor indexed="64"/>
      </patternFill>
    </fill>
    <fill>
      <patternFill patternType="solid">
        <fgColor rgb="FFC60800"/>
        <bgColor indexed="64"/>
      </patternFill>
    </fill>
    <fill>
      <patternFill patternType="solid">
        <fgColor rgb="FF5F9EA0"/>
        <bgColor indexed="64"/>
      </patternFill>
    </fill>
    <fill>
      <patternFill patternType="solid">
        <fgColor rgb="FF96DED1"/>
        <bgColor indexed="64"/>
      </patternFill>
    </fill>
    <fill>
      <patternFill patternType="solid">
        <fgColor rgb="FFBC3F4A"/>
        <bgColor indexed="64"/>
      </patternFill>
    </fill>
    <fill>
      <patternFill patternType="solid">
        <fgColor rgb="FF5F9F9F"/>
        <bgColor indexed="64"/>
      </patternFill>
    </fill>
    <fill>
      <patternFill patternType="solid">
        <fgColor rgb="FF00A693"/>
        <bgColor indexed="64"/>
      </patternFill>
    </fill>
    <fill>
      <patternFill patternType="solid">
        <fgColor rgb="FFBF3030"/>
        <bgColor indexed="64"/>
      </patternFill>
    </fill>
    <fill>
      <patternFill patternType="solid">
        <fgColor rgb="FF7A8B8B"/>
        <bgColor indexed="64"/>
      </patternFill>
    </fill>
    <fill>
      <patternFill patternType="solid">
        <fgColor rgb="FF4A766E"/>
        <bgColor indexed="64"/>
      </patternFill>
    </fill>
    <fill>
      <patternFill patternType="solid">
        <fgColor rgb="FF668B8B"/>
        <bgColor indexed="64"/>
      </patternFill>
    </fill>
    <fill>
      <patternFill patternType="solid">
        <fgColor rgb="FF4E5755"/>
        <bgColor indexed="64"/>
      </patternFill>
    </fill>
    <fill>
      <patternFill patternType="solid">
        <fgColor rgb="FF8B8989"/>
        <bgColor indexed="64"/>
      </patternFill>
    </fill>
    <fill>
      <patternFill patternType="solid">
        <fgColor rgb="FF528B8B"/>
        <bgColor indexed="64"/>
      </patternFill>
    </fill>
    <fill>
      <patternFill patternType="solid">
        <fgColor rgb="FF3A4B47"/>
        <bgColor indexed="64"/>
      </patternFill>
    </fill>
    <fill>
      <patternFill patternType="solid">
        <fgColor rgb="FFBE0032"/>
        <bgColor indexed="64"/>
      </patternFill>
    </fill>
    <fill>
      <patternFill patternType="solid">
        <fgColor rgb="FF008E8E"/>
        <bgColor indexed="64"/>
      </patternFill>
    </fill>
    <fill>
      <patternFill patternType="solid">
        <fgColor rgb="FFC9DC89"/>
        <bgColor indexed="64"/>
      </patternFill>
    </fill>
    <fill>
      <patternFill patternType="solid">
        <fgColor rgb="FFBC2001"/>
        <bgColor indexed="64"/>
      </patternFill>
    </fill>
    <fill>
      <patternFill patternType="solid">
        <fgColor rgb="FF008B8B"/>
        <bgColor indexed="64"/>
      </patternFill>
    </fill>
    <fill>
      <patternFill patternType="solid">
        <fgColor rgb="FFBDDA57"/>
        <bgColor indexed="64"/>
      </patternFill>
    </fill>
    <fill>
      <patternFill patternType="solid">
        <fgColor rgb="FFBB0B0B"/>
        <bgColor indexed="64"/>
      </patternFill>
    </fill>
    <fill>
      <patternFill patternType="solid">
        <fgColor rgb="FF8F9779"/>
        <bgColor indexed="64"/>
      </patternFill>
    </fill>
    <fill>
      <patternFill patternType="solid">
        <fgColor rgb="FFAB4E52"/>
        <bgColor indexed="64"/>
      </patternFill>
    </fill>
    <fill>
      <patternFill patternType="solid">
        <fgColor rgb="FF2F4F4F"/>
        <bgColor indexed="64"/>
      </patternFill>
    </fill>
    <fill>
      <patternFill patternType="solid">
        <fgColor rgb="FF8A9A5B"/>
        <bgColor indexed="64"/>
      </patternFill>
    </fill>
    <fill>
      <patternFill patternType="solid">
        <fgColor rgb="FFB82010"/>
        <bgColor indexed="64"/>
      </patternFill>
    </fill>
    <fill>
      <patternFill patternType="solid">
        <fgColor rgb="FF004B49"/>
        <bgColor indexed="64"/>
      </patternFill>
    </fill>
    <fill>
      <patternFill patternType="solid">
        <fgColor rgb="FF798933"/>
        <bgColor indexed="64"/>
      </patternFill>
    </fill>
    <fill>
      <patternFill patternType="solid">
        <fgColor rgb="FFB22222"/>
        <bgColor indexed="64"/>
      </patternFill>
    </fill>
    <fill>
      <patternFill patternType="solid">
        <fgColor rgb="FF002A29"/>
        <bgColor indexed="64"/>
      </patternFill>
    </fill>
    <fill>
      <patternFill patternType="solid">
        <fgColor rgb="FF5A6521"/>
        <bgColor indexed="64"/>
      </patternFill>
    </fill>
    <fill>
      <patternFill patternType="solid">
        <fgColor rgb="FFAA381E"/>
        <bgColor indexed="64"/>
      </patternFill>
    </fill>
    <fill>
      <patternFill patternType="solid">
        <fgColor rgb="FF0B1616"/>
        <bgColor indexed="64"/>
      </patternFill>
    </fill>
    <fill>
      <patternFill patternType="solid">
        <fgColor rgb="FFFFD700"/>
        <bgColor indexed="64"/>
      </patternFill>
    </fill>
    <fill>
      <patternFill patternType="solid">
        <fgColor rgb="FFA62A2A"/>
        <bgColor indexed="64"/>
      </patternFill>
    </fill>
    <fill>
      <patternFill patternType="solid">
        <fgColor rgb="FF00F5FF"/>
        <bgColor indexed="64"/>
      </patternFill>
    </fill>
    <fill>
      <patternFill patternType="solid">
        <fgColor rgb="FFFFE436"/>
        <bgColor indexed="64"/>
      </patternFill>
    </fill>
    <fill>
      <patternFill patternType="solid">
        <fgColor rgb="FF8B6969"/>
        <bgColor indexed="64"/>
      </patternFill>
    </fill>
    <fill>
      <patternFill patternType="solid">
        <fgColor rgb="FF9CD1DC"/>
        <bgColor indexed="64"/>
      </patternFill>
    </fill>
    <fill>
      <patternFill patternType="solid">
        <fgColor rgb="FFFEE347"/>
        <bgColor indexed="64"/>
      </patternFill>
    </fill>
    <fill>
      <patternFill patternType="solid">
        <fgColor rgb="FFA52A2A"/>
        <bgColor indexed="64"/>
      </patternFill>
    </fill>
    <fill>
      <patternFill patternType="solid">
        <fgColor rgb="FF8EE5EE"/>
        <bgColor indexed="64"/>
      </patternFill>
    </fill>
    <fill>
      <patternFill patternType="solid">
        <fgColor rgb="FFFADA5E"/>
        <bgColor indexed="64"/>
      </patternFill>
    </fill>
    <fill>
      <patternFill patternType="solid">
        <fgColor rgb="FFA91101"/>
        <bgColor indexed="64"/>
      </patternFill>
    </fill>
    <fill>
      <patternFill patternType="solid">
        <fgColor rgb="FFB0E0E6"/>
        <bgColor indexed="64"/>
      </patternFill>
    </fill>
    <fill>
      <patternFill patternType="solid">
        <fgColor rgb="FFF7E269"/>
        <bgColor indexed="64"/>
      </patternFill>
    </fill>
    <fill>
      <patternFill patternType="solid">
        <fgColor rgb="FF905D5D"/>
        <bgColor indexed="64"/>
      </patternFill>
    </fill>
    <fill>
      <patternFill patternType="solid">
        <fgColor rgb="FF98F5FF"/>
        <bgColor indexed="64"/>
      </patternFill>
    </fill>
    <fill>
      <patternFill patternType="solid">
        <fgColor rgb="FFEEDC82"/>
        <bgColor indexed="64"/>
      </patternFill>
    </fill>
    <fill>
      <patternFill patternType="solid">
        <fgColor rgb="FFA42424"/>
        <bgColor indexed="64"/>
      </patternFill>
    </fill>
    <fill>
      <patternFill patternType="solid">
        <fgColor rgb="FF00E5EE"/>
        <bgColor indexed="64"/>
      </patternFill>
    </fill>
    <fill>
      <patternFill patternType="solid">
        <fgColor rgb="FFEEDD82"/>
        <bgColor indexed="64"/>
      </patternFill>
    </fill>
    <fill>
      <patternFill patternType="solid">
        <fgColor rgb="FFA5260A"/>
        <bgColor indexed="64"/>
      </patternFill>
    </fill>
    <fill>
      <patternFill patternType="solid">
        <fgColor rgb="FF7AC5CD"/>
        <bgColor indexed="64"/>
      </patternFill>
    </fill>
    <fill>
      <patternFill patternType="solid">
        <fgColor rgb="FFE1CE9A"/>
        <bgColor indexed="64"/>
      </patternFill>
    </fill>
    <fill>
      <patternFill patternType="solid">
        <fgColor rgb="FF856363"/>
        <bgColor indexed="64"/>
      </patternFill>
    </fill>
    <fill>
      <patternFill patternType="solid">
        <fgColor rgb="FF00C5CD"/>
        <bgColor indexed="64"/>
      </patternFill>
    </fill>
    <fill>
      <patternFill patternType="solid">
        <fgColor rgb="FFF8DE7E"/>
        <bgColor indexed="64"/>
      </patternFill>
    </fill>
    <fill>
      <patternFill patternType="solid">
        <fgColor rgb="FF960018"/>
        <bgColor indexed="64"/>
      </patternFill>
    </fill>
    <fill>
      <patternFill patternType="solid">
        <fgColor rgb="FF03B4C8"/>
        <bgColor indexed="64"/>
      </patternFill>
    </fill>
    <fill>
      <patternFill patternType="solid">
        <fgColor rgb="FFFFDE75"/>
        <bgColor indexed="64"/>
      </patternFill>
    </fill>
    <fill>
      <patternFill patternType="solid">
        <fgColor rgb="FF8B3A3A"/>
        <bgColor indexed="64"/>
      </patternFill>
    </fill>
    <fill>
      <patternFill patternType="solid">
        <fgColor rgb="FF798081"/>
        <bgColor indexed="64"/>
      </patternFill>
    </fill>
    <fill>
      <patternFill patternType="solid">
        <fgColor rgb="FFFFEC8B"/>
        <bgColor indexed="64"/>
      </patternFill>
    </fill>
    <fill>
      <patternFill patternType="solid">
        <fgColor rgb="FF8E2323"/>
        <bgColor indexed="64"/>
      </patternFill>
    </fill>
    <fill>
      <patternFill patternType="solid">
        <fgColor rgb="FF53868B"/>
        <bgColor indexed="64"/>
      </patternFill>
    </fill>
    <fill>
      <patternFill patternType="solid">
        <fgColor rgb="FFF3E5AB"/>
        <bgColor indexed="64"/>
      </patternFill>
    </fill>
    <fill>
      <patternFill patternType="solid">
        <fgColor rgb="FF8B2323"/>
        <bgColor indexed="64"/>
      </patternFill>
    </fill>
    <fill>
      <patternFill patternType="solid">
        <fgColor rgb="FF048B9A"/>
        <bgColor indexed="64"/>
      </patternFill>
    </fill>
    <fill>
      <patternFill patternType="solid">
        <fgColor rgb="FFF1E2BE"/>
        <bgColor indexed="64"/>
      </patternFill>
    </fill>
    <fill>
      <patternFill patternType="solid">
        <fgColor rgb="FF8C1717"/>
        <bgColor indexed="64"/>
      </patternFill>
    </fill>
    <fill>
      <patternFill patternType="solid">
        <fgColor rgb="FF00868B"/>
        <bgColor indexed="64"/>
      </patternFill>
    </fill>
    <fill>
      <patternFill patternType="solid">
        <fgColor rgb="FFFFF0BC"/>
        <bgColor indexed="64"/>
      </patternFill>
    </fill>
    <fill>
      <patternFill patternType="solid">
        <fgColor rgb="FF8B1A1A"/>
        <bgColor indexed="64"/>
      </patternFill>
    </fill>
    <fill>
      <patternFill patternType="solid">
        <fgColor rgb="FF25FDE9"/>
        <bgColor indexed="64"/>
      </patternFill>
    </fill>
    <fill>
      <patternFill patternType="solid">
        <fgColor rgb="FFFAF0C5"/>
        <bgColor indexed="64"/>
      </patternFill>
    </fill>
    <fill>
      <patternFill patternType="solid">
        <fgColor rgb="FF8B0000"/>
        <bgColor indexed="64"/>
      </patternFill>
    </fill>
    <fill>
      <patternFill patternType="solid">
        <fgColor rgb="FF40E0D0"/>
        <bgColor indexed="64"/>
      </patternFill>
    </fill>
    <fill>
      <patternFill patternType="solid">
        <fgColor rgb="FFF0EAD6"/>
        <bgColor indexed="64"/>
      </patternFill>
    </fill>
    <fill>
      <patternFill patternType="solid">
        <fgColor rgb="FF8B2500"/>
        <bgColor indexed="64"/>
      </patternFill>
    </fill>
    <fill>
      <patternFill patternType="solid">
        <fgColor rgb="FF66ADA4"/>
        <bgColor indexed="64"/>
      </patternFill>
    </fill>
    <fill>
      <patternFill patternType="solid">
        <fgColor rgb="FFFFF8DC"/>
        <bgColor indexed="64"/>
      </patternFill>
    </fill>
    <fill>
      <patternFill patternType="solid">
        <fgColor rgb="FF841B2D"/>
        <bgColor indexed="64"/>
      </patternFill>
    </fill>
    <fill>
      <patternFill patternType="solid">
        <fgColor rgb="FF20B2AA"/>
        <bgColor indexed="64"/>
      </patternFill>
    </fill>
    <fill>
      <patternFill patternType="solid">
        <fgColor rgb="FFFCDC12"/>
        <bgColor indexed="64"/>
      </patternFill>
    </fill>
    <fill>
      <patternFill patternType="solid">
        <fgColor rgb="FF850606"/>
        <bgColor indexed="64"/>
      </patternFill>
    </fill>
    <fill>
      <patternFill patternType="solid">
        <fgColor rgb="FF008882"/>
        <bgColor indexed="64"/>
      </patternFill>
    </fill>
    <fill>
      <patternFill patternType="solid">
        <fgColor rgb="FFB9B8B5"/>
        <bgColor indexed="64"/>
      </patternFill>
    </fill>
    <fill>
      <patternFill patternType="solid">
        <fgColor rgb="FF317873"/>
        <bgColor indexed="64"/>
      </patternFill>
    </fill>
    <fill>
      <patternFill patternType="solid">
        <fgColor rgb="FFEED153"/>
        <bgColor indexed="64"/>
      </patternFill>
    </fill>
    <fill>
      <patternFill patternType="solid">
        <fgColor rgb="FF6F4242"/>
        <bgColor indexed="64"/>
      </patternFill>
    </fill>
    <fill>
      <patternFill patternType="solid">
        <fgColor rgb="FF007A74"/>
        <bgColor indexed="64"/>
      </patternFill>
    </fill>
    <fill>
      <patternFill patternType="solid">
        <fgColor rgb="FFF6DC12"/>
        <bgColor indexed="64"/>
      </patternFill>
    </fill>
    <fill>
      <patternFill patternType="solid">
        <fgColor rgb="FF722F37"/>
        <bgColor indexed="64"/>
      </patternFill>
    </fill>
    <fill>
      <patternFill patternType="solid">
        <fgColor rgb="FF01796F"/>
        <bgColor indexed="64"/>
      </patternFill>
    </fill>
    <fill>
      <patternFill patternType="solid">
        <fgColor rgb="FFEFD242"/>
        <bgColor indexed="64"/>
      </patternFill>
    </fill>
    <fill>
      <patternFill patternType="solid">
        <fgColor rgb="FF5C504F"/>
        <bgColor indexed="64"/>
      </patternFill>
    </fill>
    <fill>
      <patternFill patternType="solid">
        <fgColor rgb="FF00443F"/>
        <bgColor indexed="64"/>
      </patternFill>
    </fill>
    <fill>
      <patternFill patternType="solid">
        <fgColor rgb="FFBFB8A5"/>
        <bgColor indexed="64"/>
      </patternFill>
    </fill>
    <fill>
      <patternFill patternType="solid">
        <fgColor rgb="FF730800"/>
        <bgColor indexed="64"/>
      </patternFill>
    </fill>
    <fill>
      <patternFill patternType="solid">
        <fgColor rgb="FFC7E6D7"/>
        <bgColor indexed="64"/>
      </patternFill>
    </fill>
    <fill>
      <patternFill patternType="solid">
        <fgColor rgb="FFF3D617"/>
        <bgColor indexed="64"/>
      </patternFill>
    </fill>
    <fill>
      <patternFill patternType="solid">
        <fgColor rgb="FF6E0B14"/>
        <bgColor indexed="64"/>
      </patternFill>
    </fill>
    <fill>
      <patternFill patternType="solid">
        <fgColor rgb="FFF5FFFA"/>
        <bgColor indexed="64"/>
      </patternFill>
    </fill>
    <fill>
      <patternFill patternType="solid">
        <fgColor rgb="FFEEC900"/>
        <bgColor indexed="64"/>
      </patternFill>
    </fill>
    <fill>
      <patternFill patternType="solid">
        <fgColor rgb="FF6D071A"/>
        <bgColor indexed="64"/>
      </patternFill>
    </fill>
    <fill>
      <patternFill patternType="solid">
        <fgColor rgb="FF8ED1B2"/>
        <bgColor indexed="64"/>
      </patternFill>
    </fill>
    <fill>
      <patternFill patternType="solid">
        <fgColor rgb="FFD0C07A"/>
        <bgColor indexed="64"/>
      </patternFill>
    </fill>
    <fill>
      <patternFill patternType="solid">
        <fgColor rgb="FF6B0D0D"/>
        <bgColor indexed="64"/>
      </patternFill>
    </fill>
    <fill>
      <patternFill patternType="solid">
        <fgColor rgb="FF8DA399"/>
        <bgColor indexed="64"/>
      </patternFill>
    </fill>
    <fill>
      <patternFill patternType="solid">
        <fgColor rgb="FFCDBE70"/>
        <bgColor indexed="64"/>
      </patternFill>
    </fill>
    <fill>
      <patternFill patternType="solid">
        <fgColor rgb="FF543D3F"/>
        <bgColor indexed="64"/>
      </patternFill>
    </fill>
    <fill>
      <patternFill patternType="solid">
        <fgColor rgb="FF83A697"/>
        <bgColor indexed="64"/>
      </patternFill>
    </fill>
    <fill>
      <patternFill patternType="solid">
        <fgColor rgb="FFC2B280"/>
        <bgColor indexed="64"/>
      </patternFill>
    </fill>
    <fill>
      <patternFill patternType="solid">
        <fgColor rgb="FF56070C"/>
        <bgColor indexed="64"/>
      </patternFill>
    </fill>
    <fill>
      <patternFill patternType="solid">
        <fgColor rgb="FF6AAB8E"/>
        <bgColor indexed="64"/>
      </patternFill>
    </fill>
    <fill>
      <patternFill patternType="solid">
        <fgColor rgb="FFC3B470"/>
        <bgColor indexed="64"/>
      </patternFill>
    </fill>
    <fill>
      <patternFill patternType="solid">
        <fgColor rgb="FF4E1609"/>
        <bgColor indexed="64"/>
      </patternFill>
    </fill>
    <fill>
      <patternFill patternType="solid">
        <fgColor rgb="FF3EB489"/>
        <bgColor indexed="64"/>
      </patternFill>
    </fill>
    <fill>
      <patternFill patternType="solid">
        <fgColor rgb="FFCFB53B"/>
        <bgColor indexed="64"/>
      </patternFill>
    </fill>
    <fill>
      <patternFill patternType="solid">
        <fgColor rgb="FF3E1D1E"/>
        <bgColor indexed="64"/>
      </patternFill>
    </fill>
    <fill>
      <patternFill patternType="solid">
        <fgColor rgb="FF029D74"/>
        <bgColor indexed="64"/>
      </patternFill>
    </fill>
    <fill>
      <patternFill patternType="solid">
        <fgColor rgb="FFD1B606"/>
        <bgColor indexed="64"/>
      </patternFill>
    </fill>
    <fill>
      <patternFill patternType="solid">
        <fgColor rgb="FFEEA2AD"/>
        <bgColor indexed="64"/>
      </patternFill>
    </fill>
    <fill>
      <patternFill patternType="solid">
        <fgColor rgb="FF238E68"/>
        <bgColor indexed="64"/>
      </patternFill>
    </fill>
    <fill>
      <patternFill patternType="solid">
        <fgColor rgb="FFCDAD00"/>
        <bgColor indexed="64"/>
      </patternFill>
    </fill>
    <fill>
      <patternFill patternType="solid">
        <fgColor rgb="FFEEA9B8"/>
        <bgColor indexed="64"/>
      </patternFill>
    </fill>
    <fill>
      <patternFill patternType="solid">
        <fgColor rgb="FF3B7861"/>
        <bgColor indexed="64"/>
      </patternFill>
    </fill>
    <fill>
      <patternFill patternType="solid">
        <fgColor rgb="FF8B7500"/>
        <bgColor indexed="64"/>
      </patternFill>
    </fill>
    <fill>
      <patternFill patternType="solid">
        <fgColor rgb="FFFFAEB9"/>
        <bgColor indexed="64"/>
      </patternFill>
    </fill>
    <fill>
      <patternFill patternType="solid">
        <fgColor rgb="FF007959"/>
        <bgColor indexed="64"/>
      </patternFill>
    </fill>
    <fill>
      <patternFill patternType="solid">
        <fgColor rgb="FF685E43"/>
        <bgColor indexed="64"/>
      </patternFill>
    </fill>
    <fill>
      <patternFill patternType="solid">
        <fgColor rgb="FFFFB5C5"/>
        <bgColor indexed="64"/>
      </patternFill>
    </fill>
    <fill>
      <patternFill patternType="solid">
        <fgColor rgb="FF00543D"/>
        <bgColor indexed="64"/>
      </patternFill>
    </fill>
    <fill>
      <patternFill patternType="solid">
        <fgColor rgb="FF915C83"/>
        <bgColor indexed="64"/>
      </patternFill>
    </fill>
    <fill>
      <patternFill patternType="solid">
        <fgColor rgb="FFFFB6C1"/>
        <bgColor indexed="64"/>
      </patternFill>
    </fill>
    <fill>
      <patternFill patternType="solid">
        <fgColor rgb="FF76EEC6"/>
        <bgColor indexed="64"/>
      </patternFill>
    </fill>
    <fill>
      <patternFill patternType="solid">
        <fgColor rgb="FF871F78"/>
        <bgColor indexed="64"/>
      </patternFill>
    </fill>
    <fill>
      <patternFill patternType="solid">
        <fgColor rgb="FFFFC0CB"/>
        <bgColor indexed="64"/>
      </patternFill>
    </fill>
    <fill>
      <patternFill patternType="solid">
        <fgColor rgb="FF97DFC6"/>
        <bgColor indexed="64"/>
      </patternFill>
    </fill>
    <fill>
      <patternFill patternType="solid">
        <fgColor rgb="FF870074"/>
        <bgColor indexed="64"/>
      </patternFill>
    </fill>
    <fill>
      <patternFill patternType="solid">
        <fgColor rgb="FFD58490"/>
        <bgColor indexed="64"/>
      </patternFill>
    </fill>
    <fill>
      <patternFill patternType="solid">
        <fgColor rgb="FF7FFFD4"/>
        <bgColor indexed="64"/>
      </patternFill>
    </fill>
    <fill>
      <patternFill patternType="solid">
        <fgColor rgb="FF5D555B"/>
        <bgColor indexed="64"/>
      </patternFill>
    </fill>
    <fill>
      <patternFill patternType="solid">
        <fgColor rgb="FFCD919E"/>
        <bgColor indexed="64"/>
      </patternFill>
    </fill>
    <fill>
      <patternFill patternType="solid">
        <fgColor rgb="FFDFEDE8"/>
        <bgColor indexed="64"/>
      </patternFill>
    </fill>
    <fill>
      <patternFill patternType="solid">
        <fgColor rgb="FF702963"/>
        <bgColor indexed="64"/>
      </patternFill>
    </fill>
    <fill>
      <patternFill patternType="solid">
        <fgColor rgb="FFCD8C95"/>
        <bgColor indexed="64"/>
      </patternFill>
    </fill>
    <fill>
      <patternFill patternType="solid">
        <fgColor rgb="FF66CDAA"/>
        <bgColor indexed="64"/>
      </patternFill>
    </fill>
    <fill>
      <patternFill patternType="solid">
        <fgColor rgb="FF5D3954"/>
        <bgColor indexed="64"/>
      </patternFill>
    </fill>
    <fill>
      <patternFill patternType="solid">
        <fgColor rgb="FFAF868E"/>
        <bgColor indexed="64"/>
      </patternFill>
    </fill>
    <fill>
      <patternFill patternType="solid">
        <fgColor rgb="FF7D8984"/>
        <bgColor indexed="64"/>
      </patternFill>
    </fill>
    <fill>
      <patternFill patternType="solid">
        <fgColor rgb="FF50404D"/>
        <bgColor indexed="64"/>
      </patternFill>
    </fill>
    <fill>
      <patternFill patternType="solid">
        <fgColor rgb="FFC72C48"/>
        <bgColor indexed="64"/>
      </patternFill>
    </fill>
    <fill>
      <patternFill patternType="solid">
        <fgColor rgb="FF649B88"/>
        <bgColor indexed="64"/>
      </patternFill>
    </fill>
    <fill>
      <patternFill patternType="solid">
        <fgColor rgb="FFD399E6"/>
        <bgColor indexed="64"/>
      </patternFill>
    </fill>
    <fill>
      <patternFill patternType="solid">
        <fgColor rgb="FFAC1E44"/>
        <bgColor indexed="64"/>
      </patternFill>
    </fill>
    <fill>
      <patternFill patternType="solid">
        <fgColor rgb="FF458B74"/>
        <bgColor indexed="64"/>
      </patternFill>
    </fill>
    <fill>
      <patternFill patternType="solid">
        <fgColor rgb="FFE066FF"/>
        <bgColor indexed="64"/>
      </patternFill>
    </fill>
    <fill>
      <patternFill patternType="solid">
        <fgColor rgb="FF8B636C"/>
        <bgColor indexed="64"/>
      </patternFill>
    </fill>
    <fill>
      <patternFill patternType="solid">
        <fgColor rgb="FF5E716A"/>
        <bgColor indexed="64"/>
      </patternFill>
    </fill>
    <fill>
      <patternFill patternType="solid">
        <fgColor rgb="FFDF73FF"/>
        <bgColor indexed="64"/>
      </patternFill>
    </fill>
    <fill>
      <patternFill patternType="solid">
        <fgColor rgb="FF8B5F65"/>
        <bgColor indexed="64"/>
      </patternFill>
    </fill>
    <fill>
      <patternFill patternType="solid">
        <fgColor rgb="FF40826D"/>
        <bgColor indexed="64"/>
      </patternFill>
    </fill>
    <fill>
      <patternFill patternType="solid">
        <fgColor rgb="FFD15FEE"/>
        <bgColor indexed="64"/>
      </patternFill>
    </fill>
    <fill>
      <patternFill patternType="solid">
        <fgColor rgb="FF9E0E40"/>
        <bgColor indexed="64"/>
      </patternFill>
    </fill>
    <fill>
      <patternFill patternType="solid">
        <fgColor rgb="FF1B4D3E"/>
        <bgColor indexed="64"/>
      </patternFill>
    </fill>
    <fill>
      <patternFill patternType="solid">
        <fgColor rgb="FFB695C0"/>
        <bgColor indexed="64"/>
      </patternFill>
    </fill>
    <fill>
      <patternFill patternType="solid">
        <fgColor rgb="FF91283B"/>
        <bgColor indexed="64"/>
      </patternFill>
    </fill>
    <fill>
      <patternFill patternType="solid">
        <fgColor rgb="FF1C352D"/>
        <bgColor indexed="64"/>
      </patternFill>
    </fill>
    <fill>
      <patternFill patternType="solid">
        <fgColor rgb="FFBA55D3"/>
        <bgColor indexed="64"/>
      </patternFill>
    </fill>
    <fill>
      <patternFill patternType="solid">
        <fgColor rgb="FF90283B"/>
        <bgColor indexed="64"/>
      </patternFill>
    </fill>
    <fill>
      <patternFill patternType="solid">
        <fgColor rgb="FF1E2321"/>
        <bgColor indexed="64"/>
      </patternFill>
    </fill>
    <fill>
      <patternFill patternType="solid">
        <fgColor rgb="FFB452CD"/>
        <bgColor indexed="64"/>
      </patternFill>
    </fill>
    <fill>
      <patternFill patternType="solid">
        <fgColor rgb="FF5C0923"/>
        <bgColor indexed="64"/>
      </patternFill>
    </fill>
    <fill>
      <patternFill patternType="solid">
        <fgColor rgb="FF1A2421"/>
        <bgColor indexed="64"/>
      </patternFill>
    </fill>
    <fill>
      <patternFill patternType="solid">
        <fgColor rgb="FF9A4EAE"/>
        <bgColor indexed="64"/>
      </patternFill>
    </fill>
    <fill>
      <patternFill patternType="solid">
        <fgColor rgb="FF3A020D"/>
        <bgColor indexed="64"/>
      </patternFill>
    </fill>
    <fill>
      <patternFill patternType="solid">
        <fgColor rgb="FF00FA9A"/>
        <bgColor indexed="64"/>
      </patternFill>
    </fill>
    <fill>
      <patternFill patternType="solid">
        <fgColor rgb="FF86608E"/>
        <bgColor indexed="64"/>
      </patternFill>
    </fill>
    <fill>
      <patternFill patternType="solid">
        <fgColor rgb="FF2E1D21"/>
        <bgColor indexed="64"/>
      </patternFill>
    </fill>
    <fill>
      <patternFill patternType="solid">
        <fgColor rgb="FF008856"/>
        <bgColor indexed="64"/>
      </patternFill>
    </fill>
    <fill>
      <patternFill patternType="solid">
        <fgColor rgb="FF875692"/>
        <bgColor indexed="64"/>
      </patternFill>
    </fill>
    <fill>
      <patternFill patternType="solid">
        <fgColor rgb="FFFF7F24"/>
        <bgColor indexed="64"/>
      </patternFill>
    </fill>
    <fill>
      <patternFill patternType="solid">
        <fgColor rgb="FFFF6EC7"/>
        <bgColor indexed="64"/>
      </patternFill>
    </fill>
    <fill>
      <patternFill patternType="solid">
        <fgColor rgb="FF7A378B"/>
        <bgColor indexed="64"/>
      </patternFill>
    </fill>
    <fill>
      <patternFill patternType="solid">
        <fgColor rgb="FFE9967A"/>
        <bgColor indexed="64"/>
      </patternFill>
    </fill>
    <fill>
      <patternFill patternType="solid">
        <fgColor rgb="FFCC3299"/>
        <bgColor indexed="64"/>
      </patternFill>
    </fill>
    <fill>
      <patternFill patternType="solid">
        <fgColor rgb="FF602F6B"/>
        <bgColor indexed="64"/>
      </patternFill>
    </fill>
    <fill>
      <patternFill patternType="solid">
        <fgColor rgb="FFEE9572"/>
        <bgColor indexed="64"/>
      </patternFill>
    </fill>
    <fill>
      <patternFill patternType="solid">
        <fgColor rgb="FFCD2990"/>
        <bgColor indexed="64"/>
      </patternFill>
    </fill>
    <fill>
      <patternFill patternType="solid">
        <fgColor rgb="FF563C5C"/>
        <bgColor indexed="64"/>
      </patternFill>
    </fill>
    <fill>
      <patternFill patternType="solid">
        <fgColor rgb="FFFF8247"/>
        <bgColor indexed="64"/>
      </patternFill>
    </fill>
    <fill>
      <patternFill patternType="solid">
        <fgColor rgb="FF965578"/>
        <bgColor indexed="64"/>
      </patternFill>
    </fill>
    <fill>
      <patternFill patternType="solid">
        <fgColor rgb="FFFF1493"/>
        <bgColor indexed="64"/>
      </patternFill>
    </fill>
    <fill>
      <patternFill patternType="solid">
        <fgColor rgb="FFFF7F50"/>
        <bgColor indexed="64"/>
      </patternFill>
    </fill>
    <fill>
      <patternFill patternType="solid">
        <fgColor rgb="FF8B1C62"/>
        <bgColor indexed="64"/>
      </patternFill>
    </fill>
    <fill>
      <patternFill patternType="solid">
        <fgColor rgb="FFFD3F92"/>
        <bgColor indexed="64"/>
      </patternFill>
    </fill>
    <fill>
      <patternFill patternType="solid">
        <fgColor rgb="FFCDB7B5"/>
        <bgColor indexed="64"/>
      </patternFill>
    </fill>
    <fill>
      <patternFill patternType="solid">
        <fgColor rgb="FF54133B"/>
        <bgColor indexed="64"/>
      </patternFill>
    </fill>
    <fill>
      <patternFill patternType="solid">
        <fgColor rgb="FFFF3E96"/>
        <bgColor indexed="64"/>
      </patternFill>
    </fill>
    <fill>
      <patternFill patternType="solid">
        <fgColor rgb="FFFF7256"/>
        <bgColor indexed="64"/>
      </patternFill>
    </fill>
    <fill>
      <patternFill patternType="solid">
        <fgColor rgb="FF38152C"/>
        <bgColor indexed="64"/>
      </patternFill>
    </fill>
    <fill>
      <patternFill patternType="solid">
        <fgColor rgb="FFEE799F"/>
        <bgColor indexed="64"/>
      </patternFill>
    </fill>
    <fill>
      <patternFill patternType="solid">
        <fgColor rgb="FFFF8C69"/>
        <bgColor indexed="64"/>
      </patternFill>
    </fill>
    <fill>
      <patternFill patternType="solid">
        <fgColor rgb="FF370028"/>
        <bgColor indexed="64"/>
      </patternFill>
    </fill>
    <fill>
      <patternFill patternType="solid">
        <fgColor rgb="FFE68FAC"/>
        <bgColor indexed="64"/>
      </patternFill>
    </fill>
    <fill>
      <patternFill patternType="solid">
        <fgColor rgb="FFFF866A"/>
        <bgColor indexed="64"/>
      </patternFill>
    </fill>
    <fill>
      <patternFill patternType="solid">
        <fgColor rgb="FFBFB9BD"/>
        <bgColor indexed="64"/>
      </patternFill>
    </fill>
    <fill>
      <patternFill patternType="solid">
        <fgColor rgb="FFFD6C9E"/>
        <bgColor indexed="64"/>
      </patternFill>
    </fill>
    <fill>
      <patternFill patternType="solid">
        <fgColor rgb="FFFFA07A"/>
        <bgColor indexed="64"/>
      </patternFill>
    </fill>
    <fill>
      <patternFill patternType="solid">
        <fgColor rgb="FFB784A7"/>
        <bgColor indexed="64"/>
      </patternFill>
    </fill>
    <fill>
      <patternFill patternType="solid">
        <fgColor rgb="FFCDC1C5"/>
        <bgColor indexed="64"/>
      </patternFill>
    </fill>
    <fill>
      <patternFill patternType="solid">
        <fgColor rgb="FFFFB7A5"/>
        <bgColor indexed="64"/>
      </patternFill>
    </fill>
    <fill>
      <patternFill patternType="solid">
        <fgColor rgb="FFAA8A9E"/>
        <bgColor indexed="64"/>
      </patternFill>
    </fill>
    <fill>
      <patternFill patternType="solid">
        <fgColor rgb="FFFF82AB"/>
        <bgColor indexed="64"/>
      </patternFill>
    </fill>
    <fill>
      <patternFill patternType="solid">
        <fgColor rgb="FFFDBFB7"/>
        <bgColor indexed="64"/>
      </patternFill>
    </fill>
    <fill>
      <patternFill patternType="solid">
        <fgColor rgb="FF997A8D"/>
        <bgColor indexed="64"/>
      </patternFill>
    </fill>
    <fill>
      <patternFill patternType="solid">
        <fgColor rgb="FFEFBBCC"/>
        <bgColor indexed="64"/>
      </patternFill>
    </fill>
    <fill>
      <patternFill patternType="solid">
        <fgColor rgb="FFEED5D2"/>
        <bgColor indexed="64"/>
      </patternFill>
    </fill>
    <fill>
      <patternFill patternType="solid">
        <fgColor rgb="FF8B8589"/>
        <bgColor indexed="64"/>
      </patternFill>
    </fill>
    <fill>
      <patternFill patternType="solid">
        <fgColor rgb="FFFEBFD2"/>
        <bgColor indexed="64"/>
      </patternFill>
    </fill>
    <fill>
      <patternFill patternType="solid">
        <fgColor rgb="FFFFE4E1"/>
        <bgColor indexed="64"/>
      </patternFill>
    </fill>
    <fill>
      <patternFill patternType="solid">
        <fgColor rgb="FF9E4F88"/>
        <bgColor indexed="64"/>
      </patternFill>
    </fill>
    <fill>
      <patternFill patternType="solid">
        <fgColor rgb="FFFFC8D6"/>
        <bgColor indexed="64"/>
      </patternFill>
    </fill>
    <fill>
      <patternFill patternType="solid">
        <fgColor rgb="FFEE8262"/>
        <bgColor indexed="64"/>
      </patternFill>
    </fill>
    <fill>
      <patternFill patternType="solid">
        <fgColor rgb="FF836479"/>
        <bgColor indexed="64"/>
      </patternFill>
    </fill>
    <fill>
      <patternFill patternType="solid">
        <fgColor rgb="FFFFF0F5"/>
        <bgColor indexed="64"/>
      </patternFill>
    </fill>
    <fill>
      <patternFill patternType="solid">
        <fgColor rgb="FFEE6A50"/>
        <bgColor indexed="64"/>
      </patternFill>
    </fill>
    <fill>
      <patternFill patternType="solid">
        <fgColor rgb="FFA10684"/>
        <bgColor indexed="64"/>
      </patternFill>
    </fill>
    <fill>
      <patternFill patternType="solid">
        <fgColor rgb="FFD597AE"/>
        <bgColor indexed="64"/>
      </patternFill>
    </fill>
    <fill>
      <patternFill patternType="solid">
        <fgColor rgb="FFF4661B"/>
        <bgColor indexed="64"/>
      </patternFill>
    </fill>
    <fill>
      <patternFill patternType="solid">
        <fgColor rgb="FF723E64"/>
        <bgColor indexed="64"/>
      </patternFill>
    </fill>
    <fill>
      <patternFill patternType="solid">
        <fgColor rgb="FFEE3A8C"/>
        <bgColor indexed="64"/>
      </patternFill>
    </fill>
    <fill>
      <patternFill patternType="solid">
        <fgColor rgb="FFEE7942"/>
        <bgColor indexed="64"/>
      </patternFill>
    </fill>
    <fill>
      <patternFill patternType="solid">
        <fgColor rgb="FF6A455D"/>
        <bgColor indexed="64"/>
      </patternFill>
    </fill>
    <fill>
      <patternFill patternType="solid">
        <fgColor rgb="FFDB7093"/>
        <bgColor indexed="64"/>
      </patternFill>
    </fill>
    <fill>
      <patternFill patternType="solid">
        <fgColor rgb="FFEE7621"/>
        <bgColor indexed="64"/>
      </patternFill>
    </fill>
    <fill>
      <patternFill patternType="solid">
        <fgColor rgb="FFF9429E"/>
        <bgColor indexed="64"/>
      </patternFill>
    </fill>
    <fill>
      <patternFill patternType="solid">
        <fgColor rgb="FFEE1289"/>
        <bgColor indexed="64"/>
      </patternFill>
    </fill>
    <fill>
      <patternFill patternType="solid">
        <fgColor rgb="FFE25822"/>
        <bgColor indexed="64"/>
      </patternFill>
    </fill>
    <fill>
      <patternFill patternType="solid">
        <fgColor rgb="FFEE6AA7"/>
        <bgColor indexed="64"/>
      </patternFill>
    </fill>
    <fill>
      <patternFill patternType="solid">
        <fgColor rgb="FFCD6889"/>
        <bgColor indexed="64"/>
      </patternFill>
    </fill>
    <fill>
      <patternFill patternType="solid">
        <fgColor rgb="FFC48379"/>
        <bgColor indexed="64"/>
      </patternFill>
    </fill>
    <fill>
      <patternFill patternType="solid">
        <fgColor rgb="FFFF1CAE"/>
        <bgColor indexed="64"/>
      </patternFill>
    </fill>
    <fill>
      <patternFill patternType="solid">
        <fgColor rgb="FFC17E91"/>
        <bgColor indexed="64"/>
      </patternFill>
    </fill>
    <fill>
      <patternFill patternType="solid">
        <fgColor rgb="FFD9603B"/>
        <bgColor indexed="64"/>
      </patternFill>
    </fill>
    <fill>
      <patternFill patternType="solid">
        <fgColor rgb="FFFF34B3"/>
        <bgColor indexed="64"/>
      </patternFill>
    </fill>
    <fill>
      <patternFill patternType="solid">
        <fgColor rgb="FFDB0073"/>
        <bgColor indexed="64"/>
      </patternFill>
    </fill>
    <fill>
      <patternFill patternType="solid">
        <fgColor rgb="FFCD8162"/>
        <bgColor indexed="64"/>
      </patternFill>
    </fill>
    <fill>
      <patternFill patternType="solid">
        <fgColor rgb="FFFF69B4"/>
        <bgColor indexed="64"/>
      </patternFill>
    </fill>
    <fill>
      <patternFill patternType="solid">
        <fgColor rgb="FFCE4676"/>
        <bgColor indexed="64"/>
      </patternFill>
    </fill>
    <fill>
      <patternFill patternType="solid">
        <fgColor rgb="FFCD7054"/>
        <bgColor indexed="64"/>
      </patternFill>
    </fill>
    <fill>
      <patternFill patternType="solid">
        <fgColor rgb="FFFF6EB4"/>
        <bgColor indexed="64"/>
      </patternFill>
    </fill>
    <fill>
      <patternFill patternType="solid">
        <fgColor rgb="FFCD3278"/>
        <bgColor indexed="64"/>
      </patternFill>
    </fill>
    <fill>
      <patternFill patternType="solid">
        <fgColor rgb="FFCB6D51"/>
        <bgColor indexed="64"/>
      </patternFill>
    </fill>
    <fill>
      <patternFill patternType="solid">
        <fgColor rgb="FFE8CCD7"/>
        <bgColor indexed="64"/>
      </patternFill>
    </fill>
    <fill>
      <patternFill patternType="solid">
        <fgColor rgb="FFCD1076"/>
        <bgColor indexed="64"/>
      </patternFill>
    </fill>
    <fill>
      <patternFill patternType="solid">
        <fgColor rgb="FFCD5B45"/>
        <bgColor indexed="64"/>
      </patternFill>
    </fill>
    <fill>
      <patternFill patternType="solid">
        <fgColor rgb="FFE8E3E5"/>
        <bgColor indexed="64"/>
      </patternFill>
    </fill>
    <fill>
      <patternFill patternType="solid">
        <fgColor rgb="FFB3446C"/>
        <bgColor indexed="64"/>
      </patternFill>
    </fill>
    <fill>
      <patternFill patternType="solid">
        <fgColor rgb="FFAD8884"/>
        <bgColor indexed="64"/>
      </patternFill>
    </fill>
    <fill>
      <patternFill patternType="solid">
        <fgColor rgb="FFEEE0E5"/>
        <bgColor indexed="64"/>
      </patternFill>
    </fill>
    <fill>
      <patternFill patternType="solid">
        <fgColor rgb="FFA8516E"/>
        <bgColor indexed="64"/>
      </patternFill>
    </fill>
    <fill>
      <patternFill patternType="solid">
        <fgColor rgb="FFCD6839"/>
        <bgColor indexed="64"/>
      </patternFill>
    </fill>
    <fill>
      <patternFill patternType="solid">
        <fgColor rgb="FFFEE7F0"/>
        <bgColor indexed="64"/>
      </patternFill>
    </fill>
    <fill>
      <patternFill patternType="solid">
        <fgColor rgb="FFB03060"/>
        <bgColor indexed="64"/>
      </patternFill>
    </fill>
    <fill>
      <patternFill patternType="solid">
        <fgColor rgb="FFCC5500"/>
        <bgColor indexed="64"/>
      </patternFill>
    </fill>
    <fill>
      <patternFill patternType="solid">
        <fgColor rgb="FFC3A6B1"/>
        <bgColor indexed="64"/>
      </patternFill>
    </fill>
    <fill>
      <patternFill patternType="solid">
        <fgColor rgb="FF915F6D"/>
        <bgColor indexed="64"/>
      </patternFill>
    </fill>
    <fill>
      <patternFill patternType="solid">
        <fgColor rgb="FFB4745E"/>
        <bgColor indexed="64"/>
      </patternFill>
    </fill>
    <fill>
      <patternFill patternType="solid">
        <fgColor rgb="FFDE6FA1"/>
        <bgColor indexed="64"/>
      </patternFill>
    </fill>
    <fill>
      <patternFill patternType="solid">
        <fgColor rgb="FF8B475D"/>
        <bgColor indexed="64"/>
      </patternFill>
    </fill>
    <fill>
      <patternFill patternType="solid">
        <fgColor rgb="FFA87C6D"/>
        <bgColor indexed="64"/>
      </patternFill>
    </fill>
    <fill>
      <patternFill patternType="solid">
        <fgColor rgb="FFEE30A7"/>
        <bgColor indexed="64"/>
      </patternFill>
    </fill>
    <fill>
      <patternFill patternType="solid">
        <fgColor rgb="FF8B2252"/>
        <bgColor indexed="64"/>
      </patternFill>
    </fill>
    <fill>
      <patternFill patternType="solid">
        <fgColor rgb="FF8F817F"/>
        <bgColor indexed="64"/>
      </patternFill>
    </fill>
    <fill>
      <patternFill patternType="solid">
        <fgColor rgb="FFCD6090"/>
        <bgColor indexed="64"/>
      </patternFill>
    </fill>
    <fill>
      <patternFill patternType="solid">
        <fgColor rgb="FF8B0A50"/>
        <bgColor indexed="64"/>
      </patternFill>
    </fill>
    <fill>
      <patternFill patternType="solid">
        <fgColor rgb="FF8B7D7B"/>
        <bgColor indexed="64"/>
      </patternFill>
    </fill>
    <fill>
      <patternFill patternType="solid">
        <fgColor rgb="FFC4698F"/>
        <bgColor indexed="64"/>
      </patternFill>
    </fill>
    <fill>
      <patternFill patternType="solid">
        <fgColor rgb="FF673147"/>
        <bgColor indexed="64"/>
      </patternFill>
    </fill>
    <fill>
      <patternFill patternType="solid">
        <fgColor rgb="FFAE4A34"/>
        <bgColor indexed="64"/>
      </patternFill>
    </fill>
    <fill>
      <patternFill patternType="solid">
        <fgColor rgb="FFD02090"/>
        <bgColor indexed="64"/>
      </patternFill>
    </fill>
    <fill>
      <patternFill patternType="solid">
        <fgColor rgb="FF3F1728"/>
        <bgColor indexed="64"/>
      </patternFill>
    </fill>
    <fill>
      <patternFill patternType="solid">
        <fgColor rgb="FFAD390E"/>
        <bgColor indexed="64"/>
      </patternFill>
    </fill>
    <fill>
      <patternFill patternType="solid">
        <fgColor rgb="FFC71585"/>
        <bgColor indexed="64"/>
      </patternFill>
    </fill>
    <fill>
      <patternFill patternType="solid">
        <fgColor rgb="FF282022"/>
        <bgColor indexed="64"/>
      </patternFill>
    </fill>
    <fill>
      <patternFill patternType="solid">
        <fgColor rgb="FFAD4F09"/>
        <bgColor indexed="64"/>
      </patternFill>
    </fill>
    <fill>
      <patternFill patternType="solid">
        <fgColor rgb="FF8B8386"/>
        <bgColor indexed="64"/>
      </patternFill>
    </fill>
    <fill>
      <patternFill patternType="solid">
        <fgColor rgb="FFFF7F00"/>
        <bgColor indexed="64"/>
      </patternFill>
    </fill>
    <fill>
      <patternFill patternType="solid">
        <fgColor rgb="FFA0522D"/>
        <bgColor indexed="64"/>
      </patternFill>
    </fill>
    <fill>
      <patternFill patternType="solid">
        <fgColor rgb="FF8B3A62"/>
        <bgColor indexed="64"/>
      </patternFill>
    </fill>
    <fill>
      <patternFill patternType="solid">
        <fgColor rgb="FFFF8C00"/>
        <bgColor indexed="64"/>
      </patternFill>
    </fill>
    <fill>
      <patternFill patternType="solid">
        <fgColor rgb="FF9E4732"/>
        <bgColor indexed="64"/>
      </patternFill>
    </fill>
    <fill>
      <patternFill patternType="solid">
        <fgColor rgb="FF811453"/>
        <bgColor indexed="64"/>
      </patternFill>
    </fill>
    <fill>
      <patternFill patternType="solid">
        <fgColor rgb="FFC1B6B3"/>
        <bgColor indexed="64"/>
      </patternFill>
    </fill>
    <fill>
      <patternFill patternType="solid">
        <fgColor rgb="FF99512B"/>
        <bgColor indexed="64"/>
      </patternFill>
    </fill>
    <fill>
      <patternFill patternType="solid">
        <fgColor rgb="FF78184A"/>
        <bgColor indexed="64"/>
      </patternFill>
    </fill>
    <fill>
      <patternFill patternType="solid">
        <fgColor rgb="FFFD943F"/>
        <bgColor indexed="64"/>
      </patternFill>
    </fill>
    <fill>
      <patternFill patternType="solid">
        <fgColor rgb="FF9D3E0C"/>
        <bgColor indexed="64"/>
      </patternFill>
    </fill>
    <fill>
      <patternFill patternType="solid">
        <fgColor rgb="FFBABABA"/>
        <bgColor indexed="64"/>
      </patternFill>
    </fill>
    <fill>
      <patternFill patternType="solid">
        <fgColor rgb="FFF88E55"/>
        <bgColor indexed="64"/>
      </patternFill>
    </fill>
    <fill>
      <patternFill patternType="solid">
        <fgColor rgb="FF8B5742"/>
        <bgColor indexed="64"/>
      </patternFill>
    </fill>
    <fill>
      <patternFill patternType="solid">
        <fgColor rgb="FFBBBBBB"/>
        <bgColor indexed="64"/>
      </patternFill>
    </fill>
    <fill>
      <patternFill patternType="solid">
        <fgColor rgb="FFFEC3AC"/>
        <bgColor indexed="64"/>
      </patternFill>
    </fill>
    <fill>
      <patternFill patternType="solid">
        <fgColor rgb="FF8B4C39"/>
        <bgColor indexed="64"/>
      </patternFill>
    </fill>
    <fill>
      <patternFill patternType="solid">
        <fgColor rgb="FFBDBDBD"/>
        <bgColor indexed="64"/>
      </patternFill>
    </fill>
    <fill>
      <patternFill patternType="solid">
        <fgColor rgb="FFEAE3E1"/>
        <bgColor indexed="64"/>
      </patternFill>
    </fill>
    <fill>
      <patternFill patternType="solid">
        <fgColor rgb="FF8B3E2F"/>
        <bgColor indexed="64"/>
      </patternFill>
    </fill>
    <fill>
      <patternFill patternType="solid">
        <fgColor rgb="FFBEBEBE"/>
        <bgColor indexed="64"/>
      </patternFill>
    </fill>
    <fill>
      <patternFill patternType="solid">
        <fgColor rgb="FFFDE9E0"/>
        <bgColor indexed="64"/>
      </patternFill>
    </fill>
    <fill>
      <patternFill patternType="solid">
        <fgColor rgb="FF8D4024"/>
        <bgColor indexed="64"/>
      </patternFill>
    </fill>
    <fill>
      <patternFill patternType="solid">
        <fgColor rgb="FFBFBFBF"/>
        <bgColor indexed="64"/>
      </patternFill>
    </fill>
    <fill>
      <patternFill patternType="solid">
        <fgColor rgb="FFC7ADA3"/>
        <bgColor indexed="64"/>
      </patternFill>
    </fill>
    <fill>
      <patternFill patternType="solid">
        <fgColor rgb="FF8B3626"/>
        <bgColor indexed="64"/>
      </patternFill>
    </fill>
    <fill>
      <patternFill patternType="solid">
        <fgColor rgb="FFF38400"/>
        <bgColor indexed="64"/>
      </patternFill>
    </fill>
    <fill>
      <patternFill patternType="solid">
        <fgColor rgb="FF8B4726"/>
        <bgColor indexed="64"/>
      </patternFill>
    </fill>
    <fill>
      <patternFill patternType="solid">
        <fgColor rgb="FFC2C2C2"/>
        <bgColor indexed="64"/>
      </patternFill>
    </fill>
    <fill>
      <patternFill patternType="solid">
        <fgColor rgb="FFDB9370"/>
        <bgColor indexed="64"/>
      </patternFill>
    </fill>
    <fill>
      <patternFill patternType="solid">
        <fgColor rgb="FF88421D"/>
        <bgColor indexed="64"/>
      </patternFill>
    </fill>
    <fill>
      <patternFill patternType="solid">
        <fgColor rgb="FFC4C4C4"/>
        <bgColor indexed="64"/>
      </patternFill>
    </fill>
    <fill>
      <patternFill patternType="solid">
        <fgColor rgb="FFED872D"/>
        <bgColor indexed="64"/>
      </patternFill>
    </fill>
    <fill>
      <patternFill patternType="solid">
        <fgColor rgb="FF882D17"/>
        <bgColor indexed="64"/>
      </patternFill>
    </fill>
    <fill>
      <patternFill patternType="solid">
        <fgColor rgb="FFC7C7C7"/>
        <bgColor indexed="64"/>
      </patternFill>
    </fill>
    <fill>
      <patternFill patternType="solid">
        <fgColor rgb="FFEE7600"/>
        <bgColor indexed="64"/>
      </patternFill>
    </fill>
    <fill>
      <patternFill patternType="solid">
        <fgColor rgb="FF842E1B"/>
        <bgColor indexed="64"/>
      </patternFill>
    </fill>
    <fill>
      <patternFill patternType="solid">
        <fgColor rgb="FFC9C9C9"/>
        <bgColor indexed="64"/>
      </patternFill>
    </fill>
    <fill>
      <patternFill patternType="solid">
        <fgColor rgb="FFED7F10"/>
        <bgColor indexed="64"/>
      </patternFill>
    </fill>
    <fill>
      <patternFill patternType="solid">
        <fgColor rgb="FF79443B"/>
        <bgColor indexed="64"/>
      </patternFill>
    </fill>
    <fill>
      <patternFill patternType="solid">
        <fgColor rgb="FFCCCCCC"/>
        <bgColor indexed="64"/>
      </patternFill>
    </fill>
    <fill>
      <patternFill patternType="solid">
        <fgColor rgb="FFD19275"/>
        <bgColor indexed="64"/>
      </patternFill>
    </fill>
    <fill>
      <patternFill patternType="solid">
        <fgColor rgb="FF7E3300"/>
        <bgColor indexed="64"/>
      </patternFill>
    </fill>
    <fill>
      <patternFill patternType="solid">
        <fgColor rgb="FFCDCDCD"/>
        <bgColor indexed="64"/>
      </patternFill>
    </fill>
    <fill>
      <patternFill patternType="solid">
        <fgColor rgb="FFE67E30"/>
        <bgColor indexed="64"/>
      </patternFill>
    </fill>
    <fill>
      <patternFill patternType="solid">
        <fgColor rgb="FF674C47"/>
        <bgColor indexed="64"/>
      </patternFill>
    </fill>
    <fill>
      <patternFill patternType="solid">
        <fgColor rgb="FFCECECE"/>
        <bgColor indexed="64"/>
      </patternFill>
    </fill>
    <fill>
      <patternFill patternType="solid">
        <fgColor rgb="FFD99058"/>
        <bgColor indexed="64"/>
      </patternFill>
    </fill>
    <fill>
      <patternFill patternType="solid">
        <fgColor rgb="FF5B504F"/>
        <bgColor indexed="64"/>
      </patternFill>
    </fill>
    <fill>
      <patternFill patternType="solid">
        <fgColor rgb="FFCFCFCF"/>
        <bgColor indexed="64"/>
      </patternFill>
    </fill>
    <fill>
      <patternFill patternType="solid">
        <fgColor rgb="FFDF6D14"/>
        <bgColor indexed="64"/>
      </patternFill>
    </fill>
    <fill>
      <patternFill patternType="solid">
        <fgColor rgb="FF703516"/>
        <bgColor indexed="64"/>
      </patternFill>
    </fill>
    <fill>
      <patternFill patternType="solid">
        <fgColor rgb="FFD1D1D1"/>
        <bgColor indexed="64"/>
      </patternFill>
    </fill>
    <fill>
      <patternFill patternType="solid">
        <fgColor rgb="FFD2691E"/>
        <bgColor indexed="64"/>
      </patternFill>
    </fill>
    <fill>
      <patternFill patternType="solid">
        <fgColor rgb="FF43302E"/>
        <bgColor indexed="64"/>
      </patternFill>
    </fill>
    <fill>
      <patternFill patternType="solid">
        <fgColor rgb="FFD3D3D3"/>
        <bgColor indexed="64"/>
      </patternFill>
    </fill>
    <fill>
      <patternFill patternType="solid">
        <fgColor rgb="FFCD7F32"/>
        <bgColor indexed="64"/>
      </patternFill>
    </fill>
    <fill>
      <patternFill patternType="solid">
        <fgColor rgb="FFD4D4D4"/>
        <bgColor indexed="64"/>
      </patternFill>
    </fill>
    <fill>
      <patternFill patternType="solid">
        <fgColor rgb="FFCD661D"/>
        <bgColor indexed="64"/>
      </patternFill>
    </fill>
    <fill>
      <patternFill patternType="solid">
        <fgColor rgb="FF87E990"/>
        <bgColor indexed="64"/>
      </patternFill>
    </fill>
    <fill>
      <patternFill patternType="solid">
        <fgColor rgb="FFD6D6D6"/>
        <bgColor indexed="64"/>
      </patternFill>
    </fill>
    <fill>
      <patternFill patternType="solid">
        <fgColor rgb="FFCD6600"/>
        <bgColor indexed="64"/>
      </patternFill>
    </fill>
    <fill>
      <patternFill patternType="solid">
        <fgColor rgb="FF90EE90"/>
        <bgColor indexed="64"/>
      </patternFill>
    </fill>
    <fill>
      <patternFill patternType="solid">
        <fgColor rgb="FFD9D9D9"/>
        <bgColor indexed="64"/>
      </patternFill>
    </fill>
    <fill>
      <patternFill patternType="solid">
        <fgColor rgb="FFBE6516"/>
        <bgColor indexed="64"/>
      </patternFill>
    </fill>
    <fill>
      <patternFill patternType="solid">
        <fgColor rgb="FFC1CDC1"/>
        <bgColor indexed="64"/>
      </patternFill>
    </fill>
    <fill>
      <patternFill patternType="solid">
        <fgColor rgb="FFDBDBDB"/>
        <bgColor indexed="64"/>
      </patternFill>
    </fill>
    <fill>
      <patternFill patternType="solid">
        <fgColor rgb="FFB87333"/>
        <bgColor indexed="64"/>
      </patternFill>
    </fill>
    <fill>
      <patternFill patternType="solid">
        <fgColor rgb="FF98FB98"/>
        <bgColor indexed="64"/>
      </patternFill>
    </fill>
    <fill>
      <patternFill patternType="solid">
        <fgColor rgb="FFDCDCDC"/>
        <bgColor indexed="64"/>
      </patternFill>
    </fill>
    <fill>
      <patternFill patternType="solid">
        <fgColor rgb="FF977F73"/>
        <bgColor indexed="64"/>
      </patternFill>
    </fill>
    <fill>
      <patternFill patternType="solid">
        <fgColor rgb="FFB4EEB4"/>
        <bgColor indexed="64"/>
      </patternFill>
    </fill>
    <fill>
      <patternFill patternType="solid">
        <fgColor rgb="FFDDDDDD"/>
        <bgColor indexed="64"/>
      </patternFill>
    </fill>
    <fill>
      <patternFill patternType="solid">
        <fgColor rgb="FFAE6938"/>
        <bgColor indexed="64"/>
      </patternFill>
    </fill>
    <fill>
      <patternFill patternType="solid">
        <fgColor rgb="FF9AFF9A"/>
        <bgColor indexed="64"/>
      </patternFill>
    </fill>
    <fill>
      <patternFill patternType="solid">
        <fgColor rgb="FFDEDEDE"/>
        <bgColor indexed="64"/>
      </patternFill>
    </fill>
    <fill>
      <patternFill patternType="solid">
        <fgColor rgb="FFB36700"/>
        <bgColor indexed="64"/>
      </patternFill>
    </fill>
    <fill>
      <patternFill patternType="solid">
        <fgColor rgb="FFC1FFC1"/>
        <bgColor indexed="64"/>
      </patternFill>
    </fill>
    <fill>
      <patternFill patternType="solid">
        <fgColor rgb="FFAE642D"/>
        <bgColor indexed="64"/>
      </patternFill>
    </fill>
    <fill>
      <patternFill patternType="solid">
        <fgColor rgb="FFE0EEE0"/>
        <bgColor indexed="64"/>
      </patternFill>
    </fill>
    <fill>
      <patternFill patternType="solid">
        <fgColor rgb="FFE3E3E3"/>
        <bgColor indexed="64"/>
      </patternFill>
    </fill>
    <fill>
      <patternFill patternType="solid">
        <fgColor rgb="FFA76726"/>
        <bgColor indexed="64"/>
      </patternFill>
    </fill>
    <fill>
      <patternFill patternType="solid">
        <fgColor rgb="FFF0FFF0"/>
        <bgColor indexed="64"/>
      </patternFill>
    </fill>
    <fill>
      <patternFill patternType="solid">
        <fgColor rgb="FFE5E5E5"/>
        <bgColor indexed="64"/>
      </patternFill>
    </fill>
    <fill>
      <patternFill patternType="solid">
        <fgColor rgb="FF97694F"/>
        <bgColor indexed="64"/>
      </patternFill>
    </fill>
    <fill>
      <patternFill patternType="solid">
        <fgColor rgb="FF9BCD9B"/>
        <bgColor indexed="64"/>
      </patternFill>
    </fill>
    <fill>
      <patternFill patternType="solid">
        <fgColor rgb="FFE8E8E8"/>
        <bgColor indexed="64"/>
      </patternFill>
    </fill>
    <fill>
      <patternFill patternType="solid">
        <fgColor rgb="FFA75502"/>
        <bgColor indexed="64"/>
      </patternFill>
    </fill>
    <fill>
      <patternFill patternType="solid">
        <fgColor rgb="FF09F911"/>
        <bgColor indexed="64"/>
      </patternFill>
    </fill>
    <fill>
      <patternFill patternType="solid">
        <fgColor rgb="FFEBEBEB"/>
        <bgColor indexed="64"/>
      </patternFill>
    </fill>
    <fill>
      <patternFill patternType="solid">
        <fgColor rgb="FF9F551E"/>
        <bgColor indexed="64"/>
      </patternFill>
    </fill>
    <fill>
      <patternFill patternType="solid">
        <fgColor rgb="FF3AF24B"/>
        <bgColor indexed="64"/>
      </patternFill>
    </fill>
    <fill>
      <patternFill patternType="solid">
        <fgColor rgb="FFEDEDED"/>
        <bgColor indexed="64"/>
      </patternFill>
    </fill>
    <fill>
      <patternFill patternType="solid">
        <fgColor rgb="FF985717"/>
        <bgColor indexed="64"/>
      </patternFill>
    </fill>
    <fill>
      <patternFill patternType="solid">
        <fgColor rgb="FF83D37D"/>
        <bgColor indexed="64"/>
      </patternFill>
    </fill>
    <fill>
      <patternFill patternType="solid">
        <fgColor rgb="FFEEEEEE"/>
        <bgColor indexed="64"/>
      </patternFill>
    </fill>
    <fill>
      <patternFill patternType="solid">
        <fgColor rgb="FF955628"/>
        <bgColor indexed="64"/>
      </patternFill>
    </fill>
    <fill>
      <patternFill patternType="solid">
        <fgColor rgb="FF93C592"/>
        <bgColor indexed="64"/>
      </patternFill>
    </fill>
    <fill>
      <patternFill patternType="solid">
        <fgColor rgb="FFEFEFEF"/>
        <bgColor indexed="64"/>
      </patternFill>
    </fill>
    <fill>
      <patternFill patternType="solid">
        <fgColor rgb="FF8E5434"/>
        <bgColor indexed="64"/>
      </patternFill>
    </fill>
    <fill>
      <patternFill patternType="solid">
        <fgColor rgb="FF00EE00"/>
        <bgColor indexed="64"/>
      </patternFill>
    </fill>
    <fill>
      <patternFill patternType="solid">
        <fgColor rgb="FFF0F0F0"/>
        <bgColor indexed="64"/>
      </patternFill>
    </fill>
    <fill>
      <patternFill patternType="solid">
        <fgColor rgb="FF855E42"/>
        <bgColor indexed="64"/>
      </patternFill>
    </fill>
    <fill>
      <patternFill patternType="solid">
        <fgColor rgb="FF7CCD7C"/>
        <bgColor indexed="64"/>
      </patternFill>
    </fill>
    <fill>
      <patternFill patternType="solid">
        <fgColor rgb="FF845A3B"/>
        <bgColor indexed="64"/>
      </patternFill>
    </fill>
    <fill>
      <patternFill patternType="solid">
        <fgColor rgb="FF8FBC8F"/>
        <bgColor indexed="64"/>
      </patternFill>
    </fill>
    <fill>
      <patternFill patternType="solid">
        <fgColor rgb="FFF5F5F5"/>
        <bgColor indexed="64"/>
      </patternFill>
    </fill>
    <fill>
      <patternFill patternType="solid">
        <fgColor rgb="FF8B4513"/>
        <bgColor indexed="64"/>
      </patternFill>
    </fill>
    <fill>
      <patternFill patternType="solid">
        <fgColor rgb="FF95A595"/>
        <bgColor indexed="64"/>
      </patternFill>
    </fill>
    <fill>
      <patternFill patternType="solid">
        <fgColor rgb="FFF7F7F7"/>
        <bgColor indexed="64"/>
      </patternFill>
    </fill>
    <fill>
      <patternFill patternType="solid">
        <fgColor rgb="FF8B4500"/>
        <bgColor indexed="64"/>
      </patternFill>
    </fill>
    <fill>
      <patternFill patternType="solid">
        <fgColor rgb="FF32CD32"/>
        <bgColor indexed="64"/>
      </patternFill>
    </fill>
    <fill>
      <patternFill patternType="solid">
        <fgColor rgb="FFFAFAFA"/>
        <bgColor indexed="64"/>
      </patternFill>
    </fill>
    <fill>
      <patternFill patternType="solid">
        <fgColor rgb="FF80461B"/>
        <bgColor indexed="64"/>
      </patternFill>
    </fill>
    <fill>
      <patternFill patternType="solid">
        <fgColor rgb="FF00CD00"/>
        <bgColor indexed="64"/>
      </patternFill>
    </fill>
    <fill>
      <patternFill patternType="solid">
        <fgColor rgb="FFFCFCFC"/>
        <bgColor indexed="64"/>
      </patternFill>
    </fill>
    <fill>
      <patternFill patternType="solid">
        <fgColor rgb="FF6F4E37"/>
        <bgColor indexed="64"/>
      </patternFill>
    </fill>
    <fill>
      <patternFill patternType="solid">
        <fgColor rgb="FF34C924"/>
        <bgColor indexed="64"/>
      </patternFill>
    </fill>
    <fill>
      <patternFill patternType="solid">
        <fgColor rgb="FFFEFEFE"/>
        <bgColor indexed="64"/>
      </patternFill>
    </fill>
    <fill>
      <patternFill patternType="solid">
        <fgColor rgb="FF635147"/>
        <bgColor indexed="64"/>
      </patternFill>
    </fill>
    <fill>
      <patternFill patternType="solid">
        <fgColor rgb="FF838B83"/>
        <bgColor indexed="64"/>
      </patternFill>
    </fill>
    <fill>
      <patternFill patternType="solid">
        <fgColor rgb="FFB8B8B8"/>
        <bgColor indexed="64"/>
      </patternFill>
    </fill>
    <fill>
      <patternFill patternType="solid">
        <fgColor rgb="FF6B4226"/>
        <bgColor indexed="64"/>
      </patternFill>
    </fill>
    <fill>
      <patternFill patternType="solid">
        <fgColor rgb="FF679267"/>
        <bgColor indexed="64"/>
      </patternFill>
    </fill>
    <fill>
      <patternFill patternType="solid">
        <fgColor rgb="FFB5B5B5"/>
        <bgColor indexed="64"/>
      </patternFill>
    </fill>
    <fill>
      <patternFill patternType="solid">
        <fgColor rgb="FF5C4033"/>
        <bgColor indexed="64"/>
      </patternFill>
    </fill>
    <fill>
      <patternFill patternType="solid">
        <fgColor rgb="FF698B69"/>
        <bgColor indexed="64"/>
      </patternFill>
    </fill>
    <fill>
      <patternFill patternType="solid">
        <fgColor rgb="FFB3B3B3"/>
        <bgColor indexed="64"/>
      </patternFill>
    </fill>
    <fill>
      <patternFill patternType="solid">
        <fgColor rgb="FF5A3A22"/>
        <bgColor indexed="64"/>
      </patternFill>
    </fill>
    <fill>
      <patternFill patternType="solid">
        <fgColor rgb="FF44944A"/>
        <bgColor indexed="64"/>
      </patternFill>
    </fill>
    <fill>
      <patternFill patternType="solid">
        <fgColor rgb="FFB0B0B0"/>
        <bgColor indexed="64"/>
      </patternFill>
    </fill>
    <fill>
      <patternFill patternType="solid">
        <fgColor rgb="FF5C3317"/>
        <bgColor indexed="64"/>
      </patternFill>
    </fill>
    <fill>
      <patternFill patternType="solid">
        <fgColor rgb="FF548B54"/>
        <bgColor indexed="64"/>
      </patternFill>
    </fill>
    <fill>
      <patternFill patternType="solid">
        <fgColor rgb="FFAFAFAF"/>
        <bgColor indexed="64"/>
      </patternFill>
    </fill>
    <fill>
      <patternFill patternType="solid">
        <fgColor rgb="FF593319"/>
        <bgColor indexed="64"/>
      </patternFill>
    </fill>
    <fill>
      <patternFill patternType="solid">
        <fgColor rgb="FF149414"/>
        <bgColor indexed="64"/>
      </patternFill>
    </fill>
    <fill>
      <patternFill patternType="solid">
        <fgColor rgb="FFADADAD"/>
        <bgColor indexed="64"/>
      </patternFill>
    </fill>
    <fill>
      <patternFill patternType="solid">
        <fgColor rgb="FF582900"/>
        <bgColor indexed="64"/>
      </patternFill>
    </fill>
    <fill>
      <patternFill patternType="solid">
        <fgColor rgb="FF238E23"/>
        <bgColor indexed="64"/>
      </patternFill>
    </fill>
    <fill>
      <patternFill patternType="solid">
        <fgColor rgb="FFABABAB"/>
        <bgColor indexed="64"/>
      </patternFill>
    </fill>
    <fill>
      <patternFill patternType="solid">
        <fgColor rgb="FF3E322C"/>
        <bgColor indexed="64"/>
      </patternFill>
    </fill>
    <fill>
      <patternFill patternType="solid">
        <fgColor rgb="FF228B22"/>
        <bgColor indexed="64"/>
      </patternFill>
    </fill>
    <fill>
      <patternFill patternType="solid">
        <fgColor rgb="FFA8A8A8"/>
        <bgColor indexed="64"/>
      </patternFill>
    </fill>
    <fill>
      <patternFill patternType="solid">
        <fgColor rgb="FF422518"/>
        <bgColor indexed="64"/>
      </patternFill>
    </fill>
    <fill>
      <patternFill patternType="solid">
        <fgColor rgb="FF008B00"/>
        <bgColor indexed="64"/>
      </patternFill>
    </fill>
    <fill>
      <patternFill patternType="solid">
        <fgColor rgb="FFA6A6A6"/>
        <bgColor indexed="64"/>
      </patternFill>
    </fill>
    <fill>
      <patternFill patternType="solid">
        <fgColor rgb="FF3F2204"/>
        <bgColor indexed="64"/>
      </patternFill>
    </fill>
    <fill>
      <patternFill patternType="solid">
        <fgColor rgb="FFA3A3A3"/>
        <bgColor indexed="64"/>
      </patternFill>
    </fill>
    <fill>
      <patternFill patternType="solid">
        <fgColor rgb="FF28201C"/>
        <bgColor indexed="64"/>
      </patternFill>
    </fill>
    <fill>
      <patternFill patternType="solid">
        <fgColor rgb="FF426F42"/>
        <bgColor indexed="64"/>
      </patternFill>
    </fill>
    <fill>
      <patternFill patternType="solid">
        <fgColor rgb="FFA1A1A1"/>
        <bgColor indexed="64"/>
      </patternFill>
    </fill>
    <fill>
      <patternFill patternType="solid">
        <fgColor rgb="FF2F1B0C"/>
        <bgColor indexed="64"/>
      </patternFill>
    </fill>
    <fill>
      <patternFill patternType="solid">
        <fgColor rgb="FF22780F"/>
        <bgColor indexed="64"/>
      </patternFill>
    </fill>
    <fill>
      <patternFill patternType="solid">
        <fgColor rgb="FF9E9E9E"/>
        <bgColor indexed="64"/>
      </patternFill>
    </fill>
    <fill>
      <patternFill patternType="solid">
        <fgColor rgb="FF7FFF00"/>
        <bgColor indexed="64"/>
      </patternFill>
    </fill>
    <fill>
      <patternFill patternType="solid">
        <fgColor rgb="FF096A09"/>
        <bgColor indexed="64"/>
      </patternFill>
    </fill>
    <fill>
      <patternFill patternType="solid">
        <fgColor rgb="FF9C9C9C"/>
        <bgColor indexed="64"/>
      </patternFill>
    </fill>
    <fill>
      <patternFill patternType="solid">
        <fgColor rgb="FF7CFC00"/>
        <bgColor indexed="64"/>
      </patternFill>
    </fill>
    <fill>
      <patternFill patternType="solid">
        <fgColor rgb="FF006400"/>
        <bgColor indexed="64"/>
      </patternFill>
    </fill>
    <fill>
      <patternFill patternType="solid">
        <fgColor rgb="FF999999"/>
        <bgColor indexed="64"/>
      </patternFill>
    </fill>
    <fill>
      <patternFill patternType="solid">
        <fgColor rgb="FF76EE00"/>
        <bgColor indexed="64"/>
      </patternFill>
    </fill>
    <fill>
      <patternFill patternType="solid">
        <fgColor rgb="FF2F4F2F"/>
        <bgColor indexed="64"/>
      </patternFill>
    </fill>
    <fill>
      <patternFill patternType="solid">
        <fgColor rgb="FF969696"/>
        <bgColor indexed="64"/>
      </patternFill>
    </fill>
    <fill>
      <patternFill patternType="solid">
        <fgColor rgb="FF7FDD4C"/>
        <bgColor indexed="64"/>
      </patternFill>
    </fill>
    <fill>
      <patternFill patternType="solid">
        <fgColor rgb="FFB6E5AF"/>
        <bgColor indexed="64"/>
      </patternFill>
    </fill>
    <fill>
      <patternFill patternType="solid">
        <fgColor rgb="FF949494"/>
        <bgColor indexed="64"/>
      </patternFill>
    </fill>
    <fill>
      <patternFill patternType="solid">
        <fgColor rgb="FF66CD00"/>
        <bgColor indexed="64"/>
      </patternFill>
    </fill>
    <fill>
      <patternFill patternType="solid">
        <fgColor rgb="FF85C17E"/>
        <bgColor indexed="64"/>
      </patternFill>
    </fill>
    <fill>
      <patternFill patternType="solid">
        <fgColor rgb="FF919191"/>
        <bgColor indexed="64"/>
      </patternFill>
    </fill>
    <fill>
      <patternFill patternType="solid">
        <fgColor rgb="FF458B00"/>
        <bgColor indexed="64"/>
      </patternFill>
    </fill>
    <fill>
      <patternFill patternType="solid">
        <fgColor rgb="FF57D53B"/>
        <bgColor indexed="64"/>
      </patternFill>
    </fill>
    <fill>
      <patternFill patternType="solid">
        <fgColor rgb="FF8F8F8F"/>
        <bgColor indexed="64"/>
      </patternFill>
    </fill>
    <fill>
      <patternFill patternType="solid">
        <fgColor rgb="FF467129"/>
        <bgColor indexed="64"/>
      </patternFill>
    </fill>
    <fill>
      <patternFill patternType="solid">
        <fgColor rgb="FF82C46C"/>
        <bgColor indexed="64"/>
      </patternFill>
    </fill>
    <fill>
      <patternFill patternType="solid">
        <fgColor rgb="FF8C8C8C"/>
        <bgColor indexed="64"/>
      </patternFill>
    </fill>
    <fill>
      <patternFill patternType="solid">
        <fgColor rgb="FF00FF7F"/>
        <bgColor indexed="64"/>
      </patternFill>
    </fill>
    <fill>
      <patternFill patternType="solid">
        <fgColor rgb="FF679F5A"/>
        <bgColor indexed="64"/>
      </patternFill>
    </fill>
    <fill>
      <patternFill patternType="solid">
        <fgColor rgb="FF8A8A8A"/>
        <bgColor indexed="64"/>
      </patternFill>
    </fill>
    <fill>
      <patternFill patternType="solid">
        <fgColor rgb="FF54F98D"/>
        <bgColor indexed="64"/>
      </patternFill>
    </fill>
    <fill>
      <patternFill patternType="solid">
        <fgColor rgb="FF3A9D23"/>
        <bgColor indexed="64"/>
      </patternFill>
    </fill>
    <fill>
      <patternFill patternType="solid">
        <fgColor rgb="FF888888"/>
        <bgColor indexed="64"/>
      </patternFill>
    </fill>
    <fill>
      <patternFill patternType="solid">
        <fgColor rgb="FF54FF9F"/>
        <bgColor indexed="64"/>
      </patternFill>
    </fill>
    <fill>
      <patternFill patternType="solid">
        <fgColor rgb="FF1B4F08"/>
        <bgColor indexed="64"/>
      </patternFill>
    </fill>
    <fill>
      <patternFill patternType="solid">
        <fgColor rgb="FF878787"/>
        <bgColor indexed="64"/>
      </patternFill>
    </fill>
    <fill>
      <patternFill patternType="solid">
        <fgColor rgb="FF00FE7E"/>
        <bgColor indexed="64"/>
      </patternFill>
    </fill>
    <fill>
      <patternFill patternType="solid">
        <fgColor rgb="FF2B3D26"/>
        <bgColor indexed="64"/>
      </patternFill>
    </fill>
    <fill>
      <patternFill patternType="solid">
        <fgColor rgb="FF858585"/>
        <bgColor indexed="64"/>
      </patternFill>
    </fill>
    <fill>
      <patternFill patternType="solid">
        <fgColor rgb="FFB2BEB5"/>
        <bgColor indexed="64"/>
      </patternFill>
    </fill>
    <fill>
      <patternFill patternType="solid">
        <fgColor rgb="FFB0F2B6"/>
        <bgColor indexed="64"/>
      </patternFill>
    </fill>
    <fill>
      <patternFill patternType="solid">
        <fgColor rgb="FF848484"/>
        <bgColor indexed="64"/>
      </patternFill>
    </fill>
    <fill>
      <patternFill patternType="solid">
        <fgColor rgb="FF4EEE94"/>
        <bgColor indexed="64"/>
      </patternFill>
    </fill>
    <fill>
      <patternFill patternType="solid">
        <fgColor rgb="FF01D758"/>
        <bgColor indexed="64"/>
      </patternFill>
    </fill>
    <fill>
      <patternFill patternType="solid">
        <fgColor rgb="FF828282"/>
        <bgColor indexed="64"/>
      </patternFill>
    </fill>
    <fill>
      <patternFill patternType="solid">
        <fgColor rgb="FF70DB93"/>
        <bgColor indexed="64"/>
      </patternFill>
    </fill>
    <fill>
      <patternFill patternType="solid">
        <fgColor rgb="FF16B84E"/>
        <bgColor indexed="64"/>
      </patternFill>
    </fill>
    <fill>
      <patternFill patternType="solid">
        <fgColor rgb="FF7F7F7F"/>
        <bgColor indexed="64"/>
      </patternFill>
    </fill>
    <fill>
      <patternFill patternType="solid">
        <fgColor rgb="FF00EE76"/>
        <bgColor indexed="64"/>
      </patternFill>
    </fill>
    <fill>
      <patternFill patternType="solid">
        <fgColor rgb="FF689D71"/>
        <bgColor indexed="64"/>
      </patternFill>
    </fill>
    <fill>
      <patternFill patternType="solid">
        <fgColor rgb="FF7D7D7D"/>
        <bgColor indexed="64"/>
      </patternFill>
    </fill>
    <fill>
      <patternFill patternType="solid">
        <fgColor rgb="FF43CD80"/>
        <bgColor indexed="64"/>
      </patternFill>
    </fill>
    <fill>
      <patternFill patternType="solid">
        <fgColor rgb="FF27A64C"/>
        <bgColor indexed="64"/>
      </patternFill>
    </fill>
    <fill>
      <patternFill patternType="solid">
        <fgColor rgb="FF7A7A7A"/>
        <bgColor indexed="64"/>
      </patternFill>
    </fill>
    <fill>
      <patternFill patternType="solid">
        <fgColor rgb="FF00CD66"/>
        <bgColor indexed="64"/>
      </patternFill>
    </fill>
    <fill>
      <patternFill patternType="solid">
        <fgColor rgb="FF355E3B"/>
        <bgColor indexed="64"/>
      </patternFill>
    </fill>
    <fill>
      <patternFill patternType="solid">
        <fgColor rgb="FF787878"/>
        <bgColor indexed="64"/>
      </patternFill>
    </fill>
    <fill>
      <patternFill patternType="solid">
        <fgColor rgb="FF3CB371"/>
        <bgColor indexed="64"/>
      </patternFill>
    </fill>
    <fill>
      <patternFill patternType="solid">
        <fgColor rgb="FF00561B"/>
        <bgColor indexed="64"/>
      </patternFill>
    </fill>
    <fill>
      <patternFill patternType="solid">
        <fgColor rgb="FF777777"/>
        <bgColor indexed="64"/>
      </patternFill>
    </fill>
    <fill>
      <patternFill patternType="solid">
        <fgColor rgb="FF4CA66B"/>
        <bgColor indexed="64"/>
      </patternFill>
    </fill>
    <fill>
      <patternFill patternType="solid">
        <fgColor rgb="FF18391E"/>
        <bgColor indexed="64"/>
      </patternFill>
    </fill>
    <fill>
      <patternFill patternType="solid">
        <fgColor rgb="FF757575"/>
        <bgColor indexed="64"/>
      </patternFill>
    </fill>
    <fill>
      <patternFill patternType="solid">
        <fgColor rgb="FF1FA055"/>
        <bgColor indexed="64"/>
      </patternFill>
    </fill>
    <fill>
      <patternFill patternType="solid">
        <fgColor rgb="FFBF3EFF"/>
        <bgColor indexed="64"/>
      </patternFill>
    </fill>
    <fill>
      <patternFill patternType="solid">
        <fgColor rgb="FF737373"/>
        <bgColor indexed="64"/>
      </patternFill>
    </fill>
    <fill>
      <patternFill patternType="solid">
        <fgColor rgb="FF2E8B57"/>
        <bgColor indexed="64"/>
      </patternFill>
    </fill>
    <fill>
      <patternFill patternType="solid">
        <fgColor rgb="FFB23AEE"/>
        <bgColor indexed="64"/>
      </patternFill>
    </fill>
    <fill>
      <patternFill patternType="solid">
        <fgColor rgb="FF707070"/>
        <bgColor indexed="64"/>
      </patternFill>
    </fill>
    <fill>
      <patternFill patternType="solid">
        <fgColor rgb="FF008B45"/>
        <bgColor indexed="64"/>
      </patternFill>
    </fill>
    <fill>
      <patternFill patternType="solid">
        <fgColor rgb="FF9400D3"/>
        <bgColor indexed="64"/>
      </patternFill>
    </fill>
    <fill>
      <patternFill patternType="solid">
        <fgColor rgb="FF6E6E6E"/>
        <bgColor indexed="64"/>
      </patternFill>
    </fill>
    <fill>
      <patternFill patternType="solid">
        <fgColor rgb="FF386F48"/>
        <bgColor indexed="64"/>
      </patternFill>
    </fill>
    <fill>
      <patternFill patternType="solid">
        <fgColor rgb="FF9932CD"/>
        <bgColor indexed="64"/>
      </patternFill>
    </fill>
    <fill>
      <patternFill patternType="solid">
        <fgColor rgb="FF6B6B6B"/>
        <bgColor indexed="64"/>
      </patternFill>
    </fill>
    <fill>
      <patternFill patternType="solid">
        <fgColor rgb="FF00622D"/>
        <bgColor indexed="64"/>
      </patternFill>
    </fill>
    <fill>
      <patternFill patternType="solid">
        <fgColor rgb="FF9A32CD"/>
        <bgColor indexed="64"/>
      </patternFill>
    </fill>
    <fill>
      <patternFill patternType="solid">
        <fgColor rgb="FF696969"/>
        <bgColor indexed="64"/>
      </patternFill>
    </fill>
    <fill>
      <patternFill patternType="solid">
        <fgColor rgb="FF175732"/>
        <bgColor indexed="64"/>
      </patternFill>
    </fill>
    <fill>
      <patternFill patternType="solid">
        <fgColor rgb="FF9932CC"/>
        <bgColor indexed="64"/>
      </patternFill>
    </fill>
    <fill>
      <patternFill patternType="solid">
        <fgColor rgb="FF666666"/>
        <bgColor indexed="64"/>
      </patternFill>
    </fill>
    <fill>
      <patternFill patternType="solid">
        <fgColor rgb="FF095228"/>
        <bgColor indexed="64"/>
      </patternFill>
    </fill>
    <fill>
      <patternFill patternType="solid">
        <fgColor rgb="FF884DA7"/>
        <bgColor indexed="64"/>
      </patternFill>
    </fill>
    <fill>
      <patternFill patternType="solid">
        <fgColor rgb="FF636363"/>
        <bgColor indexed="64"/>
      </patternFill>
    </fill>
    <fill>
      <patternFill patternType="solid">
        <fgColor rgb="FF173620"/>
        <bgColor indexed="64"/>
      </patternFill>
    </fill>
    <fill>
      <patternFill patternType="solid">
        <fgColor rgb="FF68228B"/>
        <bgColor indexed="64"/>
      </patternFill>
    </fill>
    <fill>
      <patternFill patternType="solid">
        <fgColor rgb="FF616161"/>
        <bgColor indexed="64"/>
      </patternFill>
    </fill>
    <fill>
      <patternFill patternType="solid">
        <fgColor rgb="FF003118"/>
        <bgColor indexed="64"/>
      </patternFill>
    </fill>
    <fill>
      <patternFill patternType="solid">
        <fgColor rgb="FF120D16"/>
        <bgColor indexed="64"/>
      </patternFill>
    </fill>
    <fill>
      <patternFill patternType="solid">
        <fgColor rgb="FFA020F0"/>
        <bgColor indexed="64"/>
      </patternFill>
    </fill>
    <fill>
      <patternFill patternType="solid">
        <fgColor rgb="FF5E5E5E"/>
        <bgColor indexed="64"/>
      </patternFill>
    </fill>
    <fill>
      <patternFill patternType="solid">
        <fgColor rgb="FFFFB90F"/>
        <bgColor indexed="64"/>
      </patternFill>
    </fill>
    <fill>
      <patternFill patternType="solid">
        <fgColor rgb="FF9966CC"/>
        <bgColor indexed="64"/>
      </patternFill>
    </fill>
    <fill>
      <patternFill patternType="solid">
        <fgColor rgb="FF5C5C5C"/>
        <bgColor indexed="64"/>
      </patternFill>
    </fill>
    <fill>
      <patternFill patternType="solid">
        <fgColor rgb="FFFFC125"/>
        <bgColor indexed="64"/>
      </patternFill>
    </fill>
    <fill>
      <patternFill patternType="solid">
        <fgColor rgb="FF8806CE"/>
        <bgColor indexed="64"/>
      </patternFill>
    </fill>
    <fill>
      <patternFill patternType="solid">
        <fgColor rgb="FF595959"/>
        <bgColor indexed="64"/>
      </patternFill>
    </fill>
    <fill>
      <patternFill patternType="solid">
        <fgColor rgb="FFCDC0B0"/>
        <bgColor indexed="64"/>
      </patternFill>
    </fill>
    <fill>
      <patternFill patternType="solid">
        <fgColor rgb="FF551A8B"/>
        <bgColor indexed="64"/>
      </patternFill>
    </fill>
    <fill>
      <patternFill patternType="solid">
        <fgColor rgb="FF575757"/>
        <bgColor indexed="64"/>
      </patternFill>
    </fill>
    <fill>
      <patternFill patternType="solid">
        <fgColor rgb="FFFFC14F"/>
        <bgColor indexed="64"/>
      </patternFill>
    </fill>
    <fill>
      <patternFill patternType="solid">
        <fgColor rgb="FF32174D"/>
        <bgColor indexed="64"/>
      </patternFill>
    </fill>
    <fill>
      <patternFill patternType="solid">
        <fgColor rgb="FF555555"/>
        <bgColor indexed="64"/>
      </patternFill>
    </fill>
    <fill>
      <patternFill patternType="solid">
        <fgColor rgb="FFFFCB60"/>
        <bgColor indexed="64"/>
      </patternFill>
    </fill>
    <fill>
      <patternFill patternType="solid">
        <fgColor rgb="FF2F2140"/>
        <bgColor indexed="64"/>
      </patternFill>
    </fill>
    <fill>
      <patternFill patternType="solid">
        <fgColor rgb="FF545454"/>
        <bgColor indexed="64"/>
      </patternFill>
    </fill>
    <fill>
      <patternFill patternType="solid">
        <fgColor rgb="FFEEC591"/>
        <bgColor indexed="64"/>
      </patternFill>
    </fill>
    <fill>
      <patternFill patternType="solid">
        <fgColor rgb="FFC9A0DC"/>
        <bgColor indexed="64"/>
      </patternFill>
    </fill>
    <fill>
      <patternFill patternType="solid">
        <fgColor rgb="FF525252"/>
        <bgColor indexed="64"/>
      </patternFill>
    </fill>
    <fill>
      <patternFill patternType="solid">
        <fgColor rgb="FFFBC97F"/>
        <bgColor indexed="64"/>
      </patternFill>
    </fill>
    <fill>
      <patternFill patternType="solid">
        <fgColor rgb="FFCFA0E9"/>
        <bgColor indexed="64"/>
      </patternFill>
    </fill>
    <fill>
      <patternFill patternType="solid">
        <fgColor rgb="FF4F4F4F"/>
        <bgColor indexed="64"/>
      </patternFill>
    </fill>
    <fill>
      <patternFill patternType="solid">
        <fgColor rgb="FFEBC79E"/>
        <bgColor indexed="64"/>
      </patternFill>
    </fill>
    <fill>
      <patternFill patternType="solid">
        <fgColor rgb="FFD6CADD"/>
        <bgColor indexed="64"/>
      </patternFill>
    </fill>
    <fill>
      <patternFill patternType="solid">
        <fgColor rgb="FF4D4D4D"/>
        <bgColor indexed="64"/>
      </patternFill>
    </fill>
    <fill>
      <patternFill patternType="solid">
        <fgColor rgb="FFEECFA1"/>
        <bgColor indexed="64"/>
      </patternFill>
    </fill>
    <fill>
      <patternFill patternType="solid">
        <fgColor rgb="FFB666D2"/>
        <bgColor indexed="64"/>
      </patternFill>
    </fill>
    <fill>
      <patternFill patternType="solid">
        <fgColor rgb="FFFFD39B"/>
        <bgColor indexed="64"/>
      </patternFill>
    </fill>
    <fill>
      <patternFill patternType="solid">
        <fgColor rgb="FF401A4C"/>
        <bgColor indexed="64"/>
      </patternFill>
    </fill>
    <fill>
      <patternFill patternType="solid">
        <fgColor rgb="FFFFD966"/>
        <bgColor indexed="64"/>
      </patternFill>
    </fill>
    <fill>
      <patternFill patternType="solid">
        <fgColor theme="0"/>
        <bgColor theme="0"/>
      </patternFill>
    </fill>
    <fill>
      <patternFill patternType="solid">
        <fgColor rgb="FFFFFFCC"/>
        <bgColor theme="0"/>
      </patternFill>
    </fill>
    <fill>
      <patternFill patternType="solid">
        <fgColor theme="0" tint="-4.9989318521683403E-2"/>
        <bgColor indexed="9"/>
      </patternFill>
    </fill>
    <fill>
      <patternFill patternType="solid">
        <fgColor rgb="FFEAF4E4"/>
        <bgColor indexed="64"/>
      </patternFill>
    </fill>
    <fill>
      <patternFill patternType="solid">
        <fgColor theme="8" tint="0.59999389629810485"/>
        <bgColor indexed="64"/>
      </patternFill>
    </fill>
    <fill>
      <patternFill patternType="solid">
        <fgColor rgb="FFA4DE00"/>
        <bgColor indexed="64"/>
      </patternFill>
    </fill>
    <fill>
      <patternFill patternType="solid">
        <fgColor rgb="FFF1E8F8"/>
        <bgColor indexed="64"/>
      </patternFill>
    </fill>
    <fill>
      <patternFill patternType="solid">
        <fgColor rgb="FFFFFFAF"/>
        <bgColor indexed="9"/>
      </patternFill>
    </fill>
    <fill>
      <patternFill patternType="solid">
        <fgColor rgb="FFFFFFAF"/>
        <bgColor indexed="64"/>
      </patternFill>
    </fill>
    <fill>
      <patternFill patternType="solid">
        <fgColor rgb="FFFFFFAF"/>
        <bgColor theme="0"/>
      </patternFill>
    </fill>
    <fill>
      <patternFill patternType="solid">
        <fgColor rgb="FFC65911"/>
        <bgColor indexed="64"/>
      </patternFill>
    </fill>
    <fill>
      <patternFill patternType="solid">
        <fgColor rgb="FFBF95DF"/>
        <bgColor indexed="64"/>
      </patternFill>
    </fill>
    <fill>
      <patternFill patternType="solid">
        <fgColor rgb="FFF1E8F8"/>
        <bgColor indexed="9"/>
      </patternFill>
    </fill>
    <fill>
      <patternFill patternType="solid">
        <fgColor rgb="FFE8D9F3"/>
        <bgColor indexed="64"/>
      </patternFill>
    </fill>
    <fill>
      <patternFill patternType="solid">
        <fgColor rgb="FFDEC8EE"/>
        <bgColor indexed="64"/>
      </patternFill>
    </fill>
    <fill>
      <patternFill patternType="solid">
        <fgColor rgb="FFED7D31"/>
        <bgColor indexed="50"/>
      </patternFill>
    </fill>
    <fill>
      <patternFill patternType="solid">
        <fgColor rgb="FFDEC8EE"/>
        <bgColor theme="9"/>
      </patternFill>
    </fill>
    <fill>
      <patternFill patternType="solid">
        <fgColor theme="0"/>
        <bgColor theme="9"/>
      </patternFill>
    </fill>
    <fill>
      <patternFill patternType="solid">
        <fgColor rgb="FF0000FF"/>
        <bgColor theme="9"/>
      </patternFill>
    </fill>
    <fill>
      <patternFill patternType="solid">
        <fgColor rgb="FFFFFFB7"/>
        <bgColor indexed="64"/>
      </patternFill>
    </fill>
    <fill>
      <patternFill patternType="solid">
        <fgColor theme="0" tint="-0.14999847407452621"/>
        <bgColor theme="9"/>
      </patternFill>
    </fill>
    <fill>
      <patternFill patternType="gray125">
        <bgColor theme="0" tint="-0.14996795556505021"/>
      </patternFill>
    </fill>
    <fill>
      <patternFill patternType="solid">
        <fgColor theme="9" tint="0.59999389629810485"/>
        <bgColor theme="9"/>
      </patternFill>
    </fill>
    <fill>
      <patternFill patternType="solid">
        <fgColor theme="5" tint="0.59999389629810485"/>
        <bgColor theme="9"/>
      </patternFill>
    </fill>
    <fill>
      <patternFill patternType="solid">
        <fgColor rgb="FF99CC00"/>
        <bgColor theme="9"/>
      </patternFill>
    </fill>
    <fill>
      <patternFill patternType="solid">
        <fgColor rgb="FFFFF8E5"/>
        <bgColor indexed="50"/>
      </patternFill>
    </fill>
    <fill>
      <patternFill patternType="solid">
        <fgColor theme="7"/>
        <bgColor indexed="64"/>
      </patternFill>
    </fill>
    <fill>
      <patternFill patternType="solid">
        <fgColor rgb="FFDCF5BD"/>
        <bgColor theme="9" tint="0.79995117038483843"/>
      </patternFill>
    </fill>
    <fill>
      <patternFill patternType="solid">
        <fgColor rgb="FFFFFFD5"/>
        <bgColor indexed="64"/>
      </patternFill>
    </fill>
    <fill>
      <patternFill patternType="solid">
        <fgColor rgb="FFECECEC"/>
        <bgColor theme="9" tint="0.79995117038483843"/>
      </patternFill>
    </fill>
    <fill>
      <patternFill patternType="solid">
        <fgColor rgb="FFECECEC"/>
        <bgColor indexed="64"/>
      </patternFill>
    </fill>
    <fill>
      <patternFill patternType="solid">
        <fgColor rgb="FFF4F9F1"/>
        <bgColor theme="9" tint="0.79998168889431442"/>
      </patternFill>
    </fill>
    <fill>
      <patternFill patternType="solid">
        <fgColor rgb="FFF4F9F1"/>
        <bgColor theme="9" tint="0.79995117038483843"/>
      </patternFill>
    </fill>
    <fill>
      <patternFill patternType="solid">
        <fgColor theme="0"/>
        <bgColor theme="9" tint="0.79995117038483843"/>
      </patternFill>
    </fill>
    <fill>
      <patternFill patternType="solid">
        <fgColor rgb="FFFFFFD9"/>
        <bgColor indexed="64"/>
      </patternFill>
    </fill>
    <fill>
      <patternFill patternType="solid">
        <fgColor rgb="FFB8D9A3"/>
        <bgColor indexed="64"/>
      </patternFill>
    </fill>
    <fill>
      <patternFill patternType="solid">
        <fgColor rgb="FFEFE5F7"/>
        <bgColor indexed="64"/>
      </patternFill>
    </fill>
    <fill>
      <patternFill patternType="solid">
        <fgColor rgb="FFFF3B3B"/>
        <bgColor indexed="64"/>
      </patternFill>
    </fill>
    <fill>
      <patternFill patternType="solid">
        <fgColor rgb="FFDDDDFF"/>
        <bgColor indexed="64"/>
      </patternFill>
    </fill>
    <fill>
      <patternFill patternType="solid">
        <fgColor rgb="FFDDDDFF"/>
        <bgColor theme="9"/>
      </patternFill>
    </fill>
    <fill>
      <patternFill patternType="solid">
        <fgColor rgb="FFDEFFBD"/>
        <bgColor theme="9"/>
      </patternFill>
    </fill>
    <fill>
      <patternFill patternType="gray125">
        <bgColor theme="0"/>
      </patternFill>
    </fill>
    <fill>
      <patternFill patternType="solid">
        <fgColor rgb="FFF2A068"/>
        <bgColor indexed="64"/>
      </patternFill>
    </fill>
    <fill>
      <patternFill patternType="gray125">
        <fgColor theme="7" tint="0.39994506668294322"/>
        <bgColor theme="0"/>
      </patternFill>
    </fill>
    <fill>
      <patternFill patternType="gray125">
        <fgColor theme="7" tint="0.39994506668294322"/>
        <bgColor theme="0" tint="-0.34998626667073579"/>
      </patternFill>
    </fill>
    <fill>
      <patternFill patternType="solid">
        <fgColor rgb="FFF4F9F1"/>
        <bgColor indexed="64"/>
      </patternFill>
    </fill>
    <fill>
      <patternFill patternType="solid">
        <fgColor rgb="FFFFFFDD"/>
        <bgColor theme="0"/>
      </patternFill>
    </fill>
    <fill>
      <patternFill patternType="solid">
        <fgColor rgb="FFF9D4BD"/>
        <bgColor indexed="64"/>
      </patternFill>
    </fill>
    <fill>
      <patternFill patternType="solid">
        <fgColor theme="4" tint="0.79998168889431442"/>
        <bgColor theme="0"/>
      </patternFill>
    </fill>
    <fill>
      <patternFill patternType="solid">
        <fgColor rgb="FFDBEBD1"/>
        <bgColor theme="0"/>
      </patternFill>
    </fill>
    <fill>
      <patternFill patternType="solid">
        <fgColor theme="0" tint="-4.9989318521683403E-2"/>
        <bgColor theme="0"/>
      </patternFill>
    </fill>
    <fill>
      <patternFill patternType="solid">
        <fgColor theme="7" tint="0.59999389629810485"/>
        <bgColor theme="0"/>
      </patternFill>
    </fill>
    <fill>
      <patternFill patternType="solid">
        <fgColor rgb="FFF9D4BD"/>
        <bgColor theme="0"/>
      </patternFill>
    </fill>
    <fill>
      <patternFill patternType="gray0625">
        <fgColor theme="9" tint="0.79998168889431442"/>
        <bgColor theme="4" tint="0.79998168889431442"/>
      </patternFill>
    </fill>
    <fill>
      <patternFill patternType="gray0625">
        <fgColor theme="9" tint="0.79998168889431442"/>
        <bgColor rgb="FFDBEBD1"/>
      </patternFill>
    </fill>
    <fill>
      <patternFill patternType="solid">
        <fgColor rgb="FFDBEBD1"/>
        <bgColor indexed="64"/>
      </patternFill>
    </fill>
    <fill>
      <patternFill patternType="gray0625">
        <fgColor theme="9" tint="0.79998168889431442"/>
        <bgColor theme="7" tint="0.59999389629810485"/>
      </patternFill>
    </fill>
    <fill>
      <patternFill patternType="gray0625">
        <fgColor theme="9" tint="0.79998168889431442"/>
        <bgColor rgb="FFF9D4BD"/>
      </patternFill>
    </fill>
    <fill>
      <patternFill patternType="solid">
        <fgColor rgb="FFFFCCFF"/>
        <bgColor indexed="64"/>
      </patternFill>
    </fill>
    <fill>
      <patternFill patternType="solid">
        <fgColor rgb="FFFFF2CC"/>
        <bgColor theme="9" tint="0.79995117038483843"/>
      </patternFill>
    </fill>
    <fill>
      <patternFill patternType="solid">
        <fgColor theme="0" tint="-0.14999847407452621"/>
        <bgColor theme="9" tint="0.79995117038483843"/>
      </patternFill>
    </fill>
    <fill>
      <patternFill patternType="solid">
        <fgColor rgb="FFEAF4E4"/>
        <bgColor theme="9" tint="0.79995117038483843"/>
      </patternFill>
    </fill>
    <fill>
      <patternFill patternType="gray0625">
        <fgColor theme="7" tint="-0.24994659260841701"/>
        <bgColor rgb="FFFFFFCC"/>
      </patternFill>
    </fill>
    <fill>
      <patternFill patternType="solid">
        <fgColor theme="9" tint="0.79998168889431442"/>
        <bgColor theme="9"/>
      </patternFill>
    </fill>
    <fill>
      <patternFill patternType="solid">
        <fgColor rgb="FF305496"/>
        <bgColor theme="9"/>
      </patternFill>
    </fill>
    <fill>
      <patternFill patternType="solid">
        <fgColor rgb="FFECECEC"/>
        <bgColor rgb="FFF2F2F2"/>
      </patternFill>
    </fill>
    <fill>
      <patternFill patternType="solid">
        <fgColor rgb="FFCC00FF"/>
        <bgColor rgb="FFFF00FF"/>
      </patternFill>
    </fill>
    <fill>
      <patternFill patternType="solid">
        <fgColor rgb="FF00B050"/>
        <bgColor rgb="FF14A096"/>
      </patternFill>
    </fill>
    <fill>
      <patternFill patternType="solid">
        <fgColor rgb="FF1F3A5F"/>
        <bgColor rgb="FF1F4E78"/>
      </patternFill>
    </fill>
    <fill>
      <patternFill patternType="solid">
        <fgColor rgb="FF1F4E78"/>
      </patternFill>
    </fill>
    <fill>
      <patternFill patternType="solid">
        <fgColor theme="0"/>
        <bgColor rgb="FFFFF3F0"/>
      </patternFill>
    </fill>
    <fill>
      <patternFill patternType="solid">
        <fgColor rgb="FFD9EAD3"/>
      </patternFill>
    </fill>
    <fill>
      <patternFill patternType="solid">
        <fgColor rgb="FFEAF0F8"/>
        <bgColor rgb="FFF2F2F2"/>
      </patternFill>
    </fill>
    <fill>
      <patternFill patternType="solid">
        <fgColor rgb="FF3078BA"/>
        <bgColor indexed="64"/>
      </patternFill>
    </fill>
    <fill>
      <patternFill patternType="solid">
        <fgColor rgb="FFC00000"/>
      </patternFill>
    </fill>
    <fill>
      <patternFill patternType="solid">
        <fgColor rgb="FFEEE9E1"/>
        <bgColor rgb="FFFBE5D6"/>
      </patternFill>
    </fill>
    <fill>
      <patternFill patternType="solid">
        <fgColor rgb="FFA49680"/>
        <bgColor rgb="FFA0A0A0"/>
      </patternFill>
    </fill>
    <fill>
      <patternFill patternType="solid">
        <fgColor rgb="FFD9E2F3"/>
        <bgColor rgb="FFD9EAF7"/>
      </patternFill>
    </fill>
    <fill>
      <patternFill patternType="solid">
        <fgColor rgb="FFFFF2CC"/>
        <bgColor rgb="FFFFF7D6"/>
      </patternFill>
    </fill>
    <fill>
      <patternFill patternType="solid">
        <fgColor rgb="FF14A096"/>
        <bgColor indexed="64"/>
      </patternFill>
    </fill>
    <fill>
      <patternFill patternType="solid">
        <fgColor rgb="FFFFF2CC"/>
      </patternFill>
    </fill>
    <fill>
      <patternFill patternType="solid">
        <fgColor rgb="FFD9D9D9"/>
        <bgColor rgb="FFD9E2F3"/>
      </patternFill>
    </fill>
    <fill>
      <patternFill patternType="solid">
        <fgColor rgb="FFBDB3A3"/>
        <bgColor rgb="FFBFBFBF"/>
      </patternFill>
    </fill>
    <fill>
      <patternFill patternType="solid">
        <fgColor rgb="FFC00000"/>
        <bgColor rgb="FF9C0006"/>
      </patternFill>
    </fill>
    <fill>
      <patternFill patternType="solid">
        <fgColor rgb="FFF3F4F6"/>
      </patternFill>
    </fill>
    <fill>
      <patternFill patternType="solid">
        <fgColor rgb="FF2F75B5"/>
      </patternFill>
    </fill>
    <fill>
      <patternFill patternType="solid">
        <fgColor rgb="FFF7F3E8"/>
        <bgColor rgb="FFF3F3F3"/>
      </patternFill>
    </fill>
    <fill>
      <patternFill patternType="solid">
        <fgColor rgb="FFFFF7D6"/>
        <bgColor rgb="FFFFF2CC"/>
      </patternFill>
    </fill>
    <fill>
      <patternFill patternType="solid">
        <fgColor rgb="FFFFF3F0"/>
        <bgColor rgb="FFF7F3E8"/>
      </patternFill>
    </fill>
    <fill>
      <patternFill patternType="solid">
        <fgColor theme="5" tint="0.79998168889431442"/>
        <bgColor indexed="64"/>
      </patternFill>
    </fill>
    <fill>
      <patternFill patternType="solid">
        <fgColor rgb="FFE2F0D9"/>
        <bgColor indexed="64"/>
      </patternFill>
    </fill>
    <fill>
      <patternFill patternType="solid">
        <fgColor rgb="FFF2F2F2"/>
        <bgColor rgb="FFF3F3F3"/>
      </patternFill>
    </fill>
    <fill>
      <patternFill patternType="solid">
        <fgColor rgb="FF7030A0"/>
      </patternFill>
    </fill>
    <fill>
      <patternFill patternType="solid">
        <fgColor rgb="FF548235"/>
      </patternFill>
    </fill>
    <fill>
      <patternFill patternType="solid">
        <fgColor rgb="FF14A096"/>
        <bgColor rgb="FF9C0006"/>
      </patternFill>
    </fill>
  </fills>
  <borders count="702">
    <border>
      <left/>
      <right/>
      <top/>
      <bottom/>
      <diagonal/>
    </border>
    <border>
      <left/>
      <right/>
      <top/>
      <bottom style="medium">
        <color auto="1"/>
      </bottom>
      <diagonal/>
    </border>
    <border>
      <left/>
      <right/>
      <top style="thin">
        <color auto="1"/>
      </top>
      <bottom/>
      <diagonal/>
    </border>
    <border>
      <left/>
      <right/>
      <top/>
      <bottom style="thin">
        <color auto="1"/>
      </bottom>
      <diagonal/>
    </border>
    <border>
      <left/>
      <right style="medium">
        <color indexed="64"/>
      </right>
      <top/>
      <bottom/>
      <diagonal/>
    </border>
    <border>
      <left style="medium">
        <color indexed="64"/>
      </left>
      <right/>
      <top/>
      <bottom/>
      <diagonal/>
    </border>
    <border>
      <left/>
      <right style="medium">
        <color auto="1"/>
      </right>
      <top style="medium">
        <color auto="1"/>
      </top>
      <bottom/>
      <diagonal/>
    </border>
    <border>
      <left/>
      <right/>
      <top style="medium">
        <color auto="1"/>
      </top>
      <bottom/>
      <diagonal/>
    </border>
    <border>
      <left style="thin">
        <color auto="1"/>
      </left>
      <right/>
      <top/>
      <bottom/>
      <diagonal/>
    </border>
    <border>
      <left style="thin">
        <color auto="1"/>
      </left>
      <right/>
      <top style="thin">
        <color auto="1"/>
      </top>
      <bottom/>
      <diagonal/>
    </border>
    <border>
      <left/>
      <right style="medium">
        <color indexed="64"/>
      </right>
      <top style="dashDot">
        <color indexed="64"/>
      </top>
      <bottom style="dashDot">
        <color indexed="64"/>
      </bottom>
      <diagonal/>
    </border>
    <border>
      <left/>
      <right/>
      <top style="dashDot">
        <color indexed="64"/>
      </top>
      <bottom style="dashDot">
        <color indexed="64"/>
      </bottom>
      <diagonal/>
    </border>
    <border>
      <left style="medium">
        <color indexed="64"/>
      </left>
      <right/>
      <top style="dashDot">
        <color indexed="64"/>
      </top>
      <bottom style="dashDot">
        <color indexed="64"/>
      </bottom>
      <diagonal/>
    </border>
    <border>
      <left style="thin">
        <color auto="1"/>
      </left>
      <right/>
      <top/>
      <bottom style="hair">
        <color auto="1"/>
      </bottom>
      <diagonal/>
    </border>
    <border>
      <left/>
      <right style="medium">
        <color indexed="64"/>
      </right>
      <top/>
      <bottom style="dashDot">
        <color indexed="64"/>
      </bottom>
      <diagonal/>
    </border>
    <border>
      <left/>
      <right/>
      <top/>
      <bottom style="dashDot">
        <color indexed="64"/>
      </bottom>
      <diagonal/>
    </border>
    <border>
      <left style="medium">
        <color indexed="64"/>
      </left>
      <right/>
      <top/>
      <bottom style="dashDot">
        <color indexed="64"/>
      </bottom>
      <diagonal/>
    </border>
    <border>
      <left/>
      <right style="medium">
        <color indexed="64"/>
      </right>
      <top style="mediumDashed">
        <color indexed="64"/>
      </top>
      <bottom/>
      <diagonal/>
    </border>
    <border>
      <left/>
      <right/>
      <top style="mediumDashed">
        <color indexed="64"/>
      </top>
      <bottom/>
      <diagonal/>
    </border>
    <border>
      <left style="medium">
        <color indexed="64"/>
      </left>
      <right/>
      <top style="mediumDashed">
        <color indexed="64"/>
      </top>
      <bottom/>
      <diagonal/>
    </border>
    <border>
      <left/>
      <right/>
      <top/>
      <bottom style="dashed">
        <color indexed="64"/>
      </bottom>
      <diagonal/>
    </border>
    <border>
      <left/>
      <right style="thin">
        <color auto="1"/>
      </right>
      <top/>
      <bottom style="hair">
        <color auto="1"/>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hair">
        <color indexed="12"/>
      </bottom>
      <diagonal/>
    </border>
    <border>
      <left/>
      <right/>
      <top/>
      <bottom style="hair">
        <color indexed="12"/>
      </bottom>
      <diagonal/>
    </border>
    <border>
      <left/>
      <right style="medium">
        <color indexed="64"/>
      </right>
      <top/>
      <bottom style="hair">
        <color indexed="12"/>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top/>
      <bottom style="hair">
        <color indexed="10"/>
      </bottom>
      <diagonal/>
    </border>
    <border>
      <left/>
      <right/>
      <top/>
      <bottom style="hair">
        <color indexed="10"/>
      </bottom>
      <diagonal/>
    </border>
    <border>
      <left/>
      <right style="medium">
        <color indexed="64"/>
      </right>
      <top/>
      <bottom style="hair">
        <color indexed="10"/>
      </bottom>
      <diagonal/>
    </border>
    <border>
      <left style="medium">
        <color indexed="64"/>
      </left>
      <right style="hair">
        <color indexed="64"/>
      </right>
      <top/>
      <bottom/>
      <diagonal/>
    </border>
    <border>
      <left/>
      <right/>
      <top/>
      <bottom style="hair">
        <color rgb="FF0000FF"/>
      </bottom>
      <diagonal/>
    </border>
    <border>
      <left style="hair">
        <color rgb="FF0000FF"/>
      </left>
      <right style="hair">
        <color rgb="FF0000FF"/>
      </right>
      <top style="hair">
        <color rgb="FF0000FF"/>
      </top>
      <bottom style="hair">
        <color rgb="FF0000FF"/>
      </bottom>
      <diagonal/>
    </border>
    <border>
      <left/>
      <right style="hair">
        <color indexed="12"/>
      </right>
      <top/>
      <bottom/>
      <diagonal/>
    </border>
    <border>
      <left style="hair">
        <color rgb="FFFF0000"/>
      </left>
      <right style="hair">
        <color rgb="FFFF0000"/>
      </right>
      <top style="hair">
        <color rgb="FFFF0000"/>
      </top>
      <bottom style="hair">
        <color rgb="FFFF0000"/>
      </bottom>
      <diagonal/>
    </border>
    <border>
      <left style="hair">
        <color rgb="FFFF0000"/>
      </left>
      <right style="medium">
        <color indexed="64"/>
      </right>
      <top style="hair">
        <color rgb="FFFF0000"/>
      </top>
      <bottom style="hair">
        <color rgb="FFFF0000"/>
      </bottom>
      <diagonal/>
    </border>
    <border>
      <left/>
      <right/>
      <top style="medium">
        <color rgb="FF0070C0"/>
      </top>
      <bottom/>
      <diagonal/>
    </border>
    <border>
      <left style="medium">
        <color auto="1"/>
      </left>
      <right/>
      <top style="medium">
        <color auto="1"/>
      </top>
      <bottom/>
      <diagonal/>
    </border>
    <border>
      <left style="hair">
        <color auto="1"/>
      </left>
      <right style="hair">
        <color auto="1"/>
      </right>
      <top/>
      <bottom/>
      <diagonal/>
    </border>
    <border>
      <left style="medium">
        <color indexed="64"/>
      </left>
      <right/>
      <top/>
      <bottom style="dashed">
        <color indexed="64"/>
      </bottom>
      <diagonal/>
    </border>
    <border>
      <left/>
      <right style="medium">
        <color indexed="64"/>
      </right>
      <top/>
      <bottom style="dashed">
        <color indexed="64"/>
      </bottom>
      <diagonal/>
    </border>
    <border>
      <left style="hair">
        <color indexed="64"/>
      </left>
      <right style="hair">
        <color indexed="64"/>
      </right>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rgb="FF0070C0"/>
      </left>
      <right/>
      <top style="medium">
        <color rgb="FF0070C0"/>
      </top>
      <bottom/>
      <diagonal/>
    </border>
    <border>
      <left style="medium">
        <color rgb="FF0070C0"/>
      </left>
      <right/>
      <top/>
      <bottom style="medium">
        <color rgb="FF0070C0"/>
      </bottom>
      <diagonal/>
    </border>
    <border>
      <left/>
      <right/>
      <top/>
      <bottom style="medium">
        <color rgb="FF0070C0"/>
      </bottom>
      <diagonal/>
    </border>
    <border>
      <left style="hair">
        <color indexed="12"/>
      </left>
      <right style="hair">
        <color indexed="12"/>
      </right>
      <top/>
      <bottom/>
      <diagonal/>
    </border>
    <border>
      <left/>
      <right style="medium">
        <color auto="1"/>
      </right>
      <top/>
      <bottom style="hair">
        <color auto="1"/>
      </bottom>
      <diagonal/>
    </border>
    <border>
      <left style="thin">
        <color indexed="64"/>
      </left>
      <right/>
      <top/>
      <bottom/>
      <diagonal/>
    </border>
    <border>
      <left/>
      <right/>
      <top/>
      <bottom style="hair">
        <color indexed="64"/>
      </bottom>
      <diagonal/>
    </border>
    <border>
      <left style="thin">
        <color indexed="64"/>
      </left>
      <right/>
      <top/>
      <bottom style="hair">
        <color indexed="64"/>
      </bottom>
      <diagonal/>
    </border>
    <border>
      <left/>
      <right style="medium">
        <color auto="1"/>
      </right>
      <top/>
      <bottom style="medium">
        <color auto="1"/>
      </bottom>
      <diagonal/>
    </border>
    <border>
      <left style="medium">
        <color auto="1"/>
      </left>
      <right/>
      <top/>
      <bottom style="medium">
        <color auto="1"/>
      </bottom>
      <diagonal/>
    </border>
    <border>
      <left style="thin">
        <color indexed="64"/>
      </left>
      <right/>
      <top style="thin">
        <color indexed="64"/>
      </top>
      <bottom/>
      <diagonal/>
    </border>
    <border>
      <left/>
      <right style="medium">
        <color auto="1"/>
      </right>
      <top style="thin">
        <color indexed="64"/>
      </top>
      <bottom/>
      <diagonal/>
    </border>
    <border>
      <left/>
      <right/>
      <top style="thin">
        <color indexed="64"/>
      </top>
      <bottom/>
      <diagonal/>
    </border>
    <border>
      <left/>
      <right/>
      <top/>
      <bottom style="thin">
        <color indexed="64"/>
      </bottom>
      <diagonal/>
    </border>
    <border>
      <left style="medium">
        <color indexed="64"/>
      </left>
      <right/>
      <top style="dashDot">
        <color indexed="64"/>
      </top>
      <bottom/>
      <diagonal/>
    </border>
    <border>
      <left/>
      <right style="medium">
        <color indexed="64"/>
      </right>
      <top style="dashDot">
        <color indexed="64"/>
      </top>
      <bottom/>
      <diagonal/>
    </border>
    <border>
      <left/>
      <right style="hair">
        <color theme="1" tint="0.499984740745262"/>
      </right>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ck">
        <color indexed="8"/>
      </top>
      <bottom style="thin">
        <color indexed="8"/>
      </bottom>
      <diagonal/>
    </border>
    <border>
      <left/>
      <right style="thick">
        <color indexed="8"/>
      </right>
      <top style="thick">
        <color indexed="8"/>
      </top>
      <bottom style="thin">
        <color indexed="8"/>
      </bottom>
      <diagonal/>
    </border>
    <border>
      <left style="thin">
        <color indexed="8"/>
      </left>
      <right style="thick">
        <color indexed="8"/>
      </right>
      <top style="thin">
        <color indexed="8"/>
      </top>
      <bottom style="thin">
        <color indexed="8"/>
      </bottom>
      <diagonal/>
    </border>
    <border>
      <left style="thin">
        <color indexed="8"/>
      </left>
      <right style="thin">
        <color indexed="8"/>
      </right>
      <top style="thin">
        <color indexed="8"/>
      </top>
      <bottom style="thick">
        <color indexed="8"/>
      </bottom>
      <diagonal/>
    </border>
    <border>
      <left style="thin">
        <color indexed="8"/>
      </left>
      <right style="thick">
        <color indexed="8"/>
      </right>
      <top style="thin">
        <color indexed="8"/>
      </top>
      <bottom style="thick">
        <color indexed="8"/>
      </bottom>
      <diagonal/>
    </border>
    <border>
      <left style="thick">
        <color indexed="8"/>
      </left>
      <right/>
      <top style="thick">
        <color indexed="8"/>
      </top>
      <bottom/>
      <diagonal/>
    </border>
    <border>
      <left style="thick">
        <color indexed="8"/>
      </left>
      <right/>
      <top/>
      <bottom style="thin">
        <color indexed="8"/>
      </bottom>
      <diagonal/>
    </border>
    <border>
      <left style="thick">
        <color indexed="8"/>
      </left>
      <right/>
      <top style="thin">
        <color indexed="8"/>
      </top>
      <bottom style="thin">
        <color indexed="8"/>
      </bottom>
      <diagonal/>
    </border>
    <border>
      <left style="thick">
        <color indexed="8"/>
      </left>
      <right/>
      <top style="thin">
        <color indexed="8"/>
      </top>
      <bottom style="thick">
        <color indexed="8"/>
      </bottom>
      <diagonal/>
    </border>
    <border>
      <left/>
      <right style="thin">
        <color indexed="8"/>
      </right>
      <top style="thin">
        <color indexed="8"/>
      </top>
      <bottom style="thick">
        <color indexed="8"/>
      </bottom>
      <diagonal/>
    </border>
    <border>
      <left style="thin">
        <color indexed="8"/>
      </left>
      <right style="thin">
        <color indexed="8"/>
      </right>
      <top style="thick">
        <color indexed="8"/>
      </top>
      <bottom style="thin">
        <color indexed="8"/>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diagonal/>
    </border>
    <border>
      <left/>
      <right style="hair">
        <color indexed="64"/>
      </right>
      <top/>
      <bottom/>
      <diagonal/>
    </border>
    <border>
      <left style="hair">
        <color indexed="64"/>
      </left>
      <right/>
      <top/>
      <bottom/>
      <diagonal/>
    </border>
    <border>
      <left/>
      <right style="thin">
        <color indexed="64"/>
      </right>
      <top style="thin">
        <color indexed="64"/>
      </top>
      <bottom/>
      <diagonal/>
    </border>
    <border>
      <left/>
      <right/>
      <top/>
      <bottom style="mediumDashed">
        <color auto="1"/>
      </bottom>
      <diagonal/>
    </border>
    <border>
      <left style="medium">
        <color auto="1"/>
      </left>
      <right/>
      <top/>
      <bottom style="mediumDashed">
        <color auto="1"/>
      </bottom>
      <diagonal/>
    </border>
    <border>
      <left/>
      <right style="medium">
        <color indexed="64"/>
      </right>
      <top/>
      <bottom style="mediumDashed">
        <color indexed="64"/>
      </bottom>
      <diagonal/>
    </border>
    <border>
      <left style="thin">
        <color auto="1"/>
      </left>
      <right style="thin">
        <color auto="1"/>
      </right>
      <top/>
      <bottom/>
      <diagonal/>
    </border>
    <border>
      <left style="medium">
        <color auto="1"/>
      </left>
      <right/>
      <top style="thin">
        <color auto="1"/>
      </top>
      <bottom/>
      <diagonal/>
    </border>
    <border>
      <left style="medium">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style="hair">
        <color indexed="64"/>
      </bottom>
      <diagonal/>
    </border>
    <border>
      <left style="thin">
        <color auto="1"/>
      </left>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right/>
      <top style="hair">
        <color auto="1"/>
      </top>
      <bottom/>
      <diagonal/>
    </border>
    <border>
      <left style="hair">
        <color auto="1"/>
      </left>
      <right/>
      <top style="hair">
        <color auto="1"/>
      </top>
      <bottom/>
      <diagonal/>
    </border>
    <border>
      <left style="thin">
        <color indexed="64"/>
      </left>
      <right/>
      <top/>
      <bottom style="thin">
        <color indexed="64"/>
      </bottom>
      <diagonal/>
    </border>
    <border>
      <left/>
      <right style="thin">
        <color auto="1"/>
      </right>
      <top style="hair">
        <color auto="1"/>
      </top>
      <bottom style="hair">
        <color auto="1"/>
      </bottom>
      <diagonal/>
    </border>
    <border>
      <left/>
      <right style="medium">
        <color rgb="FF0070C0"/>
      </right>
      <top style="medium">
        <color rgb="FF0070C0"/>
      </top>
      <bottom/>
      <diagonal/>
    </border>
    <border>
      <left/>
      <right style="medium">
        <color rgb="FF0070C0"/>
      </right>
      <top/>
      <bottom style="medium">
        <color rgb="FF0070C0"/>
      </bottom>
      <diagonal/>
    </border>
    <border>
      <left/>
      <right/>
      <top style="thin">
        <color theme="0" tint="-0.499984740745262"/>
      </top>
      <bottom style="thin">
        <color theme="0" tint="-0.499984740745262"/>
      </bottom>
      <diagonal/>
    </border>
    <border>
      <left style="medium">
        <color auto="1"/>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indexed="64"/>
      </left>
      <right/>
      <top style="mediumDashed">
        <color indexed="64"/>
      </top>
      <bottom style="hair">
        <color indexed="64"/>
      </bottom>
      <diagonal/>
    </border>
    <border>
      <left/>
      <right/>
      <top style="mediumDashed">
        <color indexed="64"/>
      </top>
      <bottom style="hair">
        <color indexed="64"/>
      </bottom>
      <diagonal/>
    </border>
    <border>
      <left/>
      <right style="medium">
        <color indexed="64"/>
      </right>
      <top style="mediumDashed">
        <color indexed="64"/>
      </top>
      <bottom style="hair">
        <color indexed="64"/>
      </bottom>
      <diagonal/>
    </border>
    <border>
      <left style="medium">
        <color indexed="64"/>
      </left>
      <right style="thin">
        <color indexed="64"/>
      </right>
      <top/>
      <bottom style="thin">
        <color auto="1"/>
      </bottom>
      <diagonal/>
    </border>
    <border>
      <left style="thin">
        <color indexed="64"/>
      </left>
      <right style="medium">
        <color auto="1"/>
      </right>
      <top/>
      <bottom style="thin">
        <color auto="1"/>
      </bottom>
      <diagonal/>
    </border>
    <border>
      <left/>
      <right style="medium">
        <color auto="1"/>
      </right>
      <top style="thin">
        <color auto="1"/>
      </top>
      <bottom style="thin">
        <color auto="1"/>
      </bottom>
      <diagonal/>
    </border>
    <border>
      <left style="hair">
        <color indexed="64"/>
      </left>
      <right style="medium">
        <color indexed="64"/>
      </right>
      <top/>
      <bottom/>
      <diagonal/>
    </border>
    <border>
      <left style="hair">
        <color indexed="60"/>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bottom style="medium">
        <color auto="1"/>
      </bottom>
      <diagonal/>
    </border>
    <border>
      <left/>
      <right style="thin">
        <color auto="1"/>
      </right>
      <top style="thin">
        <color auto="1"/>
      </top>
      <bottom style="thin">
        <color auto="1"/>
      </bottom>
      <diagonal/>
    </border>
    <border>
      <left/>
      <right/>
      <top style="thin">
        <color indexed="64"/>
      </top>
      <bottom style="thin">
        <color auto="1"/>
      </bottom>
      <diagonal/>
    </border>
    <border>
      <left style="medium">
        <color rgb="FF0070C0"/>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thin">
        <color indexed="64"/>
      </bottom>
      <diagonal/>
    </border>
    <border>
      <left style="hair">
        <color auto="1"/>
      </left>
      <right/>
      <top/>
      <bottom style="hair">
        <color auto="1"/>
      </bottom>
      <diagonal/>
    </border>
    <border>
      <left style="hair">
        <color indexed="64"/>
      </left>
      <right style="thin">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medium">
        <color auto="1"/>
      </left>
      <right/>
      <top/>
      <bottom style="hair">
        <color indexed="64"/>
      </bottom>
      <diagonal/>
    </border>
    <border>
      <left/>
      <right style="hair">
        <color indexed="64"/>
      </right>
      <top/>
      <bottom style="hair">
        <color indexed="64"/>
      </bottom>
      <diagonal/>
    </border>
    <border>
      <left style="thin">
        <color auto="1"/>
      </left>
      <right/>
      <top style="hair">
        <color indexed="64"/>
      </top>
      <bottom style="hair">
        <color indexed="64"/>
      </bottom>
      <diagonal/>
    </border>
    <border>
      <left style="thin">
        <color indexed="64"/>
      </left>
      <right style="thin">
        <color auto="1"/>
      </right>
      <top/>
      <bottom style="thin">
        <color auto="1"/>
      </bottom>
      <diagonal/>
    </border>
    <border>
      <left style="thin">
        <color auto="1"/>
      </left>
      <right/>
      <top/>
      <bottom style="thin">
        <color auto="1"/>
      </bottom>
      <diagonal/>
    </border>
    <border>
      <left style="medium">
        <color indexed="64"/>
      </left>
      <right/>
      <top/>
      <bottom style="thin">
        <color auto="1"/>
      </bottom>
      <diagonal/>
    </border>
    <border>
      <left/>
      <right style="medium">
        <color auto="1"/>
      </right>
      <top/>
      <bottom style="thin">
        <color indexed="64"/>
      </bottom>
      <diagonal/>
    </border>
    <border>
      <left/>
      <right style="thin">
        <color indexed="64"/>
      </right>
      <top/>
      <bottom style="thin">
        <color indexed="64"/>
      </bottom>
      <diagonal/>
    </border>
    <border>
      <left/>
      <right/>
      <top/>
      <bottom style="thick">
        <color indexed="64"/>
      </bottom>
      <diagonal/>
    </border>
    <border>
      <left/>
      <right/>
      <top style="thick">
        <color auto="1"/>
      </top>
      <bottom/>
      <diagonal/>
    </border>
    <border>
      <left/>
      <right/>
      <top/>
      <bottom style="thin">
        <color indexed="64"/>
      </bottom>
      <diagonal/>
    </border>
    <border>
      <left style="thin">
        <color indexed="64"/>
      </left>
      <right/>
      <top style="dashDot">
        <color indexed="64"/>
      </top>
      <bottom/>
      <diagonal/>
    </border>
    <border>
      <left/>
      <right/>
      <top style="dashDot">
        <color indexed="64"/>
      </top>
      <bottom/>
      <diagonal/>
    </border>
    <border>
      <left/>
      <right style="thin">
        <color indexed="64"/>
      </right>
      <top style="dashDot">
        <color indexed="64"/>
      </top>
      <bottom/>
      <diagonal/>
    </border>
    <border>
      <left style="medium">
        <color auto="1"/>
      </left>
      <right/>
      <top style="thin">
        <color indexed="64"/>
      </top>
      <bottom style="thin">
        <color auto="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hair">
        <color indexed="12"/>
      </top>
      <bottom/>
      <diagonal/>
    </border>
    <border>
      <left/>
      <right/>
      <top style="hair">
        <color indexed="12"/>
      </top>
      <bottom/>
      <diagonal/>
    </border>
    <border>
      <left/>
      <right style="medium">
        <color indexed="64"/>
      </right>
      <top style="hair">
        <color indexed="12"/>
      </top>
      <bottom/>
      <diagonal/>
    </border>
    <border>
      <left style="hair">
        <color indexed="64"/>
      </left>
      <right style="hair">
        <color indexed="64"/>
      </right>
      <top/>
      <bottom/>
      <diagonal/>
    </border>
    <border>
      <left style="medium">
        <color indexed="64"/>
      </left>
      <right/>
      <top style="hair">
        <color indexed="10"/>
      </top>
      <bottom/>
      <diagonal/>
    </border>
    <border>
      <left/>
      <right/>
      <top style="hair">
        <color indexed="10"/>
      </top>
      <bottom/>
      <diagonal/>
    </border>
    <border>
      <left/>
      <right style="medium">
        <color indexed="64"/>
      </right>
      <top style="hair">
        <color indexed="10"/>
      </top>
      <bottom/>
      <diagonal/>
    </border>
    <border>
      <left style="medium">
        <color indexed="64"/>
      </left>
      <right style="hair">
        <color indexed="64"/>
      </right>
      <top style="hair">
        <color indexed="64"/>
      </top>
      <bottom/>
      <diagonal/>
    </border>
    <border>
      <left/>
      <right style="hair">
        <color indexed="64"/>
      </right>
      <top style="hair">
        <color indexed="64"/>
      </top>
      <bottom/>
      <diagonal/>
    </border>
    <border>
      <left style="thin">
        <color indexed="10"/>
      </left>
      <right style="thin">
        <color indexed="10"/>
      </right>
      <top style="thin">
        <color indexed="10"/>
      </top>
      <bottom style="thin">
        <color indexed="10"/>
      </bottom>
      <diagonal/>
    </border>
    <border>
      <left/>
      <right/>
      <top style="thin">
        <color indexed="10"/>
      </top>
      <bottom/>
      <diagonal/>
    </border>
    <border>
      <left style="hair">
        <color indexed="12"/>
      </left>
      <right style="hair">
        <color indexed="12"/>
      </right>
      <top style="hair">
        <color indexed="12"/>
      </top>
      <bottom style="hair">
        <color indexed="12"/>
      </bottom>
      <diagonal/>
    </border>
    <border>
      <left/>
      <right style="thin">
        <color auto="1"/>
      </right>
      <top style="thin">
        <color auto="1"/>
      </top>
      <bottom style="thin">
        <color auto="1"/>
      </bottom>
      <diagonal/>
    </border>
    <border>
      <left/>
      <right/>
      <top style="thin">
        <color indexed="64"/>
      </top>
      <bottom style="thin">
        <color auto="1"/>
      </bottom>
      <diagonal/>
    </border>
    <border>
      <left/>
      <right/>
      <top style="hair">
        <color indexed="64"/>
      </top>
      <bottom/>
      <diagonal/>
    </border>
    <border>
      <left style="hair">
        <color indexed="64"/>
      </left>
      <right style="hair">
        <color indexed="64"/>
      </right>
      <top style="hair">
        <color indexed="64"/>
      </top>
      <bottom/>
      <diagonal/>
    </border>
    <border>
      <left style="thin">
        <color indexed="37"/>
      </left>
      <right/>
      <top style="thin">
        <color indexed="37"/>
      </top>
      <bottom style="thin">
        <color indexed="37"/>
      </bottom>
      <diagonal/>
    </border>
    <border>
      <left/>
      <right/>
      <top style="thin">
        <color indexed="37"/>
      </top>
      <bottom style="thin">
        <color indexed="37"/>
      </bottom>
      <diagonal/>
    </border>
    <border>
      <left/>
      <right style="thin">
        <color indexed="37"/>
      </right>
      <top style="thin">
        <color indexed="37"/>
      </top>
      <bottom style="thin">
        <color indexed="37"/>
      </bottom>
      <diagonal/>
    </border>
    <border>
      <left style="thin">
        <color indexed="37"/>
      </left>
      <right/>
      <top style="thin">
        <color indexed="37"/>
      </top>
      <bottom/>
      <diagonal/>
    </border>
    <border>
      <left/>
      <right/>
      <top style="thin">
        <color indexed="37"/>
      </top>
      <bottom/>
      <diagonal/>
    </border>
    <border>
      <left/>
      <right style="hair">
        <color indexed="37"/>
      </right>
      <top style="thin">
        <color indexed="37"/>
      </top>
      <bottom/>
      <diagonal/>
    </border>
    <border>
      <left style="hair">
        <color indexed="37"/>
      </left>
      <right/>
      <top style="hair">
        <color indexed="37"/>
      </top>
      <bottom/>
      <diagonal/>
    </border>
    <border>
      <left/>
      <right/>
      <top style="hair">
        <color indexed="37"/>
      </top>
      <bottom/>
      <diagonal/>
    </border>
    <border>
      <left/>
      <right style="hair">
        <color indexed="37"/>
      </right>
      <top style="hair">
        <color indexed="37"/>
      </top>
      <bottom/>
      <diagonal/>
    </border>
    <border>
      <left style="hair">
        <color indexed="37"/>
      </left>
      <right/>
      <top style="thin">
        <color indexed="37"/>
      </top>
      <bottom/>
      <diagonal/>
    </border>
    <border>
      <left/>
      <right style="thin">
        <color indexed="37"/>
      </right>
      <top style="thin">
        <color indexed="37"/>
      </top>
      <bottom/>
      <diagonal/>
    </border>
    <border>
      <left style="thin">
        <color indexed="37"/>
      </left>
      <right/>
      <top/>
      <bottom/>
      <diagonal/>
    </border>
    <border>
      <left/>
      <right style="hair">
        <color indexed="37"/>
      </right>
      <top/>
      <bottom/>
      <diagonal/>
    </border>
    <border>
      <left style="hair">
        <color indexed="37"/>
      </left>
      <right style="hair">
        <color indexed="37"/>
      </right>
      <top/>
      <bottom/>
      <diagonal/>
    </border>
    <border>
      <left style="hair">
        <color indexed="37"/>
      </left>
      <right/>
      <top/>
      <bottom/>
      <diagonal/>
    </border>
    <border>
      <left/>
      <right style="thin">
        <color indexed="37"/>
      </right>
      <top/>
      <bottom/>
      <diagonal/>
    </border>
    <border>
      <left style="thin">
        <color indexed="37"/>
      </left>
      <right/>
      <top/>
      <bottom style="thin">
        <color indexed="37"/>
      </bottom>
      <diagonal/>
    </border>
    <border>
      <left/>
      <right/>
      <top/>
      <bottom style="thin">
        <color indexed="37"/>
      </bottom>
      <diagonal/>
    </border>
    <border>
      <left/>
      <right style="hair">
        <color indexed="37"/>
      </right>
      <top/>
      <bottom style="thin">
        <color indexed="37"/>
      </bottom>
      <diagonal/>
    </border>
    <border>
      <left style="hair">
        <color indexed="37"/>
      </left>
      <right style="hair">
        <color indexed="37"/>
      </right>
      <top style="hair">
        <color indexed="64"/>
      </top>
      <bottom style="hair">
        <color indexed="37"/>
      </bottom>
      <diagonal/>
    </border>
    <border>
      <left style="hair">
        <color indexed="37"/>
      </left>
      <right/>
      <top/>
      <bottom style="thin">
        <color indexed="37"/>
      </bottom>
      <diagonal/>
    </border>
    <border>
      <left/>
      <right style="thin">
        <color indexed="37"/>
      </right>
      <top/>
      <bottom style="thin">
        <color indexed="37"/>
      </bottom>
      <diagonal/>
    </border>
    <border>
      <left style="thin">
        <color indexed="16"/>
      </left>
      <right/>
      <top style="thin">
        <color indexed="16"/>
      </top>
      <bottom style="hair">
        <color indexed="64"/>
      </bottom>
      <diagonal/>
    </border>
    <border>
      <left/>
      <right/>
      <top style="thin">
        <color indexed="37"/>
      </top>
      <bottom style="hair">
        <color indexed="64"/>
      </bottom>
      <diagonal/>
    </border>
    <border>
      <left/>
      <right style="hair">
        <color indexed="64"/>
      </right>
      <top style="hair">
        <color indexed="64"/>
      </top>
      <bottom style="hair">
        <color indexed="64"/>
      </bottom>
      <diagonal/>
    </border>
    <border>
      <left/>
      <right style="thin">
        <color indexed="37"/>
      </right>
      <top style="hair">
        <color indexed="64"/>
      </top>
      <bottom style="hair">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thin">
        <color indexed="37"/>
      </right>
      <top style="hair">
        <color indexed="64"/>
      </top>
      <bottom style="medium">
        <color indexed="64"/>
      </bottom>
      <diagonal/>
    </border>
    <border>
      <left style="medium">
        <color indexed="64"/>
      </left>
      <right/>
      <top style="thin">
        <color indexed="37"/>
      </top>
      <bottom style="hair">
        <color indexed="64"/>
      </bottom>
      <diagonal/>
    </border>
    <border>
      <left style="medium">
        <color indexed="64"/>
      </left>
      <right/>
      <top style="thin">
        <color indexed="37"/>
      </top>
      <bottom style="medium">
        <color indexed="64"/>
      </bottom>
      <diagonal/>
    </border>
    <border>
      <left/>
      <right/>
      <top style="thin">
        <color indexed="37"/>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theme="9" tint="-0.24994659260841701"/>
      </left>
      <right/>
      <top style="medium">
        <color theme="9" tint="-0.24994659260841701"/>
      </top>
      <bottom/>
      <diagonal/>
    </border>
    <border>
      <left/>
      <right/>
      <top style="medium">
        <color theme="9" tint="-0.24994659260841701"/>
      </top>
      <bottom/>
      <diagonal/>
    </border>
    <border>
      <left/>
      <right style="medium">
        <color theme="9" tint="-0.24994659260841701"/>
      </right>
      <top style="medium">
        <color theme="9" tint="-0.24994659260841701"/>
      </top>
      <bottom/>
      <diagonal/>
    </border>
    <border>
      <left style="medium">
        <color theme="9" tint="-0.24994659260841701"/>
      </left>
      <right/>
      <top/>
      <bottom/>
      <diagonal/>
    </border>
    <border>
      <left/>
      <right style="medium">
        <color theme="9" tint="-0.24994659260841701"/>
      </right>
      <top/>
      <bottom/>
      <diagonal/>
    </border>
    <border>
      <left/>
      <right/>
      <top/>
      <bottom style="thin">
        <color theme="9" tint="-0.24994659260841701"/>
      </bottom>
      <diagonal/>
    </border>
    <border>
      <left/>
      <right style="medium">
        <color theme="9" tint="-0.24994659260841701"/>
      </right>
      <top/>
      <bottom style="thin">
        <color theme="9" tint="-0.24994659260841701"/>
      </bottom>
      <diagonal/>
    </border>
    <border>
      <left style="thin">
        <color indexed="12"/>
      </left>
      <right style="thin">
        <color indexed="12"/>
      </right>
      <top/>
      <bottom/>
      <diagonal/>
    </border>
    <border>
      <left style="thin">
        <color indexed="12"/>
      </left>
      <right/>
      <top/>
      <bottom/>
      <diagonal/>
    </border>
    <border>
      <left style="thin">
        <color indexed="64"/>
      </left>
      <right/>
      <top/>
      <bottom/>
      <diagonal/>
    </border>
    <border>
      <left style="thin">
        <color indexed="12"/>
      </left>
      <right style="medium">
        <color theme="9" tint="-0.24994659260841701"/>
      </right>
      <top/>
      <bottom/>
      <diagonal/>
    </border>
    <border>
      <left style="thin">
        <color theme="9" tint="0.39994506668294322"/>
      </left>
      <right style="thin">
        <color theme="9" tint="0.39994506668294322"/>
      </right>
      <top style="thin">
        <color theme="9" tint="0.39994506668294322"/>
      </top>
      <bottom style="thin">
        <color theme="9" tint="0.39994506668294322"/>
      </bottom>
      <diagonal/>
    </border>
    <border>
      <left style="thin">
        <color theme="9" tint="0.39994506668294322"/>
      </left>
      <right style="thin">
        <color theme="9" tint="0.39994506668294322"/>
      </right>
      <top/>
      <bottom style="thin">
        <color theme="9" tint="0.39994506668294322"/>
      </bottom>
      <diagonal/>
    </border>
    <border>
      <left style="thin">
        <color theme="9" tint="0.39994506668294322"/>
      </left>
      <right style="medium">
        <color theme="9" tint="-0.24994659260841701"/>
      </right>
      <top style="thin">
        <color theme="9" tint="0.39994506668294322"/>
      </top>
      <bottom style="thin">
        <color theme="9" tint="0.39994506668294322"/>
      </bottom>
      <diagonal/>
    </border>
    <border>
      <left style="thin">
        <color theme="9" tint="0.39994506668294322"/>
      </left>
      <right style="thin">
        <color theme="9" tint="0.39994506668294322"/>
      </right>
      <top style="thin">
        <color theme="9" tint="0.39994506668294322"/>
      </top>
      <bottom style="double">
        <color theme="9" tint="-0.24994659260841701"/>
      </bottom>
      <diagonal/>
    </border>
    <border>
      <left style="thin">
        <color theme="9" tint="0.39994506668294322"/>
      </left>
      <right style="medium">
        <color theme="9" tint="-0.24994659260841701"/>
      </right>
      <top style="thin">
        <color theme="9" tint="0.39994506668294322"/>
      </top>
      <bottom style="double">
        <color theme="9" tint="-0.24994659260841701"/>
      </bottom>
      <diagonal/>
    </border>
    <border>
      <left style="double">
        <color theme="9" tint="-0.24994659260841701"/>
      </left>
      <right/>
      <top style="double">
        <color theme="9" tint="-0.24994659260841701"/>
      </top>
      <bottom style="double">
        <color theme="9" tint="-0.24994659260841701"/>
      </bottom>
      <diagonal/>
    </border>
    <border>
      <left style="thin">
        <color theme="9" tint="-0.24994659260841701"/>
      </left>
      <right style="thin">
        <color theme="9" tint="-0.24994659260841701"/>
      </right>
      <top style="double">
        <color theme="9" tint="-0.24994659260841701"/>
      </top>
      <bottom style="double">
        <color theme="9" tint="-0.24994659260841701"/>
      </bottom>
      <diagonal/>
    </border>
    <border>
      <left style="thin">
        <color theme="9" tint="-0.24994659260841701"/>
      </left>
      <right style="double">
        <color theme="9" tint="-0.24994659260841701"/>
      </right>
      <top style="double">
        <color theme="9" tint="-0.24994659260841701"/>
      </top>
      <bottom style="double">
        <color theme="9" tint="-0.24994659260841701"/>
      </bottom>
      <diagonal/>
    </border>
    <border>
      <left/>
      <right/>
      <top style="double">
        <color theme="9" tint="-0.24994659260841701"/>
      </top>
      <bottom style="mediumDashed">
        <color theme="9" tint="-0.24994659260841701"/>
      </bottom>
      <diagonal/>
    </border>
    <border>
      <left/>
      <right style="medium">
        <color theme="9" tint="-0.24994659260841701"/>
      </right>
      <top style="double">
        <color theme="9" tint="-0.24994659260841701"/>
      </top>
      <bottom style="mediumDashed">
        <color theme="9" tint="-0.24994659260841701"/>
      </bottom>
      <diagonal/>
    </border>
    <border>
      <left/>
      <right/>
      <top style="mediumDashed">
        <color theme="9" tint="-0.24994659260841701"/>
      </top>
      <bottom/>
      <diagonal/>
    </border>
    <border>
      <left/>
      <right style="medium">
        <color theme="9" tint="-0.24994659260841701"/>
      </right>
      <top style="mediumDashed">
        <color theme="9" tint="-0.24994659260841701"/>
      </top>
      <bottom/>
      <diagonal/>
    </border>
    <border>
      <left style="medium">
        <color theme="9" tint="-0.24994659260841701"/>
      </left>
      <right/>
      <top/>
      <bottom style="medium">
        <color theme="9" tint="-0.24994659260841701"/>
      </bottom>
      <diagonal/>
    </border>
    <border>
      <left/>
      <right/>
      <top/>
      <bottom style="medium">
        <color theme="9" tint="-0.24994659260841701"/>
      </bottom>
      <diagonal/>
    </border>
    <border>
      <left/>
      <right style="medium">
        <color theme="9" tint="-0.24994659260841701"/>
      </right>
      <top/>
      <bottom style="medium">
        <color theme="9" tint="-0.24994659260841701"/>
      </bottom>
      <diagonal/>
    </border>
    <border>
      <left style="thin">
        <color indexed="64"/>
      </left>
      <right style="thin">
        <color auto="1"/>
      </right>
      <top/>
      <bottom/>
      <diagonal/>
    </border>
    <border>
      <left style="thin">
        <color theme="9" tint="0.39988402966399123"/>
      </left>
      <right style="thin">
        <color theme="9" tint="0.39988402966399123"/>
      </right>
      <top/>
      <bottom style="thin">
        <color theme="9" tint="0.39991454817346722"/>
      </bottom>
      <diagonal/>
    </border>
    <border>
      <left/>
      <right style="thin">
        <color theme="9" tint="0.39994506668294322"/>
      </right>
      <top style="thin">
        <color theme="9" tint="0.39994506668294322"/>
      </top>
      <bottom style="double">
        <color theme="9" tint="-0.24994659260841701"/>
      </bottom>
      <diagonal/>
    </border>
    <border>
      <left style="medium">
        <color theme="9" tint="-0.24994659260841701"/>
      </left>
      <right/>
      <top style="thin">
        <color theme="9" tint="0.39994506668294322"/>
      </top>
      <bottom style="thin">
        <color theme="9" tint="0.39994506668294322"/>
      </bottom>
      <diagonal/>
    </border>
    <border>
      <left/>
      <right style="thin">
        <color theme="9" tint="0.39994506668294322"/>
      </right>
      <top style="thin">
        <color theme="9" tint="0.39994506668294322"/>
      </top>
      <bottom style="thin">
        <color theme="9" tint="0.39994506668294322"/>
      </bottom>
      <diagonal/>
    </border>
    <border>
      <left style="medium">
        <color theme="9" tint="-0.24994659260841701"/>
      </left>
      <right/>
      <top style="thin">
        <color theme="9" tint="-0.24994659260841701"/>
      </top>
      <bottom style="thin">
        <color theme="9" tint="0.39994506668294322"/>
      </bottom>
      <diagonal/>
    </border>
    <border>
      <left/>
      <right style="thin">
        <color indexed="12"/>
      </right>
      <top style="thin">
        <color theme="9" tint="-0.24994659260841701"/>
      </top>
      <bottom style="thin">
        <color theme="9" tint="0.39994506668294322"/>
      </bottom>
      <diagonal/>
    </border>
    <border>
      <left/>
      <right style="thin">
        <color theme="9" tint="-0.24994659260841701"/>
      </right>
      <top style="double">
        <color theme="9" tint="-0.24994659260841701"/>
      </top>
      <bottom style="double">
        <color theme="9" tint="-0.24994659260841701"/>
      </bottom>
      <diagonal/>
    </border>
    <border>
      <left style="double">
        <color theme="9" tint="-0.24994659260841701"/>
      </left>
      <right/>
      <top style="double">
        <color theme="9" tint="-0.24994659260841701"/>
      </top>
      <bottom/>
      <diagonal/>
    </border>
    <border>
      <left/>
      <right/>
      <top style="double">
        <color theme="9" tint="-0.24994659260841701"/>
      </top>
      <bottom/>
      <diagonal/>
    </border>
    <border>
      <left/>
      <right style="double">
        <color theme="9" tint="-0.24994659260841701"/>
      </right>
      <top style="double">
        <color theme="9" tint="-0.24994659260841701"/>
      </top>
      <bottom/>
      <diagonal/>
    </border>
    <border>
      <left/>
      <right/>
      <top/>
      <bottom style="double">
        <color theme="9" tint="-0.24994659260841701"/>
      </bottom>
      <diagonal/>
    </border>
    <border>
      <left style="double">
        <color theme="9" tint="-0.24994659260841701"/>
      </left>
      <right/>
      <top/>
      <bottom style="thin">
        <color theme="9" tint="-0.24994659260841701"/>
      </bottom>
      <diagonal/>
    </border>
    <border>
      <left/>
      <right style="double">
        <color theme="9" tint="-0.24994659260841701"/>
      </right>
      <top/>
      <bottom style="thin">
        <color theme="9" tint="-0.24994659260841701"/>
      </bottom>
      <diagonal/>
    </border>
    <border>
      <left style="mediumDashed">
        <color theme="9" tint="-0.24994659260841701"/>
      </left>
      <right/>
      <top style="mediumDashed">
        <color theme="9" tint="-0.24994659260841701"/>
      </top>
      <bottom style="mediumDashed">
        <color theme="9" tint="-0.24994659260841701"/>
      </bottom>
      <diagonal/>
    </border>
    <border>
      <left/>
      <right/>
      <top style="mediumDashed">
        <color theme="9" tint="-0.24994659260841701"/>
      </top>
      <bottom style="mediumDashed">
        <color theme="9" tint="-0.24994659260841701"/>
      </bottom>
      <diagonal/>
    </border>
    <border>
      <left/>
      <right style="mediumDashed">
        <color theme="9" tint="-0.24994659260841701"/>
      </right>
      <top style="mediumDashed">
        <color theme="9" tint="-0.24994659260841701"/>
      </top>
      <bottom style="mediumDashed">
        <color theme="9" tint="-0.24994659260841701"/>
      </bottom>
      <diagonal/>
    </border>
    <border>
      <left style="thin">
        <color indexed="37"/>
      </left>
      <right/>
      <top style="thin">
        <color indexed="37"/>
      </top>
      <bottom style="thin">
        <color indexed="37"/>
      </bottom>
      <diagonal/>
    </border>
    <border>
      <left/>
      <right/>
      <top style="thin">
        <color indexed="37"/>
      </top>
      <bottom style="thin">
        <color indexed="37"/>
      </bottom>
      <diagonal/>
    </border>
    <border>
      <left/>
      <right style="thin">
        <color indexed="37"/>
      </right>
      <top style="thin">
        <color indexed="37"/>
      </top>
      <bottom style="thin">
        <color indexed="37"/>
      </bottom>
      <diagonal/>
    </border>
    <border>
      <left style="thin">
        <color indexed="37"/>
      </left>
      <right/>
      <top style="thin">
        <color indexed="37"/>
      </top>
      <bottom/>
      <diagonal/>
    </border>
    <border>
      <left/>
      <right/>
      <top style="thin">
        <color indexed="37"/>
      </top>
      <bottom/>
      <diagonal/>
    </border>
    <border>
      <left/>
      <right style="hair">
        <color indexed="37"/>
      </right>
      <top style="thin">
        <color indexed="37"/>
      </top>
      <bottom/>
      <diagonal/>
    </border>
    <border>
      <left style="hair">
        <color indexed="37"/>
      </left>
      <right/>
      <top style="thin">
        <color indexed="37"/>
      </top>
      <bottom/>
      <diagonal/>
    </border>
    <border>
      <left/>
      <right style="thin">
        <color indexed="37"/>
      </right>
      <top style="thin">
        <color indexed="37"/>
      </top>
      <bottom/>
      <diagonal/>
    </border>
    <border>
      <left style="thin">
        <color rgb="FF800000"/>
      </left>
      <right/>
      <top style="thin">
        <color indexed="16"/>
      </top>
      <bottom style="hair">
        <color indexed="64"/>
      </bottom>
      <diagonal/>
    </border>
    <border>
      <left/>
      <right style="thin">
        <color indexed="37"/>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thin">
        <color indexed="37"/>
      </left>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top/>
      <bottom style="thin">
        <color indexed="64"/>
      </bottom>
      <diagonal/>
    </border>
    <border>
      <left style="medium">
        <color indexed="64"/>
      </left>
      <right/>
      <top style="thin">
        <color indexed="64"/>
      </top>
      <bottom/>
      <diagonal/>
    </border>
    <border>
      <left style="medium">
        <color indexed="64"/>
      </left>
      <right style="hair">
        <color indexed="64"/>
      </right>
      <top style="hair">
        <color indexed="64"/>
      </top>
      <bottom style="hair">
        <color indexed="64"/>
      </bottom>
      <diagonal/>
    </border>
    <border>
      <left/>
      <right style="thick">
        <color indexed="9"/>
      </right>
      <top/>
      <bottom style="medium">
        <color indexed="64"/>
      </bottom>
      <diagonal/>
    </border>
    <border>
      <left style="hair">
        <color indexed="64"/>
      </left>
      <right style="hair">
        <color indexed="64"/>
      </right>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bottom style="medium">
        <color indexed="64"/>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style="thin">
        <color theme="9" tint="-0.24994659260841701"/>
      </left>
      <right style="thin">
        <color theme="9" tint="-0.24994659260841701"/>
      </right>
      <top style="thin">
        <color theme="9" tint="-0.24994659260841701"/>
      </top>
      <bottom/>
      <diagonal/>
    </border>
    <border>
      <left/>
      <right style="thin">
        <color theme="9" tint="-0.24994659260841701"/>
      </right>
      <top style="thin">
        <color theme="9" tint="-0.24994659260841701"/>
      </top>
      <bottom style="thin">
        <color theme="9" tint="-0.24994659260841701"/>
      </bottom>
      <diagonal/>
    </border>
    <border>
      <left style="thin">
        <color theme="9" tint="-0.24994659260841701"/>
      </left>
      <right style="medium">
        <color theme="9" tint="-0.24994659260841701"/>
      </right>
      <top style="thin">
        <color theme="9" tint="-0.24994659260841701"/>
      </top>
      <bottom style="thin">
        <color theme="9" tint="-0.24994659260841701"/>
      </bottom>
      <diagonal/>
    </border>
    <border>
      <left/>
      <right style="thin">
        <color theme="9" tint="0.39994506668294322"/>
      </right>
      <top/>
      <bottom style="thin">
        <color theme="9" tint="0.39994506668294322"/>
      </bottom>
      <diagonal/>
    </border>
    <border>
      <left style="thin">
        <color theme="9" tint="0.39994506668294322"/>
      </left>
      <right style="thin">
        <color theme="9" tint="-0.24994659260841701"/>
      </right>
      <top style="thin">
        <color theme="9" tint="0.39991454817346722"/>
      </top>
      <bottom style="thin">
        <color theme="9" tint="0.39991454817346722"/>
      </bottom>
      <diagonal/>
    </border>
    <border>
      <left style="thin">
        <color theme="9" tint="0.39994506668294322"/>
      </left>
      <right style="medium">
        <color theme="9" tint="-0.24994659260841701"/>
      </right>
      <top/>
      <bottom style="thin">
        <color theme="9" tint="0.39994506668294322"/>
      </bottom>
      <diagonal/>
    </border>
    <border>
      <left/>
      <right style="double">
        <color theme="9" tint="-0.24994659260841701"/>
      </right>
      <top/>
      <bottom/>
      <diagonal/>
    </border>
    <border>
      <left style="thin">
        <color theme="9" tint="0.39994506668294322"/>
      </left>
      <right style="thin">
        <color theme="9" tint="-0.24994659260841701"/>
      </right>
      <top style="thin">
        <color theme="9" tint="0.39991454817346722"/>
      </top>
      <bottom style="double">
        <color theme="9" tint="-0.24994659260841701"/>
      </bottom>
      <diagonal/>
    </border>
    <border>
      <left/>
      <right style="thin">
        <color theme="9" tint="0.39994506668294322"/>
      </right>
      <top style="thin">
        <color theme="9" tint="0.39994506668294322"/>
      </top>
      <bottom/>
      <diagonal/>
    </border>
    <border>
      <left/>
      <right style="thin">
        <color theme="9" tint="0.39994506668294322"/>
      </right>
      <top/>
      <bottom/>
      <diagonal/>
    </border>
    <border>
      <left style="thin">
        <color theme="9" tint="0.39994506668294322"/>
      </left>
      <right style="thin">
        <color theme="9" tint="0.39994506668294322"/>
      </right>
      <top/>
      <bottom/>
      <diagonal/>
    </border>
    <border>
      <left style="thin">
        <color theme="9" tint="0.39994506668294322"/>
      </left>
      <right style="thin">
        <color theme="9" tint="-0.24994659260841701"/>
      </right>
      <top style="thin">
        <color theme="9" tint="0.39991454817346722"/>
      </top>
      <bottom/>
      <diagonal/>
    </border>
    <border>
      <left style="thin">
        <color theme="9" tint="0.39994506668294322"/>
      </left>
      <right style="thin">
        <color theme="9" tint="0.39994506668294322"/>
      </right>
      <top style="thin">
        <color theme="9" tint="0.39994506668294322"/>
      </top>
      <bottom/>
      <diagonal/>
    </border>
    <border>
      <left style="thin">
        <color theme="9" tint="0.39994506668294322"/>
      </left>
      <right style="medium">
        <color theme="9" tint="-0.24994659260841701"/>
      </right>
      <top style="thin">
        <color theme="9" tint="0.39994506668294322"/>
      </top>
      <bottom/>
      <diagonal/>
    </border>
    <border>
      <left/>
      <right style="double">
        <color theme="9" tint="-0.24994659260841701"/>
      </right>
      <top style="double">
        <color theme="9" tint="-0.24994659260841701"/>
      </top>
      <bottom style="double">
        <color theme="9" tint="-0.24994659260841701"/>
      </bottom>
      <diagonal/>
    </border>
    <border>
      <left/>
      <right style="double">
        <color theme="9" tint="-0.24994659260841701"/>
      </right>
      <top/>
      <bottom style="double">
        <color theme="9" tint="-0.24994659260841701"/>
      </bottom>
      <diagonal/>
    </border>
    <border>
      <left/>
      <right/>
      <top style="hair">
        <color indexed="64"/>
      </top>
      <bottom style="hair">
        <color indexed="64"/>
      </bottom>
      <diagonal/>
    </border>
    <border>
      <left/>
      <right/>
      <top style="hair">
        <color theme="9"/>
      </top>
      <bottom style="hair">
        <color theme="9"/>
      </bottom>
      <diagonal/>
    </border>
    <border>
      <left/>
      <right/>
      <top style="thin">
        <color theme="9" tint="0.39991454817346722"/>
      </top>
      <bottom style="thin">
        <color theme="9" tint="0.39991454817346722"/>
      </bottom>
      <diagonal/>
    </border>
    <border>
      <left/>
      <right style="medium">
        <color auto="1"/>
      </right>
      <top/>
      <bottom/>
      <diagonal/>
    </border>
    <border>
      <left style="thin">
        <color indexed="12"/>
      </left>
      <right style="thin">
        <color indexed="12"/>
      </right>
      <top style="thin">
        <color indexed="12"/>
      </top>
      <bottom style="thin">
        <color indexed="12"/>
      </bottom>
      <diagonal/>
    </border>
    <border>
      <left style="thin">
        <color indexed="12"/>
      </left>
      <right/>
      <top style="thin">
        <color indexed="12"/>
      </top>
      <bottom style="thin">
        <color indexed="12"/>
      </bottom>
      <diagonal/>
    </border>
    <border>
      <left/>
      <right style="thin">
        <color indexed="12"/>
      </right>
      <top/>
      <bottom style="thin">
        <color indexed="12"/>
      </bottom>
      <diagonal/>
    </border>
    <border>
      <left style="thin">
        <color indexed="12"/>
      </left>
      <right style="thin">
        <color indexed="12"/>
      </right>
      <top/>
      <bottom style="thin">
        <color indexed="12"/>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
      <left/>
      <right style="medium">
        <color auto="1"/>
      </right>
      <top/>
      <bottom style="thin">
        <color auto="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right style="medium">
        <color rgb="FF0066CC"/>
      </right>
      <top style="medium">
        <color rgb="FF0066CC"/>
      </top>
      <bottom/>
      <diagonal/>
    </border>
    <border>
      <left/>
      <right style="medium">
        <color rgb="FF0066CC"/>
      </right>
      <top/>
      <bottom style="medium">
        <color rgb="FF0066CC"/>
      </bottom>
      <diagonal/>
    </border>
    <border>
      <left style="medium">
        <color indexed="64"/>
      </left>
      <right/>
      <top style="medium">
        <color indexed="64"/>
      </top>
      <bottom/>
      <diagonal/>
    </border>
    <border>
      <left style="medium">
        <color auto="1"/>
      </left>
      <right/>
      <top/>
      <bottom style="thin">
        <color auto="1"/>
      </bottom>
      <diagonal/>
    </border>
    <border>
      <left style="medium">
        <color rgb="FF0070C0"/>
      </left>
      <right style="medium">
        <color rgb="FF0070C0"/>
      </right>
      <top/>
      <bottom/>
      <diagonal/>
    </border>
    <border>
      <left style="medium">
        <color rgb="FF0070C0"/>
      </left>
      <right style="medium">
        <color rgb="FF0070C0"/>
      </right>
      <top/>
      <bottom style="medium">
        <color rgb="FF0070C0"/>
      </bottom>
      <diagonal/>
    </border>
    <border>
      <left style="medium">
        <color rgb="FFC00000"/>
      </left>
      <right style="medium">
        <color rgb="FFC00000"/>
      </right>
      <top style="medium">
        <color rgb="FFC00000"/>
      </top>
      <bottom/>
      <diagonal/>
    </border>
    <border>
      <left style="medium">
        <color rgb="FFC00000"/>
      </left>
      <right style="medium">
        <color rgb="FFC00000"/>
      </right>
      <top/>
      <bottom style="medium">
        <color rgb="FFC00000"/>
      </bottom>
      <diagonal/>
    </border>
    <border>
      <left style="medium">
        <color rgb="FFC00000"/>
      </left>
      <right/>
      <top style="medium">
        <color rgb="FFC00000"/>
      </top>
      <bottom/>
      <diagonal/>
    </border>
    <border>
      <left style="medium">
        <color rgb="FF7030A0"/>
      </left>
      <right style="medium">
        <color rgb="FF7030A0"/>
      </right>
      <top style="medium">
        <color rgb="FF7030A0"/>
      </top>
      <bottom style="medium">
        <color rgb="FF7030A0"/>
      </bottom>
      <diagonal/>
    </border>
    <border>
      <left/>
      <right/>
      <top/>
      <bottom style="medium">
        <color rgb="FF7030A0"/>
      </bottom>
      <diagonal/>
    </border>
    <border>
      <left style="medium">
        <color rgb="FFC00000"/>
      </left>
      <right/>
      <top/>
      <bottom/>
      <diagonal/>
    </border>
    <border>
      <left style="medium">
        <color indexed="64"/>
      </left>
      <right/>
      <top style="medium">
        <color rgb="FF7030A0"/>
      </top>
      <bottom/>
      <diagonal/>
    </border>
    <border>
      <left/>
      <right/>
      <top style="medium">
        <color rgb="FF7030A0"/>
      </top>
      <bottom/>
      <diagonal/>
    </border>
    <border>
      <left/>
      <right style="medium">
        <color indexed="64"/>
      </right>
      <top style="medium">
        <color rgb="FF7030A0"/>
      </top>
      <bottom/>
      <diagonal/>
    </border>
    <border>
      <left style="medium">
        <color indexed="64"/>
      </left>
      <right style="thin">
        <color rgb="FF7030A0"/>
      </right>
      <top/>
      <bottom/>
      <diagonal/>
    </border>
    <border>
      <left style="thin">
        <color rgb="FF7030A0"/>
      </left>
      <right style="medium">
        <color indexed="64"/>
      </right>
      <top/>
      <bottom/>
      <diagonal/>
    </border>
    <border>
      <left style="medium">
        <color indexed="64"/>
      </left>
      <right style="thin">
        <color rgb="FF7030A0"/>
      </right>
      <top/>
      <bottom style="thin">
        <color auto="1"/>
      </bottom>
      <diagonal/>
    </border>
    <border>
      <left style="thin">
        <color rgb="FF7030A0"/>
      </left>
      <right style="medium">
        <color indexed="64"/>
      </right>
      <top/>
      <bottom style="thin">
        <color indexed="64"/>
      </bottom>
      <diagonal/>
    </border>
    <border>
      <left style="medium">
        <color indexed="64"/>
      </left>
      <right style="medium">
        <color indexed="64"/>
      </right>
      <top/>
      <bottom/>
      <diagonal/>
    </border>
    <border>
      <left style="thin">
        <color auto="1"/>
      </left>
      <right style="medium">
        <color rgb="FF0070C0"/>
      </right>
      <top/>
      <bottom/>
      <diagonal/>
    </border>
    <border>
      <left style="thin">
        <color auto="1"/>
      </left>
      <right/>
      <top style="hair">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style="medium">
        <color indexed="64"/>
      </right>
      <top style="medium">
        <color indexed="64"/>
      </top>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bottom/>
      <diagonal/>
    </border>
    <border>
      <left/>
      <right style="medium">
        <color theme="0" tint="-0.24994659260841701"/>
      </right>
      <top/>
      <bottom/>
      <diagonal/>
    </border>
    <border>
      <left style="medium">
        <color theme="0" tint="-0.24994659260841701"/>
      </left>
      <right/>
      <top/>
      <bottom style="medium">
        <color theme="0" tint="-0.24994659260841701"/>
      </bottom>
      <diagonal/>
    </border>
    <border>
      <left/>
      <right/>
      <top/>
      <bottom style="medium">
        <color theme="0" tint="-0.24994659260841701"/>
      </bottom>
      <diagonal/>
    </border>
    <border>
      <left/>
      <right style="medium">
        <color theme="0" tint="-0.24994659260841701"/>
      </right>
      <top/>
      <bottom style="medium">
        <color theme="0" tint="-0.24994659260841701"/>
      </bottom>
      <diagonal/>
    </border>
    <border>
      <left style="medium">
        <color theme="0" tint="-0.14996795556505021"/>
      </left>
      <right/>
      <top style="medium">
        <color theme="0" tint="-0.14996795556505021"/>
      </top>
      <bottom/>
      <diagonal/>
    </border>
    <border>
      <left/>
      <right/>
      <top style="medium">
        <color theme="0" tint="-0.14996795556505021"/>
      </top>
      <bottom/>
      <diagonal/>
    </border>
    <border>
      <left/>
      <right style="medium">
        <color theme="0" tint="-0.14996795556505021"/>
      </right>
      <top style="medium">
        <color theme="0" tint="-0.14996795556505021"/>
      </top>
      <bottom/>
      <diagonal/>
    </border>
    <border>
      <left style="medium">
        <color theme="0" tint="-0.14996795556505021"/>
      </left>
      <right/>
      <top/>
      <bottom/>
      <diagonal/>
    </border>
    <border>
      <left/>
      <right style="medium">
        <color theme="0" tint="-0.14996795556505021"/>
      </right>
      <top/>
      <bottom/>
      <diagonal/>
    </border>
    <border>
      <left style="medium">
        <color theme="0" tint="-0.14996795556505021"/>
      </left>
      <right/>
      <top/>
      <bottom style="medium">
        <color theme="0" tint="-0.14996795556505021"/>
      </bottom>
      <diagonal/>
    </border>
    <border>
      <left/>
      <right/>
      <top/>
      <bottom style="medium">
        <color theme="0" tint="-0.14996795556505021"/>
      </bottom>
      <diagonal/>
    </border>
    <border>
      <left/>
      <right style="medium">
        <color theme="0" tint="-0.14996795556505021"/>
      </right>
      <top/>
      <bottom style="medium">
        <color theme="0" tint="-0.14996795556505021"/>
      </bottom>
      <diagonal/>
    </border>
    <border>
      <left/>
      <right style="medium">
        <color theme="0" tint="-0.14993743705557422"/>
      </right>
      <top style="medium">
        <color theme="0" tint="-0.14996795556505021"/>
      </top>
      <bottom/>
      <diagonal/>
    </border>
    <border>
      <left/>
      <right style="medium">
        <color theme="0" tint="-0.14993743705557422"/>
      </right>
      <top/>
      <bottom/>
      <diagonal/>
    </border>
    <border>
      <left/>
      <right style="medium">
        <color theme="0" tint="-0.14993743705557422"/>
      </right>
      <top/>
      <bottom style="medium">
        <color theme="0" tint="-0.14996795556505021"/>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thin">
        <color auto="1"/>
      </left>
      <right/>
      <top style="thin">
        <color auto="1"/>
      </top>
      <bottom/>
      <diagonal/>
    </border>
    <border>
      <left style="hair">
        <color indexed="64"/>
      </left>
      <right style="medium">
        <color auto="1"/>
      </right>
      <top/>
      <bottom/>
      <diagonal/>
    </border>
    <border>
      <left/>
      <right style="hair">
        <color auto="1"/>
      </right>
      <top/>
      <bottom/>
      <diagonal/>
    </border>
    <border>
      <left/>
      <right style="hair">
        <color auto="1"/>
      </right>
      <top/>
      <bottom style="thin">
        <color indexed="64"/>
      </bottom>
      <diagonal/>
    </border>
    <border>
      <left style="medium">
        <color auto="1"/>
      </left>
      <right/>
      <top/>
      <bottom style="medium">
        <color auto="1"/>
      </bottom>
      <diagonal/>
    </border>
    <border>
      <left/>
      <right/>
      <top style="thin">
        <color auto="1"/>
      </top>
      <bottom style="medium">
        <color auto="1"/>
      </bottom>
      <diagonal/>
    </border>
    <border>
      <left/>
      <right style="thin">
        <color auto="1"/>
      </right>
      <top style="thin">
        <color indexed="64"/>
      </top>
      <bottom style="medium">
        <color indexed="64"/>
      </bottom>
      <diagonal/>
    </border>
    <border>
      <left style="hair">
        <color indexed="64"/>
      </left>
      <right style="medium">
        <color auto="1"/>
      </right>
      <top/>
      <bottom style="medium">
        <color auto="1"/>
      </bottom>
      <diagonal/>
    </border>
    <border>
      <left style="medium">
        <color indexed="64"/>
      </left>
      <right/>
      <top style="thin">
        <color indexed="64"/>
      </top>
      <bottom style="mediumDashed">
        <color indexed="64"/>
      </bottom>
      <diagonal/>
    </border>
    <border>
      <left/>
      <right/>
      <top style="thin">
        <color indexed="64"/>
      </top>
      <bottom style="mediumDashed">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auto="1"/>
      </left>
      <right/>
      <top style="dashDotDot">
        <color auto="1"/>
      </top>
      <bottom/>
      <diagonal/>
    </border>
    <border>
      <left/>
      <right/>
      <top style="dashDotDot">
        <color auto="1"/>
      </top>
      <bottom/>
      <diagonal/>
    </border>
    <border>
      <left style="medium">
        <color auto="1"/>
      </left>
      <right style="hair">
        <color auto="1"/>
      </right>
      <top style="dashDotDot">
        <color auto="1"/>
      </top>
      <bottom/>
      <diagonal/>
    </border>
    <border>
      <left style="hair">
        <color auto="1"/>
      </left>
      <right style="hair">
        <color auto="1"/>
      </right>
      <top style="dashDotDot">
        <color auto="1"/>
      </top>
      <bottom/>
      <diagonal/>
    </border>
    <border>
      <left style="hair">
        <color auto="1"/>
      </left>
      <right style="medium">
        <color auto="1"/>
      </right>
      <top style="dashDotDot">
        <color auto="1"/>
      </top>
      <bottom/>
      <diagonal/>
    </border>
    <border>
      <left style="medium">
        <color auto="1"/>
      </left>
      <right style="hair">
        <color auto="1"/>
      </right>
      <top/>
      <bottom style="dashDotDot">
        <color auto="1"/>
      </bottom>
      <diagonal/>
    </border>
    <border>
      <left style="hair">
        <color auto="1"/>
      </left>
      <right style="hair">
        <color auto="1"/>
      </right>
      <top/>
      <bottom style="dashDotDot">
        <color auto="1"/>
      </bottom>
      <diagonal/>
    </border>
    <border>
      <left style="hair">
        <color auto="1"/>
      </left>
      <right style="medium">
        <color auto="1"/>
      </right>
      <top/>
      <bottom style="dashDotDot">
        <color auto="1"/>
      </bottom>
      <diagonal/>
    </border>
    <border>
      <left style="medium">
        <color auto="1"/>
      </left>
      <right/>
      <top/>
      <bottom style="dashDotDot">
        <color auto="1"/>
      </bottom>
      <diagonal/>
    </border>
    <border>
      <left/>
      <right/>
      <top/>
      <bottom style="dashDotDot">
        <color auto="1"/>
      </bottom>
      <diagonal/>
    </border>
    <border>
      <left/>
      <right style="medium">
        <color indexed="64"/>
      </right>
      <top style="dashDotDot">
        <color auto="1"/>
      </top>
      <bottom/>
      <diagonal/>
    </border>
    <border>
      <left style="medium">
        <color indexed="64"/>
      </left>
      <right/>
      <top style="hair">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hair">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auto="1"/>
      </left>
      <right/>
      <top style="thin">
        <color indexed="64"/>
      </top>
      <bottom style="thin">
        <color auto="1"/>
      </bottom>
      <diagonal/>
    </border>
    <border>
      <left style="thin">
        <color indexed="64"/>
      </left>
      <right/>
      <top style="thin">
        <color indexed="64"/>
      </top>
      <bottom style="thin">
        <color indexed="64"/>
      </bottom>
      <diagonal/>
    </border>
    <border>
      <left style="hair">
        <color indexed="64"/>
      </left>
      <right style="hair">
        <color indexed="64"/>
      </right>
      <top/>
      <bottom/>
      <diagonal/>
    </border>
    <border>
      <left style="thin">
        <color indexed="10"/>
      </left>
      <right style="thin">
        <color indexed="10"/>
      </right>
      <top style="thin">
        <color indexed="10"/>
      </top>
      <bottom style="thin">
        <color indexed="10"/>
      </bottom>
      <diagonal/>
    </border>
    <border>
      <left/>
      <right/>
      <top style="thin">
        <color indexed="10"/>
      </top>
      <bottom/>
      <diagonal/>
    </border>
    <border>
      <left style="hair">
        <color indexed="12"/>
      </left>
      <right style="hair">
        <color indexed="12"/>
      </right>
      <top/>
      <bottom/>
      <diagonal/>
    </border>
    <border>
      <left/>
      <right style="thin">
        <color indexed="64"/>
      </right>
      <top style="thin">
        <color indexed="64"/>
      </top>
      <bottom style="thin">
        <color indexed="64"/>
      </bottom>
      <diagonal/>
    </border>
    <border>
      <left style="hair">
        <color auto="1"/>
      </left>
      <right style="hair">
        <color auto="1"/>
      </right>
      <top/>
      <bottom/>
      <diagonal/>
    </border>
    <border>
      <left/>
      <right/>
      <top style="thin">
        <color indexed="64"/>
      </top>
      <bottom style="thin">
        <color indexed="64"/>
      </bottom>
      <diagonal/>
    </border>
    <border>
      <left/>
      <right style="medium">
        <color indexed="64"/>
      </right>
      <top style="hair">
        <color indexed="64"/>
      </top>
      <bottom/>
      <diagonal/>
    </border>
    <border>
      <left style="thin">
        <color indexed="64"/>
      </left>
      <right/>
      <top style="thin">
        <color indexed="64"/>
      </top>
      <bottom/>
      <diagonal/>
    </border>
    <border>
      <left style="hair">
        <color indexed="64"/>
      </left>
      <right/>
      <top/>
      <bottom/>
      <diagonal/>
    </border>
    <border>
      <left style="thin">
        <color auto="1"/>
      </left>
      <right style="thin">
        <color auto="1"/>
      </right>
      <top style="thin">
        <color auto="1"/>
      </top>
      <bottom style="thin">
        <color auto="1"/>
      </bottom>
      <diagonal/>
    </border>
    <border>
      <left/>
      <right style="thin">
        <color auto="1"/>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Dashed">
        <color indexed="64"/>
      </left>
      <right/>
      <top style="mediumDashed">
        <color indexed="64"/>
      </top>
      <bottom/>
      <diagonal/>
    </border>
    <border>
      <left/>
      <right style="mediumDashed">
        <color indexed="64"/>
      </right>
      <top style="mediumDashed">
        <color indexed="64"/>
      </top>
      <bottom/>
      <diagonal/>
    </border>
    <border>
      <left style="mediumDashed">
        <color indexed="64"/>
      </left>
      <right/>
      <top/>
      <bottom style="mediumDashed">
        <color indexed="64"/>
      </bottom>
      <diagonal/>
    </border>
    <border>
      <left/>
      <right style="mediumDashed">
        <color indexed="64"/>
      </right>
      <top/>
      <bottom style="mediumDash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double">
        <color theme="9" tint="0.39994506668294322"/>
      </top>
      <bottom/>
      <diagonal/>
    </border>
    <border>
      <left/>
      <right/>
      <top style="thin">
        <color theme="9" tint="0.39994506668294322"/>
      </top>
      <bottom style="thin">
        <color theme="9" tint="0.39994506668294322"/>
      </bottom>
      <diagonal/>
    </border>
    <border>
      <left/>
      <right/>
      <top style="thin">
        <color theme="9" tint="-0.24994659260841701"/>
      </top>
      <bottom style="thin">
        <color theme="9" tint="0.39994506668294322"/>
      </bottom>
      <diagonal/>
    </border>
    <border>
      <left/>
      <right style="thin">
        <color theme="0"/>
      </right>
      <top/>
      <bottom/>
      <diagonal/>
    </border>
    <border>
      <left style="medium">
        <color auto="1"/>
      </left>
      <right style="hair">
        <color auto="1"/>
      </right>
      <top style="medium">
        <color auto="1"/>
      </top>
      <bottom/>
      <diagonal/>
    </border>
    <border>
      <left/>
      <right style="medium">
        <color auto="1"/>
      </right>
      <top style="medium">
        <color auto="1"/>
      </top>
      <bottom/>
      <diagonal/>
    </border>
    <border>
      <left/>
      <right style="medium">
        <color auto="1"/>
      </right>
      <top/>
      <bottom style="double">
        <color theme="9" tint="-0.24994659260841701"/>
      </bottom>
      <diagonal/>
    </border>
    <border>
      <left/>
      <right style="medium">
        <color auto="1"/>
      </right>
      <top style="double">
        <color theme="9" tint="-0.24994659260841701"/>
      </top>
      <bottom/>
      <diagonal/>
    </border>
    <border>
      <left/>
      <right style="medium">
        <color auto="1"/>
      </right>
      <top/>
      <bottom style="thin">
        <color theme="9" tint="-0.24994659260841701"/>
      </bottom>
      <diagonal/>
    </border>
    <border>
      <left style="medium">
        <color auto="1"/>
      </left>
      <right style="hair">
        <color auto="1"/>
      </right>
      <top/>
      <bottom style="medium">
        <color auto="1"/>
      </bottom>
      <diagonal/>
    </border>
    <border>
      <left style="medium">
        <color auto="1"/>
      </left>
      <right/>
      <top style="medium">
        <color auto="1"/>
      </top>
      <bottom/>
      <diagonal/>
    </border>
    <border>
      <left style="thin">
        <color indexed="12"/>
      </left>
      <right style="thin">
        <color indexed="12"/>
      </right>
      <top/>
      <bottom/>
      <diagonal/>
    </border>
    <border>
      <left style="thin">
        <color indexed="12"/>
      </left>
      <right/>
      <top/>
      <bottom/>
      <diagonal/>
    </border>
    <border>
      <left style="thin">
        <color indexed="64"/>
      </left>
      <right/>
      <top/>
      <bottom/>
      <diagonal/>
    </border>
    <border>
      <left style="thin">
        <color indexed="12"/>
      </left>
      <right style="medium">
        <color auto="1"/>
      </right>
      <top/>
      <bottom/>
      <diagonal/>
    </border>
    <border>
      <left style="thin">
        <color theme="9" tint="0.39994506668294322"/>
      </left>
      <right style="medium">
        <color auto="1"/>
      </right>
      <top style="thin">
        <color theme="9" tint="0.39994506668294322"/>
      </top>
      <bottom style="thin">
        <color theme="9" tint="0.39994506668294322"/>
      </bottom>
      <diagonal/>
    </border>
    <border>
      <left/>
      <right style="thin">
        <color theme="9" tint="-0.24994659260841701"/>
      </right>
      <top style="double">
        <color theme="9" tint="-0.24994659260841701"/>
      </top>
      <bottom style="medium">
        <color auto="1"/>
      </bottom>
      <diagonal/>
    </border>
    <border>
      <left style="thin">
        <color theme="9" tint="-0.24994659260841701"/>
      </left>
      <right style="thin">
        <color theme="9" tint="-0.24994659260841701"/>
      </right>
      <top style="double">
        <color theme="9" tint="-0.24994659260841701"/>
      </top>
      <bottom style="medium">
        <color auto="1"/>
      </bottom>
      <diagonal/>
    </border>
    <border>
      <left style="thin">
        <color theme="9" tint="-0.24994659260841701"/>
      </left>
      <right style="medium">
        <color auto="1"/>
      </right>
      <top style="double">
        <color theme="9" tint="-0.24994659260841701"/>
      </top>
      <bottom style="medium">
        <color auto="1"/>
      </bottom>
      <diagonal/>
    </border>
    <border>
      <left/>
      <right/>
      <top style="double">
        <color theme="9" tint="-0.24994659260841701"/>
      </top>
      <bottom style="medium">
        <color auto="1"/>
      </bottom>
      <diagonal/>
    </border>
    <border>
      <left style="medium">
        <color indexed="64"/>
      </left>
      <right style="medium">
        <color theme="9" tint="-0.24994659260841701"/>
      </right>
      <top/>
      <bottom/>
      <diagonal/>
    </border>
    <border>
      <left/>
      <right style="hair">
        <color theme="9" tint="0.39985351115451523"/>
      </right>
      <top/>
      <bottom/>
      <diagonal/>
    </border>
    <border>
      <left/>
      <right style="hair">
        <color theme="9" tint="0.39985351115451523"/>
      </right>
      <top/>
      <bottom style="hair">
        <color auto="1"/>
      </bottom>
      <diagonal/>
    </border>
    <border>
      <left/>
      <right style="hair">
        <color theme="9" tint="0.39985351115451523"/>
      </right>
      <top style="hair">
        <color theme="9" tint="0.39988402966399123"/>
      </top>
      <bottom style="hair">
        <color theme="9" tint="0.39988402966399123"/>
      </bottom>
      <diagonal/>
    </border>
    <border>
      <left style="thin">
        <color auto="1"/>
      </left>
      <right/>
      <top style="thin">
        <color indexed="64"/>
      </top>
      <bottom/>
      <diagonal/>
    </border>
    <border>
      <left/>
      <right style="thin">
        <color indexed="64"/>
      </right>
      <top style="thin">
        <color indexed="64"/>
      </top>
      <bottom/>
      <diagonal/>
    </border>
    <border>
      <left/>
      <right style="medium">
        <color auto="1"/>
      </right>
      <top style="thin">
        <color auto="1"/>
      </top>
      <bottom/>
      <diagonal/>
    </border>
    <border>
      <left style="mediumDashed">
        <color auto="1"/>
      </left>
      <right/>
      <top/>
      <bottom/>
      <diagonal/>
    </border>
    <border>
      <left style="mediumDashed">
        <color auto="1"/>
      </left>
      <right/>
      <top/>
      <bottom style="dashDot">
        <color auto="1"/>
      </bottom>
      <diagonal/>
    </border>
    <border>
      <left style="mediumDashed">
        <color indexed="64"/>
      </left>
      <right/>
      <top/>
      <bottom style="thin">
        <color auto="1"/>
      </bottom>
      <diagonal/>
    </border>
    <border>
      <left/>
      <right/>
      <top/>
      <bottom style="thin">
        <color indexed="64"/>
      </bottom>
      <diagonal/>
    </border>
    <border>
      <left/>
      <right style="medium">
        <color indexed="64"/>
      </right>
      <top/>
      <bottom style="thin">
        <color indexed="64"/>
      </bottom>
      <diagonal/>
    </border>
    <border>
      <left/>
      <right/>
      <top style="double">
        <color theme="9" tint="-0.24994659260841701"/>
      </top>
      <bottom style="double">
        <color theme="9" tint="-0.24994659260841701"/>
      </bottom>
      <diagonal/>
    </border>
    <border>
      <left style="medium">
        <color theme="9" tint="-0.24994659260841701"/>
      </left>
      <right/>
      <top style="medium">
        <color auto="1"/>
      </top>
      <bottom/>
      <diagonal/>
    </border>
    <border>
      <left style="medium">
        <color theme="9" tint="-0.24994659260841701"/>
      </left>
      <right/>
      <top/>
      <bottom style="medium">
        <color auto="1"/>
      </bottom>
      <diagonal/>
    </border>
    <border>
      <left style="medium">
        <color indexed="64"/>
      </left>
      <right style="double">
        <color theme="9" tint="-0.24994659260841701"/>
      </right>
      <top/>
      <bottom style="medium">
        <color indexed="64"/>
      </bottom>
      <diagonal/>
    </border>
    <border>
      <left/>
      <right/>
      <top/>
      <bottom style="thin">
        <color theme="9" tint="0.39994506668294322"/>
      </bottom>
      <diagonal/>
    </border>
    <border>
      <left style="medium">
        <color auto="1"/>
      </left>
      <right style="hair">
        <color auto="1"/>
      </right>
      <top/>
      <bottom style="medium">
        <color indexed="64"/>
      </bottom>
      <diagonal/>
    </border>
    <border>
      <left/>
      <right/>
      <top style="thin">
        <color theme="9" tint="0.39994506668294322"/>
      </top>
      <bottom/>
      <diagonal/>
    </border>
    <border>
      <left/>
      <right style="thin">
        <color indexed="12"/>
      </right>
      <top/>
      <bottom/>
      <diagonal/>
    </border>
    <border>
      <left style="thin">
        <color auto="1"/>
      </left>
      <right style="thin">
        <color auto="1"/>
      </right>
      <top style="thin">
        <color auto="1"/>
      </top>
      <bottom style="thin">
        <color auto="1"/>
      </bottom>
      <diagonal/>
    </border>
    <border>
      <left style="dashed">
        <color rgb="FF0033CC"/>
      </left>
      <right style="dashed">
        <color rgb="FF0033CC"/>
      </right>
      <top style="dashed">
        <color rgb="FF0033CC"/>
      </top>
      <bottom style="dashed">
        <color rgb="FF0033CC"/>
      </bottom>
      <diagonal/>
    </border>
    <border>
      <left style="dashed">
        <color rgb="FF0033CC"/>
      </left>
      <right/>
      <top style="dashed">
        <color rgb="FF0033CC"/>
      </top>
      <bottom style="dashed">
        <color rgb="FF0033CC"/>
      </bottom>
      <diagonal/>
    </border>
    <border>
      <left/>
      <right/>
      <top style="dashed">
        <color rgb="FF0033CC"/>
      </top>
      <bottom style="dashed">
        <color rgb="FF0033CC"/>
      </bottom>
      <diagonal/>
    </border>
    <border>
      <left style="hair">
        <color auto="1"/>
      </left>
      <right style="thin">
        <color auto="1"/>
      </right>
      <top/>
      <bottom/>
      <diagonal/>
    </border>
    <border>
      <left style="hair">
        <color auto="1"/>
      </left>
      <right style="thin">
        <color auto="1"/>
      </right>
      <top style="thin">
        <color auto="1"/>
      </top>
      <bottom/>
      <diagonal/>
    </border>
    <border>
      <left style="thin">
        <color auto="1"/>
      </left>
      <right/>
      <top/>
      <bottom style="thin">
        <color auto="1"/>
      </bottom>
      <diagonal/>
    </border>
    <border>
      <left style="hair">
        <color indexed="64"/>
      </left>
      <right style="hair">
        <color indexed="64"/>
      </right>
      <top/>
      <bottom style="thin">
        <color auto="1"/>
      </bottom>
      <diagonal/>
    </border>
    <border>
      <left style="hair">
        <color auto="1"/>
      </left>
      <right style="thin">
        <color auto="1"/>
      </right>
      <top/>
      <bottom style="thin">
        <color auto="1"/>
      </bottom>
      <diagonal/>
    </border>
    <border>
      <left style="hair">
        <color indexed="64"/>
      </left>
      <right/>
      <top style="hair">
        <color indexed="64"/>
      </top>
      <bottom/>
      <diagonal/>
    </border>
    <border>
      <left style="hair">
        <color auto="1"/>
      </left>
      <right/>
      <top/>
      <bottom/>
      <diagonal/>
    </border>
    <border>
      <left style="hair">
        <color indexed="64"/>
      </left>
      <right/>
      <top style="thin">
        <color indexed="64"/>
      </top>
      <bottom/>
      <diagonal/>
    </border>
    <border>
      <left style="thin">
        <color indexed="64"/>
      </left>
      <right style="hair">
        <color auto="1"/>
      </right>
      <top/>
      <bottom/>
      <diagonal/>
    </border>
    <border>
      <left/>
      <right style="thin">
        <color auto="1"/>
      </right>
      <top style="hair">
        <color auto="1"/>
      </top>
      <bottom style="hair">
        <color auto="1"/>
      </bottom>
      <diagonal/>
    </border>
    <border>
      <left/>
      <right style="thin">
        <color auto="1"/>
      </right>
      <top style="hair">
        <color auto="1"/>
      </top>
      <bottom/>
      <diagonal/>
    </border>
    <border>
      <left style="hair">
        <color indexed="64"/>
      </left>
      <right/>
      <top/>
      <bottom style="thin">
        <color indexed="64"/>
      </bottom>
      <diagonal/>
    </border>
    <border>
      <left/>
      <right style="thin">
        <color indexed="64"/>
      </right>
      <top/>
      <bottom style="thin">
        <color indexed="64"/>
      </bottom>
      <diagonal/>
    </border>
    <border>
      <left/>
      <right/>
      <top style="thin">
        <color auto="1"/>
      </top>
      <bottom style="thin">
        <color auto="1"/>
      </bottom>
      <diagonal/>
    </border>
    <border>
      <left style="thin">
        <color auto="1"/>
      </left>
      <right style="thin">
        <color auto="1"/>
      </right>
      <top/>
      <bottom style="medium">
        <color auto="1"/>
      </bottom>
      <diagonal/>
    </border>
    <border>
      <left style="thin">
        <color indexed="64"/>
      </left>
      <right/>
      <top/>
      <bottom style="medium">
        <color indexed="64"/>
      </bottom>
      <diagonal/>
    </border>
    <border>
      <left/>
      <right style="thin">
        <color indexed="64"/>
      </right>
      <top/>
      <bottom style="medium">
        <color auto="1"/>
      </bottom>
      <diagonal/>
    </border>
    <border>
      <left style="hair">
        <color indexed="8"/>
      </left>
      <right style="hair">
        <color indexed="8"/>
      </right>
      <top style="hair">
        <color indexed="8"/>
      </top>
      <bottom style="hair">
        <color indexed="8"/>
      </bottom>
      <diagonal/>
    </border>
    <border>
      <left style="thin">
        <color indexed="8"/>
      </left>
      <right style="thin">
        <color indexed="8"/>
      </right>
      <top style="thin">
        <color indexed="8"/>
      </top>
      <bottom style="thin">
        <color indexed="8"/>
      </bottom>
      <diagonal/>
    </border>
    <border>
      <left style="thin">
        <color indexed="8"/>
      </left>
      <right style="thin">
        <color auto="1"/>
      </right>
      <top style="medium">
        <color auto="1"/>
      </top>
      <bottom style="thin">
        <color theme="0" tint="-0.24994659260841701"/>
      </bottom>
      <diagonal/>
    </border>
    <border>
      <left style="thin">
        <color auto="1"/>
      </left>
      <right style="thin">
        <color auto="1"/>
      </right>
      <top style="medium">
        <color auto="1"/>
      </top>
      <bottom style="thin">
        <color theme="0" tint="-0.24994659260841701"/>
      </bottom>
      <diagonal/>
    </border>
    <border>
      <left style="thin">
        <color auto="1"/>
      </left>
      <right/>
      <top style="medium">
        <color auto="1"/>
      </top>
      <bottom style="thin">
        <color theme="0" tint="-0.24994659260841701"/>
      </bottom>
      <diagonal/>
    </border>
    <border>
      <left/>
      <right/>
      <top style="medium">
        <color auto="1"/>
      </top>
      <bottom style="thin">
        <color theme="0" tint="-0.24994659260841701"/>
      </bottom>
      <diagonal/>
    </border>
    <border>
      <left/>
      <right style="thin">
        <color auto="1"/>
      </right>
      <top style="medium">
        <color auto="1"/>
      </top>
      <bottom style="thin">
        <color theme="0" tint="-0.24994659260841701"/>
      </bottom>
      <diagonal/>
    </border>
    <border>
      <left style="thin">
        <color indexed="8"/>
      </left>
      <right style="thin">
        <color auto="1"/>
      </right>
      <top style="thin">
        <color theme="0" tint="-0.24994659260841701"/>
      </top>
      <bottom style="thin">
        <color theme="0" tint="-0.24994659260841701"/>
      </bottom>
      <diagonal/>
    </border>
    <border>
      <left style="thin">
        <color auto="1"/>
      </left>
      <right style="thin">
        <color auto="1"/>
      </right>
      <top style="thin">
        <color theme="0" tint="-0.24994659260841701"/>
      </top>
      <bottom style="thin">
        <color theme="0" tint="-0.24994659260841701"/>
      </bottom>
      <diagonal/>
    </border>
    <border>
      <left style="thin">
        <color auto="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auto="1"/>
      </right>
      <top style="thin">
        <color theme="0" tint="-0.24994659260841701"/>
      </top>
      <bottom style="thin">
        <color theme="0" tint="-0.24994659260841701"/>
      </bottom>
      <diagonal/>
    </border>
    <border>
      <left style="thin">
        <color auto="1"/>
      </left>
      <right/>
      <top style="thin">
        <color auto="1"/>
      </top>
      <bottom style="medium">
        <color auto="1"/>
      </bottom>
      <diagonal/>
    </border>
    <border>
      <left/>
      <right style="thin">
        <color auto="1"/>
      </right>
      <top style="thin">
        <color auto="1"/>
      </top>
      <bottom style="medium">
        <color indexed="64"/>
      </bottom>
      <diagonal/>
    </border>
    <border>
      <left/>
      <right style="thin">
        <color auto="1"/>
      </right>
      <top style="thin">
        <color theme="0" tint="-0.24994659260841701"/>
      </top>
      <bottom style="thin">
        <color theme="1"/>
      </bottom>
      <diagonal/>
    </border>
    <border>
      <left style="thin">
        <color auto="1"/>
      </left>
      <right style="thin">
        <color auto="1"/>
      </right>
      <top style="thin">
        <color theme="0" tint="-0.24994659260841701"/>
      </top>
      <bottom style="thin">
        <color theme="1"/>
      </bottom>
      <diagonal/>
    </border>
    <border>
      <left style="thin">
        <color auto="1"/>
      </left>
      <right/>
      <top style="thin">
        <color theme="0" tint="-0.24994659260841701"/>
      </top>
      <bottom style="thin">
        <color theme="1"/>
      </bottom>
      <diagonal/>
    </border>
    <border>
      <left/>
      <right/>
      <top style="thin">
        <color theme="0" tint="-0.24994659260841701"/>
      </top>
      <bottom style="thin">
        <color theme="1"/>
      </bottom>
      <diagonal/>
    </border>
    <border>
      <left style="medium">
        <color auto="1"/>
      </left>
      <right/>
      <top style="thin">
        <color indexed="64"/>
      </top>
      <bottom/>
      <diagonal/>
    </border>
    <border>
      <left style="thin">
        <color auto="1"/>
      </left>
      <right/>
      <top style="thin">
        <color indexed="64"/>
      </top>
      <bottom/>
      <diagonal/>
    </border>
    <border>
      <left/>
      <right/>
      <top style="hair">
        <color indexed="64"/>
      </top>
      <bottom style="hair">
        <color indexed="64"/>
      </bottom>
      <diagonal/>
    </border>
    <border>
      <left style="medium">
        <color indexed="64"/>
      </left>
      <right/>
      <top/>
      <bottom style="thin">
        <color indexed="64"/>
      </bottom>
      <diagonal/>
    </border>
    <border>
      <left/>
      <right/>
      <top style="thin">
        <color indexed="64"/>
      </top>
      <bottom/>
      <diagonal/>
    </border>
    <border>
      <left style="medium">
        <color indexed="64"/>
      </left>
      <right style="hair">
        <color indexed="64"/>
      </right>
      <top style="hair">
        <color indexed="64"/>
      </top>
      <bottom/>
      <diagonal/>
    </border>
    <border>
      <left style="hair">
        <color indexed="60"/>
      </left>
      <right style="hair">
        <color indexed="64"/>
      </right>
      <top/>
      <bottom style="hair">
        <color indexed="64"/>
      </bottom>
      <diagonal/>
    </border>
    <border>
      <left style="hair">
        <color auto="1"/>
      </left>
      <right style="hair">
        <color indexed="64"/>
      </right>
      <top/>
      <bottom style="hair">
        <color auto="1"/>
      </bottom>
      <diagonal/>
    </border>
    <border>
      <left style="medium">
        <color indexed="64"/>
      </left>
      <right style="hair">
        <color indexed="64"/>
      </right>
      <top/>
      <bottom style="thin">
        <color indexed="64"/>
      </bottom>
      <diagonal/>
    </border>
    <border>
      <left style="thin">
        <color indexed="37"/>
      </left>
      <right/>
      <top style="thin">
        <color indexed="37"/>
      </top>
      <bottom style="thin">
        <color indexed="37"/>
      </bottom>
      <diagonal/>
    </border>
    <border>
      <left/>
      <right/>
      <top style="thin">
        <color indexed="37"/>
      </top>
      <bottom style="thin">
        <color indexed="37"/>
      </bottom>
      <diagonal/>
    </border>
    <border>
      <left/>
      <right style="thin">
        <color indexed="37"/>
      </right>
      <top style="thin">
        <color indexed="37"/>
      </top>
      <bottom style="thin">
        <color indexed="37"/>
      </bottom>
      <diagonal/>
    </border>
    <border>
      <left style="thin">
        <color indexed="37"/>
      </left>
      <right/>
      <top style="thin">
        <color indexed="37"/>
      </top>
      <bottom/>
      <diagonal/>
    </border>
    <border>
      <left/>
      <right/>
      <top style="thin">
        <color indexed="37"/>
      </top>
      <bottom/>
      <diagonal/>
    </border>
    <border>
      <left/>
      <right style="hair">
        <color indexed="37"/>
      </right>
      <top style="thin">
        <color indexed="37"/>
      </top>
      <bottom/>
      <diagonal/>
    </border>
    <border>
      <left style="hair">
        <color indexed="37"/>
      </left>
      <right/>
      <top style="hair">
        <color indexed="37"/>
      </top>
      <bottom/>
      <diagonal/>
    </border>
    <border>
      <left/>
      <right/>
      <top style="hair">
        <color indexed="37"/>
      </top>
      <bottom/>
      <diagonal/>
    </border>
    <border>
      <left/>
      <right style="hair">
        <color indexed="37"/>
      </right>
      <top style="hair">
        <color indexed="37"/>
      </top>
      <bottom/>
      <diagonal/>
    </border>
    <border>
      <left style="hair">
        <color indexed="37"/>
      </left>
      <right/>
      <top style="thin">
        <color indexed="37"/>
      </top>
      <bottom/>
      <diagonal/>
    </border>
    <border>
      <left/>
      <right style="thin">
        <color indexed="37"/>
      </right>
      <top style="thin">
        <color indexed="37"/>
      </top>
      <bottom/>
      <diagonal/>
    </border>
    <border>
      <left style="thin">
        <color indexed="37"/>
      </left>
      <right/>
      <top/>
      <bottom/>
      <diagonal/>
    </border>
    <border>
      <left style="hair">
        <color indexed="37"/>
      </left>
      <right style="hair">
        <color indexed="37"/>
      </right>
      <top/>
      <bottom/>
      <diagonal/>
    </border>
    <border>
      <left style="hair">
        <color indexed="37"/>
      </left>
      <right/>
      <top/>
      <bottom/>
      <diagonal/>
    </border>
    <border>
      <left style="thin">
        <color indexed="37"/>
      </left>
      <right/>
      <top/>
      <bottom style="thin">
        <color indexed="37"/>
      </bottom>
      <diagonal/>
    </border>
    <border>
      <left/>
      <right/>
      <top/>
      <bottom style="thin">
        <color indexed="37"/>
      </bottom>
      <diagonal/>
    </border>
    <border>
      <left/>
      <right style="hair">
        <color indexed="37"/>
      </right>
      <top/>
      <bottom style="thin">
        <color indexed="37"/>
      </bottom>
      <diagonal/>
    </border>
    <border>
      <left style="hair">
        <color indexed="37"/>
      </left>
      <right style="hair">
        <color indexed="37"/>
      </right>
      <top style="hair">
        <color indexed="64"/>
      </top>
      <bottom style="hair">
        <color indexed="37"/>
      </bottom>
      <diagonal/>
    </border>
    <border>
      <left style="hair">
        <color indexed="37"/>
      </left>
      <right/>
      <top/>
      <bottom style="thin">
        <color indexed="37"/>
      </bottom>
      <diagonal/>
    </border>
    <border>
      <left/>
      <right style="thin">
        <color indexed="37"/>
      </right>
      <top/>
      <bottom style="thin">
        <color indexed="37"/>
      </bottom>
      <diagonal/>
    </border>
    <border>
      <left style="thin">
        <color indexed="16"/>
      </left>
      <right/>
      <top style="thin">
        <color indexed="16"/>
      </top>
      <bottom style="hair">
        <color indexed="64"/>
      </bottom>
      <diagonal/>
    </border>
    <border>
      <left/>
      <right/>
      <top style="thin">
        <color indexed="37"/>
      </top>
      <bottom style="hair">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auto="1"/>
      </bottom>
      <diagonal/>
    </border>
    <border>
      <left/>
      <right style="thin">
        <color indexed="37"/>
      </right>
      <top style="hair">
        <color indexed="64"/>
      </top>
      <bottom style="medium">
        <color indexed="64"/>
      </bottom>
      <diagonal/>
    </border>
    <border>
      <left style="medium">
        <color indexed="64"/>
      </left>
      <right/>
      <top style="thin">
        <color indexed="37"/>
      </top>
      <bottom style="hair">
        <color indexed="64"/>
      </bottom>
      <diagonal/>
    </border>
    <border>
      <left style="medium">
        <color indexed="64"/>
      </left>
      <right/>
      <top style="thin">
        <color indexed="37"/>
      </top>
      <bottom/>
      <diagonal/>
    </border>
    <border>
      <left style="hair">
        <color indexed="64"/>
      </left>
      <right style="hair">
        <color indexed="64"/>
      </right>
      <top style="hair">
        <color auto="1"/>
      </top>
      <bottom/>
      <diagonal/>
    </border>
    <border>
      <left style="hair">
        <color indexed="64"/>
      </left>
      <right/>
      <top style="hair">
        <color indexed="64"/>
      </top>
      <bottom/>
      <diagonal/>
    </border>
    <border>
      <left/>
      <right style="hair">
        <color indexed="64"/>
      </right>
      <top style="hair">
        <color indexed="64"/>
      </top>
      <bottom/>
      <diagonal/>
    </border>
    <border>
      <left/>
      <right style="medium">
        <color auto="1"/>
      </right>
      <top style="hair">
        <color auto="1"/>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hair">
        <color indexed="64"/>
      </right>
      <top style="thin">
        <color auto="1"/>
      </top>
      <bottom/>
      <diagonal/>
    </border>
    <border>
      <left style="hair">
        <color indexed="64"/>
      </left>
      <right style="hair">
        <color indexed="64"/>
      </right>
      <top style="thin">
        <color indexed="64"/>
      </top>
      <bottom/>
      <diagonal/>
    </border>
    <border>
      <left style="hair">
        <color auto="1"/>
      </left>
      <right style="thin">
        <color auto="1"/>
      </right>
      <top style="thin">
        <color auto="1"/>
      </top>
      <bottom/>
      <diagonal/>
    </border>
    <border>
      <left style="medium">
        <color indexed="64"/>
      </left>
      <right style="hair">
        <color auto="1"/>
      </right>
      <top/>
      <bottom style="hair">
        <color auto="1"/>
      </bottom>
      <diagonal/>
    </border>
    <border>
      <left style="hair">
        <color indexed="64"/>
      </left>
      <right style="thin">
        <color indexed="64"/>
      </right>
      <top/>
      <bottom style="hair">
        <color indexed="64"/>
      </bottom>
      <diagonal/>
    </border>
    <border>
      <left style="medium">
        <color indexed="64"/>
      </left>
      <right/>
      <top style="hair">
        <color auto="1"/>
      </top>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thin">
        <color indexed="64"/>
      </right>
      <top style="hair">
        <color indexed="64"/>
      </top>
      <bottom style="hair">
        <color indexed="64"/>
      </bottom>
      <diagonal/>
    </border>
    <border>
      <left style="medium">
        <color indexed="64"/>
      </left>
      <right style="hair">
        <color indexed="64"/>
      </right>
      <top style="hair">
        <color indexed="64"/>
      </top>
      <bottom/>
      <diagonal/>
    </border>
    <border>
      <left/>
      <right style="hair">
        <color auto="1"/>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bottom style="medium">
        <color indexed="64"/>
      </bottom>
      <diagonal/>
    </border>
    <border>
      <left/>
      <right style="medium">
        <color indexed="64"/>
      </right>
      <top style="hair">
        <color indexed="64"/>
      </top>
      <bottom style="medium">
        <color indexed="64"/>
      </bottom>
      <diagonal/>
    </border>
    <border>
      <left style="hair">
        <color auto="1"/>
      </left>
      <right style="medium">
        <color auto="1"/>
      </right>
      <top/>
      <bottom/>
      <diagonal/>
    </border>
    <border>
      <left/>
      <right style="medium">
        <color indexed="64"/>
      </right>
      <top style="thin">
        <color indexed="64"/>
      </top>
      <bottom style="hair">
        <color indexed="64"/>
      </bottom>
      <diagonal/>
    </border>
    <border>
      <left/>
      <right/>
      <top style="hair">
        <color indexed="12"/>
      </top>
      <bottom/>
      <diagonal/>
    </border>
    <border>
      <left style="hair">
        <color indexed="64"/>
      </left>
      <right style="hair">
        <color indexed="64"/>
      </right>
      <top style="hair">
        <color auto="1"/>
      </top>
      <bottom/>
      <diagonal/>
    </border>
    <border>
      <left style="medium">
        <color indexed="64"/>
      </left>
      <right/>
      <top/>
      <bottom style="hair">
        <color indexed="12"/>
      </bottom>
      <diagonal/>
    </border>
    <border>
      <left/>
      <right/>
      <top/>
      <bottom style="hair">
        <color indexed="12"/>
      </bottom>
      <diagonal/>
    </border>
    <border>
      <left/>
      <right style="medium">
        <color indexed="64"/>
      </right>
      <top/>
      <bottom style="hair">
        <color indexed="12"/>
      </bottom>
      <diagonal/>
    </border>
    <border>
      <left style="medium">
        <color indexed="64"/>
      </left>
      <right style="hair">
        <color indexed="64"/>
      </right>
      <top style="hair">
        <color indexed="12"/>
      </top>
      <bottom/>
      <diagonal/>
    </border>
    <border>
      <left style="hair">
        <color indexed="64"/>
      </left>
      <right style="hair">
        <color indexed="64"/>
      </right>
      <top style="hair">
        <color indexed="12"/>
      </top>
      <bottom/>
      <diagonal/>
    </border>
    <border>
      <left style="hair">
        <color indexed="64"/>
      </left>
      <right style="medium">
        <color indexed="64"/>
      </right>
      <top style="hair">
        <color indexed="12"/>
      </top>
      <bottom/>
      <diagonal/>
    </border>
    <border>
      <left style="medium">
        <color indexed="64"/>
      </left>
      <right style="hair">
        <color indexed="64"/>
      </right>
      <top/>
      <bottom style="hair">
        <color indexed="10"/>
      </bottom>
      <diagonal/>
    </border>
    <border>
      <left style="hair">
        <color indexed="64"/>
      </left>
      <right style="hair">
        <color indexed="64"/>
      </right>
      <top/>
      <bottom style="hair">
        <color indexed="10"/>
      </bottom>
      <diagonal/>
    </border>
    <border>
      <left style="hair">
        <color indexed="64"/>
      </left>
      <right style="medium">
        <color indexed="64"/>
      </right>
      <top/>
      <bottom style="hair">
        <color indexed="10"/>
      </bottom>
      <diagonal/>
    </border>
    <border>
      <left style="medium">
        <color indexed="64"/>
      </left>
      <right/>
      <top style="hair">
        <color indexed="10"/>
      </top>
      <bottom/>
      <diagonal/>
    </border>
    <border>
      <left/>
      <right/>
      <top style="hair">
        <color indexed="10"/>
      </top>
      <bottom/>
      <diagonal/>
    </border>
    <border>
      <left/>
      <right style="medium">
        <color indexed="64"/>
      </right>
      <top style="hair">
        <color indexed="10"/>
      </top>
      <bottom/>
      <diagonal/>
    </border>
    <border>
      <left/>
      <right/>
      <top/>
      <bottom style="hair">
        <color auto="1"/>
      </bottom>
      <diagonal/>
    </border>
    <border>
      <left/>
      <right style="medium">
        <color indexed="64"/>
      </right>
      <top/>
      <bottom style="hair">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auto="1"/>
      </right>
      <top style="medium">
        <color auto="1"/>
      </top>
      <bottom style="thin">
        <color auto="1"/>
      </bottom>
      <diagonal/>
    </border>
    <border>
      <left style="hair">
        <color indexed="12"/>
      </left>
      <right style="hair">
        <color indexed="12"/>
      </right>
      <top style="hair">
        <color indexed="12"/>
      </top>
      <bottom style="hair">
        <color indexed="12"/>
      </bottom>
      <diagonal/>
    </border>
    <border>
      <left style="hair">
        <color auto="1"/>
      </left>
      <right style="hair">
        <color auto="1"/>
      </right>
      <top style="hair">
        <color auto="1"/>
      </top>
      <bottom style="hair">
        <color auto="1"/>
      </bottom>
      <diagonal/>
    </border>
    <border>
      <left style="thin">
        <color rgb="FF7030A0"/>
      </left>
      <right style="thin">
        <color rgb="FF7030A0"/>
      </right>
      <top style="thin">
        <color rgb="FF7030A0"/>
      </top>
      <bottom style="thin">
        <color rgb="FF7030A0"/>
      </bottom>
      <diagonal/>
    </border>
    <border>
      <left/>
      <right/>
      <top style="hair">
        <color auto="1"/>
      </top>
      <bottom style="hair">
        <color auto="1"/>
      </bottom>
      <diagonal/>
    </border>
    <border>
      <left/>
      <right style="medium">
        <color indexed="64"/>
      </right>
      <top style="hair">
        <color auto="1"/>
      </top>
      <bottom style="hair">
        <color auto="1"/>
      </bottom>
      <diagonal/>
    </border>
    <border>
      <left style="thin">
        <color indexed="64"/>
      </left>
      <right/>
      <top style="medium">
        <color auto="1"/>
      </top>
      <bottom style="thin">
        <color indexed="64"/>
      </bottom>
      <diagonal/>
    </border>
    <border>
      <left style="hair">
        <color auto="1"/>
      </left>
      <right style="medium">
        <color auto="1"/>
      </right>
      <top style="hair">
        <color auto="1"/>
      </top>
      <bottom style="hair">
        <color auto="1"/>
      </bottom>
      <diagonal/>
    </border>
    <border>
      <left style="medium">
        <color auto="1"/>
      </left>
      <right style="medium">
        <color auto="1"/>
      </right>
      <top style="medium">
        <color auto="1"/>
      </top>
      <bottom style="medium">
        <color auto="1"/>
      </bottom>
      <diagonal/>
    </border>
    <border>
      <left/>
      <right/>
      <top style="hair">
        <color auto="1"/>
      </top>
      <bottom style="thin">
        <color indexed="64"/>
      </bottom>
      <diagonal/>
    </border>
    <border>
      <left/>
      <right style="medium">
        <color indexed="64"/>
      </right>
      <top style="hair">
        <color indexed="64"/>
      </top>
      <bottom style="thin">
        <color indexed="64"/>
      </bottom>
      <diagonal/>
    </border>
    <border>
      <left style="hair">
        <color auto="1"/>
      </left>
      <right style="medium">
        <color auto="1"/>
      </right>
      <top style="thin">
        <color auto="1"/>
      </top>
      <bottom style="hair">
        <color auto="1"/>
      </bottom>
      <diagonal/>
    </border>
    <border>
      <left style="hair">
        <color indexed="64"/>
      </left>
      <right/>
      <top style="hair">
        <color indexed="64"/>
      </top>
      <bottom/>
      <diagonal/>
    </border>
    <border>
      <left style="hair">
        <color auto="1"/>
      </left>
      <right style="hair">
        <color indexed="64"/>
      </right>
      <top/>
      <bottom style="hair">
        <color auto="1"/>
      </bottom>
      <diagonal/>
    </border>
    <border>
      <left style="hair">
        <color auto="1"/>
      </left>
      <right/>
      <top/>
      <bottom style="thin">
        <color theme="9" tint="0.39997558519241921"/>
      </bottom>
      <diagonal/>
    </border>
    <border>
      <left/>
      <right/>
      <top/>
      <bottom style="thin">
        <color theme="9" tint="0.39997558519241921"/>
      </bottom>
      <diagonal/>
    </border>
    <border>
      <left/>
      <right style="hair">
        <color indexed="64"/>
      </right>
      <top/>
      <bottom style="thin">
        <color theme="9" tint="0.39997558519241921"/>
      </bottom>
      <diagonal/>
    </border>
    <border>
      <left style="hair">
        <color theme="9" tint="0.39988402966399123"/>
      </left>
      <right/>
      <top style="hair">
        <color auto="1"/>
      </top>
      <bottom style="hair">
        <color theme="9" tint="0.39988402966399123"/>
      </bottom>
      <diagonal/>
    </border>
    <border>
      <left/>
      <right/>
      <top style="hair">
        <color auto="1"/>
      </top>
      <bottom style="hair">
        <color theme="9" tint="0.39988402966399123"/>
      </bottom>
      <diagonal/>
    </border>
    <border>
      <left/>
      <right style="medium">
        <color indexed="64"/>
      </right>
      <top/>
      <bottom style="hair">
        <color theme="9" tint="0.59996337778862885"/>
      </bottom>
      <diagonal/>
    </border>
    <border>
      <left/>
      <right/>
      <top style="thin">
        <color theme="9" tint="0.39997558519241921"/>
      </top>
      <bottom style="thin">
        <color theme="9" tint="0.39997558519241921"/>
      </bottom>
      <diagonal/>
    </border>
    <border>
      <left style="hair">
        <color theme="9" tint="0.39988402966399123"/>
      </left>
      <right/>
      <top style="hair">
        <color theme="9" tint="0.39988402966399123"/>
      </top>
      <bottom style="hair">
        <color theme="9" tint="0.39988402966399123"/>
      </bottom>
      <diagonal/>
    </border>
    <border>
      <left/>
      <right/>
      <top style="hair">
        <color theme="9" tint="0.39988402966399123"/>
      </top>
      <bottom style="hair">
        <color theme="9" tint="0.39988402966399123"/>
      </bottom>
      <diagonal/>
    </border>
    <border>
      <left/>
      <right style="medium">
        <color auto="1"/>
      </right>
      <top style="hair">
        <color theme="9" tint="0.59996337778862885"/>
      </top>
      <bottom style="hair">
        <color theme="9" tint="0.59996337778862885"/>
      </bottom>
      <diagonal/>
    </border>
    <border>
      <left/>
      <right/>
      <top style="thin">
        <color theme="9" tint="0.39997558519241921"/>
      </top>
      <bottom style="hair">
        <color auto="1"/>
      </bottom>
      <diagonal/>
    </border>
    <border>
      <left/>
      <right style="medium">
        <color indexed="64"/>
      </right>
      <top style="hair">
        <color theme="9" tint="0.39994506668294322"/>
      </top>
      <bottom style="hair">
        <color theme="9" tint="0.39994506668294322"/>
      </bottom>
      <diagonal/>
    </border>
    <border>
      <left style="hair">
        <color indexed="64"/>
      </left>
      <right/>
      <top style="hair">
        <color indexed="64"/>
      </top>
      <bottom style="hair">
        <color indexed="64"/>
      </bottom>
      <diagonal/>
    </border>
    <border>
      <left/>
      <right style="hair">
        <color auto="1"/>
      </right>
      <top style="hair">
        <color auto="1"/>
      </top>
      <bottom style="hair">
        <color auto="1"/>
      </bottom>
      <diagonal/>
    </border>
    <border>
      <left/>
      <right style="medium">
        <color theme="0"/>
      </right>
      <top style="hair">
        <color auto="1"/>
      </top>
      <bottom/>
      <diagonal/>
    </border>
    <border>
      <left style="medium">
        <color theme="0"/>
      </left>
      <right style="medium">
        <color theme="0"/>
      </right>
      <top style="hair">
        <color auto="1"/>
      </top>
      <bottom/>
      <diagonal/>
    </border>
    <border>
      <left style="medium">
        <color theme="0"/>
      </left>
      <right style="medium">
        <color theme="0"/>
      </right>
      <top/>
      <bottom/>
      <diagonal/>
    </border>
    <border>
      <left style="thin">
        <color theme="0"/>
      </left>
      <right/>
      <top/>
      <bottom/>
      <diagonal/>
    </border>
    <border>
      <left/>
      <right/>
      <top style="medium">
        <color rgb="FF0033CC"/>
      </top>
      <bottom style="medium">
        <color rgb="FF0033CC"/>
      </bottom>
      <diagonal/>
    </border>
    <border>
      <left style="hair">
        <color auto="1"/>
      </left>
      <right style="thin">
        <color theme="0"/>
      </right>
      <top/>
      <bottom/>
      <diagonal/>
    </border>
    <border>
      <left style="dashed">
        <color auto="1"/>
      </left>
      <right/>
      <top style="dashed">
        <color auto="1"/>
      </top>
      <bottom/>
      <diagonal/>
    </border>
    <border>
      <left style="dashed">
        <color indexed="64"/>
      </left>
      <right/>
      <top/>
      <bottom style="hair">
        <color indexed="64"/>
      </bottom>
      <diagonal/>
    </border>
    <border>
      <left style="dashed">
        <color auto="1"/>
      </left>
      <right/>
      <top/>
      <bottom/>
      <diagonal/>
    </border>
    <border>
      <left style="dashed">
        <color auto="1"/>
      </left>
      <right/>
      <top style="thin">
        <color indexed="64"/>
      </top>
      <bottom/>
      <diagonal/>
    </border>
    <border>
      <left style="dashed">
        <color indexed="64"/>
      </left>
      <right/>
      <top/>
      <bottom style="dashDot">
        <color auto="1"/>
      </bottom>
      <diagonal/>
    </border>
    <border>
      <left style="hair">
        <color indexed="64"/>
      </left>
      <right/>
      <top/>
      <bottom style="dashed">
        <color indexed="64"/>
      </bottom>
      <diagonal/>
    </border>
    <border>
      <left style="dashed">
        <color auto="1"/>
      </left>
      <right style="dashed">
        <color auto="1"/>
      </right>
      <top style="dashed">
        <color auto="1"/>
      </top>
      <bottom style="dashed">
        <color auto="1"/>
      </bottom>
      <diagonal/>
    </border>
    <border>
      <left/>
      <right style="dashed">
        <color auto="1"/>
      </right>
      <top style="hair">
        <color indexed="64"/>
      </top>
      <bottom/>
      <diagonal/>
    </border>
    <border>
      <left style="dashed">
        <color auto="1"/>
      </left>
      <right style="medium">
        <color indexed="64"/>
      </right>
      <top style="dashed">
        <color auto="1"/>
      </top>
      <bottom style="dashed">
        <color auto="1"/>
      </bottom>
      <diagonal/>
    </border>
    <border>
      <left/>
      <right style="dashed">
        <color auto="1"/>
      </right>
      <top/>
      <bottom/>
      <diagonal/>
    </border>
    <border>
      <left style="hair">
        <color theme="1" tint="0.499984740745262"/>
      </left>
      <right/>
      <top/>
      <bottom/>
      <diagonal/>
    </border>
    <border>
      <left style="thin">
        <color theme="0"/>
      </left>
      <right style="medium">
        <color auto="1"/>
      </right>
      <top/>
      <bottom/>
      <diagonal/>
    </border>
    <border>
      <left style="hair">
        <color indexed="64"/>
      </left>
      <right/>
      <top style="thin">
        <color auto="1"/>
      </top>
      <bottom style="hair">
        <color indexed="64"/>
      </bottom>
      <diagonal/>
    </border>
    <border>
      <left/>
      <right style="medium">
        <color auto="1"/>
      </right>
      <top style="hair">
        <color auto="1"/>
      </top>
      <bottom style="dashed">
        <color auto="1"/>
      </bottom>
      <diagonal/>
    </border>
    <border>
      <left style="double">
        <color indexed="64"/>
      </left>
      <right style="double">
        <color indexed="64"/>
      </right>
      <top style="double">
        <color indexed="64"/>
      </top>
      <bottom/>
      <diagonal/>
    </border>
    <border>
      <left style="double">
        <color indexed="64"/>
      </left>
      <right style="double">
        <color indexed="64"/>
      </right>
      <top/>
      <bottom style="hair">
        <color auto="1"/>
      </bottom>
      <diagonal/>
    </border>
    <border>
      <left style="double">
        <color indexed="64"/>
      </left>
      <right style="double">
        <color indexed="64"/>
      </right>
      <top/>
      <bottom style="double">
        <color indexed="64"/>
      </bottom>
      <diagonal/>
    </border>
    <border>
      <left style="hair">
        <color auto="1"/>
      </left>
      <right/>
      <top style="dashed">
        <color indexed="64"/>
      </top>
      <bottom/>
      <diagonal/>
    </border>
    <border>
      <left style="hair">
        <color auto="1"/>
      </left>
      <right/>
      <top/>
      <bottom style="hair">
        <color theme="9" tint="0.39991454817346722"/>
      </bottom>
      <diagonal/>
    </border>
    <border>
      <left/>
      <right/>
      <top/>
      <bottom style="hair">
        <color theme="9" tint="0.39991454817346722"/>
      </bottom>
      <diagonal/>
    </border>
    <border>
      <left style="hair">
        <color auto="1"/>
      </left>
      <right style="hair">
        <color auto="1"/>
      </right>
      <top style="hair">
        <color auto="1"/>
      </top>
      <bottom style="thin">
        <color theme="9" tint="0.39997558519241921"/>
      </bottom>
      <diagonal/>
    </border>
    <border>
      <left/>
      <right style="hair">
        <color indexed="64"/>
      </right>
      <top style="hair">
        <color indexed="64"/>
      </top>
      <bottom style="thin">
        <color theme="9" tint="0.39997558519241921"/>
      </bottom>
      <diagonal/>
    </border>
    <border>
      <left/>
      <right style="hair">
        <color indexed="64"/>
      </right>
      <top/>
      <bottom style="hair">
        <color theme="9" tint="0.59996337778862885"/>
      </bottom>
      <diagonal/>
    </border>
    <border>
      <left style="hair">
        <color auto="1"/>
      </left>
      <right/>
      <top style="hair">
        <color theme="9" tint="0.39991454817346722"/>
      </top>
      <bottom style="hair">
        <color theme="9" tint="0.39991454817346722"/>
      </bottom>
      <diagonal/>
    </border>
    <border>
      <left/>
      <right/>
      <top style="hair">
        <color theme="9" tint="0.39991454817346722"/>
      </top>
      <bottom style="hair">
        <color theme="9" tint="0.39991454817346722"/>
      </bottom>
      <diagonal/>
    </border>
    <border>
      <left style="hair">
        <color auto="1"/>
      </left>
      <right style="hair">
        <color auto="1"/>
      </right>
      <top style="thin">
        <color theme="9" tint="0.39997558519241921"/>
      </top>
      <bottom style="thin">
        <color theme="9" tint="0.39997558519241921"/>
      </bottom>
      <diagonal/>
    </border>
    <border>
      <left/>
      <right/>
      <top/>
      <bottom style="thin">
        <color theme="0"/>
      </bottom>
      <diagonal/>
    </border>
    <border>
      <left style="dashed">
        <color auto="1"/>
      </left>
      <right style="medium">
        <color auto="1"/>
      </right>
      <top/>
      <bottom style="dashed">
        <color auto="1"/>
      </bottom>
      <diagonal/>
    </border>
    <border>
      <left/>
      <right style="dashed">
        <color indexed="64"/>
      </right>
      <top style="dashed">
        <color indexed="64"/>
      </top>
      <bottom/>
      <diagonal/>
    </border>
    <border>
      <left style="dashed">
        <color auto="1"/>
      </left>
      <right style="dashed">
        <color auto="1"/>
      </right>
      <top style="dashed">
        <color auto="1"/>
      </top>
      <bottom/>
      <diagonal/>
    </border>
    <border>
      <left style="dashed">
        <color auto="1"/>
      </left>
      <right style="dashed">
        <color auto="1"/>
      </right>
      <top/>
      <bottom/>
      <diagonal/>
    </border>
    <border>
      <left style="dashed">
        <color auto="1"/>
      </left>
      <right/>
      <top/>
      <bottom style="thin">
        <color indexed="64"/>
      </bottom>
      <diagonal/>
    </border>
    <border>
      <left/>
      <right style="dashed">
        <color auto="1"/>
      </right>
      <top/>
      <bottom style="dashed">
        <color indexed="64"/>
      </bottom>
      <diagonal/>
    </border>
    <border>
      <left style="dashed">
        <color auto="1"/>
      </left>
      <right style="dashed">
        <color auto="1"/>
      </right>
      <top/>
      <bottom style="dashed">
        <color auto="1"/>
      </bottom>
      <diagonal/>
    </border>
    <border>
      <left/>
      <right style="dashed">
        <color auto="1"/>
      </right>
      <top style="thin">
        <color auto="1"/>
      </top>
      <bottom/>
      <diagonal/>
    </border>
    <border>
      <left style="thin">
        <color auto="1"/>
      </left>
      <right style="hair">
        <color indexed="64"/>
      </right>
      <top/>
      <bottom style="thin">
        <color auto="1"/>
      </bottom>
      <diagonal/>
    </border>
    <border>
      <left style="medium">
        <color indexed="64"/>
      </left>
      <right/>
      <top style="thin">
        <color indexed="64"/>
      </top>
      <bottom/>
      <diagonal/>
    </border>
    <border>
      <left style="medium">
        <color indexed="64"/>
      </left>
      <right/>
      <top/>
      <bottom style="thin">
        <color theme="9" tint="0.39997558519241921"/>
      </bottom>
      <diagonal/>
    </border>
    <border>
      <left/>
      <right style="hair">
        <color theme="9" tint="0.39994506668294322"/>
      </right>
      <top/>
      <bottom style="hair">
        <color theme="9" tint="0.39991454817346722"/>
      </bottom>
      <diagonal/>
    </border>
    <border>
      <left style="medium">
        <color indexed="64"/>
      </left>
      <right style="hair">
        <color indexed="64"/>
      </right>
      <top style="double">
        <color theme="9" tint="0.39994506668294322"/>
      </top>
      <bottom/>
      <diagonal/>
    </border>
    <border>
      <left style="hair">
        <color indexed="64"/>
      </left>
      <right/>
      <top style="double">
        <color theme="9" tint="0.39994506668294322"/>
      </top>
      <bottom/>
      <diagonal/>
    </border>
    <border>
      <left/>
      <right style="medium">
        <color indexed="64"/>
      </right>
      <top style="double">
        <color theme="9" tint="0.39994506668294322"/>
      </top>
      <bottom/>
      <diagonal/>
    </border>
    <border>
      <left style="medium">
        <color indexed="64"/>
      </left>
      <right style="hair">
        <color indexed="64"/>
      </right>
      <top style="hair">
        <color theme="9" tint="0.39991454817346722"/>
      </top>
      <bottom style="hair">
        <color theme="9" tint="0.39991454817346722"/>
      </bottom>
      <diagonal/>
    </border>
    <border>
      <left style="hair">
        <color indexed="64"/>
      </left>
      <right/>
      <top style="hair">
        <color theme="9" tint="0.39994506668294322"/>
      </top>
      <bottom style="hair">
        <color theme="9" tint="0.39994506668294322"/>
      </bottom>
      <diagonal/>
    </border>
    <border>
      <left/>
      <right/>
      <top style="hair">
        <color theme="9" tint="0.39994506668294322"/>
      </top>
      <bottom style="hair">
        <color theme="9" tint="0.39994506668294322"/>
      </bottom>
      <diagonal/>
    </border>
    <border>
      <left/>
      <right/>
      <top style="hair">
        <color theme="9" tint="0.39994506668294322"/>
      </top>
      <bottom/>
      <diagonal/>
    </border>
    <border>
      <left/>
      <right style="medium">
        <color indexed="64"/>
      </right>
      <top style="hair">
        <color theme="9" tint="0.39994506668294322"/>
      </top>
      <bottom/>
      <diagonal/>
    </border>
    <border>
      <left style="medium">
        <color auto="1"/>
      </left>
      <right/>
      <top style="double">
        <color theme="9" tint="0.39994506668294322"/>
      </top>
      <bottom/>
      <diagonal/>
    </border>
    <border>
      <left/>
      <right style="hair">
        <color indexed="64"/>
      </right>
      <top style="double">
        <color theme="9" tint="0.39994506668294322"/>
      </top>
      <bottom/>
      <diagonal/>
    </border>
    <border>
      <left style="hair">
        <color indexed="64"/>
      </left>
      <right style="hair">
        <color indexed="64"/>
      </right>
      <top style="double">
        <color theme="9" tint="0.39994506668294322"/>
      </top>
      <bottom/>
      <diagonal/>
    </border>
    <border>
      <left/>
      <right/>
      <top/>
      <bottom style="hair">
        <color theme="9" tint="0.39994506668294322"/>
      </bottom>
      <diagonal/>
    </border>
    <border>
      <left/>
      <right style="hair">
        <color indexed="64"/>
      </right>
      <top/>
      <bottom style="hair">
        <color theme="9" tint="0.39994506668294322"/>
      </bottom>
      <diagonal/>
    </border>
    <border>
      <left style="medium">
        <color indexed="64"/>
      </left>
      <right/>
      <top style="hair">
        <color theme="9" tint="0.39994506668294322"/>
      </top>
      <bottom style="hair">
        <color theme="9" tint="0.39994506668294322"/>
      </bottom>
      <diagonal/>
    </border>
    <border>
      <left style="hair">
        <color theme="9" tint="0.39991454817346722"/>
      </left>
      <right style="hair">
        <color theme="9" tint="0.39994506668294322"/>
      </right>
      <top style="hair">
        <color theme="9" tint="0.39994506668294322"/>
      </top>
      <bottom style="hair">
        <color theme="9" tint="0.39994506668294322"/>
      </bottom>
      <diagonal/>
    </border>
    <border>
      <left style="hair">
        <color theme="9" tint="0.39994506668294322"/>
      </left>
      <right/>
      <top style="hair">
        <color theme="9" tint="0.39994506668294322"/>
      </top>
      <bottom style="hair">
        <color theme="9" tint="0.39994506668294322"/>
      </bottom>
      <diagonal/>
    </border>
    <border>
      <left style="hair">
        <color indexed="64"/>
      </left>
      <right style="hair">
        <color indexed="64"/>
      </right>
      <top style="hair">
        <color theme="9" tint="0.39994506668294322"/>
      </top>
      <bottom style="hair">
        <color theme="9" tint="0.39994506668294322"/>
      </bottom>
      <diagonal/>
    </border>
    <border>
      <left/>
      <right style="hair">
        <color indexed="64"/>
      </right>
      <top style="hair">
        <color theme="9" tint="0.39994506668294322"/>
      </top>
      <bottom style="hair">
        <color theme="9" tint="0.39994506668294322"/>
      </bottom>
      <diagonal/>
    </border>
    <border>
      <left style="hair">
        <color theme="9" tint="0.39991454817346722"/>
      </left>
      <right style="hair">
        <color theme="9" tint="0.39994506668294322"/>
      </right>
      <top/>
      <bottom style="thin">
        <color theme="9" tint="0.39997558519241921"/>
      </bottom>
      <diagonal/>
    </border>
    <border>
      <left style="medium">
        <color auto="1"/>
      </left>
      <right/>
      <top style="thin">
        <color theme="9" tint="0.39997558519241921"/>
      </top>
      <bottom style="thin">
        <color theme="9" tint="0.39997558519241921"/>
      </bottom>
      <diagonal/>
    </border>
    <border>
      <left style="hair">
        <color indexed="64"/>
      </left>
      <right/>
      <top style="double">
        <color theme="9" tint="0.39994506668294322"/>
      </top>
      <bottom style="hair">
        <color auto="1"/>
      </bottom>
      <diagonal/>
    </border>
    <border>
      <left/>
      <right/>
      <top style="double">
        <color theme="9" tint="0.39994506668294322"/>
      </top>
      <bottom style="hair">
        <color auto="1"/>
      </bottom>
      <diagonal/>
    </border>
    <border>
      <left/>
      <right/>
      <top style="hair">
        <color auto="1"/>
      </top>
      <bottom style="hair">
        <color theme="9" tint="0.39994506668294322"/>
      </bottom>
      <diagonal/>
    </border>
    <border>
      <left/>
      <right/>
      <top style="hair">
        <color theme="9" tint="0.39985351115451523"/>
      </top>
      <bottom style="hair">
        <color theme="9" tint="0.39985351115451523"/>
      </bottom>
      <diagonal/>
    </border>
    <border>
      <left/>
      <right/>
      <top/>
      <bottom style="hair">
        <color theme="9" tint="0.59996337778862885"/>
      </bottom>
      <diagonal/>
    </border>
    <border>
      <left/>
      <right/>
      <top style="hair">
        <color indexed="64"/>
      </top>
      <bottom style="hair">
        <color theme="9" tint="0.39985351115451523"/>
      </bottom>
      <diagonal/>
    </border>
    <border>
      <left style="hair">
        <color theme="9" tint="0.39991454817346722"/>
      </left>
      <right style="hair">
        <color theme="9" tint="0.39991454817346722"/>
      </right>
      <top/>
      <bottom style="thin">
        <color theme="9" tint="0.39997558519241921"/>
      </bottom>
      <diagonal/>
    </border>
    <border>
      <left style="hair">
        <color theme="9" tint="0.39985351115451523"/>
      </left>
      <right style="hair">
        <color theme="9" tint="0.39985351115451523"/>
      </right>
      <top style="hair">
        <color theme="9" tint="0.39985351115451523"/>
      </top>
      <bottom style="hair">
        <color theme="9" tint="0.39985351115451523"/>
      </bottom>
      <diagonal/>
    </border>
    <border>
      <left style="thin">
        <color theme="9" tint="0.39991454817346722"/>
      </left>
      <right/>
      <top style="double">
        <color theme="9" tint="0.39994506668294322"/>
      </top>
      <bottom/>
      <diagonal/>
    </border>
    <border>
      <left/>
      <right style="thin">
        <color auto="1"/>
      </right>
      <top style="double">
        <color theme="9" tint="0.39994506668294322"/>
      </top>
      <bottom/>
      <diagonal/>
    </border>
    <border>
      <left style="thin">
        <color theme="9" tint="0.39991454817346722"/>
      </left>
      <right/>
      <top/>
      <bottom style="hair">
        <color auto="1"/>
      </bottom>
      <diagonal/>
    </border>
    <border>
      <left style="thin">
        <color theme="9" tint="0.39991454817346722"/>
      </left>
      <right/>
      <top style="hair">
        <color theme="9" tint="0.39991454817346722"/>
      </top>
      <bottom style="hair">
        <color theme="9" tint="0.39991454817346722"/>
      </bottom>
      <diagonal/>
    </border>
    <border>
      <left/>
      <right style="thin">
        <color auto="1"/>
      </right>
      <top style="hair">
        <color theme="9" tint="0.59996337778862885"/>
      </top>
      <bottom style="hair">
        <color theme="9" tint="0.59996337778862885"/>
      </bottom>
      <diagonal/>
    </border>
    <border>
      <left style="medium">
        <color auto="1"/>
      </left>
      <right/>
      <top style="hair">
        <color auto="1"/>
      </top>
      <bottom style="hair">
        <color auto="1"/>
      </bottom>
      <diagonal/>
    </border>
    <border>
      <left/>
      <right/>
      <top style="hair">
        <color auto="1"/>
      </top>
      <bottom style="dashed">
        <color indexed="64"/>
      </bottom>
      <diagonal/>
    </border>
    <border>
      <left style="medium">
        <color indexed="64"/>
      </left>
      <right style="hair">
        <color indexed="64"/>
      </right>
      <top style="hair">
        <color indexed="64"/>
      </top>
      <bottom style="hair">
        <color indexed="64"/>
      </bottom>
      <diagonal/>
    </border>
    <border>
      <left style="medium">
        <color indexed="64"/>
      </left>
      <right/>
      <top style="thin">
        <color indexed="64"/>
      </top>
      <bottom style="hair">
        <color indexed="64"/>
      </bottom>
      <diagonal/>
    </border>
    <border>
      <left/>
      <right style="medium">
        <color auto="1"/>
      </right>
      <top style="thin">
        <color indexed="64"/>
      </top>
      <bottom style="dashed">
        <color auto="1"/>
      </bottom>
      <diagonal/>
    </border>
    <border>
      <left style="medium">
        <color indexed="64"/>
      </left>
      <right/>
      <top style="hair">
        <color auto="1"/>
      </top>
      <bottom style="dashed">
        <color indexed="64"/>
      </bottom>
      <diagonal/>
    </border>
    <border>
      <left style="thin">
        <color indexed="64"/>
      </left>
      <right/>
      <top/>
      <bottom/>
      <diagonal/>
    </border>
    <border>
      <left style="thin">
        <color indexed="12"/>
      </left>
      <right/>
      <top style="thin">
        <color theme="9" tint="-0.24994659260841701"/>
      </top>
      <bottom style="thin">
        <color indexed="12"/>
      </bottom>
      <diagonal/>
    </border>
    <border>
      <left/>
      <right style="thin">
        <color theme="9" tint="0.39988402966399123"/>
      </right>
      <top style="thin">
        <color theme="9" tint="-0.24994659260841701"/>
      </top>
      <bottom style="thin">
        <color indexed="12"/>
      </bottom>
      <diagonal/>
    </border>
    <border>
      <left/>
      <right/>
      <top style="thin">
        <color rgb="FFBFBFBF"/>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right style="thin">
        <color rgb="FFA0A0A0"/>
      </right>
      <top/>
      <bottom/>
      <diagonal/>
    </border>
    <border>
      <left style="thin">
        <color rgb="FFA0A0A0"/>
      </left>
      <right style="thin">
        <color rgb="FFA0A0A0"/>
      </right>
      <top style="thin">
        <color rgb="FFA0A0A0"/>
      </top>
      <bottom style="thin">
        <color rgb="FFA0A0A0"/>
      </bottom>
      <diagonal/>
    </border>
    <border>
      <left style="thin">
        <color rgb="FFBFBFBF"/>
      </left>
      <right style="thin">
        <color rgb="FFBFBFBF"/>
      </right>
      <top/>
      <bottom style="thin">
        <color rgb="FFBFBFBF"/>
      </bottom>
      <diagonal/>
    </border>
    <border>
      <left style="thin">
        <color rgb="FFC0C0C0"/>
      </left>
      <right/>
      <top/>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bottom/>
      <diagonal/>
    </border>
    <border>
      <left/>
      <right style="thin">
        <color rgb="FFBFBFBF"/>
      </right>
      <top/>
      <bottom/>
      <diagonal/>
    </border>
    <border>
      <left/>
      <right/>
      <top style="thin">
        <color theme="9" tint="-0.24994659260841701"/>
      </top>
      <bottom/>
      <diagonal/>
    </border>
    <border>
      <left style="hair">
        <color theme="9" tint="-0.24994659260841701"/>
      </left>
      <right style="hair">
        <color theme="9" tint="-0.24994659260841701"/>
      </right>
      <top style="thin">
        <color theme="9" tint="-0.24994659260841701"/>
      </top>
      <bottom/>
      <diagonal/>
    </border>
    <border>
      <left style="hair">
        <color theme="9" tint="-0.24994659260841701"/>
      </left>
      <right style="hair">
        <color theme="9" tint="-0.24994659260841701"/>
      </right>
      <top/>
      <bottom style="hair">
        <color theme="9" tint="-0.24994659260841701"/>
      </bottom>
      <diagonal/>
    </border>
    <border>
      <left style="thin">
        <color indexed="12"/>
      </left>
      <right style="thin">
        <color indexed="12"/>
      </right>
      <top style="thin">
        <color indexed="12"/>
      </top>
      <bottom style="thin">
        <color indexed="12"/>
      </bottom>
      <diagonal/>
    </border>
    <border>
      <left style="thin">
        <color indexed="12"/>
      </left>
      <right/>
      <top style="thin">
        <color indexed="12"/>
      </top>
      <bottom style="thin">
        <color indexed="12"/>
      </bottom>
      <diagonal/>
    </border>
    <border>
      <left style="thin">
        <color indexed="12"/>
      </left>
      <right style="thin">
        <color indexed="12"/>
      </right>
      <top/>
      <bottom/>
      <diagonal/>
    </border>
  </borders>
  <cellStyleXfs count="83">
    <xf numFmtId="0" fontId="0" fillId="0" borderId="0"/>
    <xf numFmtId="0" fontId="7" fillId="0" borderId="0"/>
    <xf numFmtId="0" fontId="4" fillId="0" borderId="0"/>
    <xf numFmtId="0" fontId="7" fillId="0" borderId="0"/>
    <xf numFmtId="0" fontId="17" fillId="0" borderId="0"/>
    <xf numFmtId="0" fontId="20" fillId="0" borderId="0" applyNumberFormat="0" applyFill="0" applyBorder="0" applyAlignment="0" applyProtection="0"/>
    <xf numFmtId="0" fontId="4" fillId="0" borderId="0"/>
    <xf numFmtId="0" fontId="17" fillId="0" borderId="0"/>
    <xf numFmtId="0" fontId="57" fillId="0" borderId="0" applyNumberFormat="0" applyFill="0" applyBorder="0" applyAlignment="0" applyProtection="0"/>
    <xf numFmtId="0" fontId="7" fillId="0" borderId="0"/>
    <xf numFmtId="0" fontId="20" fillId="0" borderId="0" applyNumberFormat="0" applyFill="0" applyBorder="0" applyAlignment="0" applyProtection="0">
      <alignment vertical="top"/>
      <protection locked="0"/>
    </xf>
    <xf numFmtId="0" fontId="57" fillId="0" borderId="0" applyNumberFormat="0" applyFill="0" applyBorder="0" applyAlignment="0" applyProtection="0"/>
    <xf numFmtId="0" fontId="17" fillId="0" borderId="0"/>
    <xf numFmtId="0" fontId="73" fillId="0" borderId="0"/>
    <xf numFmtId="0" fontId="7" fillId="0" borderId="0"/>
    <xf numFmtId="0" fontId="141" fillId="0" borderId="0"/>
    <xf numFmtId="0" fontId="7" fillId="0" borderId="0"/>
    <xf numFmtId="0" fontId="160" fillId="0" borderId="0"/>
    <xf numFmtId="9" fontId="161" fillId="0" borderId="0" applyFont="0" applyFill="0" applyBorder="0" applyAlignment="0" applyProtection="0"/>
    <xf numFmtId="0" fontId="209" fillId="0" borderId="0"/>
    <xf numFmtId="9" fontId="160" fillId="0" borderId="0" applyFont="0" applyFill="0" applyBorder="0" applyAlignment="0" applyProtection="0"/>
    <xf numFmtId="0" fontId="73" fillId="0" borderId="0"/>
    <xf numFmtId="0" fontId="324" fillId="0" borderId="0" applyNumberFormat="0" applyFill="0" applyBorder="0" applyAlignment="0" applyProtection="0"/>
    <xf numFmtId="164" fontId="4" fillId="0" borderId="0" applyFont="0" applyFill="0" applyBorder="0" applyAlignment="0" applyProtection="0"/>
    <xf numFmtId="0" fontId="20" fillId="0" borderId="0" applyNumberFormat="0" applyFill="0" applyBorder="0" applyAlignment="0" applyProtection="0">
      <alignment vertical="top"/>
      <protection locked="0"/>
    </xf>
    <xf numFmtId="0" fontId="7" fillId="0" borderId="0"/>
    <xf numFmtId="0" fontId="427" fillId="0" borderId="0"/>
    <xf numFmtId="0" fontId="20" fillId="0" borderId="0" applyNumberFormat="0" applyFill="0" applyBorder="0" applyAlignment="0" applyProtection="0">
      <alignment vertical="top"/>
      <protection locked="0"/>
    </xf>
    <xf numFmtId="0" fontId="57" fillId="0" borderId="0" applyNumberFormat="0" applyFill="0" applyBorder="0" applyAlignment="0" applyProtection="0"/>
    <xf numFmtId="0" fontId="3" fillId="0" borderId="0"/>
    <xf numFmtId="0" fontId="7" fillId="0" borderId="0"/>
    <xf numFmtId="0" fontId="209" fillId="0" borderId="0"/>
    <xf numFmtId="0" fontId="7" fillId="0" borderId="0"/>
    <xf numFmtId="0" fontId="7" fillId="0" borderId="0"/>
    <xf numFmtId="0" fontId="20" fillId="0" borderId="0" applyNumberFormat="0" applyFill="0" applyBorder="0" applyAlignment="0" applyProtection="0">
      <alignment vertical="top"/>
      <protection locked="0"/>
    </xf>
    <xf numFmtId="0" fontId="4" fillId="0" borderId="0"/>
    <xf numFmtId="0" fontId="7" fillId="0" borderId="0"/>
    <xf numFmtId="0" fontId="7" fillId="0" borderId="0"/>
    <xf numFmtId="0" fontId="20" fillId="0" borderId="0" applyNumberFormat="0" applyFill="0" applyBorder="0" applyAlignment="0" applyProtection="0">
      <alignment vertical="top"/>
      <protection locked="0"/>
    </xf>
    <xf numFmtId="0" fontId="4" fillId="0" borderId="0"/>
    <xf numFmtId="0" fontId="324" fillId="0" borderId="0" applyNumberFormat="0" applyFill="0" applyBorder="0" applyAlignment="0" applyProtection="0"/>
    <xf numFmtId="0" fontId="7" fillId="0" borderId="0"/>
    <xf numFmtId="0" fontId="20" fillId="0" borderId="0" applyNumberFormat="0" applyFill="0" applyBorder="0" applyAlignment="0" applyProtection="0">
      <alignment vertical="top"/>
      <protection locked="0"/>
    </xf>
    <xf numFmtId="0" fontId="20" fillId="0" borderId="0" applyNumberFormat="0" applyFill="0" applyBorder="0" applyAlignment="0" applyProtection="0"/>
    <xf numFmtId="0" fontId="324" fillId="0" borderId="0" applyNumberFormat="0" applyFill="0" applyBorder="0" applyAlignment="0" applyProtection="0"/>
    <xf numFmtId="0" fontId="209" fillId="0" borderId="0"/>
    <xf numFmtId="0" fontId="20" fillId="0" borderId="0" applyNumberFormat="0" applyFill="0" applyBorder="0" applyAlignment="0" applyProtection="0"/>
    <xf numFmtId="0" fontId="4" fillId="0" borderId="0"/>
    <xf numFmtId="0" fontId="7" fillId="0" borderId="0"/>
    <xf numFmtId="0" fontId="4" fillId="0" borderId="0"/>
    <xf numFmtId="0" fontId="4" fillId="0" borderId="0"/>
    <xf numFmtId="0" fontId="4" fillId="0" borderId="0"/>
    <xf numFmtId="0" fontId="17" fillId="0" borderId="0"/>
    <xf numFmtId="0" fontId="4" fillId="0" borderId="0"/>
    <xf numFmtId="0" fontId="7" fillId="0" borderId="0"/>
    <xf numFmtId="0" fontId="673" fillId="0" borderId="0"/>
    <xf numFmtId="0" fontId="673" fillId="0" borderId="0"/>
    <xf numFmtId="0" fontId="7" fillId="0" borderId="0"/>
    <xf numFmtId="0" fontId="4" fillId="0" borderId="0"/>
    <xf numFmtId="0" fontId="4" fillId="0" borderId="0"/>
    <xf numFmtId="0" fontId="1" fillId="0" borderId="0"/>
    <xf numFmtId="0" fontId="7" fillId="0" borderId="0"/>
    <xf numFmtId="0" fontId="720" fillId="0" borderId="0"/>
    <xf numFmtId="0" fontId="7" fillId="0" borderId="0"/>
    <xf numFmtId="0" fontId="677" fillId="0" borderId="0" applyNumberFormat="0" applyFill="0" applyBorder="0" applyAlignment="0" applyProtection="0"/>
    <xf numFmtId="0" fontId="209" fillId="0" borderId="0"/>
    <xf numFmtId="0" fontId="57" fillId="0" borderId="0" applyNumberFormat="0" applyFill="0" applyBorder="0" applyAlignment="0" applyProtection="0"/>
    <xf numFmtId="0" fontId="73" fillId="0" borderId="0"/>
    <xf numFmtId="0" fontId="677" fillId="0" borderId="0" applyNumberFormat="0" applyFill="0" applyBorder="0" applyAlignment="0" applyProtection="0"/>
    <xf numFmtId="0" fontId="4" fillId="0" borderId="0"/>
    <xf numFmtId="0" fontId="1" fillId="0" borderId="0"/>
    <xf numFmtId="0" fontId="4" fillId="0" borderId="0"/>
    <xf numFmtId="0" fontId="4" fillId="0" borderId="0"/>
    <xf numFmtId="0" fontId="4" fillId="0" borderId="0"/>
    <xf numFmtId="0" fontId="1" fillId="0" borderId="0"/>
    <xf numFmtId="0" fontId="7" fillId="0" borderId="0"/>
    <xf numFmtId="0" fontId="7" fillId="0" borderId="0"/>
    <xf numFmtId="0" fontId="673" fillId="0" borderId="0"/>
    <xf numFmtId="0" fontId="673" fillId="0" borderId="0"/>
    <xf numFmtId="0" fontId="673" fillId="0" borderId="0"/>
    <xf numFmtId="0" fontId="878" fillId="0" borderId="0"/>
    <xf numFmtId="0" fontId="4" fillId="0" borderId="0"/>
    <xf numFmtId="0" fontId="4" fillId="0" borderId="0"/>
  </cellStyleXfs>
  <cellXfs count="10280">
    <xf numFmtId="0" fontId="0" fillId="0" borderId="0" xfId="0"/>
    <xf numFmtId="0" fontId="0" fillId="3" borderId="0" xfId="0" applyFill="1"/>
    <xf numFmtId="0" fontId="0" fillId="3" borderId="4" xfId="0" applyFill="1" applyBorder="1"/>
    <xf numFmtId="0" fontId="24" fillId="3" borderId="0" xfId="1" applyFont="1" applyFill="1" applyAlignment="1" applyProtection="1">
      <alignment horizontal="left" vertical="center"/>
      <protection hidden="1"/>
    </xf>
    <xf numFmtId="49" fontId="4" fillId="3" borderId="10" xfId="2" applyNumberFormat="1" applyFill="1" applyBorder="1" applyAlignment="1">
      <alignment horizontal="center" vertical="center"/>
    </xf>
    <xf numFmtId="49" fontId="4" fillId="3" borderId="11" xfId="2" applyNumberFormat="1" applyFill="1" applyBorder="1" applyAlignment="1">
      <alignment horizontal="center" vertical="center"/>
    </xf>
    <xf numFmtId="49" fontId="15" fillId="3" borderId="12" xfId="2" applyNumberFormat="1" applyFont="1" applyFill="1" applyBorder="1" applyAlignment="1">
      <alignment horizontal="right" vertical="center"/>
    </xf>
    <xf numFmtId="0" fontId="34" fillId="8" borderId="0" xfId="0" applyFont="1" applyFill="1" applyAlignment="1" applyProtection="1">
      <alignment horizontal="right" vertical="center"/>
      <protection locked="0"/>
    </xf>
    <xf numFmtId="0" fontId="40" fillId="8" borderId="2" xfId="0" applyFont="1" applyFill="1" applyBorder="1" applyAlignment="1" applyProtection="1">
      <alignment horizontal="right" vertical="center"/>
      <protection locked="0"/>
    </xf>
    <xf numFmtId="0" fontId="41" fillId="3" borderId="0" xfId="0" applyFont="1" applyFill="1" applyAlignment="1" applyProtection="1">
      <alignment horizontal="right" vertical="center"/>
      <protection locked="0"/>
    </xf>
    <xf numFmtId="0" fontId="42" fillId="3" borderId="0" xfId="0" applyFont="1" applyFill="1" applyAlignment="1" applyProtection="1">
      <alignment horizontal="right" vertical="center"/>
      <protection locked="0"/>
    </xf>
    <xf numFmtId="173" fontId="12" fillId="2" borderId="0" xfId="2" applyNumberFormat="1" applyFont="1" applyFill="1" applyAlignment="1">
      <alignment horizontal="left" vertical="center"/>
    </xf>
    <xf numFmtId="0" fontId="0" fillId="3" borderId="0" xfId="0" applyFill="1" applyAlignment="1">
      <alignment vertical="center"/>
    </xf>
    <xf numFmtId="0" fontId="4" fillId="0" borderId="0" xfId="2" applyAlignment="1">
      <alignment horizontal="center" vertical="center"/>
    </xf>
    <xf numFmtId="0" fontId="7" fillId="3" borderId="0" xfId="1" applyFill="1" applyProtection="1">
      <protection hidden="1"/>
    </xf>
    <xf numFmtId="0" fontId="4" fillId="3" borderId="0" xfId="2" applyFill="1"/>
    <xf numFmtId="0" fontId="13" fillId="3" borderId="0" xfId="1" applyFont="1" applyFill="1" applyAlignment="1" applyProtection="1">
      <alignment horizontal="left"/>
      <protection hidden="1"/>
    </xf>
    <xf numFmtId="0" fontId="8" fillId="3" borderId="0" xfId="1" applyFont="1" applyFill="1" applyAlignment="1" applyProtection="1">
      <alignment horizontal="left"/>
      <protection hidden="1"/>
    </xf>
    <xf numFmtId="0" fontId="59" fillId="3" borderId="0" xfId="1" applyFont="1" applyFill="1" applyProtection="1">
      <protection hidden="1"/>
    </xf>
    <xf numFmtId="0" fontId="8" fillId="3" borderId="0" xfId="1" applyFont="1" applyFill="1" applyProtection="1">
      <protection hidden="1"/>
    </xf>
    <xf numFmtId="0" fontId="6" fillId="3" borderId="0" xfId="2" applyFont="1" applyFill="1"/>
    <xf numFmtId="0" fontId="60" fillId="3" borderId="0" xfId="0" applyFont="1" applyFill="1"/>
    <xf numFmtId="0" fontId="61" fillId="3" borderId="0" xfId="1" applyFont="1" applyFill="1" applyProtection="1">
      <protection hidden="1"/>
    </xf>
    <xf numFmtId="0" fontId="63" fillId="3" borderId="0" xfId="2" applyFont="1" applyFill="1" applyAlignment="1">
      <alignment horizontal="left" vertical="center"/>
    </xf>
    <xf numFmtId="0" fontId="0" fillId="3" borderId="0" xfId="2" applyFont="1" applyFill="1"/>
    <xf numFmtId="0" fontId="24" fillId="3" borderId="0" xfId="1" applyFont="1" applyFill="1" applyAlignment="1" applyProtection="1">
      <alignment vertical="center"/>
      <protection hidden="1"/>
    </xf>
    <xf numFmtId="0" fontId="64" fillId="3" borderId="0" xfId="0" applyFont="1" applyFill="1"/>
    <xf numFmtId="0" fontId="61" fillId="3" borderId="0" xfId="1" applyFont="1" applyFill="1" applyAlignment="1" applyProtection="1">
      <alignment vertical="center"/>
      <protection hidden="1"/>
    </xf>
    <xf numFmtId="0" fontId="7" fillId="3" borderId="0" xfId="1" applyFill="1" applyAlignment="1" applyProtection="1">
      <alignment vertical="center"/>
      <protection hidden="1"/>
    </xf>
    <xf numFmtId="0" fontId="63" fillId="8" borderId="0" xfId="2" applyFont="1" applyFill="1" applyAlignment="1">
      <alignment horizontal="left" vertical="center"/>
    </xf>
    <xf numFmtId="0" fontId="8" fillId="3" borderId="0" xfId="1" applyFont="1" applyFill="1" applyAlignment="1" applyProtection="1">
      <alignment vertical="center"/>
      <protection hidden="1"/>
    </xf>
    <xf numFmtId="2" fontId="48" fillId="3" borderId="0" xfId="2" applyNumberFormat="1" applyFont="1" applyFill="1" applyAlignment="1">
      <alignment horizontal="center" vertical="center"/>
    </xf>
    <xf numFmtId="0" fontId="4" fillId="0" borderId="0" xfId="2"/>
    <xf numFmtId="0" fontId="68" fillId="3" borderId="0" xfId="11" applyFont="1" applyFill="1" applyAlignment="1" applyProtection="1">
      <alignment vertical="center"/>
      <protection hidden="1"/>
    </xf>
    <xf numFmtId="0" fontId="7" fillId="3" borderId="0" xfId="1" applyFill="1"/>
    <xf numFmtId="0" fontId="70" fillId="3" borderId="0" xfId="1" applyFont="1" applyFill="1" applyAlignment="1">
      <alignment horizontal="centerContinuous" vertical="center"/>
    </xf>
    <xf numFmtId="0" fontId="7" fillId="1" borderId="0" xfId="1" applyFill="1" applyAlignment="1">
      <alignment vertical="center"/>
    </xf>
    <xf numFmtId="0" fontId="7" fillId="1" borderId="4" xfId="1" applyFill="1" applyBorder="1" applyAlignment="1">
      <alignment vertical="center"/>
    </xf>
    <xf numFmtId="0" fontId="7" fillId="3" borderId="0" xfId="1" applyFill="1" applyAlignment="1">
      <alignment horizontal="centerContinuous" vertical="center"/>
    </xf>
    <xf numFmtId="0" fontId="7" fillId="3" borderId="4" xfId="1" applyFill="1" applyBorder="1" applyAlignment="1">
      <alignment horizontal="center" vertical="center"/>
    </xf>
    <xf numFmtId="0" fontId="7" fillId="3" borderId="1" xfId="1" applyFill="1" applyBorder="1" applyAlignment="1">
      <alignment horizontal="centerContinuous" vertical="center"/>
    </xf>
    <xf numFmtId="0" fontId="7" fillId="9" borderId="7" xfId="2" applyFont="1" applyFill="1" applyBorder="1" applyAlignment="1">
      <alignment horizontal="centerContinuous" vertical="center" wrapText="1"/>
    </xf>
    <xf numFmtId="0" fontId="7" fillId="9" borderId="6" xfId="2" applyFont="1" applyFill="1" applyBorder="1" applyAlignment="1">
      <alignment horizontal="centerContinuous" vertical="center" wrapText="1"/>
    </xf>
    <xf numFmtId="0" fontId="13" fillId="9" borderId="7" xfId="2" applyFont="1" applyFill="1" applyBorder="1" applyAlignment="1">
      <alignment horizontal="centerContinuous" vertical="center"/>
    </xf>
    <xf numFmtId="0" fontId="4" fillId="9" borderId="7" xfId="2" applyFill="1" applyBorder="1" applyAlignment="1">
      <alignment horizontal="centerContinuous" vertical="center"/>
    </xf>
    <xf numFmtId="0" fontId="4" fillId="9" borderId="6" xfId="2" applyFill="1" applyBorder="1" applyAlignment="1">
      <alignment horizontal="centerContinuous" vertical="center"/>
    </xf>
    <xf numFmtId="171" fontId="7" fillId="0" borderId="5" xfId="2" applyNumberFormat="1" applyFont="1" applyBorder="1" applyAlignment="1" applyProtection="1">
      <alignment horizontal="center" vertical="center" wrapText="1"/>
      <protection locked="0"/>
    </xf>
    <xf numFmtId="171" fontId="7" fillId="0" borderId="0" xfId="2" applyNumberFormat="1" applyFont="1" applyAlignment="1" applyProtection="1">
      <alignment horizontal="center" vertical="center" wrapText="1"/>
      <protection locked="0"/>
    </xf>
    <xf numFmtId="171" fontId="7" fillId="0" borderId="4" xfId="2" applyNumberFormat="1" applyFont="1" applyBorder="1" applyAlignment="1" applyProtection="1">
      <alignment horizontal="center" vertical="center" wrapText="1"/>
      <protection locked="0"/>
    </xf>
    <xf numFmtId="174" fontId="7" fillId="0" borderId="5" xfId="4" applyNumberFormat="1" applyFont="1" applyBorder="1" applyAlignment="1">
      <alignment horizontal="center" vertical="center"/>
    </xf>
    <xf numFmtId="174" fontId="7" fillId="0" borderId="0" xfId="4" applyNumberFormat="1" applyFont="1" applyAlignment="1">
      <alignment horizontal="center" vertical="center"/>
    </xf>
    <xf numFmtId="174" fontId="7" fillId="0" borderId="4" xfId="4" applyNumberFormat="1" applyFont="1" applyBorder="1" applyAlignment="1">
      <alignment horizontal="center" vertical="center"/>
    </xf>
    <xf numFmtId="0" fontId="7" fillId="3" borderId="2" xfId="1" applyFill="1" applyBorder="1" applyProtection="1">
      <protection hidden="1"/>
    </xf>
    <xf numFmtId="0" fontId="27" fillId="3" borderId="0" xfId="4" applyFont="1" applyFill="1" applyAlignment="1" applyProtection="1">
      <alignment horizontal="center" vertical="center"/>
      <protection locked="0"/>
    </xf>
    <xf numFmtId="0" fontId="83" fillId="3" borderId="0" xfId="2" applyFont="1" applyFill="1" applyAlignment="1">
      <alignment horizontal="left" vertical="center"/>
    </xf>
    <xf numFmtId="0" fontId="38" fillId="3" borderId="0" xfId="2" applyFont="1" applyFill="1" applyAlignment="1">
      <alignment horizontal="right" vertical="center"/>
    </xf>
    <xf numFmtId="0" fontId="13" fillId="3" borderId="0" xfId="2" applyFont="1" applyFill="1" applyAlignment="1">
      <alignment horizontal="center" vertical="center"/>
    </xf>
    <xf numFmtId="2" fontId="36" fillId="3" borderId="0" xfId="2" applyNumberFormat="1" applyFont="1" applyFill="1" applyAlignment="1">
      <alignment horizontal="left" vertical="center"/>
    </xf>
    <xf numFmtId="0" fontId="4" fillId="0" borderId="36" xfId="2" applyBorder="1"/>
    <xf numFmtId="0" fontId="39" fillId="3" borderId="0" xfId="2" applyFont="1" applyFill="1" applyAlignment="1">
      <alignment horizontal="right" vertical="center"/>
    </xf>
    <xf numFmtId="0" fontId="85" fillId="3" borderId="0" xfId="2" applyFont="1" applyFill="1" applyAlignment="1">
      <alignment horizontal="center" vertical="center"/>
    </xf>
    <xf numFmtId="175" fontId="39" fillId="15" borderId="37" xfId="2" applyNumberFormat="1" applyFont="1" applyFill="1" applyBorder="1" applyAlignment="1" applyProtection="1">
      <alignment horizontal="center" vertical="center"/>
      <protection locked="0"/>
    </xf>
    <xf numFmtId="0" fontId="86" fillId="3" borderId="0" xfId="1" applyFont="1" applyFill="1" applyAlignment="1">
      <alignment horizontal="left" vertical="center"/>
    </xf>
    <xf numFmtId="0" fontId="13" fillId="3" borderId="0" xfId="4" applyFont="1" applyFill="1" applyAlignment="1">
      <alignment horizontal="right" vertical="center"/>
    </xf>
    <xf numFmtId="0" fontId="13" fillId="3" borderId="0" xfId="4" applyFont="1" applyFill="1" applyAlignment="1">
      <alignment horizontal="center" vertical="center"/>
    </xf>
    <xf numFmtId="0" fontId="36" fillId="3" borderId="0" xfId="2" applyFont="1" applyFill="1" applyAlignment="1">
      <alignment horizontal="right" vertical="center"/>
    </xf>
    <xf numFmtId="168" fontId="36" fillId="3" borderId="38" xfId="4" applyNumberFormat="1" applyFont="1" applyFill="1" applyBorder="1" applyAlignment="1">
      <alignment horizontal="center" vertical="center"/>
    </xf>
    <xf numFmtId="176" fontId="36" fillId="3" borderId="0" xfId="4" applyNumberFormat="1" applyFont="1" applyFill="1" applyAlignment="1">
      <alignment horizontal="centerContinuous" vertical="center"/>
    </xf>
    <xf numFmtId="0" fontId="36" fillId="3" borderId="0" xfId="2" applyFont="1" applyFill="1" applyAlignment="1">
      <alignment horizontal="left" vertical="center"/>
    </xf>
    <xf numFmtId="0" fontId="13" fillId="3" borderId="0" xfId="2" applyFont="1" applyFill="1" applyAlignment="1">
      <alignment horizontal="right" vertical="center"/>
    </xf>
    <xf numFmtId="168" fontId="13" fillId="3" borderId="38" xfId="4" applyNumberFormat="1" applyFont="1" applyFill="1" applyBorder="1" applyAlignment="1">
      <alignment horizontal="center" vertical="center"/>
    </xf>
    <xf numFmtId="176" fontId="43" fillId="3" borderId="0" xfId="4" applyNumberFormat="1" applyFont="1" applyFill="1" applyAlignment="1">
      <alignment horizontal="centerContinuous" vertical="center"/>
    </xf>
    <xf numFmtId="176" fontId="13" fillId="3" borderId="0" xfId="4" applyNumberFormat="1" applyFont="1" applyFill="1" applyAlignment="1">
      <alignment horizontal="centerContinuous" vertical="center"/>
    </xf>
    <xf numFmtId="0" fontId="13" fillId="3" borderId="0" xfId="2" applyFont="1" applyFill="1" applyAlignment="1">
      <alignment horizontal="left" vertical="center"/>
    </xf>
    <xf numFmtId="176" fontId="87" fillId="3" borderId="0" xfId="4" applyNumberFormat="1" applyFont="1" applyFill="1" applyAlignment="1">
      <alignment horizontal="centerContinuous" vertical="center"/>
    </xf>
    <xf numFmtId="0" fontId="87" fillId="3" borderId="0" xfId="2" applyFont="1" applyFill="1" applyAlignment="1">
      <alignment horizontal="left" vertical="center"/>
    </xf>
    <xf numFmtId="0" fontId="88" fillId="3" borderId="0" xfId="2" applyFont="1" applyFill="1" applyAlignment="1">
      <alignment horizontal="left" vertical="center"/>
    </xf>
    <xf numFmtId="169" fontId="87" fillId="3" borderId="0" xfId="4" applyNumberFormat="1" applyFont="1" applyFill="1" applyAlignment="1">
      <alignment horizontal="centerContinuous" vertical="center"/>
    </xf>
    <xf numFmtId="0" fontId="86" fillId="3" borderId="0" xfId="1" applyFont="1" applyFill="1" applyAlignment="1">
      <alignment horizontal="center" vertical="center"/>
    </xf>
    <xf numFmtId="0" fontId="89" fillId="3" borderId="0" xfId="2" applyFont="1" applyFill="1" applyAlignment="1">
      <alignment horizontal="left" vertical="center"/>
    </xf>
    <xf numFmtId="0" fontId="90" fillId="3" borderId="0" xfId="2" applyFont="1" applyFill="1" applyAlignment="1">
      <alignment horizontal="left" vertical="center"/>
    </xf>
    <xf numFmtId="0" fontId="7" fillId="3" borderId="3" xfId="1" applyFill="1" applyBorder="1" applyProtection="1">
      <protection hidden="1"/>
    </xf>
    <xf numFmtId="0" fontId="91" fillId="26" borderId="0" xfId="1" applyFont="1" applyFill="1" applyAlignment="1" applyProtection="1">
      <alignment horizontal="center" vertical="center" wrapText="1"/>
      <protection hidden="1"/>
    </xf>
    <xf numFmtId="171" fontId="76" fillId="25" borderId="0" xfId="2" applyNumberFormat="1" applyFont="1" applyFill="1" applyAlignment="1" applyProtection="1">
      <alignment horizontal="center" vertical="center"/>
      <protection locked="0"/>
    </xf>
    <xf numFmtId="171" fontId="92" fillId="3" borderId="0" xfId="2" applyNumberFormat="1" applyFont="1" applyFill="1" applyAlignment="1">
      <alignment vertical="center"/>
    </xf>
    <xf numFmtId="171" fontId="47" fillId="0" borderId="0" xfId="2" applyNumberFormat="1" applyFont="1" applyAlignment="1" applyProtection="1">
      <alignment horizontal="center" vertical="center" wrapText="1"/>
      <protection locked="0"/>
    </xf>
    <xf numFmtId="172" fontId="93" fillId="15" borderId="0" xfId="2" applyNumberFormat="1" applyFont="1" applyFill="1" applyAlignment="1" applyProtection="1">
      <alignment horizontal="center" vertical="center"/>
      <protection locked="0"/>
    </xf>
    <xf numFmtId="172" fontId="77" fillId="15" borderId="0" xfId="2" applyNumberFormat="1" applyFont="1" applyFill="1" applyAlignment="1" applyProtection="1">
      <alignment horizontal="center" vertical="center"/>
      <protection locked="0"/>
    </xf>
    <xf numFmtId="172" fontId="94" fillId="3" borderId="0" xfId="2" applyNumberFormat="1" applyFont="1" applyFill="1" applyAlignment="1" applyProtection="1">
      <alignment horizontal="center" vertical="center"/>
      <protection locked="0"/>
    </xf>
    <xf numFmtId="0" fontId="73" fillId="3" borderId="0" xfId="2" applyFont="1" applyFill="1" applyAlignment="1">
      <alignment vertical="center"/>
    </xf>
    <xf numFmtId="0" fontId="4" fillId="3" borderId="0" xfId="2" applyFill="1" applyAlignment="1">
      <alignment vertical="center"/>
    </xf>
    <xf numFmtId="0" fontId="4" fillId="3" borderId="3" xfId="2" applyFill="1" applyBorder="1"/>
    <xf numFmtId="9" fontId="4" fillId="3" borderId="3" xfId="2" applyNumberFormat="1" applyFill="1" applyBorder="1" applyAlignment="1">
      <alignment vertical="center"/>
    </xf>
    <xf numFmtId="0" fontId="4" fillId="3" borderId="3" xfId="2" applyFill="1" applyBorder="1" applyAlignment="1">
      <alignment vertical="center"/>
    </xf>
    <xf numFmtId="0" fontId="4" fillId="0" borderId="5" xfId="2" applyBorder="1"/>
    <xf numFmtId="0" fontId="70" fillId="3" borderId="0" xfId="14" applyFont="1" applyFill="1" applyAlignment="1">
      <alignment horizontal="right" vertical="center"/>
    </xf>
    <xf numFmtId="177" fontId="70" fillId="3" borderId="0" xfId="14" applyNumberFormat="1" applyFont="1" applyFill="1" applyAlignment="1">
      <alignment horizontal="centerContinuous" vertical="center"/>
    </xf>
    <xf numFmtId="177" fontId="97" fillId="3" borderId="0" xfId="14" applyNumberFormat="1" applyFont="1" applyFill="1" applyAlignment="1">
      <alignment horizontal="centerContinuous" vertical="center"/>
    </xf>
    <xf numFmtId="0" fontId="17" fillId="3" borderId="0" xfId="12" applyFill="1" applyAlignment="1">
      <alignment horizontal="centerContinuous" vertical="center"/>
    </xf>
    <xf numFmtId="178" fontId="70" fillId="3" borderId="0" xfId="14" applyNumberFormat="1" applyFont="1" applyFill="1" applyAlignment="1">
      <alignment horizontal="center" vertical="center"/>
    </xf>
    <xf numFmtId="0" fontId="96" fillId="3" borderId="4" xfId="12" applyFont="1" applyFill="1" applyBorder="1" applyAlignment="1">
      <alignment horizontal="center" vertical="center"/>
    </xf>
    <xf numFmtId="174" fontId="98" fillId="3" borderId="0" xfId="4" applyNumberFormat="1" applyFont="1" applyFill="1" applyAlignment="1">
      <alignment vertical="center"/>
    </xf>
    <xf numFmtId="174" fontId="13" fillId="3" borderId="0" xfId="4" applyNumberFormat="1" applyFont="1" applyFill="1" applyAlignment="1">
      <alignment vertical="center"/>
    </xf>
    <xf numFmtId="174" fontId="13" fillId="3" borderId="4" xfId="4" applyNumberFormat="1" applyFont="1" applyFill="1" applyBorder="1" applyAlignment="1">
      <alignment vertical="center"/>
    </xf>
    <xf numFmtId="174" fontId="70" fillId="3" borderId="0" xfId="4" applyNumberFormat="1" applyFont="1" applyFill="1" applyAlignment="1">
      <alignment vertical="center" wrapText="1"/>
    </xf>
    <xf numFmtId="2" fontId="70" fillId="3" borderId="0" xfId="4" applyNumberFormat="1" applyFont="1" applyFill="1" applyAlignment="1">
      <alignment horizontal="center" vertical="center"/>
    </xf>
    <xf numFmtId="171" fontId="70" fillId="3" borderId="0" xfId="4" applyNumberFormat="1" applyFont="1" applyFill="1" applyAlignment="1">
      <alignment horizontal="center" vertical="center"/>
    </xf>
    <xf numFmtId="175" fontId="70" fillId="3" borderId="4" xfId="12" applyNumberFormat="1" applyFont="1" applyFill="1" applyBorder="1" applyAlignment="1" applyProtection="1">
      <alignment horizontal="center" vertical="center"/>
      <protection locked="0"/>
    </xf>
    <xf numFmtId="0" fontId="13" fillId="3" borderId="0" xfId="12" applyFont="1" applyFill="1" applyAlignment="1">
      <alignment horizontal="center" vertical="center"/>
    </xf>
    <xf numFmtId="0" fontId="76" fillId="15" borderId="39" xfId="4" applyFont="1" applyFill="1" applyBorder="1" applyAlignment="1">
      <alignment horizontal="center" vertical="center"/>
    </xf>
    <xf numFmtId="0" fontId="76" fillId="15" borderId="40" xfId="4" applyFont="1" applyFill="1" applyBorder="1" applyAlignment="1">
      <alignment horizontal="center" vertical="center"/>
    </xf>
    <xf numFmtId="0" fontId="35" fillId="3" borderId="5" xfId="2" applyFont="1" applyFill="1" applyBorder="1" applyAlignment="1">
      <alignment horizontal="center" vertical="center"/>
    </xf>
    <xf numFmtId="0" fontId="76" fillId="3" borderId="0" xfId="4" applyFont="1" applyFill="1" applyAlignment="1">
      <alignment horizontal="center" vertical="center"/>
    </xf>
    <xf numFmtId="0" fontId="76" fillId="3" borderId="4" xfId="4" applyFont="1" applyFill="1" applyBorder="1" applyAlignment="1">
      <alignment horizontal="center" vertical="center"/>
    </xf>
    <xf numFmtId="0" fontId="4" fillId="3" borderId="4" xfId="2" applyFill="1" applyBorder="1"/>
    <xf numFmtId="0" fontId="8" fillId="3" borderId="0" xfId="2" applyFont="1" applyFill="1" applyAlignment="1">
      <alignment horizontal="center" vertical="center"/>
    </xf>
    <xf numFmtId="1" fontId="85" fillId="15" borderId="0" xfId="4" applyNumberFormat="1" applyFont="1" applyFill="1" applyAlignment="1">
      <alignment horizontal="center" vertical="center"/>
    </xf>
    <xf numFmtId="1" fontId="85" fillId="15" borderId="4" xfId="4" applyNumberFormat="1" applyFont="1" applyFill="1" applyBorder="1" applyAlignment="1">
      <alignment horizontal="center" vertical="center"/>
    </xf>
    <xf numFmtId="170" fontId="85" fillId="15" borderId="0" xfId="4" applyNumberFormat="1" applyFont="1" applyFill="1" applyAlignment="1">
      <alignment horizontal="center" vertical="center"/>
    </xf>
    <xf numFmtId="0" fontId="70" fillId="3" borderId="0" xfId="2" applyFont="1" applyFill="1" applyAlignment="1">
      <alignment horizontal="right" vertical="center"/>
    </xf>
    <xf numFmtId="170" fontId="8" fillId="3" borderId="0" xfId="4" applyNumberFormat="1" applyFont="1" applyFill="1" applyAlignment="1">
      <alignment horizontal="center" vertical="center"/>
    </xf>
    <xf numFmtId="170" fontId="8" fillId="3" borderId="4" xfId="4" applyNumberFormat="1" applyFont="1" applyFill="1" applyBorder="1" applyAlignment="1">
      <alignment horizontal="center" vertical="center"/>
    </xf>
    <xf numFmtId="171" fontId="92" fillId="3" borderId="5" xfId="2" applyNumberFormat="1" applyFont="1" applyFill="1" applyBorder="1" applyAlignment="1">
      <alignment vertical="center"/>
    </xf>
    <xf numFmtId="170" fontId="85" fillId="3" borderId="0" xfId="4" applyNumberFormat="1" applyFont="1" applyFill="1" applyAlignment="1">
      <alignment horizontal="center" vertical="center"/>
    </xf>
    <xf numFmtId="170" fontId="85" fillId="3" borderId="4" xfId="4" applyNumberFormat="1" applyFont="1" applyFill="1" applyBorder="1" applyAlignment="1">
      <alignment horizontal="center" vertical="center"/>
    </xf>
    <xf numFmtId="179" fontId="8" fillId="3" borderId="0" xfId="4" applyNumberFormat="1" applyFont="1" applyFill="1" applyAlignment="1">
      <alignment horizontal="center" vertical="center"/>
    </xf>
    <xf numFmtId="171" fontId="85" fillId="15" borderId="0" xfId="4" applyNumberFormat="1" applyFont="1" applyFill="1" applyAlignment="1">
      <alignment horizontal="center" vertical="center"/>
    </xf>
    <xf numFmtId="171" fontId="85" fillId="15" borderId="4" xfId="4" applyNumberFormat="1" applyFont="1" applyFill="1" applyBorder="1" applyAlignment="1">
      <alignment horizontal="center" vertical="center"/>
    </xf>
    <xf numFmtId="0" fontId="100" fillId="3" borderId="0" xfId="2" applyFont="1" applyFill="1" applyAlignment="1">
      <alignment horizontal="right" vertical="center"/>
    </xf>
    <xf numFmtId="0" fontId="101" fillId="3" borderId="0" xfId="2" applyFont="1" applyFill="1"/>
    <xf numFmtId="0" fontId="102" fillId="3" borderId="0" xfId="1" applyFont="1" applyFill="1" applyProtection="1">
      <protection hidden="1"/>
    </xf>
    <xf numFmtId="171" fontId="92" fillId="3" borderId="1" xfId="2" applyNumberFormat="1" applyFont="1" applyFill="1" applyBorder="1" applyAlignment="1">
      <alignment vertical="center"/>
    </xf>
    <xf numFmtId="0" fontId="4" fillId="3" borderId="1" xfId="2" applyFill="1" applyBorder="1"/>
    <xf numFmtId="0" fontId="7" fillId="3" borderId="1" xfId="1" applyFill="1" applyBorder="1" applyProtection="1">
      <protection hidden="1"/>
    </xf>
    <xf numFmtId="0" fontId="70" fillId="3" borderId="1" xfId="2" applyFont="1" applyFill="1" applyBorder="1" applyAlignment="1">
      <alignment horizontal="center" vertical="center"/>
    </xf>
    <xf numFmtId="171" fontId="73" fillId="3" borderId="1" xfId="2" applyNumberFormat="1" applyFont="1" applyFill="1" applyBorder="1" applyAlignment="1" applyProtection="1">
      <alignment horizontal="center" vertical="center" wrapText="1"/>
      <protection locked="0"/>
    </xf>
    <xf numFmtId="0" fontId="36" fillId="11" borderId="5" xfId="2" applyFont="1" applyFill="1" applyBorder="1" applyAlignment="1">
      <alignment horizontal="centerContinuous" vertical="center"/>
    </xf>
    <xf numFmtId="0" fontId="4" fillId="11" borderId="0" xfId="2" applyFill="1" applyAlignment="1">
      <alignment horizontal="centerContinuous" vertical="center"/>
    </xf>
    <xf numFmtId="0" fontId="4" fillId="11" borderId="0" xfId="2" applyFill="1" applyAlignment="1">
      <alignment vertical="center"/>
    </xf>
    <xf numFmtId="0" fontId="4" fillId="11" borderId="4" xfId="2" applyFill="1" applyBorder="1" applyAlignment="1">
      <alignment vertical="center"/>
    </xf>
    <xf numFmtId="174" fontId="103" fillId="3" borderId="5" xfId="4" applyNumberFormat="1" applyFont="1" applyFill="1" applyBorder="1" applyAlignment="1">
      <alignment horizontal="center" vertical="center" wrapText="1"/>
    </xf>
    <xf numFmtId="174" fontId="103" fillId="3" borderId="0" xfId="4" applyNumberFormat="1" applyFont="1" applyFill="1" applyAlignment="1">
      <alignment horizontal="center" vertical="center" wrapText="1"/>
    </xf>
    <xf numFmtId="171" fontId="39" fillId="3" borderId="0" xfId="4" applyNumberFormat="1" applyFont="1" applyFill="1" applyAlignment="1">
      <alignment horizontal="center" vertical="center"/>
    </xf>
    <xf numFmtId="171" fontId="38" fillId="3" borderId="4" xfId="4" applyNumberFormat="1" applyFont="1" applyFill="1" applyBorder="1" applyAlignment="1">
      <alignment horizontal="center" vertical="center"/>
    </xf>
    <xf numFmtId="0" fontId="36" fillId="28" borderId="0" xfId="2" applyFont="1" applyFill="1" applyAlignment="1">
      <alignment vertical="center"/>
    </xf>
    <xf numFmtId="0" fontId="7" fillId="28" borderId="4" xfId="2" applyFont="1" applyFill="1" applyBorder="1" applyAlignment="1">
      <alignment vertical="center"/>
    </xf>
    <xf numFmtId="0" fontId="7" fillId="3" borderId="5" xfId="2" applyFont="1" applyFill="1" applyBorder="1" applyAlignment="1">
      <alignment horizontal="center" vertical="center" wrapText="1"/>
    </xf>
    <xf numFmtId="0" fontId="7" fillId="3" borderId="0" xfId="2" applyFont="1" applyFill="1" applyAlignment="1">
      <alignment horizontal="center" vertical="center" wrapText="1"/>
    </xf>
    <xf numFmtId="2" fontId="13" fillId="3" borderId="0" xfId="2" applyNumberFormat="1" applyFont="1" applyFill="1" applyAlignment="1">
      <alignment horizontal="center" vertical="center"/>
    </xf>
    <xf numFmtId="0" fontId="36" fillId="3" borderId="0" xfId="2" applyFont="1" applyFill="1" applyAlignment="1">
      <alignment vertical="center"/>
    </xf>
    <xf numFmtId="0" fontId="7" fillId="3" borderId="4" xfId="2" applyFont="1" applyFill="1" applyBorder="1" applyAlignment="1">
      <alignment vertical="center"/>
    </xf>
    <xf numFmtId="0" fontId="73" fillId="12" borderId="0" xfId="2" applyFont="1" applyFill="1" applyAlignment="1">
      <alignment horizontal="centerContinuous" vertical="center"/>
    </xf>
    <xf numFmtId="174" fontId="105" fillId="8" borderId="5" xfId="4" applyNumberFormat="1" applyFont="1" applyFill="1" applyBorder="1" applyAlignment="1">
      <alignment horizontal="center" vertical="center" wrapText="1"/>
    </xf>
    <xf numFmtId="174" fontId="105" fillId="8" borderId="0" xfId="4" applyNumberFormat="1" applyFont="1" applyFill="1" applyAlignment="1">
      <alignment horizontal="center" vertical="center" wrapText="1"/>
    </xf>
    <xf numFmtId="1" fontId="105" fillId="8" borderId="0" xfId="4" applyNumberFormat="1" applyFont="1" applyFill="1" applyAlignment="1">
      <alignment horizontal="centerContinuous" vertical="center"/>
    </xf>
    <xf numFmtId="0" fontId="105" fillId="8" borderId="0" xfId="2" applyFont="1" applyFill="1" applyAlignment="1">
      <alignment horizontal="center" vertical="center" wrapText="1"/>
    </xf>
    <xf numFmtId="0" fontId="105" fillId="8" borderId="0" xfId="2" applyFont="1" applyFill="1" applyAlignment="1">
      <alignment horizontal="centerContinuous" vertical="center"/>
    </xf>
    <xf numFmtId="0" fontId="105" fillId="8" borderId="0" xfId="2" applyFont="1" applyFill="1" applyAlignment="1">
      <alignment horizontal="center" vertical="center"/>
    </xf>
    <xf numFmtId="171" fontId="105" fillId="29" borderId="4" xfId="4" applyNumberFormat="1" applyFont="1" applyFill="1" applyBorder="1" applyAlignment="1">
      <alignment horizontal="center" vertical="center"/>
    </xf>
    <xf numFmtId="171" fontId="105" fillId="8" borderId="5" xfId="4" applyNumberFormat="1" applyFont="1" applyFill="1" applyBorder="1" applyAlignment="1">
      <alignment horizontal="center" vertical="center"/>
    </xf>
    <xf numFmtId="171" fontId="105" fillId="8" borderId="0" xfId="4" applyNumberFormat="1" applyFont="1" applyFill="1" applyAlignment="1">
      <alignment horizontal="center" vertical="center"/>
    </xf>
    <xf numFmtId="1" fontId="105" fillId="8" borderId="0" xfId="4" applyNumberFormat="1" applyFont="1" applyFill="1" applyAlignment="1">
      <alignment horizontal="center" vertical="center"/>
    </xf>
    <xf numFmtId="2" fontId="105" fillId="8" borderId="0" xfId="4" applyNumberFormat="1" applyFont="1" applyFill="1" applyAlignment="1">
      <alignment horizontal="center" vertical="center"/>
    </xf>
    <xf numFmtId="0" fontId="105" fillId="8" borderId="4" xfId="2" applyFont="1" applyFill="1" applyBorder="1" applyAlignment="1">
      <alignment horizontal="center" vertical="center"/>
    </xf>
    <xf numFmtId="171" fontId="105" fillId="8" borderId="1" xfId="4" applyNumberFormat="1" applyFont="1" applyFill="1" applyBorder="1" applyAlignment="1">
      <alignment horizontal="center" vertical="center"/>
    </xf>
    <xf numFmtId="1" fontId="105" fillId="8" borderId="1" xfId="4" applyNumberFormat="1" applyFont="1" applyFill="1" applyBorder="1" applyAlignment="1">
      <alignment horizontal="center" vertical="center"/>
    </xf>
    <xf numFmtId="0" fontId="105" fillId="8" borderId="1" xfId="2" applyFont="1" applyFill="1" applyBorder="1" applyAlignment="1">
      <alignment horizontal="center" vertical="center"/>
    </xf>
    <xf numFmtId="2" fontId="105" fillId="8" borderId="1" xfId="4" applyNumberFormat="1" applyFont="1" applyFill="1" applyBorder="1" applyAlignment="1">
      <alignment horizontal="center" vertical="center"/>
    </xf>
    <xf numFmtId="0" fontId="7" fillId="27" borderId="0" xfId="1" applyFill="1" applyProtection="1">
      <protection hidden="1"/>
    </xf>
    <xf numFmtId="0" fontId="70" fillId="3" borderId="0" xfId="13" applyFont="1" applyFill="1" applyAlignment="1">
      <alignment horizontal="center" wrapText="1"/>
    </xf>
    <xf numFmtId="170" fontId="8" fillId="3" borderId="0" xfId="13" applyNumberFormat="1" applyFont="1" applyFill="1" applyAlignment="1">
      <alignment horizontal="left" vertical="center"/>
    </xf>
    <xf numFmtId="0" fontId="7" fillId="0" borderId="0" xfId="1" applyProtection="1">
      <protection hidden="1"/>
    </xf>
    <xf numFmtId="0" fontId="108" fillId="3" borderId="0" xfId="12" applyFont="1" applyFill="1"/>
    <xf numFmtId="0" fontId="7" fillId="30" borderId="0" xfId="1" applyFill="1" applyProtection="1">
      <protection hidden="1"/>
    </xf>
    <xf numFmtId="0" fontId="8" fillId="3" borderId="0" xfId="13" applyFont="1" applyFill="1" applyAlignment="1">
      <alignment vertical="center"/>
    </xf>
    <xf numFmtId="165" fontId="8" fillId="3" borderId="0" xfId="13" applyNumberFormat="1" applyFont="1" applyFill="1" applyAlignment="1">
      <alignment horizontal="center" vertical="center"/>
    </xf>
    <xf numFmtId="0" fontId="8" fillId="3" borderId="0" xfId="2" applyFont="1" applyFill="1" applyAlignment="1">
      <alignment horizontal="left" vertical="center"/>
    </xf>
    <xf numFmtId="0" fontId="7" fillId="0" borderId="3" xfId="1" applyBorder="1" applyProtection="1">
      <protection hidden="1"/>
    </xf>
    <xf numFmtId="0" fontId="81" fillId="3" borderId="0" xfId="12" applyFont="1" applyFill="1" applyAlignment="1">
      <alignment horizontal="center" vertical="center"/>
    </xf>
    <xf numFmtId="0" fontId="81" fillId="3" borderId="4" xfId="12" applyFont="1" applyFill="1" applyBorder="1" applyAlignment="1">
      <alignment horizontal="center" vertical="center"/>
    </xf>
    <xf numFmtId="0" fontId="112" fillId="3" borderId="0" xfId="2" applyFont="1" applyFill="1"/>
    <xf numFmtId="0" fontId="7" fillId="3" borderId="0" xfId="2" applyFont="1" applyFill="1"/>
    <xf numFmtId="0" fontId="7" fillId="3" borderId="4" xfId="2" applyFont="1" applyFill="1" applyBorder="1"/>
    <xf numFmtId="180" fontId="111" fillId="3" borderId="5" xfId="13" applyNumberFormat="1" applyFont="1" applyFill="1" applyBorder="1" applyAlignment="1">
      <alignment horizontal="left" vertical="center"/>
    </xf>
    <xf numFmtId="0" fontId="4" fillId="8" borderId="5" xfId="2" applyFill="1" applyBorder="1" applyAlignment="1">
      <alignment vertical="center"/>
    </xf>
    <xf numFmtId="0" fontId="4" fillId="8" borderId="0" xfId="2" applyFill="1" applyAlignment="1">
      <alignment vertical="center"/>
    </xf>
    <xf numFmtId="0" fontId="4" fillId="8" borderId="4" xfId="2" applyFill="1" applyBorder="1" applyAlignment="1">
      <alignment vertical="center"/>
    </xf>
    <xf numFmtId="0" fontId="117" fillId="0" borderId="0" xfId="2" applyFont="1" applyAlignment="1">
      <alignment horizontal="right" vertical="center"/>
    </xf>
    <xf numFmtId="0" fontId="4" fillId="8" borderId="0" xfId="2" applyFill="1" applyAlignment="1">
      <alignment horizontal="left" vertical="center"/>
    </xf>
    <xf numFmtId="0" fontId="118" fillId="8" borderId="0" xfId="2" applyFont="1" applyFill="1" applyAlignment="1">
      <alignment horizontal="right" vertical="center"/>
    </xf>
    <xf numFmtId="0" fontId="36" fillId="8" borderId="0" xfId="4" applyFont="1" applyFill="1" applyAlignment="1">
      <alignment horizontal="center" vertical="center"/>
    </xf>
    <xf numFmtId="0" fontId="119" fillId="8" borderId="0" xfId="2" applyFont="1" applyFill="1" applyAlignment="1">
      <alignment horizontal="right" vertical="center"/>
    </xf>
    <xf numFmtId="0" fontId="120" fillId="15" borderId="22" xfId="4" applyFont="1" applyFill="1" applyBorder="1" applyAlignment="1">
      <alignment horizontal="center" vertical="center"/>
    </xf>
    <xf numFmtId="0" fontId="115" fillId="8" borderId="0" xfId="2" applyFont="1" applyFill="1" applyAlignment="1">
      <alignment horizontal="left" vertical="center"/>
    </xf>
    <xf numFmtId="0" fontId="121" fillId="8" borderId="0" xfId="2" applyFont="1" applyFill="1" applyAlignment="1">
      <alignment horizontal="right" vertical="center"/>
    </xf>
    <xf numFmtId="168" fontId="122" fillId="15" borderId="22" xfId="3" applyNumberFormat="1" applyFont="1" applyFill="1" applyBorder="1" applyAlignment="1">
      <alignment horizontal="center" vertical="center"/>
    </xf>
    <xf numFmtId="168" fontId="4" fillId="8" borderId="0" xfId="2" applyNumberFormat="1" applyFill="1" applyAlignment="1">
      <alignment horizontal="center" vertical="center"/>
    </xf>
    <xf numFmtId="0" fontId="115" fillId="8" borderId="0" xfId="2" applyFont="1" applyFill="1" applyAlignment="1">
      <alignment horizontal="right" vertical="center"/>
    </xf>
    <xf numFmtId="2" fontId="123" fillId="8" borderId="43" xfId="3" applyNumberFormat="1" applyFont="1" applyFill="1" applyBorder="1" applyAlignment="1">
      <alignment horizontal="center" vertical="center"/>
    </xf>
    <xf numFmtId="0" fontId="4" fillId="8" borderId="43" xfId="2" applyFill="1" applyBorder="1" applyAlignment="1">
      <alignment horizontal="center" vertical="center"/>
    </xf>
    <xf numFmtId="0" fontId="4" fillId="0" borderId="5" xfId="2" applyBorder="1" applyAlignment="1">
      <alignment vertical="center"/>
    </xf>
    <xf numFmtId="0" fontId="115" fillId="0" borderId="0" xfId="2" applyFont="1" applyAlignment="1">
      <alignment horizontal="right" vertical="center"/>
    </xf>
    <xf numFmtId="175" fontId="39" fillId="15" borderId="0" xfId="2" applyNumberFormat="1" applyFont="1" applyFill="1" applyAlignment="1" applyProtection="1">
      <alignment horizontal="center" vertical="center"/>
      <protection locked="0"/>
    </xf>
    <xf numFmtId="0" fontId="125" fillId="8" borderId="0" xfId="1" applyFont="1" applyFill="1" applyAlignment="1">
      <alignment horizontal="left" vertical="center"/>
    </xf>
    <xf numFmtId="0" fontId="4" fillId="0" borderId="0" xfId="2" applyAlignment="1">
      <alignment vertical="center"/>
    </xf>
    <xf numFmtId="170" fontId="13" fillId="8" borderId="0" xfId="2" applyNumberFormat="1" applyFont="1" applyFill="1" applyAlignment="1">
      <alignment horizontal="center" vertical="center"/>
    </xf>
    <xf numFmtId="0" fontId="117" fillId="8" borderId="43" xfId="2" applyFont="1" applyFill="1" applyBorder="1" applyAlignment="1">
      <alignment horizontal="center" vertical="center"/>
    </xf>
    <xf numFmtId="0" fontId="4" fillId="8" borderId="3" xfId="2" applyFill="1" applyBorder="1" applyAlignment="1">
      <alignment vertical="center"/>
    </xf>
    <xf numFmtId="0" fontId="116" fillId="8" borderId="5" xfId="1" applyFont="1" applyFill="1" applyBorder="1" applyAlignment="1">
      <alignment horizontal="center" vertical="center"/>
    </xf>
    <xf numFmtId="0" fontId="127" fillId="8" borderId="0" xfId="1" applyFont="1" applyFill="1" applyAlignment="1">
      <alignment vertical="center"/>
    </xf>
    <xf numFmtId="0" fontId="127" fillId="8" borderId="4" xfId="1" applyFont="1" applyFill="1" applyBorder="1" applyAlignment="1">
      <alignment vertical="center"/>
    </xf>
    <xf numFmtId="0" fontId="27" fillId="3" borderId="5" xfId="4" applyFont="1" applyFill="1" applyBorder="1" applyAlignment="1">
      <alignment horizontal="right" vertical="center"/>
    </xf>
    <xf numFmtId="182" fontId="124" fillId="8" borderId="0" xfId="3" applyNumberFormat="1" applyFont="1" applyFill="1" applyAlignment="1">
      <alignment horizontal="center" vertical="center"/>
    </xf>
    <xf numFmtId="182" fontId="49" fillId="8" borderId="4" xfId="3" applyNumberFormat="1" applyFont="1" applyFill="1" applyBorder="1" applyAlignment="1">
      <alignment vertical="center"/>
    </xf>
    <xf numFmtId="0" fontId="125" fillId="8" borderId="5" xfId="1" applyFont="1" applyFill="1" applyBorder="1" applyAlignment="1">
      <alignment horizontal="center" vertical="center"/>
    </xf>
    <xf numFmtId="182" fontId="124" fillId="8" borderId="0" xfId="3" applyNumberFormat="1" applyFont="1" applyFill="1" applyAlignment="1">
      <alignment horizontal="left" vertical="center"/>
    </xf>
    <xf numFmtId="165" fontId="16" fillId="4" borderId="29" xfId="3" applyNumberFormat="1" applyFont="1" applyFill="1" applyBorder="1" applyAlignment="1">
      <alignment vertical="center"/>
    </xf>
    <xf numFmtId="165" fontId="16" fillId="4" borderId="5" xfId="3" applyNumberFormat="1" applyFont="1" applyFill="1" applyBorder="1" applyAlignment="1">
      <alignment horizontal="left" vertical="center"/>
    </xf>
    <xf numFmtId="0" fontId="4" fillId="8" borderId="5" xfId="2" applyFill="1" applyBorder="1"/>
    <xf numFmtId="0" fontId="4" fillId="8" borderId="0" xfId="2" applyFill="1"/>
    <xf numFmtId="0" fontId="4" fillId="8" borderId="4" xfId="2" applyFill="1" applyBorder="1"/>
    <xf numFmtId="0" fontId="117" fillId="8" borderId="5" xfId="2" applyFont="1" applyFill="1" applyBorder="1" applyAlignment="1">
      <alignment vertical="center" wrapText="1"/>
    </xf>
    <xf numFmtId="0" fontId="117" fillId="8" borderId="0" xfId="2" applyFont="1" applyFill="1" applyAlignment="1">
      <alignment vertical="center" wrapText="1"/>
    </xf>
    <xf numFmtId="0" fontId="117" fillId="0" borderId="0" xfId="2" applyFont="1" applyAlignment="1">
      <alignment horizontal="right"/>
    </xf>
    <xf numFmtId="0" fontId="118" fillId="8" borderId="0" xfId="2" applyFont="1" applyFill="1" applyAlignment="1">
      <alignment horizontal="right"/>
    </xf>
    <xf numFmtId="165" fontId="129" fillId="15" borderId="46" xfId="3" applyNumberFormat="1" applyFont="1" applyFill="1" applyBorder="1" applyAlignment="1">
      <alignment horizontal="center" vertical="center"/>
    </xf>
    <xf numFmtId="1" fontId="130" fillId="8" borderId="43" xfId="3" applyNumberFormat="1" applyFont="1" applyFill="1" applyBorder="1" applyAlignment="1">
      <alignment horizontal="center" vertical="center"/>
    </xf>
    <xf numFmtId="0" fontId="131" fillId="8" borderId="5" xfId="1" applyFont="1" applyFill="1" applyBorder="1" applyAlignment="1">
      <alignment horizontal="center" vertical="center"/>
    </xf>
    <xf numFmtId="0" fontId="132" fillId="8" borderId="0" xfId="1" applyFont="1" applyFill="1" applyAlignment="1" applyProtection="1">
      <alignment horizontal="left" vertical="center"/>
      <protection hidden="1"/>
    </xf>
    <xf numFmtId="1" fontId="130" fillId="8" borderId="0" xfId="3" applyNumberFormat="1" applyFont="1" applyFill="1" applyAlignment="1">
      <alignment horizontal="center" vertical="center"/>
    </xf>
    <xf numFmtId="0" fontId="117" fillId="8" borderId="5" xfId="2" applyFont="1" applyFill="1" applyBorder="1" applyAlignment="1">
      <alignment vertical="center"/>
    </xf>
    <xf numFmtId="0" fontId="117" fillId="8" borderId="0" xfId="2" applyFont="1" applyFill="1" applyAlignment="1">
      <alignment vertical="center"/>
    </xf>
    <xf numFmtId="0" fontId="117" fillId="8" borderId="0" xfId="2" applyFont="1" applyFill="1" applyAlignment="1">
      <alignment horizontal="right" vertical="center"/>
    </xf>
    <xf numFmtId="0" fontId="4" fillId="8" borderId="0" xfId="2" applyFill="1" applyAlignment="1">
      <alignment horizontal="left"/>
    </xf>
    <xf numFmtId="0" fontId="4" fillId="8" borderId="3" xfId="2" applyFill="1" applyBorder="1"/>
    <xf numFmtId="0" fontId="133" fillId="8" borderId="5" xfId="1" applyFont="1" applyFill="1" applyBorder="1" applyAlignment="1">
      <alignment horizontal="center" vertical="center"/>
    </xf>
    <xf numFmtId="0" fontId="13" fillId="3" borderId="0" xfId="2" applyFont="1" applyFill="1"/>
    <xf numFmtId="0" fontId="17" fillId="3" borderId="0" xfId="4" applyFill="1" applyAlignment="1">
      <alignment vertical="center"/>
    </xf>
    <xf numFmtId="0" fontId="13" fillId="9" borderId="47" xfId="4" applyFont="1" applyFill="1" applyBorder="1" applyAlignment="1" applyProtection="1">
      <alignment horizontal="centerContinuous" vertical="center"/>
      <protection locked="0"/>
    </xf>
    <xf numFmtId="0" fontId="13" fillId="9" borderId="48" xfId="4" applyFont="1" applyFill="1" applyBorder="1" applyAlignment="1" applyProtection="1">
      <alignment horizontal="centerContinuous" vertical="center"/>
      <protection locked="0"/>
    </xf>
    <xf numFmtId="0" fontId="13" fillId="9" borderId="49" xfId="4" applyFont="1" applyFill="1" applyBorder="1" applyAlignment="1" applyProtection="1">
      <alignment horizontal="right" vertical="center"/>
      <protection locked="0"/>
    </xf>
    <xf numFmtId="0" fontId="76" fillId="3" borderId="5" xfId="2" applyFont="1" applyFill="1" applyBorder="1" applyAlignment="1" applyProtection="1">
      <alignment horizontal="left" vertical="center"/>
      <protection locked="0"/>
    </xf>
    <xf numFmtId="0" fontId="76" fillId="3" borderId="0" xfId="2" applyFont="1" applyFill="1" applyAlignment="1" applyProtection="1">
      <alignment horizontal="right" vertical="center"/>
      <protection locked="0"/>
    </xf>
    <xf numFmtId="0" fontId="77" fillId="3" borderId="0" xfId="2" applyFont="1" applyFill="1" applyAlignment="1" applyProtection="1">
      <alignment horizontal="right" vertical="center"/>
      <protection locked="0"/>
    </xf>
    <xf numFmtId="183" fontId="136" fillId="15" borderId="4" xfId="2" applyNumberFormat="1" applyFont="1" applyFill="1" applyBorder="1" applyAlignment="1" applyProtection="1">
      <alignment horizontal="center" vertical="center"/>
      <protection locked="0"/>
    </xf>
    <xf numFmtId="0" fontId="137" fillId="3" borderId="5" xfId="2" applyFont="1" applyFill="1" applyBorder="1" applyAlignment="1" applyProtection="1">
      <alignment horizontal="left" vertical="center"/>
      <protection locked="0"/>
    </xf>
    <xf numFmtId="0" fontId="137" fillId="3" borderId="0" xfId="2" applyFont="1" applyFill="1" applyAlignment="1" applyProtection="1">
      <alignment horizontal="right" vertical="center"/>
      <protection locked="0"/>
    </xf>
    <xf numFmtId="183" fontId="79" fillId="15" borderId="4" xfId="2" applyNumberFormat="1" applyFont="1" applyFill="1" applyBorder="1" applyAlignment="1" applyProtection="1">
      <alignment horizontal="center" vertical="center"/>
      <protection locked="0"/>
    </xf>
    <xf numFmtId="0" fontId="36" fillId="3" borderId="5" xfId="2" applyFont="1" applyFill="1" applyBorder="1" applyAlignment="1" applyProtection="1">
      <alignment horizontal="left" vertical="center"/>
      <protection locked="0"/>
    </xf>
    <xf numFmtId="0" fontId="36" fillId="3" borderId="0" xfId="2" applyFont="1" applyFill="1" applyAlignment="1" applyProtection="1">
      <alignment horizontal="right" vertical="center"/>
      <protection locked="0"/>
    </xf>
    <xf numFmtId="0" fontId="7" fillId="3" borderId="0" xfId="2" applyFont="1" applyFill="1" applyAlignment="1" applyProtection="1">
      <alignment horizontal="right" vertical="center"/>
      <protection locked="0"/>
    </xf>
    <xf numFmtId="183" fontId="61" fillId="3" borderId="4" xfId="2" applyNumberFormat="1" applyFont="1" applyFill="1" applyBorder="1" applyAlignment="1" applyProtection="1">
      <alignment horizontal="center" vertical="center"/>
      <protection locked="0"/>
    </xf>
    <xf numFmtId="0" fontId="61" fillId="3" borderId="0" xfId="2" applyFont="1" applyFill="1" applyAlignment="1" applyProtection="1">
      <alignment horizontal="right" vertical="center"/>
      <protection locked="0"/>
    </xf>
    <xf numFmtId="184" fontId="61" fillId="3" borderId="4" xfId="2" applyNumberFormat="1" applyFont="1" applyFill="1" applyBorder="1" applyAlignment="1" applyProtection="1">
      <alignment horizontal="center" vertical="center"/>
      <protection locked="0"/>
    </xf>
    <xf numFmtId="0" fontId="7" fillId="12" borderId="50" xfId="2" applyFont="1" applyFill="1" applyBorder="1" applyAlignment="1" applyProtection="1">
      <alignment horizontal="left" vertical="center"/>
      <protection locked="0"/>
    </xf>
    <xf numFmtId="184" fontId="61" fillId="12" borderId="51" xfId="2" applyNumberFormat="1" applyFont="1" applyFill="1" applyBorder="1" applyAlignment="1" applyProtection="1">
      <alignment horizontal="center" vertical="center"/>
      <protection locked="0"/>
    </xf>
    <xf numFmtId="0" fontId="77" fillId="3" borderId="5" xfId="2" applyFont="1" applyFill="1" applyBorder="1" applyAlignment="1" applyProtection="1">
      <alignment horizontal="left" vertical="center"/>
      <protection locked="0"/>
    </xf>
    <xf numFmtId="0" fontId="137" fillId="3" borderId="0" xfId="2" applyFont="1" applyFill="1" applyAlignment="1" applyProtection="1">
      <alignment horizontal="right" vertical="center" wrapText="1"/>
      <protection locked="0"/>
    </xf>
    <xf numFmtId="0" fontId="61" fillId="3" borderId="3" xfId="2" applyFont="1" applyFill="1" applyBorder="1" applyAlignment="1" applyProtection="1">
      <alignment horizontal="right" vertical="center"/>
      <protection locked="0"/>
    </xf>
    <xf numFmtId="0" fontId="7" fillId="3" borderId="3" xfId="2" applyFont="1" applyFill="1" applyBorder="1" applyAlignment="1" applyProtection="1">
      <alignment horizontal="right" vertical="center"/>
      <protection locked="0"/>
    </xf>
    <xf numFmtId="0" fontId="44" fillId="3" borderId="0" xfId="2" applyFont="1" applyFill="1" applyAlignment="1">
      <alignment vertical="center"/>
    </xf>
    <xf numFmtId="0" fontId="139" fillId="3" borderId="0" xfId="2" applyFont="1" applyFill="1" applyAlignment="1">
      <alignment horizontal="left" vertical="center"/>
    </xf>
    <xf numFmtId="0" fontId="139" fillId="3" borderId="0" xfId="2" applyFont="1" applyFill="1" applyAlignment="1">
      <alignment horizontal="right" vertical="center"/>
    </xf>
    <xf numFmtId="0" fontId="140" fillId="3" borderId="0" xfId="2" applyFont="1" applyFill="1" applyAlignment="1">
      <alignment vertical="center"/>
    </xf>
    <xf numFmtId="0" fontId="51" fillId="3" borderId="0" xfId="2" applyFont="1" applyFill="1" applyAlignment="1">
      <alignment vertical="center"/>
    </xf>
    <xf numFmtId="0" fontId="113" fillId="22" borderId="0" xfId="0" applyFont="1" applyFill="1" applyAlignment="1">
      <alignment horizontal="centerContinuous" vertical="center"/>
    </xf>
    <xf numFmtId="0" fontId="0" fillId="22" borderId="0" xfId="0" applyFill="1" applyAlignment="1">
      <alignment horizontal="centerContinuous" vertical="center"/>
    </xf>
    <xf numFmtId="0" fontId="31" fillId="22" borderId="0" xfId="0" applyFont="1" applyFill="1" applyAlignment="1">
      <alignment horizontal="centerContinuous" vertical="center"/>
    </xf>
    <xf numFmtId="0" fontId="13" fillId="22" borderId="0" xfId="0" applyFont="1" applyFill="1" applyAlignment="1">
      <alignment horizontal="left" vertical="center"/>
    </xf>
    <xf numFmtId="0" fontId="43" fillId="22" borderId="0" xfId="0" applyFont="1" applyFill="1" applyAlignment="1">
      <alignment horizontal="left" vertical="center"/>
    </xf>
    <xf numFmtId="0" fontId="43" fillId="36" borderId="0" xfId="15" applyFont="1" applyFill="1" applyAlignment="1">
      <alignment vertical="top"/>
    </xf>
    <xf numFmtId="0" fontId="0" fillId="36" borderId="0" xfId="0" applyFill="1"/>
    <xf numFmtId="0" fontId="31" fillId="36" borderId="0" xfId="0" applyFont="1" applyFill="1" applyAlignment="1">
      <alignment horizontal="left" vertical="center"/>
    </xf>
    <xf numFmtId="0" fontId="43" fillId="36" borderId="0" xfId="15" applyFont="1" applyFill="1" applyAlignment="1">
      <alignment horizontal="right" vertical="top"/>
    </xf>
    <xf numFmtId="0" fontId="142" fillId="37" borderId="0" xfId="16" applyFont="1" applyFill="1" applyAlignment="1">
      <alignment horizontal="right" vertical="center"/>
    </xf>
    <xf numFmtId="0" fontId="143" fillId="37" borderId="0" xfId="16" applyFont="1" applyFill="1" applyAlignment="1">
      <alignment horizontal="left" vertical="center" wrapText="1"/>
    </xf>
    <xf numFmtId="0" fontId="8" fillId="38" borderId="0" xfId="15" applyFont="1" applyFill="1" applyAlignment="1">
      <alignment vertical="center" wrapText="1"/>
    </xf>
    <xf numFmtId="0" fontId="8" fillId="38" borderId="0" xfId="15" applyFont="1" applyFill="1" applyAlignment="1">
      <alignment vertical="center"/>
    </xf>
    <xf numFmtId="0" fontId="7" fillId="8" borderId="0" xfId="1" applyFill="1" applyProtection="1">
      <protection hidden="1"/>
    </xf>
    <xf numFmtId="0" fontId="0" fillId="0" borderId="4" xfId="0" applyBorder="1"/>
    <xf numFmtId="0" fontId="65" fillId="3" borderId="0" xfId="1" applyFont="1" applyFill="1" applyProtection="1">
      <protection hidden="1"/>
    </xf>
    <xf numFmtId="0" fontId="72" fillId="3" borderId="0" xfId="0" applyFont="1" applyFill="1"/>
    <xf numFmtId="0" fontId="164" fillId="3" borderId="0" xfId="0" applyFont="1" applyFill="1"/>
    <xf numFmtId="0" fontId="165" fillId="3" borderId="0" xfId="8" applyFont="1" applyFill="1"/>
    <xf numFmtId="0" fontId="166" fillId="3" borderId="0" xfId="0" applyFont="1" applyFill="1"/>
    <xf numFmtId="0" fontId="37" fillId="3" borderId="0" xfId="0" applyFont="1" applyFill="1"/>
    <xf numFmtId="0" fontId="166" fillId="3" borderId="0" xfId="0" applyFont="1" applyFill="1" applyAlignment="1">
      <alignment vertical="center"/>
    </xf>
    <xf numFmtId="0" fontId="35" fillId="17" borderId="0" xfId="1" applyFont="1" applyFill="1" applyAlignment="1">
      <alignment horizontal="left" vertical="center"/>
    </xf>
    <xf numFmtId="0" fontId="167" fillId="17" borderId="0" xfId="1" applyFont="1" applyFill="1" applyAlignment="1">
      <alignment horizontal="centerContinuous" vertical="center"/>
    </xf>
    <xf numFmtId="0" fontId="167" fillId="17" borderId="0" xfId="1" applyFont="1" applyFill="1" applyAlignment="1">
      <alignment horizontal="center" vertical="center"/>
    </xf>
    <xf numFmtId="0" fontId="53" fillId="3" borderId="0" xfId="1" applyFont="1" applyFill="1" applyAlignment="1">
      <alignment horizontal="centerContinuous" vertical="center"/>
    </xf>
    <xf numFmtId="0" fontId="53" fillId="3" borderId="0" xfId="1" applyFont="1" applyFill="1" applyAlignment="1">
      <alignment horizontal="center" vertical="center"/>
    </xf>
    <xf numFmtId="0" fontId="139" fillId="3" borderId="0" xfId="0" applyFont="1" applyFill="1"/>
    <xf numFmtId="0" fontId="145" fillId="3" borderId="0" xfId="8" applyFont="1" applyFill="1"/>
    <xf numFmtId="0" fontId="0" fillId="3" borderId="5" xfId="0" applyFill="1" applyBorder="1"/>
    <xf numFmtId="0" fontId="13" fillId="3" borderId="0" xfId="1" applyFont="1" applyFill="1" applyAlignment="1">
      <alignment horizontal="left" vertical="center"/>
    </xf>
    <xf numFmtId="0" fontId="57" fillId="3" borderId="0" xfId="8" applyFill="1" applyBorder="1" applyAlignment="1">
      <alignment horizontal="left" vertical="center"/>
    </xf>
    <xf numFmtId="49" fontId="27" fillId="22" borderId="0" xfId="0" applyNumberFormat="1" applyFont="1" applyFill="1" applyAlignment="1">
      <alignment horizontal="left" vertical="center"/>
    </xf>
    <xf numFmtId="0" fontId="171" fillId="39" borderId="0" xfId="0" applyFont="1" applyFill="1" applyAlignment="1">
      <alignment horizontal="left" vertical="center"/>
    </xf>
    <xf numFmtId="0" fontId="37" fillId="22" borderId="0" xfId="0" applyFont="1" applyFill="1" applyAlignment="1">
      <alignment horizontal="left" vertical="center"/>
    </xf>
    <xf numFmtId="0" fontId="0" fillId="3" borderId="60" xfId="0" applyFill="1" applyBorder="1"/>
    <xf numFmtId="0" fontId="0" fillId="3" borderId="0" xfId="0" applyFill="1" applyAlignment="1">
      <alignment horizontal="right"/>
    </xf>
    <xf numFmtId="191" fontId="156" fillId="3" borderId="0" xfId="1" applyNumberFormat="1" applyFont="1" applyFill="1" applyAlignment="1" applyProtection="1">
      <alignment horizontal="center" vertical="center"/>
      <protection hidden="1"/>
    </xf>
    <xf numFmtId="0" fontId="6" fillId="3" borderId="58" xfId="0" applyFont="1" applyFill="1" applyBorder="1" applyAlignment="1">
      <alignment horizontal="center"/>
    </xf>
    <xf numFmtId="0" fontId="0" fillId="0" borderId="5" xfId="0" applyBorder="1"/>
    <xf numFmtId="0" fontId="54" fillId="41" borderId="0" xfId="0" applyFont="1" applyFill="1" applyAlignment="1">
      <alignment horizontal="center" vertical="center"/>
    </xf>
    <xf numFmtId="0" fontId="11" fillId="3" borderId="0" xfId="1" applyFont="1" applyFill="1" applyAlignment="1">
      <alignment horizontal="right" vertical="center"/>
    </xf>
    <xf numFmtId="0" fontId="54" fillId="42" borderId="0" xfId="0" applyFont="1" applyFill="1" applyAlignment="1">
      <alignment horizontal="center" vertical="center"/>
    </xf>
    <xf numFmtId="0" fontId="169" fillId="3" borderId="0" xfId="0" applyFont="1" applyFill="1"/>
    <xf numFmtId="0" fontId="7" fillId="23" borderId="0" xfId="1" applyFill="1" applyProtection="1">
      <protection hidden="1"/>
    </xf>
    <xf numFmtId="0" fontId="4" fillId="23" borderId="0" xfId="2" applyFill="1"/>
    <xf numFmtId="0" fontId="7" fillId="0" borderId="0" xfId="1"/>
    <xf numFmtId="0" fontId="175" fillId="23" borderId="0" xfId="1" applyFont="1" applyFill="1" applyAlignment="1">
      <alignment vertical="center"/>
    </xf>
    <xf numFmtId="0" fontId="176" fillId="23" borderId="0" xfId="1" applyFont="1" applyFill="1" applyAlignment="1">
      <alignment vertical="center"/>
    </xf>
    <xf numFmtId="0" fontId="177" fillId="23" borderId="0" xfId="1" applyFont="1" applyFill="1" applyAlignment="1">
      <alignment vertical="center"/>
    </xf>
    <xf numFmtId="0" fontId="178" fillId="23" borderId="0" xfId="1" applyFont="1" applyFill="1" applyAlignment="1">
      <alignment vertical="center"/>
    </xf>
    <xf numFmtId="0" fontId="182" fillId="0" borderId="0" xfId="8" applyFont="1"/>
    <xf numFmtId="0" fontId="43" fillId="3" borderId="0" xfId="1" applyFont="1" applyFill="1" applyAlignment="1">
      <alignment horizontal="center" vertical="center" wrapText="1"/>
    </xf>
    <xf numFmtId="0" fontId="11" fillId="43" borderId="0" xfId="1" applyFont="1" applyFill="1" applyAlignment="1">
      <alignment horizontal="left" vertical="center"/>
    </xf>
    <xf numFmtId="0" fontId="183" fillId="3" borderId="0" xfId="1" applyFont="1" applyFill="1" applyAlignment="1" applyProtection="1">
      <alignment horizontal="center"/>
      <protection hidden="1"/>
    </xf>
    <xf numFmtId="2" fontId="48" fillId="3" borderId="0" xfId="2" applyNumberFormat="1" applyFont="1" applyFill="1" applyAlignment="1">
      <alignment horizontal="right" vertical="center"/>
    </xf>
    <xf numFmtId="0" fontId="183" fillId="3" borderId="0" xfId="2" applyFont="1" applyFill="1" applyAlignment="1">
      <alignment horizontal="center"/>
    </xf>
    <xf numFmtId="0" fontId="0" fillId="12" borderId="0" xfId="0" applyFill="1"/>
    <xf numFmtId="0" fontId="41" fillId="8" borderId="5" xfId="0" applyFont="1" applyFill="1" applyBorder="1" applyAlignment="1" applyProtection="1">
      <alignment horizontal="right" vertical="center"/>
      <protection locked="0"/>
    </xf>
    <xf numFmtId="185" fontId="39" fillId="15" borderId="4" xfId="0" applyNumberFormat="1" applyFont="1" applyFill="1" applyBorder="1" applyAlignment="1" applyProtection="1">
      <alignment horizontal="center" vertical="center"/>
      <protection locked="0"/>
    </xf>
    <xf numFmtId="0" fontId="34" fillId="8" borderId="5" xfId="0" applyFont="1" applyFill="1" applyBorder="1" applyAlignment="1" applyProtection="1">
      <alignment horizontal="right" vertical="center"/>
      <protection locked="0"/>
    </xf>
    <xf numFmtId="172" fontId="37" fillId="15" borderId="4" xfId="0" applyNumberFormat="1" applyFont="1" applyFill="1" applyBorder="1" applyAlignment="1" applyProtection="1">
      <alignment horizontal="center" vertical="center"/>
      <protection locked="0"/>
    </xf>
    <xf numFmtId="0" fontId="24" fillId="8" borderId="5" xfId="0" applyFont="1" applyFill="1" applyBorder="1" applyAlignment="1" applyProtection="1">
      <alignment horizontal="right" vertical="center"/>
      <protection locked="0"/>
    </xf>
    <xf numFmtId="188" fontId="24" fillId="3" borderId="4" xfId="0" applyNumberFormat="1" applyFont="1" applyFill="1" applyBorder="1" applyAlignment="1" applyProtection="1">
      <alignment horizontal="center" vertical="center"/>
      <protection locked="0"/>
    </xf>
    <xf numFmtId="0" fontId="15" fillId="8" borderId="5" xfId="0" applyFont="1" applyFill="1" applyBorder="1" applyAlignment="1" applyProtection="1">
      <alignment horizontal="right" vertical="center"/>
      <protection locked="0"/>
    </xf>
    <xf numFmtId="2" fontId="15" fillId="8" borderId="4" xfId="0" applyNumberFormat="1" applyFont="1" applyFill="1" applyBorder="1" applyAlignment="1" applyProtection="1">
      <alignment horizontal="center" vertical="center"/>
      <protection locked="0"/>
    </xf>
    <xf numFmtId="0" fontId="15" fillId="8" borderId="61" xfId="0" applyFont="1" applyFill="1" applyBorder="1" applyAlignment="1" applyProtection="1">
      <alignment horizontal="right" vertical="center"/>
      <protection locked="0"/>
    </xf>
    <xf numFmtId="189" fontId="15" fillId="3" borderId="60" xfId="0" applyNumberFormat="1" applyFont="1" applyFill="1" applyBorder="1" applyAlignment="1" applyProtection="1">
      <alignment horizontal="center" vertical="center"/>
      <protection locked="0"/>
    </xf>
    <xf numFmtId="0" fontId="185" fillId="8" borderId="5" xfId="0" applyFont="1" applyFill="1" applyBorder="1" applyAlignment="1" applyProtection="1">
      <alignment horizontal="right" vertical="center"/>
      <protection locked="0"/>
    </xf>
    <xf numFmtId="185" fontId="77" fillId="15" borderId="4" xfId="0" applyNumberFormat="1" applyFont="1" applyFill="1" applyBorder="1" applyAlignment="1" applyProtection="1">
      <alignment horizontal="center" vertical="center"/>
      <protection locked="0"/>
    </xf>
    <xf numFmtId="0" fontId="186" fillId="8" borderId="5" xfId="0" applyFont="1" applyFill="1" applyBorder="1" applyAlignment="1" applyProtection="1">
      <alignment horizontal="right" vertical="center"/>
      <protection locked="0"/>
    </xf>
    <xf numFmtId="172" fontId="184" fillId="15" borderId="4" xfId="0" applyNumberFormat="1" applyFont="1" applyFill="1" applyBorder="1" applyAlignment="1" applyProtection="1">
      <alignment horizontal="center" vertical="center"/>
      <protection locked="0"/>
    </xf>
    <xf numFmtId="170" fontId="24" fillId="8" borderId="4" xfId="0" applyNumberFormat="1" applyFont="1" applyFill="1" applyBorder="1" applyAlignment="1" applyProtection="1">
      <alignment horizontal="center" vertical="center"/>
      <protection locked="0"/>
    </xf>
    <xf numFmtId="170" fontId="15" fillId="8" borderId="16" xfId="0" applyNumberFormat="1" applyFont="1" applyFill="1" applyBorder="1" applyAlignment="1" applyProtection="1">
      <alignment horizontal="center" vertical="center"/>
      <protection locked="0"/>
    </xf>
    <xf numFmtId="188" fontId="15" fillId="3" borderId="14" xfId="0" applyNumberFormat="1" applyFont="1" applyFill="1" applyBorder="1" applyAlignment="1" applyProtection="1">
      <alignment horizontal="center" vertical="center"/>
      <protection locked="0"/>
    </xf>
    <xf numFmtId="188" fontId="15" fillId="3" borderId="60" xfId="0" applyNumberFormat="1" applyFont="1" applyFill="1" applyBorder="1" applyAlignment="1" applyProtection="1">
      <alignment horizontal="center" vertical="center"/>
      <protection locked="0"/>
    </xf>
    <xf numFmtId="188" fontId="15" fillId="3" borderId="4" xfId="0" applyNumberFormat="1" applyFont="1" applyFill="1" applyBorder="1" applyAlignment="1" applyProtection="1">
      <alignment horizontal="center" vertical="center"/>
      <protection locked="0"/>
    </xf>
    <xf numFmtId="0" fontId="5" fillId="8" borderId="5" xfId="0" applyFont="1" applyFill="1" applyBorder="1" applyAlignment="1" applyProtection="1">
      <alignment horizontal="right" vertical="center"/>
      <protection locked="0"/>
    </xf>
    <xf numFmtId="172" fontId="187" fillId="15" borderId="4" xfId="0" applyNumberFormat="1" applyFont="1" applyFill="1" applyBorder="1" applyAlignment="1" applyProtection="1">
      <alignment horizontal="center" vertical="center"/>
      <protection locked="0"/>
    </xf>
    <xf numFmtId="170" fontId="24" fillId="8" borderId="61" xfId="0" applyNumberFormat="1" applyFont="1" applyFill="1" applyBorder="1" applyAlignment="1" applyProtection="1">
      <alignment horizontal="center" vertical="center"/>
      <protection locked="0"/>
    </xf>
    <xf numFmtId="2" fontId="15" fillId="8" borderId="61" xfId="0" applyNumberFormat="1" applyFont="1" applyFill="1" applyBorder="1" applyAlignment="1" applyProtection="1">
      <alignment horizontal="center" vertical="center"/>
      <protection locked="0"/>
    </xf>
    <xf numFmtId="0" fontId="188" fillId="8" borderId="5" xfId="0" applyFont="1" applyFill="1" applyBorder="1" applyAlignment="1" applyProtection="1">
      <alignment horizontal="right" vertical="center"/>
      <protection locked="0"/>
    </xf>
    <xf numFmtId="185" fontId="136" fillId="15" borderId="4" xfId="0" applyNumberFormat="1" applyFont="1" applyFill="1" applyBorder="1" applyAlignment="1" applyProtection="1">
      <alignment horizontal="center" vertical="center"/>
      <protection locked="0"/>
    </xf>
    <xf numFmtId="2" fontId="15" fillId="8" borderId="0" xfId="0" applyNumberFormat="1" applyFont="1" applyFill="1" applyAlignment="1" applyProtection="1">
      <alignment horizontal="center" vertical="center"/>
      <protection locked="0"/>
    </xf>
    <xf numFmtId="188" fontId="15" fillId="3" borderId="0" xfId="0" applyNumberFormat="1" applyFont="1" applyFill="1" applyAlignment="1" applyProtection="1">
      <alignment horizontal="center" vertical="center"/>
      <protection locked="0"/>
    </xf>
    <xf numFmtId="0" fontId="189" fillId="3" borderId="0" xfId="4" applyFont="1" applyFill="1" applyAlignment="1">
      <alignment horizontal="center" vertical="center"/>
    </xf>
    <xf numFmtId="0" fontId="158" fillId="3" borderId="0" xfId="1" applyFont="1" applyFill="1" applyAlignment="1" applyProtection="1">
      <alignment horizontal="center" vertical="center" wrapText="1"/>
      <protection hidden="1"/>
    </xf>
    <xf numFmtId="0" fontId="190" fillId="3" borderId="0" xfId="1" applyFont="1" applyFill="1" applyAlignment="1" applyProtection="1">
      <alignment horizontal="center" vertical="center" wrapText="1"/>
      <protection hidden="1"/>
    </xf>
    <xf numFmtId="0" fontId="46" fillId="3" borderId="0" xfId="1" applyFont="1" applyFill="1" applyAlignment="1" applyProtection="1">
      <alignment horizontal="right" vertical="center"/>
      <protection hidden="1"/>
    </xf>
    <xf numFmtId="0" fontId="7" fillId="0" borderId="0" xfId="1" applyAlignment="1">
      <alignment horizontal="center"/>
    </xf>
    <xf numFmtId="3" fontId="158" fillId="3" borderId="0" xfId="3" applyNumberFormat="1" applyFont="1" applyFill="1" applyAlignment="1" applyProtection="1">
      <alignment horizontal="center" vertical="center"/>
      <protection locked="0"/>
    </xf>
    <xf numFmtId="192" fontId="190" fillId="3" borderId="0" xfId="3" applyNumberFormat="1" applyFont="1" applyFill="1" applyAlignment="1" applyProtection="1">
      <alignment horizontal="center" vertical="center"/>
      <protection locked="0"/>
    </xf>
    <xf numFmtId="165" fontId="46" fillId="3" borderId="0" xfId="1" applyNumberFormat="1" applyFont="1" applyFill="1" applyAlignment="1">
      <alignment horizontal="center" vertical="center"/>
    </xf>
    <xf numFmtId="0" fontId="191" fillId="3" borderId="0" xfId="4" applyFont="1" applyFill="1" applyAlignment="1">
      <alignment horizontal="center" vertical="center"/>
    </xf>
    <xf numFmtId="0" fontId="69" fillId="0" borderId="0" xfId="1" applyFont="1" applyAlignment="1">
      <alignment vertical="center"/>
    </xf>
    <xf numFmtId="0" fontId="36" fillId="0" borderId="0" xfId="1" applyFont="1" applyAlignment="1">
      <alignment vertical="center"/>
    </xf>
    <xf numFmtId="0" fontId="7" fillId="0" borderId="0" xfId="1" applyAlignment="1">
      <alignment vertical="center"/>
    </xf>
    <xf numFmtId="0" fontId="70" fillId="0" borderId="0" xfId="1" applyFont="1" applyAlignment="1">
      <alignment horizontal="center" vertical="center"/>
    </xf>
    <xf numFmtId="0" fontId="192" fillId="0" borderId="0" xfId="1" applyFont="1" applyAlignment="1">
      <alignment horizontal="left" vertical="center"/>
    </xf>
    <xf numFmtId="167" fontId="193" fillId="9" borderId="0" xfId="3" applyNumberFormat="1" applyFont="1" applyFill="1" applyAlignment="1">
      <alignment horizontal="center" vertical="center"/>
    </xf>
    <xf numFmtId="165" fontId="46" fillId="3" borderId="0" xfId="3" applyNumberFormat="1" applyFont="1" applyFill="1" applyAlignment="1">
      <alignment horizontal="center" vertical="center"/>
    </xf>
    <xf numFmtId="167" fontId="22" fillId="3" borderId="0" xfId="3" applyNumberFormat="1" applyFont="1" applyFill="1" applyAlignment="1">
      <alignment horizontal="center" vertical="center"/>
    </xf>
    <xf numFmtId="189" fontId="46" fillId="3" borderId="0" xfId="3" applyNumberFormat="1" applyFont="1" applyFill="1" applyAlignment="1">
      <alignment horizontal="center" vertical="center"/>
    </xf>
    <xf numFmtId="3" fontId="71" fillId="2" borderId="0" xfId="3" applyNumberFormat="1" applyFont="1" applyFill="1" applyAlignment="1" applyProtection="1">
      <alignment horizontal="center" vertical="center"/>
      <protection locked="0"/>
    </xf>
    <xf numFmtId="0" fontId="194" fillId="8" borderId="8" xfId="1" applyFont="1" applyFill="1" applyBorder="1" applyAlignment="1">
      <alignment horizontal="center" vertical="center"/>
    </xf>
    <xf numFmtId="0" fontId="15" fillId="3" borderId="68" xfId="1" applyFont="1" applyFill="1" applyBorder="1" applyAlignment="1" applyProtection="1">
      <alignment horizontal="center" vertical="center" wrapText="1"/>
      <protection hidden="1"/>
    </xf>
    <xf numFmtId="0" fontId="46" fillId="3" borderId="65" xfId="1" applyFont="1" applyFill="1" applyBorder="1" applyAlignment="1" applyProtection="1">
      <alignment horizontal="center" vertical="center"/>
      <protection hidden="1"/>
    </xf>
    <xf numFmtId="0" fontId="193" fillId="9" borderId="65" xfId="3" applyFont="1" applyFill="1" applyBorder="1" applyAlignment="1">
      <alignment horizontal="center" vertical="center"/>
    </xf>
    <xf numFmtId="3" fontId="71" fillId="2" borderId="65" xfId="3" applyNumberFormat="1" applyFont="1" applyFill="1" applyBorder="1" applyAlignment="1" applyProtection="1">
      <alignment horizontal="center" vertical="center"/>
      <protection locked="0"/>
    </xf>
    <xf numFmtId="0" fontId="15" fillId="3" borderId="65" xfId="1" applyFont="1" applyFill="1" applyBorder="1" applyAlignment="1" applyProtection="1">
      <alignment horizontal="center" vertical="center" wrapText="1"/>
      <protection hidden="1"/>
    </xf>
    <xf numFmtId="0" fontId="7" fillId="12" borderId="0" xfId="1" applyFill="1"/>
    <xf numFmtId="193" fontId="195" fillId="7" borderId="0" xfId="3" applyNumberFormat="1" applyFont="1" applyFill="1" applyAlignment="1">
      <alignment horizontal="center" vertical="center"/>
    </xf>
    <xf numFmtId="0" fontId="15" fillId="0" borderId="0" xfId="1" applyFont="1" applyAlignment="1">
      <alignment horizontal="center" vertical="center"/>
    </xf>
    <xf numFmtId="0" fontId="30" fillId="0" borderId="0" xfId="1" applyFont="1" applyAlignment="1">
      <alignment vertical="center"/>
    </xf>
    <xf numFmtId="49" fontId="15" fillId="0" borderId="70" xfId="1" applyNumberFormat="1" applyFont="1" applyBorder="1" applyAlignment="1">
      <alignment horizontal="center" vertical="center" wrapText="1"/>
    </xf>
    <xf numFmtId="49" fontId="24" fillId="0" borderId="70" xfId="1" applyNumberFormat="1" applyFont="1" applyBorder="1" applyAlignment="1">
      <alignment horizontal="center" vertical="center" wrapText="1"/>
    </xf>
    <xf numFmtId="49" fontId="15" fillId="0" borderId="73" xfId="1" applyNumberFormat="1" applyFont="1" applyBorder="1" applyAlignment="1">
      <alignment horizontal="center" vertical="center" wrapText="1"/>
    </xf>
    <xf numFmtId="49" fontId="24" fillId="0" borderId="73" xfId="1" applyNumberFormat="1" applyFont="1" applyBorder="1" applyAlignment="1">
      <alignment horizontal="center" vertical="center" wrapText="1"/>
    </xf>
    <xf numFmtId="49" fontId="24" fillId="0" borderId="74" xfId="1" applyNumberFormat="1" applyFont="1" applyBorder="1" applyAlignment="1">
      <alignment horizontal="center" vertical="center" wrapText="1"/>
    </xf>
    <xf numFmtId="49" fontId="24" fillId="0" borderId="75" xfId="1" applyNumberFormat="1" applyFont="1" applyBorder="1" applyAlignment="1">
      <alignment horizontal="center" vertical="center" wrapText="1"/>
    </xf>
    <xf numFmtId="49" fontId="11" fillId="0" borderId="78" xfId="1" applyNumberFormat="1" applyFont="1" applyBorder="1" applyAlignment="1">
      <alignment vertical="center" wrapText="1"/>
    </xf>
    <xf numFmtId="49" fontId="15" fillId="0" borderId="78" xfId="1" applyNumberFormat="1" applyFont="1" applyBorder="1" applyAlignment="1">
      <alignment vertical="center" wrapText="1"/>
    </xf>
    <xf numFmtId="49" fontId="11" fillId="0" borderId="79" xfId="1" applyNumberFormat="1" applyFont="1" applyBorder="1" applyAlignment="1">
      <alignment vertical="center" wrapText="1"/>
    </xf>
    <xf numFmtId="49" fontId="15" fillId="0" borderId="69" xfId="1" applyNumberFormat="1" applyFont="1" applyBorder="1" applyAlignment="1">
      <alignment horizontal="center" vertical="center" wrapText="1"/>
    </xf>
    <xf numFmtId="49" fontId="24" fillId="0" borderId="69" xfId="1" applyNumberFormat="1" applyFont="1" applyBorder="1" applyAlignment="1">
      <alignment horizontal="center" vertical="center" wrapText="1"/>
    </xf>
    <xf numFmtId="49" fontId="24" fillId="0" borderId="80" xfId="1" applyNumberFormat="1" applyFont="1" applyBorder="1" applyAlignment="1">
      <alignment horizontal="center" vertical="center" wrapText="1"/>
    </xf>
    <xf numFmtId="167" fontId="193" fillId="10" borderId="0" xfId="3" applyNumberFormat="1" applyFont="1" applyFill="1" applyAlignment="1">
      <alignment horizontal="center" vertical="center"/>
    </xf>
    <xf numFmtId="3" fontId="144" fillId="2" borderId="0" xfId="3" applyNumberFormat="1" applyFont="1" applyFill="1" applyAlignment="1" applyProtection="1">
      <alignment horizontal="left" vertical="center"/>
      <protection locked="0"/>
    </xf>
    <xf numFmtId="0" fontId="30" fillId="3" borderId="0" xfId="1" applyFont="1" applyFill="1" applyAlignment="1">
      <alignment vertical="center"/>
    </xf>
    <xf numFmtId="0" fontId="24" fillId="3" borderId="0" xfId="1" applyFont="1" applyFill="1" applyAlignment="1">
      <alignment vertical="center"/>
    </xf>
    <xf numFmtId="0" fontId="24" fillId="3" borderId="0" xfId="1" applyFont="1" applyFill="1"/>
    <xf numFmtId="0" fontId="11" fillId="3" borderId="0" xfId="1" applyFont="1" applyFill="1" applyAlignment="1">
      <alignment vertical="center"/>
    </xf>
    <xf numFmtId="0" fontId="199" fillId="3" borderId="0" xfId="1" applyFont="1" applyFill="1" applyAlignment="1">
      <alignment vertical="center"/>
    </xf>
    <xf numFmtId="0" fontId="15" fillId="3" borderId="0" xfId="1" applyFont="1" applyFill="1" applyAlignment="1">
      <alignment vertical="center"/>
    </xf>
    <xf numFmtId="0" fontId="204" fillId="3" borderId="0" xfId="1" applyFont="1" applyFill="1" applyAlignment="1">
      <alignment vertical="center"/>
    </xf>
    <xf numFmtId="0" fontId="197" fillId="3" borderId="0" xfId="1" applyFont="1" applyFill="1" applyAlignment="1">
      <alignment vertical="center"/>
    </xf>
    <xf numFmtId="0" fontId="27" fillId="3" borderId="0" xfId="1" applyFont="1" applyFill="1"/>
    <xf numFmtId="0" fontId="12" fillId="22" borderId="0" xfId="1" applyFont="1" applyFill="1" applyAlignment="1">
      <alignment horizontal="left" vertical="center"/>
    </xf>
    <xf numFmtId="0" fontId="30" fillId="3" borderId="0" xfId="1" applyFont="1" applyFill="1" applyAlignment="1">
      <alignment horizontal="left"/>
    </xf>
    <xf numFmtId="0" fontId="25" fillId="3" borderId="0" xfId="5" applyFont="1" applyFill="1" applyAlignment="1" applyProtection="1">
      <alignment horizontal="left"/>
    </xf>
    <xf numFmtId="0" fontId="25" fillId="3" borderId="0" xfId="5" applyFont="1" applyFill="1" applyAlignment="1" applyProtection="1">
      <alignment horizontal="left" vertical="center"/>
    </xf>
    <xf numFmtId="0" fontId="205" fillId="3" borderId="0" xfId="1" applyFont="1" applyFill="1" applyAlignment="1">
      <alignment horizontal="left" vertical="center"/>
    </xf>
    <xf numFmtId="0" fontId="25" fillId="3" borderId="0" xfId="5" applyFont="1" applyFill="1" applyAlignment="1">
      <alignment horizontal="left"/>
    </xf>
    <xf numFmtId="0" fontId="11" fillId="3" borderId="0" xfId="1" applyFont="1" applyFill="1" applyAlignment="1">
      <alignment horizontal="left" vertical="center"/>
    </xf>
    <xf numFmtId="0" fontId="25" fillId="3" borderId="0" xfId="5" applyFont="1" applyFill="1" applyAlignment="1">
      <alignment horizontal="left" vertical="center"/>
    </xf>
    <xf numFmtId="0" fontId="30" fillId="3" borderId="0" xfId="1" applyFont="1" applyFill="1" applyAlignment="1">
      <alignment horizontal="left" vertical="center"/>
    </xf>
    <xf numFmtId="0" fontId="15" fillId="3" borderId="0" xfId="1" applyFont="1" applyFill="1" applyAlignment="1">
      <alignment horizontal="center" vertical="center"/>
    </xf>
    <xf numFmtId="0" fontId="24" fillId="3" borderId="0" xfId="1" applyFont="1" applyFill="1" applyAlignment="1">
      <alignment horizontal="center" vertical="center"/>
    </xf>
    <xf numFmtId="0" fontId="7" fillId="22" borderId="0" xfId="1" applyFill="1"/>
    <xf numFmtId="0" fontId="24" fillId="22" borderId="0" xfId="1" applyFont="1" applyFill="1" applyAlignment="1">
      <alignment vertical="center"/>
    </xf>
    <xf numFmtId="0" fontId="24" fillId="22" borderId="0" xfId="1" applyFont="1" applyFill="1"/>
    <xf numFmtId="0" fontId="6" fillId="0" borderId="0" xfId="0" applyFont="1" applyAlignment="1">
      <alignment horizontal="center" vertical="center"/>
    </xf>
    <xf numFmtId="0" fontId="57" fillId="3" borderId="0" xfId="8" applyFill="1" applyAlignment="1">
      <alignment horizontal="left" vertical="center"/>
    </xf>
    <xf numFmtId="14" fontId="0" fillId="3" borderId="0" xfId="0" applyNumberFormat="1" applyFill="1" applyAlignment="1">
      <alignment horizontal="center" vertical="center"/>
    </xf>
    <xf numFmtId="0" fontId="0" fillId="3" borderId="0" xfId="0" applyFill="1" applyAlignment="1">
      <alignment horizontal="right" vertical="center"/>
    </xf>
    <xf numFmtId="0" fontId="169" fillId="0" borderId="0" xfId="0" applyFont="1"/>
    <xf numFmtId="0" fontId="169" fillId="3" borderId="0" xfId="2" applyFont="1" applyFill="1"/>
    <xf numFmtId="0" fontId="57" fillId="3" borderId="0" xfId="8" applyFill="1"/>
    <xf numFmtId="0" fontId="6" fillId="3" borderId="0" xfId="0" applyFont="1" applyFill="1" applyAlignment="1">
      <alignment horizontal="left" vertical="center"/>
    </xf>
    <xf numFmtId="191" fontId="156" fillId="3" borderId="1" xfId="1" applyNumberFormat="1" applyFont="1" applyFill="1" applyBorder="1" applyAlignment="1" applyProtection="1">
      <alignment horizontal="center" vertical="center"/>
      <protection hidden="1"/>
    </xf>
    <xf numFmtId="0" fontId="72" fillId="7" borderId="5" xfId="2" applyFont="1" applyFill="1" applyBorder="1" applyAlignment="1" applyProtection="1">
      <alignment horizontal="center" vertical="center"/>
      <protection locked="0"/>
    </xf>
    <xf numFmtId="165" fontId="207" fillId="46" borderId="0" xfId="3" applyNumberFormat="1" applyFont="1" applyFill="1" applyAlignment="1">
      <alignment horizontal="center" vertical="center"/>
    </xf>
    <xf numFmtId="0" fontId="15" fillId="3" borderId="0" xfId="1" applyFont="1" applyFill="1" applyAlignment="1" applyProtection="1">
      <alignment vertical="center"/>
      <protection hidden="1"/>
    </xf>
    <xf numFmtId="0" fontId="33" fillId="3" borderId="0" xfId="1" applyFont="1" applyFill="1" applyProtection="1">
      <protection hidden="1"/>
    </xf>
    <xf numFmtId="0" fontId="206" fillId="0" borderId="0" xfId="8" applyFont="1" applyAlignment="1">
      <alignment vertical="center"/>
    </xf>
    <xf numFmtId="0" fontId="208" fillId="0" borderId="0" xfId="1" applyFont="1" applyAlignment="1">
      <alignment vertical="center"/>
    </xf>
    <xf numFmtId="0" fontId="213" fillId="48" borderId="57" xfId="1" applyFont="1" applyFill="1" applyBorder="1" applyAlignment="1">
      <alignment horizontal="center" vertical="center"/>
    </xf>
    <xf numFmtId="0" fontId="70" fillId="0" borderId="57" xfId="1" applyFont="1" applyBorder="1" applyAlignment="1">
      <alignment horizontal="center" vertical="center"/>
    </xf>
    <xf numFmtId="0" fontId="69" fillId="0" borderId="57" xfId="1" applyFont="1" applyBorder="1" applyAlignment="1">
      <alignment horizontal="center" vertical="center"/>
    </xf>
    <xf numFmtId="0" fontId="224" fillId="3" borderId="5" xfId="1" applyFont="1" applyFill="1" applyBorder="1" applyAlignment="1">
      <alignment vertical="center"/>
    </xf>
    <xf numFmtId="194" fontId="225" fillId="22" borderId="0" xfId="1" applyNumberFormat="1" applyFont="1" applyFill="1" applyAlignment="1">
      <alignment vertical="center"/>
    </xf>
    <xf numFmtId="0" fontId="69" fillId="3" borderId="0" xfId="1" applyFont="1" applyFill="1"/>
    <xf numFmtId="0" fontId="230" fillId="3" borderId="5" xfId="1" applyFont="1" applyFill="1" applyBorder="1"/>
    <xf numFmtId="0" fontId="226" fillId="3" borderId="0" xfId="1" applyFont="1" applyFill="1" applyAlignment="1">
      <alignment vertical="center" wrapText="1"/>
    </xf>
    <xf numFmtId="0" fontId="224" fillId="3" borderId="0" xfId="1" applyFont="1" applyFill="1" applyAlignment="1">
      <alignment horizontal="right" vertical="center"/>
    </xf>
    <xf numFmtId="0" fontId="23" fillId="3" borderId="0" xfId="1" applyFont="1" applyFill="1" applyAlignment="1">
      <alignment horizontal="center" vertical="center"/>
    </xf>
    <xf numFmtId="0" fontId="23" fillId="3" borderId="4" xfId="1" applyFont="1" applyFill="1" applyBorder="1" applyAlignment="1">
      <alignment horizontal="center" vertical="center"/>
    </xf>
    <xf numFmtId="0" fontId="231" fillId="3" borderId="0" xfId="1" applyFont="1" applyFill="1" applyAlignment="1">
      <alignment horizontal="center" vertical="center"/>
    </xf>
    <xf numFmtId="0" fontId="232" fillId="49" borderId="0" xfId="1" applyFont="1" applyFill="1" applyAlignment="1">
      <alignment horizontal="center" vertical="center"/>
    </xf>
    <xf numFmtId="0" fontId="233" fillId="4" borderId="4" xfId="1" applyFont="1" applyFill="1" applyBorder="1" applyAlignment="1">
      <alignment horizontal="center" vertical="center"/>
    </xf>
    <xf numFmtId="0" fontId="231" fillId="3" borderId="5" xfId="1" applyFont="1" applyFill="1" applyBorder="1" applyAlignment="1">
      <alignment horizontal="center" vertical="center"/>
    </xf>
    <xf numFmtId="0" fontId="7" fillId="3" borderId="5" xfId="1" applyFill="1" applyBorder="1"/>
    <xf numFmtId="0" fontId="27" fillId="3" borderId="0" xfId="3" applyFont="1" applyFill="1" applyAlignment="1">
      <alignment horizontal="right" vertical="center"/>
    </xf>
    <xf numFmtId="195" fontId="106" fillId="50" borderId="0" xfId="3" applyNumberFormat="1" applyFont="1" applyFill="1" applyAlignment="1">
      <alignment horizontal="center" vertical="center"/>
    </xf>
    <xf numFmtId="0" fontId="233" fillId="4" borderId="0" xfId="1" applyFont="1" applyFill="1" applyAlignment="1">
      <alignment horizontal="center" vertical="center"/>
    </xf>
    <xf numFmtId="0" fontId="235" fillId="3" borderId="0" xfId="1" applyFont="1" applyFill="1" applyAlignment="1">
      <alignment vertical="center"/>
    </xf>
    <xf numFmtId="0" fontId="27" fillId="3" borderId="4" xfId="1" applyFont="1" applyFill="1" applyBorder="1"/>
    <xf numFmtId="0" fontId="7" fillId="3" borderId="61" xfId="1" applyFill="1" applyBorder="1"/>
    <xf numFmtId="0" fontId="7" fillId="3" borderId="1" xfId="1" applyFill="1" applyBorder="1"/>
    <xf numFmtId="0" fontId="7" fillId="3" borderId="60" xfId="1" applyFill="1" applyBorder="1"/>
    <xf numFmtId="0" fontId="139" fillId="3" borderId="0" xfId="1" applyFont="1" applyFill="1" applyAlignment="1" applyProtection="1">
      <alignment horizontal="left" vertical="center"/>
      <protection locked="0"/>
    </xf>
    <xf numFmtId="0" fontId="56" fillId="3" borderId="0" xfId="1" applyFont="1" applyFill="1" applyAlignment="1" applyProtection="1">
      <alignment horizontal="left" vertical="center"/>
      <protection locked="0"/>
    </xf>
    <xf numFmtId="0" fontId="223" fillId="0" borderId="0" xfId="1" applyFont="1" applyAlignment="1">
      <alignment vertical="center"/>
    </xf>
    <xf numFmtId="0" fontId="69" fillId="39" borderId="0" xfId="1" applyFont="1" applyFill="1" applyAlignment="1">
      <alignment vertical="center"/>
    </xf>
    <xf numFmtId="0" fontId="243" fillId="0" borderId="86" xfId="1" applyFont="1" applyBorder="1" applyAlignment="1">
      <alignment horizontal="center" vertical="center"/>
    </xf>
    <xf numFmtId="0" fontId="36" fillId="39" borderId="0" xfId="1" applyFont="1" applyFill="1" applyAlignment="1">
      <alignment vertical="center"/>
    </xf>
    <xf numFmtId="0" fontId="145" fillId="3" borderId="0" xfId="10" applyFont="1" applyFill="1" applyAlignment="1" applyProtection="1">
      <alignment vertical="center"/>
      <protection hidden="1"/>
    </xf>
    <xf numFmtId="0" fontId="200" fillId="3" borderId="0" xfId="1" applyFont="1" applyFill="1" applyAlignment="1" applyProtection="1">
      <alignment vertical="center"/>
      <protection hidden="1"/>
    </xf>
    <xf numFmtId="0" fontId="255" fillId="3" borderId="0" xfId="10" applyFont="1" applyFill="1" applyAlignment="1" applyProtection="1">
      <alignment vertical="center"/>
      <protection hidden="1"/>
    </xf>
    <xf numFmtId="0" fontId="23" fillId="3" borderId="0" xfId="1" applyFont="1" applyFill="1" applyAlignment="1" applyProtection="1">
      <alignment vertical="center"/>
      <protection hidden="1"/>
    </xf>
    <xf numFmtId="0" fontId="145" fillId="3" borderId="0" xfId="11" applyFont="1" applyFill="1" applyAlignment="1" applyProtection="1">
      <alignment vertical="center"/>
      <protection hidden="1"/>
    </xf>
    <xf numFmtId="0" fontId="255" fillId="3" borderId="0" xfId="11" applyFont="1" applyFill="1" applyAlignment="1" applyProtection="1">
      <alignment vertical="center"/>
      <protection hidden="1"/>
    </xf>
    <xf numFmtId="0" fontId="139" fillId="0" borderId="0" xfId="0" applyFont="1"/>
    <xf numFmtId="0" fontId="72" fillId="3" borderId="5" xfId="0" applyFont="1" applyFill="1" applyBorder="1"/>
    <xf numFmtId="0" fontId="6" fillId="3" borderId="0" xfId="0" applyFont="1" applyFill="1" applyAlignment="1">
      <alignment horizontal="left"/>
    </xf>
    <xf numFmtId="0" fontId="6" fillId="3" borderId="1" xfId="0" applyFont="1" applyFill="1" applyBorder="1" applyAlignment="1">
      <alignment horizontal="left"/>
    </xf>
    <xf numFmtId="186" fontId="8" fillId="3" borderId="0" xfId="1" applyNumberFormat="1" applyFont="1" applyFill="1" applyAlignment="1" applyProtection="1">
      <alignment horizontal="center" vertical="center"/>
      <protection hidden="1"/>
    </xf>
    <xf numFmtId="186" fontId="8" fillId="3" borderId="1" xfId="1" applyNumberFormat="1" applyFont="1" applyFill="1" applyBorder="1" applyAlignment="1" applyProtection="1">
      <alignment horizontal="center" vertical="center"/>
      <protection hidden="1"/>
    </xf>
    <xf numFmtId="165" fontId="61" fillId="5" borderId="4" xfId="3" applyNumberFormat="1" applyFont="1" applyFill="1" applyBorder="1" applyAlignment="1">
      <alignment horizontal="center" vertical="center"/>
    </xf>
    <xf numFmtId="165" fontId="61" fillId="5" borderId="60" xfId="3" applyNumberFormat="1" applyFont="1" applyFill="1" applyBorder="1" applyAlignment="1">
      <alignment horizontal="center" vertical="center"/>
    </xf>
    <xf numFmtId="0" fontId="0" fillId="3" borderId="3" xfId="0" applyFill="1" applyBorder="1"/>
    <xf numFmtId="0" fontId="258" fillId="19" borderId="0" xfId="17" applyFont="1" applyFill="1" applyAlignment="1">
      <alignment horizontal="left" vertical="center"/>
    </xf>
    <xf numFmtId="0" fontId="261" fillId="19" borderId="0" xfId="17" applyFont="1" applyFill="1" applyAlignment="1">
      <alignment horizontal="left" vertical="center"/>
    </xf>
    <xf numFmtId="0" fontId="160" fillId="0" borderId="0" xfId="17"/>
    <xf numFmtId="0" fontId="262" fillId="0" borderId="0" xfId="17" applyFont="1"/>
    <xf numFmtId="0" fontId="263" fillId="0" borderId="0" xfId="17" applyFont="1"/>
    <xf numFmtId="0" fontId="264" fillId="0" borderId="0" xfId="17" applyFont="1"/>
    <xf numFmtId="0" fontId="268" fillId="19" borderId="0" xfId="17" applyFont="1" applyFill="1" applyAlignment="1">
      <alignment horizontal="left" vertical="center"/>
    </xf>
    <xf numFmtId="0" fontId="161" fillId="0" borderId="0" xfId="17" applyFont="1"/>
    <xf numFmtId="0" fontId="271" fillId="0" borderId="0" xfId="17" applyFont="1"/>
    <xf numFmtId="0" fontId="275" fillId="0" borderId="0" xfId="17" applyFont="1"/>
    <xf numFmtId="0" fontId="276" fillId="0" borderId="0" xfId="17" applyFont="1"/>
    <xf numFmtId="0" fontId="277" fillId="0" borderId="0" xfId="17" applyFont="1"/>
    <xf numFmtId="0" fontId="278" fillId="0" borderId="0" xfId="8" applyFont="1"/>
    <xf numFmtId="0" fontId="278" fillId="0" borderId="0" xfId="8" applyFont="1" applyAlignment="1">
      <alignment horizontal="left" vertical="center"/>
    </xf>
    <xf numFmtId="0" fontId="28" fillId="9" borderId="98" xfId="2" applyFont="1" applyFill="1" applyBorder="1" applyAlignment="1" applyProtection="1">
      <alignment horizontal="center" vertical="center"/>
      <protection locked="0"/>
    </xf>
    <xf numFmtId="0" fontId="11" fillId="3" borderId="0" xfId="1" applyFont="1" applyFill="1" applyAlignment="1" applyProtection="1">
      <alignment horizontal="left" vertical="center"/>
      <protection hidden="1"/>
    </xf>
    <xf numFmtId="0" fontId="257" fillId="21" borderId="98" xfId="2" applyFont="1" applyFill="1" applyBorder="1" applyAlignment="1" applyProtection="1">
      <alignment horizontal="center" vertical="center"/>
      <protection locked="0"/>
    </xf>
    <xf numFmtId="168" fontId="280" fillId="21" borderId="97" xfId="2" applyNumberFormat="1" applyFont="1" applyFill="1" applyBorder="1" applyAlignment="1">
      <alignment horizontal="left" vertical="center" wrapText="1"/>
    </xf>
    <xf numFmtId="165" fontId="257" fillId="21" borderId="97" xfId="3" applyNumberFormat="1" applyFont="1" applyFill="1" applyBorder="1" applyAlignment="1">
      <alignment horizontal="center" vertical="center"/>
    </xf>
    <xf numFmtId="0" fontId="28" fillId="9" borderId="59" xfId="2" applyFont="1" applyFill="1" applyBorder="1" applyAlignment="1" applyProtection="1">
      <alignment horizontal="center" vertical="center"/>
      <protection locked="0"/>
    </xf>
    <xf numFmtId="0" fontId="168" fillId="42" borderId="61" xfId="9" applyFont="1" applyFill="1" applyBorder="1" applyAlignment="1" applyProtection="1">
      <alignment horizontal="center" vertical="center"/>
      <protection hidden="1"/>
    </xf>
    <xf numFmtId="0" fontId="9" fillId="20" borderId="59" xfId="1" applyFont="1" applyFill="1" applyBorder="1" applyAlignment="1" applyProtection="1">
      <alignment horizontal="center" vertical="center"/>
      <protection hidden="1"/>
    </xf>
    <xf numFmtId="0" fontId="9" fillId="20" borderId="58" xfId="1" applyFont="1" applyFill="1" applyBorder="1" applyAlignment="1" applyProtection="1">
      <alignment horizontal="center" vertical="center" wrapText="1"/>
      <protection hidden="1"/>
    </xf>
    <xf numFmtId="0" fontId="45" fillId="20" borderId="58" xfId="1" applyFont="1" applyFill="1" applyBorder="1" applyAlignment="1" applyProtection="1">
      <alignment horizontal="center" vertical="center"/>
      <protection hidden="1"/>
    </xf>
    <xf numFmtId="0" fontId="62" fillId="8" borderId="57" xfId="1" applyFont="1" applyFill="1" applyBorder="1" applyAlignment="1">
      <alignment horizontal="left" vertical="center"/>
    </xf>
    <xf numFmtId="0" fontId="72" fillId="7" borderId="0" xfId="2" applyFont="1" applyFill="1" applyAlignment="1" applyProtection="1">
      <alignment horizontal="left" vertical="center"/>
      <protection locked="0"/>
    </xf>
    <xf numFmtId="168" fontId="29" fillId="9" borderId="58" xfId="2" applyNumberFormat="1" applyFont="1" applyFill="1" applyBorder="1" applyAlignment="1">
      <alignment horizontal="center" vertical="center" wrapText="1"/>
    </xf>
    <xf numFmtId="0" fontId="56" fillId="3" borderId="107" xfId="1" applyFont="1" applyFill="1" applyBorder="1" applyAlignment="1" applyProtection="1">
      <alignment horizontal="left" vertical="center"/>
      <protection locked="0"/>
    </xf>
    <xf numFmtId="0" fontId="221" fillId="3" borderId="5" xfId="1" applyFont="1" applyFill="1" applyBorder="1" applyAlignment="1">
      <alignment horizontal="center" vertical="center"/>
    </xf>
    <xf numFmtId="0" fontId="221" fillId="3" borderId="0" xfId="1" applyFont="1" applyFill="1" applyAlignment="1">
      <alignment horizontal="center" vertical="center"/>
    </xf>
    <xf numFmtId="0" fontId="221" fillId="3" borderId="4" xfId="1" applyFont="1" applyFill="1" applyBorder="1" applyAlignment="1">
      <alignment horizontal="center" vertical="center"/>
    </xf>
    <xf numFmtId="194" fontId="225" fillId="3" borderId="0" xfId="1" applyNumberFormat="1" applyFont="1" applyFill="1" applyAlignment="1">
      <alignment vertical="center"/>
    </xf>
    <xf numFmtId="0" fontId="283" fillId="3" borderId="0" xfId="1" applyFont="1" applyFill="1" applyAlignment="1">
      <alignment horizontal="center" vertical="center"/>
    </xf>
    <xf numFmtId="0" fontId="232" fillId="3" borderId="0" xfId="1" applyFont="1" applyFill="1" applyAlignment="1">
      <alignment horizontal="center" vertical="center"/>
    </xf>
    <xf numFmtId="0" fontId="233" fillId="3" borderId="4" xfId="1" applyFont="1" applyFill="1" applyBorder="1" applyAlignment="1">
      <alignment horizontal="center" vertical="center"/>
    </xf>
    <xf numFmtId="0" fontId="283" fillId="3" borderId="5" xfId="1" applyFont="1" applyFill="1" applyBorder="1" applyAlignment="1">
      <alignment horizontal="center" vertical="center"/>
    </xf>
    <xf numFmtId="195" fontId="106" fillId="3" borderId="0" xfId="3" applyNumberFormat="1" applyFont="1" applyFill="1" applyAlignment="1">
      <alignment horizontal="center" vertical="center"/>
    </xf>
    <xf numFmtId="0" fontId="233" fillId="3" borderId="0" xfId="1" applyFont="1" applyFill="1" applyAlignment="1">
      <alignment horizontal="center" vertical="center"/>
    </xf>
    <xf numFmtId="0" fontId="222" fillId="4" borderId="42" xfId="1" applyFont="1" applyFill="1" applyBorder="1" applyAlignment="1">
      <alignment horizontal="center" vertical="center"/>
    </xf>
    <xf numFmtId="0" fontId="227" fillId="12" borderId="5" xfId="1" applyFont="1" applyFill="1" applyBorder="1" applyAlignment="1">
      <alignment horizontal="center" vertical="center"/>
    </xf>
    <xf numFmtId="0" fontId="173" fillId="12" borderId="5" xfId="1" applyFont="1" applyFill="1" applyBorder="1" applyAlignment="1">
      <alignment horizontal="center" vertical="center"/>
    </xf>
    <xf numFmtId="0" fontId="53" fillId="12" borderId="5" xfId="1" applyFont="1" applyFill="1" applyBorder="1" applyAlignment="1">
      <alignment horizontal="center" vertical="center"/>
    </xf>
    <xf numFmtId="0" fontId="69" fillId="3" borderId="0" xfId="1" applyFont="1" applyFill="1" applyAlignment="1">
      <alignment vertical="center"/>
    </xf>
    <xf numFmtId="0" fontId="168" fillId="42" borderId="0" xfId="9" applyFont="1" applyFill="1" applyAlignment="1" applyProtection="1">
      <alignment horizontal="center" vertical="center"/>
      <protection hidden="1"/>
    </xf>
    <xf numFmtId="0" fontId="139" fillId="3" borderId="0" xfId="1" applyFont="1" applyFill="1" applyAlignment="1">
      <alignment vertical="center"/>
    </xf>
    <xf numFmtId="0" fontId="223" fillId="3" borderId="0" xfId="1" applyFont="1" applyFill="1" applyAlignment="1">
      <alignment vertical="center"/>
    </xf>
    <xf numFmtId="0" fontId="288" fillId="42" borderId="0" xfId="9" applyFont="1" applyFill="1" applyAlignment="1" applyProtection="1">
      <alignment horizontal="center" vertical="center"/>
      <protection hidden="1"/>
    </xf>
    <xf numFmtId="0" fontId="237" fillId="3" borderId="0" xfId="1" applyFont="1" applyFill="1" applyAlignment="1">
      <alignment vertical="center"/>
    </xf>
    <xf numFmtId="0" fontId="7" fillId="3" borderId="0" xfId="1" applyFill="1" applyAlignment="1">
      <alignment vertical="center"/>
    </xf>
    <xf numFmtId="0" fontId="4" fillId="31" borderId="0" xfId="2" applyFill="1"/>
    <xf numFmtId="0" fontId="7" fillId="31" borderId="0" xfId="1" applyFill="1" applyProtection="1">
      <protection hidden="1"/>
    </xf>
    <xf numFmtId="0" fontId="61" fillId="31" borderId="0" xfId="1" applyFont="1" applyFill="1" applyAlignment="1" applyProtection="1">
      <alignment vertical="center"/>
      <protection hidden="1"/>
    </xf>
    <xf numFmtId="0" fontId="67" fillId="3" borderId="108" xfId="1" applyFont="1" applyFill="1" applyBorder="1" applyAlignment="1">
      <alignment horizontal="center" vertical="center"/>
    </xf>
    <xf numFmtId="0" fontId="67" fillId="3" borderId="109" xfId="1" applyFont="1" applyFill="1" applyBorder="1" applyAlignment="1">
      <alignment horizontal="center" vertical="center"/>
    </xf>
    <xf numFmtId="0" fontId="67" fillId="3" borderId="110" xfId="1" applyFont="1" applyFill="1" applyBorder="1" applyAlignment="1">
      <alignment horizontal="center" vertical="center"/>
    </xf>
    <xf numFmtId="0" fontId="34" fillId="3" borderId="114" xfId="1" applyFont="1" applyFill="1" applyBorder="1" applyAlignment="1">
      <alignment horizontal="center" vertical="center"/>
    </xf>
    <xf numFmtId="0" fontId="37" fillId="3" borderId="115" xfId="1" applyFont="1" applyFill="1" applyBorder="1" applyAlignment="1">
      <alignment horizontal="center" vertical="center"/>
    </xf>
    <xf numFmtId="0" fontId="15" fillId="3" borderId="116" xfId="1" applyFont="1" applyFill="1" applyBorder="1" applyAlignment="1">
      <alignment horizontal="center" vertical="center"/>
    </xf>
    <xf numFmtId="0" fontId="15" fillId="3" borderId="93" xfId="1" applyFont="1" applyFill="1" applyBorder="1" applyAlignment="1">
      <alignment horizontal="center" vertical="center"/>
    </xf>
    <xf numFmtId="0" fontId="15" fillId="3" borderId="2" xfId="1" applyFont="1" applyFill="1" applyBorder="1" applyAlignment="1">
      <alignment horizontal="center" vertical="center"/>
    </xf>
    <xf numFmtId="0" fontId="34" fillId="22" borderId="63" xfId="1" applyFont="1" applyFill="1" applyBorder="1" applyAlignment="1">
      <alignment horizontal="center" vertical="center"/>
    </xf>
    <xf numFmtId="49" fontId="15" fillId="3" borderId="5" xfId="2" applyNumberFormat="1" applyFont="1" applyFill="1" applyBorder="1" applyAlignment="1">
      <alignment horizontal="right" vertical="center"/>
    </xf>
    <xf numFmtId="49" fontId="4" fillId="3" borderId="0" xfId="2" applyNumberFormat="1" applyFill="1" applyAlignment="1">
      <alignment horizontal="center" vertical="center"/>
    </xf>
    <xf numFmtId="49" fontId="4" fillId="3" borderId="4" xfId="2" applyNumberFormat="1" applyFill="1" applyBorder="1" applyAlignment="1">
      <alignment horizontal="center" vertical="center"/>
    </xf>
    <xf numFmtId="0" fontId="290" fillId="25" borderId="62" xfId="21" applyFont="1" applyFill="1" applyBorder="1" applyAlignment="1">
      <alignment horizontal="center" vertical="center"/>
    </xf>
    <xf numFmtId="0" fontId="291" fillId="25" borderId="2" xfId="21" applyFont="1" applyFill="1" applyBorder="1" applyAlignment="1" applyProtection="1">
      <alignment horizontal="center" vertical="center"/>
      <protection locked="0"/>
    </xf>
    <xf numFmtId="0" fontId="291" fillId="25" borderId="88" xfId="21" applyFont="1" applyFill="1" applyBorder="1" applyAlignment="1" applyProtection="1">
      <alignment horizontal="center" vertical="center"/>
      <protection locked="0"/>
    </xf>
    <xf numFmtId="0" fontId="201" fillId="3" borderId="0" xfId="0" applyFont="1" applyFill="1"/>
    <xf numFmtId="203" fontId="292" fillId="53" borderId="57" xfId="21" applyNumberFormat="1" applyFont="1" applyFill="1" applyBorder="1" applyAlignment="1" applyProtection="1">
      <alignment horizontal="center" vertical="center"/>
      <protection locked="0"/>
    </xf>
    <xf numFmtId="0" fontId="292" fillId="53" borderId="0" xfId="21" applyFont="1" applyFill="1" applyAlignment="1" applyProtection="1">
      <alignment horizontal="center" vertical="center"/>
      <protection locked="0"/>
    </xf>
    <xf numFmtId="203" fontId="103" fillId="25" borderId="57" xfId="21" applyNumberFormat="1" applyFont="1" applyFill="1" applyBorder="1" applyAlignment="1" applyProtection="1">
      <alignment horizontal="center" vertical="center"/>
      <protection locked="0"/>
    </xf>
    <xf numFmtId="0" fontId="13" fillId="0" borderId="0" xfId="21" applyFont="1" applyAlignment="1">
      <alignment horizontal="center" vertical="center"/>
    </xf>
    <xf numFmtId="203" fontId="13" fillId="0" borderId="57" xfId="21" applyNumberFormat="1" applyFont="1" applyBorder="1" applyAlignment="1" applyProtection="1">
      <alignment horizontal="center" vertical="center"/>
      <protection locked="0"/>
    </xf>
    <xf numFmtId="0" fontId="39" fillId="25" borderId="0" xfId="21" applyFont="1" applyFill="1" applyAlignment="1">
      <alignment horizontal="center" vertical="center"/>
    </xf>
    <xf numFmtId="0" fontId="7" fillId="3" borderId="60" xfId="1" applyFill="1" applyBorder="1" applyAlignment="1">
      <alignment horizontal="center" vertical="center"/>
    </xf>
    <xf numFmtId="1" fontId="13" fillId="9" borderId="42" xfId="2" applyNumberFormat="1" applyFont="1" applyFill="1" applyBorder="1" applyAlignment="1">
      <alignment horizontal="centerContinuous" vertical="center" wrapText="1"/>
    </xf>
    <xf numFmtId="0" fontId="13" fillId="9" borderId="42" xfId="2" applyFont="1" applyFill="1" applyBorder="1" applyAlignment="1">
      <alignment horizontal="centerContinuous" vertical="center"/>
    </xf>
    <xf numFmtId="0" fontId="76" fillId="3" borderId="101" xfId="2" applyFont="1" applyFill="1" applyBorder="1" applyAlignment="1" applyProtection="1">
      <alignment horizontal="right" vertical="center"/>
      <protection locked="0"/>
    </xf>
    <xf numFmtId="0" fontId="294" fillId="0" borderId="0" xfId="0" applyFont="1" applyAlignment="1">
      <alignment horizontal="center" vertical="center"/>
    </xf>
    <xf numFmtId="0" fontId="294" fillId="3" borderId="0" xfId="0" applyFont="1" applyFill="1" applyAlignment="1">
      <alignment vertical="center"/>
    </xf>
    <xf numFmtId="0" fontId="294" fillId="0" borderId="0" xfId="0" applyFont="1" applyAlignment="1">
      <alignment vertical="center"/>
    </xf>
    <xf numFmtId="0" fontId="42" fillId="8" borderId="57" xfId="0" applyFont="1" applyFill="1" applyBorder="1" applyAlignment="1" applyProtection="1">
      <alignment horizontal="right" vertical="center"/>
      <protection locked="0"/>
    </xf>
    <xf numFmtId="0" fontId="42" fillId="8" borderId="62" xfId="0" applyFont="1" applyFill="1" applyBorder="1" applyAlignment="1" applyProtection="1">
      <alignment horizontal="right" vertical="center"/>
      <protection locked="0"/>
    </xf>
    <xf numFmtId="0" fontId="41" fillId="8" borderId="57" xfId="0" applyFont="1" applyFill="1" applyBorder="1" applyAlignment="1" applyProtection="1">
      <alignment horizontal="right" vertical="center"/>
      <protection locked="0"/>
    </xf>
    <xf numFmtId="0" fontId="24" fillId="8" borderId="57" xfId="0" applyFont="1" applyFill="1" applyBorder="1" applyAlignment="1" applyProtection="1">
      <alignment horizontal="right" vertical="center"/>
      <protection locked="0"/>
    </xf>
    <xf numFmtId="0" fontId="40" fillId="8" borderId="57" xfId="0" applyFont="1" applyFill="1" applyBorder="1" applyAlignment="1" applyProtection="1">
      <alignment horizontal="right" vertical="center"/>
      <protection locked="0"/>
    </xf>
    <xf numFmtId="0" fontId="40" fillId="8" borderId="62" xfId="0" applyFont="1" applyFill="1" applyBorder="1" applyAlignment="1" applyProtection="1">
      <alignment horizontal="right" vertical="center"/>
      <protection locked="0"/>
    </xf>
    <xf numFmtId="167" fontId="39" fillId="15" borderId="88" xfId="0" applyNumberFormat="1" applyFont="1" applyFill="1" applyBorder="1" applyAlignment="1" applyProtection="1">
      <alignment horizontal="center" vertical="center"/>
      <protection locked="0"/>
    </xf>
    <xf numFmtId="176" fontId="84" fillId="15" borderId="88" xfId="0" applyNumberFormat="1" applyFont="1" applyFill="1" applyBorder="1" applyAlignment="1" applyProtection="1">
      <alignment horizontal="center" vertical="center"/>
      <protection locked="0"/>
    </xf>
    <xf numFmtId="0" fontId="34" fillId="8" borderId="57" xfId="0" applyFont="1" applyFill="1" applyBorder="1" applyAlignment="1" applyProtection="1">
      <alignment horizontal="right" vertical="center"/>
      <protection locked="0"/>
    </xf>
    <xf numFmtId="185" fontId="85" fillId="15" borderId="4" xfId="0" applyNumberFormat="1" applyFont="1" applyFill="1" applyBorder="1" applyAlignment="1" applyProtection="1">
      <alignment horizontal="center" vertical="center"/>
      <protection locked="0"/>
    </xf>
    <xf numFmtId="0" fontId="53" fillId="4" borderId="42" xfId="4" applyFont="1" applyFill="1" applyBorder="1" applyAlignment="1" applyProtection="1">
      <alignment horizontal="left" vertical="center"/>
      <protection locked="0"/>
    </xf>
    <xf numFmtId="0" fontId="13" fillId="4" borderId="48" xfId="4" applyFont="1" applyFill="1" applyBorder="1" applyAlignment="1" applyProtection="1">
      <alignment horizontal="centerContinuous" vertical="center"/>
      <protection locked="0"/>
    </xf>
    <xf numFmtId="0" fontId="53" fillId="4" borderId="49" xfId="4" applyFont="1" applyFill="1" applyBorder="1" applyAlignment="1" applyProtection="1">
      <alignment horizontal="right" vertical="center"/>
      <protection locked="0"/>
    </xf>
    <xf numFmtId="0" fontId="295" fillId="11" borderId="101" xfId="4" applyFont="1" applyFill="1" applyBorder="1" applyAlignment="1">
      <alignment horizontal="right" vertical="center"/>
    </xf>
    <xf numFmtId="0" fontId="296" fillId="11" borderId="101" xfId="4" applyFont="1" applyFill="1" applyBorder="1" applyAlignment="1">
      <alignment horizontal="right" vertical="center"/>
    </xf>
    <xf numFmtId="168" fontId="70" fillId="12" borderId="118" xfId="0" applyNumberFormat="1" applyFont="1" applyFill="1" applyBorder="1" applyAlignment="1">
      <alignment horizontal="center" vertical="center"/>
    </xf>
    <xf numFmtId="0" fontId="7" fillId="12" borderId="22" xfId="0" applyFont="1" applyFill="1" applyBorder="1" applyAlignment="1">
      <alignment horizontal="center" vertical="center"/>
    </xf>
    <xf numFmtId="2" fontId="70" fillId="12" borderId="119" xfId="0" applyNumberFormat="1" applyFont="1" applyFill="1" applyBorder="1" applyAlignment="1">
      <alignment horizontal="center" vertical="center"/>
    </xf>
    <xf numFmtId="9" fontId="70" fillId="28" borderId="35" xfId="0" applyNumberFormat="1" applyFont="1" applyFill="1" applyBorder="1" applyAlignment="1">
      <alignment horizontal="center" vertical="center"/>
    </xf>
    <xf numFmtId="0" fontId="13" fillId="28" borderId="0" xfId="4" applyFont="1" applyFill="1" applyAlignment="1">
      <alignment horizontal="centerContinuous" vertical="center"/>
    </xf>
    <xf numFmtId="0" fontId="0" fillId="28" borderId="0" xfId="0" applyFill="1" applyAlignment="1">
      <alignment horizontal="centerContinuous" vertical="center" wrapText="1"/>
    </xf>
    <xf numFmtId="0" fontId="70" fillId="28" borderId="0" xfId="4" applyFont="1" applyFill="1" applyAlignment="1">
      <alignment horizontal="right" vertical="center"/>
    </xf>
    <xf numFmtId="9" fontId="297" fillId="28" borderId="86" xfId="0" applyNumberFormat="1" applyFont="1" applyFill="1" applyBorder="1" applyAlignment="1">
      <alignment horizontal="center" vertical="center"/>
    </xf>
    <xf numFmtId="204" fontId="7" fillId="55" borderId="4" xfId="0" applyNumberFormat="1" applyFont="1" applyFill="1" applyBorder="1" applyAlignment="1">
      <alignment horizontal="centerContinuous" vertical="center" wrapText="1"/>
    </xf>
    <xf numFmtId="166" fontId="77" fillId="15" borderId="35" xfId="0" applyNumberFormat="1" applyFont="1" applyFill="1" applyBorder="1" applyAlignment="1">
      <alignment horizontal="center" vertical="center"/>
    </xf>
    <xf numFmtId="0" fontId="39" fillId="15" borderId="0" xfId="4" applyFont="1" applyFill="1" applyAlignment="1">
      <alignment horizontal="left" vertical="center"/>
    </xf>
    <xf numFmtId="172" fontId="85" fillId="15" borderId="0" xfId="0" applyNumberFormat="1" applyFont="1" applyFill="1" applyAlignment="1" applyProtection="1">
      <alignment horizontal="center" vertical="center"/>
      <protection locked="0"/>
    </xf>
    <xf numFmtId="189" fontId="15" fillId="12" borderId="4" xfId="0" applyNumberFormat="1" applyFont="1" applyFill="1" applyBorder="1" applyAlignment="1" applyProtection="1">
      <alignment horizontal="center" vertical="center"/>
      <protection locked="0"/>
    </xf>
    <xf numFmtId="189" fontId="15" fillId="12" borderId="0" xfId="0" applyNumberFormat="1" applyFont="1" applyFill="1" applyAlignment="1" applyProtection="1">
      <alignment horizontal="center" vertical="center"/>
      <protection locked="0"/>
    </xf>
    <xf numFmtId="166" fontId="77" fillId="15" borderId="120" xfId="0" applyNumberFormat="1" applyFont="1" applyFill="1" applyBorder="1" applyAlignment="1">
      <alignment horizontal="center" vertical="center"/>
    </xf>
    <xf numFmtId="0" fontId="39" fillId="15" borderId="1" xfId="4" applyFont="1" applyFill="1" applyBorder="1" applyAlignment="1">
      <alignment horizontal="left" vertical="center"/>
    </xf>
    <xf numFmtId="189" fontId="15" fillId="12" borderId="1" xfId="0" applyNumberFormat="1" applyFont="1" applyFill="1" applyBorder="1" applyAlignment="1" applyProtection="1">
      <alignment horizontal="center" vertical="center"/>
      <protection locked="0"/>
    </xf>
    <xf numFmtId="172" fontId="85" fillId="15" borderId="1" xfId="0" applyNumberFormat="1" applyFont="1" applyFill="1" applyBorder="1" applyAlignment="1" applyProtection="1">
      <alignment horizontal="center" vertical="center"/>
      <protection locked="0"/>
    </xf>
    <xf numFmtId="189" fontId="15" fillId="12" borderId="60" xfId="0" applyNumberFormat="1" applyFont="1" applyFill="1" applyBorder="1" applyAlignment="1" applyProtection="1">
      <alignment horizontal="center" vertical="center"/>
      <protection locked="0"/>
    </xf>
    <xf numFmtId="171" fontId="92" fillId="3" borderId="61" xfId="2" applyNumberFormat="1" applyFont="1" applyFill="1" applyBorder="1" applyAlignment="1">
      <alignment vertical="center"/>
    </xf>
    <xf numFmtId="0" fontId="4" fillId="3" borderId="60" xfId="2" applyFill="1" applyBorder="1"/>
    <xf numFmtId="171" fontId="105" fillId="8" borderId="61" xfId="4" applyNumberFormat="1" applyFont="1" applyFill="1" applyBorder="1" applyAlignment="1">
      <alignment horizontal="center" vertical="center"/>
    </xf>
    <xf numFmtId="0" fontId="105" fillId="8" borderId="60" xfId="2" applyFont="1" applyFill="1" applyBorder="1" applyAlignment="1">
      <alignment horizontal="center" vertical="center"/>
    </xf>
    <xf numFmtId="0" fontId="108" fillId="3" borderId="57" xfId="12" applyFont="1" applyFill="1" applyBorder="1"/>
    <xf numFmtId="0" fontId="7" fillId="3" borderId="62" xfId="1" applyFill="1" applyBorder="1" applyProtection="1">
      <protection hidden="1"/>
    </xf>
    <xf numFmtId="0" fontId="7" fillId="3" borderId="88" xfId="1" applyFill="1" applyBorder="1" applyProtection="1">
      <protection hidden="1"/>
    </xf>
    <xf numFmtId="0" fontId="27" fillId="3" borderId="57" xfId="4" applyFont="1" applyFill="1" applyBorder="1" applyAlignment="1" applyProtection="1">
      <alignment horizontal="center" vertical="center"/>
      <protection locked="0"/>
    </xf>
    <xf numFmtId="0" fontId="83" fillId="3" borderId="57" xfId="2" applyFont="1" applyFill="1" applyBorder="1" applyAlignment="1">
      <alignment horizontal="left" vertical="center"/>
    </xf>
    <xf numFmtId="168" fontId="36" fillId="3" borderId="55" xfId="4" applyNumberFormat="1" applyFont="1" applyFill="1" applyBorder="1" applyAlignment="1">
      <alignment horizontal="center" vertical="center"/>
    </xf>
    <xf numFmtId="168" fontId="13" fillId="3" borderId="55" xfId="4" applyNumberFormat="1" applyFont="1" applyFill="1" applyBorder="1" applyAlignment="1">
      <alignment horizontal="center" vertical="center"/>
    </xf>
    <xf numFmtId="2" fontId="124" fillId="8" borderId="55" xfId="4" applyNumberFormat="1" applyFont="1" applyFill="1" applyBorder="1" applyAlignment="1">
      <alignment horizontal="center" vertical="center"/>
    </xf>
    <xf numFmtId="170" fontId="13" fillId="8" borderId="55" xfId="4" applyNumberFormat="1" applyFont="1" applyFill="1" applyBorder="1" applyAlignment="1">
      <alignment horizontal="center" vertical="center"/>
    </xf>
    <xf numFmtId="0" fontId="43" fillId="3" borderId="0" xfId="1" applyFont="1" applyFill="1" applyAlignment="1" applyProtection="1">
      <alignment horizontal="left" vertical="center"/>
      <protection hidden="1"/>
    </xf>
    <xf numFmtId="0" fontId="151" fillId="0" borderId="0" xfId="1" applyFont="1" applyAlignment="1">
      <alignment vertical="center"/>
    </xf>
    <xf numFmtId="0" fontId="70" fillId="56" borderId="22" xfId="1" applyFont="1" applyFill="1" applyBorder="1" applyAlignment="1">
      <alignment horizontal="right" vertical="center"/>
    </xf>
    <xf numFmtId="14" fontId="7" fillId="0" borderId="97" xfId="1" applyNumberFormat="1" applyBorder="1" applyAlignment="1">
      <alignment horizontal="center" vertical="center"/>
    </xf>
    <xf numFmtId="0" fontId="70" fillId="56" borderId="125" xfId="1" applyFont="1" applyFill="1" applyBorder="1" applyAlignment="1">
      <alignment horizontal="center" vertical="center"/>
    </xf>
    <xf numFmtId="0" fontId="52" fillId="8" borderId="124" xfId="1" applyFont="1" applyFill="1" applyBorder="1" applyAlignment="1">
      <alignment horizontal="center" vertical="center"/>
    </xf>
    <xf numFmtId="0" fontId="52" fillId="8" borderId="125" xfId="1" applyFont="1" applyFill="1" applyBorder="1" applyAlignment="1">
      <alignment horizontal="center" vertical="center"/>
    </xf>
    <xf numFmtId="0" fontId="7" fillId="8" borderId="0" xfId="1" applyFill="1" applyAlignment="1">
      <alignment vertical="center"/>
    </xf>
    <xf numFmtId="0" fontId="80" fillId="57" borderId="0" xfId="1" applyFont="1" applyFill="1" applyAlignment="1">
      <alignment horizontal="center" vertical="center"/>
    </xf>
    <xf numFmtId="0" fontId="73" fillId="0" borderId="13" xfId="1" applyFont="1" applyBorder="1" applyAlignment="1">
      <alignment horizontal="left" vertical="center"/>
    </xf>
    <xf numFmtId="0" fontId="7" fillId="0" borderId="58" xfId="1" applyBorder="1"/>
    <xf numFmtId="0" fontId="298" fillId="0" borderId="58" xfId="1" applyFont="1" applyBorder="1" applyAlignment="1">
      <alignment horizontal="center" vertical="center" wrapText="1"/>
    </xf>
    <xf numFmtId="0" fontId="7" fillId="0" borderId="21" xfId="1" applyBorder="1"/>
    <xf numFmtId="0" fontId="7" fillId="0" borderId="127" xfId="1" applyBorder="1" applyAlignment="1">
      <alignment horizontal="center" vertical="center" wrapText="1"/>
    </xf>
    <xf numFmtId="0" fontId="299" fillId="0" borderId="46" xfId="1" applyFont="1" applyBorder="1" applyAlignment="1">
      <alignment horizontal="center" vertical="center"/>
    </xf>
    <xf numFmtId="0" fontId="151" fillId="0" borderId="128" xfId="1" applyFont="1" applyBorder="1" applyAlignment="1">
      <alignment horizontal="center" vertical="center" wrapText="1"/>
    </xf>
    <xf numFmtId="0" fontId="36" fillId="8" borderId="9" xfId="1" applyFont="1" applyFill="1" applyBorder="1" applyAlignment="1">
      <alignment vertical="center"/>
    </xf>
    <xf numFmtId="0" fontId="36" fillId="8" borderId="2" xfId="1" applyFont="1" applyFill="1" applyBorder="1" applyAlignment="1">
      <alignment vertical="center"/>
    </xf>
    <xf numFmtId="0" fontId="300" fillId="8" borderId="129" xfId="1" applyFont="1" applyFill="1" applyBorder="1" applyAlignment="1">
      <alignment horizontal="center" vertical="center"/>
    </xf>
    <xf numFmtId="0" fontId="298" fillId="8" borderId="129" xfId="1" applyFont="1" applyFill="1" applyBorder="1" applyAlignment="1">
      <alignment horizontal="center" vertical="center"/>
    </xf>
    <xf numFmtId="0" fontId="104" fillId="0" borderId="88" xfId="1" applyFont="1" applyBorder="1" applyAlignment="1">
      <alignment horizontal="center" vertical="center"/>
    </xf>
    <xf numFmtId="0" fontId="36" fillId="8" borderId="57" xfId="1" applyFont="1" applyFill="1" applyBorder="1" applyAlignment="1">
      <alignment horizontal="left" vertical="center"/>
    </xf>
    <xf numFmtId="0" fontId="36" fillId="8" borderId="0" xfId="1" applyFont="1" applyFill="1" applyAlignment="1">
      <alignment horizontal="center" vertical="center"/>
    </xf>
    <xf numFmtId="0" fontId="36" fillId="8" borderId="86" xfId="1" applyFont="1" applyFill="1" applyBorder="1" applyAlignment="1">
      <alignment horizontal="right" vertical="center"/>
    </xf>
    <xf numFmtId="168" fontId="61" fillId="0" borderId="124" xfId="1" applyNumberFormat="1" applyFont="1" applyBorder="1" applyAlignment="1">
      <alignment horizontal="center" vertical="center"/>
    </xf>
    <xf numFmtId="168" fontId="298" fillId="0" borderId="127" xfId="1" applyNumberFormat="1" applyFont="1" applyBorder="1" applyAlignment="1">
      <alignment horizontal="center" vertical="center"/>
    </xf>
    <xf numFmtId="168" fontId="87" fillId="32" borderId="22" xfId="1" applyNumberFormat="1" applyFont="1" applyFill="1" applyBorder="1" applyAlignment="1" applyProtection="1">
      <alignment horizontal="center" vertical="center"/>
      <protection locked="0"/>
    </xf>
    <xf numFmtId="1" fontId="61" fillId="0" borderId="124" xfId="1" applyNumberFormat="1" applyFont="1" applyBorder="1" applyAlignment="1">
      <alignment horizontal="center" vertical="center"/>
    </xf>
    <xf numFmtId="172" fontId="104" fillId="25" borderId="130" xfId="1" applyNumberFormat="1" applyFont="1" applyFill="1" applyBorder="1" applyAlignment="1" applyProtection="1">
      <alignment horizontal="center" vertical="center"/>
      <protection locked="0"/>
    </xf>
    <xf numFmtId="0" fontId="13" fillId="8" borderId="57" xfId="1" applyFont="1" applyFill="1" applyBorder="1" applyAlignment="1">
      <alignment horizontal="left" vertical="center"/>
    </xf>
    <xf numFmtId="0" fontId="13" fillId="8" borderId="0" xfId="1" applyFont="1" applyFill="1" applyAlignment="1">
      <alignment horizontal="right" vertical="center"/>
    </xf>
    <xf numFmtId="168" fontId="61" fillId="0" borderId="97" xfId="1" applyNumberFormat="1" applyFont="1" applyBorder="1" applyAlignment="1">
      <alignment horizontal="center" vertical="center"/>
    </xf>
    <xf numFmtId="168" fontId="61" fillId="0" borderId="104" xfId="1" applyNumberFormat="1" applyFont="1" applyBorder="1" applyAlignment="1">
      <alignment horizontal="center" vertical="center"/>
    </xf>
    <xf numFmtId="168" fontId="61" fillId="0" borderId="22" xfId="1" applyNumberFormat="1" applyFont="1" applyBorder="1" applyAlignment="1">
      <alignment horizontal="center" vertical="center"/>
    </xf>
    <xf numFmtId="168" fontId="298" fillId="0" borderId="22" xfId="1" applyNumberFormat="1" applyFont="1" applyBorder="1" applyAlignment="1">
      <alignment horizontal="center" vertical="center"/>
    </xf>
    <xf numFmtId="0" fontId="13" fillId="8" borderId="86" xfId="1" applyFont="1" applyFill="1" applyBorder="1" applyAlignment="1">
      <alignment horizontal="right" vertical="center"/>
    </xf>
    <xf numFmtId="0" fontId="305" fillId="8" borderId="0" xfId="1" applyFont="1" applyFill="1" applyAlignment="1">
      <alignment horizontal="center" vertical="center" wrapText="1"/>
    </xf>
    <xf numFmtId="0" fontId="70" fillId="8" borderId="0" xfId="1" applyFont="1" applyFill="1" applyAlignment="1">
      <alignment horizontal="right" vertical="center"/>
    </xf>
    <xf numFmtId="168" fontId="156" fillId="8" borderId="0" xfId="1" applyNumberFormat="1" applyFont="1" applyFill="1" applyAlignment="1">
      <alignment horizontal="center" vertical="center"/>
    </xf>
    <xf numFmtId="168" fontId="156" fillId="0" borderId="0" xfId="1" applyNumberFormat="1" applyFont="1" applyAlignment="1">
      <alignment horizontal="center" vertical="center"/>
    </xf>
    <xf numFmtId="2" fontId="292" fillId="8" borderId="0" xfId="1" applyNumberFormat="1" applyFont="1" applyFill="1" applyAlignment="1">
      <alignment horizontal="center" vertical="center"/>
    </xf>
    <xf numFmtId="1" fontId="306" fillId="15" borderId="95" xfId="1" applyNumberFormat="1" applyFont="1" applyFill="1" applyBorder="1" applyAlignment="1">
      <alignment horizontal="center" vertical="center" wrapText="1"/>
    </xf>
    <xf numFmtId="0" fontId="11" fillId="0" borderId="127" xfId="1" applyFont="1" applyBorder="1" applyAlignment="1">
      <alignment horizontal="centerContinuous" vertical="center"/>
    </xf>
    <xf numFmtId="0" fontId="307" fillId="0" borderId="87" xfId="1" applyFont="1" applyBorder="1" applyAlignment="1">
      <alignment horizontal="center" vertical="center" wrapText="1"/>
    </xf>
    <xf numFmtId="0" fontId="308" fillId="48" borderId="87" xfId="1" applyFont="1" applyFill="1" applyBorder="1" applyAlignment="1">
      <alignment horizontal="center" vertical="center" wrapText="1"/>
    </xf>
    <xf numFmtId="0" fontId="306" fillId="48" borderId="87" xfId="1" applyFont="1" applyFill="1" applyBorder="1" applyAlignment="1">
      <alignment horizontal="center" vertical="center" wrapText="1"/>
    </xf>
    <xf numFmtId="0" fontId="0" fillId="36" borderId="139" xfId="0" applyFill="1" applyBorder="1"/>
    <xf numFmtId="49" fontId="27" fillId="3" borderId="92" xfId="0" applyNumberFormat="1" applyFont="1" applyFill="1" applyBorder="1" applyAlignment="1">
      <alignment horizontal="left" vertical="center"/>
    </xf>
    <xf numFmtId="0" fontId="0" fillId="36" borderId="140" xfId="0" applyFill="1" applyBorder="1"/>
    <xf numFmtId="0" fontId="13" fillId="36" borderId="0" xfId="15" applyFont="1" applyFill="1" applyAlignment="1">
      <alignment horizontal="right" vertical="top"/>
    </xf>
    <xf numFmtId="0" fontId="13" fillId="36" borderId="0" xfId="15" applyFont="1" applyFill="1" applyAlignment="1">
      <alignment vertical="top"/>
    </xf>
    <xf numFmtId="0" fontId="81" fillId="13" borderId="62" xfId="1" applyFont="1" applyFill="1" applyBorder="1" applyAlignment="1">
      <alignment horizontal="center" vertical="center"/>
    </xf>
    <xf numFmtId="0" fontId="56" fillId="3" borderId="5" xfId="0" applyFont="1" applyFill="1" applyBorder="1" applyAlignment="1" applyProtection="1">
      <alignment horizontal="left" vertical="center"/>
      <protection locked="0"/>
    </xf>
    <xf numFmtId="0" fontId="56" fillId="3" borderId="0" xfId="0" applyFont="1" applyFill="1" applyAlignment="1" applyProtection="1">
      <alignment horizontal="left" vertical="center"/>
      <protection locked="0"/>
    </xf>
    <xf numFmtId="0" fontId="314" fillId="3" borderId="63" xfId="1" applyFont="1" applyFill="1" applyBorder="1" applyAlignment="1" applyProtection="1">
      <alignment horizontal="right" vertical="center"/>
      <protection hidden="1"/>
    </xf>
    <xf numFmtId="0" fontId="72" fillId="3" borderId="0" xfId="0" applyFont="1" applyFill="1" applyAlignment="1" applyProtection="1">
      <alignment horizontal="left" vertical="center"/>
      <protection locked="0"/>
    </xf>
    <xf numFmtId="0" fontId="56" fillId="3" borderId="4" xfId="0" applyFont="1" applyFill="1" applyBorder="1" applyAlignment="1" applyProtection="1">
      <alignment horizontal="left" vertical="center"/>
      <protection locked="0"/>
    </xf>
    <xf numFmtId="0" fontId="315" fillId="3" borderId="0" xfId="1" applyFont="1" applyFill="1" applyAlignment="1">
      <alignment horizontal="center" vertical="center"/>
    </xf>
    <xf numFmtId="166" fontId="0" fillId="0" borderId="63" xfId="0" applyNumberFormat="1" applyBorder="1" applyAlignment="1">
      <alignment horizontal="center"/>
    </xf>
    <xf numFmtId="0" fontId="44" fillId="3" borderId="4" xfId="0" applyFont="1" applyFill="1" applyBorder="1" applyAlignment="1">
      <alignment horizontal="left" vertical="center"/>
    </xf>
    <xf numFmtId="0" fontId="8" fillId="3" borderId="57" xfId="0" applyFont="1" applyFill="1" applyBorder="1" applyAlignment="1">
      <alignment horizontal="centerContinuous" vertical="center"/>
    </xf>
    <xf numFmtId="0" fontId="8" fillId="3" borderId="0" xfId="0" applyFont="1" applyFill="1" applyAlignment="1">
      <alignment horizontal="centerContinuous" vertical="center"/>
    </xf>
    <xf numFmtId="0" fontId="316" fillId="3" borderId="57" xfId="1" applyFont="1" applyFill="1" applyBorder="1" applyAlignment="1">
      <alignment horizontal="center" vertical="center"/>
    </xf>
    <xf numFmtId="167" fontId="317" fillId="59" borderId="0" xfId="0" applyNumberFormat="1" applyFont="1" applyFill="1" applyAlignment="1">
      <alignment horizontal="center" vertical="center"/>
    </xf>
    <xf numFmtId="0" fontId="318" fillId="3" borderId="0" xfId="8" applyFont="1" applyFill="1" applyBorder="1" applyAlignment="1" applyProtection="1"/>
    <xf numFmtId="0" fontId="34" fillId="3" borderId="0" xfId="0" applyFont="1" applyFill="1" applyAlignment="1">
      <alignment horizontal="center" vertical="center" wrapText="1"/>
    </xf>
    <xf numFmtId="0" fontId="34" fillId="3" borderId="85" xfId="0" applyFont="1" applyFill="1" applyBorder="1" applyAlignment="1">
      <alignment horizontal="center" vertical="center" wrapText="1"/>
    </xf>
    <xf numFmtId="0" fontId="34" fillId="22" borderId="57" xfId="0" applyFont="1" applyFill="1" applyBorder="1" applyAlignment="1">
      <alignment horizontal="center" vertical="center"/>
    </xf>
    <xf numFmtId="0" fontId="44" fillId="3" borderId="0" xfId="0" applyFont="1" applyFill="1" applyAlignment="1">
      <alignment horizontal="left" vertical="center"/>
    </xf>
    <xf numFmtId="167" fontId="15" fillId="3" borderId="0" xfId="0" applyNumberFormat="1" applyFont="1" applyFill="1" applyAlignment="1">
      <alignment horizontal="center" vertical="center"/>
    </xf>
    <xf numFmtId="0" fontId="0" fillId="3" borderId="0" xfId="0" applyFill="1" applyAlignment="1">
      <alignment horizontal="center" vertical="center"/>
    </xf>
    <xf numFmtId="0" fontId="318" fillId="3" borderId="0" xfId="8" applyFont="1" applyFill="1" applyBorder="1" applyAlignment="1" applyProtection="1">
      <alignment horizontal="left" vertical="center"/>
    </xf>
    <xf numFmtId="0" fontId="315" fillId="3" borderId="57" xfId="1" applyFont="1" applyFill="1" applyBorder="1" applyAlignment="1">
      <alignment horizontal="center" vertical="center"/>
    </xf>
    <xf numFmtId="0" fontId="319" fillId="3" borderId="0" xfId="1" applyFont="1" applyFill="1" applyAlignment="1" applyProtection="1">
      <alignment horizontal="left"/>
      <protection hidden="1"/>
    </xf>
    <xf numFmtId="0" fontId="320" fillId="3" borderId="0" xfId="1" applyFont="1" applyFill="1" applyAlignment="1" applyProtection="1">
      <alignment horizontal="left"/>
      <protection hidden="1"/>
    </xf>
    <xf numFmtId="0" fontId="83" fillId="0" borderId="0" xfId="0" applyFont="1" applyAlignment="1">
      <alignment vertical="top"/>
    </xf>
    <xf numFmtId="0" fontId="315" fillId="3" borderId="142" xfId="1" applyFont="1" applyFill="1" applyBorder="1" applyAlignment="1">
      <alignment horizontal="center" vertical="center"/>
    </xf>
    <xf numFmtId="0" fontId="321" fillId="3" borderId="143" xfId="1" applyFont="1" applyFill="1" applyBorder="1" applyAlignment="1" applyProtection="1">
      <alignment horizontal="left"/>
      <protection hidden="1"/>
    </xf>
    <xf numFmtId="0" fontId="34" fillId="3" borderId="143" xfId="0" applyFont="1" applyFill="1" applyBorder="1" applyAlignment="1">
      <alignment horizontal="center" vertical="center" wrapText="1"/>
    </xf>
    <xf numFmtId="0" fontId="34" fillId="3" borderId="144" xfId="0" applyFont="1" applyFill="1" applyBorder="1" applyAlignment="1">
      <alignment horizontal="center" vertical="center" wrapText="1"/>
    </xf>
    <xf numFmtId="0" fontId="316" fillId="22" borderId="135" xfId="1" applyFont="1" applyFill="1" applyBorder="1" applyAlignment="1">
      <alignment horizontal="center" vertical="center"/>
    </xf>
    <xf numFmtId="0" fontId="34" fillId="3" borderId="138" xfId="0" applyFont="1" applyFill="1" applyBorder="1" applyAlignment="1">
      <alignment horizontal="center" vertical="center" wrapText="1"/>
    </xf>
    <xf numFmtId="0" fontId="316" fillId="3" borderId="136" xfId="1" applyFont="1" applyFill="1" applyBorder="1" applyAlignment="1">
      <alignment horizontal="center" vertical="center"/>
    </xf>
    <xf numFmtId="0" fontId="8" fillId="3" borderId="137" xfId="0" applyFont="1" applyFill="1" applyBorder="1" applyAlignment="1">
      <alignment horizontal="center" vertical="center"/>
    </xf>
    <xf numFmtId="0" fontId="34" fillId="22" borderId="5"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0" xfId="0" applyFont="1" applyFill="1" applyAlignment="1">
      <alignment horizontal="center" vertical="center"/>
    </xf>
    <xf numFmtId="0" fontId="14" fillId="3" borderId="4" xfId="0" applyFont="1" applyFill="1" applyBorder="1" applyAlignment="1">
      <alignment horizontal="center" vertical="center"/>
    </xf>
    <xf numFmtId="205" fontId="6" fillId="3" borderId="5" xfId="0" applyNumberFormat="1" applyFont="1" applyFill="1" applyBorder="1" applyAlignment="1">
      <alignment horizontal="center" vertical="center"/>
    </xf>
    <xf numFmtId="206" fontId="311" fillId="3" borderId="0" xfId="0" applyNumberFormat="1" applyFont="1" applyFill="1" applyAlignment="1">
      <alignment horizontal="center" vertical="center"/>
    </xf>
    <xf numFmtId="206" fontId="6" fillId="3" borderId="0" xfId="0" applyNumberFormat="1" applyFont="1" applyFill="1" applyAlignment="1">
      <alignment horizontal="center" vertical="center"/>
    </xf>
    <xf numFmtId="206" fontId="311" fillId="3" borderId="4" xfId="0" applyNumberFormat="1" applyFont="1" applyFill="1" applyBorder="1" applyAlignment="1">
      <alignment horizontal="center" vertical="center"/>
    </xf>
    <xf numFmtId="166" fontId="315" fillId="6" borderId="5" xfId="0" applyNumberFormat="1" applyFont="1" applyFill="1" applyBorder="1" applyAlignment="1">
      <alignment horizontal="center" vertical="center"/>
    </xf>
    <xf numFmtId="166" fontId="315" fillId="6" borderId="0" xfId="0" applyNumberFormat="1" applyFont="1" applyFill="1" applyAlignment="1">
      <alignment horizontal="center" vertical="center"/>
    </xf>
    <xf numFmtId="166" fontId="315" fillId="3" borderId="0" xfId="0" applyNumberFormat="1" applyFont="1" applyFill="1" applyAlignment="1">
      <alignment horizontal="center" vertical="center"/>
    </xf>
    <xf numFmtId="166" fontId="315" fillId="6" borderId="4" xfId="0" applyNumberFormat="1" applyFont="1" applyFill="1" applyBorder="1" applyAlignment="1">
      <alignment horizontal="center" vertical="center"/>
    </xf>
    <xf numFmtId="166" fontId="315" fillId="3" borderId="136" xfId="0" applyNumberFormat="1" applyFont="1" applyFill="1" applyBorder="1" applyAlignment="1">
      <alignment horizontal="center" vertical="center"/>
    </xf>
    <xf numFmtId="0" fontId="315" fillId="3" borderId="137" xfId="1" applyFont="1" applyFill="1" applyBorder="1" applyAlignment="1">
      <alignment horizontal="center" vertical="center"/>
    </xf>
    <xf numFmtId="0" fontId="315" fillId="3" borderId="5" xfId="1" applyFont="1" applyFill="1" applyBorder="1" applyAlignment="1">
      <alignment horizontal="center" vertical="center"/>
    </xf>
    <xf numFmtId="0" fontId="321" fillId="3" borderId="0" xfId="1" applyFont="1" applyFill="1" applyAlignment="1" applyProtection="1">
      <alignment horizontal="left"/>
      <protection hidden="1"/>
    </xf>
    <xf numFmtId="0" fontId="174" fillId="3" borderId="0" xfId="1" applyFont="1" applyFill="1" applyAlignment="1">
      <alignment vertical="center"/>
    </xf>
    <xf numFmtId="0" fontId="174" fillId="3" borderId="4" xfId="1" applyFont="1" applyFill="1" applyBorder="1" applyAlignment="1">
      <alignment vertical="center"/>
    </xf>
    <xf numFmtId="0" fontId="316" fillId="22" borderId="5" xfId="1" applyFont="1" applyFill="1" applyBorder="1" applyAlignment="1">
      <alignment horizontal="center" vertical="center"/>
    </xf>
    <xf numFmtId="0" fontId="322" fillId="3" borderId="0" xfId="1" applyFont="1" applyFill="1" applyAlignment="1" applyProtection="1">
      <alignment horizontal="left"/>
      <protection hidden="1"/>
    </xf>
    <xf numFmtId="0" fontId="314" fillId="3" borderId="4" xfId="1" applyFont="1" applyFill="1" applyBorder="1" applyAlignment="1" applyProtection="1">
      <alignment horizontal="right" vertical="center"/>
      <protection hidden="1"/>
    </xf>
    <xf numFmtId="166" fontId="315" fillId="3" borderId="5" xfId="0" applyNumberFormat="1" applyFont="1" applyFill="1" applyBorder="1" applyAlignment="1">
      <alignment horizontal="center" vertical="center"/>
    </xf>
    <xf numFmtId="0" fontId="0" fillId="0" borderId="0" xfId="0" applyAlignment="1">
      <alignment horizontal="right"/>
    </xf>
    <xf numFmtId="0" fontId="318" fillId="0" borderId="0" xfId="8" applyFont="1" applyAlignment="1" applyProtection="1"/>
    <xf numFmtId="0" fontId="169" fillId="22" borderId="0" xfId="0" applyFont="1" applyFill="1" applyAlignment="1">
      <alignment horizontal="center" vertical="center"/>
    </xf>
    <xf numFmtId="0" fontId="61" fillId="3" borderId="58" xfId="1" applyFont="1" applyFill="1" applyBorder="1" applyAlignment="1" applyProtection="1">
      <alignment horizontal="center" vertical="center"/>
      <protection hidden="1"/>
    </xf>
    <xf numFmtId="0" fontId="44" fillId="3" borderId="0" xfId="0" applyFont="1" applyFill="1" applyAlignment="1">
      <alignment horizontal="center" vertical="center"/>
    </xf>
    <xf numFmtId="167" fontId="28" fillId="9" borderId="58" xfId="3" applyNumberFormat="1" applyFont="1" applyFill="1" applyBorder="1" applyAlignment="1">
      <alignment horizontal="center" vertical="center"/>
    </xf>
    <xf numFmtId="0" fontId="0" fillId="3" borderId="0" xfId="0" applyFill="1" applyAlignment="1">
      <alignment horizontal="left" vertical="center"/>
    </xf>
    <xf numFmtId="0" fontId="226" fillId="3" borderId="0" xfId="1" applyFont="1" applyFill="1" applyAlignment="1">
      <alignment horizontal="center" vertical="center" wrapText="1"/>
    </xf>
    <xf numFmtId="0" fontId="226" fillId="3" borderId="4" xfId="1" applyFont="1" applyFill="1" applyBorder="1" applyAlignment="1">
      <alignment horizontal="center" vertical="center" wrapText="1"/>
    </xf>
    <xf numFmtId="0" fontId="287" fillId="3" borderId="0" xfId="5" applyFont="1" applyFill="1" applyAlignment="1">
      <alignment horizontal="left" vertical="center"/>
    </xf>
    <xf numFmtId="0" fontId="145" fillId="3" borderId="0" xfId="8" applyFont="1" applyFill="1" applyAlignment="1">
      <alignment horizontal="left"/>
    </xf>
    <xf numFmtId="0" fontId="7" fillId="3" borderId="0" xfId="1" applyFill="1" applyAlignment="1">
      <alignment horizontal="center" vertical="center"/>
    </xf>
    <xf numFmtId="0" fontId="7" fillId="3" borderId="57" xfId="1" applyFill="1" applyBorder="1" applyAlignment="1">
      <alignment horizontal="center" vertical="center" wrapText="1"/>
    </xf>
    <xf numFmtId="0" fontId="7" fillId="3" borderId="0" xfId="1" applyFill="1" applyAlignment="1">
      <alignment horizontal="center" vertical="center" wrapText="1"/>
    </xf>
    <xf numFmtId="0" fontId="7" fillId="3" borderId="1" xfId="1" applyFill="1" applyBorder="1" applyAlignment="1">
      <alignment horizontal="center" vertical="center"/>
    </xf>
    <xf numFmtId="0" fontId="70" fillId="3" borderId="0" xfId="2" applyFont="1" applyFill="1" applyAlignment="1">
      <alignment horizontal="center" vertical="center"/>
    </xf>
    <xf numFmtId="0" fontId="35" fillId="27" borderId="5" xfId="2" applyFont="1" applyFill="1" applyBorder="1" applyAlignment="1">
      <alignment horizontal="center" vertical="center"/>
    </xf>
    <xf numFmtId="174" fontId="70" fillId="3" borderId="0" xfId="4" applyNumberFormat="1" applyFont="1" applyFill="1" applyAlignment="1">
      <alignment horizontal="right" vertical="center" wrapText="1"/>
    </xf>
    <xf numFmtId="174" fontId="55" fillId="3" borderId="0" xfId="4" applyNumberFormat="1" applyFont="1" applyFill="1" applyAlignment="1">
      <alignment horizontal="right" vertical="center" wrapText="1"/>
    </xf>
    <xf numFmtId="174" fontId="104" fillId="3" borderId="0" xfId="4" applyNumberFormat="1" applyFont="1" applyFill="1" applyAlignment="1">
      <alignment horizontal="right" vertical="center" wrapText="1"/>
    </xf>
    <xf numFmtId="0" fontId="35" fillId="27" borderId="57" xfId="12" applyFont="1" applyFill="1" applyBorder="1" applyAlignment="1">
      <alignment horizontal="center" vertical="center"/>
    </xf>
    <xf numFmtId="0" fontId="8" fillId="3" borderId="0" xfId="13" applyFont="1" applyFill="1" applyAlignment="1">
      <alignment horizontal="right" vertical="center"/>
    </xf>
    <xf numFmtId="0" fontId="35" fillId="30" borderId="57" xfId="12" applyFont="1" applyFill="1" applyBorder="1" applyAlignment="1">
      <alignment horizontal="center" vertical="center"/>
    </xf>
    <xf numFmtId="2" fontId="13" fillId="3" borderId="0" xfId="13" applyNumberFormat="1" applyFont="1" applyFill="1" applyAlignment="1">
      <alignment horizontal="center" vertical="center"/>
    </xf>
    <xf numFmtId="0" fontId="110" fillId="3" borderId="0" xfId="13" applyFont="1" applyFill="1" applyAlignment="1">
      <alignment horizontal="left" vertical="center"/>
    </xf>
    <xf numFmtId="180" fontId="111" fillId="3" borderId="5" xfId="13" applyNumberFormat="1" applyFont="1" applyFill="1" applyBorder="1" applyAlignment="1">
      <alignment horizontal="center" vertical="center"/>
    </xf>
    <xf numFmtId="180" fontId="111" fillId="3" borderId="0" xfId="13" applyNumberFormat="1" applyFont="1" applyFill="1" applyAlignment="1">
      <alignment horizontal="center" vertical="center"/>
    </xf>
    <xf numFmtId="181" fontId="111" fillId="3" borderId="0" xfId="13" applyNumberFormat="1" applyFont="1" applyFill="1" applyAlignment="1">
      <alignment horizontal="center" vertical="center"/>
    </xf>
    <xf numFmtId="0" fontId="182" fillId="3" borderId="0" xfId="8" applyFont="1" applyFill="1" applyBorder="1" applyAlignment="1">
      <alignment horizontal="left" vertical="center"/>
    </xf>
    <xf numFmtId="0" fontId="169" fillId="3" borderId="0" xfId="0" applyFont="1" applyFill="1" applyAlignment="1">
      <alignment vertical="center"/>
    </xf>
    <xf numFmtId="0" fontId="156" fillId="0" borderId="0" xfId="3" applyFont="1" applyAlignment="1" applyProtection="1">
      <alignment vertical="center"/>
      <protection locked="0"/>
    </xf>
    <xf numFmtId="0" fontId="156" fillId="0" borderId="0" xfId="3" applyFont="1" applyAlignment="1">
      <alignment vertical="center"/>
    </xf>
    <xf numFmtId="0" fontId="61" fillId="3" borderId="0" xfId="3" applyFont="1" applyFill="1" applyAlignment="1">
      <alignment vertical="center"/>
    </xf>
    <xf numFmtId="0" fontId="288" fillId="3" borderId="0" xfId="0" applyFont="1" applyFill="1" applyAlignment="1">
      <alignment horizontal="center" vertical="center"/>
    </xf>
    <xf numFmtId="0" fontId="182" fillId="3" borderId="0" xfId="8" applyFont="1" applyFill="1" applyAlignment="1">
      <alignment vertical="center"/>
    </xf>
    <xf numFmtId="0" fontId="15" fillId="3" borderId="0" xfId="0" applyFont="1" applyFill="1" applyAlignment="1">
      <alignment vertical="center"/>
    </xf>
    <xf numFmtId="0" fontId="15" fillId="3" borderId="0" xfId="0" applyFont="1" applyFill="1"/>
    <xf numFmtId="0" fontId="331" fillId="0" borderId="0" xfId="8" applyFont="1" applyAlignment="1">
      <alignment vertical="center"/>
    </xf>
    <xf numFmtId="0" fontId="327" fillId="3" borderId="0" xfId="11" applyFont="1" applyFill="1" applyAlignment="1">
      <alignment vertical="center"/>
    </xf>
    <xf numFmtId="0" fontId="328" fillId="12" borderId="0" xfId="1" applyFont="1" applyFill="1" applyAlignment="1">
      <alignment vertical="center"/>
    </xf>
    <xf numFmtId="0" fontId="327" fillId="12" borderId="0" xfId="11" applyFont="1" applyFill="1" applyAlignment="1">
      <alignment vertical="center"/>
    </xf>
    <xf numFmtId="0" fontId="61" fillId="12" borderId="0" xfId="3" applyFont="1" applyFill="1" applyAlignment="1">
      <alignment vertical="center"/>
    </xf>
    <xf numFmtId="0" fontId="61" fillId="31" borderId="0" xfId="3" applyFont="1" applyFill="1" applyAlignment="1">
      <alignment vertical="center"/>
    </xf>
    <xf numFmtId="0" fontId="11" fillId="31" borderId="0" xfId="3" applyFont="1" applyFill="1" applyAlignment="1">
      <alignment horizontal="center" vertical="center"/>
    </xf>
    <xf numFmtId="0" fontId="11" fillId="31" borderId="0" xfId="3" applyFont="1" applyFill="1" applyAlignment="1">
      <alignment vertical="center" wrapText="1"/>
    </xf>
    <xf numFmtId="0" fontId="332" fillId="31" borderId="0" xfId="11" applyFont="1" applyFill="1" applyAlignment="1">
      <alignment vertical="center"/>
    </xf>
    <xf numFmtId="0" fontId="167" fillId="31" borderId="0" xfId="1" applyFont="1" applyFill="1"/>
    <xf numFmtId="0" fontId="54" fillId="3" borderId="0" xfId="3" applyFont="1" applyFill="1" applyAlignment="1">
      <alignment horizontal="center" vertical="center" wrapText="1"/>
    </xf>
    <xf numFmtId="0" fontId="329" fillId="3" borderId="0" xfId="0" applyFont="1" applyFill="1" applyAlignment="1">
      <alignment vertical="center" wrapText="1"/>
    </xf>
    <xf numFmtId="1" fontId="326" fillId="63" borderId="0" xfId="1" applyNumberFormat="1" applyFont="1" applyFill="1" applyAlignment="1" applyProtection="1">
      <alignment horizontal="center" vertical="center"/>
      <protection locked="0"/>
    </xf>
    <xf numFmtId="0" fontId="288" fillId="31" borderId="0" xfId="0" applyFont="1" applyFill="1" applyAlignment="1">
      <alignment horizontal="center" vertical="center"/>
    </xf>
    <xf numFmtId="0" fontId="168" fillId="3" borderId="5" xfId="3" applyFont="1" applyFill="1" applyBorder="1" applyAlignment="1">
      <alignment horizontal="center" vertical="center" wrapText="1"/>
    </xf>
    <xf numFmtId="0" fontId="168" fillId="3" borderId="0" xfId="3" applyFont="1" applyFill="1" applyAlignment="1">
      <alignment horizontal="center" vertical="center" wrapText="1"/>
    </xf>
    <xf numFmtId="0" fontId="168" fillId="3" borderId="4" xfId="3" applyFont="1" applyFill="1" applyBorder="1" applyAlignment="1">
      <alignment horizontal="center" vertical="center" wrapText="1"/>
    </xf>
    <xf numFmtId="0" fontId="334" fillId="3" borderId="5" xfId="3" applyFont="1" applyFill="1" applyBorder="1" applyAlignment="1">
      <alignment horizontal="center" vertical="center"/>
    </xf>
    <xf numFmtId="0" fontId="7" fillId="3" borderId="4" xfId="1" applyFill="1" applyBorder="1"/>
    <xf numFmtId="0" fontId="335" fillId="3" borderId="5" xfId="3" applyFont="1" applyFill="1" applyBorder="1" applyAlignment="1">
      <alignment horizontal="center" vertical="center"/>
    </xf>
    <xf numFmtId="0" fontId="336" fillId="3" borderId="5" xfId="1" applyFont="1" applyFill="1" applyBorder="1" applyAlignment="1">
      <alignment horizontal="center" vertical="center"/>
    </xf>
    <xf numFmtId="0" fontId="7" fillId="3" borderId="19" xfId="1" applyFill="1" applyBorder="1"/>
    <xf numFmtId="0" fontId="7" fillId="0" borderId="18" xfId="1" applyBorder="1"/>
    <xf numFmtId="0" fontId="7" fillId="3" borderId="18" xfId="1" applyFill="1" applyBorder="1"/>
    <xf numFmtId="0" fontId="7" fillId="3" borderId="17" xfId="1" applyFill="1" applyBorder="1"/>
    <xf numFmtId="0" fontId="15" fillId="3" borderId="5" xfId="1" applyFont="1" applyFill="1" applyBorder="1" applyAlignment="1">
      <alignment vertical="center" wrapText="1"/>
    </xf>
    <xf numFmtId="0" fontId="15" fillId="3" borderId="0" xfId="1" applyFont="1" applyFill="1" applyAlignment="1">
      <alignment vertical="center" wrapText="1"/>
    </xf>
    <xf numFmtId="0" fontId="15" fillId="3" borderId="4" xfId="1" applyFont="1" applyFill="1" applyBorder="1" applyAlignment="1">
      <alignment vertical="center" wrapText="1"/>
    </xf>
    <xf numFmtId="0" fontId="147" fillId="3" borderId="93" xfId="1" applyFont="1" applyFill="1" applyBorder="1" applyAlignment="1">
      <alignment vertical="center"/>
    </xf>
    <xf numFmtId="0" fontId="7" fillId="0" borderId="2" xfId="1" applyBorder="1"/>
    <xf numFmtId="0" fontId="279" fillId="3" borderId="2" xfId="1" applyFont="1" applyFill="1" applyBorder="1" applyAlignment="1">
      <alignment vertical="center"/>
    </xf>
    <xf numFmtId="0" fontId="147" fillId="3" borderId="136" xfId="1" applyFont="1" applyFill="1" applyBorder="1" applyAlignment="1">
      <alignment vertical="center"/>
    </xf>
    <xf numFmtId="0" fontId="7" fillId="0" borderId="141" xfId="1" applyBorder="1"/>
    <xf numFmtId="0" fontId="279" fillId="3" borderId="141" xfId="1" applyFont="1" applyFill="1" applyBorder="1" applyAlignment="1">
      <alignment vertical="center"/>
    </xf>
    <xf numFmtId="0" fontId="147" fillId="3" borderId="0" xfId="3" applyFont="1" applyFill="1" applyAlignment="1">
      <alignment horizontal="center" vertical="center" wrapText="1"/>
    </xf>
    <xf numFmtId="0" fontId="147" fillId="3" borderId="0" xfId="3" applyFont="1" applyFill="1" applyAlignment="1">
      <alignment horizontal="center" vertical="center"/>
    </xf>
    <xf numFmtId="0" fontId="36" fillId="3" borderId="5" xfId="1" applyFont="1" applyFill="1" applyBorder="1"/>
    <xf numFmtId="0" fontId="36" fillId="3" borderId="0" xfId="1" applyFont="1" applyFill="1"/>
    <xf numFmtId="208" fontId="34" fillId="3" borderId="0" xfId="1" applyNumberFormat="1" applyFont="1" applyFill="1" applyAlignment="1">
      <alignment horizontal="center" vertical="center"/>
    </xf>
    <xf numFmtId="2" fontId="15" fillId="3" borderId="0" xfId="1" applyNumberFormat="1" applyFont="1" applyFill="1" applyAlignment="1">
      <alignment horizontal="center" vertical="center"/>
    </xf>
    <xf numFmtId="0" fontId="337" fillId="3" borderId="5" xfId="1" applyFont="1" applyFill="1" applyBorder="1" applyAlignment="1">
      <alignment horizontal="left" vertical="center"/>
    </xf>
    <xf numFmtId="0" fontId="325" fillId="3" borderId="0" xfId="0" applyFont="1" applyFill="1" applyAlignment="1">
      <alignment wrapText="1"/>
    </xf>
    <xf numFmtId="0" fontId="338" fillId="3" borderId="0" xfId="11" applyFont="1" applyFill="1" applyBorder="1" applyAlignment="1">
      <alignment horizontal="center" vertical="center" wrapText="1"/>
    </xf>
    <xf numFmtId="0" fontId="338" fillId="3" borderId="4" xfId="11" applyFont="1" applyFill="1" applyBorder="1" applyAlignment="1">
      <alignment horizontal="center" vertical="center" wrapText="1"/>
    </xf>
    <xf numFmtId="0" fontId="7" fillId="0" borderId="93" xfId="1" applyBorder="1"/>
    <xf numFmtId="0" fontId="340" fillId="3" borderId="5" xfId="0" applyFont="1" applyFill="1" applyBorder="1"/>
    <xf numFmtId="0" fontId="340" fillId="3" borderId="0" xfId="0" applyFont="1" applyFill="1"/>
    <xf numFmtId="209" fontId="279" fillId="31" borderId="0" xfId="1" applyNumberFormat="1" applyFont="1" applyFill="1" applyAlignment="1">
      <alignment horizontal="center" vertical="center"/>
    </xf>
    <xf numFmtId="209" fontId="279" fillId="12" borderId="0" xfId="1" applyNumberFormat="1" applyFont="1" applyFill="1" applyAlignment="1">
      <alignment horizontal="center" vertical="center"/>
    </xf>
    <xf numFmtId="194" fontId="279" fillId="31" borderId="0" xfId="1" applyNumberFormat="1" applyFont="1" applyFill="1" applyAlignment="1">
      <alignment vertical="center"/>
    </xf>
    <xf numFmtId="194" fontId="279" fillId="12" borderId="4" xfId="1" applyNumberFormat="1" applyFont="1" applyFill="1" applyBorder="1" applyAlignment="1">
      <alignment vertical="center"/>
    </xf>
    <xf numFmtId="0" fontId="57" fillId="3" borderId="5" xfId="11" applyFill="1" applyBorder="1" applyAlignment="1">
      <alignment vertical="center" wrapText="1"/>
    </xf>
    <xf numFmtId="0" fontId="57" fillId="3" borderId="0" xfId="11" applyFill="1" applyBorder="1" applyAlignment="1">
      <alignment vertical="center" wrapText="1"/>
    </xf>
    <xf numFmtId="3" fontId="343" fillId="31" borderId="5" xfId="3" applyNumberFormat="1" applyFont="1" applyFill="1" applyBorder="1" applyAlignment="1">
      <alignment horizontal="center" vertical="center"/>
    </xf>
    <xf numFmtId="0" fontId="0" fillId="12" borderId="4" xfId="0" applyFill="1" applyBorder="1"/>
    <xf numFmtId="0" fontId="347" fillId="3" borderId="18" xfId="1" applyFont="1" applyFill="1" applyBorder="1" applyAlignment="1">
      <alignment vertical="center"/>
    </xf>
    <xf numFmtId="0" fontId="347" fillId="3" borderId="17" xfId="1" applyFont="1" applyFill="1" applyBorder="1" applyAlignment="1">
      <alignment vertical="center"/>
    </xf>
    <xf numFmtId="0" fontId="12" fillId="3" borderId="89" xfId="3" applyFont="1" applyFill="1" applyBorder="1" applyAlignment="1">
      <alignment vertical="center"/>
    </xf>
    <xf numFmtId="0" fontId="12" fillId="3" borderId="91" xfId="3" applyFont="1" applyFill="1" applyBorder="1" applyAlignment="1">
      <alignment vertical="center"/>
    </xf>
    <xf numFmtId="0" fontId="347" fillId="3" borderId="0" xfId="1" applyFont="1" applyFill="1" applyAlignment="1">
      <alignment vertical="center"/>
    </xf>
    <xf numFmtId="0" fontId="12" fillId="3" borderId="90" xfId="3" applyFont="1" applyFill="1" applyBorder="1" applyAlignment="1">
      <alignment vertical="center"/>
    </xf>
    <xf numFmtId="0" fontId="346" fillId="3" borderId="99" xfId="1" applyFont="1" applyFill="1" applyBorder="1" applyAlignment="1">
      <alignment vertical="center"/>
    </xf>
    <xf numFmtId="0" fontId="327" fillId="3" borderId="0" xfId="11" applyFont="1" applyFill="1" applyBorder="1" applyAlignment="1">
      <alignment vertical="center"/>
    </xf>
    <xf numFmtId="0" fontId="347" fillId="3" borderId="5" xfId="1" applyFont="1" applyFill="1" applyBorder="1" applyAlignment="1">
      <alignment vertical="center"/>
    </xf>
    <xf numFmtId="0" fontId="347" fillId="3" borderId="4" xfId="1" applyFont="1" applyFill="1" applyBorder="1" applyAlignment="1">
      <alignment vertical="center"/>
    </xf>
    <xf numFmtId="0" fontId="347" fillId="3" borderId="61" xfId="1" applyFont="1" applyFill="1" applyBorder="1" applyAlignment="1">
      <alignment vertical="center"/>
    </xf>
    <xf numFmtId="0" fontId="347" fillId="3" borderId="1" xfId="1" applyFont="1" applyFill="1" applyBorder="1" applyAlignment="1">
      <alignment vertical="center"/>
    </xf>
    <xf numFmtId="0" fontId="347" fillId="3" borderId="60" xfId="1" applyFont="1" applyFill="1" applyBorder="1" applyAlignment="1">
      <alignment vertical="center"/>
    </xf>
    <xf numFmtId="0" fontId="165" fillId="3" borderId="5" xfId="11" applyFont="1" applyFill="1" applyBorder="1"/>
    <xf numFmtId="0" fontId="174" fillId="3" borderId="4" xfId="3" applyFont="1" applyFill="1" applyBorder="1" applyAlignment="1">
      <alignment horizontal="center" vertical="center" wrapText="1"/>
    </xf>
    <xf numFmtId="0" fontId="279" fillId="3" borderId="0" xfId="3" applyFont="1" applyFill="1" applyAlignment="1">
      <alignment horizontal="center" vertical="center" wrapText="1"/>
    </xf>
    <xf numFmtId="0" fontId="174" fillId="3" borderId="0" xfId="3" applyFont="1" applyFill="1" applyAlignment="1">
      <alignment horizontal="center" vertical="center" wrapText="1"/>
    </xf>
    <xf numFmtId="0" fontId="351" fillId="3" borderId="0" xfId="1" applyFont="1" applyFill="1" applyAlignment="1">
      <alignment horizontal="center" vertical="center" wrapText="1"/>
    </xf>
    <xf numFmtId="0" fontId="350" fillId="3" borderId="5" xfId="1" applyFont="1" applyFill="1" applyBorder="1" applyAlignment="1">
      <alignment horizontal="center" vertical="center"/>
    </xf>
    <xf numFmtId="0" fontId="36" fillId="3" borderId="30" xfId="1" applyFont="1" applyFill="1" applyBorder="1" applyAlignment="1">
      <alignment vertical="center"/>
    </xf>
    <xf numFmtId="0" fontId="44" fillId="3" borderId="30" xfId="0" applyFont="1" applyFill="1" applyBorder="1" applyAlignment="1">
      <alignment horizontal="center" vertical="center"/>
    </xf>
    <xf numFmtId="165" fontId="67" fillId="3" borderId="30" xfId="3" applyNumberFormat="1" applyFont="1" applyFill="1" applyBorder="1" applyAlignment="1">
      <alignment horizontal="center" vertical="center"/>
    </xf>
    <xf numFmtId="0" fontId="36" fillId="3" borderId="31" xfId="1" applyFont="1" applyFill="1" applyBorder="1" applyAlignment="1">
      <alignment vertical="center"/>
    </xf>
    <xf numFmtId="165" fontId="354" fillId="3" borderId="0" xfId="3" applyNumberFormat="1" applyFont="1" applyFill="1" applyAlignment="1">
      <alignment horizontal="left" vertical="center"/>
    </xf>
    <xf numFmtId="0" fontId="36" fillId="3" borderId="4" xfId="1" applyFont="1" applyFill="1" applyBorder="1" applyAlignment="1">
      <alignment vertical="center"/>
    </xf>
    <xf numFmtId="165" fontId="354" fillId="3" borderId="20" xfId="3" applyNumberFormat="1" applyFont="1" applyFill="1" applyBorder="1" applyAlignment="1">
      <alignment horizontal="left" vertical="center"/>
    </xf>
    <xf numFmtId="0" fontId="36" fillId="3" borderId="45" xfId="1" applyFont="1" applyFill="1" applyBorder="1" applyAlignment="1">
      <alignment vertical="center"/>
    </xf>
    <xf numFmtId="0" fontId="0" fillId="3" borderId="5" xfId="0" applyFill="1" applyBorder="1" applyAlignment="1">
      <alignment horizontal="center" vertical="center" textRotation="90"/>
    </xf>
    <xf numFmtId="0" fontId="350" fillId="3" borderId="18" xfId="1" applyFont="1" applyFill="1" applyBorder="1" applyAlignment="1">
      <alignment horizontal="center" vertical="center"/>
    </xf>
    <xf numFmtId="0" fontId="358" fillId="3" borderId="0" xfId="1" applyFont="1" applyFill="1" applyAlignment="1" applyProtection="1">
      <alignment horizontal="center"/>
      <protection hidden="1"/>
    </xf>
    <xf numFmtId="0" fontId="357" fillId="3" borderId="0" xfId="3" applyFont="1" applyFill="1" applyAlignment="1">
      <alignment horizontal="center" vertical="center" wrapText="1"/>
    </xf>
    <xf numFmtId="0" fontId="361" fillId="4" borderId="0" xfId="1" applyFont="1" applyFill="1" applyAlignment="1">
      <alignment horizontal="center" vertical="center"/>
    </xf>
    <xf numFmtId="0" fontId="0" fillId="3" borderId="18" xfId="0" applyFill="1" applyBorder="1"/>
    <xf numFmtId="170" fontId="359" fillId="3" borderId="18" xfId="1" applyNumberFormat="1" applyFont="1" applyFill="1" applyBorder="1" applyAlignment="1">
      <alignment horizontal="right" vertical="center"/>
    </xf>
    <xf numFmtId="0" fontId="362" fillId="3" borderId="18" xfId="1" applyFont="1" applyFill="1" applyBorder="1" applyAlignment="1">
      <alignment horizontal="center" vertical="center"/>
    </xf>
    <xf numFmtId="194" fontId="279" fillId="3" borderId="18" xfId="1" applyNumberFormat="1" applyFont="1" applyFill="1" applyBorder="1" applyAlignment="1">
      <alignment horizontal="left" vertical="center"/>
    </xf>
    <xf numFmtId="0" fontId="0" fillId="3" borderId="61" xfId="0" applyFill="1" applyBorder="1" applyAlignment="1">
      <alignment horizontal="center" vertical="center" textRotation="90"/>
    </xf>
    <xf numFmtId="0" fontId="363" fillId="3" borderId="0" xfId="1" applyFont="1" applyFill="1" applyAlignment="1">
      <alignment horizontal="center" vertical="center"/>
    </xf>
    <xf numFmtId="2" fontId="24" fillId="62" borderId="0" xfId="1" applyNumberFormat="1" applyFont="1" applyFill="1" applyAlignment="1" applyProtection="1">
      <alignment vertical="center"/>
      <protection locked="0"/>
    </xf>
    <xf numFmtId="0" fontId="24" fillId="3" borderId="0" xfId="3" applyFont="1" applyFill="1" applyAlignment="1">
      <alignment vertical="center"/>
    </xf>
    <xf numFmtId="0" fontId="36" fillId="0" borderId="0" xfId="1" applyFont="1"/>
    <xf numFmtId="194" fontId="24" fillId="3" borderId="0" xfId="1" applyNumberFormat="1" applyFont="1" applyFill="1" applyAlignment="1">
      <alignment horizontal="left" vertical="center"/>
    </xf>
    <xf numFmtId="170" fontId="197" fillId="3" borderId="0" xfId="1" applyNumberFormat="1" applyFont="1" applyFill="1" applyAlignment="1">
      <alignment horizontal="right" vertical="center"/>
    </xf>
    <xf numFmtId="211" fontId="364" fillId="5" borderId="0" xfId="1" applyNumberFormat="1" applyFont="1" applyFill="1" applyAlignment="1">
      <alignment horizontal="center" vertical="center"/>
    </xf>
    <xf numFmtId="0" fontId="365" fillId="12" borderId="0" xfId="3" applyFont="1" applyFill="1" applyAlignment="1">
      <alignment horizontal="center" vertical="center"/>
    </xf>
    <xf numFmtId="0" fontId="330" fillId="12" borderId="0" xfId="1" applyFont="1" applyFill="1" applyAlignment="1">
      <alignment horizontal="center" vertical="center"/>
    </xf>
    <xf numFmtId="0" fontId="72" fillId="12" borderId="0" xfId="0" applyFont="1" applyFill="1"/>
    <xf numFmtId="165" fontId="366" fillId="12" borderId="0" xfId="1" applyNumberFormat="1" applyFont="1" applyFill="1" applyAlignment="1">
      <alignment horizontal="center" vertical="center"/>
    </xf>
    <xf numFmtId="0" fontId="367" fillId="12" borderId="0" xfId="1" applyFont="1" applyFill="1" applyAlignment="1">
      <alignment horizontal="center" vertical="center"/>
    </xf>
    <xf numFmtId="170" fontId="197" fillId="12" borderId="0" xfId="1" applyNumberFormat="1" applyFont="1" applyFill="1" applyAlignment="1">
      <alignment horizontal="center" vertical="center"/>
    </xf>
    <xf numFmtId="212" fontId="197" fillId="12" borderId="0" xfId="1" applyNumberFormat="1" applyFont="1" applyFill="1" applyAlignment="1">
      <alignment horizontal="center" vertical="center"/>
    </xf>
    <xf numFmtId="182" fontId="15" fillId="12" borderId="0" xfId="1" applyNumberFormat="1" applyFont="1" applyFill="1" applyAlignment="1">
      <alignment horizontal="left" vertical="center"/>
    </xf>
    <xf numFmtId="170" fontId="197" fillId="12" borderId="0" xfId="1" applyNumberFormat="1" applyFont="1" applyFill="1" applyAlignment="1">
      <alignment horizontal="right" vertical="center"/>
    </xf>
    <xf numFmtId="194" fontId="24" fillId="12" borderId="0" xfId="1" applyNumberFormat="1" applyFont="1" applyFill="1" applyAlignment="1">
      <alignment horizontal="left" vertical="center"/>
    </xf>
    <xf numFmtId="211" fontId="12" fillId="12" borderId="0" xfId="1" applyNumberFormat="1" applyFont="1" applyFill="1" applyAlignment="1">
      <alignment horizontal="center" vertical="center"/>
    </xf>
    <xf numFmtId="0" fontId="368" fillId="12" borderId="0" xfId="1" applyFont="1" applyFill="1" applyAlignment="1">
      <alignment horizontal="center" vertical="center"/>
    </xf>
    <xf numFmtId="170" fontId="197" fillId="12" borderId="89" xfId="1" applyNumberFormat="1" applyFont="1" applyFill="1" applyBorder="1" applyAlignment="1">
      <alignment horizontal="center" vertical="center"/>
    </xf>
    <xf numFmtId="212" fontId="197" fillId="12" borderId="89" xfId="1" applyNumberFormat="1" applyFont="1" applyFill="1" applyBorder="1" applyAlignment="1">
      <alignment horizontal="center" vertical="center"/>
    </xf>
    <xf numFmtId="170" fontId="197" fillId="12" borderId="89" xfId="1" applyNumberFormat="1" applyFont="1" applyFill="1" applyBorder="1" applyAlignment="1">
      <alignment horizontal="right" vertical="center"/>
    </xf>
    <xf numFmtId="0" fontId="368" fillId="12" borderId="89" xfId="1" applyFont="1" applyFill="1" applyBorder="1" applyAlignment="1">
      <alignment horizontal="center" vertical="center"/>
    </xf>
    <xf numFmtId="194" fontId="24" fillId="12" borderId="89" xfId="1" applyNumberFormat="1" applyFont="1" applyFill="1" applyBorder="1" applyAlignment="1">
      <alignment horizontal="left" vertical="center"/>
    </xf>
    <xf numFmtId="2" fontId="366" fillId="62" borderId="0" xfId="1" applyNumberFormat="1" applyFont="1" applyFill="1" applyAlignment="1" applyProtection="1">
      <alignment horizontal="center" vertical="center" wrapText="1"/>
      <protection locked="0"/>
    </xf>
    <xf numFmtId="0" fontId="169" fillId="3" borderId="0" xfId="1" applyFont="1" applyFill="1" applyAlignment="1">
      <alignment horizontal="center" vertical="center" wrapText="1"/>
    </xf>
    <xf numFmtId="0" fontId="169" fillId="3" borderId="101" xfId="1" applyFont="1" applyFill="1" applyBorder="1" applyAlignment="1">
      <alignment horizontal="right" vertical="center" wrapText="1"/>
    </xf>
    <xf numFmtId="165" fontId="169" fillId="3" borderId="0" xfId="1" applyNumberFormat="1" applyFont="1" applyFill="1" applyAlignment="1">
      <alignment horizontal="center" vertical="center" wrapText="1"/>
    </xf>
    <xf numFmtId="0" fontId="170" fillId="3" borderId="0" xfId="1" applyFont="1" applyFill="1" applyAlignment="1">
      <alignment horizontal="right" vertical="center"/>
    </xf>
    <xf numFmtId="165" fontId="30" fillId="3" borderId="0" xfId="1" applyNumberFormat="1" applyFont="1" applyFill="1" applyAlignment="1">
      <alignment vertical="center"/>
    </xf>
    <xf numFmtId="0" fontId="170" fillId="3" borderId="0" xfId="1" applyFont="1" applyFill="1" applyAlignment="1">
      <alignment horizontal="center" vertical="center" wrapText="1"/>
    </xf>
    <xf numFmtId="0" fontId="170" fillId="3" borderId="0" xfId="1" applyFont="1" applyFill="1" applyAlignment="1">
      <alignment horizontal="right" vertical="center" wrapText="1"/>
    </xf>
    <xf numFmtId="0" fontId="371" fillId="3" borderId="0" xfId="0" applyFont="1" applyFill="1" applyAlignment="1">
      <alignment vertical="center"/>
    </xf>
    <xf numFmtId="0" fontId="372" fillId="3" borderId="0" xfId="0" applyFont="1" applyFill="1" applyAlignment="1">
      <alignment vertical="center"/>
    </xf>
    <xf numFmtId="0" fontId="371" fillId="3" borderId="0" xfId="0" applyFont="1" applyFill="1" applyAlignment="1">
      <alignment horizontal="left" vertical="center"/>
    </xf>
    <xf numFmtId="0" fontId="206" fillId="3" borderId="0" xfId="11" applyFont="1" applyFill="1" applyBorder="1" applyAlignment="1">
      <alignment vertical="center"/>
    </xf>
    <xf numFmtId="0" fontId="374" fillId="3" borderId="5" xfId="0" applyFont="1" applyFill="1" applyBorder="1"/>
    <xf numFmtId="0" fontId="36" fillId="3" borderId="4" xfId="1" applyFont="1" applyFill="1" applyBorder="1"/>
    <xf numFmtId="0" fontId="373" fillId="3" borderId="5" xfId="0" applyFont="1" applyFill="1" applyBorder="1"/>
    <xf numFmtId="0" fontId="61" fillId="3" borderId="0" xfId="1" applyFont="1" applyFill="1"/>
    <xf numFmtId="0" fontId="61" fillId="3" borderId="4" xfId="1" applyFont="1" applyFill="1" applyBorder="1"/>
    <xf numFmtId="0" fontId="375" fillId="22" borderId="0" xfId="0" applyFont="1" applyFill="1" applyAlignment="1">
      <alignment horizontal="center"/>
    </xf>
    <xf numFmtId="0" fontId="374" fillId="3" borderId="0" xfId="0" applyFont="1" applyFill="1"/>
    <xf numFmtId="168" fontId="29" fillId="9" borderId="97" xfId="2" applyNumberFormat="1" applyFont="1" applyFill="1" applyBorder="1" applyAlignment="1">
      <alignment horizontal="center" vertical="center" wrapText="1"/>
    </xf>
    <xf numFmtId="167" fontId="28" fillId="9" borderId="97" xfId="3" applyNumberFormat="1" applyFont="1" applyFill="1" applyBorder="1" applyAlignment="1">
      <alignment horizontal="center" vertical="center"/>
    </xf>
    <xf numFmtId="168" fontId="29" fillId="10" borderId="97" xfId="2" applyNumberFormat="1" applyFont="1" applyFill="1" applyBorder="1" applyAlignment="1">
      <alignment horizontal="center" vertical="center" wrapText="1"/>
    </xf>
    <xf numFmtId="0" fontId="57" fillId="0" borderId="0" xfId="8"/>
    <xf numFmtId="0" fontId="69" fillId="3" borderId="0" xfId="1" applyFont="1" applyFill="1" applyProtection="1">
      <protection hidden="1"/>
    </xf>
    <xf numFmtId="0" fontId="37" fillId="3" borderId="134" xfId="1" applyFont="1" applyFill="1" applyBorder="1" applyAlignment="1">
      <alignment horizontal="center" vertical="center"/>
    </xf>
    <xf numFmtId="0" fontId="34" fillId="22" borderId="145" xfId="1" applyFont="1" applyFill="1" applyBorder="1" applyAlignment="1">
      <alignment horizontal="center" vertical="center"/>
    </xf>
    <xf numFmtId="0" fontId="15" fillId="3" borderId="122" xfId="1" applyFont="1" applyFill="1" applyBorder="1" applyAlignment="1">
      <alignment horizontal="center" vertical="center"/>
    </xf>
    <xf numFmtId="0" fontId="15" fillId="3" borderId="145" xfId="1" applyFont="1" applyFill="1" applyBorder="1" applyAlignment="1">
      <alignment horizontal="center" vertical="center"/>
    </xf>
    <xf numFmtId="0" fontId="34" fillId="22" borderId="122" xfId="1" applyFont="1" applyFill="1" applyBorder="1" applyAlignment="1">
      <alignment horizontal="center" vertical="center"/>
    </xf>
    <xf numFmtId="0" fontId="292" fillId="53" borderId="85" xfId="21" applyFont="1" applyFill="1" applyBorder="1" applyAlignment="1" applyProtection="1">
      <alignment horizontal="center" vertical="center"/>
      <protection locked="0"/>
    </xf>
    <xf numFmtId="1" fontId="13" fillId="0" borderId="85" xfId="21" applyNumberFormat="1" applyFont="1" applyBorder="1" applyAlignment="1">
      <alignment horizontal="center" vertical="center"/>
    </xf>
    <xf numFmtId="0" fontId="13" fillId="0" borderId="85" xfId="21" applyFont="1" applyBorder="1" applyAlignment="1">
      <alignment horizontal="center" vertical="center"/>
    </xf>
    <xf numFmtId="203" fontId="13" fillId="0" borderId="135" xfId="21" applyNumberFormat="1" applyFont="1" applyBorder="1" applyAlignment="1" applyProtection="1">
      <alignment horizontal="center" vertical="center"/>
      <protection locked="0"/>
    </xf>
    <xf numFmtId="0" fontId="13" fillId="0" borderId="141" xfId="21" applyFont="1" applyBorder="1" applyAlignment="1">
      <alignment horizontal="center" vertical="center"/>
    </xf>
    <xf numFmtId="0" fontId="39" fillId="25" borderId="138" xfId="21" applyFont="1" applyFill="1" applyBorder="1" applyAlignment="1">
      <alignment horizontal="center" vertical="center"/>
    </xf>
    <xf numFmtId="0" fontId="322" fillId="3" borderId="3" xfId="1" applyFont="1" applyFill="1" applyBorder="1" applyAlignment="1" applyProtection="1">
      <alignment horizontal="left"/>
      <protection hidden="1"/>
    </xf>
    <xf numFmtId="0" fontId="34" fillId="3" borderId="3" xfId="0" applyFont="1" applyFill="1" applyBorder="1" applyAlignment="1">
      <alignment horizontal="center" vertical="center" wrapText="1"/>
    </xf>
    <xf numFmtId="0" fontId="8" fillId="3" borderId="3" xfId="0" applyFont="1" applyFill="1" applyBorder="1" applyAlignment="1">
      <alignment horizontal="center" vertical="center"/>
    </xf>
    <xf numFmtId="0" fontId="315" fillId="3" borderId="3" xfId="1" applyFont="1" applyFill="1" applyBorder="1" applyAlignment="1">
      <alignment horizontal="center" vertical="center"/>
    </xf>
    <xf numFmtId="0" fontId="316" fillId="3" borderId="3" xfId="1" applyFont="1" applyFill="1" applyBorder="1" applyAlignment="1">
      <alignment horizontal="center" vertical="center"/>
    </xf>
    <xf numFmtId="167" fontId="323" fillId="59" borderId="2" xfId="0" applyNumberFormat="1" applyFont="1" applyFill="1" applyBorder="1" applyAlignment="1">
      <alignment horizontal="center" vertical="center"/>
    </xf>
    <xf numFmtId="9" fontId="0" fillId="3" borderId="2" xfId="0" applyNumberFormat="1" applyFill="1" applyBorder="1" applyAlignment="1">
      <alignment horizontal="center" vertical="center"/>
    </xf>
    <xf numFmtId="0" fontId="0" fillId="3" borderId="2" xfId="0" applyFill="1" applyBorder="1"/>
    <xf numFmtId="166" fontId="0" fillId="0" borderId="2" xfId="0" applyNumberFormat="1" applyBorder="1" applyAlignment="1">
      <alignment horizontal="center"/>
    </xf>
    <xf numFmtId="166" fontId="315" fillId="3" borderId="3" xfId="0" applyNumberFormat="1" applyFont="1" applyFill="1" applyBorder="1" applyAlignment="1">
      <alignment horizontal="center" vertical="center"/>
    </xf>
    <xf numFmtId="183" fontId="79" fillId="15" borderId="85" xfId="2" applyNumberFormat="1" applyFont="1" applyFill="1" applyBorder="1" applyAlignment="1" applyProtection="1">
      <alignment horizontal="center" vertical="center"/>
      <protection locked="0"/>
    </xf>
    <xf numFmtId="184" fontId="136" fillId="15" borderId="85" xfId="2" applyNumberFormat="1" applyFont="1" applyFill="1" applyBorder="1" applyAlignment="1" applyProtection="1">
      <alignment horizontal="center" vertical="center"/>
      <protection locked="0"/>
    </xf>
    <xf numFmtId="183" fontId="136" fillId="15" borderId="85" xfId="2" applyNumberFormat="1" applyFont="1" applyFill="1" applyBorder="1" applyAlignment="1" applyProtection="1">
      <alignment horizontal="center" vertical="center"/>
      <protection locked="0"/>
    </xf>
    <xf numFmtId="183" fontId="61" fillId="3" borderId="85" xfId="2" applyNumberFormat="1" applyFont="1" applyFill="1" applyBorder="1" applyAlignment="1" applyProtection="1">
      <alignment horizontal="center" vertical="center"/>
      <protection locked="0"/>
    </xf>
    <xf numFmtId="0" fontId="7" fillId="3" borderId="131" xfId="2" applyFont="1" applyFill="1" applyBorder="1" applyAlignment="1" applyProtection="1">
      <alignment horizontal="left" vertical="center"/>
      <protection locked="0"/>
    </xf>
    <xf numFmtId="184" fontId="61" fillId="3" borderId="85" xfId="2" applyNumberFormat="1" applyFont="1" applyFill="1" applyBorder="1" applyAlignment="1" applyProtection="1">
      <alignment horizontal="center" vertical="center"/>
      <protection locked="0"/>
    </xf>
    <xf numFmtId="0" fontId="7" fillId="12" borderId="97" xfId="2" applyFont="1" applyFill="1" applyBorder="1" applyAlignment="1" applyProtection="1">
      <alignment horizontal="right" vertical="center"/>
      <protection locked="0"/>
    </xf>
    <xf numFmtId="183" fontId="61" fillId="12" borderId="97" xfId="2" applyNumberFormat="1" applyFont="1" applyFill="1" applyBorder="1" applyAlignment="1" applyProtection="1">
      <alignment horizontal="center" vertical="center"/>
      <protection locked="0"/>
    </xf>
    <xf numFmtId="0" fontId="7" fillId="12" borderId="97" xfId="1" applyFill="1" applyBorder="1" applyProtection="1">
      <protection hidden="1"/>
    </xf>
    <xf numFmtId="0" fontId="61" fillId="12" borderId="97" xfId="2" applyFont="1" applyFill="1" applyBorder="1" applyAlignment="1" applyProtection="1">
      <alignment horizontal="right" vertical="center"/>
      <protection locked="0"/>
    </xf>
    <xf numFmtId="184" fontId="61" fillId="12" borderId="97" xfId="2" applyNumberFormat="1" applyFont="1" applyFill="1" applyBorder="1" applyAlignment="1" applyProtection="1">
      <alignment horizontal="center" vertical="center"/>
      <protection locked="0"/>
    </xf>
    <xf numFmtId="172" fontId="55" fillId="15" borderId="85" xfId="2" applyNumberFormat="1" applyFont="1" applyFill="1" applyBorder="1" applyAlignment="1" applyProtection="1">
      <alignment horizontal="center" vertical="center"/>
      <protection locked="0"/>
    </xf>
    <xf numFmtId="0" fontId="61" fillId="3" borderId="136" xfId="2" applyFont="1" applyFill="1" applyBorder="1" applyAlignment="1" applyProtection="1">
      <alignment horizontal="left" vertical="center"/>
      <protection locked="0"/>
    </xf>
    <xf numFmtId="184" fontId="61" fillId="3" borderId="138" xfId="2" applyNumberFormat="1" applyFont="1" applyFill="1" applyBorder="1" applyAlignment="1" applyProtection="1">
      <alignment horizontal="center" vertical="center"/>
      <protection locked="0"/>
    </xf>
    <xf numFmtId="183" fontId="61" fillId="3" borderId="138" xfId="2" applyNumberFormat="1" applyFont="1" applyFill="1" applyBorder="1" applyAlignment="1" applyProtection="1">
      <alignment horizontal="center" vertical="center"/>
      <protection locked="0"/>
    </xf>
    <xf numFmtId="184" fontId="61" fillId="3" borderId="137" xfId="2" applyNumberFormat="1" applyFont="1" applyFill="1" applyBorder="1" applyAlignment="1" applyProtection="1">
      <alignment horizontal="center" vertical="center"/>
      <protection locked="0"/>
    </xf>
    <xf numFmtId="0" fontId="43" fillId="4" borderId="149" xfId="7" applyFont="1" applyFill="1" applyBorder="1" applyAlignment="1" applyProtection="1">
      <alignment horizontal="left" vertical="center"/>
      <protection locked="0"/>
    </xf>
    <xf numFmtId="0" fontId="13" fillId="4" borderId="122" xfId="7" applyFont="1" applyFill="1" applyBorder="1" applyAlignment="1" applyProtection="1">
      <alignment horizontal="centerContinuous" vertical="center"/>
      <protection locked="0"/>
    </xf>
    <xf numFmtId="0" fontId="13" fillId="4" borderId="121" xfId="7" applyFont="1" applyFill="1" applyBorder="1" applyAlignment="1" applyProtection="1">
      <alignment horizontal="right" vertical="center"/>
      <protection locked="0"/>
    </xf>
    <xf numFmtId="167" fontId="38" fillId="2" borderId="85" xfId="0" applyNumberFormat="1" applyFont="1" applyFill="1" applyBorder="1" applyAlignment="1" applyProtection="1">
      <alignment horizontal="center" vertical="center"/>
      <protection locked="0"/>
    </xf>
    <xf numFmtId="176" fontId="38" fillId="15" borderId="85" xfId="0" applyNumberFormat="1" applyFont="1" applyFill="1" applyBorder="1" applyAlignment="1" applyProtection="1">
      <alignment horizontal="center" vertical="center"/>
      <protection locked="0"/>
    </xf>
    <xf numFmtId="167" fontId="39" fillId="15" borderId="85" xfId="0" applyNumberFormat="1" applyFont="1" applyFill="1" applyBorder="1" applyAlignment="1" applyProtection="1">
      <alignment horizontal="center" vertical="center"/>
      <protection locked="0"/>
    </xf>
    <xf numFmtId="172" fontId="39" fillId="15" borderId="85" xfId="0" applyNumberFormat="1" applyFont="1" applyFill="1" applyBorder="1" applyAlignment="1" applyProtection="1">
      <alignment horizontal="center" vertical="center"/>
      <protection locked="0"/>
    </xf>
    <xf numFmtId="176" fontId="39" fillId="15" borderId="85" xfId="0" applyNumberFormat="1" applyFont="1" applyFill="1" applyBorder="1" applyAlignment="1" applyProtection="1">
      <alignment horizontal="center" vertical="center"/>
      <protection locked="0"/>
    </xf>
    <xf numFmtId="167" fontId="24" fillId="8" borderId="85" xfId="0" applyNumberFormat="1" applyFont="1" applyFill="1" applyBorder="1" applyAlignment="1" applyProtection="1">
      <alignment horizontal="center" vertical="center"/>
      <protection locked="0"/>
    </xf>
    <xf numFmtId="169" fontId="24" fillId="8" borderId="85" xfId="0" applyNumberFormat="1" applyFont="1" applyFill="1" applyBorder="1" applyAlignment="1" applyProtection="1">
      <alignment horizontal="center" vertical="center"/>
      <protection locked="0"/>
    </xf>
    <xf numFmtId="176" fontId="24" fillId="8" borderId="85" xfId="0" applyNumberFormat="1" applyFont="1" applyFill="1" applyBorder="1" applyAlignment="1" applyProtection="1">
      <alignment horizontal="center" vertical="center"/>
      <protection locked="0"/>
    </xf>
    <xf numFmtId="0" fontId="24" fillId="8" borderId="135" xfId="0" applyFont="1" applyFill="1" applyBorder="1" applyAlignment="1" applyProtection="1">
      <alignment horizontal="right" vertical="center"/>
      <protection locked="0"/>
    </xf>
    <xf numFmtId="166" fontId="24" fillId="8" borderId="138" xfId="0" applyNumberFormat="1" applyFont="1" applyFill="1" applyBorder="1" applyAlignment="1" applyProtection="1">
      <alignment horizontal="center" vertical="center"/>
      <protection locked="0"/>
    </xf>
    <xf numFmtId="171" fontId="24" fillId="8" borderId="138" xfId="0" applyNumberFormat="1" applyFont="1" applyFill="1" applyBorder="1" applyAlignment="1" applyProtection="1">
      <alignment horizontal="center" vertical="center"/>
      <protection locked="0"/>
    </xf>
    <xf numFmtId="176" fontId="84" fillId="15" borderId="85" xfId="0" applyNumberFormat="1" applyFont="1" applyFill="1" applyBorder="1" applyAlignment="1" applyProtection="1">
      <alignment horizontal="center" vertical="center"/>
      <protection locked="0"/>
    </xf>
    <xf numFmtId="172" fontId="37" fillId="15" borderId="85" xfId="0" applyNumberFormat="1" applyFont="1" applyFill="1" applyBorder="1" applyAlignment="1" applyProtection="1">
      <alignment horizontal="center" vertical="center"/>
      <protection locked="0"/>
    </xf>
    <xf numFmtId="176" fontId="37" fillId="15" borderId="85" xfId="0" applyNumberFormat="1" applyFont="1" applyFill="1" applyBorder="1" applyAlignment="1" applyProtection="1">
      <alignment horizontal="center" vertical="center"/>
      <protection locked="0"/>
    </xf>
    <xf numFmtId="169" fontId="24" fillId="8" borderId="138" xfId="0" applyNumberFormat="1" applyFont="1" applyFill="1" applyBorder="1" applyAlignment="1" applyProtection="1">
      <alignment horizontal="center" vertical="center"/>
      <protection locked="0"/>
    </xf>
    <xf numFmtId="176" fontId="24" fillId="8" borderId="138" xfId="0" applyNumberFormat="1" applyFont="1" applyFill="1" applyBorder="1" applyAlignment="1" applyProtection="1">
      <alignment horizontal="center" vertical="center"/>
      <protection locked="0"/>
    </xf>
    <xf numFmtId="2" fontId="61" fillId="54" borderId="157" xfId="0" applyNumberFormat="1" applyFont="1" applyFill="1" applyBorder="1" applyAlignment="1" applyProtection="1">
      <alignment horizontal="center" vertical="center" wrapText="1"/>
      <protection locked="0"/>
    </xf>
    <xf numFmtId="9" fontId="163" fillId="11" borderId="158" xfId="0" applyNumberFormat="1" applyFont="1" applyFill="1" applyBorder="1" applyAlignment="1">
      <alignment horizontal="left" vertical="center"/>
    </xf>
    <xf numFmtId="165" fontId="151" fillId="8" borderId="159" xfId="4" applyNumberFormat="1" applyFont="1" applyFill="1" applyBorder="1" applyAlignment="1">
      <alignment horizontal="center" vertical="center"/>
    </xf>
    <xf numFmtId="189" fontId="15" fillId="12" borderId="160" xfId="0" applyNumberFormat="1" applyFont="1" applyFill="1" applyBorder="1" applyAlignment="1" applyProtection="1">
      <alignment horizontal="center" vertical="center"/>
      <protection locked="0"/>
    </xf>
    <xf numFmtId="0" fontId="7" fillId="3" borderId="85" xfId="1" applyFill="1" applyBorder="1" applyProtection="1">
      <protection hidden="1"/>
    </xf>
    <xf numFmtId="0" fontId="4" fillId="3" borderId="135" xfId="2" applyFill="1" applyBorder="1" applyAlignment="1">
      <alignment vertical="center"/>
    </xf>
    <xf numFmtId="0" fontId="7" fillId="3" borderId="138" xfId="1" applyFill="1" applyBorder="1" applyProtection="1">
      <protection hidden="1"/>
    </xf>
    <xf numFmtId="0" fontId="4" fillId="3" borderId="85" xfId="2" applyFill="1" applyBorder="1"/>
    <xf numFmtId="168" fontId="8" fillId="3" borderId="85" xfId="13" applyNumberFormat="1" applyFont="1" applyFill="1" applyBorder="1" applyAlignment="1">
      <alignment horizontal="center" vertical="center"/>
    </xf>
    <xf numFmtId="0" fontId="4" fillId="3" borderId="135" xfId="2" applyFill="1" applyBorder="1"/>
    <xf numFmtId="0" fontId="4" fillId="3" borderId="138" xfId="2" applyFill="1" applyBorder="1"/>
    <xf numFmtId="0" fontId="27" fillId="3" borderId="85" xfId="4" applyFont="1" applyFill="1" applyBorder="1" applyAlignment="1" applyProtection="1">
      <alignment horizontal="center" vertical="center"/>
      <protection locked="0"/>
    </xf>
    <xf numFmtId="0" fontId="38" fillId="15" borderId="161" xfId="4" applyFont="1" applyFill="1" applyBorder="1" applyAlignment="1">
      <alignment horizontal="center" vertical="center"/>
    </xf>
    <xf numFmtId="0" fontId="83" fillId="3" borderId="85" xfId="2" applyFont="1" applyFill="1" applyBorder="1" applyAlignment="1">
      <alignment horizontal="left" vertical="center"/>
    </xf>
    <xf numFmtId="168" fontId="39" fillId="15" borderId="161" xfId="4" applyNumberFormat="1" applyFont="1" applyFill="1" applyBorder="1" applyAlignment="1">
      <alignment horizontal="center" vertical="center"/>
    </xf>
    <xf numFmtId="168" fontId="84" fillId="15" borderId="161" xfId="4" applyNumberFormat="1" applyFont="1" applyFill="1" applyBorder="1" applyAlignment="1">
      <alignment horizontal="center" vertical="center"/>
    </xf>
    <xf numFmtId="0" fontId="13" fillId="3" borderId="151" xfId="4" applyFont="1" applyFill="1" applyBorder="1" applyAlignment="1">
      <alignment horizontal="center" vertical="center"/>
    </xf>
    <xf numFmtId="0" fontId="13" fillId="3" borderId="151" xfId="2" applyFont="1" applyFill="1" applyBorder="1" applyAlignment="1" applyProtection="1">
      <alignment horizontal="center" vertical="center"/>
      <protection locked="0"/>
    </xf>
    <xf numFmtId="0" fontId="7" fillId="3" borderId="135" xfId="1" applyFill="1" applyBorder="1" applyProtection="1">
      <protection hidden="1"/>
    </xf>
    <xf numFmtId="0" fontId="36" fillId="8" borderId="151" xfId="4" applyFont="1" applyFill="1" applyBorder="1" applyAlignment="1">
      <alignment horizontal="center" vertical="center"/>
    </xf>
    <xf numFmtId="0" fontId="36" fillId="8" borderId="151" xfId="2" applyFont="1" applyFill="1" applyBorder="1" applyAlignment="1" applyProtection="1">
      <alignment horizontal="center" vertical="center"/>
      <protection locked="0"/>
    </xf>
    <xf numFmtId="0" fontId="4" fillId="8" borderId="136" xfId="2" applyFill="1" applyBorder="1" applyAlignment="1">
      <alignment vertical="center"/>
    </xf>
    <xf numFmtId="0" fontId="4" fillId="8" borderId="137" xfId="2" applyFill="1" applyBorder="1" applyAlignment="1">
      <alignment vertical="center"/>
    </xf>
    <xf numFmtId="0" fontId="126" fillId="8" borderId="163" xfId="1" applyFont="1" applyFill="1" applyBorder="1" applyAlignment="1">
      <alignment vertical="center"/>
    </xf>
    <xf numFmtId="0" fontId="36" fillId="8" borderId="165" xfId="4" applyFont="1" applyFill="1" applyBorder="1" applyAlignment="1">
      <alignment horizontal="center" vertical="center"/>
    </xf>
    <xf numFmtId="0" fontId="36" fillId="8" borderId="165" xfId="2" applyFont="1" applyFill="1" applyBorder="1" applyAlignment="1" applyProtection="1">
      <alignment horizontal="center" vertical="center"/>
      <protection locked="0"/>
    </xf>
    <xf numFmtId="2" fontId="49" fillId="8" borderId="165" xfId="3" applyNumberFormat="1" applyFont="1" applyFill="1" applyBorder="1" applyAlignment="1">
      <alignment horizontal="center" vertical="center"/>
    </xf>
    <xf numFmtId="0" fontId="125" fillId="8" borderId="136" xfId="1" applyFont="1" applyFill="1" applyBorder="1" applyAlignment="1">
      <alignment horizontal="center" vertical="center"/>
    </xf>
    <xf numFmtId="0" fontId="4" fillId="8" borderId="137" xfId="2" applyFill="1" applyBorder="1"/>
    <xf numFmtId="0" fontId="135" fillId="8" borderId="163" xfId="1" applyFont="1" applyFill="1" applyBorder="1" applyAlignment="1">
      <alignment vertical="center"/>
    </xf>
    <xf numFmtId="0" fontId="376" fillId="38" borderId="166" xfId="13" applyFont="1" applyFill="1" applyBorder="1" applyAlignment="1">
      <alignment horizontal="left" vertical="center"/>
    </xf>
    <xf numFmtId="0" fontId="52" fillId="38" borderId="167" xfId="13" applyFont="1" applyFill="1" applyBorder="1" applyAlignment="1">
      <alignment horizontal="left" vertical="center"/>
    </xf>
    <xf numFmtId="0" fontId="377" fillId="38" borderId="167" xfId="13" applyFont="1" applyFill="1" applyBorder="1" applyAlignment="1">
      <alignment horizontal="left" vertical="center"/>
    </xf>
    <xf numFmtId="0" fontId="378" fillId="38" borderId="167" xfId="13" applyFont="1" applyFill="1" applyBorder="1" applyAlignment="1">
      <alignment horizontal="centerContinuous" vertical="center"/>
    </xf>
    <xf numFmtId="0" fontId="377" fillId="38" borderId="167" xfId="13" applyFont="1" applyFill="1" applyBorder="1" applyAlignment="1">
      <alignment horizontal="centerContinuous" vertical="center"/>
    </xf>
    <xf numFmtId="0" fontId="379" fillId="38" borderId="168" xfId="13" applyFont="1" applyFill="1" applyBorder="1" applyAlignment="1">
      <alignment horizontal="right" vertical="center"/>
    </xf>
    <xf numFmtId="0" fontId="7" fillId="0" borderId="0" xfId="13" applyFont="1"/>
    <xf numFmtId="0" fontId="36" fillId="0" borderId="0" xfId="13" applyFont="1"/>
    <xf numFmtId="2" fontId="383" fillId="8" borderId="179" xfId="4" applyNumberFormat="1" applyFont="1" applyFill="1" applyBorder="1" applyAlignment="1">
      <alignment horizontal="center" vertical="center"/>
    </xf>
    <xf numFmtId="171" fontId="383" fillId="8" borderId="179" xfId="4" applyNumberFormat="1" applyFont="1" applyFill="1" applyBorder="1" applyAlignment="1">
      <alignment horizontal="center" vertical="center"/>
    </xf>
    <xf numFmtId="175" fontId="383" fillId="8" borderId="179" xfId="12" applyNumberFormat="1" applyFont="1" applyFill="1" applyBorder="1" applyAlignment="1" applyProtection="1">
      <alignment horizontal="center" vertical="center"/>
      <protection locked="0"/>
    </xf>
    <xf numFmtId="0" fontId="38" fillId="15" borderId="179" xfId="4" applyFont="1" applyFill="1" applyBorder="1" applyAlignment="1">
      <alignment horizontal="center" vertical="center"/>
    </xf>
    <xf numFmtId="0" fontId="376" fillId="38" borderId="42" xfId="13" applyFont="1" applyFill="1" applyBorder="1" applyAlignment="1">
      <alignment vertical="center"/>
    </xf>
    <xf numFmtId="0" fontId="376" fillId="38" borderId="7" xfId="13" applyFont="1" applyFill="1" applyBorder="1" applyAlignment="1">
      <alignment vertical="center"/>
    </xf>
    <xf numFmtId="0" fontId="223" fillId="38" borderId="6" xfId="13" applyFont="1" applyFill="1" applyBorder="1" applyAlignment="1">
      <alignment horizontal="right" vertical="center"/>
    </xf>
    <xf numFmtId="0" fontId="39" fillId="64" borderId="97" xfId="13" applyFont="1" applyFill="1" applyBorder="1" applyAlignment="1" applyProtection="1">
      <alignment horizontal="center" vertical="center"/>
      <protection locked="0"/>
    </xf>
    <xf numFmtId="0" fontId="39" fillId="64" borderId="97" xfId="13" applyFont="1" applyFill="1" applyBorder="1" applyAlignment="1" applyProtection="1">
      <alignment horizontal="left" vertical="center"/>
      <protection locked="0"/>
    </xf>
    <xf numFmtId="0" fontId="384" fillId="40" borderId="22" xfId="13" applyFont="1" applyFill="1" applyBorder="1" applyAlignment="1" applyProtection="1">
      <alignment horizontal="center" vertical="center"/>
      <protection locked="0"/>
    </xf>
    <xf numFmtId="1" fontId="49" fillId="64" borderId="124" xfId="13" applyNumberFormat="1" applyFont="1" applyFill="1" applyBorder="1" applyAlignment="1" applyProtection="1">
      <alignment horizontal="center" vertical="center"/>
      <protection locked="0"/>
    </xf>
    <xf numFmtId="213" fontId="13" fillId="8" borderId="97" xfId="13" applyNumberFormat="1" applyFont="1" applyFill="1" applyBorder="1" applyAlignment="1" applyProtection="1">
      <alignment horizontal="right" vertical="center"/>
      <protection locked="0"/>
    </xf>
    <xf numFmtId="214" fontId="13" fillId="8" borderId="97" xfId="0" applyNumberFormat="1" applyFont="1" applyFill="1" applyBorder="1" applyAlignment="1">
      <alignment horizontal="center" vertical="center"/>
    </xf>
    <xf numFmtId="1" fontId="7" fillId="8" borderId="190" xfId="13" applyNumberFormat="1" applyFont="1" applyFill="1" applyBorder="1" applyAlignment="1" applyProtection="1">
      <alignment horizontal="left" vertical="center"/>
      <protection locked="0"/>
    </xf>
    <xf numFmtId="213" fontId="13" fillId="8" borderId="124" xfId="13" applyNumberFormat="1" applyFont="1" applyFill="1" applyBorder="1" applyAlignment="1" applyProtection="1">
      <alignment horizontal="right" vertical="center"/>
      <protection locked="0"/>
    </xf>
    <xf numFmtId="1" fontId="7" fillId="8" borderId="191" xfId="13" applyNumberFormat="1" applyFont="1" applyFill="1" applyBorder="1" applyAlignment="1" applyProtection="1">
      <alignment horizontal="left" vertical="center"/>
      <protection locked="0"/>
    </xf>
    <xf numFmtId="1" fontId="49" fillId="64" borderId="192" xfId="13" applyNumberFormat="1" applyFont="1" applyFill="1" applyBorder="1" applyAlignment="1" applyProtection="1">
      <alignment horizontal="center" vertical="center"/>
      <protection locked="0"/>
    </xf>
    <xf numFmtId="213" fontId="13" fillId="8" borderId="193" xfId="13" applyNumberFormat="1" applyFont="1" applyFill="1" applyBorder="1" applyAlignment="1" applyProtection="1">
      <alignment horizontal="right" vertical="center"/>
      <protection locked="0"/>
    </xf>
    <xf numFmtId="214" fontId="13" fillId="8" borderId="193" xfId="0" applyNumberFormat="1" applyFont="1" applyFill="1" applyBorder="1" applyAlignment="1">
      <alignment horizontal="center" vertical="center"/>
    </xf>
    <xf numFmtId="1" fontId="7" fillId="8" borderId="194" xfId="13" applyNumberFormat="1" applyFont="1" applyFill="1" applyBorder="1" applyAlignment="1" applyProtection="1">
      <alignment horizontal="left" vertical="center"/>
      <protection locked="0"/>
    </xf>
    <xf numFmtId="213" fontId="13" fillId="8" borderId="192" xfId="13" applyNumberFormat="1" applyFont="1" applyFill="1" applyBorder="1" applyAlignment="1" applyProtection="1">
      <alignment horizontal="right" vertical="center"/>
      <protection locked="0"/>
    </xf>
    <xf numFmtId="1" fontId="7" fillId="8" borderId="195" xfId="13" applyNumberFormat="1" applyFont="1" applyFill="1" applyBorder="1" applyAlignment="1" applyProtection="1">
      <alignment horizontal="left" vertical="center"/>
      <protection locked="0"/>
    </xf>
    <xf numFmtId="168" fontId="384" fillId="40" borderId="22" xfId="13" applyNumberFormat="1" applyFont="1" applyFill="1" applyBorder="1" applyAlignment="1" applyProtection="1">
      <alignment horizontal="center" vertical="center"/>
      <protection locked="0"/>
    </xf>
    <xf numFmtId="168" fontId="49" fillId="64" borderId="124" xfId="13" applyNumberFormat="1" applyFont="1" applyFill="1" applyBorder="1" applyAlignment="1" applyProtection="1">
      <alignment horizontal="center" vertical="center"/>
      <protection locked="0"/>
    </xf>
    <xf numFmtId="215" fontId="13" fillId="8" borderId="97" xfId="0" applyNumberFormat="1" applyFont="1" applyFill="1" applyBorder="1" applyAlignment="1">
      <alignment horizontal="center" vertical="center"/>
    </xf>
    <xf numFmtId="1" fontId="7" fillId="8" borderId="51" xfId="13" applyNumberFormat="1" applyFont="1" applyFill="1" applyBorder="1" applyAlignment="1" applyProtection="1">
      <alignment horizontal="left" vertical="center"/>
      <protection locked="0"/>
    </xf>
    <xf numFmtId="0" fontId="39" fillId="64" borderId="190" xfId="13" applyFont="1" applyFill="1" applyBorder="1" applyAlignment="1" applyProtection="1">
      <alignment horizontal="left" vertical="center"/>
      <protection locked="0"/>
    </xf>
    <xf numFmtId="0" fontId="39" fillId="64" borderId="193" xfId="13" applyFont="1" applyFill="1" applyBorder="1" applyAlignment="1" applyProtection="1">
      <alignment horizontal="center" vertical="center"/>
      <protection locked="0"/>
    </xf>
    <xf numFmtId="0" fontId="39" fillId="64" borderId="193" xfId="13" applyFont="1" applyFill="1" applyBorder="1" applyAlignment="1" applyProtection="1">
      <alignment horizontal="left" vertical="center"/>
      <protection locked="0"/>
    </xf>
    <xf numFmtId="168" fontId="384" fillId="40" borderId="199" xfId="13" applyNumberFormat="1" applyFont="1" applyFill="1" applyBorder="1" applyAlignment="1" applyProtection="1">
      <alignment horizontal="center" vertical="center"/>
      <protection locked="0"/>
    </xf>
    <xf numFmtId="168" fontId="49" fillId="64" borderId="192" xfId="13" applyNumberFormat="1" applyFont="1" applyFill="1" applyBorder="1" applyAlignment="1" applyProtection="1">
      <alignment horizontal="center" vertical="center"/>
      <protection locked="0"/>
    </xf>
    <xf numFmtId="215" fontId="13" fillId="8" borderId="193" xfId="0" applyNumberFormat="1" applyFont="1" applyFill="1" applyBorder="1" applyAlignment="1">
      <alignment horizontal="center" vertical="center"/>
    </xf>
    <xf numFmtId="1" fontId="7" fillId="8" borderId="200" xfId="13" applyNumberFormat="1" applyFont="1" applyFill="1" applyBorder="1" applyAlignment="1" applyProtection="1">
      <alignment horizontal="left" vertical="center"/>
      <protection locked="0"/>
    </xf>
    <xf numFmtId="213" fontId="13" fillId="32" borderId="0" xfId="13" applyNumberFormat="1" applyFont="1" applyFill="1" applyAlignment="1" applyProtection="1">
      <alignment horizontal="right" vertical="center"/>
      <protection locked="0"/>
    </xf>
    <xf numFmtId="214" fontId="13" fillId="32" borderId="0" xfId="0" applyNumberFormat="1" applyFont="1" applyFill="1" applyAlignment="1">
      <alignment horizontal="center" vertical="center"/>
    </xf>
    <xf numFmtId="1" fontId="7" fillId="32" borderId="0" xfId="13" applyNumberFormat="1" applyFont="1" applyFill="1" applyAlignment="1" applyProtection="1">
      <alignment horizontal="left" vertical="center"/>
      <protection locked="0"/>
    </xf>
    <xf numFmtId="0" fontId="157" fillId="0" borderId="0" xfId="1" applyFont="1" applyAlignment="1">
      <alignment horizontal="center" vertical="center"/>
    </xf>
    <xf numFmtId="0" fontId="71" fillId="0" borderId="208" xfId="1" applyFont="1" applyBorder="1" applyAlignment="1">
      <alignment horizontal="center" vertical="center"/>
    </xf>
    <xf numFmtId="0" fontId="388" fillId="0" borderId="209" xfId="1" applyFont="1" applyBorder="1" applyAlignment="1">
      <alignment horizontal="center" vertical="center"/>
    </xf>
    <xf numFmtId="0" fontId="388" fillId="0" borderId="210" xfId="1" applyFont="1" applyBorder="1" applyAlignment="1">
      <alignment horizontal="center" vertical="center"/>
    </xf>
    <xf numFmtId="0" fontId="24" fillId="0" borderId="211" xfId="1" applyFont="1" applyBorder="1" applyAlignment="1">
      <alignment horizontal="center" vertical="center"/>
    </xf>
    <xf numFmtId="198" fontId="158" fillId="65" borderId="212" xfId="1" applyNumberFormat="1" applyFont="1" applyFill="1" applyBorder="1" applyAlignment="1">
      <alignment horizontal="center" vertical="center"/>
    </xf>
    <xf numFmtId="199" fontId="389" fillId="65" borderId="212" xfId="1" applyNumberFormat="1" applyFont="1" applyFill="1" applyBorder="1" applyAlignment="1">
      <alignment horizontal="center" vertical="center"/>
    </xf>
    <xf numFmtId="10" fontId="389" fillId="65" borderId="212" xfId="20" applyNumberFormat="1" applyFont="1" applyFill="1" applyBorder="1" applyAlignment="1">
      <alignment horizontal="center" vertical="center"/>
    </xf>
    <xf numFmtId="198" fontId="15" fillId="65" borderId="213" xfId="1" applyNumberFormat="1" applyFont="1" applyFill="1" applyBorder="1" applyAlignment="1">
      <alignment horizontal="center" vertical="center"/>
    </xf>
    <xf numFmtId="201" fontId="390" fillId="65" borderId="212" xfId="1" applyNumberFormat="1" applyFont="1" applyFill="1" applyBorder="1" applyAlignment="1">
      <alignment horizontal="center" vertical="center"/>
    </xf>
    <xf numFmtId="201" fontId="24" fillId="65" borderId="214" xfId="1" applyNumberFormat="1" applyFont="1" applyFill="1" applyBorder="1" applyAlignment="1">
      <alignment horizontal="center" vertical="center"/>
    </xf>
    <xf numFmtId="198" fontId="158" fillId="0" borderId="212" xfId="1" applyNumberFormat="1" applyFont="1" applyBorder="1" applyAlignment="1">
      <alignment horizontal="center" vertical="center"/>
    </xf>
    <xf numFmtId="199" fontId="389" fillId="0" borderId="212" xfId="1" applyNumberFormat="1" applyFont="1" applyBorder="1" applyAlignment="1">
      <alignment horizontal="center" vertical="center"/>
    </xf>
    <xf numFmtId="10" fontId="389" fillId="0" borderId="212" xfId="20" applyNumberFormat="1" applyFont="1" applyBorder="1" applyAlignment="1">
      <alignment horizontal="center" vertical="center"/>
    </xf>
    <xf numFmtId="198" fontId="15" fillId="0" borderId="212" xfId="1" applyNumberFormat="1" applyFont="1" applyBorder="1" applyAlignment="1">
      <alignment horizontal="center" vertical="center"/>
    </xf>
    <xf numFmtId="201" fontId="390" fillId="0" borderId="212" xfId="1" applyNumberFormat="1" applyFont="1" applyBorder="1" applyAlignment="1">
      <alignment horizontal="center" vertical="center"/>
    </xf>
    <xf numFmtId="201" fontId="24" fillId="0" borderId="214" xfId="1" applyNumberFormat="1" applyFont="1" applyBorder="1" applyAlignment="1">
      <alignment horizontal="center" vertical="center"/>
    </xf>
    <xf numFmtId="198" fontId="15" fillId="65" borderId="212" xfId="1" applyNumberFormat="1" applyFont="1" applyFill="1" applyBorder="1" applyAlignment="1">
      <alignment horizontal="center" vertical="center"/>
    </xf>
    <xf numFmtId="198" fontId="158" fillId="65" borderId="215" xfId="1" applyNumberFormat="1" applyFont="1" applyFill="1" applyBorder="1" applyAlignment="1">
      <alignment horizontal="center" vertical="center"/>
    </xf>
    <xf numFmtId="10" fontId="389" fillId="65" borderId="215" xfId="20" applyNumberFormat="1" applyFont="1" applyFill="1" applyBorder="1" applyAlignment="1">
      <alignment horizontal="center" vertical="center"/>
    </xf>
    <xf numFmtId="198" fontId="15" fillId="65" borderId="215" xfId="1" applyNumberFormat="1" applyFont="1" applyFill="1" applyBorder="1" applyAlignment="1">
      <alignment horizontal="center" vertical="center"/>
    </xf>
    <xf numFmtId="201" fontId="390" fillId="65" borderId="215" xfId="1" applyNumberFormat="1" applyFont="1" applyFill="1" applyBorder="1" applyAlignment="1">
      <alignment horizontal="center" vertical="center"/>
    </xf>
    <xf numFmtId="201" fontId="24" fillId="65" borderId="216" xfId="1" applyNumberFormat="1" applyFont="1" applyFill="1" applyBorder="1" applyAlignment="1">
      <alignment horizontal="center" vertical="center"/>
    </xf>
    <xf numFmtId="200" fontId="24" fillId="0" borderId="218" xfId="1" applyNumberFormat="1" applyFont="1" applyBorder="1" applyAlignment="1">
      <alignment horizontal="center" vertical="center"/>
    </xf>
    <xf numFmtId="186" fontId="388" fillId="0" borderId="218" xfId="1" applyNumberFormat="1" applyFont="1" applyBorder="1" applyAlignment="1">
      <alignment horizontal="center" vertical="center"/>
    </xf>
    <xf numFmtId="10" fontId="388" fillId="0" borderId="218" xfId="20" applyNumberFormat="1" applyFont="1" applyBorder="1" applyAlignment="1">
      <alignment horizontal="center" vertical="center"/>
    </xf>
    <xf numFmtId="196" fontId="15" fillId="19" borderId="218" xfId="1" applyNumberFormat="1" applyFont="1" applyFill="1" applyBorder="1" applyAlignment="1">
      <alignment horizontal="center" vertical="center"/>
    </xf>
    <xf numFmtId="201" fontId="389" fillId="0" borderId="218" xfId="1" applyNumberFormat="1" applyFont="1" applyBorder="1" applyAlignment="1">
      <alignment horizontal="center" vertical="center"/>
    </xf>
    <xf numFmtId="201" fontId="24" fillId="0" borderId="219" xfId="1" applyNumberFormat="1" applyFont="1" applyBorder="1" applyAlignment="1">
      <alignment horizontal="center" vertical="center"/>
    </xf>
    <xf numFmtId="165" fontId="16" fillId="3" borderId="222" xfId="3" applyNumberFormat="1" applyFont="1" applyFill="1" applyBorder="1" applyAlignment="1">
      <alignment vertical="center"/>
    </xf>
    <xf numFmtId="0" fontId="4" fillId="3" borderId="222" xfId="2" applyFill="1" applyBorder="1"/>
    <xf numFmtId="0" fontId="4" fillId="3" borderId="223" xfId="2" applyFill="1" applyBorder="1"/>
    <xf numFmtId="165" fontId="16" fillId="3" borderId="0" xfId="3" applyNumberFormat="1" applyFont="1" applyFill="1" applyAlignment="1">
      <alignment vertical="center"/>
    </xf>
    <xf numFmtId="0" fontId="4" fillId="3" borderId="205" xfId="2" applyFill="1" applyBorder="1"/>
    <xf numFmtId="0" fontId="90" fillId="3" borderId="224" xfId="1" applyFont="1" applyFill="1" applyBorder="1" applyAlignment="1">
      <alignment horizontal="left" vertical="center"/>
    </xf>
    <xf numFmtId="0" fontId="4" fillId="3" borderId="225" xfId="2" applyFill="1" applyBorder="1"/>
    <xf numFmtId="0" fontId="4" fillId="3" borderId="226" xfId="2" applyFill="1" applyBorder="1"/>
    <xf numFmtId="0" fontId="157" fillId="0" borderId="0" xfId="1" applyFont="1" applyAlignment="1">
      <alignment horizontal="left" vertical="center"/>
    </xf>
    <xf numFmtId="0" fontId="157" fillId="3" borderId="206" xfId="1" applyFont="1" applyFill="1" applyBorder="1" applyAlignment="1">
      <alignment horizontal="right"/>
    </xf>
    <xf numFmtId="0" fontId="40" fillId="0" borderId="208" xfId="1" applyFont="1" applyBorder="1" applyAlignment="1">
      <alignment horizontal="center" vertical="center"/>
    </xf>
    <xf numFmtId="0" fontId="388" fillId="0" borderId="227" xfId="1" applyFont="1" applyBorder="1" applyAlignment="1">
      <alignment horizontal="center" vertical="center"/>
    </xf>
    <xf numFmtId="187" fontId="89" fillId="65" borderId="212" xfId="1" applyNumberFormat="1" applyFont="1" applyFill="1" applyBorder="1" applyAlignment="1">
      <alignment horizontal="center" vertical="center"/>
    </xf>
    <xf numFmtId="207" fontId="15" fillId="65" borderId="212" xfId="1" applyNumberFormat="1" applyFont="1" applyFill="1" applyBorder="1" applyAlignment="1">
      <alignment horizontal="center" vertical="center"/>
    </xf>
    <xf numFmtId="187" fontId="89" fillId="0" borderId="212" xfId="1" applyNumberFormat="1" applyFont="1" applyBorder="1" applyAlignment="1">
      <alignment horizontal="center" vertical="center"/>
    </xf>
    <xf numFmtId="207" fontId="15" fillId="0" borderId="212" xfId="1" applyNumberFormat="1" applyFont="1" applyBorder="1" applyAlignment="1">
      <alignment horizontal="center" vertical="center"/>
    </xf>
    <xf numFmtId="197" fontId="24" fillId="0" borderId="218" xfId="1" applyNumberFormat="1" applyFont="1" applyBorder="1" applyAlignment="1">
      <alignment horizontal="center" vertical="center"/>
    </xf>
    <xf numFmtId="0" fontId="387" fillId="3" borderId="204" xfId="1" applyFont="1" applyFill="1" applyBorder="1" applyAlignment="1" applyProtection="1">
      <alignment horizontal="center"/>
      <protection locked="0"/>
    </xf>
    <xf numFmtId="0" fontId="34" fillId="3" borderId="228" xfId="1" applyFont="1" applyFill="1" applyBorder="1" applyAlignment="1">
      <alignment horizontal="center" vertical="center"/>
    </xf>
    <xf numFmtId="0" fontId="266" fillId="3" borderId="0" xfId="1" applyFont="1" applyFill="1"/>
    <xf numFmtId="0" fontId="266" fillId="3" borderId="206" xfId="1" applyFont="1" applyFill="1" applyBorder="1"/>
    <xf numFmtId="197" fontId="265" fillId="3" borderId="0" xfId="1" applyNumberFormat="1" applyFont="1" applyFill="1" applyAlignment="1">
      <alignment horizontal="right"/>
    </xf>
    <xf numFmtId="0" fontId="267" fillId="3" borderId="205" xfId="1" applyFont="1" applyFill="1" applyBorder="1" applyAlignment="1">
      <alignment horizontal="left" vertical="center"/>
    </xf>
    <xf numFmtId="197" fontId="265" fillId="3" borderId="206" xfId="1" applyNumberFormat="1" applyFont="1" applyFill="1" applyBorder="1" applyAlignment="1">
      <alignment horizontal="right"/>
    </xf>
    <xf numFmtId="0" fontId="267" fillId="3" borderId="207" xfId="1" applyFont="1" applyFill="1" applyBorder="1" applyAlignment="1">
      <alignment horizontal="left" vertical="center"/>
    </xf>
    <xf numFmtId="0" fontId="157" fillId="3" borderId="0" xfId="1" applyFont="1" applyFill="1" applyAlignment="1">
      <alignment horizontal="right"/>
    </xf>
    <xf numFmtId="187" fontId="310" fillId="7" borderId="0" xfId="1" applyNumberFormat="1" applyFont="1" applyFill="1" applyAlignment="1">
      <alignment horizontal="center" vertical="center"/>
    </xf>
    <xf numFmtId="187" fontId="310" fillId="7" borderId="206" xfId="1" applyNumberFormat="1" applyFont="1" applyFill="1" applyBorder="1" applyAlignment="1">
      <alignment horizontal="center" vertical="center"/>
    </xf>
    <xf numFmtId="0" fontId="4" fillId="65" borderId="231" xfId="2" applyFill="1" applyBorder="1" applyAlignment="1">
      <alignment vertical="center"/>
    </xf>
    <xf numFmtId="0" fontId="391" fillId="60" borderId="231" xfId="2" applyFont="1" applyFill="1" applyBorder="1" applyAlignment="1">
      <alignment vertical="center"/>
    </xf>
    <xf numFmtId="0" fontId="391" fillId="60" borderId="229" xfId="2" applyFont="1" applyFill="1" applyBorder="1" applyAlignment="1">
      <alignment vertical="center"/>
    </xf>
    <xf numFmtId="0" fontId="4" fillId="65" borderId="230" xfId="2" applyFill="1" applyBorder="1" applyAlignment="1">
      <alignment horizontal="center" vertical="center"/>
    </xf>
    <xf numFmtId="0" fontId="391" fillId="60" borderId="230" xfId="2" applyFont="1" applyFill="1" applyBorder="1" applyAlignment="1">
      <alignment horizontal="center" vertical="center"/>
    </xf>
    <xf numFmtId="0" fontId="24" fillId="0" borderId="234" xfId="1" applyFont="1" applyBorder="1" applyAlignment="1">
      <alignment horizontal="center"/>
    </xf>
    <xf numFmtId="0" fontId="50" fillId="2" borderId="235" xfId="1" applyFont="1" applyFill="1" applyBorder="1" applyAlignment="1">
      <alignment horizontal="left" vertical="center"/>
    </xf>
    <xf numFmtId="0" fontId="50" fillId="2" borderId="236" xfId="1" applyFont="1" applyFill="1" applyBorder="1" applyAlignment="1">
      <alignment horizontal="left" vertical="center"/>
    </xf>
    <xf numFmtId="165" fontId="16" fillId="3" borderId="204" xfId="3" applyNumberFormat="1" applyFont="1" applyFill="1" applyBorder="1" applyAlignment="1">
      <alignment horizontal="left" vertical="center"/>
    </xf>
    <xf numFmtId="0" fontId="19" fillId="3" borderId="204" xfId="4" applyFont="1" applyFill="1" applyBorder="1" applyAlignment="1">
      <alignment horizontal="left" vertical="center"/>
    </xf>
    <xf numFmtId="0" fontId="7" fillId="3" borderId="225" xfId="1" applyFill="1" applyBorder="1"/>
    <xf numFmtId="0" fontId="393" fillId="2" borderId="239" xfId="10" applyFont="1" applyFill="1" applyBorder="1" applyAlignment="1" applyProtection="1">
      <alignment vertical="center"/>
    </xf>
    <xf numFmtId="0" fontId="11" fillId="3" borderId="238" xfId="1" applyFont="1" applyFill="1" applyBorder="1" applyAlignment="1" applyProtection="1">
      <alignment horizontal="left" vertical="center"/>
      <protection hidden="1"/>
    </xf>
    <xf numFmtId="0" fontId="11" fillId="12" borderId="204" xfId="1" applyFont="1" applyFill="1" applyBorder="1" applyAlignment="1">
      <alignment horizontal="center" vertical="center"/>
    </xf>
    <xf numFmtId="0" fontId="11" fillId="12" borderId="0" xfId="1" applyFont="1" applyFill="1" applyAlignment="1">
      <alignment horizontal="center" vertical="center"/>
    </xf>
    <xf numFmtId="0" fontId="11" fillId="12" borderId="205" xfId="1" applyFont="1" applyFill="1" applyBorder="1" applyAlignment="1">
      <alignment horizontal="center" vertical="center"/>
    </xf>
    <xf numFmtId="0" fontId="11" fillId="2" borderId="0" xfId="2" applyFont="1" applyFill="1" applyAlignment="1">
      <alignment horizontal="right" vertical="center"/>
    </xf>
    <xf numFmtId="0" fontId="11" fillId="2" borderId="0" xfId="1" applyFont="1" applyFill="1" applyAlignment="1">
      <alignment horizontal="center" vertical="center"/>
    </xf>
    <xf numFmtId="0" fontId="11" fillId="2" borderId="205" xfId="1" applyFont="1" applyFill="1" applyBorder="1" applyAlignment="1">
      <alignment horizontal="center" vertical="center"/>
    </xf>
    <xf numFmtId="0" fontId="11" fillId="3" borderId="0" xfId="2" applyFont="1" applyFill="1" applyAlignment="1">
      <alignment horizontal="right" vertical="center"/>
    </xf>
    <xf numFmtId="173" fontId="12" fillId="3" borderId="0" xfId="2" applyNumberFormat="1" applyFont="1" applyFill="1" applyAlignment="1">
      <alignment horizontal="left" vertical="center"/>
    </xf>
    <xf numFmtId="0" fontId="11" fillId="3" borderId="0" xfId="1" applyFont="1" applyFill="1" applyAlignment="1">
      <alignment horizontal="center" vertical="center"/>
    </xf>
    <xf numFmtId="0" fontId="50" fillId="2" borderId="204" xfId="2" applyFont="1" applyFill="1" applyBorder="1" applyAlignment="1">
      <alignment vertical="center"/>
    </xf>
    <xf numFmtId="0" fontId="50" fillId="2" borderId="241" xfId="1" applyFont="1" applyFill="1" applyBorder="1" applyAlignment="1">
      <alignment horizontal="left" vertical="center"/>
    </xf>
    <xf numFmtId="0" fontId="50" fillId="2" borderId="242" xfId="1" applyFont="1" applyFill="1" applyBorder="1" applyAlignment="1">
      <alignment vertical="center"/>
    </xf>
    <xf numFmtId="0" fontId="7" fillId="4" borderId="0" xfId="1" applyFill="1"/>
    <xf numFmtId="0" fontId="391" fillId="60" borderId="231" xfId="2" applyFont="1" applyFill="1" applyBorder="1"/>
    <xf numFmtId="0" fontId="4" fillId="65" borderId="231" xfId="2" applyFill="1" applyBorder="1"/>
    <xf numFmtId="0" fontId="42" fillId="0" borderId="208" xfId="1" applyFont="1" applyBorder="1" applyAlignment="1">
      <alignment horizontal="center" vertical="center"/>
    </xf>
    <xf numFmtId="201" fontId="394" fillId="65" borderId="212" xfId="1" applyNumberFormat="1" applyFont="1" applyFill="1" applyBorder="1" applyAlignment="1">
      <alignment horizontal="center" vertical="center"/>
    </xf>
    <xf numFmtId="201" fontId="394" fillId="0" borderId="212" xfId="1" applyNumberFormat="1" applyFont="1" applyBorder="1" applyAlignment="1">
      <alignment horizontal="center" vertical="center"/>
    </xf>
    <xf numFmtId="0" fontId="15" fillId="3" borderId="228" xfId="1" applyFont="1" applyFill="1" applyBorder="1" applyAlignment="1">
      <alignment horizontal="center" vertical="center"/>
    </xf>
    <xf numFmtId="201" fontId="394" fillId="65" borderId="215" xfId="1" applyNumberFormat="1" applyFont="1" applyFill="1" applyBorder="1" applyAlignment="1">
      <alignment horizontal="center" vertical="center"/>
    </xf>
    <xf numFmtId="187" fontId="15" fillId="19" borderId="218" xfId="1" applyNumberFormat="1" applyFont="1" applyFill="1" applyBorder="1" applyAlignment="1">
      <alignment horizontal="center" vertical="center"/>
    </xf>
    <xf numFmtId="0" fontId="376" fillId="3" borderId="0" xfId="1" applyFont="1" applyFill="1" applyAlignment="1" applyProtection="1">
      <alignment vertical="center"/>
      <protection hidden="1"/>
    </xf>
    <xf numFmtId="0" fontId="69" fillId="3" borderId="0" xfId="1" applyFont="1" applyFill="1" applyAlignment="1" applyProtection="1">
      <alignment horizontal="left"/>
      <protection hidden="1"/>
    </xf>
    <xf numFmtId="0" fontId="17" fillId="0" borderId="0" xfId="4" applyAlignment="1">
      <alignment vertical="center"/>
    </xf>
    <xf numFmtId="0" fontId="376" fillId="38" borderId="244" xfId="13" applyFont="1" applyFill="1" applyBorder="1" applyAlignment="1">
      <alignment horizontal="left" vertical="center"/>
    </xf>
    <xf numFmtId="0" fontId="52" fillId="38" borderId="245" xfId="13" applyFont="1" applyFill="1" applyBorder="1" applyAlignment="1">
      <alignment horizontal="left" vertical="center"/>
    </xf>
    <xf numFmtId="0" fontId="377" fillId="38" borderId="245" xfId="13" applyFont="1" applyFill="1" applyBorder="1" applyAlignment="1">
      <alignment horizontal="left" vertical="center"/>
    </xf>
    <xf numFmtId="0" fontId="378" fillId="38" borderId="245" xfId="13" applyFont="1" applyFill="1" applyBorder="1" applyAlignment="1">
      <alignment horizontal="centerContinuous" vertical="center"/>
    </xf>
    <xf numFmtId="0" fontId="377" fillId="38" borderId="245" xfId="13" applyFont="1" applyFill="1" applyBorder="1" applyAlignment="1">
      <alignment horizontal="centerContinuous" vertical="center"/>
    </xf>
    <xf numFmtId="0" fontId="379" fillId="38" borderId="246" xfId="13" applyFont="1" applyFill="1" applyBorder="1" applyAlignment="1">
      <alignment horizontal="right" vertical="center"/>
    </xf>
    <xf numFmtId="0" fontId="36" fillId="3" borderId="0" xfId="13" applyFont="1" applyFill="1"/>
    <xf numFmtId="0" fontId="7" fillId="3" borderId="0" xfId="13" applyFont="1" applyFill="1"/>
    <xf numFmtId="0" fontId="73" fillId="0" borderId="0" xfId="13"/>
    <xf numFmtId="0" fontId="73" fillId="3" borderId="0" xfId="13" applyFill="1"/>
    <xf numFmtId="2" fontId="295" fillId="3" borderId="179" xfId="4" applyNumberFormat="1" applyFont="1" applyFill="1" applyBorder="1" applyAlignment="1">
      <alignment horizontal="center" vertical="center"/>
    </xf>
    <xf numFmtId="171" fontId="295" fillId="3" borderId="179" xfId="4" applyNumberFormat="1" applyFont="1" applyFill="1" applyBorder="1" applyAlignment="1">
      <alignment horizontal="center" vertical="center"/>
    </xf>
    <xf numFmtId="175" fontId="295" fillId="3" borderId="179" xfId="12" applyNumberFormat="1" applyFont="1" applyFill="1" applyBorder="1" applyAlignment="1" applyProtection="1">
      <alignment horizontal="center" vertical="center"/>
      <protection locked="0"/>
    </xf>
    <xf numFmtId="0" fontId="37" fillId="15" borderId="179" xfId="4" applyFont="1" applyFill="1" applyBorder="1" applyAlignment="1">
      <alignment horizontal="center" vertical="center"/>
    </xf>
    <xf numFmtId="0" fontId="39" fillId="14" borderId="58" xfId="13" applyFont="1" applyFill="1" applyBorder="1" applyAlignment="1" applyProtection="1">
      <alignment horizontal="center" vertical="center"/>
      <protection locked="0"/>
    </xf>
    <xf numFmtId="0" fontId="39" fillId="14" borderId="58" xfId="13" applyFont="1" applyFill="1" applyBorder="1" applyAlignment="1" applyProtection="1">
      <alignment horizontal="left" vertical="center"/>
      <protection locked="0"/>
    </xf>
    <xf numFmtId="0" fontId="163" fillId="40" borderId="46" xfId="13" applyFont="1" applyFill="1" applyBorder="1" applyAlignment="1" applyProtection="1">
      <alignment horizontal="center" vertical="center"/>
      <protection locked="0"/>
    </xf>
    <xf numFmtId="1" fontId="11" fillId="14" borderId="127" xfId="13" applyNumberFormat="1" applyFont="1" applyFill="1" applyBorder="1" applyAlignment="1" applyProtection="1">
      <alignment horizontal="center" vertical="center"/>
      <protection locked="0"/>
    </xf>
    <xf numFmtId="213" fontId="13" fillId="3" borderId="58" xfId="13" applyNumberFormat="1" applyFont="1" applyFill="1" applyBorder="1" applyAlignment="1" applyProtection="1">
      <alignment horizontal="right" vertical="center"/>
      <protection locked="0"/>
    </xf>
    <xf numFmtId="214" fontId="13" fillId="3" borderId="58" xfId="2" applyNumberFormat="1" applyFont="1" applyFill="1" applyBorder="1" applyAlignment="1">
      <alignment horizontal="center" vertical="center"/>
    </xf>
    <xf numFmtId="1" fontId="7" fillId="3" borderId="132" xfId="13" applyNumberFormat="1" applyFont="1" applyFill="1" applyBorder="1" applyAlignment="1" applyProtection="1">
      <alignment horizontal="left" vertical="center"/>
      <protection locked="0"/>
    </xf>
    <xf numFmtId="213" fontId="13" fillId="3" borderId="127" xfId="13" applyNumberFormat="1" applyFont="1" applyFill="1" applyBorder="1" applyAlignment="1" applyProtection="1">
      <alignment horizontal="right" vertical="center"/>
      <protection locked="0"/>
    </xf>
    <xf numFmtId="1" fontId="7" fillId="3" borderId="253" xfId="13" applyNumberFormat="1" applyFont="1" applyFill="1" applyBorder="1" applyAlignment="1" applyProtection="1">
      <alignment horizontal="left" vertical="center"/>
      <protection locked="0"/>
    </xf>
    <xf numFmtId="0" fontId="39" fillId="14" borderId="97" xfId="13" applyFont="1" applyFill="1" applyBorder="1" applyAlignment="1" applyProtection="1">
      <alignment horizontal="center" vertical="center"/>
      <protection locked="0"/>
    </xf>
    <xf numFmtId="0" fontId="39" fillId="14" borderId="97" xfId="13" applyFont="1" applyFill="1" applyBorder="1" applyAlignment="1" applyProtection="1">
      <alignment horizontal="left" vertical="center"/>
      <protection locked="0"/>
    </xf>
    <xf numFmtId="0" fontId="163" fillId="40" borderId="22" xfId="13" applyFont="1" applyFill="1" applyBorder="1" applyAlignment="1" applyProtection="1">
      <alignment horizontal="center" vertical="center"/>
      <protection locked="0"/>
    </xf>
    <xf numFmtId="1" fontId="11" fillId="14" borderId="124" xfId="13" applyNumberFormat="1" applyFont="1" applyFill="1" applyBorder="1" applyAlignment="1" applyProtection="1">
      <alignment horizontal="center" vertical="center"/>
      <protection locked="0"/>
    </xf>
    <xf numFmtId="213" fontId="13" fillId="3" borderId="97" xfId="13" applyNumberFormat="1" applyFont="1" applyFill="1" applyBorder="1" applyAlignment="1" applyProtection="1">
      <alignment horizontal="right" vertical="center"/>
      <protection locked="0"/>
    </xf>
    <xf numFmtId="214" fontId="13" fillId="3" borderId="97" xfId="2" applyNumberFormat="1" applyFont="1" applyFill="1" applyBorder="1" applyAlignment="1">
      <alignment horizontal="center" vertical="center"/>
    </xf>
    <xf numFmtId="1" fontId="7" fillId="3" borderId="190" xfId="13" applyNumberFormat="1" applyFont="1" applyFill="1" applyBorder="1" applyAlignment="1" applyProtection="1">
      <alignment horizontal="left" vertical="center"/>
      <protection locked="0"/>
    </xf>
    <xf numFmtId="213" fontId="13" fillId="3" borderId="124" xfId="13" applyNumberFormat="1" applyFont="1" applyFill="1" applyBorder="1" applyAlignment="1" applyProtection="1">
      <alignment horizontal="right" vertical="center"/>
      <protection locked="0"/>
    </xf>
    <xf numFmtId="1" fontId="7" fillId="3" borderId="191" xfId="13" applyNumberFormat="1" applyFont="1" applyFill="1" applyBorder="1" applyAlignment="1" applyProtection="1">
      <alignment horizontal="left" vertical="center"/>
      <protection locked="0"/>
    </xf>
    <xf numFmtId="1" fontId="11" fillId="14" borderId="192" xfId="13" applyNumberFormat="1" applyFont="1" applyFill="1" applyBorder="1" applyAlignment="1" applyProtection="1">
      <alignment horizontal="center" vertical="center"/>
      <protection locked="0"/>
    </xf>
    <xf numFmtId="213" fontId="13" fillId="3" borderId="193" xfId="13" applyNumberFormat="1" applyFont="1" applyFill="1" applyBorder="1" applyAlignment="1" applyProtection="1">
      <alignment horizontal="right" vertical="center"/>
      <protection locked="0"/>
    </xf>
    <xf numFmtId="214" fontId="13" fillId="3" borderId="193" xfId="2" applyNumberFormat="1" applyFont="1" applyFill="1" applyBorder="1" applyAlignment="1">
      <alignment horizontal="center" vertical="center"/>
    </xf>
    <xf numFmtId="1" fontId="7" fillId="3" borderId="194" xfId="13" applyNumberFormat="1" applyFont="1" applyFill="1" applyBorder="1" applyAlignment="1" applyProtection="1">
      <alignment horizontal="left" vertical="center"/>
      <protection locked="0"/>
    </xf>
    <xf numFmtId="213" fontId="13" fillId="3" borderId="192" xfId="13" applyNumberFormat="1" applyFont="1" applyFill="1" applyBorder="1" applyAlignment="1" applyProtection="1">
      <alignment horizontal="right" vertical="center"/>
      <protection locked="0"/>
    </xf>
    <xf numFmtId="1" fontId="7" fillId="3" borderId="195" xfId="13" applyNumberFormat="1" applyFont="1" applyFill="1" applyBorder="1" applyAlignment="1" applyProtection="1">
      <alignment horizontal="left" vertical="center"/>
      <protection locked="0"/>
    </xf>
    <xf numFmtId="168" fontId="163" fillId="40" borderId="22" xfId="13" applyNumberFormat="1" applyFont="1" applyFill="1" applyBorder="1" applyAlignment="1" applyProtection="1">
      <alignment horizontal="center" vertical="center"/>
      <protection locked="0"/>
    </xf>
    <xf numFmtId="168" fontId="11" fillId="14" borderId="124" xfId="13" applyNumberFormat="1" applyFont="1" applyFill="1" applyBorder="1" applyAlignment="1" applyProtection="1">
      <alignment horizontal="center" vertical="center"/>
      <protection locked="0"/>
    </xf>
    <xf numFmtId="215" fontId="13" fillId="3" borderId="97" xfId="2" applyNumberFormat="1" applyFont="1" applyFill="1" applyBorder="1" applyAlignment="1">
      <alignment horizontal="center" vertical="center"/>
    </xf>
    <xf numFmtId="1" fontId="7" fillId="3" borderId="51" xfId="13" applyNumberFormat="1" applyFont="1" applyFill="1" applyBorder="1" applyAlignment="1" applyProtection="1">
      <alignment horizontal="left" vertical="center"/>
      <protection locked="0"/>
    </xf>
    <xf numFmtId="0" fontId="39" fillId="14" borderId="190" xfId="13" applyFont="1" applyFill="1" applyBorder="1" applyAlignment="1" applyProtection="1">
      <alignment horizontal="left" vertical="center"/>
      <protection locked="0"/>
    </xf>
    <xf numFmtId="0" fontId="39" fillId="14" borderId="193" xfId="13" applyFont="1" applyFill="1" applyBorder="1" applyAlignment="1" applyProtection="1">
      <alignment horizontal="center" vertical="center"/>
      <protection locked="0"/>
    </xf>
    <xf numFmtId="0" fontId="39" fillId="14" borderId="193" xfId="13" applyFont="1" applyFill="1" applyBorder="1" applyAlignment="1" applyProtection="1">
      <alignment horizontal="left" vertical="center"/>
      <protection locked="0"/>
    </xf>
    <xf numFmtId="168" fontId="163" fillId="40" borderId="199" xfId="13" applyNumberFormat="1" applyFont="1" applyFill="1" applyBorder="1" applyAlignment="1" applyProtection="1">
      <alignment horizontal="center" vertical="center"/>
      <protection locked="0"/>
    </xf>
    <xf numFmtId="168" fontId="11" fillId="14" borderId="192" xfId="13" applyNumberFormat="1" applyFont="1" applyFill="1" applyBorder="1" applyAlignment="1" applyProtection="1">
      <alignment horizontal="center" vertical="center"/>
      <protection locked="0"/>
    </xf>
    <xf numFmtId="215" fontId="13" fillId="3" borderId="193" xfId="2" applyNumberFormat="1" applyFont="1" applyFill="1" applyBorder="1" applyAlignment="1">
      <alignment horizontal="center" vertical="center"/>
    </xf>
    <xf numFmtId="1" fontId="7" fillId="3" borderId="200" xfId="13" applyNumberFormat="1" applyFont="1" applyFill="1" applyBorder="1" applyAlignment="1" applyProtection="1">
      <alignment horizontal="left" vertical="center"/>
      <protection locked="0"/>
    </xf>
    <xf numFmtId="213" fontId="13" fillId="12" borderId="0" xfId="13" applyNumberFormat="1" applyFont="1" applyFill="1" applyAlignment="1" applyProtection="1">
      <alignment horizontal="right" vertical="center"/>
      <protection locked="0"/>
    </xf>
    <xf numFmtId="214" fontId="13" fillId="12" borderId="0" xfId="2" applyNumberFormat="1" applyFont="1" applyFill="1" applyAlignment="1">
      <alignment horizontal="center" vertical="center"/>
    </xf>
    <xf numFmtId="1" fontId="7" fillId="12" borderId="0" xfId="13" applyNumberFormat="1" applyFont="1" applyFill="1" applyAlignment="1" applyProtection="1">
      <alignment horizontal="left" vertical="center"/>
      <protection locked="0"/>
    </xf>
    <xf numFmtId="0" fontId="114" fillId="38" borderId="6" xfId="13" applyFont="1" applyFill="1" applyBorder="1" applyAlignment="1">
      <alignment horizontal="right" vertical="center"/>
    </xf>
    <xf numFmtId="0" fontId="376" fillId="3" borderId="5" xfId="13" applyFont="1" applyFill="1" applyBorder="1" applyAlignment="1">
      <alignment horizontal="left" vertical="center"/>
    </xf>
    <xf numFmtId="0" fontId="52" fillId="3" borderId="0" xfId="13" applyFont="1" applyFill="1" applyAlignment="1">
      <alignment horizontal="left" vertical="center"/>
    </xf>
    <xf numFmtId="0" fontId="377" fillId="3" borderId="0" xfId="13" applyFont="1" applyFill="1" applyAlignment="1">
      <alignment horizontal="left" vertical="center"/>
    </xf>
    <xf numFmtId="170" fontId="397" fillId="3" borderId="0" xfId="13" applyNumberFormat="1" applyFont="1" applyFill="1" applyAlignment="1" applyProtection="1">
      <alignment horizontal="right" vertical="center"/>
      <protection locked="0"/>
    </xf>
    <xf numFmtId="168" fontId="39" fillId="40" borderId="0" xfId="13" applyNumberFormat="1" applyFont="1" applyFill="1" applyAlignment="1" applyProtection="1">
      <alignment horizontal="right" vertical="center"/>
      <protection locked="0"/>
    </xf>
    <xf numFmtId="0" fontId="39" fillId="40" borderId="0" xfId="13" applyFont="1" applyFill="1" applyAlignment="1" applyProtection="1">
      <alignment horizontal="center" vertical="center"/>
      <protection locked="0"/>
    </xf>
    <xf numFmtId="0" fontId="378" fillId="3" borderId="0" xfId="13" applyFont="1" applyFill="1" applyAlignment="1">
      <alignment horizontal="centerContinuous" vertical="center"/>
    </xf>
    <xf numFmtId="0" fontId="306" fillId="14" borderId="0" xfId="13" applyFont="1" applyFill="1" applyAlignment="1" applyProtection="1">
      <alignment horizontal="right" vertical="center"/>
      <protection locked="0"/>
    </xf>
    <xf numFmtId="0" fontId="377" fillId="3" borderId="0" xfId="13" applyFont="1" applyFill="1" applyAlignment="1">
      <alignment horizontal="centerContinuous" vertical="center"/>
    </xf>
    <xf numFmtId="0" fontId="377" fillId="3" borderId="4" xfId="13" applyFont="1" applyFill="1" applyBorder="1" applyAlignment="1">
      <alignment horizontal="centerContinuous" vertical="center"/>
    </xf>
    <xf numFmtId="2" fontId="70" fillId="3" borderId="179" xfId="4" applyNumberFormat="1" applyFont="1" applyFill="1" applyBorder="1" applyAlignment="1">
      <alignment horizontal="center" vertical="center"/>
    </xf>
    <xf numFmtId="171" fontId="70" fillId="3" borderId="179" xfId="4" applyNumberFormat="1" applyFont="1" applyFill="1" applyBorder="1" applyAlignment="1">
      <alignment horizontal="center" vertical="center"/>
    </xf>
    <xf numFmtId="175" fontId="70" fillId="3" borderId="179" xfId="12" applyNumberFormat="1" applyFont="1" applyFill="1" applyBorder="1" applyAlignment="1" applyProtection="1">
      <alignment horizontal="center" vertical="center"/>
      <protection locked="0"/>
    </xf>
    <xf numFmtId="0" fontId="306" fillId="14" borderId="5" xfId="13" applyFont="1" applyFill="1" applyBorder="1" applyAlignment="1" applyProtection="1">
      <alignment vertical="center"/>
      <protection locked="0"/>
    </xf>
    <xf numFmtId="0" fontId="306" fillId="14" borderId="0" xfId="13" applyFont="1" applyFill="1" applyAlignment="1" applyProtection="1">
      <alignment vertical="center" wrapText="1"/>
      <protection locked="0"/>
    </xf>
    <xf numFmtId="0" fontId="12" fillId="14" borderId="0" xfId="13" applyFont="1" applyFill="1" applyAlignment="1" applyProtection="1">
      <alignment horizontal="right" vertical="center"/>
      <protection locked="0"/>
    </xf>
    <xf numFmtId="165" fontId="34" fillId="58" borderId="0" xfId="13" applyNumberFormat="1" applyFont="1" applyFill="1" applyAlignment="1" applyProtection="1">
      <alignment horizontal="center" vertical="center"/>
      <protection locked="0"/>
    </xf>
    <xf numFmtId="170" fontId="43" fillId="14" borderId="0" xfId="13" applyNumberFormat="1" applyFont="1" applyFill="1" applyAlignment="1" applyProtection="1">
      <alignment horizontal="center" vertical="center"/>
      <protection locked="0"/>
    </xf>
    <xf numFmtId="0" fontId="43" fillId="3" borderId="0" xfId="13" applyFont="1" applyFill="1" applyAlignment="1" applyProtection="1">
      <alignment horizontal="left" vertical="center"/>
      <protection locked="0"/>
    </xf>
    <xf numFmtId="176" fontId="36" fillId="14" borderId="0" xfId="13" applyNumberFormat="1" applyFont="1" applyFill="1" applyAlignment="1" applyProtection="1">
      <alignment horizontal="center" vertical="center"/>
      <protection locked="0"/>
    </xf>
    <xf numFmtId="213" fontId="13" fillId="3" borderId="0" xfId="13" applyNumberFormat="1" applyFont="1" applyFill="1" applyAlignment="1" applyProtection="1">
      <alignment horizontal="right" vertical="center"/>
      <protection locked="0"/>
    </xf>
    <xf numFmtId="214" fontId="13" fillId="3" borderId="0" xfId="2" applyNumberFormat="1" applyFont="1" applyFill="1" applyAlignment="1">
      <alignment horizontal="center" vertical="center"/>
    </xf>
    <xf numFmtId="1" fontId="7" fillId="3" borderId="0" xfId="13" applyNumberFormat="1" applyFont="1" applyFill="1" applyAlignment="1" applyProtection="1">
      <alignment horizontal="left" vertical="center"/>
      <protection locked="0"/>
    </xf>
    <xf numFmtId="1" fontId="7" fillId="3" borderId="4" xfId="13" applyNumberFormat="1" applyFont="1" applyFill="1" applyBorder="1" applyAlignment="1" applyProtection="1">
      <alignment horizontal="left" vertical="center"/>
      <protection locked="0"/>
    </xf>
    <xf numFmtId="0" fontId="306" fillId="14" borderId="61" xfId="13" applyFont="1" applyFill="1" applyBorder="1" applyAlignment="1" applyProtection="1">
      <alignment vertical="center"/>
      <protection locked="0"/>
    </xf>
    <xf numFmtId="0" fontId="306" fillId="14" borderId="1" xfId="13" applyFont="1" applyFill="1" applyBorder="1" applyAlignment="1" applyProtection="1">
      <alignment vertical="center"/>
      <protection locked="0"/>
    </xf>
    <xf numFmtId="0" fontId="73" fillId="0" borderId="1" xfId="13" applyBorder="1"/>
    <xf numFmtId="0" fontId="11" fillId="14" borderId="1" xfId="13" applyFont="1" applyFill="1" applyBorder="1" applyAlignment="1" applyProtection="1">
      <alignment horizontal="right" vertical="center"/>
      <protection locked="0"/>
    </xf>
    <xf numFmtId="2" fontId="398" fillId="14" borderId="1" xfId="13" applyNumberFormat="1" applyFont="1" applyFill="1" applyBorder="1" applyAlignment="1" applyProtection="1">
      <alignment horizontal="center" vertical="center"/>
      <protection locked="0"/>
    </xf>
    <xf numFmtId="1" fontId="43" fillId="14" borderId="1" xfId="13" applyNumberFormat="1" applyFont="1" applyFill="1" applyBorder="1" applyAlignment="1" applyProtection="1">
      <alignment horizontal="center" vertical="center"/>
      <protection locked="0"/>
    </xf>
    <xf numFmtId="0" fontId="43" fillId="3" borderId="1" xfId="13" applyFont="1" applyFill="1" applyBorder="1" applyAlignment="1" applyProtection="1">
      <alignment horizontal="left" vertical="center"/>
      <protection locked="0"/>
    </xf>
    <xf numFmtId="168" fontId="36" fillId="3" borderId="1" xfId="13" applyNumberFormat="1" applyFont="1" applyFill="1" applyBorder="1" applyAlignment="1" applyProtection="1">
      <alignment horizontal="center" vertical="center"/>
      <protection locked="0"/>
    </xf>
    <xf numFmtId="213" fontId="13" fillId="3" borderId="1" xfId="13" applyNumberFormat="1" applyFont="1" applyFill="1" applyBorder="1" applyAlignment="1" applyProtection="1">
      <alignment horizontal="right" vertical="center"/>
      <protection locked="0"/>
    </xf>
    <xf numFmtId="214" fontId="13" fillId="3" borderId="1" xfId="2" applyNumberFormat="1" applyFont="1" applyFill="1" applyBorder="1" applyAlignment="1">
      <alignment horizontal="center" vertical="center"/>
    </xf>
    <xf numFmtId="1" fontId="7" fillId="3" borderId="1" xfId="13" applyNumberFormat="1" applyFont="1" applyFill="1" applyBorder="1" applyAlignment="1" applyProtection="1">
      <alignment horizontal="left" vertical="center"/>
      <protection locked="0"/>
    </xf>
    <xf numFmtId="1" fontId="7" fillId="3" borderId="60" xfId="13" applyNumberFormat="1" applyFont="1" applyFill="1" applyBorder="1" applyAlignment="1" applyProtection="1">
      <alignment horizontal="left" vertical="center"/>
      <protection locked="0"/>
    </xf>
    <xf numFmtId="0" fontId="376" fillId="66" borderId="62" xfId="13" applyFont="1" applyFill="1" applyBorder="1" applyAlignment="1">
      <alignment horizontal="left" vertical="center"/>
    </xf>
    <xf numFmtId="0" fontId="52" fillId="66" borderId="64" xfId="13" applyFont="1" applyFill="1" applyBorder="1" applyAlignment="1">
      <alignment horizontal="left" vertical="center"/>
    </xf>
    <xf numFmtId="0" fontId="377" fillId="66" borderId="64" xfId="13" applyFont="1" applyFill="1" applyBorder="1" applyAlignment="1">
      <alignment horizontal="left" vertical="center"/>
    </xf>
    <xf numFmtId="0" fontId="378" fillId="66" borderId="64" xfId="13" applyFont="1" applyFill="1" applyBorder="1" applyAlignment="1">
      <alignment horizontal="centerContinuous" vertical="center"/>
    </xf>
    <xf numFmtId="0" fontId="377" fillId="66" borderId="64" xfId="13" applyFont="1" applyFill="1" applyBorder="1" applyAlignment="1">
      <alignment horizontal="centerContinuous" vertical="center"/>
    </xf>
    <xf numFmtId="0" fontId="376" fillId="66" borderId="88" xfId="13" applyFont="1" applyFill="1" applyBorder="1" applyAlignment="1">
      <alignment horizontal="right" vertical="center"/>
    </xf>
    <xf numFmtId="0" fontId="152" fillId="66" borderId="59" xfId="13" applyFont="1" applyFill="1" applyBorder="1" applyAlignment="1">
      <alignment horizontal="left" vertical="center"/>
    </xf>
    <xf numFmtId="0" fontId="52" fillId="66" borderId="58" xfId="13" applyFont="1" applyFill="1" applyBorder="1" applyAlignment="1">
      <alignment horizontal="left" vertical="center"/>
    </xf>
    <xf numFmtId="0" fontId="377" fillId="66" borderId="58" xfId="13" applyFont="1" applyFill="1" applyBorder="1" applyAlignment="1">
      <alignment horizontal="left" vertical="center"/>
    </xf>
    <xf numFmtId="0" fontId="378" fillId="66" borderId="58" xfId="13" applyFont="1" applyFill="1" applyBorder="1" applyAlignment="1">
      <alignment horizontal="centerContinuous" vertical="center"/>
    </xf>
    <xf numFmtId="0" fontId="377" fillId="66" borderId="58" xfId="13" applyFont="1" applyFill="1" applyBorder="1" applyAlignment="1">
      <alignment horizontal="centerContinuous" vertical="center"/>
    </xf>
    <xf numFmtId="0" fontId="399" fillId="66" borderId="254" xfId="13" applyFont="1" applyFill="1" applyBorder="1" applyAlignment="1">
      <alignment horizontal="right" vertical="center"/>
    </xf>
    <xf numFmtId="0" fontId="7" fillId="0" borderId="165" xfId="13" applyFont="1" applyBorder="1" applyAlignment="1" applyProtection="1">
      <alignment horizontal="center" vertical="center" wrapText="1"/>
      <protection locked="0"/>
    </xf>
    <xf numFmtId="0" fontId="400" fillId="0" borderId="165" xfId="13" applyFont="1" applyBorder="1" applyAlignment="1" applyProtection="1">
      <alignment horizontal="center" vertical="center" wrapText="1"/>
      <protection locked="0"/>
    </xf>
    <xf numFmtId="0" fontId="70" fillId="0" borderId="256" xfId="13" applyFont="1" applyBorder="1" applyAlignment="1" applyProtection="1">
      <alignment horizontal="center" vertical="center" wrapText="1"/>
      <protection locked="0"/>
    </xf>
    <xf numFmtId="0" fontId="70" fillId="3" borderId="255" xfId="13" applyFont="1" applyFill="1" applyBorder="1" applyAlignment="1" applyProtection="1">
      <alignment horizontal="center" vertical="center" wrapText="1"/>
      <protection locked="0"/>
    </xf>
    <xf numFmtId="0" fontId="382" fillId="3" borderId="102" xfId="13" applyFont="1" applyFill="1" applyBorder="1" applyAlignment="1" applyProtection="1">
      <alignment horizontal="centerContinuous" vertical="center"/>
      <protection locked="0"/>
    </xf>
    <xf numFmtId="0" fontId="382" fillId="3" borderId="164" xfId="13" applyFont="1" applyFill="1" applyBorder="1" applyAlignment="1" applyProtection="1">
      <alignment horizontal="centerContinuous" vertical="center"/>
      <protection locked="0"/>
    </xf>
    <xf numFmtId="0" fontId="73" fillId="3" borderId="164" xfId="13" applyFill="1" applyBorder="1" applyAlignment="1">
      <alignment horizontal="centerContinuous" vertical="center"/>
    </xf>
    <xf numFmtId="0" fontId="73" fillId="3" borderId="257" xfId="13" applyFill="1" applyBorder="1" applyAlignment="1">
      <alignment horizontal="centerContinuous" vertical="center"/>
    </xf>
    <xf numFmtId="0" fontId="306" fillId="40" borderId="141" xfId="13" applyFont="1" applyFill="1" applyBorder="1" applyAlignment="1" applyProtection="1">
      <alignment horizontal="center" vertical="center"/>
      <protection locked="0"/>
    </xf>
    <xf numFmtId="0" fontId="32" fillId="40" borderId="141" xfId="13" applyFont="1" applyFill="1" applyBorder="1" applyAlignment="1" applyProtection="1">
      <alignment horizontal="center" vertical="center"/>
      <protection locked="0"/>
    </xf>
    <xf numFmtId="1" fontId="308" fillId="40" borderId="138" xfId="13" applyNumberFormat="1" applyFont="1" applyFill="1" applyBorder="1" applyAlignment="1" applyProtection="1">
      <alignment horizontal="center" vertical="center"/>
      <protection locked="0"/>
    </xf>
    <xf numFmtId="170" fontId="11" fillId="3" borderId="258" xfId="13" applyNumberFormat="1" applyFont="1" applyFill="1" applyBorder="1" applyAlignment="1" applyProtection="1">
      <alignment horizontal="center" vertical="center"/>
      <protection locked="0"/>
    </xf>
    <xf numFmtId="0" fontId="11" fillId="3" borderId="259" xfId="13" applyFont="1" applyFill="1" applyBorder="1" applyAlignment="1" applyProtection="1">
      <alignment horizontal="right" vertical="center"/>
      <protection locked="0"/>
    </xf>
    <xf numFmtId="213" fontId="11" fillId="3" borderId="259" xfId="13" applyNumberFormat="1" applyFont="1" applyFill="1" applyBorder="1" applyAlignment="1" applyProtection="1">
      <alignment horizontal="right" vertical="center"/>
      <protection locked="0"/>
    </xf>
    <xf numFmtId="214" fontId="11" fillId="3" borderId="141" xfId="2" applyNumberFormat="1" applyFont="1" applyFill="1" applyBorder="1" applyAlignment="1">
      <alignment horizontal="center" vertical="center"/>
    </xf>
    <xf numFmtId="1" fontId="30" fillId="3" borderId="126" xfId="13" applyNumberFormat="1" applyFont="1" applyFill="1" applyBorder="1" applyAlignment="1" applyProtection="1">
      <alignment horizontal="left" vertical="center"/>
      <protection locked="0"/>
    </xf>
    <xf numFmtId="1" fontId="30" fillId="3" borderId="138" xfId="13" applyNumberFormat="1" applyFont="1" applyFill="1" applyBorder="1" applyAlignment="1" applyProtection="1">
      <alignment horizontal="left" vertical="center"/>
      <protection locked="0"/>
    </xf>
    <xf numFmtId="0" fontId="376" fillId="49" borderId="62" xfId="13" applyFont="1" applyFill="1" applyBorder="1" applyAlignment="1">
      <alignment horizontal="left" vertical="center"/>
    </xf>
    <xf numFmtId="0" fontId="52" fillId="49" borderId="64" xfId="13" applyFont="1" applyFill="1" applyBorder="1" applyAlignment="1">
      <alignment horizontal="left" vertical="center"/>
    </xf>
    <xf numFmtId="0" fontId="377" fillId="49" borderId="64" xfId="13" applyFont="1" applyFill="1" applyBorder="1" applyAlignment="1">
      <alignment horizontal="left" vertical="center"/>
    </xf>
    <xf numFmtId="0" fontId="378" fillId="49" borderId="64" xfId="13" applyFont="1" applyFill="1" applyBorder="1" applyAlignment="1">
      <alignment horizontal="centerContinuous" vertical="center"/>
    </xf>
    <xf numFmtId="0" fontId="377" fillId="49" borderId="64" xfId="13" applyFont="1" applyFill="1" applyBorder="1" applyAlignment="1">
      <alignment horizontal="centerContinuous" vertical="center"/>
    </xf>
    <xf numFmtId="0" fontId="376" fillId="49" borderId="88" xfId="13" applyFont="1" applyFill="1" applyBorder="1" applyAlignment="1">
      <alignment horizontal="right" vertical="center"/>
    </xf>
    <xf numFmtId="0" fontId="152" fillId="49" borderId="59" xfId="13" applyFont="1" applyFill="1" applyBorder="1" applyAlignment="1">
      <alignment horizontal="left" vertical="center"/>
    </xf>
    <xf numFmtId="0" fontId="52" fillId="49" borderId="58" xfId="13" applyFont="1" applyFill="1" applyBorder="1" applyAlignment="1">
      <alignment horizontal="left" vertical="center"/>
    </xf>
    <xf numFmtId="0" fontId="377" fillId="49" borderId="58" xfId="13" applyFont="1" applyFill="1" applyBorder="1" applyAlignment="1">
      <alignment horizontal="left" vertical="center"/>
    </xf>
    <xf numFmtId="0" fontId="378" fillId="49" borderId="58" xfId="13" applyFont="1" applyFill="1" applyBorder="1" applyAlignment="1">
      <alignment horizontal="centerContinuous" vertical="center"/>
    </xf>
    <xf numFmtId="0" fontId="377" fillId="49" borderId="58" xfId="13" applyFont="1" applyFill="1" applyBorder="1" applyAlignment="1">
      <alignment horizontal="centerContinuous" vertical="center"/>
    </xf>
    <xf numFmtId="0" fontId="399" fillId="49" borderId="254" xfId="13" applyFont="1" applyFill="1" applyBorder="1" applyAlignment="1">
      <alignment horizontal="right" vertical="center"/>
    </xf>
    <xf numFmtId="0" fontId="70" fillId="0" borderId="165" xfId="13" applyFont="1" applyBorder="1" applyAlignment="1" applyProtection="1">
      <alignment horizontal="center" vertical="center" wrapText="1"/>
      <protection locked="0"/>
    </xf>
    <xf numFmtId="1" fontId="308" fillId="40" borderId="126" xfId="13" applyNumberFormat="1" applyFont="1" applyFill="1" applyBorder="1" applyAlignment="1" applyProtection="1">
      <alignment horizontal="center" vertical="center"/>
      <protection locked="0"/>
    </xf>
    <xf numFmtId="0" fontId="11" fillId="3" borderId="141" xfId="13" applyFont="1" applyFill="1" applyBorder="1" applyAlignment="1" applyProtection="1">
      <alignment horizontal="left" vertical="center"/>
      <protection locked="0"/>
    </xf>
    <xf numFmtId="213" fontId="15" fillId="3" borderId="259" xfId="13" applyNumberFormat="1" applyFont="1" applyFill="1" applyBorder="1" applyAlignment="1" applyProtection="1">
      <alignment horizontal="right" vertical="center"/>
      <protection locked="0"/>
    </xf>
    <xf numFmtId="214" fontId="15" fillId="3" borderId="141" xfId="2" applyNumberFormat="1" applyFont="1" applyFill="1" applyBorder="1" applyAlignment="1">
      <alignment horizontal="center" vertical="center"/>
    </xf>
    <xf numFmtId="1" fontId="157" fillId="3" borderId="126" xfId="13" applyNumberFormat="1" applyFont="1" applyFill="1" applyBorder="1" applyAlignment="1" applyProtection="1">
      <alignment horizontal="left" vertical="center"/>
      <protection locked="0"/>
    </xf>
    <xf numFmtId="1" fontId="157" fillId="3" borderId="138" xfId="13" applyNumberFormat="1" applyFont="1" applyFill="1" applyBorder="1" applyAlignment="1" applyProtection="1">
      <alignment horizontal="left" vertical="center"/>
      <protection locked="0"/>
    </xf>
    <xf numFmtId="0" fontId="151" fillId="0" borderId="0" xfId="2" applyFont="1" applyAlignment="1">
      <alignment vertical="center"/>
    </xf>
    <xf numFmtId="0" fontId="70" fillId="3" borderId="0" xfId="2" applyFont="1" applyFill="1" applyAlignment="1">
      <alignment vertical="center"/>
    </xf>
    <xf numFmtId="0" fontId="73" fillId="29" borderId="102" xfId="2" applyFont="1" applyFill="1" applyBorder="1" applyAlignment="1">
      <alignment horizontal="left" vertical="center"/>
    </xf>
    <xf numFmtId="0" fontId="70" fillId="29" borderId="164" xfId="2" applyFont="1" applyFill="1" applyBorder="1" applyAlignment="1">
      <alignment horizontal="left" vertical="center"/>
    </xf>
    <xf numFmtId="0" fontId="70" fillId="29" borderId="100" xfId="2" applyFont="1" applyFill="1" applyBorder="1" applyAlignment="1">
      <alignment horizontal="left" vertical="center"/>
    </xf>
    <xf numFmtId="0" fontId="73" fillId="29" borderId="0" xfId="2" applyFont="1" applyFill="1" applyAlignment="1">
      <alignment horizontal="left" vertical="center"/>
    </xf>
    <xf numFmtId="0" fontId="70" fillId="29" borderId="0" xfId="2" applyFont="1" applyFill="1" applyAlignment="1">
      <alignment horizontal="left" vertical="center"/>
    </xf>
    <xf numFmtId="0" fontId="70" fillId="29" borderId="4" xfId="2" applyFont="1" applyFill="1" applyBorder="1" applyAlignment="1">
      <alignment horizontal="left" vertical="center"/>
    </xf>
    <xf numFmtId="0" fontId="70" fillId="0" borderId="265" xfId="2" applyFont="1" applyBorder="1" applyAlignment="1">
      <alignment horizontal="center" vertical="center"/>
    </xf>
    <xf numFmtId="0" fontId="300" fillId="15" borderId="124" xfId="2" applyFont="1" applyFill="1" applyBorder="1" applyAlignment="1">
      <alignment horizontal="center" vertical="center"/>
    </xf>
    <xf numFmtId="168" fontId="136" fillId="15" borderId="124" xfId="2" applyNumberFormat="1" applyFont="1" applyFill="1" applyBorder="1" applyAlignment="1">
      <alignment horizontal="center" vertical="center"/>
    </xf>
    <xf numFmtId="0" fontId="55" fillId="15" borderId="22" xfId="13" applyFont="1" applyFill="1" applyBorder="1" applyAlignment="1" applyProtection="1">
      <alignment horizontal="center" vertical="center"/>
      <protection locked="0"/>
    </xf>
    <xf numFmtId="172" fontId="76" fillId="15" borderId="22" xfId="2" applyNumberFormat="1" applyFont="1" applyFill="1" applyBorder="1" applyAlignment="1" applyProtection="1">
      <alignment horizontal="center" vertical="center"/>
      <protection locked="0"/>
    </xf>
    <xf numFmtId="168" fontId="7" fillId="8" borderId="124" xfId="2" applyNumberFormat="1" applyFont="1" applyFill="1" applyBorder="1" applyAlignment="1">
      <alignment vertical="center"/>
    </xf>
    <xf numFmtId="168" fontId="156" fillId="3" borderId="190" xfId="2" applyNumberFormat="1" applyFont="1" applyFill="1" applyBorder="1" applyAlignment="1">
      <alignment vertical="center"/>
    </xf>
    <xf numFmtId="168" fontId="70" fillId="8" borderId="124" xfId="2" applyNumberFormat="1" applyFont="1" applyFill="1" applyBorder="1" applyAlignment="1">
      <alignment vertical="center"/>
    </xf>
    <xf numFmtId="168" fontId="156" fillId="3" borderId="124" xfId="2" applyNumberFormat="1" applyFont="1" applyFill="1" applyBorder="1" applyAlignment="1">
      <alignment vertical="center"/>
    </xf>
    <xf numFmtId="0" fontId="7" fillId="3" borderId="0" xfId="2" applyFont="1" applyFill="1" applyAlignment="1">
      <alignment vertical="center"/>
    </xf>
    <xf numFmtId="0" fontId="70" fillId="9" borderId="265" xfId="2" applyFont="1" applyFill="1" applyBorder="1" applyAlignment="1">
      <alignment horizontal="center" vertical="center"/>
    </xf>
    <xf numFmtId="0" fontId="298" fillId="15" borderId="124" xfId="2" applyFont="1" applyFill="1" applyBorder="1" applyAlignment="1">
      <alignment horizontal="center" vertical="center"/>
    </xf>
    <xf numFmtId="168" fontId="298" fillId="15" borderId="22" xfId="2" applyNumberFormat="1" applyFont="1" applyFill="1" applyBorder="1" applyAlignment="1">
      <alignment horizontal="center" vertical="center"/>
    </xf>
    <xf numFmtId="0" fontId="298" fillId="15" borderId="22" xfId="2" applyFont="1" applyFill="1" applyBorder="1" applyAlignment="1">
      <alignment horizontal="center" vertical="center"/>
    </xf>
    <xf numFmtId="168" fontId="61" fillId="32" borderId="22" xfId="2" applyNumberFormat="1" applyFont="1" applyFill="1" applyBorder="1" applyAlignment="1">
      <alignment horizontal="center" vertical="center"/>
    </xf>
    <xf numFmtId="172" fontId="155" fillId="25" borderId="97" xfId="2" applyNumberFormat="1" applyFont="1" applyFill="1" applyBorder="1" applyAlignment="1" applyProtection="1">
      <alignment horizontal="center" vertical="center"/>
      <protection locked="0"/>
    </xf>
    <xf numFmtId="0" fontId="47" fillId="3" borderId="0" xfId="2" applyFont="1" applyFill="1" applyAlignment="1">
      <alignment vertical="center"/>
    </xf>
    <xf numFmtId="0" fontId="78" fillId="3" borderId="4" xfId="2" applyFont="1" applyFill="1" applyBorder="1" applyAlignment="1">
      <alignment vertical="top"/>
    </xf>
    <xf numFmtId="168" fontId="136" fillId="15" borderId="22" xfId="2" applyNumberFormat="1" applyFont="1" applyFill="1" applyBorder="1" applyAlignment="1">
      <alignment horizontal="center" vertical="center"/>
    </xf>
    <xf numFmtId="0" fontId="70" fillId="12" borderId="0" xfId="2" applyFont="1" applyFill="1" applyAlignment="1">
      <alignment horizontal="right" vertical="center"/>
    </xf>
    <xf numFmtId="2" fontId="47" fillId="12" borderId="0" xfId="2" applyNumberFormat="1" applyFont="1" applyFill="1" applyAlignment="1">
      <alignment horizontal="center" vertical="center"/>
    </xf>
    <xf numFmtId="0" fontId="70" fillId="12" borderId="0" xfId="2" applyFont="1" applyFill="1" applyAlignment="1">
      <alignment vertical="center"/>
    </xf>
    <xf numFmtId="0" fontId="77" fillId="12" borderId="0" xfId="2" applyFont="1" applyFill="1" applyAlignment="1">
      <alignment vertical="top"/>
    </xf>
    <xf numFmtId="0" fontId="77" fillId="12" borderId="4" xfId="2" applyFont="1" applyFill="1" applyBorder="1" applyAlignment="1">
      <alignment vertical="top"/>
    </xf>
    <xf numFmtId="0" fontId="70" fillId="12" borderId="141" xfId="2" applyFont="1" applyFill="1" applyBorder="1" applyAlignment="1">
      <alignment horizontal="right" vertical="center"/>
    </xf>
    <xf numFmtId="2" fontId="47" fillId="12" borderId="141" xfId="2" applyNumberFormat="1" applyFont="1" applyFill="1" applyBorder="1" applyAlignment="1">
      <alignment horizontal="center" vertical="center"/>
    </xf>
    <xf numFmtId="0" fontId="70" fillId="12" borderId="141" xfId="2" applyFont="1" applyFill="1" applyBorder="1" applyAlignment="1">
      <alignment vertical="center"/>
    </xf>
    <xf numFmtId="0" fontId="77" fillId="12" borderId="141" xfId="2" applyFont="1" applyFill="1" applyBorder="1" applyAlignment="1">
      <alignment vertical="top"/>
    </xf>
    <xf numFmtId="0" fontId="77" fillId="12" borderId="137" xfId="2" applyFont="1" applyFill="1" applyBorder="1" applyAlignment="1">
      <alignment vertical="top"/>
    </xf>
    <xf numFmtId="0" fontId="282" fillId="3" borderId="0" xfId="2" applyFont="1" applyFill="1" applyAlignment="1">
      <alignment vertical="center"/>
    </xf>
    <xf numFmtId="1" fontId="70" fillId="8" borderId="22" xfId="2" applyNumberFormat="1" applyFont="1" applyFill="1" applyBorder="1" applyAlignment="1">
      <alignment horizontal="center" vertical="center"/>
    </xf>
    <xf numFmtId="0" fontId="153" fillId="15" borderId="97" xfId="2" applyFont="1" applyFill="1" applyBorder="1" applyAlignment="1">
      <alignment horizontal="center" vertical="center" wrapText="1"/>
    </xf>
    <xf numFmtId="0" fontId="77" fillId="40" borderId="97" xfId="13" applyFont="1" applyFill="1" applyBorder="1" applyAlignment="1" applyProtection="1">
      <alignment horizontal="center" vertical="center"/>
      <protection locked="0"/>
    </xf>
    <xf numFmtId="0" fontId="61" fillId="0" borderId="97" xfId="13" applyFont="1" applyBorder="1" applyAlignment="1" applyProtection="1">
      <alignment horizontal="center" vertical="center"/>
      <protection locked="0"/>
    </xf>
    <xf numFmtId="170" fontId="8" fillId="8" borderId="190" xfId="2" applyNumberFormat="1" applyFont="1" applyFill="1" applyBorder="1" applyAlignment="1" applyProtection="1">
      <alignment horizontal="center" vertical="center"/>
      <protection locked="0"/>
    </xf>
    <xf numFmtId="217" fontId="8" fillId="0" borderId="97" xfId="13" applyNumberFormat="1" applyFont="1" applyBorder="1" applyAlignment="1" applyProtection="1">
      <alignment horizontal="right" vertical="center"/>
      <protection locked="0"/>
    </xf>
    <xf numFmtId="214" fontId="8" fillId="0" borderId="97" xfId="2" applyNumberFormat="1" applyFont="1" applyBorder="1" applyAlignment="1">
      <alignment horizontal="center" vertical="center"/>
    </xf>
    <xf numFmtId="1" fontId="7" fillId="0" borderId="97" xfId="13" applyNumberFormat="1" applyFont="1" applyBorder="1" applyAlignment="1" applyProtection="1">
      <alignment horizontal="left" vertical="center"/>
      <protection locked="0"/>
    </xf>
    <xf numFmtId="0" fontId="77" fillId="40" borderId="133" xfId="13" applyFont="1" applyFill="1" applyBorder="1" applyAlignment="1" applyProtection="1">
      <alignment horizontal="center" vertical="center"/>
      <protection locked="0"/>
    </xf>
    <xf numFmtId="0" fontId="8" fillId="0" borderId="190" xfId="2" applyFont="1" applyBorder="1" applyAlignment="1">
      <alignment horizontal="center" vertical="center"/>
    </xf>
    <xf numFmtId="1" fontId="7" fillId="0" borderId="51" xfId="13" applyNumberFormat="1" applyFont="1" applyBorder="1" applyAlignment="1" applyProtection="1">
      <alignment horizontal="left" vertical="center"/>
      <protection locked="0"/>
    </xf>
    <xf numFmtId="0" fontId="70" fillId="8" borderId="22" xfId="2" applyFont="1" applyFill="1" applyBorder="1" applyAlignment="1">
      <alignment horizontal="center" vertical="center"/>
    </xf>
    <xf numFmtId="0" fontId="70" fillId="0" borderId="157" xfId="2" applyFont="1" applyBorder="1" applyAlignment="1">
      <alignment horizontal="center" vertical="center"/>
    </xf>
    <xf numFmtId="0" fontId="70" fillId="8" borderId="165" xfId="2" applyFont="1" applyFill="1" applyBorder="1" applyAlignment="1">
      <alignment horizontal="center" vertical="center"/>
    </xf>
    <xf numFmtId="0" fontId="153" fillId="15" borderId="164" xfId="2" applyFont="1" applyFill="1" applyBorder="1" applyAlignment="1">
      <alignment horizontal="center" vertical="center" wrapText="1"/>
    </xf>
    <xf numFmtId="0" fontId="77" fillId="40" borderId="164" xfId="13" applyFont="1" applyFill="1" applyBorder="1" applyAlignment="1" applyProtection="1">
      <alignment horizontal="center" vertical="center"/>
      <protection locked="0"/>
    </xf>
    <xf numFmtId="0" fontId="61" fillId="0" borderId="164" xfId="13" applyFont="1" applyBorder="1" applyAlignment="1" applyProtection="1">
      <alignment horizontal="center" vertical="center"/>
      <protection locked="0"/>
    </xf>
    <xf numFmtId="170" fontId="8" fillId="8" borderId="158" xfId="2" applyNumberFormat="1" applyFont="1" applyFill="1" applyBorder="1" applyAlignment="1" applyProtection="1">
      <alignment horizontal="center" vertical="center"/>
      <protection locked="0"/>
    </xf>
    <xf numFmtId="217" fontId="8" fillId="0" borderId="164" xfId="13" applyNumberFormat="1" applyFont="1" applyBorder="1" applyAlignment="1" applyProtection="1">
      <alignment horizontal="right" vertical="center"/>
      <protection locked="0"/>
    </xf>
    <xf numFmtId="214" fontId="8" fillId="0" borderId="164" xfId="2" applyNumberFormat="1" applyFont="1" applyBorder="1" applyAlignment="1">
      <alignment horizontal="center" vertical="center"/>
    </xf>
    <xf numFmtId="1" fontId="7" fillId="0" borderId="164" xfId="13" applyNumberFormat="1" applyFont="1" applyBorder="1" applyAlignment="1" applyProtection="1">
      <alignment horizontal="left" vertical="center"/>
      <protection locked="0"/>
    </xf>
    <xf numFmtId="0" fontId="77" fillId="40" borderId="96" xfId="13" applyFont="1" applyFill="1" applyBorder="1" applyAlignment="1" applyProtection="1">
      <alignment horizontal="center" vertical="center"/>
      <protection locked="0"/>
    </xf>
    <xf numFmtId="0" fontId="8" fillId="0" borderId="158" xfId="2" applyFont="1" applyBorder="1" applyAlignment="1">
      <alignment horizontal="center" vertical="center"/>
    </xf>
    <xf numFmtId="1" fontId="7" fillId="0" borderId="100" xfId="13" applyNumberFormat="1" applyFont="1" applyBorder="1" applyAlignment="1" applyProtection="1">
      <alignment horizontal="left" vertical="center"/>
      <protection locked="0"/>
    </xf>
    <xf numFmtId="0" fontId="80" fillId="57" borderId="5" xfId="2" applyFont="1" applyFill="1" applyBorder="1" applyAlignment="1">
      <alignment horizontal="centerContinuous" vertical="center"/>
    </xf>
    <xf numFmtId="0" fontId="80" fillId="57" borderId="0" xfId="2" applyFont="1" applyFill="1" applyAlignment="1">
      <alignment horizontal="centerContinuous" vertical="center"/>
    </xf>
    <xf numFmtId="0" fontId="80" fillId="57" borderId="4" xfId="2" applyFont="1" applyFill="1" applyBorder="1" applyAlignment="1">
      <alignment horizontal="centerContinuous" vertical="center"/>
    </xf>
    <xf numFmtId="0" fontId="4" fillId="0" borderId="164" xfId="2" applyBorder="1" applyAlignment="1">
      <alignment vertical="center"/>
    </xf>
    <xf numFmtId="0" fontId="4" fillId="3" borderId="164" xfId="2" applyFill="1" applyBorder="1" applyAlignment="1">
      <alignment vertical="center"/>
    </xf>
    <xf numFmtId="0" fontId="4" fillId="3" borderId="100" xfId="2" applyFill="1" applyBorder="1" applyAlignment="1">
      <alignment vertical="center"/>
    </xf>
    <xf numFmtId="0" fontId="4" fillId="0" borderId="58" xfId="2" applyBorder="1" applyAlignment="1">
      <alignment vertical="center"/>
    </xf>
    <xf numFmtId="0" fontId="4" fillId="3" borderId="58" xfId="2" applyFill="1" applyBorder="1" applyAlignment="1">
      <alignment vertical="center"/>
    </xf>
    <xf numFmtId="0" fontId="4" fillId="3" borderId="56" xfId="2" applyFill="1" applyBorder="1" applyAlignment="1">
      <alignment vertical="center"/>
    </xf>
    <xf numFmtId="0" fontId="73" fillId="29" borderId="164" xfId="2" applyFont="1" applyFill="1" applyBorder="1" applyAlignment="1">
      <alignment horizontal="left" vertical="center"/>
    </xf>
    <xf numFmtId="1" fontId="8" fillId="0" borderId="22" xfId="2" applyNumberFormat="1" applyFont="1" applyBorder="1" applyAlignment="1">
      <alignment horizontal="center" vertical="center"/>
    </xf>
    <xf numFmtId="168" fontId="55" fillId="15" borderId="22" xfId="2" applyNumberFormat="1" applyFont="1" applyFill="1" applyBorder="1" applyAlignment="1">
      <alignment horizontal="center" vertical="center"/>
    </xf>
    <xf numFmtId="170" fontId="61" fillId="0" borderId="22" xfId="13" applyNumberFormat="1" applyFont="1" applyBorder="1" applyAlignment="1" applyProtection="1">
      <alignment horizontal="center" vertical="center"/>
      <protection locked="0"/>
    </xf>
    <xf numFmtId="168" fontId="70" fillId="0" borderId="124" xfId="2" applyNumberFormat="1" applyFont="1" applyBorder="1" applyAlignment="1">
      <alignment vertical="center"/>
    </xf>
    <xf numFmtId="168" fontId="156" fillId="0" borderId="124" xfId="2" applyNumberFormat="1" applyFont="1" applyBorder="1" applyAlignment="1">
      <alignment horizontal="center" vertical="center"/>
    </xf>
    <xf numFmtId="1" fontId="8" fillId="0" borderId="165" xfId="2" applyNumberFormat="1" applyFont="1" applyBorder="1" applyAlignment="1">
      <alignment horizontal="center" vertical="center"/>
    </xf>
    <xf numFmtId="168" fontId="55" fillId="15" borderId="165" xfId="2" applyNumberFormat="1" applyFont="1" applyFill="1" applyBorder="1" applyAlignment="1">
      <alignment horizontal="center" vertical="center"/>
    </xf>
    <xf numFmtId="172" fontId="76" fillId="15" borderId="165" xfId="2" applyNumberFormat="1" applyFont="1" applyFill="1" applyBorder="1" applyAlignment="1" applyProtection="1">
      <alignment horizontal="center" vertical="center"/>
      <protection locked="0"/>
    </xf>
    <xf numFmtId="168" fontId="7" fillId="8" borderId="102" xfId="2" applyNumberFormat="1" applyFont="1" applyFill="1" applyBorder="1" applyAlignment="1">
      <alignment vertical="center"/>
    </xf>
    <xf numFmtId="168" fontId="156" fillId="3" borderId="158" xfId="2" applyNumberFormat="1" applyFont="1" applyFill="1" applyBorder="1" applyAlignment="1">
      <alignment vertical="center"/>
    </xf>
    <xf numFmtId="170" fontId="61" fillId="0" borderId="165" xfId="13" applyNumberFormat="1" applyFont="1" applyBorder="1" applyAlignment="1" applyProtection="1">
      <alignment horizontal="center" vertical="center"/>
      <protection locked="0"/>
    </xf>
    <xf numFmtId="168" fontId="70" fillId="0" borderId="102" xfId="2" applyNumberFormat="1" applyFont="1" applyBorder="1" applyAlignment="1">
      <alignment vertical="center"/>
    </xf>
    <xf numFmtId="168" fontId="156" fillId="0" borderId="102" xfId="2" applyNumberFormat="1" applyFont="1" applyBorder="1" applyAlignment="1">
      <alignment horizontal="center" vertical="center"/>
    </xf>
    <xf numFmtId="0" fontId="406" fillId="12" borderId="94" xfId="2" applyFont="1" applyFill="1" applyBorder="1" applyAlignment="1">
      <alignment horizontal="right" vertical="center"/>
    </xf>
    <xf numFmtId="1" fontId="156" fillId="12" borderId="141" xfId="2" applyNumberFormat="1" applyFont="1" applyFill="1" applyBorder="1" applyAlignment="1">
      <alignment horizontal="center" vertical="center"/>
    </xf>
    <xf numFmtId="0" fontId="53" fillId="12" borderId="141" xfId="2" applyFont="1" applyFill="1" applyBorder="1" applyAlignment="1">
      <alignment horizontal="center" vertical="center"/>
    </xf>
    <xf numFmtId="0" fontId="4" fillId="12" borderId="141" xfId="2" applyFill="1" applyBorder="1" applyAlignment="1">
      <alignment vertical="center"/>
    </xf>
    <xf numFmtId="2" fontId="97" fillId="12" borderId="141" xfId="2" applyNumberFormat="1" applyFont="1" applyFill="1" applyBorder="1" applyAlignment="1">
      <alignment vertical="center"/>
    </xf>
    <xf numFmtId="168" fontId="97" fillId="12" borderId="141" xfId="2" applyNumberFormat="1" applyFont="1" applyFill="1" applyBorder="1" applyAlignment="1">
      <alignment vertical="center"/>
    </xf>
    <xf numFmtId="0" fontId="78" fillId="12" borderId="141" xfId="2" applyFont="1" applyFill="1" applyBorder="1" applyAlignment="1">
      <alignment vertical="top" wrapText="1"/>
    </xf>
    <xf numFmtId="0" fontId="78" fillId="12" borderId="137" xfId="2" applyFont="1" applyFill="1" applyBorder="1" applyAlignment="1">
      <alignment vertical="top" wrapText="1"/>
    </xf>
    <xf numFmtId="2" fontId="8" fillId="8" borderId="190" xfId="2" applyNumberFormat="1" applyFont="1" applyFill="1" applyBorder="1" applyAlignment="1" applyProtection="1">
      <alignment horizontal="center" vertical="center"/>
      <protection locked="0"/>
    </xf>
    <xf numFmtId="170" fontId="8" fillId="0" borderId="190" xfId="2" applyNumberFormat="1" applyFont="1" applyBorder="1" applyAlignment="1">
      <alignment horizontal="center" vertical="center"/>
    </xf>
    <xf numFmtId="0" fontId="70" fillId="12" borderId="164" xfId="2" applyFont="1" applyFill="1" applyBorder="1" applyAlignment="1">
      <alignment vertical="center"/>
    </xf>
    <xf numFmtId="168" fontId="156" fillId="0" borderId="124" xfId="2" applyNumberFormat="1" applyFont="1" applyBorder="1" applyAlignment="1">
      <alignment horizontal="centerContinuous" vertical="center"/>
    </xf>
    <xf numFmtId="168" fontId="156" fillId="0" borderId="190" xfId="2" applyNumberFormat="1" applyFont="1" applyBorder="1" applyAlignment="1">
      <alignment horizontal="centerContinuous" vertical="center"/>
    </xf>
    <xf numFmtId="0" fontId="403" fillId="12" borderId="99" xfId="2" applyFont="1" applyFill="1" applyBorder="1" applyAlignment="1">
      <alignment horizontal="center" vertical="center"/>
    </xf>
    <xf numFmtId="1" fontId="97" fillId="12" borderId="164" xfId="2" applyNumberFormat="1" applyFont="1" applyFill="1" applyBorder="1" applyAlignment="1">
      <alignment horizontal="center" vertical="center"/>
    </xf>
    <xf numFmtId="0" fontId="53" fillId="12" borderId="164" xfId="2" applyFont="1" applyFill="1" applyBorder="1" applyAlignment="1">
      <alignment horizontal="center" vertical="center"/>
    </xf>
    <xf numFmtId="2" fontId="70" fillId="8" borderId="190" xfId="2" applyNumberFormat="1" applyFont="1" applyFill="1" applyBorder="1" applyAlignment="1" applyProtection="1">
      <alignment horizontal="center" vertical="center"/>
      <protection locked="0"/>
    </xf>
    <xf numFmtId="217" fontId="8" fillId="0" borderId="124" xfId="13" applyNumberFormat="1" applyFont="1" applyBorder="1" applyAlignment="1" applyProtection="1">
      <alignment horizontal="right" vertical="center"/>
      <protection locked="0"/>
    </xf>
    <xf numFmtId="1" fontId="73" fillId="0" borderId="51" xfId="13" applyNumberFormat="1" applyBorder="1" applyAlignment="1" applyProtection="1">
      <alignment horizontal="left" vertical="center"/>
      <protection locked="0"/>
    </xf>
    <xf numFmtId="2" fontId="70" fillId="8" borderId="158" xfId="2" applyNumberFormat="1" applyFont="1" applyFill="1" applyBorder="1" applyAlignment="1" applyProtection="1">
      <alignment horizontal="center" vertical="center"/>
      <protection locked="0"/>
    </xf>
    <xf numFmtId="217" fontId="8" fillId="0" borderId="102" xfId="13" applyNumberFormat="1" applyFont="1" applyBorder="1" applyAlignment="1" applyProtection="1">
      <alignment horizontal="right" vertical="center"/>
      <protection locked="0"/>
    </xf>
    <xf numFmtId="1" fontId="73" fillId="0" borderId="100" xfId="13" applyNumberFormat="1" applyBorder="1" applyAlignment="1" applyProtection="1">
      <alignment horizontal="left" vertical="center"/>
      <protection locked="0"/>
    </xf>
    <xf numFmtId="0" fontId="403" fillId="3" borderId="5" xfId="2" applyFont="1" applyFill="1" applyBorder="1" applyAlignment="1">
      <alignment horizontal="center" vertical="center"/>
    </xf>
    <xf numFmtId="1" fontId="97" fillId="3" borderId="0" xfId="2" applyNumberFormat="1" applyFont="1" applyFill="1" applyAlignment="1">
      <alignment horizontal="center" vertical="center"/>
    </xf>
    <xf numFmtId="170" fontId="97" fillId="3" borderId="0" xfId="2" applyNumberFormat="1" applyFont="1" applyFill="1" applyAlignment="1">
      <alignment horizontal="center" vertical="center"/>
    </xf>
    <xf numFmtId="217" fontId="97" fillId="3" borderId="0" xfId="13" applyNumberFormat="1" applyFont="1" applyFill="1" applyAlignment="1" applyProtection="1">
      <alignment horizontal="center" vertical="center"/>
      <protection locked="0"/>
    </xf>
    <xf numFmtId="214" fontId="97" fillId="3" borderId="0" xfId="2" applyNumberFormat="1" applyFont="1" applyFill="1" applyAlignment="1">
      <alignment horizontal="center" vertical="center"/>
    </xf>
    <xf numFmtId="1" fontId="97" fillId="3" borderId="0" xfId="13" applyNumberFormat="1" applyFont="1" applyFill="1" applyAlignment="1" applyProtection="1">
      <alignment horizontal="center" vertical="center"/>
      <protection locked="0"/>
    </xf>
    <xf numFmtId="1" fontId="47" fillId="3" borderId="4" xfId="13" applyNumberFormat="1" applyFont="1" applyFill="1" applyBorder="1" applyAlignment="1" applyProtection="1">
      <alignment horizontal="center" vertical="center"/>
      <protection locked="0"/>
    </xf>
    <xf numFmtId="0" fontId="148" fillId="3" borderId="5" xfId="2" applyFont="1" applyFill="1" applyBorder="1" applyAlignment="1">
      <alignment horizontal="left" vertical="center"/>
    </xf>
    <xf numFmtId="0" fontId="148" fillId="3" borderId="0" xfId="2" applyFont="1" applyFill="1" applyAlignment="1">
      <alignment horizontal="left" vertical="center"/>
    </xf>
    <xf numFmtId="0" fontId="157" fillId="3" borderId="0" xfId="2" applyFont="1" applyFill="1" applyAlignment="1">
      <alignment vertical="center"/>
    </xf>
    <xf numFmtId="0" fontId="148" fillId="9" borderId="0" xfId="2" applyFont="1" applyFill="1" applyAlignment="1">
      <alignment horizontal="left" vertical="center"/>
    </xf>
    <xf numFmtId="0" fontId="157" fillId="3" borderId="0" xfId="2" applyFont="1" applyFill="1" applyAlignment="1" applyProtection="1">
      <alignment vertical="center"/>
      <protection locked="0"/>
    </xf>
    <xf numFmtId="0" fontId="157" fillId="3" borderId="4" xfId="2" applyFont="1" applyFill="1" applyBorder="1" applyAlignment="1">
      <alignment vertical="center"/>
    </xf>
    <xf numFmtId="0" fontId="80" fillId="57" borderId="61" xfId="2" applyFont="1" applyFill="1" applyBorder="1" applyAlignment="1">
      <alignment horizontal="center" vertical="center"/>
    </xf>
    <xf numFmtId="0" fontId="80" fillId="57" borderId="1" xfId="2" applyFont="1" applyFill="1" applyBorder="1" applyAlignment="1">
      <alignment horizontal="center" vertical="center"/>
    </xf>
    <xf numFmtId="0" fontId="80" fillId="69" borderId="266" xfId="2" applyFont="1" applyFill="1" applyBorder="1" applyAlignment="1">
      <alignment horizontal="center" vertical="center"/>
    </xf>
    <xf numFmtId="0" fontId="80" fillId="57" borderId="60" xfId="2" applyFont="1" applyFill="1" applyBorder="1" applyAlignment="1">
      <alignment horizontal="center" vertical="center"/>
    </xf>
    <xf numFmtId="0" fontId="13" fillId="68" borderId="63" xfId="1" applyFont="1" applyFill="1" applyBorder="1" applyAlignment="1">
      <alignment vertical="center"/>
    </xf>
    <xf numFmtId="165" fontId="353" fillId="68" borderId="5" xfId="3" applyNumberFormat="1" applyFont="1" applyFill="1" applyBorder="1" applyAlignment="1">
      <alignment vertical="center"/>
    </xf>
    <xf numFmtId="165" fontId="353" fillId="12" borderId="0" xfId="3" applyNumberFormat="1" applyFont="1" applyFill="1" applyAlignment="1">
      <alignment vertical="center"/>
    </xf>
    <xf numFmtId="165" fontId="353" fillId="12" borderId="4" xfId="3" applyNumberFormat="1" applyFont="1" applyFill="1" applyBorder="1" applyAlignment="1">
      <alignment vertical="center"/>
    </xf>
    <xf numFmtId="165" fontId="353" fillId="68" borderId="5" xfId="3" applyNumberFormat="1" applyFont="1" applyFill="1" applyBorder="1" applyAlignment="1">
      <alignment horizontal="left" vertical="center"/>
    </xf>
    <xf numFmtId="0" fontId="70" fillId="56" borderId="22" xfId="2" applyFont="1" applyFill="1" applyBorder="1" applyAlignment="1">
      <alignment horizontal="right" vertical="center"/>
    </xf>
    <xf numFmtId="14" fontId="4" fillId="0" borderId="97" xfId="2" applyNumberFormat="1" applyBorder="1" applyAlignment="1">
      <alignment horizontal="center" vertical="center"/>
    </xf>
    <xf numFmtId="0" fontId="70" fillId="56" borderId="190" xfId="2" applyFont="1" applyFill="1" applyBorder="1" applyAlignment="1">
      <alignment horizontal="center" vertical="center"/>
    </xf>
    <xf numFmtId="0" fontId="52" fillId="8" borderId="124" xfId="2" applyFont="1" applyFill="1" applyBorder="1" applyAlignment="1">
      <alignment horizontal="center" vertical="center"/>
    </xf>
    <xf numFmtId="0" fontId="52" fillId="8" borderId="190" xfId="2" applyFont="1" applyFill="1" applyBorder="1" applyAlignment="1">
      <alignment horizontal="center" vertical="center"/>
    </xf>
    <xf numFmtId="0" fontId="10" fillId="3" borderId="0" xfId="2" applyFont="1" applyFill="1" applyAlignment="1">
      <alignment vertical="center"/>
    </xf>
    <xf numFmtId="0" fontId="46" fillId="3" borderId="0" xfId="2" applyFont="1" applyFill="1" applyAlignment="1">
      <alignment vertical="center"/>
    </xf>
    <xf numFmtId="0" fontId="80" fillId="57" borderId="42" xfId="2" applyFont="1" applyFill="1" applyBorder="1" applyAlignment="1">
      <alignment horizontal="center" vertical="center"/>
    </xf>
    <xf numFmtId="0" fontId="80" fillId="57" borderId="7" xfId="2" applyFont="1" applyFill="1" applyBorder="1" applyAlignment="1">
      <alignment horizontal="center" vertical="center"/>
    </xf>
    <xf numFmtId="0" fontId="80" fillId="57" borderId="6" xfId="2" applyFont="1" applyFill="1" applyBorder="1" applyAlignment="1">
      <alignment horizontal="center" vertical="center"/>
    </xf>
    <xf numFmtId="0" fontId="4" fillId="67" borderId="42" xfId="2" applyFill="1" applyBorder="1" applyAlignment="1">
      <alignment vertical="center"/>
    </xf>
    <xf numFmtId="0" fontId="7" fillId="67" borderId="7" xfId="2" applyFont="1" applyFill="1" applyBorder="1"/>
    <xf numFmtId="0" fontId="4" fillId="67" borderId="7" xfId="2" applyFill="1" applyBorder="1"/>
    <xf numFmtId="0" fontId="73" fillId="0" borderId="131" xfId="2" applyFont="1" applyBorder="1" applyAlignment="1">
      <alignment horizontal="left" vertical="center"/>
    </xf>
    <xf numFmtId="0" fontId="4" fillId="0" borderId="58" xfId="2" applyBorder="1"/>
    <xf numFmtId="0" fontId="298" fillId="0" borderId="58" xfId="2" applyFont="1" applyBorder="1" applyAlignment="1">
      <alignment horizontal="center" vertical="center" wrapText="1"/>
    </xf>
    <xf numFmtId="0" fontId="4" fillId="0" borderId="56" xfId="2" applyBorder="1"/>
    <xf numFmtId="0" fontId="4" fillId="12" borderId="0" xfId="2" applyFill="1" applyAlignment="1">
      <alignment vertical="center"/>
    </xf>
    <xf numFmtId="0" fontId="4" fillId="12" borderId="0" xfId="2" applyFill="1"/>
    <xf numFmtId="0" fontId="409" fillId="8" borderId="129" xfId="2" applyFont="1" applyFill="1" applyBorder="1" applyAlignment="1">
      <alignment horizontal="center" vertical="center"/>
    </xf>
    <xf numFmtId="0" fontId="410" fillId="8" borderId="129" xfId="2" applyFont="1" applyFill="1" applyBorder="1" applyAlignment="1">
      <alignment horizontal="center" vertical="center"/>
    </xf>
    <xf numFmtId="0" fontId="97" fillId="0" borderId="63" xfId="2" applyFont="1" applyBorder="1" applyAlignment="1">
      <alignment horizontal="center" vertical="center"/>
    </xf>
    <xf numFmtId="0" fontId="156" fillId="8" borderId="264" xfId="2" applyFont="1" applyFill="1" applyBorder="1" applyAlignment="1">
      <alignment vertical="center"/>
    </xf>
    <xf numFmtId="0" fontId="4" fillId="8" borderId="64" xfId="2" applyFill="1" applyBorder="1" applyAlignment="1">
      <alignment vertical="center"/>
    </xf>
    <xf numFmtId="0" fontId="305" fillId="0" borderId="63" xfId="2" applyFont="1" applyBorder="1" applyAlignment="1">
      <alignment horizontal="center" vertical="center"/>
    </xf>
    <xf numFmtId="0" fontId="46" fillId="3" borderId="0" xfId="2" applyFont="1" applyFill="1" applyAlignment="1">
      <alignment horizontal="right" vertical="center"/>
    </xf>
    <xf numFmtId="0" fontId="34" fillId="3" borderId="0" xfId="2" applyFont="1" applyFill="1" applyAlignment="1">
      <alignment horizontal="right" vertical="center"/>
    </xf>
    <xf numFmtId="0" fontId="4" fillId="3" borderId="4" xfId="2" applyFill="1" applyBorder="1" applyAlignment="1">
      <alignment horizontal="center"/>
    </xf>
    <xf numFmtId="0" fontId="73" fillId="8" borderId="5" xfId="2" applyFont="1" applyFill="1" applyBorder="1" applyAlignment="1">
      <alignment horizontal="left" vertical="center"/>
    </xf>
    <xf numFmtId="0" fontId="149" fillId="8" borderId="0" xfId="2" applyFont="1" applyFill="1" applyAlignment="1">
      <alignment horizontal="center" vertical="center"/>
    </xf>
    <xf numFmtId="0" fontId="47" fillId="8" borderId="86" xfId="2" applyFont="1" applyFill="1" applyBorder="1" applyAlignment="1">
      <alignment horizontal="right" vertical="center"/>
    </xf>
    <xf numFmtId="172" fontId="155" fillId="25" borderId="119" xfId="2" applyNumberFormat="1" applyFont="1" applyFill="1" applyBorder="1" applyAlignment="1" applyProtection="1">
      <alignment horizontal="center" vertical="center"/>
      <protection locked="0"/>
    </xf>
    <xf numFmtId="0" fontId="156" fillId="3" borderId="86" xfId="2" applyFont="1" applyFill="1" applyBorder="1" applyAlignment="1">
      <alignment horizontal="right" vertical="center"/>
    </xf>
    <xf numFmtId="168" fontId="61" fillId="3" borderId="124" xfId="2" applyNumberFormat="1" applyFont="1" applyFill="1" applyBorder="1" applyAlignment="1">
      <alignment horizontal="center" vertical="center"/>
    </xf>
    <xf numFmtId="168" fontId="8" fillId="3" borderId="22" xfId="2" applyNumberFormat="1" applyFont="1" applyFill="1" applyBorder="1" applyAlignment="1">
      <alignment horizontal="center" vertical="center"/>
    </xf>
    <xf numFmtId="168" fontId="61" fillId="3" borderId="22" xfId="2" applyNumberFormat="1" applyFont="1" applyFill="1" applyBorder="1" applyAlignment="1">
      <alignment horizontal="center" vertical="center"/>
    </xf>
    <xf numFmtId="0" fontId="4" fillId="3" borderId="137" xfId="2" applyFill="1" applyBorder="1" applyAlignment="1">
      <alignment horizontal="center"/>
    </xf>
    <xf numFmtId="0" fontId="70" fillId="8" borderId="5" xfId="2" applyFont="1" applyFill="1" applyBorder="1" applyAlignment="1">
      <alignment horizontal="left" vertical="center"/>
    </xf>
    <xf numFmtId="0" fontId="55" fillId="3" borderId="97" xfId="2" applyFont="1" applyFill="1" applyBorder="1" applyAlignment="1">
      <alignment horizontal="left" vertical="center"/>
    </xf>
    <xf numFmtId="0" fontId="91" fillId="3" borderId="97" xfId="2" applyFont="1" applyFill="1" applyBorder="1" applyAlignment="1">
      <alignment horizontal="left" vertical="center"/>
    </xf>
    <xf numFmtId="0" fontId="4" fillId="3" borderId="190" xfId="2" applyFill="1" applyBorder="1" applyAlignment="1">
      <alignment vertical="center"/>
    </xf>
    <xf numFmtId="0" fontId="156" fillId="3" borderId="0" xfId="2" applyFont="1" applyFill="1" applyAlignment="1">
      <alignment vertical="center"/>
    </xf>
    <xf numFmtId="0" fontId="97" fillId="3" borderId="86" xfId="2" applyFont="1" applyFill="1" applyBorder="1" applyAlignment="1">
      <alignment horizontal="right" vertical="center"/>
    </xf>
    <xf numFmtId="170" fontId="61" fillId="3" borderId="124" xfId="2" applyNumberFormat="1" applyFont="1" applyFill="1" applyBorder="1" applyAlignment="1">
      <alignment horizontal="center" vertical="center"/>
    </xf>
    <xf numFmtId="170" fontId="8" fillId="3" borderId="22" xfId="2" applyNumberFormat="1" applyFont="1" applyFill="1" applyBorder="1" applyAlignment="1">
      <alignment horizontal="center" vertical="center"/>
    </xf>
    <xf numFmtId="170" fontId="61" fillId="3" borderId="22" xfId="2" applyNumberFormat="1" applyFont="1" applyFill="1" applyBorder="1" applyAlignment="1">
      <alignment horizontal="center" vertical="center"/>
    </xf>
    <xf numFmtId="0" fontId="4" fillId="3" borderId="119" xfId="2" applyFill="1" applyBorder="1" applyAlignment="1">
      <alignment horizontal="center" vertical="center"/>
    </xf>
    <xf numFmtId="0" fontId="73" fillId="8" borderId="5" xfId="2" applyFont="1" applyFill="1" applyBorder="1" applyAlignment="1">
      <alignment horizontal="right" vertical="center"/>
    </xf>
    <xf numFmtId="0" fontId="55" fillId="3" borderId="268" xfId="2" applyFont="1" applyFill="1" applyBorder="1" applyAlignment="1">
      <alignment horizontal="left" vertical="center"/>
    </xf>
    <xf numFmtId="0" fontId="91" fillId="3" borderId="268" xfId="2" applyFont="1" applyFill="1" applyBorder="1" applyAlignment="1">
      <alignment horizontal="left" vertical="center"/>
    </xf>
    <xf numFmtId="0" fontId="4" fillId="3" borderId="269" xfId="2" applyFill="1" applyBorder="1" applyAlignment="1">
      <alignment vertical="center"/>
    </xf>
    <xf numFmtId="0" fontId="412" fillId="3" borderId="97" xfId="2" applyFont="1" applyFill="1" applyBorder="1" applyAlignment="1">
      <alignment horizontal="left" vertical="center"/>
    </xf>
    <xf numFmtId="0" fontId="39" fillId="3" borderId="97" xfId="2" applyFont="1" applyFill="1" applyBorder="1" applyAlignment="1">
      <alignment horizontal="left" vertical="center"/>
    </xf>
    <xf numFmtId="0" fontId="412" fillId="3" borderId="268" xfId="2" applyFont="1" applyFill="1" applyBorder="1" applyAlignment="1">
      <alignment horizontal="left" vertical="center"/>
    </xf>
    <xf numFmtId="0" fontId="39" fillId="3" borderId="268" xfId="2" applyFont="1" applyFill="1" applyBorder="1" applyAlignment="1">
      <alignment horizontal="left" vertical="center"/>
    </xf>
    <xf numFmtId="0" fontId="39" fillId="3" borderId="0" xfId="2" applyFont="1" applyFill="1" applyAlignment="1">
      <alignment horizontal="left" vertical="center"/>
    </xf>
    <xf numFmtId="168" fontId="136" fillId="15" borderId="102" xfId="2" applyNumberFormat="1" applyFont="1" applyFill="1" applyBorder="1" applyAlignment="1">
      <alignment horizontal="center" vertical="center"/>
    </xf>
    <xf numFmtId="168" fontId="298" fillId="15" borderId="165" xfId="2" applyNumberFormat="1" applyFont="1" applyFill="1" applyBorder="1" applyAlignment="1">
      <alignment horizontal="center" vertical="center"/>
    </xf>
    <xf numFmtId="168" fontId="136" fillId="15" borderId="165" xfId="2" applyNumberFormat="1" applyFont="1" applyFill="1" applyBorder="1" applyAlignment="1">
      <alignment horizontal="center" vertical="center"/>
    </xf>
    <xf numFmtId="172" fontId="155" fillId="25" borderId="270" xfId="2" applyNumberFormat="1" applyFont="1" applyFill="1" applyBorder="1" applyAlignment="1" applyProtection="1">
      <alignment horizontal="center" vertical="center"/>
      <protection locked="0"/>
    </xf>
    <xf numFmtId="164" fontId="4" fillId="0" borderId="0" xfId="23" applyAlignment="1">
      <alignment vertical="center"/>
    </xf>
    <xf numFmtId="164" fontId="4" fillId="8" borderId="5" xfId="23" applyFill="1" applyBorder="1" applyAlignment="1">
      <alignment horizontal="left" vertical="center"/>
    </xf>
    <xf numFmtId="164" fontId="4" fillId="3" borderId="97" xfId="23" applyFill="1" applyBorder="1" applyAlignment="1">
      <alignment horizontal="left" vertical="center"/>
    </xf>
    <xf numFmtId="164" fontId="4" fillId="3" borderId="190" xfId="23" applyFill="1" applyBorder="1" applyAlignment="1">
      <alignment vertical="center"/>
    </xf>
    <xf numFmtId="168" fontId="4" fillId="15" borderId="127" xfId="23" applyNumberFormat="1" applyFill="1" applyBorder="1" applyAlignment="1">
      <alignment horizontal="center" vertical="center"/>
    </xf>
    <xf numFmtId="168" fontId="4" fillId="15" borderId="46" xfId="23" applyNumberFormat="1" applyFill="1" applyBorder="1" applyAlignment="1">
      <alignment horizontal="center" vertical="center"/>
    </xf>
    <xf numFmtId="168" fontId="4" fillId="32" borderId="46" xfId="23" applyNumberFormat="1" applyFill="1" applyBorder="1" applyAlignment="1">
      <alignment horizontal="center" vertical="center"/>
    </xf>
    <xf numFmtId="172" fontId="4" fillId="25" borderId="271" xfId="23" applyNumberFormat="1" applyFill="1" applyBorder="1" applyAlignment="1" applyProtection="1">
      <alignment horizontal="center" vertical="center"/>
      <protection locked="0"/>
    </xf>
    <xf numFmtId="164" fontId="4" fillId="3" borderId="0" xfId="23" applyFill="1" applyAlignment="1">
      <alignment vertical="center"/>
    </xf>
    <xf numFmtId="0" fontId="149" fillId="0" borderId="0" xfId="2" applyFont="1" applyAlignment="1">
      <alignment horizontal="center" vertical="center"/>
    </xf>
    <xf numFmtId="0" fontId="70" fillId="0" borderId="0" xfId="2" applyFont="1" applyAlignment="1">
      <alignment horizontal="right" vertical="center"/>
    </xf>
    <xf numFmtId="168" fontId="73" fillId="0" borderId="164" xfId="2" applyNumberFormat="1" applyFont="1" applyBorder="1" applyAlignment="1">
      <alignment horizontal="center" vertical="center"/>
    </xf>
    <xf numFmtId="168" fontId="73" fillId="0" borderId="100" xfId="2" applyNumberFormat="1" applyFont="1" applyBorder="1" applyAlignment="1">
      <alignment horizontal="center" vertical="center"/>
    </xf>
    <xf numFmtId="0" fontId="39" fillId="3" borderId="190" xfId="2" applyFont="1" applyFill="1" applyBorder="1" applyAlignment="1">
      <alignment horizontal="left" vertical="center"/>
    </xf>
    <xf numFmtId="0" fontId="39" fillId="3" borderId="269" xfId="2" applyFont="1" applyFill="1" applyBorder="1" applyAlignment="1">
      <alignment horizontal="left" vertical="center"/>
    </xf>
    <xf numFmtId="0" fontId="7" fillId="0" borderId="0" xfId="2" applyFont="1" applyAlignment="1">
      <alignment vertical="center"/>
    </xf>
    <xf numFmtId="0" fontId="73" fillId="8" borderId="61" xfId="2" applyFont="1" applyFill="1" applyBorder="1" applyAlignment="1">
      <alignment horizontal="left" vertical="center"/>
    </xf>
    <xf numFmtId="0" fontId="39" fillId="3" borderId="193" xfId="2" applyFont="1" applyFill="1" applyBorder="1" applyAlignment="1">
      <alignment horizontal="left" vertical="center"/>
    </xf>
    <xf numFmtId="0" fontId="39" fillId="3" borderId="194" xfId="2" applyFont="1" applyFill="1" applyBorder="1" applyAlignment="1">
      <alignment horizontal="left" vertical="center"/>
    </xf>
    <xf numFmtId="168" fontId="136" fillId="15" borderId="192" xfId="2" applyNumberFormat="1" applyFont="1" applyFill="1" applyBorder="1" applyAlignment="1">
      <alignment horizontal="center" vertical="center"/>
    </xf>
    <xf numFmtId="168" fontId="298" fillId="15" borderId="199" xfId="2" applyNumberFormat="1" applyFont="1" applyFill="1" applyBorder="1" applyAlignment="1">
      <alignment horizontal="center" vertical="center"/>
    </xf>
    <xf numFmtId="168" fontId="61" fillId="32" borderId="199" xfId="2" applyNumberFormat="1" applyFont="1" applyFill="1" applyBorder="1" applyAlignment="1">
      <alignment horizontal="center" vertical="center"/>
    </xf>
    <xf numFmtId="168" fontId="136" fillId="15" borderId="199" xfId="2" applyNumberFormat="1" applyFont="1" applyFill="1" applyBorder="1" applyAlignment="1">
      <alignment horizontal="center" vertical="center"/>
    </xf>
    <xf numFmtId="172" fontId="155" fillId="25" borderId="272" xfId="2" applyNumberFormat="1" applyFont="1" applyFill="1" applyBorder="1" applyAlignment="1" applyProtection="1">
      <alignment horizontal="center" vertical="center"/>
      <protection locked="0"/>
    </xf>
    <xf numFmtId="0" fontId="4" fillId="3" borderId="61" xfId="2" applyFill="1" applyBorder="1" applyAlignment="1">
      <alignment vertical="center"/>
    </xf>
    <xf numFmtId="0" fontId="4" fillId="3" borderId="1" xfId="2" applyFill="1" applyBorder="1" applyAlignment="1">
      <alignment vertical="center"/>
    </xf>
    <xf numFmtId="0" fontId="156" fillId="3" borderId="273" xfId="2" applyFont="1" applyFill="1" applyBorder="1" applyAlignment="1">
      <alignment horizontal="right" vertical="center"/>
    </xf>
    <xf numFmtId="168" fontId="61" fillId="3" borderId="199" xfId="2" applyNumberFormat="1" applyFont="1" applyFill="1" applyBorder="1" applyAlignment="1">
      <alignment horizontal="center" vertical="center"/>
    </xf>
    <xf numFmtId="168" fontId="61" fillId="3" borderId="192" xfId="2" applyNumberFormat="1" applyFont="1" applyFill="1" applyBorder="1" applyAlignment="1">
      <alignment horizontal="center" vertical="center"/>
    </xf>
    <xf numFmtId="168" fontId="8" fillId="3" borderId="199" xfId="2" applyNumberFormat="1" applyFont="1" applyFill="1" applyBorder="1" applyAlignment="1">
      <alignment horizontal="center" vertical="center"/>
    </xf>
    <xf numFmtId="0" fontId="421" fillId="3" borderId="274" xfId="1" applyFont="1" applyFill="1" applyBorder="1" applyAlignment="1" applyProtection="1">
      <alignment horizontal="center" vertical="center"/>
      <protection hidden="1"/>
    </xf>
    <xf numFmtId="0" fontId="421" fillId="3" borderId="274" xfId="1" applyFont="1" applyFill="1" applyBorder="1" applyAlignment="1" applyProtection="1">
      <alignment horizontal="center" vertical="center" wrapText="1"/>
      <protection hidden="1"/>
    </xf>
    <xf numFmtId="0" fontId="71" fillId="0" borderId="274" xfId="1" applyFont="1" applyBorder="1" applyAlignment="1">
      <alignment horizontal="center" vertical="center"/>
    </xf>
    <xf numFmtId="0" fontId="71" fillId="12" borderId="275" xfId="1" applyFont="1" applyFill="1" applyBorder="1" applyAlignment="1">
      <alignment horizontal="center" vertical="center"/>
    </xf>
    <xf numFmtId="0" fontId="388" fillId="0" borderId="274" xfId="1" applyFont="1" applyBorder="1" applyAlignment="1">
      <alignment horizontal="center" vertical="center"/>
    </xf>
    <xf numFmtId="0" fontId="42" fillId="0" borderId="274" xfId="1" applyFont="1" applyBorder="1" applyAlignment="1">
      <alignment horizontal="center" vertical="center"/>
    </xf>
    <xf numFmtId="0" fontId="24" fillId="0" borderId="277" xfId="1" applyFont="1" applyBorder="1" applyAlignment="1">
      <alignment horizontal="center" vertical="center"/>
    </xf>
    <xf numFmtId="0" fontId="4" fillId="65" borderId="278" xfId="2" applyFill="1" applyBorder="1" applyAlignment="1">
      <alignment vertical="center"/>
    </xf>
    <xf numFmtId="0" fontId="422" fillId="65" borderId="278" xfId="2" applyFont="1" applyFill="1" applyBorder="1" applyAlignment="1">
      <alignment horizontal="center" vertical="center"/>
    </xf>
    <xf numFmtId="198" fontId="422" fillId="65" borderId="213" xfId="1" applyNumberFormat="1" applyFont="1" applyFill="1" applyBorder="1" applyAlignment="1">
      <alignment horizontal="center" vertical="center"/>
    </xf>
    <xf numFmtId="165" fontId="423" fillId="70" borderId="279" xfId="1" applyNumberFormat="1" applyFont="1" applyFill="1" applyBorder="1" applyAlignment="1">
      <alignment horizontal="center" vertical="center"/>
    </xf>
    <xf numFmtId="168" fontId="389" fillId="65" borderId="213" xfId="1" applyNumberFormat="1" applyFont="1" applyFill="1" applyBorder="1" applyAlignment="1">
      <alignment horizontal="center" vertical="center"/>
    </xf>
    <xf numFmtId="10" fontId="389" fillId="65" borderId="213" xfId="20" applyNumberFormat="1" applyFont="1" applyFill="1" applyBorder="1" applyAlignment="1">
      <alignment horizontal="center" vertical="center"/>
    </xf>
    <xf numFmtId="192" fontId="15" fillId="65" borderId="213" xfId="1" applyNumberFormat="1" applyFont="1" applyFill="1" applyBorder="1" applyAlignment="1">
      <alignment horizontal="center" vertical="center"/>
    </xf>
    <xf numFmtId="201" fontId="390" fillId="65" borderId="213" xfId="1" applyNumberFormat="1" applyFont="1" applyFill="1" applyBorder="1" applyAlignment="1">
      <alignment horizontal="center" vertical="center"/>
    </xf>
    <xf numFmtId="218" fontId="24" fillId="65" borderId="280" xfId="1" applyNumberFormat="1" applyFont="1" applyFill="1" applyBorder="1" applyAlignment="1">
      <alignment horizontal="center" vertical="center"/>
    </xf>
    <xf numFmtId="0" fontId="424" fillId="60" borderId="231" xfId="2" applyFont="1" applyFill="1" applyBorder="1" applyAlignment="1">
      <alignment horizontal="center" vertical="center"/>
    </xf>
    <xf numFmtId="198" fontId="424" fillId="0" borderId="212" xfId="1" applyNumberFormat="1" applyFont="1" applyBorder="1" applyAlignment="1">
      <alignment horizontal="center" vertical="center"/>
    </xf>
    <xf numFmtId="165" fontId="423" fillId="71" borderId="279" xfId="1" applyNumberFormat="1" applyFont="1" applyFill="1" applyBorder="1" applyAlignment="1">
      <alignment horizontal="center" vertical="center"/>
    </xf>
    <xf numFmtId="168" fontId="389" fillId="0" borderId="212" xfId="1" applyNumberFormat="1" applyFont="1" applyBorder="1" applyAlignment="1">
      <alignment horizontal="center" vertical="center"/>
    </xf>
    <xf numFmtId="192" fontId="15" fillId="0" borderId="212" xfId="1" applyNumberFormat="1" applyFont="1" applyBorder="1" applyAlignment="1">
      <alignment horizontal="center" vertical="center"/>
    </xf>
    <xf numFmtId="165" fontId="423" fillId="72" borderId="279" xfId="1" applyNumberFormat="1" applyFont="1" applyFill="1" applyBorder="1" applyAlignment="1">
      <alignment horizontal="center" vertical="center"/>
    </xf>
    <xf numFmtId="168" fontId="389" fillId="65" borderId="212" xfId="1" applyNumberFormat="1" applyFont="1" applyFill="1" applyBorder="1" applyAlignment="1">
      <alignment horizontal="center" vertical="center"/>
    </xf>
    <xf numFmtId="192" fontId="15" fillId="65" borderId="212" xfId="1" applyNumberFormat="1" applyFont="1" applyFill="1" applyBorder="1" applyAlignment="1">
      <alignment horizontal="center" vertical="center"/>
    </xf>
    <xf numFmtId="0" fontId="393" fillId="2" borderId="239" xfId="24" applyFont="1" applyFill="1" applyBorder="1" applyAlignment="1" applyProtection="1">
      <alignment vertical="center"/>
    </xf>
    <xf numFmtId="165" fontId="423" fillId="72" borderId="282" xfId="1" applyNumberFormat="1" applyFont="1" applyFill="1" applyBorder="1" applyAlignment="1">
      <alignment horizontal="center" vertical="center"/>
    </xf>
    <xf numFmtId="0" fontId="40" fillId="0" borderId="274" xfId="1" applyFont="1" applyBorder="1" applyAlignment="1">
      <alignment horizontal="center" vertical="center"/>
    </xf>
    <xf numFmtId="0" fontId="40" fillId="0" borderId="209" xfId="1" applyFont="1" applyBorder="1" applyAlignment="1">
      <alignment horizontal="center" vertical="center"/>
    </xf>
    <xf numFmtId="0" fontId="388" fillId="0" borderId="0" xfId="1" applyFont="1" applyAlignment="1">
      <alignment horizontal="center" vertical="center"/>
    </xf>
    <xf numFmtId="0" fontId="4" fillId="65" borderId="231" xfId="2" applyFill="1" applyBorder="1" applyAlignment="1">
      <alignment horizontal="center"/>
    </xf>
    <xf numFmtId="192" fontId="389" fillId="65" borderId="212" xfId="1" applyNumberFormat="1" applyFont="1" applyFill="1" applyBorder="1" applyAlignment="1">
      <alignment horizontal="center" vertical="center"/>
    </xf>
    <xf numFmtId="186" fontId="425" fillId="0" borderId="218" xfId="1" applyNumberFormat="1" applyFont="1" applyBorder="1" applyAlignment="1">
      <alignment horizontal="center" vertical="center"/>
    </xf>
    <xf numFmtId="0" fontId="4" fillId="65" borderId="283" xfId="2" applyFill="1" applyBorder="1" applyAlignment="1">
      <alignment vertical="center"/>
    </xf>
    <xf numFmtId="0" fontId="422" fillId="65" borderId="284" xfId="2" applyFont="1" applyFill="1" applyBorder="1" applyAlignment="1">
      <alignment horizontal="center" vertical="center"/>
    </xf>
    <xf numFmtId="198" fontId="422" fillId="65" borderId="285" xfId="1" applyNumberFormat="1" applyFont="1" applyFill="1" applyBorder="1" applyAlignment="1">
      <alignment horizontal="center" vertical="center"/>
    </xf>
    <xf numFmtId="165" fontId="423" fillId="72" borderId="286" xfId="1" applyNumberFormat="1" applyFont="1" applyFill="1" applyBorder="1" applyAlignment="1">
      <alignment horizontal="center" vertical="center"/>
    </xf>
    <xf numFmtId="201" fontId="390" fillId="65" borderId="287" xfId="1" applyNumberFormat="1" applyFont="1" applyFill="1" applyBorder="1" applyAlignment="1">
      <alignment horizontal="center" vertical="center"/>
    </xf>
    <xf numFmtId="201" fontId="24" fillId="65" borderId="288" xfId="1" applyNumberFormat="1" applyFont="1" applyFill="1" applyBorder="1" applyAlignment="1">
      <alignment horizontal="center" vertical="center"/>
    </xf>
    <xf numFmtId="1" fontId="24" fillId="0" borderId="234" xfId="1" applyNumberFormat="1" applyFont="1" applyBorder="1" applyAlignment="1">
      <alignment horizontal="center"/>
    </xf>
    <xf numFmtId="0" fontId="7" fillId="0" borderId="289" xfId="1" applyBorder="1"/>
    <xf numFmtId="0" fontId="24" fillId="3" borderId="236" xfId="1" applyFont="1" applyFill="1" applyBorder="1" applyAlignment="1">
      <alignment vertical="center"/>
    </xf>
    <xf numFmtId="0" fontId="7" fillId="3" borderId="236" xfId="1" applyFill="1" applyBorder="1"/>
    <xf numFmtId="0" fontId="24" fillId="3" borderId="236" xfId="1" applyFont="1" applyFill="1" applyBorder="1" applyAlignment="1">
      <alignment horizontal="right" vertical="center"/>
    </xf>
    <xf numFmtId="1" fontId="12" fillId="73" borderId="236" xfId="3" applyNumberFormat="1" applyFont="1" applyFill="1" applyBorder="1" applyAlignment="1">
      <alignment horizontal="center" vertical="center"/>
    </xf>
    <xf numFmtId="201" fontId="15" fillId="0" borderId="237" xfId="1" applyNumberFormat="1" applyFont="1" applyBorder="1" applyAlignment="1">
      <alignment horizontal="center" vertical="center"/>
    </xf>
    <xf numFmtId="0" fontId="24" fillId="3" borderId="0" xfId="1" applyFont="1" applyFill="1" applyAlignment="1">
      <alignment horizontal="right" vertical="center"/>
    </xf>
    <xf numFmtId="9" fontId="71" fillId="22" borderId="0" xfId="1" applyNumberFormat="1" applyFont="1" applyFill="1" applyAlignment="1">
      <alignment horizontal="center"/>
    </xf>
    <xf numFmtId="201" fontId="24" fillId="3" borderId="281" xfId="1" applyNumberFormat="1" applyFont="1" applyFill="1" applyBorder="1" applyAlignment="1">
      <alignment horizontal="center" vertical="center"/>
    </xf>
    <xf numFmtId="0" fontId="24" fillId="3" borderId="238" xfId="1" applyFont="1" applyFill="1" applyBorder="1"/>
    <xf numFmtId="0" fontId="24" fillId="3" borderId="238" xfId="1" applyFont="1" applyFill="1" applyBorder="1" applyAlignment="1">
      <alignment horizontal="right"/>
    </xf>
    <xf numFmtId="201" fontId="389" fillId="3" borderId="238" xfId="1" applyNumberFormat="1" applyFont="1" applyFill="1" applyBorder="1" applyAlignment="1">
      <alignment horizontal="center" vertical="center"/>
    </xf>
    <xf numFmtId="201" fontId="15" fillId="3" borderId="290" xfId="1" applyNumberFormat="1" applyFont="1" applyFill="1" applyBorder="1" applyAlignment="1">
      <alignment horizontal="center" vertical="center"/>
    </xf>
    <xf numFmtId="0" fontId="7" fillId="0" borderId="0" xfId="25"/>
    <xf numFmtId="0" fontId="0" fillId="0" borderId="0" xfId="0" applyAlignment="1">
      <alignment horizontal="center"/>
    </xf>
    <xf numFmtId="0" fontId="7" fillId="23" borderId="0" xfId="1" applyFill="1" applyAlignment="1">
      <alignment vertical="center"/>
    </xf>
    <xf numFmtId="0" fontId="433" fillId="42" borderId="0" xfId="9" applyFont="1" applyFill="1" applyAlignment="1" applyProtection="1">
      <alignment horizontal="center" vertical="center"/>
      <protection hidden="1"/>
    </xf>
    <xf numFmtId="0" fontId="437" fillId="23" borderId="0" xfId="15" applyFont="1" applyFill="1" applyAlignment="1">
      <alignment vertical="center"/>
    </xf>
    <xf numFmtId="0" fontId="181" fillId="23" borderId="0" xfId="1" applyFont="1" applyFill="1" applyAlignment="1">
      <alignment vertical="center"/>
    </xf>
    <xf numFmtId="0" fontId="438" fillId="23" borderId="0" xfId="1" applyFont="1" applyFill="1" applyAlignment="1">
      <alignment vertical="center"/>
    </xf>
    <xf numFmtId="0" fontId="439" fillId="23" borderId="0" xfId="29" applyFont="1" applyFill="1" applyAlignment="1">
      <alignment horizontal="left" vertical="center"/>
    </xf>
    <xf numFmtId="0" fontId="438" fillId="23" borderId="0" xfId="1" applyFont="1" applyFill="1" applyAlignment="1">
      <alignment horizontal="center" vertical="center"/>
    </xf>
    <xf numFmtId="0" fontId="167" fillId="23" borderId="0" xfId="1" applyFont="1" applyFill="1" applyAlignment="1">
      <alignment vertical="center"/>
    </xf>
    <xf numFmtId="165" fontId="440" fillId="23" borderId="291" xfId="3" applyNumberFormat="1" applyFont="1" applyFill="1" applyBorder="1" applyAlignment="1">
      <alignment horizontal="center" vertical="center"/>
    </xf>
    <xf numFmtId="184" fontId="441" fillId="126" borderId="292" xfId="0" applyNumberFormat="1" applyFont="1" applyFill="1" applyBorder="1" applyAlignment="1" applyProtection="1">
      <alignment horizontal="center" vertical="center"/>
      <protection locked="0"/>
    </xf>
    <xf numFmtId="183" fontId="442" fillId="127" borderId="293" xfId="1" applyNumberFormat="1" applyFont="1" applyFill="1" applyBorder="1" applyAlignment="1">
      <alignment horizontal="center" vertical="center"/>
    </xf>
    <xf numFmtId="0" fontId="443" fillId="23" borderId="0" xfId="1" applyFont="1" applyFill="1" applyAlignment="1">
      <alignment horizontal="right" vertical="center"/>
    </xf>
    <xf numFmtId="0" fontId="181" fillId="23" borderId="0" xfId="1" applyFont="1" applyFill="1" applyAlignment="1">
      <alignment horizontal="center" vertical="center"/>
    </xf>
    <xf numFmtId="0" fontId="444" fillId="23" borderId="0" xfId="0" applyFont="1" applyFill="1" applyAlignment="1">
      <alignment horizontal="left" vertical="center"/>
    </xf>
    <xf numFmtId="0" fontId="445" fillId="23" borderId="0" xfId="0" applyFont="1" applyFill="1" applyAlignment="1">
      <alignment horizontal="left" vertical="center"/>
    </xf>
    <xf numFmtId="0" fontId="446" fillId="23" borderId="0" xfId="0" applyFont="1" applyFill="1" applyAlignment="1">
      <alignment horizontal="left" vertical="center"/>
    </xf>
    <xf numFmtId="0" fontId="447" fillId="23" borderId="0" xfId="0" applyFont="1" applyFill="1" applyAlignment="1">
      <alignment horizontal="left" vertical="center"/>
    </xf>
    <xf numFmtId="0" fontId="448" fillId="23" borderId="0" xfId="0" applyFont="1" applyFill="1" applyAlignment="1">
      <alignment horizontal="left" vertical="center"/>
    </xf>
    <xf numFmtId="0" fontId="449" fillId="23" borderId="0" xfId="0" applyFont="1" applyFill="1" applyAlignment="1">
      <alignment horizontal="left" vertical="center"/>
    </xf>
    <xf numFmtId="0" fontId="450" fillId="23" borderId="0" xfId="0" applyFont="1" applyFill="1" applyAlignment="1">
      <alignment horizontal="left" vertical="center"/>
    </xf>
    <xf numFmtId="0" fontId="451" fillId="23" borderId="0" xfId="0" applyFont="1" applyFill="1" applyAlignment="1">
      <alignment horizontal="left" vertical="center"/>
    </xf>
    <xf numFmtId="0" fontId="452" fillId="23" borderId="0" xfId="0" applyFont="1" applyFill="1" applyAlignment="1">
      <alignment horizontal="left" vertical="center"/>
    </xf>
    <xf numFmtId="0" fontId="7" fillId="23" borderId="0" xfId="30" applyFill="1" applyProtection="1">
      <protection hidden="1"/>
    </xf>
    <xf numFmtId="0" fontId="7" fillId="23" borderId="0" xfId="30" applyFill="1" applyAlignment="1">
      <alignment vertical="center"/>
    </xf>
    <xf numFmtId="0" fontId="7" fillId="0" borderId="0" xfId="30"/>
    <xf numFmtId="0" fontId="7" fillId="0" borderId="0" xfId="30" applyAlignment="1">
      <alignment vertical="center"/>
    </xf>
    <xf numFmtId="0" fontId="178" fillId="23" borderId="0" xfId="30" applyFont="1" applyFill="1" applyAlignment="1">
      <alignment vertical="center"/>
    </xf>
    <xf numFmtId="0" fontId="453" fillId="8" borderId="0" xfId="30" applyFont="1" applyFill="1" applyAlignment="1">
      <alignment horizontal="center" vertical="center"/>
    </xf>
    <xf numFmtId="0" fontId="454" fillId="8" borderId="0" xfId="30" applyFont="1" applyFill="1" applyAlignment="1">
      <alignment horizontal="center" vertical="center"/>
    </xf>
    <xf numFmtId="0" fontId="455" fillId="8" borderId="0" xfId="30" applyFont="1" applyFill="1" applyAlignment="1">
      <alignment horizontal="center" vertical="center"/>
    </xf>
    <xf numFmtId="0" fontId="456" fillId="8" borderId="0" xfId="30" applyFont="1" applyFill="1" applyAlignment="1">
      <alignment horizontal="center" vertical="center"/>
    </xf>
    <xf numFmtId="0" fontId="457" fillId="8" borderId="0" xfId="30" applyFont="1" applyFill="1" applyAlignment="1">
      <alignment horizontal="center" vertical="center"/>
    </xf>
    <xf numFmtId="0" fontId="458" fillId="8" borderId="0" xfId="30" applyFont="1" applyFill="1" applyAlignment="1">
      <alignment horizontal="center" vertical="center"/>
    </xf>
    <xf numFmtId="0" fontId="459" fillId="8" borderId="0" xfId="30" applyFont="1" applyFill="1" applyAlignment="1">
      <alignment horizontal="center" vertical="center"/>
    </xf>
    <xf numFmtId="0" fontId="460" fillId="8" borderId="0" xfId="30" applyFont="1" applyFill="1" applyAlignment="1">
      <alignment horizontal="center" vertical="center"/>
    </xf>
    <xf numFmtId="0" fontId="461" fillId="8" borderId="0" xfId="30" applyFont="1" applyFill="1" applyAlignment="1">
      <alignment horizontal="center" vertical="center"/>
    </xf>
    <xf numFmtId="0" fontId="462" fillId="8" borderId="0" xfId="30" applyFont="1" applyFill="1" applyAlignment="1">
      <alignment horizontal="center" vertical="center"/>
    </xf>
    <xf numFmtId="0" fontId="463" fillId="8" borderId="0" xfId="30" applyFont="1" applyFill="1" applyAlignment="1">
      <alignment horizontal="center" vertical="center"/>
    </xf>
    <xf numFmtId="0" fontId="464" fillId="8" borderId="0" xfId="30" applyFont="1" applyFill="1" applyAlignment="1">
      <alignment horizontal="center" vertical="center"/>
    </xf>
    <xf numFmtId="0" fontId="465" fillId="8" borderId="0" xfId="30" applyFont="1" applyFill="1" applyAlignment="1">
      <alignment horizontal="center" vertical="center"/>
    </xf>
    <xf numFmtId="0" fontId="466" fillId="8" borderId="0" xfId="30" applyFont="1" applyFill="1" applyAlignment="1">
      <alignment horizontal="center" vertical="center"/>
    </xf>
    <xf numFmtId="0" fontId="467" fillId="8" borderId="0" xfId="30" applyFont="1" applyFill="1" applyAlignment="1">
      <alignment horizontal="center" vertical="center"/>
    </xf>
    <xf numFmtId="0" fontId="468" fillId="8" borderId="0" xfId="30" applyFont="1" applyFill="1" applyAlignment="1">
      <alignment horizontal="center" vertical="center"/>
    </xf>
    <xf numFmtId="0" fontId="469" fillId="8" borderId="0" xfId="30" applyFont="1" applyFill="1" applyAlignment="1">
      <alignment horizontal="center" vertical="center"/>
    </xf>
    <xf numFmtId="0" fontId="470" fillId="8" borderId="0" xfId="30" applyFont="1" applyFill="1" applyAlignment="1">
      <alignment horizontal="center" vertical="center"/>
    </xf>
    <xf numFmtId="0" fontId="471" fillId="3" borderId="5" xfId="30" applyFont="1" applyFill="1" applyBorder="1" applyAlignment="1">
      <alignment horizontal="center" vertical="center"/>
    </xf>
    <xf numFmtId="0" fontId="472" fillId="0" borderId="35" xfId="31" applyFont="1" applyBorder="1" applyAlignment="1">
      <alignment horizontal="center" vertical="center"/>
    </xf>
    <xf numFmtId="0" fontId="473" fillId="128" borderId="5" xfId="30" applyFont="1" applyFill="1" applyBorder="1" applyAlignment="1">
      <alignment horizontal="center" vertical="center"/>
    </xf>
    <xf numFmtId="0" fontId="473" fillId="129" borderId="5" xfId="30" applyFont="1" applyFill="1" applyBorder="1" applyAlignment="1">
      <alignment horizontal="center" vertical="center"/>
    </xf>
    <xf numFmtId="0" fontId="474" fillId="23" borderId="0" xfId="1" applyFont="1" applyFill="1" applyAlignment="1">
      <alignment horizontal="center" vertical="center"/>
    </xf>
    <xf numFmtId="0" fontId="475" fillId="3" borderId="0" xfId="30" applyFont="1" applyFill="1" applyAlignment="1">
      <alignment vertical="center"/>
    </xf>
    <xf numFmtId="0" fontId="7" fillId="3" borderId="0" xfId="30" applyFill="1" applyProtection="1">
      <protection hidden="1"/>
    </xf>
    <xf numFmtId="0" fontId="476" fillId="3" borderId="5" xfId="30" applyFont="1" applyFill="1" applyBorder="1" applyAlignment="1">
      <alignment vertical="center"/>
    </xf>
    <xf numFmtId="0" fontId="7" fillId="3" borderId="0" xfId="30" applyFill="1" applyAlignment="1">
      <alignment vertical="center"/>
    </xf>
    <xf numFmtId="194" fontId="477" fillId="3" borderId="0" xfId="30" applyNumberFormat="1" applyFont="1" applyFill="1" applyAlignment="1">
      <alignment vertical="center"/>
    </xf>
    <xf numFmtId="0" fontId="432" fillId="3" borderId="0" xfId="32" applyFont="1" applyFill="1" applyAlignment="1">
      <alignment horizontal="right" vertical="center"/>
    </xf>
    <xf numFmtId="195" fontId="441" fillId="50" borderId="0" xfId="32" applyNumberFormat="1" applyFont="1" applyFill="1" applyAlignment="1">
      <alignment horizontal="center" vertical="center"/>
    </xf>
    <xf numFmtId="0" fontId="478" fillId="41" borderId="0" xfId="30" applyFont="1" applyFill="1" applyAlignment="1">
      <alignment horizontal="center" vertical="center"/>
    </xf>
    <xf numFmtId="0" fontId="476" fillId="3" borderId="0" xfId="30" applyFont="1" applyFill="1" applyAlignment="1">
      <alignment horizontal="left" vertical="center"/>
    </xf>
    <xf numFmtId="0" fontId="7" fillId="0" borderId="0" xfId="30" applyProtection="1">
      <protection hidden="1"/>
    </xf>
    <xf numFmtId="0" fontId="479" fillId="49" borderId="0" xfId="30" applyFont="1" applyFill="1" applyAlignment="1">
      <alignment horizontal="center" vertical="center"/>
    </xf>
    <xf numFmtId="0" fontId="480" fillId="4" borderId="294" xfId="30" applyFont="1" applyFill="1" applyBorder="1" applyAlignment="1">
      <alignment horizontal="center" vertical="center"/>
    </xf>
    <xf numFmtId="0" fontId="480" fillId="4" borderId="0" xfId="30" applyFont="1" applyFill="1" applyAlignment="1">
      <alignment horizontal="center" vertical="center"/>
    </xf>
    <xf numFmtId="0" fontId="181" fillId="23" borderId="0" xfId="30" applyFont="1" applyFill="1" applyAlignment="1">
      <alignment vertical="center"/>
    </xf>
    <xf numFmtId="0" fontId="181" fillId="23" borderId="5" xfId="30" applyFont="1" applyFill="1" applyBorder="1" applyAlignment="1">
      <alignment vertical="center"/>
    </xf>
    <xf numFmtId="0" fontId="481" fillId="3" borderId="0" xfId="30" applyFont="1" applyFill="1" applyAlignment="1">
      <alignment horizontal="center" vertical="center"/>
    </xf>
    <xf numFmtId="0" fontId="478" fillId="42" borderId="0" xfId="30" applyFont="1" applyFill="1" applyAlignment="1">
      <alignment horizontal="center" vertical="center"/>
    </xf>
    <xf numFmtId="0" fontId="482" fillId="22" borderId="0" xfId="30" applyFont="1" applyFill="1" applyAlignment="1">
      <alignment horizontal="center" vertical="center"/>
    </xf>
    <xf numFmtId="0" fontId="181" fillId="23" borderId="0" xfId="30" applyFont="1" applyFill="1" applyAlignment="1">
      <alignment horizontal="right" vertical="center"/>
    </xf>
    <xf numFmtId="0" fontId="481" fillId="12" borderId="0" xfId="30" applyFont="1" applyFill="1" applyAlignment="1">
      <alignment horizontal="center" vertical="center"/>
    </xf>
    <xf numFmtId="0" fontId="478" fillId="23" borderId="0" xfId="30" applyFont="1" applyFill="1" applyAlignment="1">
      <alignment horizontal="right" vertical="center"/>
    </xf>
    <xf numFmtId="0" fontId="7" fillId="5" borderId="0" xfId="30" applyFill="1" applyAlignment="1">
      <alignment vertical="center"/>
    </xf>
    <xf numFmtId="0" fontId="181" fillId="23" borderId="0" xfId="33" applyFont="1" applyFill="1" applyAlignment="1">
      <alignment vertical="center"/>
    </xf>
    <xf numFmtId="0" fontId="181" fillId="23" borderId="0" xfId="15" applyFont="1" applyFill="1" applyAlignment="1">
      <alignment horizontal="center" vertical="center"/>
    </xf>
    <xf numFmtId="0" fontId="483" fillId="23" borderId="0" xfId="34" applyFont="1" applyFill="1" applyAlignment="1" applyProtection="1">
      <alignment vertical="center"/>
    </xf>
    <xf numFmtId="0" fontId="181" fillId="23" borderId="0" xfId="15" applyFont="1" applyFill="1" applyAlignment="1">
      <alignment horizontal="center" vertical="top"/>
    </xf>
    <xf numFmtId="0" fontId="485" fillId="0" borderId="0" xfId="17" applyFont="1" applyAlignment="1">
      <alignment horizontal="left" vertical="center"/>
    </xf>
    <xf numFmtId="0" fontId="486" fillId="0" borderId="0" xfId="17" applyFont="1" applyAlignment="1">
      <alignment horizontal="center"/>
    </xf>
    <xf numFmtId="0" fontId="486" fillId="0" borderId="0" xfId="17" applyFont="1"/>
    <xf numFmtId="0" fontId="486" fillId="0" borderId="0" xfId="17" applyFont="1" applyAlignment="1">
      <alignment horizontal="centerContinuous"/>
    </xf>
    <xf numFmtId="0" fontId="486" fillId="0" borderId="0" xfId="17" applyFont="1" applyAlignment="1">
      <alignment horizontal="right"/>
    </xf>
    <xf numFmtId="14" fontId="486" fillId="0" borderId="0" xfId="17" applyNumberFormat="1" applyFont="1" applyAlignment="1">
      <alignment horizontal="left"/>
    </xf>
    <xf numFmtId="0" fontId="487" fillId="0" borderId="0" xfId="17" applyFont="1"/>
    <xf numFmtId="0" fontId="486" fillId="0" borderId="0" xfId="17" applyFont="1" applyAlignment="1">
      <alignment horizontal="left" vertical="top"/>
    </xf>
    <xf numFmtId="0" fontId="486" fillId="0" borderId="0" xfId="17" applyFont="1" applyAlignment="1">
      <alignment vertical="top"/>
    </xf>
    <xf numFmtId="0" fontId="265" fillId="0" borderId="0" xfId="17" applyFont="1" applyAlignment="1">
      <alignment horizontal="left" vertical="top"/>
    </xf>
    <xf numFmtId="0" fontId="265" fillId="0" borderId="0" xfId="17" applyFont="1" applyAlignment="1">
      <alignment vertical="top"/>
    </xf>
    <xf numFmtId="0" fontId="258" fillId="3" borderId="95" xfId="17" applyFont="1" applyFill="1" applyBorder="1" applyAlignment="1" applyProtection="1">
      <alignment horizontal="center"/>
      <protection locked="0"/>
    </xf>
    <xf numFmtId="0" fontId="266" fillId="0" borderId="0" xfId="17" applyFont="1"/>
    <xf numFmtId="0" fontId="265" fillId="0" borderId="0" xfId="17" applyFont="1"/>
    <xf numFmtId="196" fontId="258" fillId="3" borderId="95" xfId="17" applyNumberFormat="1" applyFont="1" applyFill="1" applyBorder="1" applyAlignment="1">
      <alignment horizontal="center"/>
    </xf>
    <xf numFmtId="197" fontId="265" fillId="0" borderId="0" xfId="17" applyNumberFormat="1" applyFont="1" applyAlignment="1">
      <alignment horizontal="right"/>
    </xf>
    <xf numFmtId="0" fontId="267" fillId="0" borderId="0" xfId="17" applyFont="1" applyAlignment="1">
      <alignment horizontal="left" vertical="center"/>
    </xf>
    <xf numFmtId="0" fontId="488" fillId="0" borderId="0" xfId="17" applyFont="1"/>
    <xf numFmtId="0" fontId="267" fillId="0" borderId="295" xfId="17" applyFont="1" applyBorder="1" applyAlignment="1">
      <alignment horizontal="left" vertical="center"/>
    </xf>
    <xf numFmtId="0" fontId="267" fillId="0" borderId="295" xfId="17" applyFont="1" applyBorder="1" applyAlignment="1">
      <alignment horizontal="center" vertical="center"/>
    </xf>
    <xf numFmtId="0" fontId="267" fillId="0" borderId="296" xfId="17" applyFont="1" applyBorder="1" applyAlignment="1">
      <alignment horizontal="center" vertical="center"/>
    </xf>
    <xf numFmtId="0" fontId="267" fillId="0" borderId="95" xfId="17" applyFont="1" applyBorder="1" applyAlignment="1">
      <alignment horizontal="center" vertical="center"/>
    </xf>
    <xf numFmtId="0" fontId="267" fillId="130" borderId="297" xfId="17" applyFont="1" applyFill="1" applyBorder="1" applyAlignment="1">
      <alignment horizontal="center" vertical="center"/>
    </xf>
    <xf numFmtId="0" fontId="265" fillId="0" borderId="295" xfId="17" applyFont="1" applyBorder="1" applyAlignment="1">
      <alignment horizontal="left" vertical="center"/>
    </xf>
    <xf numFmtId="198" fontId="265" fillId="0" borderId="295" xfId="17" applyNumberFormat="1" applyFont="1" applyBorder="1" applyAlignment="1">
      <alignment horizontal="center" vertical="center"/>
    </xf>
    <xf numFmtId="199" fontId="267" fillId="0" borderId="295" xfId="17" applyNumberFormat="1" applyFont="1" applyBorder="1" applyAlignment="1">
      <alignment horizontal="center" vertical="center"/>
    </xf>
    <xf numFmtId="10" fontId="267" fillId="0" borderId="298" xfId="20" applyNumberFormat="1" applyFont="1" applyBorder="1" applyAlignment="1">
      <alignment horizontal="center" vertical="center"/>
    </xf>
    <xf numFmtId="200" fontId="489" fillId="131" borderId="295" xfId="17" applyNumberFormat="1" applyFont="1" applyFill="1" applyBorder="1" applyAlignment="1">
      <alignment horizontal="center" vertical="center"/>
    </xf>
    <xf numFmtId="201" fontId="265" fillId="0" borderId="295" xfId="17" applyNumberFormat="1" applyFont="1" applyBorder="1" applyAlignment="1">
      <alignment horizontal="center" vertical="center"/>
    </xf>
    <xf numFmtId="201" fontId="267" fillId="0" borderId="295" xfId="17" applyNumberFormat="1" applyFont="1" applyBorder="1" applyAlignment="1">
      <alignment horizontal="center" vertical="center"/>
    </xf>
    <xf numFmtId="0" fontId="265" fillId="0" borderId="0" xfId="17" applyFont="1" applyAlignment="1">
      <alignment horizontal="center" vertical="center"/>
    </xf>
    <xf numFmtId="10" fontId="267" fillId="0" borderId="295" xfId="20" applyNumberFormat="1" applyFont="1" applyBorder="1" applyAlignment="1">
      <alignment horizontal="center" vertical="center"/>
    </xf>
    <xf numFmtId="0" fontId="265" fillId="0" borderId="0" xfId="17" applyFont="1" applyAlignment="1">
      <alignment vertical="center"/>
    </xf>
    <xf numFmtId="0" fontId="267" fillId="0" borderId="295" xfId="17" applyFont="1" applyBorder="1" applyAlignment="1">
      <alignment horizontal="left"/>
    </xf>
    <xf numFmtId="200" fontId="267" fillId="0" borderId="295" xfId="17" applyNumberFormat="1" applyFont="1" applyBorder="1" applyAlignment="1">
      <alignment horizontal="center" vertical="center"/>
    </xf>
    <xf numFmtId="186" fontId="267" fillId="0" borderId="295" xfId="17" applyNumberFormat="1" applyFont="1" applyBorder="1" applyAlignment="1">
      <alignment horizontal="center" vertical="center"/>
    </xf>
    <xf numFmtId="196" fontId="489" fillId="131" borderId="295" xfId="17" applyNumberFormat="1" applyFont="1" applyFill="1" applyBorder="1" applyAlignment="1">
      <alignment horizontal="center" vertical="center"/>
    </xf>
    <xf numFmtId="0" fontId="490" fillId="0" borderId="0" xfId="17" applyFont="1" applyAlignment="1">
      <alignment horizontal="centerContinuous"/>
    </xf>
    <xf numFmtId="198" fontId="265" fillId="0" borderId="0" xfId="17" applyNumberFormat="1" applyFont="1" applyAlignment="1">
      <alignment horizontal="centerContinuous"/>
    </xf>
    <xf numFmtId="0" fontId="265" fillId="0" borderId="0" xfId="17" applyFont="1" applyAlignment="1">
      <alignment horizontal="centerContinuous"/>
    </xf>
    <xf numFmtId="219" fontId="267" fillId="0" borderId="0" xfId="17" applyNumberFormat="1" applyFont="1"/>
    <xf numFmtId="0" fontId="267" fillId="0" borderId="0" xfId="17" applyFont="1"/>
    <xf numFmtId="220" fontId="267" fillId="0" borderId="0" xfId="17" applyNumberFormat="1" applyFont="1" applyAlignment="1">
      <alignment horizontal="left"/>
    </xf>
    <xf numFmtId="198" fontId="265" fillId="0" borderId="0" xfId="17" applyNumberFormat="1" applyFont="1"/>
    <xf numFmtId="0" fontId="265" fillId="0" borderId="0" xfId="17" applyFont="1" applyAlignment="1">
      <alignment horizontal="left" vertical="center"/>
    </xf>
    <xf numFmtId="198" fontId="267" fillId="0" borderId="0" xfId="17" applyNumberFormat="1" applyFont="1" applyAlignment="1">
      <alignment horizontal="centerContinuous"/>
    </xf>
    <xf numFmtId="10" fontId="267" fillId="0" borderId="0" xfId="20" applyNumberFormat="1" applyFont="1" applyAlignment="1">
      <alignment horizontal="centerContinuous"/>
    </xf>
    <xf numFmtId="199" fontId="267" fillId="0" borderId="0" xfId="17" applyNumberFormat="1" applyFont="1" applyAlignment="1">
      <alignment horizontal="centerContinuous"/>
    </xf>
    <xf numFmtId="0" fontId="266" fillId="0" borderId="0" xfId="17" applyFont="1" applyAlignment="1">
      <alignment horizontal="centerContinuous"/>
    </xf>
    <xf numFmtId="199" fontId="267" fillId="0" borderId="0" xfId="17" applyNumberFormat="1" applyFont="1"/>
    <xf numFmtId="0" fontId="490" fillId="0" borderId="0" xfId="17" applyFont="1"/>
    <xf numFmtId="0" fontId="265" fillId="0" borderId="0" xfId="17" applyFont="1" applyAlignment="1">
      <alignment horizontal="center"/>
    </xf>
    <xf numFmtId="0" fontId="488" fillId="0" borderId="0" xfId="17" applyFont="1" applyAlignment="1">
      <alignment horizontal="center"/>
    </xf>
    <xf numFmtId="0" fontId="488" fillId="0" borderId="0" xfId="17" applyFont="1" applyAlignment="1">
      <alignment horizontal="right"/>
    </xf>
    <xf numFmtId="0" fontId="486" fillId="0" borderId="0" xfId="17" applyFont="1" applyAlignment="1">
      <alignment horizontal="left" vertical="center"/>
    </xf>
    <xf numFmtId="0" fontId="267" fillId="0" borderId="295" xfId="17" applyFont="1" applyBorder="1" applyAlignment="1">
      <alignment horizontal="center"/>
    </xf>
    <xf numFmtId="0" fontId="267" fillId="0" borderId="296" xfId="17" applyFont="1" applyBorder="1" applyAlignment="1">
      <alignment horizontal="center"/>
    </xf>
    <xf numFmtId="0" fontId="267" fillId="0" borderId="95" xfId="17" applyFont="1" applyBorder="1" applyAlignment="1">
      <alignment horizontal="center"/>
    </xf>
    <xf numFmtId="0" fontId="267" fillId="12" borderId="297" xfId="17" applyFont="1" applyFill="1" applyBorder="1" applyAlignment="1">
      <alignment horizontal="center"/>
    </xf>
    <xf numFmtId="0" fontId="265" fillId="0" borderId="295" xfId="17" applyFont="1" applyBorder="1" applyAlignment="1">
      <alignment horizontal="left"/>
    </xf>
    <xf numFmtId="200" fontId="267" fillId="12" borderId="295" xfId="17" applyNumberFormat="1" applyFont="1" applyFill="1" applyBorder="1" applyAlignment="1">
      <alignment horizontal="center" vertical="center"/>
    </xf>
    <xf numFmtId="196" fontId="267" fillId="12" borderId="295" xfId="17" applyNumberFormat="1" applyFont="1" applyFill="1" applyBorder="1" applyAlignment="1">
      <alignment horizontal="center" vertical="center"/>
    </xf>
    <xf numFmtId="0" fontId="267" fillId="131" borderId="297" xfId="17" applyFont="1" applyFill="1" applyBorder="1" applyAlignment="1">
      <alignment horizontal="center" vertical="center"/>
    </xf>
    <xf numFmtId="200" fontId="267" fillId="131" borderId="295" xfId="17" applyNumberFormat="1" applyFont="1" applyFill="1" applyBorder="1" applyAlignment="1">
      <alignment horizontal="center" vertical="center"/>
    </xf>
    <xf numFmtId="196" fontId="267" fillId="131" borderId="295" xfId="17" applyNumberFormat="1" applyFont="1" applyFill="1" applyBorder="1" applyAlignment="1">
      <alignment horizontal="center" vertical="center"/>
    </xf>
    <xf numFmtId="0" fontId="267" fillId="132" borderId="297" xfId="17" applyFont="1" applyFill="1" applyBorder="1" applyAlignment="1">
      <alignment horizontal="center"/>
    </xf>
    <xf numFmtId="200" fontId="267" fillId="132" borderId="295" xfId="17" applyNumberFormat="1" applyFont="1" applyFill="1" applyBorder="1" applyAlignment="1">
      <alignment horizontal="center" vertical="center"/>
    </xf>
    <xf numFmtId="196" fontId="267" fillId="132" borderId="295" xfId="17" applyNumberFormat="1" applyFont="1" applyFill="1" applyBorder="1" applyAlignment="1">
      <alignment horizontal="center" vertical="center"/>
    </xf>
    <xf numFmtId="0" fontId="485" fillId="0" borderId="0" xfId="17" applyFont="1" applyAlignment="1">
      <alignment horizontal="center" vertical="center"/>
    </xf>
    <xf numFmtId="14" fontId="486" fillId="0" borderId="0" xfId="17" applyNumberFormat="1" applyFont="1" applyAlignment="1">
      <alignment horizontal="center"/>
    </xf>
    <xf numFmtId="0" fontId="487" fillId="0" borderId="0" xfId="17" applyFont="1" applyAlignment="1">
      <alignment horizontal="center"/>
    </xf>
    <xf numFmtId="0" fontId="266" fillId="0" borderId="0" xfId="17" applyFont="1" applyAlignment="1">
      <alignment horizontal="left"/>
    </xf>
    <xf numFmtId="0" fontId="266" fillId="0" borderId="0" xfId="17" applyFont="1" applyAlignment="1">
      <alignment horizontal="center"/>
    </xf>
    <xf numFmtId="197" fontId="265" fillId="0" borderId="0" xfId="17" applyNumberFormat="1" applyFont="1" applyAlignment="1">
      <alignment horizontal="center"/>
    </xf>
    <xf numFmtId="0" fontId="267" fillId="0" borderId="0" xfId="17" applyFont="1" applyAlignment="1">
      <alignment horizontal="center" vertical="center"/>
    </xf>
    <xf numFmtId="0" fontId="267" fillId="9" borderId="297" xfId="17" applyFont="1" applyFill="1" applyBorder="1" applyAlignment="1">
      <alignment horizontal="center" vertical="center"/>
    </xf>
    <xf numFmtId="200" fontId="267" fillId="9" borderId="295" xfId="17" applyNumberFormat="1" applyFont="1" applyFill="1" applyBorder="1" applyAlignment="1">
      <alignment horizontal="center" vertical="center"/>
    </xf>
    <xf numFmtId="0" fontId="265" fillId="0" borderId="0" xfId="17" applyFont="1" applyAlignment="1">
      <alignment horizontal="left"/>
    </xf>
    <xf numFmtId="196" fontId="267" fillId="9" borderId="295" xfId="17" applyNumberFormat="1" applyFont="1" applyFill="1" applyBorder="1" applyAlignment="1">
      <alignment horizontal="center" vertical="center"/>
    </xf>
    <xf numFmtId="0" fontId="490" fillId="0" borderId="0" xfId="17" applyFont="1" applyAlignment="1">
      <alignment horizontal="left"/>
    </xf>
    <xf numFmtId="198" fontId="265" fillId="0" borderId="0" xfId="17" applyNumberFormat="1" applyFont="1" applyAlignment="1">
      <alignment horizontal="center"/>
    </xf>
    <xf numFmtId="0" fontId="490" fillId="0" borderId="0" xfId="17" applyFont="1" applyAlignment="1">
      <alignment horizontal="center"/>
    </xf>
    <xf numFmtId="219" fontId="267" fillId="0" borderId="0" xfId="17" applyNumberFormat="1" applyFont="1" applyAlignment="1">
      <alignment horizontal="center"/>
    </xf>
    <xf numFmtId="0" fontId="267" fillId="0" borderId="0" xfId="17" applyFont="1" applyAlignment="1">
      <alignment horizontal="left"/>
    </xf>
    <xf numFmtId="220" fontId="267" fillId="0" borderId="0" xfId="17" applyNumberFormat="1" applyFont="1" applyAlignment="1">
      <alignment horizontal="center"/>
    </xf>
    <xf numFmtId="198" fontId="267" fillId="0" borderId="0" xfId="17" applyNumberFormat="1" applyFont="1" applyAlignment="1">
      <alignment horizontal="center"/>
    </xf>
    <xf numFmtId="10" fontId="267" fillId="0" borderId="0" xfId="20" applyNumberFormat="1" applyFont="1" applyAlignment="1">
      <alignment horizontal="center"/>
    </xf>
    <xf numFmtId="199" fontId="267" fillId="0" borderId="0" xfId="17" applyNumberFormat="1" applyFont="1" applyAlignment="1">
      <alignment horizontal="center"/>
    </xf>
    <xf numFmtId="0" fontId="267" fillId="0" borderId="0" xfId="17" applyFont="1" applyAlignment="1">
      <alignment horizontal="center"/>
    </xf>
    <xf numFmtId="0" fontId="488" fillId="0" borderId="0" xfId="17" applyFont="1" applyAlignment="1">
      <alignment horizontal="left"/>
    </xf>
    <xf numFmtId="0" fontId="486" fillId="3" borderId="0" xfId="17" applyFont="1" applyFill="1" applyAlignment="1">
      <alignment horizontal="centerContinuous"/>
    </xf>
    <xf numFmtId="0" fontId="486" fillId="3" borderId="0" xfId="17" applyFont="1" applyFill="1"/>
    <xf numFmtId="0" fontId="267" fillId="19" borderId="297" xfId="17" applyFont="1" applyFill="1" applyBorder="1" applyAlignment="1">
      <alignment horizontal="center" vertical="center"/>
    </xf>
    <xf numFmtId="200" fontId="267" fillId="19" borderId="295" xfId="17" applyNumberFormat="1" applyFont="1" applyFill="1" applyBorder="1" applyAlignment="1">
      <alignment horizontal="center" vertical="center"/>
    </xf>
    <xf numFmtId="196" fontId="267" fillId="19" borderId="295" xfId="17" applyNumberFormat="1" applyFont="1" applyFill="1" applyBorder="1" applyAlignment="1">
      <alignment horizontal="center" vertical="center"/>
    </xf>
    <xf numFmtId="0" fontId="265" fillId="3" borderId="0" xfId="17" applyFont="1" applyFill="1" applyAlignment="1">
      <alignment horizontal="centerContinuous"/>
    </xf>
    <xf numFmtId="0" fontId="265" fillId="3" borderId="0" xfId="17" applyFont="1" applyFill="1"/>
    <xf numFmtId="199" fontId="267" fillId="3" borderId="0" xfId="17" applyNumberFormat="1" applyFont="1" applyFill="1" applyAlignment="1">
      <alignment horizontal="centerContinuous"/>
    </xf>
    <xf numFmtId="0" fontId="488" fillId="3" borderId="0" xfId="17" applyFont="1" applyFill="1"/>
    <xf numFmtId="0" fontId="266" fillId="3" borderId="0" xfId="17" applyFont="1" applyFill="1"/>
    <xf numFmtId="0" fontId="157" fillId="0" borderId="0" xfId="25" applyFont="1"/>
    <xf numFmtId="0" fontId="157" fillId="0" borderId="7" xfId="25" applyFont="1" applyBorder="1"/>
    <xf numFmtId="0" fontId="157" fillId="0" borderId="6" xfId="25" applyFont="1" applyBorder="1"/>
    <xf numFmtId="0" fontId="157" fillId="3" borderId="5" xfId="25" applyFont="1" applyFill="1" applyBorder="1"/>
    <xf numFmtId="0" fontId="157" fillId="3" borderId="0" xfId="36" applyFont="1" applyFill="1" applyAlignment="1" applyProtection="1">
      <alignment vertical="center"/>
      <protection locked="0"/>
    </xf>
    <xf numFmtId="0" fontId="157" fillId="3" borderId="0" xfId="25" applyFont="1" applyFill="1"/>
    <xf numFmtId="0" fontId="157" fillId="3" borderId="294" xfId="25" applyFont="1" applyFill="1" applyBorder="1"/>
    <xf numFmtId="0" fontId="157" fillId="0" borderId="0" xfId="9" applyFont="1" applyProtection="1">
      <protection locked="0"/>
    </xf>
    <xf numFmtId="0" fontId="148" fillId="3" borderId="5" xfId="9" applyFont="1" applyFill="1" applyBorder="1" applyProtection="1">
      <protection locked="0"/>
    </xf>
    <xf numFmtId="0" fontId="148" fillId="3" borderId="0" xfId="9" applyFont="1" applyFill="1" applyProtection="1">
      <protection locked="0"/>
    </xf>
    <xf numFmtId="0" fontId="157" fillId="3" borderId="0" xfId="9" applyFont="1" applyFill="1" applyProtection="1">
      <protection locked="0"/>
    </xf>
    <xf numFmtId="0" fontId="157" fillId="3" borderId="294" xfId="9" applyFont="1" applyFill="1" applyBorder="1" applyProtection="1">
      <protection locked="0"/>
    </xf>
    <xf numFmtId="0" fontId="54" fillId="13" borderId="57" xfId="9" applyFont="1" applyFill="1" applyBorder="1" applyAlignment="1" applyProtection="1">
      <alignment horizontal="center" vertical="center"/>
      <protection locked="0"/>
    </xf>
    <xf numFmtId="183" fontId="46" fillId="31" borderId="0" xfId="9" applyNumberFormat="1" applyFont="1" applyFill="1" applyAlignment="1" applyProtection="1">
      <alignment horizontal="left" vertical="center"/>
      <protection locked="0"/>
    </xf>
    <xf numFmtId="168" fontId="494" fillId="31" borderId="0" xfId="9" applyNumberFormat="1" applyFont="1" applyFill="1" applyAlignment="1" applyProtection="1">
      <alignment horizontal="center" vertical="center"/>
      <protection locked="0"/>
    </xf>
    <xf numFmtId="0" fontId="174" fillId="31" borderId="0" xfId="3" applyFont="1" applyFill="1" applyAlignment="1" applyProtection="1">
      <alignment vertical="center"/>
      <protection locked="0"/>
    </xf>
    <xf numFmtId="0" fontId="174" fillId="31" borderId="294" xfId="3" applyFont="1" applyFill="1" applyBorder="1" applyAlignment="1" applyProtection="1">
      <alignment vertical="center"/>
      <protection locked="0"/>
    </xf>
    <xf numFmtId="0" fontId="350" fillId="3" borderId="0" xfId="9" applyFont="1" applyFill="1" applyAlignment="1">
      <alignment horizontal="left"/>
    </xf>
    <xf numFmtId="0" fontId="495" fillId="3" borderId="0" xfId="9" applyFont="1" applyFill="1" applyAlignment="1">
      <alignment horizontal="center"/>
    </xf>
    <xf numFmtId="0" fontId="24" fillId="3" borderId="0" xfId="9" applyFont="1" applyFill="1" applyAlignment="1">
      <alignment vertical="center"/>
    </xf>
    <xf numFmtId="0" fontId="157" fillId="3" borderId="5" xfId="9" applyFont="1" applyFill="1" applyBorder="1" applyProtection="1">
      <protection locked="0"/>
    </xf>
    <xf numFmtId="0" fontId="157" fillId="0" borderId="0" xfId="36" applyFont="1" applyProtection="1">
      <protection locked="0"/>
    </xf>
    <xf numFmtId="0" fontId="157" fillId="3" borderId="0" xfId="36" applyFont="1" applyFill="1" applyProtection="1">
      <protection locked="0"/>
    </xf>
    <xf numFmtId="0" fontId="174" fillId="3" borderId="0" xfId="3" applyFont="1" applyFill="1" applyAlignment="1" applyProtection="1">
      <alignment vertical="center"/>
      <protection locked="0"/>
    </xf>
    <xf numFmtId="0" fontId="174" fillId="3" borderId="294" xfId="3" applyFont="1" applyFill="1" applyBorder="1" applyAlignment="1" applyProtection="1">
      <alignment vertical="center"/>
      <protection locked="0"/>
    </xf>
    <xf numFmtId="1" fontId="422" fillId="3" borderId="203" xfId="9" applyNumberFormat="1" applyFont="1" applyFill="1" applyBorder="1" applyAlignment="1" applyProtection="1">
      <alignment horizontal="center" vertical="center"/>
      <protection hidden="1"/>
    </xf>
    <xf numFmtId="0" fontId="24" fillId="3" borderId="0" xfId="9" applyFont="1" applyFill="1" applyAlignment="1">
      <alignment horizontal="left" vertical="center"/>
    </xf>
    <xf numFmtId="0" fontId="496" fillId="3" borderId="0" xfId="9" applyFont="1" applyFill="1" applyAlignment="1">
      <alignment vertical="center"/>
    </xf>
    <xf numFmtId="168" fontId="497" fillId="3" borderId="0" xfId="9" applyNumberFormat="1" applyFont="1" applyFill="1" applyAlignment="1">
      <alignment horizontal="left" vertical="center"/>
    </xf>
    <xf numFmtId="0" fontId="422" fillId="3" borderId="0" xfId="9" applyFont="1" applyFill="1" applyAlignment="1" applyProtection="1">
      <alignment horizontal="center" vertical="center"/>
      <protection locked="0"/>
    </xf>
    <xf numFmtId="0" fontId="24" fillId="3" borderId="0" xfId="9" applyFont="1" applyFill="1" applyAlignment="1" applyProtection="1">
      <alignment horizontal="left" vertical="center"/>
      <protection locked="0"/>
    </xf>
    <xf numFmtId="0" fontId="24" fillId="3" borderId="0" xfId="37" applyFont="1" applyFill="1" applyAlignment="1" applyProtection="1">
      <alignment horizontal="left" vertical="center"/>
      <protection locked="0"/>
    </xf>
    <xf numFmtId="1" fontId="422" fillId="3" borderId="226" xfId="9" applyNumberFormat="1" applyFont="1" applyFill="1" applyBorder="1" applyAlignment="1" applyProtection="1">
      <alignment horizontal="center" vertical="center"/>
      <protection hidden="1"/>
    </xf>
    <xf numFmtId="0" fontId="495" fillId="3" borderId="0" xfId="9" applyFont="1" applyFill="1" applyAlignment="1" applyProtection="1">
      <alignment horizontal="center" vertical="center"/>
      <protection locked="0"/>
    </xf>
    <xf numFmtId="0" fontId="279" fillId="3" borderId="303" xfId="9" applyFont="1" applyFill="1" applyBorder="1" applyAlignment="1">
      <alignment vertical="center"/>
    </xf>
    <xf numFmtId="0" fontId="24" fillId="3" borderId="303" xfId="9" applyFont="1" applyFill="1" applyBorder="1" applyAlignment="1">
      <alignment horizontal="left" vertical="center"/>
    </xf>
    <xf numFmtId="0" fontId="24" fillId="3" borderId="303" xfId="9" applyFont="1" applyFill="1" applyBorder="1" applyAlignment="1">
      <alignment horizontal="center" vertical="center"/>
    </xf>
    <xf numFmtId="0" fontId="495" fillId="3" borderId="0" xfId="9" applyFont="1" applyFill="1" applyAlignment="1" applyProtection="1">
      <alignment horizontal="center"/>
      <protection locked="0"/>
    </xf>
    <xf numFmtId="0" fontId="422" fillId="3" borderId="0" xfId="9" applyFont="1" applyFill="1" applyAlignment="1" applyProtection="1">
      <alignment horizontal="center"/>
      <protection locked="0"/>
    </xf>
    <xf numFmtId="0" fontId="157" fillId="3" borderId="0" xfId="9" applyFont="1" applyFill="1"/>
    <xf numFmtId="0" fontId="157" fillId="3" borderId="0" xfId="9" applyFont="1" applyFill="1" applyAlignment="1" applyProtection="1">
      <alignment vertical="center"/>
      <protection locked="0"/>
    </xf>
    <xf numFmtId="0" fontId="157" fillId="3" borderId="294" xfId="9" applyFont="1" applyFill="1" applyBorder="1" applyAlignment="1" applyProtection="1">
      <alignment vertical="center"/>
      <protection locked="0"/>
    </xf>
    <xf numFmtId="0" fontId="157" fillId="3" borderId="0" xfId="25" applyFont="1" applyFill="1" applyAlignment="1">
      <alignment horizontal="right" vertical="center"/>
    </xf>
    <xf numFmtId="1" fontId="157" fillId="3" borderId="0" xfId="9" applyNumberFormat="1" applyFont="1" applyFill="1" applyAlignment="1" applyProtection="1">
      <alignment horizontal="center"/>
      <protection locked="0"/>
    </xf>
    <xf numFmtId="0" fontId="15" fillId="3" borderId="0" xfId="9" applyFont="1" applyFill="1" applyAlignment="1" applyProtection="1">
      <alignment horizontal="left" vertical="center"/>
      <protection locked="0"/>
    </xf>
    <xf numFmtId="168" fontId="498" fillId="12" borderId="0" xfId="9" applyNumberFormat="1" applyFont="1" applyFill="1" applyAlignment="1" applyProtection="1">
      <alignment horizontal="right" vertical="center"/>
      <protection hidden="1"/>
    </xf>
    <xf numFmtId="1" fontId="157" fillId="3" borderId="0" xfId="9" applyNumberFormat="1" applyFont="1" applyFill="1" applyAlignment="1" applyProtection="1">
      <alignment horizontal="center" vertical="center"/>
      <protection locked="0"/>
    </xf>
    <xf numFmtId="0" fontId="157" fillId="3" borderId="0" xfId="36" applyFont="1" applyFill="1" applyAlignment="1" applyProtection="1">
      <alignment horizontal="center" vertical="center"/>
      <protection hidden="1"/>
    </xf>
    <xf numFmtId="0" fontId="174" fillId="3" borderId="0" xfId="3" applyFont="1" applyFill="1" applyAlignment="1" applyProtection="1">
      <alignment horizontal="center" vertical="center"/>
      <protection locked="0"/>
    </xf>
    <xf numFmtId="0" fontId="24" fillId="3" borderId="294" xfId="37" applyFont="1" applyFill="1" applyBorder="1" applyAlignment="1" applyProtection="1">
      <alignment horizontal="left" vertical="center"/>
      <protection locked="0"/>
    </xf>
    <xf numFmtId="0" fontId="157" fillId="3" borderId="0" xfId="36" applyFont="1" applyFill="1" applyAlignment="1" applyProtection="1">
      <alignment horizontal="left" vertical="center"/>
      <protection locked="0"/>
    </xf>
    <xf numFmtId="0" fontId="10" fillId="3" borderId="0" xfId="9" applyFont="1" applyFill="1" applyAlignment="1" applyProtection="1">
      <alignment horizontal="center"/>
      <protection locked="0"/>
    </xf>
    <xf numFmtId="0" fontId="157" fillId="3" borderId="5" xfId="25" applyFont="1" applyFill="1" applyBorder="1" applyAlignment="1">
      <alignment horizontal="right" vertical="center"/>
    </xf>
    <xf numFmtId="0" fontId="500" fillId="3" borderId="0" xfId="9" applyFont="1" applyFill="1" applyAlignment="1" applyProtection="1">
      <alignment horizontal="center"/>
      <protection locked="0"/>
    </xf>
    <xf numFmtId="1" fontId="431" fillId="3" borderId="0" xfId="36" applyNumberFormat="1" applyFont="1" applyFill="1" applyAlignment="1" applyProtection="1">
      <alignment horizontal="center" vertical="center"/>
      <protection hidden="1"/>
    </xf>
    <xf numFmtId="0" fontId="157" fillId="0" borderId="0" xfId="37" applyFont="1"/>
    <xf numFmtId="0" fontId="157" fillId="3" borderId="294" xfId="36" applyFont="1" applyFill="1" applyBorder="1" applyProtection="1">
      <protection locked="0"/>
    </xf>
    <xf numFmtId="0" fontId="389" fillId="3" borderId="0" xfId="36" applyFont="1" applyFill="1" applyAlignment="1" applyProtection="1">
      <alignment vertical="top"/>
      <protection hidden="1"/>
    </xf>
    <xf numFmtId="1" fontId="501" fillId="3" borderId="306" xfId="36" applyNumberFormat="1" applyFont="1" applyFill="1" applyBorder="1" applyAlignment="1" applyProtection="1">
      <alignment horizontal="center" vertical="center"/>
      <protection hidden="1"/>
    </xf>
    <xf numFmtId="0" fontId="422" fillId="3" borderId="0" xfId="37" applyFont="1" applyFill="1" applyAlignment="1" applyProtection="1">
      <alignment horizontal="left" vertical="center"/>
      <protection locked="0"/>
    </xf>
    <xf numFmtId="0" fontId="334" fillId="3" borderId="0" xfId="36" applyFont="1" applyFill="1" applyProtection="1">
      <protection locked="0"/>
    </xf>
    <xf numFmtId="0" fontId="157" fillId="3" borderId="1" xfId="9" applyFont="1" applyFill="1" applyBorder="1" applyProtection="1">
      <protection locked="0"/>
    </xf>
    <xf numFmtId="0" fontId="157" fillId="3" borderId="60" xfId="9" applyFont="1" applyFill="1" applyBorder="1" applyProtection="1">
      <protection locked="0"/>
    </xf>
    <xf numFmtId="0" fontId="389" fillId="3" borderId="1" xfId="36" applyFont="1" applyFill="1" applyBorder="1" applyAlignment="1" applyProtection="1">
      <alignment vertical="top"/>
      <protection hidden="1"/>
    </xf>
    <xf numFmtId="0" fontId="157" fillId="3" borderId="1" xfId="36" applyFont="1" applyFill="1" applyBorder="1" applyProtection="1">
      <protection locked="0"/>
    </xf>
    <xf numFmtId="0" fontId="157" fillId="3" borderId="60" xfId="36" applyFont="1" applyFill="1" applyBorder="1" applyProtection="1">
      <protection locked="0"/>
    </xf>
    <xf numFmtId="0" fontId="157" fillId="3" borderId="7" xfId="25" applyFont="1" applyFill="1" applyBorder="1"/>
    <xf numFmtId="0" fontId="157" fillId="3" borderId="6" xfId="25" applyFont="1" applyFill="1" applyBorder="1"/>
    <xf numFmtId="0" fontId="157" fillId="3" borderId="5" xfId="25" applyFont="1" applyFill="1" applyBorder="1" applyAlignment="1">
      <alignment vertical="center"/>
    </xf>
    <xf numFmtId="0" fontId="502" fillId="3" borderId="0" xfId="36" applyFont="1" applyFill="1" applyAlignment="1" applyProtection="1">
      <alignment vertical="center"/>
      <protection locked="0"/>
    </xf>
    <xf numFmtId="0" fontId="157" fillId="3" borderId="0" xfId="25" applyFont="1" applyFill="1" applyAlignment="1">
      <alignment vertical="center"/>
    </xf>
    <xf numFmtId="0" fontId="157" fillId="3" borderId="294" xfId="25" applyFont="1" applyFill="1" applyBorder="1" applyAlignment="1">
      <alignment vertical="center"/>
    </xf>
    <xf numFmtId="0" fontId="148" fillId="3" borderId="5" xfId="9" applyFont="1" applyFill="1" applyBorder="1" applyAlignment="1" applyProtection="1">
      <alignment vertical="center"/>
      <protection locked="0"/>
    </xf>
    <xf numFmtId="0" fontId="148" fillId="3" borderId="0" xfId="9" applyFont="1" applyFill="1" applyAlignment="1" applyProtection="1">
      <alignment vertical="center"/>
      <protection locked="0"/>
    </xf>
    <xf numFmtId="0" fontId="503" fillId="3" borderId="0" xfId="9" applyFont="1" applyFill="1" applyAlignment="1">
      <alignment horizontal="left"/>
    </xf>
    <xf numFmtId="168" fontId="504" fillId="3" borderId="307" xfId="9" applyNumberFormat="1" applyFont="1" applyFill="1" applyBorder="1" applyAlignment="1" applyProtection="1">
      <alignment horizontal="center" vertical="center"/>
      <protection hidden="1"/>
    </xf>
    <xf numFmtId="0" fontId="157" fillId="3" borderId="0" xfId="9" applyFont="1" applyFill="1" applyAlignment="1" applyProtection="1">
      <alignment horizontal="right" vertical="center"/>
      <protection locked="0"/>
    </xf>
    <xf numFmtId="168" fontId="148" fillId="3" borderId="0" xfId="9" applyNumberFormat="1" applyFont="1" applyFill="1" applyAlignment="1" applyProtection="1">
      <alignment horizontal="left" vertical="center"/>
      <protection locked="0"/>
    </xf>
    <xf numFmtId="1" fontId="504" fillId="3" borderId="308" xfId="9" applyNumberFormat="1" applyFont="1" applyFill="1" applyBorder="1" applyAlignment="1" applyProtection="1">
      <alignment horizontal="center" vertical="center"/>
      <protection hidden="1"/>
    </xf>
    <xf numFmtId="0" fontId="368" fillId="11" borderId="303" xfId="9" applyFont="1" applyFill="1" applyBorder="1" applyAlignment="1">
      <alignment horizontal="center" vertical="center"/>
    </xf>
    <xf numFmtId="168" fontId="157" fillId="3" borderId="0" xfId="9" applyNumberFormat="1" applyFont="1" applyFill="1" applyAlignment="1" applyProtection="1">
      <alignment horizontal="left" vertical="center"/>
      <protection locked="0"/>
    </xf>
    <xf numFmtId="0" fontId="157" fillId="3" borderId="1" xfId="9" applyFont="1" applyFill="1" applyBorder="1" applyAlignment="1" applyProtection="1">
      <alignment vertical="center"/>
      <protection locked="0"/>
    </xf>
    <xf numFmtId="0" fontId="157" fillId="3" borderId="60" xfId="9" applyFont="1" applyFill="1" applyBorder="1" applyAlignment="1" applyProtection="1">
      <alignment vertical="center"/>
      <protection locked="0"/>
    </xf>
    <xf numFmtId="0" fontId="491" fillId="12" borderId="0" xfId="30" applyFont="1" applyFill="1" applyAlignment="1">
      <alignment vertical="center"/>
    </xf>
    <xf numFmtId="0" fontId="7" fillId="12" borderId="0" xfId="30" applyFill="1" applyProtection="1">
      <protection hidden="1"/>
    </xf>
    <xf numFmtId="0" fontId="147" fillId="12" borderId="0" xfId="2" applyFont="1" applyFill="1"/>
    <xf numFmtId="0" fontId="491" fillId="12" borderId="0" xfId="1" applyFont="1" applyFill="1" applyAlignment="1">
      <alignment vertical="center"/>
    </xf>
    <xf numFmtId="0" fontId="210" fillId="12" borderId="0" xfId="1" applyFont="1" applyFill="1" applyAlignment="1">
      <alignment horizontal="center" vertical="center"/>
    </xf>
    <xf numFmtId="0" fontId="7" fillId="23" borderId="0" xfId="9" applyFill="1" applyAlignment="1" applyProtection="1">
      <alignment vertical="center"/>
      <protection hidden="1"/>
    </xf>
    <xf numFmtId="0" fontId="7" fillId="23" borderId="0" xfId="9" applyFill="1" applyAlignment="1">
      <alignment vertical="center"/>
    </xf>
    <xf numFmtId="0" fontId="7" fillId="0" borderId="0" xfId="9"/>
    <xf numFmtId="0" fontId="179" fillId="23" borderId="0" xfId="9" applyFont="1" applyFill="1" applyAlignment="1">
      <alignment vertical="center"/>
    </xf>
    <xf numFmtId="0" fontId="180" fillId="23" borderId="0" xfId="9" applyFont="1" applyFill="1" applyAlignment="1">
      <alignment vertical="center"/>
    </xf>
    <xf numFmtId="0" fontId="508" fillId="23" borderId="0" xfId="9" applyFont="1" applyFill="1" applyAlignment="1">
      <alignment vertical="center"/>
    </xf>
    <xf numFmtId="0" fontId="509" fillId="23" borderId="0" xfId="9" applyFont="1" applyFill="1" applyAlignment="1">
      <alignment vertical="center"/>
    </xf>
    <xf numFmtId="0" fontId="510" fillId="23" borderId="0" xfId="9" applyFont="1" applyFill="1" applyAlignment="1">
      <alignment vertical="center"/>
    </xf>
    <xf numFmtId="0" fontId="152" fillId="23" borderId="0" xfId="9" applyFont="1" applyFill="1" applyAlignment="1">
      <alignment vertical="center"/>
    </xf>
    <xf numFmtId="0" fontId="7" fillId="0" borderId="0" xfId="9" applyAlignment="1">
      <alignment vertical="center"/>
    </xf>
    <xf numFmtId="0" fontId="515" fillId="23" borderId="0" xfId="9" applyFont="1" applyFill="1" applyAlignment="1">
      <alignment vertical="center"/>
    </xf>
    <xf numFmtId="0" fontId="516" fillId="23" borderId="0" xfId="28" applyFont="1" applyFill="1" applyAlignment="1" applyProtection="1">
      <alignment horizontal="center" vertical="center"/>
    </xf>
    <xf numFmtId="0" fontId="510" fillId="23" borderId="0" xfId="9" applyFont="1" applyFill="1" applyAlignment="1" applyProtection="1">
      <alignment vertical="center"/>
      <protection hidden="1"/>
    </xf>
    <xf numFmtId="0" fontId="508" fillId="23" borderId="0" xfId="9" applyFont="1" applyFill="1" applyAlignment="1" applyProtection="1">
      <alignment vertical="center"/>
      <protection hidden="1"/>
    </xf>
    <xf numFmtId="0" fontId="518" fillId="0" borderId="0" xfId="25" applyFont="1"/>
    <xf numFmtId="0" fontId="519" fillId="0" borderId="0" xfId="25" applyFont="1"/>
    <xf numFmtId="49" fontId="518" fillId="0" borderId="0" xfId="25" applyNumberFormat="1" applyFont="1"/>
    <xf numFmtId="49" fontId="518" fillId="3" borderId="0" xfId="25" applyNumberFormat="1" applyFont="1" applyFill="1"/>
    <xf numFmtId="0" fontId="521" fillId="3" borderId="0" xfId="15" applyFont="1" applyFill="1" applyAlignment="1">
      <alignment vertical="top"/>
    </xf>
    <xf numFmtId="0" fontId="32" fillId="3" borderId="0" xfId="25" applyFont="1" applyFill="1" applyAlignment="1">
      <alignment wrapText="1"/>
    </xf>
    <xf numFmtId="0" fontId="522" fillId="3" borderId="0" xfId="25" applyFont="1" applyFill="1" applyAlignment="1">
      <alignment horizontal="center" vertical="center"/>
    </xf>
    <xf numFmtId="0" fontId="518" fillId="3" borderId="0" xfId="25" applyFont="1" applyFill="1"/>
    <xf numFmtId="49" fontId="65" fillId="22" borderId="0" xfId="25" applyNumberFormat="1" applyFont="1" applyFill="1"/>
    <xf numFmtId="49" fontId="518" fillId="22" borderId="0" xfId="25" applyNumberFormat="1" applyFont="1" applyFill="1"/>
    <xf numFmtId="0" fontId="524" fillId="3" borderId="0" xfId="25" applyFont="1" applyFill="1" applyAlignment="1">
      <alignment horizontal="center"/>
    </xf>
    <xf numFmtId="0" fontId="525" fillId="3" borderId="0" xfId="25" applyFont="1" applyFill="1" applyAlignment="1">
      <alignment vertical="center" wrapText="1"/>
    </xf>
    <xf numFmtId="0" fontId="522" fillId="3" borderId="315" xfId="25" applyFont="1" applyFill="1" applyBorder="1" applyAlignment="1">
      <alignment horizontal="center" vertical="center"/>
    </xf>
    <xf numFmtId="0" fontId="526" fillId="3" borderId="0" xfId="30" applyFont="1" applyFill="1" applyAlignment="1">
      <alignment horizontal="center" vertical="center"/>
    </xf>
    <xf numFmtId="0" fontId="527" fillId="2" borderId="316" xfId="25" applyFont="1" applyFill="1" applyBorder="1" applyAlignment="1">
      <alignment horizontal="center" vertical="center"/>
    </xf>
    <xf numFmtId="0" fontId="518" fillId="3" borderId="317" xfId="25" applyFont="1" applyFill="1" applyBorder="1"/>
    <xf numFmtId="0" fontId="525" fillId="3" borderId="317" xfId="25" applyFont="1" applyFill="1" applyBorder="1" applyAlignment="1">
      <alignment vertical="center" wrapText="1"/>
    </xf>
    <xf numFmtId="0" fontId="526" fillId="3" borderId="318" xfId="30" applyFont="1" applyFill="1" applyBorder="1" applyAlignment="1">
      <alignment horizontal="center" vertical="center"/>
    </xf>
    <xf numFmtId="49" fontId="528" fillId="3" borderId="0" xfId="25" applyNumberFormat="1" applyFont="1" applyFill="1" applyAlignment="1">
      <alignment horizontal="center" vertical="center"/>
    </xf>
    <xf numFmtId="49" fontId="15" fillId="12" borderId="319" xfId="25" applyNumberFormat="1" applyFont="1" applyFill="1" applyBorder="1" applyAlignment="1">
      <alignment horizontal="center" vertical="center" wrapText="1"/>
    </xf>
    <xf numFmtId="49" fontId="15" fillId="12" borderId="321" xfId="25" applyNumberFormat="1" applyFont="1" applyFill="1" applyBorder="1" applyAlignment="1">
      <alignment horizontal="centerContinuous" vertical="center" wrapText="1"/>
    </xf>
    <xf numFmtId="49" fontId="529" fillId="11" borderId="0" xfId="25" applyNumberFormat="1" applyFont="1" applyFill="1" applyAlignment="1">
      <alignment horizontal="center" vertical="center" wrapText="1"/>
    </xf>
    <xf numFmtId="49" fontId="518" fillId="11" borderId="0" xfId="25" applyNumberFormat="1" applyFont="1" applyFill="1"/>
    <xf numFmtId="49" fontId="518" fillId="137" borderId="0" xfId="25" applyNumberFormat="1" applyFont="1" applyFill="1"/>
    <xf numFmtId="49" fontId="15" fillId="12" borderId="5" xfId="25" applyNumberFormat="1" applyFont="1" applyFill="1" applyBorder="1" applyAlignment="1">
      <alignment horizontal="center" vertical="center" wrapText="1"/>
    </xf>
    <xf numFmtId="49" fontId="15" fillId="12" borderId="5" xfId="25" applyNumberFormat="1" applyFont="1" applyFill="1" applyBorder="1" applyAlignment="1">
      <alignment horizontal="center" vertical="top" wrapText="1"/>
    </xf>
    <xf numFmtId="49" fontId="15" fillId="12" borderId="0" xfId="25" applyNumberFormat="1" applyFont="1" applyFill="1" applyAlignment="1">
      <alignment vertical="top" wrapText="1"/>
    </xf>
    <xf numFmtId="49" fontId="15" fillId="12" borderId="0" xfId="25" applyNumberFormat="1" applyFont="1" applyFill="1" applyAlignment="1">
      <alignment horizontal="center" vertical="top" wrapText="1"/>
    </xf>
    <xf numFmtId="49" fontId="15" fillId="12" borderId="0" xfId="25" applyNumberFormat="1" applyFont="1" applyFill="1" applyAlignment="1">
      <alignment horizontal="centerContinuous" vertical="top" wrapText="1"/>
    </xf>
    <xf numFmtId="49" fontId="536" fillId="11" borderId="318" xfId="25" applyNumberFormat="1" applyFont="1" applyFill="1" applyBorder="1" applyAlignment="1">
      <alignment horizontal="center" vertical="center" wrapText="1"/>
    </xf>
    <xf numFmtId="49" fontId="536" fillId="11" borderId="0" xfId="25" applyNumberFormat="1" applyFont="1" applyFill="1" applyAlignment="1">
      <alignment horizontal="center" vertical="center" wrapText="1"/>
    </xf>
    <xf numFmtId="49" fontId="429" fillId="137" borderId="56" xfId="25" applyNumberFormat="1" applyFont="1" applyFill="1" applyBorder="1" applyAlignment="1">
      <alignment vertical="center" wrapText="1"/>
    </xf>
    <xf numFmtId="49" fontId="432" fillId="137" borderId="131" xfId="25" applyNumberFormat="1" applyFont="1" applyFill="1" applyBorder="1" applyAlignment="1">
      <alignment vertical="center" wrapText="1"/>
    </xf>
    <xf numFmtId="49" fontId="432" fillId="137" borderId="58" xfId="25" applyNumberFormat="1" applyFont="1" applyFill="1" applyBorder="1" applyAlignment="1">
      <alignment vertical="center" wrapText="1"/>
    </xf>
    <xf numFmtId="49" fontId="228" fillId="137" borderId="0" xfId="25" applyNumberFormat="1" applyFont="1" applyFill="1" applyAlignment="1">
      <alignment horizontal="right" wrapText="1"/>
    </xf>
    <xf numFmtId="49" fontId="33" fillId="137" borderId="5" xfId="25" applyNumberFormat="1" applyFont="1" applyFill="1" applyBorder="1" applyAlignment="1">
      <alignment vertical="center" wrapText="1"/>
    </xf>
    <xf numFmtId="49" fontId="33" fillId="137" borderId="0" xfId="25" applyNumberFormat="1" applyFont="1" applyFill="1" applyAlignment="1">
      <alignment vertical="center" wrapText="1"/>
    </xf>
    <xf numFmtId="49" fontId="511" fillId="137" borderId="5" xfId="25" applyNumberFormat="1" applyFont="1" applyFill="1" applyBorder="1" applyAlignment="1">
      <alignment horizontal="center" vertical="center" wrapText="1"/>
    </xf>
    <xf numFmtId="0" fontId="228" fillId="137" borderId="0" xfId="25" applyFont="1" applyFill="1" applyAlignment="1">
      <alignment wrapText="1"/>
    </xf>
    <xf numFmtId="0" fontId="537" fillId="0" borderId="326" xfId="25" applyFont="1" applyBorder="1"/>
    <xf numFmtId="0" fontId="538" fillId="2" borderId="301" xfId="25" applyFont="1" applyFill="1" applyBorder="1" applyAlignment="1">
      <alignment horizontal="center" vertical="center"/>
    </xf>
    <xf numFmtId="0" fontId="144" fillId="2" borderId="327" xfId="25" applyFont="1" applyFill="1" applyBorder="1" applyAlignment="1">
      <alignment horizontal="center" vertical="center"/>
    </xf>
    <xf numFmtId="0" fontId="539" fillId="5" borderId="5" xfId="25" applyFont="1" applyFill="1" applyBorder="1" applyAlignment="1">
      <alignment horizontal="left" vertical="center"/>
    </xf>
    <xf numFmtId="0" fontId="539" fillId="5" borderId="0" xfId="25" applyFont="1" applyFill="1" applyAlignment="1">
      <alignment horizontal="right" vertical="center"/>
    </xf>
    <xf numFmtId="0" fontId="540" fillId="5" borderId="0" xfId="25" applyFont="1" applyFill="1" applyAlignment="1">
      <alignment horizontal="right" vertical="center"/>
    </xf>
    <xf numFmtId="49" fontId="541" fillId="0" borderId="318" xfId="3" applyNumberFormat="1" applyFont="1" applyBorder="1" applyAlignment="1" applyProtection="1">
      <alignment horizontal="left" vertical="center"/>
      <protection locked="0"/>
    </xf>
    <xf numFmtId="49" fontId="541" fillId="0" borderId="0" xfId="3" applyNumberFormat="1" applyFont="1" applyAlignment="1" applyProtection="1">
      <alignment horizontal="left" vertical="center"/>
      <protection locked="0"/>
    </xf>
    <xf numFmtId="0" fontId="13" fillId="11" borderId="0" xfId="1" applyFont="1" applyFill="1" applyAlignment="1">
      <alignment horizontal="center" vertical="center"/>
    </xf>
    <xf numFmtId="0" fontId="8" fillId="11" borderId="0" xfId="1" applyFont="1" applyFill="1" applyAlignment="1">
      <alignment horizontal="left" vertical="center"/>
    </xf>
    <xf numFmtId="0" fontId="43" fillId="136" borderId="0" xfId="1" applyFont="1" applyFill="1" applyAlignment="1">
      <alignment horizontal="center" vertical="center"/>
    </xf>
    <xf numFmtId="0" fontId="8" fillId="136" borderId="0" xfId="1" applyFont="1" applyFill="1" applyAlignment="1">
      <alignment horizontal="left" vertical="center"/>
    </xf>
    <xf numFmtId="0" fontId="542" fillId="3" borderId="0" xfId="1" applyFont="1" applyFill="1" applyAlignment="1">
      <alignment horizontal="center" vertical="center"/>
    </xf>
    <xf numFmtId="0" fontId="13" fillId="137" borderId="0" xfId="1" applyFont="1" applyFill="1" applyAlignment="1">
      <alignment horizontal="right" vertical="center"/>
    </xf>
    <xf numFmtId="0" fontId="13" fillId="137" borderId="0" xfId="1" applyFont="1" applyFill="1" applyAlignment="1">
      <alignment horizontal="center" vertical="center"/>
    </xf>
    <xf numFmtId="0" fontId="543" fillId="0" borderId="5" xfId="25" applyFont="1" applyBorder="1"/>
    <xf numFmtId="0" fontId="542" fillId="3" borderId="328" xfId="1" applyFont="1" applyFill="1" applyBorder="1" applyAlignment="1">
      <alignment horizontal="center" vertical="center"/>
    </xf>
    <xf numFmtId="0" fontId="43" fillId="5" borderId="0" xfId="1" applyFont="1" applyFill="1" applyAlignment="1">
      <alignment horizontal="center" vertical="center"/>
    </xf>
    <xf numFmtId="0" fontId="542" fillId="3" borderId="57" xfId="1" applyFont="1" applyFill="1" applyBorder="1" applyAlignment="1">
      <alignment horizontal="center" vertical="center"/>
    </xf>
    <xf numFmtId="0" fontId="518" fillId="137" borderId="5" xfId="25" applyFont="1" applyFill="1" applyBorder="1"/>
    <xf numFmtId="0" fontId="8" fillId="5" borderId="0" xfId="1" applyFont="1" applyFill="1" applyAlignment="1">
      <alignment horizontal="left" vertical="center"/>
    </xf>
    <xf numFmtId="0" fontId="43" fillId="5" borderId="57" xfId="1" applyFont="1" applyFill="1" applyBorder="1" applyAlignment="1">
      <alignment horizontal="center" vertical="center"/>
    </xf>
    <xf numFmtId="49" fontId="518" fillId="137" borderId="5" xfId="25" applyNumberFormat="1" applyFont="1" applyFill="1" applyBorder="1"/>
    <xf numFmtId="0" fontId="518" fillId="0" borderId="0" xfId="25" applyFont="1" applyAlignment="1">
      <alignment horizontal="left" vertical="center"/>
    </xf>
    <xf numFmtId="49" fontId="518" fillId="3" borderId="5" xfId="25" applyNumberFormat="1" applyFont="1" applyFill="1" applyBorder="1"/>
    <xf numFmtId="0" fontId="43" fillId="3" borderId="0" xfId="1" applyFont="1" applyFill="1" applyAlignment="1">
      <alignment horizontal="center" vertical="center"/>
    </xf>
    <xf numFmtId="0" fontId="8" fillId="3" borderId="0" xfId="1" applyFont="1" applyFill="1" applyAlignment="1">
      <alignment horizontal="left" vertical="center"/>
    </xf>
    <xf numFmtId="49" fontId="23" fillId="3" borderId="5" xfId="25" applyNumberFormat="1" applyFont="1" applyFill="1" applyBorder="1"/>
    <xf numFmtId="49" fontId="432" fillId="3" borderId="5" xfId="25" applyNumberFormat="1" applyFont="1" applyFill="1" applyBorder="1"/>
    <xf numFmtId="0" fontId="542" fillId="3" borderId="0" xfId="1" applyFont="1" applyFill="1" applyAlignment="1">
      <alignment horizontal="left" vertical="center"/>
    </xf>
    <xf numFmtId="0" fontId="43" fillId="3" borderId="0" xfId="1" applyFont="1" applyFill="1" applyAlignment="1">
      <alignment horizontal="left" vertical="center"/>
    </xf>
    <xf numFmtId="49" fontId="518" fillId="4" borderId="0" xfId="25" applyNumberFormat="1" applyFont="1" applyFill="1"/>
    <xf numFmtId="0" fontId="518" fillId="4" borderId="0" xfId="25" applyFont="1" applyFill="1"/>
    <xf numFmtId="0" fontId="519" fillId="4" borderId="0" xfId="25" applyFont="1" applyFill="1"/>
    <xf numFmtId="49" fontId="518" fillId="11" borderId="329" xfId="25" applyNumberFormat="1" applyFont="1" applyFill="1" applyBorder="1" applyAlignment="1">
      <alignment horizontal="center" vertical="center"/>
    </xf>
    <xf numFmtId="49" fontId="518" fillId="133" borderId="329" xfId="25" applyNumberFormat="1" applyFont="1" applyFill="1" applyBorder="1" applyAlignment="1">
      <alignment horizontal="center" vertical="center"/>
    </xf>
    <xf numFmtId="49" fontId="518" fillId="11" borderId="326" xfId="25" applyNumberFormat="1" applyFont="1" applyFill="1" applyBorder="1" applyAlignment="1">
      <alignment horizontal="center" vertical="center"/>
    </xf>
    <xf numFmtId="49" fontId="518" fillId="133" borderId="326" xfId="25" applyNumberFormat="1" applyFont="1" applyFill="1" applyBorder="1" applyAlignment="1">
      <alignment horizontal="center" vertical="center"/>
    </xf>
    <xf numFmtId="0" fontId="518" fillId="11" borderId="330" xfId="25" applyFont="1" applyFill="1" applyBorder="1"/>
    <xf numFmtId="49" fontId="519" fillId="0" borderId="0" xfId="25" applyNumberFormat="1" applyFont="1"/>
    <xf numFmtId="0" fontId="483" fillId="23" borderId="0" xfId="34" applyFont="1" applyFill="1" applyAlignment="1" applyProtection="1">
      <alignment horizontal="left" vertical="center"/>
    </xf>
    <xf numFmtId="0" fontId="516" fillId="23" borderId="0" xfId="28" applyFont="1" applyFill="1" applyAlignment="1" applyProtection="1">
      <alignment horizontal="left" vertical="center"/>
    </xf>
    <xf numFmtId="49" fontId="533" fillId="137" borderId="0" xfId="25" applyNumberFormat="1" applyFont="1" applyFill="1" applyAlignment="1">
      <alignment horizontal="center" vertical="center" wrapText="1"/>
    </xf>
    <xf numFmtId="49" fontId="15" fillId="12" borderId="320" xfId="25" applyNumberFormat="1" applyFont="1" applyFill="1" applyBorder="1" applyAlignment="1">
      <alignment horizontal="center" vertical="center" wrapText="1"/>
    </xf>
    <xf numFmtId="49" fontId="15" fillId="12" borderId="0" xfId="25" applyNumberFormat="1" applyFont="1" applyFill="1" applyAlignment="1">
      <alignment horizontal="center" vertical="center" wrapText="1"/>
    </xf>
    <xf numFmtId="0" fontId="513" fillId="23" borderId="0" xfId="9" applyFont="1" applyFill="1" applyAlignment="1">
      <alignment horizontal="left" vertical="center"/>
    </xf>
    <xf numFmtId="0" fontId="4" fillId="0" borderId="0" xfId="39"/>
    <xf numFmtId="0" fontId="4" fillId="3" borderId="0" xfId="39" applyFill="1"/>
    <xf numFmtId="49" fontId="518" fillId="3" borderId="4" xfId="25" applyNumberFormat="1" applyFont="1" applyFill="1" applyBorder="1"/>
    <xf numFmtId="0" fontId="526" fillId="3" borderId="4" xfId="30" applyFont="1" applyFill="1" applyBorder="1" applyAlignment="1">
      <alignment horizontal="center" vertical="center"/>
    </xf>
    <xf numFmtId="49" fontId="54" fillId="135" borderId="4" xfId="25" applyNumberFormat="1" applyFont="1" applyFill="1" applyBorder="1" applyAlignment="1">
      <alignment horizontal="center" vertical="center" wrapText="1"/>
    </xf>
    <xf numFmtId="49" fontId="534" fillId="18" borderId="4" xfId="25" applyNumberFormat="1" applyFont="1" applyFill="1" applyBorder="1" applyAlignment="1">
      <alignment horizontal="left" vertical="center" wrapText="1"/>
    </xf>
    <xf numFmtId="49" fontId="15" fillId="12" borderId="4" xfId="25" applyNumberFormat="1" applyFont="1" applyFill="1" applyBorder="1" applyAlignment="1">
      <alignment horizontal="centerContinuous" vertical="center" wrapText="1"/>
    </xf>
    <xf numFmtId="0" fontId="534" fillId="18" borderId="4" xfId="25" applyFont="1" applyFill="1" applyBorder="1" applyAlignment="1">
      <alignment horizontal="left" vertical="center" wrapText="1"/>
    </xf>
    <xf numFmtId="49" fontId="15" fillId="12" borderId="4" xfId="25" applyNumberFormat="1" applyFont="1" applyFill="1" applyBorder="1" applyAlignment="1">
      <alignment horizontal="centerContinuous" vertical="top" wrapText="1"/>
    </xf>
    <xf numFmtId="49" fontId="433" fillId="138" borderId="4" xfId="25" applyNumberFormat="1" applyFont="1" applyFill="1" applyBorder="1" applyAlignment="1">
      <alignment horizontal="center" vertical="center" wrapText="1"/>
    </xf>
    <xf numFmtId="0" fontId="228" fillId="137" borderId="4" xfId="25" applyFont="1" applyFill="1" applyBorder="1" applyAlignment="1">
      <alignment wrapText="1"/>
    </xf>
    <xf numFmtId="0" fontId="539" fillId="5" borderId="4" xfId="25" applyFont="1" applyFill="1" applyBorder="1"/>
    <xf numFmtId="221" fontId="13" fillId="137" borderId="4" xfId="1" applyNumberFormat="1" applyFont="1" applyFill="1" applyBorder="1" applyAlignment="1">
      <alignment horizontal="center" vertical="center"/>
    </xf>
    <xf numFmtId="0" fontId="8" fillId="5" borderId="4" xfId="1" applyFont="1" applyFill="1" applyBorder="1" applyAlignment="1">
      <alignment horizontal="left" vertical="center"/>
    </xf>
    <xf numFmtId="49" fontId="545" fillId="0" borderId="330" xfId="40" applyNumberFormat="1" applyFont="1" applyBorder="1" applyAlignment="1">
      <alignment horizontal="center" vertical="center"/>
    </xf>
    <xf numFmtId="0" fontId="376" fillId="23" borderId="0" xfId="9" applyFont="1" applyFill="1" applyAlignment="1" applyProtection="1">
      <alignment vertical="center"/>
      <protection hidden="1"/>
    </xf>
    <xf numFmtId="0" fontId="505" fillId="0" borderId="0" xfId="35" applyFont="1" applyAlignment="1">
      <alignment vertical="center"/>
    </xf>
    <xf numFmtId="0" fontId="546" fillId="23" borderId="0" xfId="9" applyFont="1" applyFill="1" applyAlignment="1">
      <alignment vertical="center"/>
    </xf>
    <xf numFmtId="0" fontId="505" fillId="23" borderId="0" xfId="35" applyFont="1" applyFill="1" applyAlignment="1">
      <alignment vertical="center"/>
    </xf>
    <xf numFmtId="0" fontId="506" fillId="0" borderId="0" xfId="9" applyFont="1" applyAlignment="1">
      <alignment vertical="center"/>
    </xf>
    <xf numFmtId="0" fontId="436" fillId="0" borderId="0" xfId="1" applyFont="1" applyAlignment="1">
      <alignment vertical="center"/>
    </xf>
    <xf numFmtId="0" fontId="546" fillId="23" borderId="0" xfId="9" applyFont="1" applyFill="1" applyAlignment="1">
      <alignment horizontal="left" vertical="center"/>
    </xf>
    <xf numFmtId="0" fontId="512" fillId="3" borderId="0" xfId="40" applyFont="1" applyFill="1" applyAlignment="1">
      <alignment horizontal="left" vertical="center"/>
    </xf>
    <xf numFmtId="0" fontId="546" fillId="23" borderId="0" xfId="35" applyFont="1" applyFill="1" applyAlignment="1">
      <alignment vertical="center"/>
    </xf>
    <xf numFmtId="0" fontId="513" fillId="23" borderId="0" xfId="35" applyFont="1" applyFill="1" applyAlignment="1">
      <alignment vertical="center"/>
    </xf>
    <xf numFmtId="0" fontId="547" fillId="23" borderId="0" xfId="28" applyFont="1" applyFill="1" applyBorder="1" applyAlignment="1">
      <alignment vertical="center"/>
    </xf>
    <xf numFmtId="0" fontId="514" fillId="23" borderId="0" xfId="28" applyFont="1" applyFill="1" applyBorder="1" applyAlignment="1">
      <alignment vertical="center"/>
    </xf>
    <xf numFmtId="0" fontId="548" fillId="23" borderId="0" xfId="9" applyFont="1" applyFill="1" applyAlignment="1">
      <alignment vertical="center"/>
    </xf>
    <xf numFmtId="0" fontId="549" fillId="23" borderId="0" xfId="9" applyFont="1" applyFill="1" applyAlignment="1">
      <alignment vertical="center"/>
    </xf>
    <xf numFmtId="0" fontId="517" fillId="23" borderId="0" xfId="9" applyFont="1" applyFill="1" applyAlignment="1" applyProtection="1">
      <alignment vertical="center"/>
      <protection hidden="1"/>
    </xf>
    <xf numFmtId="0" fontId="516" fillId="23" borderId="0" xfId="28" applyFont="1" applyFill="1" applyAlignment="1" applyProtection="1">
      <alignment vertical="center"/>
    </xf>
    <xf numFmtId="0" fontId="516" fillId="23" borderId="0" xfId="40" applyFont="1" applyFill="1" applyAlignment="1"/>
    <xf numFmtId="0" fontId="507" fillId="0" borderId="0" xfId="1" applyFont="1" applyAlignment="1">
      <alignment horizontal="center" vertical="center"/>
    </xf>
    <xf numFmtId="0" fontId="551" fillId="23" borderId="0" xfId="1" applyFont="1" applyFill="1" applyAlignment="1" applyProtection="1">
      <alignment horizontal="left" vertical="center"/>
      <protection hidden="1"/>
    </xf>
    <xf numFmtId="0" fontId="36" fillId="23" borderId="0" xfId="30" applyFont="1" applyFill="1" applyProtection="1">
      <protection hidden="1"/>
    </xf>
    <xf numFmtId="0" fontId="438" fillId="23" borderId="0" xfId="35" applyFont="1" applyFill="1" applyAlignment="1">
      <alignment vertical="center"/>
    </xf>
    <xf numFmtId="0" fontId="550" fillId="23" borderId="0" xfId="35" applyFont="1" applyFill="1" applyAlignment="1">
      <alignment vertical="center"/>
    </xf>
    <xf numFmtId="0" fontId="167" fillId="23" borderId="0" xfId="30" applyFont="1" applyFill="1"/>
    <xf numFmtId="0" fontId="551" fillId="23" borderId="0" xfId="30" applyFont="1" applyFill="1" applyAlignment="1" applyProtection="1">
      <alignment vertical="center"/>
      <protection hidden="1"/>
    </xf>
    <xf numFmtId="0" fontId="2" fillId="23" borderId="0" xfId="35" applyFont="1" applyFill="1"/>
    <xf numFmtId="0" fontId="551" fillId="23" borderId="0" xfId="0" applyFont="1" applyFill="1" applyAlignment="1">
      <alignment horizontal="left" vertical="center"/>
    </xf>
    <xf numFmtId="0" fontId="157" fillId="23" borderId="0" xfId="30" applyFont="1" applyFill="1" applyProtection="1">
      <protection hidden="1"/>
    </xf>
    <xf numFmtId="0" fontId="552" fillId="23" borderId="0" xfId="30" applyFont="1" applyFill="1" applyAlignment="1">
      <alignment vertical="center"/>
    </xf>
    <xf numFmtId="0" fontId="438" fillId="23" borderId="0" xfId="30" applyFont="1" applyFill="1" applyAlignment="1">
      <alignment vertical="center"/>
    </xf>
    <xf numFmtId="0" fontId="157" fillId="23" borderId="0" xfId="30" applyFont="1" applyFill="1" applyAlignment="1">
      <alignment vertical="center"/>
    </xf>
    <xf numFmtId="0" fontId="157" fillId="0" borderId="0" xfId="30" applyFont="1" applyAlignment="1">
      <alignment vertical="center"/>
    </xf>
    <xf numFmtId="0" fontId="7" fillId="3" borderId="0" xfId="30" applyFill="1"/>
    <xf numFmtId="0" fontId="152" fillId="3" borderId="0" xfId="30" applyFont="1" applyFill="1"/>
    <xf numFmtId="0" fontId="436" fillId="3" borderId="0" xfId="30" applyFont="1" applyFill="1"/>
    <xf numFmtId="0" fontId="326" fillId="3" borderId="0" xfId="32" applyFont="1" applyFill="1" applyAlignment="1">
      <alignment horizontal="right" vertical="center"/>
    </xf>
    <xf numFmtId="0" fontId="436" fillId="3" borderId="0" xfId="32" applyFont="1" applyFill="1" applyAlignment="1">
      <alignment horizontal="right" vertical="center"/>
    </xf>
    <xf numFmtId="0" fontId="436" fillId="3" borderId="0" xfId="30" applyFont="1" applyFill="1" applyAlignment="1">
      <alignment vertical="center"/>
    </xf>
    <xf numFmtId="0" fontId="4" fillId="23" borderId="0" xfId="35" applyFill="1"/>
    <xf numFmtId="0" fontId="7" fillId="23" borderId="0" xfId="30" applyFill="1"/>
    <xf numFmtId="0" fontId="152" fillId="23" borderId="0" xfId="30" applyFont="1" applyFill="1"/>
    <xf numFmtId="0" fontId="436" fillId="23" borderId="0" xfId="30" applyFont="1" applyFill="1"/>
    <xf numFmtId="0" fontId="326" fillId="23" borderId="0" xfId="32" applyFont="1" applyFill="1" applyAlignment="1">
      <alignment horizontal="right" vertical="center"/>
    </xf>
    <xf numFmtId="0" fontId="436" fillId="23" borderId="0" xfId="32" applyFont="1" applyFill="1" applyAlignment="1">
      <alignment horizontal="right" vertical="center"/>
    </xf>
    <xf numFmtId="0" fontId="436" fillId="23" borderId="0" xfId="32" applyFont="1" applyFill="1" applyAlignment="1">
      <alignment horizontal="left" vertical="center"/>
    </xf>
    <xf numFmtId="0" fontId="436" fillId="5" borderId="0" xfId="32" applyFont="1" applyFill="1" applyAlignment="1">
      <alignment horizontal="left" vertical="center"/>
    </xf>
    <xf numFmtId="0" fontId="167" fillId="5" borderId="0" xfId="30" applyFont="1" applyFill="1"/>
    <xf numFmtId="0" fontId="152" fillId="23" borderId="0" xfId="32" applyFont="1" applyFill="1" applyAlignment="1">
      <alignment horizontal="right" vertical="center"/>
    </xf>
    <xf numFmtId="0" fontId="432" fillId="23" borderId="0" xfId="32" applyFont="1" applyFill="1" applyAlignment="1">
      <alignment horizontal="right" vertical="center"/>
    </xf>
    <xf numFmtId="0" fontId="555" fillId="23" borderId="0" xfId="30" applyFont="1" applyFill="1" applyAlignment="1">
      <alignment vertical="center"/>
    </xf>
    <xf numFmtId="0" fontId="152" fillId="3" borderId="0" xfId="32" applyFont="1" applyFill="1" applyAlignment="1">
      <alignment horizontal="right" vertical="center"/>
    </xf>
    <xf numFmtId="0" fontId="554" fillId="42" borderId="5" xfId="30" applyFont="1" applyFill="1" applyBorder="1" applyAlignment="1" applyProtection="1">
      <alignment horizontal="right" vertical="center"/>
      <protection hidden="1"/>
    </xf>
    <xf numFmtId="0" fontId="436" fillId="23" borderId="0" xfId="30" applyFont="1" applyFill="1" applyAlignment="1">
      <alignment vertical="center"/>
    </xf>
    <xf numFmtId="0" fontId="556" fillId="23" borderId="0" xfId="0" applyFont="1" applyFill="1" applyAlignment="1">
      <alignment vertical="center"/>
    </xf>
    <xf numFmtId="0" fontId="557" fillId="23" borderId="0" xfId="30" applyFont="1" applyFill="1" applyAlignment="1">
      <alignment horizontal="center" vertical="center"/>
    </xf>
    <xf numFmtId="0" fontId="557" fillId="23" borderId="0" xfId="35" applyFont="1" applyFill="1" applyAlignment="1">
      <alignment vertical="center"/>
    </xf>
    <xf numFmtId="0" fontId="436" fillId="5" borderId="0" xfId="30" applyFont="1" applyFill="1"/>
    <xf numFmtId="14" fontId="534" fillId="23" borderId="0" xfId="30" applyNumberFormat="1" applyFont="1" applyFill="1"/>
    <xf numFmtId="0" fontId="54" fillId="23" borderId="0" xfId="35" applyFont="1" applyFill="1" applyAlignment="1">
      <alignment vertical="center"/>
    </xf>
    <xf numFmtId="0" fontId="559" fillId="23" borderId="0" xfId="30" applyFont="1" applyFill="1" applyAlignment="1">
      <alignment horizontal="center" vertical="center"/>
    </xf>
    <xf numFmtId="0" fontId="54" fillId="23" borderId="0" xfId="30" applyFont="1" applyFill="1" applyAlignment="1">
      <alignment horizontal="left" vertical="center"/>
    </xf>
    <xf numFmtId="0" fontId="560" fillId="23" borderId="0" xfId="32" applyFont="1" applyFill="1" applyAlignment="1">
      <alignment horizontal="right" vertical="center"/>
    </xf>
    <xf numFmtId="0" fontId="560" fillId="23" borderId="0" xfId="30" applyFont="1" applyFill="1" applyAlignment="1">
      <alignment vertical="center"/>
    </xf>
    <xf numFmtId="0" fontId="560" fillId="23" borderId="0" xfId="30" applyFont="1" applyFill="1"/>
    <xf numFmtId="0" fontId="27" fillId="23" borderId="0" xfId="30" applyFont="1" applyFill="1"/>
    <xf numFmtId="0" fontId="11" fillId="23" borderId="0" xfId="30" applyFont="1" applyFill="1" applyAlignment="1">
      <alignment horizontal="left" vertical="center"/>
    </xf>
    <xf numFmtId="224" fontId="170" fillId="23" borderId="0" xfId="0" applyNumberFormat="1" applyFont="1" applyFill="1" applyAlignment="1">
      <alignment horizontal="center" vertical="center"/>
    </xf>
    <xf numFmtId="0" fontId="199" fillId="23" borderId="0" xfId="30" applyFont="1" applyFill="1" applyAlignment="1">
      <alignment horizontal="center" vertical="center"/>
    </xf>
    <xf numFmtId="0" fontId="23" fillId="22" borderId="0" xfId="41" applyFont="1" applyFill="1"/>
    <xf numFmtId="0" fontId="288" fillId="42" borderId="0" xfId="30" applyFont="1" applyFill="1" applyAlignment="1" applyProtection="1">
      <alignment horizontal="center" vertical="center"/>
      <protection hidden="1"/>
    </xf>
    <xf numFmtId="0" fontId="561" fillId="23" borderId="0" xfId="35" applyFont="1" applyFill="1"/>
    <xf numFmtId="0" fontId="167" fillId="23" borderId="0" xfId="30" applyFont="1" applyFill="1" applyAlignment="1">
      <alignment vertical="center"/>
    </xf>
    <xf numFmtId="0" fontId="433" fillId="42" borderId="0" xfId="30" applyFont="1" applyFill="1" applyAlignment="1" applyProtection="1">
      <alignment horizontal="center" vertical="center"/>
      <protection hidden="1"/>
    </xf>
    <xf numFmtId="0" fontId="483" fillId="23" borderId="0" xfId="42" applyFont="1" applyFill="1" applyAlignment="1" applyProtection="1">
      <alignment vertical="center"/>
    </xf>
    <xf numFmtId="0" fontId="179" fillId="23" borderId="0" xfId="30" applyFont="1" applyFill="1" applyAlignment="1">
      <alignment vertical="center"/>
    </xf>
    <xf numFmtId="0" fontId="179" fillId="23" borderId="0" xfId="30" applyFont="1" applyFill="1" applyProtection="1">
      <protection hidden="1"/>
    </xf>
    <xf numFmtId="0" fontId="435" fillId="23" borderId="0" xfId="30" applyFont="1" applyFill="1" applyAlignment="1">
      <alignment vertical="center"/>
    </xf>
    <xf numFmtId="0" fontId="177" fillId="23" borderId="0" xfId="30" applyFont="1" applyFill="1" applyAlignment="1">
      <alignment vertical="center"/>
    </xf>
    <xf numFmtId="0" fontId="180" fillId="23" borderId="0" xfId="30" applyFont="1" applyFill="1" applyAlignment="1">
      <alignment horizontal="center" vertical="center"/>
    </xf>
    <xf numFmtId="0" fontId="288" fillId="23" borderId="0" xfId="0" applyFont="1" applyFill="1" applyAlignment="1">
      <alignment horizontal="left" vertical="top"/>
    </xf>
    <xf numFmtId="0" fontId="558" fillId="23" borderId="333" xfId="32" applyFont="1" applyFill="1" applyBorder="1" applyAlignment="1">
      <alignment horizontal="right" vertical="center"/>
    </xf>
    <xf numFmtId="0" fontId="558" fillId="23" borderId="333" xfId="30" applyFont="1" applyFill="1" applyBorder="1" applyAlignment="1">
      <alignment vertical="center"/>
    </xf>
    <xf numFmtId="0" fontId="558" fillId="23" borderId="333" xfId="30" applyFont="1" applyFill="1" applyBorder="1"/>
    <xf numFmtId="0" fontId="558" fillId="23" borderId="334" xfId="30" applyFont="1" applyFill="1" applyBorder="1"/>
    <xf numFmtId="0" fontId="558" fillId="23" borderId="336" xfId="30" applyFont="1" applyFill="1" applyBorder="1"/>
    <xf numFmtId="0" fontId="558" fillId="23" borderId="338" xfId="32" applyFont="1" applyFill="1" applyBorder="1" applyAlignment="1">
      <alignment horizontal="right" vertical="center"/>
    </xf>
    <xf numFmtId="0" fontId="558" fillId="23" borderId="338" xfId="30" applyFont="1" applyFill="1" applyBorder="1" applyAlignment="1">
      <alignment vertical="center"/>
    </xf>
    <xf numFmtId="0" fontId="558" fillId="23" borderId="338" xfId="30" applyFont="1" applyFill="1" applyBorder="1"/>
    <xf numFmtId="0" fontId="558" fillId="23" borderId="339" xfId="30" applyFont="1" applyFill="1" applyBorder="1"/>
    <xf numFmtId="0" fontId="326" fillId="23" borderId="333" xfId="32" applyFont="1" applyFill="1" applyBorder="1" applyAlignment="1">
      <alignment horizontal="right" vertical="center"/>
    </xf>
    <xf numFmtId="0" fontId="436" fillId="23" borderId="333" xfId="32" applyFont="1" applyFill="1" applyBorder="1" applyAlignment="1">
      <alignment horizontal="right" vertical="center"/>
    </xf>
    <xf numFmtId="0" fontId="436" fillId="23" borderId="333" xfId="30" applyFont="1" applyFill="1" applyBorder="1" applyAlignment="1">
      <alignment vertical="center"/>
    </xf>
    <xf numFmtId="0" fontId="436" fillId="23" borderId="333" xfId="30" applyFont="1" applyFill="1" applyBorder="1"/>
    <xf numFmtId="0" fontId="436" fillId="23" borderId="334" xfId="30" applyFont="1" applyFill="1" applyBorder="1"/>
    <xf numFmtId="0" fontId="436" fillId="23" borderId="336" xfId="30" applyFont="1" applyFill="1" applyBorder="1"/>
    <xf numFmtId="0" fontId="326" fillId="23" borderId="338" xfId="32" applyFont="1" applyFill="1" applyBorder="1" applyAlignment="1">
      <alignment horizontal="right" vertical="center"/>
    </xf>
    <xf numFmtId="0" fontId="436" fillId="23" borderId="338" xfId="32" applyFont="1" applyFill="1" applyBorder="1" applyAlignment="1">
      <alignment horizontal="right" vertical="center"/>
    </xf>
    <xf numFmtId="0" fontId="436" fillId="23" borderId="338" xfId="30" applyFont="1" applyFill="1" applyBorder="1" applyAlignment="1">
      <alignment vertical="center"/>
    </xf>
    <xf numFmtId="0" fontId="436" fillId="23" borderId="338" xfId="30" applyFont="1" applyFill="1" applyBorder="1"/>
    <xf numFmtId="0" fontId="436" fillId="23" borderId="339" xfId="30" applyFont="1" applyFill="1" applyBorder="1"/>
    <xf numFmtId="0" fontId="152" fillId="23" borderId="337" xfId="30" applyFont="1" applyFill="1" applyBorder="1"/>
    <xf numFmtId="0" fontId="200" fillId="23" borderId="337" xfId="30" applyFont="1" applyFill="1" applyBorder="1"/>
    <xf numFmtId="0" fontId="200" fillId="23" borderId="338" xfId="30" applyFont="1" applyFill="1" applyBorder="1"/>
    <xf numFmtId="0" fontId="200" fillId="23" borderId="339" xfId="30" applyFont="1" applyFill="1" applyBorder="1"/>
    <xf numFmtId="0" fontId="558" fillId="23" borderId="341" xfId="32" applyFont="1" applyFill="1" applyBorder="1" applyAlignment="1">
      <alignment horizontal="right" vertical="center"/>
    </xf>
    <xf numFmtId="0" fontId="558" fillId="23" borderId="341" xfId="30" applyFont="1" applyFill="1" applyBorder="1"/>
    <xf numFmtId="0" fontId="558" fillId="23" borderId="344" xfId="30" applyFont="1" applyFill="1" applyBorder="1"/>
    <xf numFmtId="0" fontId="558" fillId="23" borderId="346" xfId="30" applyFont="1" applyFill="1" applyBorder="1" applyAlignment="1">
      <alignment vertical="center"/>
    </xf>
    <xf numFmtId="0" fontId="200" fillId="23" borderId="335" xfId="30" applyFont="1" applyFill="1" applyBorder="1"/>
    <xf numFmtId="0" fontId="152" fillId="23" borderId="332" xfId="30" applyFont="1" applyFill="1" applyBorder="1"/>
    <xf numFmtId="0" fontId="558" fillId="23" borderId="334" xfId="30" applyFont="1" applyFill="1" applyBorder="1" applyAlignment="1">
      <alignment vertical="center"/>
    </xf>
    <xf numFmtId="0" fontId="200" fillId="23" borderId="332" xfId="30" applyFont="1" applyFill="1" applyBorder="1"/>
    <xf numFmtId="0" fontId="436" fillId="23" borderId="334" xfId="32" applyFont="1" applyFill="1" applyBorder="1" applyAlignment="1">
      <alignment horizontal="right" vertical="center"/>
    </xf>
    <xf numFmtId="0" fontId="436" fillId="23" borderId="336" xfId="32" applyFont="1" applyFill="1" applyBorder="1" applyAlignment="1">
      <alignment horizontal="right" vertical="center"/>
    </xf>
    <xf numFmtId="0" fontId="436" fillId="23" borderId="339" xfId="32" applyFont="1" applyFill="1" applyBorder="1" applyAlignment="1">
      <alignment horizontal="right" vertical="center"/>
    </xf>
    <xf numFmtId="0" fontId="558" fillId="23" borderId="335" xfId="32" applyFont="1" applyFill="1" applyBorder="1" applyAlignment="1">
      <alignment horizontal="center" vertical="center"/>
    </xf>
    <xf numFmtId="0" fontId="200" fillId="23" borderId="0" xfId="30" applyFont="1" applyFill="1"/>
    <xf numFmtId="0" fontId="558" fillId="23" borderId="0" xfId="30" applyFont="1" applyFill="1"/>
    <xf numFmtId="0" fontId="558" fillId="23" borderId="0" xfId="32" applyFont="1" applyFill="1" applyAlignment="1">
      <alignment horizontal="right" vertical="center"/>
    </xf>
    <xf numFmtId="0" fontId="558" fillId="23" borderId="0" xfId="30" applyFont="1" applyFill="1" applyAlignment="1">
      <alignment vertical="center"/>
    </xf>
    <xf numFmtId="0" fontId="288" fillId="23" borderId="338" xfId="0" applyFont="1" applyFill="1" applyBorder="1" applyAlignment="1">
      <alignment vertical="center"/>
    </xf>
    <xf numFmtId="0" fontId="558" fillId="23" borderId="343" xfId="32" applyFont="1" applyFill="1" applyBorder="1" applyAlignment="1">
      <alignment horizontal="center" vertical="center"/>
    </xf>
    <xf numFmtId="0" fontId="69" fillId="23" borderId="340" xfId="30" applyFont="1" applyFill="1" applyBorder="1"/>
    <xf numFmtId="0" fontId="82" fillId="23" borderId="341" xfId="30" applyFont="1" applyFill="1" applyBorder="1"/>
    <xf numFmtId="0" fontId="82" fillId="23" borderId="341" xfId="32" applyFont="1" applyFill="1" applyBorder="1" applyAlignment="1">
      <alignment horizontal="right" vertical="center"/>
    </xf>
    <xf numFmtId="0" fontId="82" fillId="23" borderId="341" xfId="30" applyFont="1" applyFill="1" applyBorder="1" applyAlignment="1">
      <alignment vertical="center"/>
    </xf>
    <xf numFmtId="0" fontId="69" fillId="23" borderId="345" xfId="30" applyFont="1" applyFill="1" applyBorder="1"/>
    <xf numFmtId="0" fontId="82" fillId="23" borderId="346" xfId="30" applyFont="1" applyFill="1" applyBorder="1"/>
    <xf numFmtId="0" fontId="288" fillId="23" borderId="338" xfId="30" applyFont="1" applyFill="1" applyBorder="1" applyAlignment="1">
      <alignment horizontal="left" vertical="center"/>
    </xf>
    <xf numFmtId="0" fontId="326" fillId="5" borderId="0" xfId="30" applyFont="1" applyFill="1"/>
    <xf numFmtId="0" fontId="564" fillId="23" borderId="0" xfId="30" applyFont="1" applyFill="1" applyAlignment="1">
      <alignment horizontal="left" vertical="center"/>
    </xf>
    <xf numFmtId="0" fontId="558" fillId="23" borderId="336" xfId="30" applyFont="1" applyFill="1" applyBorder="1" applyAlignment="1">
      <alignment vertical="center"/>
    </xf>
    <xf numFmtId="0" fontId="200" fillId="23" borderId="340" xfId="30" applyFont="1" applyFill="1" applyBorder="1"/>
    <xf numFmtId="0" fontId="558" fillId="23" borderId="342" xfId="32" applyFont="1" applyFill="1" applyBorder="1" applyAlignment="1">
      <alignment horizontal="right" vertical="center"/>
    </xf>
    <xf numFmtId="0" fontId="200" fillId="23" borderId="343" xfId="30" applyFont="1" applyFill="1" applyBorder="1"/>
    <xf numFmtId="0" fontId="558" fillId="23" borderId="344" xfId="32" applyFont="1" applyFill="1" applyBorder="1" applyAlignment="1">
      <alignment horizontal="right" vertical="center"/>
    </xf>
    <xf numFmtId="0" fontId="200" fillId="23" borderId="344" xfId="30" applyFont="1" applyFill="1" applyBorder="1"/>
    <xf numFmtId="0" fontId="558" fillId="23" borderId="344" xfId="30" applyFont="1" applyFill="1" applyBorder="1" applyAlignment="1">
      <alignment vertical="center"/>
    </xf>
    <xf numFmtId="0" fontId="200" fillId="23" borderId="345" xfId="30" applyFont="1" applyFill="1" applyBorder="1"/>
    <xf numFmtId="0" fontId="564" fillId="23" borderId="346" xfId="30" applyFont="1" applyFill="1" applyBorder="1" applyAlignment="1">
      <alignment horizontal="left" vertical="center"/>
    </xf>
    <xf numFmtId="0" fontId="558" fillId="23" borderId="347" xfId="30" applyFont="1" applyFill="1" applyBorder="1" applyAlignment="1">
      <alignment vertical="center"/>
    </xf>
    <xf numFmtId="0" fontId="157" fillId="23" borderId="336" xfId="30" applyFont="1" applyFill="1" applyBorder="1" applyAlignment="1">
      <alignment vertical="center"/>
    </xf>
    <xf numFmtId="0" fontId="287" fillId="5" borderId="0" xfId="10" applyFont="1" applyFill="1" applyAlignment="1" applyProtection="1"/>
    <xf numFmtId="0" fontId="27" fillId="5" borderId="0" xfId="30" applyFont="1" applyFill="1"/>
    <xf numFmtId="0" fontId="157" fillId="5" borderId="0" xfId="41" applyFont="1" applyFill="1"/>
    <xf numFmtId="0" fontId="7" fillId="5" borderId="0" xfId="30" applyFill="1" applyProtection="1">
      <protection hidden="1"/>
    </xf>
    <xf numFmtId="0" fontId="566" fillId="23" borderId="0" xfId="30" applyFont="1" applyFill="1" applyAlignment="1">
      <alignment vertical="center"/>
    </xf>
    <xf numFmtId="0" fontId="550" fillId="23" borderId="0" xfId="30" applyFont="1" applyFill="1" applyAlignment="1">
      <alignment horizontal="center"/>
    </xf>
    <xf numFmtId="0" fontId="550" fillId="23" borderId="0" xfId="30" applyFont="1" applyFill="1" applyAlignment="1">
      <alignment horizontal="center" vertical="top"/>
    </xf>
    <xf numFmtId="0" fontId="482" fillId="22" borderId="0" xfId="30" applyFont="1" applyFill="1" applyAlignment="1">
      <alignment horizontal="left" vertical="center"/>
    </xf>
    <xf numFmtId="0" fontId="4" fillId="5" borderId="0" xfId="2" applyFill="1"/>
    <xf numFmtId="0" fontId="567" fillId="23" borderId="0" xfId="30" applyFont="1" applyFill="1" applyAlignment="1">
      <alignment horizontal="center"/>
    </xf>
    <xf numFmtId="0" fontId="569" fillId="23" borderId="0" xfId="30" applyFont="1" applyFill="1" applyAlignment="1">
      <alignment vertical="center"/>
    </xf>
    <xf numFmtId="0" fontId="570" fillId="23" borderId="0" xfId="32" applyFont="1" applyFill="1" applyAlignment="1">
      <alignment horizontal="left" vertical="center"/>
    </xf>
    <xf numFmtId="0" fontId="434" fillId="3" borderId="0" xfId="28" applyFont="1" applyFill="1" applyAlignment="1" applyProtection="1">
      <alignment vertical="center"/>
      <protection hidden="1"/>
    </xf>
    <xf numFmtId="0" fontId="510" fillId="23" borderId="0" xfId="15" applyFont="1" applyFill="1" applyAlignment="1">
      <alignment vertical="center"/>
    </xf>
    <xf numFmtId="0" fontId="571" fillId="23" borderId="338" xfId="30" applyFont="1" applyFill="1" applyBorder="1"/>
    <xf numFmtId="0" fontId="562" fillId="23" borderId="338" xfId="0" applyFont="1" applyFill="1" applyBorder="1" applyAlignment="1">
      <alignment vertical="center"/>
    </xf>
    <xf numFmtId="0" fontId="32" fillId="5" borderId="338" xfId="30" applyFont="1" applyFill="1" applyBorder="1"/>
    <xf numFmtId="0" fontId="54" fillId="23" borderId="338" xfId="30" applyFont="1" applyFill="1" applyBorder="1"/>
    <xf numFmtId="0" fontId="144" fillId="5" borderId="346" xfId="32" applyFont="1" applyFill="1" applyBorder="1" applyAlignment="1">
      <alignment horizontal="right" vertical="center"/>
    </xf>
    <xf numFmtId="0" fontId="572" fillId="5" borderId="346" xfId="32" applyFont="1" applyFill="1" applyBorder="1" applyAlignment="1">
      <alignment horizontal="right" vertical="center"/>
    </xf>
    <xf numFmtId="0" fontId="82" fillId="23" borderId="348" xfId="30" applyFont="1" applyFill="1" applyBorder="1"/>
    <xf numFmtId="0" fontId="82" fillId="23" borderId="349" xfId="30" applyFont="1" applyFill="1" applyBorder="1"/>
    <xf numFmtId="0" fontId="288" fillId="23" borderId="349" xfId="0" applyFont="1" applyFill="1" applyBorder="1" applyAlignment="1">
      <alignment vertical="center"/>
    </xf>
    <xf numFmtId="0" fontId="82" fillId="23" borderId="350" xfId="30" applyFont="1" applyFill="1" applyBorder="1"/>
    <xf numFmtId="0" fontId="82" fillId="23" borderId="336" xfId="30" applyFont="1" applyFill="1" applyBorder="1"/>
    <xf numFmtId="0" fontId="288" fillId="23" borderId="336" xfId="0" applyFont="1" applyFill="1" applyBorder="1" applyAlignment="1">
      <alignment vertical="center"/>
    </xf>
    <xf numFmtId="0" fontId="558" fillId="3" borderId="336" xfId="30" applyFont="1" applyFill="1" applyBorder="1"/>
    <xf numFmtId="0" fontId="558" fillId="23" borderId="351" xfId="35" applyFont="1" applyFill="1" applyBorder="1" applyAlignment="1">
      <alignment vertical="center"/>
    </xf>
    <xf numFmtId="0" fontId="558" fillId="23" borderId="352" xfId="35" applyFont="1" applyFill="1" applyBorder="1"/>
    <xf numFmtId="0" fontId="23" fillId="22" borderId="352" xfId="0" applyFont="1" applyFill="1" applyBorder="1" applyAlignment="1">
      <alignment vertical="center"/>
    </xf>
    <xf numFmtId="0" fontId="558" fillId="5" borderId="353" xfId="0" applyFont="1" applyFill="1" applyBorder="1" applyAlignment="1">
      <alignment vertical="center"/>
    </xf>
    <xf numFmtId="0" fontId="558" fillId="23" borderId="337" xfId="30" applyFont="1" applyFill="1" applyBorder="1"/>
    <xf numFmtId="0" fontId="558" fillId="5" borderId="336" xfId="30" applyFont="1" applyFill="1" applyBorder="1"/>
    <xf numFmtId="0" fontId="24" fillId="3" borderId="356" xfId="9" applyFont="1" applyFill="1" applyBorder="1" applyAlignment="1" applyProtection="1">
      <alignment vertical="center"/>
      <protection hidden="1"/>
    </xf>
    <xf numFmtId="0" fontId="24" fillId="3" borderId="357" xfId="9" applyFont="1" applyFill="1" applyBorder="1" applyAlignment="1">
      <alignment horizontal="center" vertical="center"/>
    </xf>
    <xf numFmtId="0" fontId="573" fillId="3" borderId="0" xfId="9" applyFont="1" applyFill="1" applyAlignment="1" applyProtection="1">
      <alignment vertical="center"/>
      <protection locked="0"/>
    </xf>
    <xf numFmtId="0" fontId="573" fillId="3" borderId="301" xfId="9" applyFont="1" applyFill="1" applyBorder="1" applyAlignment="1" applyProtection="1">
      <alignment vertical="center"/>
      <protection locked="0"/>
    </xf>
    <xf numFmtId="0" fontId="574" fillId="3" borderId="0" xfId="1" applyFont="1" applyFill="1" applyAlignment="1">
      <alignment horizontal="center" vertical="center"/>
    </xf>
    <xf numFmtId="0" fontId="24" fillId="3" borderId="0" xfId="9" applyFont="1" applyFill="1" applyAlignment="1" applyProtection="1">
      <alignment horizontal="right" vertical="center"/>
      <protection hidden="1"/>
    </xf>
    <xf numFmtId="2" fontId="368" fillId="134" borderId="0" xfId="36" applyNumberFormat="1" applyFont="1" applyFill="1" applyAlignment="1">
      <alignment horizontal="right" vertical="center"/>
    </xf>
    <xf numFmtId="0" fontId="575" fillId="5" borderId="0" xfId="9" applyFont="1" applyFill="1" applyAlignment="1" applyProtection="1">
      <alignment horizontal="center" vertical="center"/>
      <protection hidden="1"/>
    </xf>
    <xf numFmtId="0" fontId="575" fillId="3" borderId="0" xfId="9" applyFont="1" applyFill="1" applyAlignment="1" applyProtection="1">
      <alignment horizontal="left" vertical="center"/>
      <protection locked="0"/>
    </xf>
    <xf numFmtId="0" fontId="575" fillId="3" borderId="0" xfId="9" applyFont="1" applyFill="1" applyAlignment="1" applyProtection="1">
      <alignment horizontal="left" vertical="center"/>
      <protection hidden="1"/>
    </xf>
    <xf numFmtId="0" fontId="575" fillId="3" borderId="301" xfId="9" applyFont="1" applyFill="1" applyBorder="1" applyAlignment="1" applyProtection="1">
      <alignment horizontal="left" vertical="center"/>
      <protection locked="0"/>
    </xf>
    <xf numFmtId="0" fontId="90" fillId="0" borderId="0" xfId="2" applyFont="1" applyAlignment="1">
      <alignment horizontal="center" vertical="center"/>
    </xf>
    <xf numFmtId="0" fontId="499" fillId="3" borderId="0" xfId="9" applyFont="1" applyFill="1" applyAlignment="1" applyProtection="1">
      <alignment horizontal="right" vertical="center"/>
      <protection hidden="1"/>
    </xf>
    <xf numFmtId="168" fontId="498" fillId="3" borderId="359" xfId="9" applyNumberFormat="1" applyFont="1" applyFill="1" applyBorder="1" applyAlignment="1" applyProtection="1">
      <alignment horizontal="right" vertical="center"/>
      <protection locked="0"/>
    </xf>
    <xf numFmtId="0" fontId="576" fillId="3" borderId="359" xfId="9" applyFont="1" applyFill="1" applyBorder="1" applyAlignment="1" applyProtection="1">
      <alignment horizontal="right" vertical="center"/>
      <protection hidden="1"/>
    </xf>
    <xf numFmtId="2" fontId="24" fillId="3" borderId="359" xfId="36" applyNumberFormat="1" applyFont="1" applyFill="1" applyBorder="1" applyAlignment="1">
      <alignment horizontal="center" vertical="center"/>
    </xf>
    <xf numFmtId="0" fontId="577" fillId="5" borderId="359" xfId="9" applyFont="1" applyFill="1" applyBorder="1" applyAlignment="1" applyProtection="1">
      <alignment horizontal="center" vertical="center"/>
      <protection hidden="1"/>
    </xf>
    <xf numFmtId="0" fontId="174" fillId="3" borderId="359" xfId="36" applyFont="1" applyFill="1" applyBorder="1" applyAlignment="1">
      <alignment vertical="center"/>
    </xf>
    <xf numFmtId="0" fontId="576" fillId="3" borderId="359" xfId="36" applyFont="1" applyFill="1" applyBorder="1" applyAlignment="1">
      <alignment horizontal="right" vertical="center"/>
    </xf>
    <xf numFmtId="0" fontId="11" fillId="7" borderId="360" xfId="0" applyFont="1" applyFill="1" applyBorder="1" applyAlignment="1">
      <alignment horizontal="center" vertical="center"/>
    </xf>
    <xf numFmtId="0" fontId="157" fillId="3" borderId="358" xfId="9" applyFont="1" applyFill="1" applyBorder="1" applyProtection="1">
      <protection locked="0"/>
    </xf>
    <xf numFmtId="0" fontId="0" fillId="4" borderId="354" xfId="0" applyFill="1" applyBorder="1"/>
    <xf numFmtId="0" fontId="0" fillId="4" borderId="299" xfId="0" applyFill="1" applyBorder="1"/>
    <xf numFmtId="0" fontId="0" fillId="4" borderId="300" xfId="0" applyFill="1" applyBorder="1"/>
    <xf numFmtId="0" fontId="120" fillId="8" borderId="57" xfId="0" applyFont="1" applyFill="1" applyBorder="1" applyAlignment="1">
      <alignment vertical="center"/>
    </xf>
    <xf numFmtId="0" fontId="120" fillId="8" borderId="0" xfId="0" applyFont="1" applyFill="1" applyAlignment="1">
      <alignment vertical="center"/>
    </xf>
    <xf numFmtId="0" fontId="120" fillId="8" borderId="301" xfId="0" applyFont="1" applyFill="1" applyBorder="1" applyAlignment="1">
      <alignment vertical="center"/>
    </xf>
    <xf numFmtId="0" fontId="578" fillId="8" borderId="57" xfId="0" applyFont="1" applyFill="1" applyBorder="1" applyAlignment="1">
      <alignment vertical="center"/>
    </xf>
    <xf numFmtId="0" fontId="578" fillId="8" borderId="0" xfId="0" applyFont="1" applyFill="1" applyAlignment="1">
      <alignment vertical="center"/>
    </xf>
    <xf numFmtId="0" fontId="578" fillId="8" borderId="301" xfId="0" applyFont="1" applyFill="1" applyBorder="1" applyAlignment="1">
      <alignment vertical="center"/>
    </xf>
    <xf numFmtId="0" fontId="579" fillId="140" borderId="0" xfId="0" applyFont="1" applyFill="1" applyAlignment="1">
      <alignment horizontal="right" vertical="center"/>
    </xf>
    <xf numFmtId="0" fontId="182" fillId="8" borderId="0" xfId="8" applyFont="1" applyFill="1" applyBorder="1" applyAlignment="1">
      <alignment vertical="center"/>
    </xf>
    <xf numFmtId="0" fontId="24" fillId="3" borderId="0" xfId="9" applyFont="1" applyFill="1" applyAlignment="1" applyProtection="1">
      <alignment vertical="center"/>
      <protection hidden="1"/>
    </xf>
    <xf numFmtId="0" fontId="580" fillId="8" borderId="57" xfId="0" applyFont="1" applyFill="1" applyBorder="1" applyAlignment="1">
      <alignment vertical="center"/>
    </xf>
    <xf numFmtId="0" fontId="580" fillId="8" borderId="0" xfId="0" applyFont="1" applyFill="1" applyAlignment="1">
      <alignment vertical="center"/>
    </xf>
    <xf numFmtId="0" fontId="428" fillId="8" borderId="57" xfId="0" applyFont="1" applyFill="1" applyBorder="1" applyAlignment="1">
      <alignment vertical="center"/>
    </xf>
    <xf numFmtId="0" fontId="428" fillId="8" borderId="0" xfId="0" applyFont="1" applyFill="1" applyAlignment="1">
      <alignment vertical="center"/>
    </xf>
    <xf numFmtId="0" fontId="578" fillId="8" borderId="0" xfId="0" applyFont="1" applyFill="1" applyAlignment="1">
      <alignment vertical="center" wrapText="1"/>
    </xf>
    <xf numFmtId="0" fontId="578" fillId="8" borderId="301" xfId="0" applyFont="1" applyFill="1" applyBorder="1" applyAlignment="1">
      <alignment vertical="center" wrapText="1"/>
    </xf>
    <xf numFmtId="0" fontId="581" fillId="8" borderId="57" xfId="0" applyFont="1" applyFill="1" applyBorder="1" applyAlignment="1">
      <alignment vertical="center"/>
    </xf>
    <xf numFmtId="0" fontId="581" fillId="8" borderId="0" xfId="0" applyFont="1" applyFill="1" applyAlignment="1">
      <alignment vertical="center"/>
    </xf>
    <xf numFmtId="0" fontId="582" fillId="8" borderId="0" xfId="0" applyFont="1" applyFill="1" applyAlignment="1">
      <alignment vertical="center"/>
    </xf>
    <xf numFmtId="0" fontId="582" fillId="8" borderId="301" xfId="0" applyFont="1" applyFill="1" applyBorder="1" applyAlignment="1">
      <alignment vertical="center"/>
    </xf>
    <xf numFmtId="0" fontId="582" fillId="8" borderId="0" xfId="0" applyFont="1" applyFill="1" applyAlignment="1">
      <alignment vertical="center" wrapText="1"/>
    </xf>
    <xf numFmtId="0" fontId="582" fillId="8" borderId="301" xfId="0" applyFont="1" applyFill="1" applyBorder="1" applyAlignment="1">
      <alignment vertical="center" wrapText="1"/>
    </xf>
    <xf numFmtId="0" fontId="28" fillId="8" borderId="57" xfId="0" applyFont="1" applyFill="1" applyBorder="1" applyAlignment="1">
      <alignment vertical="center"/>
    </xf>
    <xf numFmtId="0" fontId="28" fillId="8" borderId="0" xfId="0" applyFont="1" applyFill="1" applyAlignment="1">
      <alignment vertical="center"/>
    </xf>
    <xf numFmtId="0" fontId="583" fillId="8" borderId="0" xfId="0" applyFont="1" applyFill="1" applyAlignment="1">
      <alignment vertical="center"/>
    </xf>
    <xf numFmtId="0" fontId="583" fillId="8" borderId="301" xfId="0" applyFont="1" applyFill="1" applyBorder="1" applyAlignment="1">
      <alignment vertical="center"/>
    </xf>
    <xf numFmtId="0" fontId="583" fillId="8" borderId="0" xfId="0" applyFont="1" applyFill="1" applyAlignment="1">
      <alignment vertical="center" wrapText="1"/>
    </xf>
    <xf numFmtId="0" fontId="583" fillId="8" borderId="301" xfId="0" applyFont="1" applyFill="1" applyBorder="1" applyAlignment="1">
      <alignment vertical="center" wrapText="1"/>
    </xf>
    <xf numFmtId="0" fontId="584" fillId="97" borderId="0" xfId="0" applyFont="1" applyFill="1" applyAlignment="1">
      <alignment horizontal="left" vertical="center"/>
    </xf>
    <xf numFmtId="0" fontId="584" fillId="97" borderId="0" xfId="0" applyFont="1" applyFill="1" applyAlignment="1">
      <alignment vertical="center"/>
    </xf>
    <xf numFmtId="0" fontId="584" fillId="97" borderId="0" xfId="0" applyFont="1" applyFill="1" applyAlignment="1">
      <alignment vertical="center" wrapText="1"/>
    </xf>
    <xf numFmtId="0" fontId="584" fillId="97" borderId="301" xfId="0" applyFont="1" applyFill="1" applyBorder="1" applyAlignment="1">
      <alignment vertical="center" wrapText="1"/>
    </xf>
    <xf numFmtId="0" fontId="157" fillId="3" borderId="358" xfId="25" applyFont="1" applyFill="1" applyBorder="1" applyAlignment="1">
      <alignment vertical="center"/>
    </xf>
    <xf numFmtId="0" fontId="15" fillId="0" borderId="0" xfId="1" applyFont="1" applyAlignment="1">
      <alignment horizontal="right" vertical="center"/>
    </xf>
    <xf numFmtId="0" fontId="167" fillId="41" borderId="0" xfId="1" applyFont="1" applyFill="1" applyAlignment="1">
      <alignment horizontal="center" vertical="center"/>
    </xf>
    <xf numFmtId="0" fontId="148" fillId="133" borderId="0" xfId="9" applyFont="1" applyFill="1" applyAlignment="1" applyProtection="1">
      <alignment horizontal="center" vertical="center" textRotation="90"/>
      <protection locked="0"/>
    </xf>
    <xf numFmtId="0" fontId="170" fillId="8" borderId="0" xfId="0" applyFont="1" applyFill="1"/>
    <xf numFmtId="0" fontId="583" fillId="8" borderId="0" xfId="4" applyFont="1" applyFill="1" applyAlignment="1">
      <alignment horizontal="right" vertical="center"/>
    </xf>
    <xf numFmtId="0" fontId="27" fillId="8" borderId="301" xfId="4" applyFont="1" applyFill="1" applyBorder="1" applyAlignment="1">
      <alignment horizontal="left" vertical="center" wrapText="1"/>
    </xf>
    <xf numFmtId="2" fontId="585" fillId="0" borderId="0" xfId="25" applyNumberFormat="1" applyFont="1" applyAlignment="1">
      <alignment horizontal="center" vertical="center"/>
    </xf>
    <xf numFmtId="0" fontId="157" fillId="0" borderId="0" xfId="25" applyFont="1" applyAlignment="1">
      <alignment horizontal="center" vertical="center"/>
    </xf>
    <xf numFmtId="0" fontId="157" fillId="0" borderId="0" xfId="25" applyFont="1" applyAlignment="1">
      <alignment horizontal="left" vertical="center"/>
    </xf>
    <xf numFmtId="0" fontId="582" fillId="8" borderId="57" xfId="0" applyFont="1" applyFill="1" applyBorder="1"/>
    <xf numFmtId="0" fontId="582" fillId="8" borderId="0" xfId="0" applyFont="1" applyFill="1"/>
    <xf numFmtId="0" fontId="586" fillId="4" borderId="302" xfId="0" applyFont="1" applyFill="1" applyBorder="1" applyAlignment="1">
      <alignment vertical="center"/>
    </xf>
    <xf numFmtId="0" fontId="586" fillId="4" borderId="303" xfId="0" applyFont="1" applyFill="1" applyBorder="1" applyAlignment="1">
      <alignment vertical="center"/>
    </xf>
    <xf numFmtId="0" fontId="586" fillId="4" borderId="304" xfId="0" applyFont="1" applyFill="1" applyBorder="1" applyAlignment="1">
      <alignment vertical="center"/>
    </xf>
    <xf numFmtId="0" fontId="481" fillId="22" borderId="0" xfId="0" applyFont="1" applyFill="1" applyAlignment="1">
      <alignment horizontal="right" vertical="center"/>
    </xf>
    <xf numFmtId="0" fontId="481" fillId="22" borderId="0" xfId="0" applyFont="1" applyFill="1" applyAlignment="1">
      <alignment horizontal="left" vertical="center"/>
    </xf>
    <xf numFmtId="0" fontId="568" fillId="23" borderId="0" xfId="0" applyFont="1" applyFill="1" applyAlignment="1">
      <alignment vertical="center"/>
    </xf>
    <xf numFmtId="0" fontId="147" fillId="22" borderId="0" xfId="2" applyFont="1" applyFill="1"/>
    <xf numFmtId="0" fontId="162" fillId="22" borderId="0" xfId="44" applyFont="1" applyFill="1" applyBorder="1" applyAlignment="1">
      <alignment horizontal="left" vertical="center"/>
    </xf>
    <xf numFmtId="0" fontId="563" fillId="23" borderId="0" xfId="32" applyFont="1" applyFill="1" applyAlignment="1">
      <alignment horizontal="left" vertical="center"/>
    </xf>
    <xf numFmtId="0" fontId="23" fillId="22" borderId="0" xfId="0" applyFont="1" applyFill="1" applyAlignment="1">
      <alignment vertical="center"/>
    </xf>
    <xf numFmtId="0" fontId="558" fillId="23" borderId="0" xfId="0" applyFont="1" applyFill="1" applyAlignment="1">
      <alignment vertical="center"/>
    </xf>
    <xf numFmtId="0" fontId="288" fillId="23" borderId="0" xfId="30" applyFont="1" applyFill="1" applyAlignment="1">
      <alignment horizontal="right" vertical="center"/>
    </xf>
    <xf numFmtId="0" fontId="82" fillId="23" borderId="0" xfId="30" applyFont="1" applyFill="1"/>
    <xf numFmtId="49" fontId="170" fillId="3" borderId="5" xfId="0" applyNumberFormat="1" applyFont="1" applyFill="1" applyBorder="1" applyAlignment="1">
      <alignment horizontal="center" vertical="center"/>
    </xf>
    <xf numFmtId="49" fontId="170" fillId="3" borderId="0" xfId="0" applyNumberFormat="1" applyFont="1" applyFill="1" applyAlignment="1">
      <alignment horizontal="center" vertical="center"/>
    </xf>
    <xf numFmtId="0" fontId="288" fillId="23" borderId="0" xfId="0" applyFont="1" applyFill="1" applyAlignment="1">
      <alignment vertical="center"/>
    </xf>
    <xf numFmtId="49" fontId="589" fillId="3" borderId="5" xfId="0" applyNumberFormat="1" applyFont="1" applyFill="1" applyBorder="1" applyAlignment="1">
      <alignment horizontal="center" vertical="center" wrapText="1"/>
    </xf>
    <xf numFmtId="49" fontId="589" fillId="3" borderId="0" xfId="0" applyNumberFormat="1" applyFont="1" applyFill="1" applyAlignment="1">
      <alignment horizontal="center" vertical="center" wrapText="1"/>
    </xf>
    <xf numFmtId="0" fontId="556" fillId="23" borderId="0" xfId="32" applyFont="1" applyFill="1" applyAlignment="1">
      <alignment horizontal="left" vertical="center"/>
    </xf>
    <xf numFmtId="0" fontId="558" fillId="5" borderId="0" xfId="0" applyFont="1" applyFill="1" applyAlignment="1">
      <alignment vertical="center"/>
    </xf>
    <xf numFmtId="0" fontId="27" fillId="8" borderId="381" xfId="1" applyFont="1" applyFill="1" applyBorder="1" applyProtection="1">
      <protection hidden="1"/>
    </xf>
    <xf numFmtId="0" fontId="27" fillId="8" borderId="193" xfId="1" applyFont="1" applyFill="1" applyBorder="1" applyProtection="1">
      <protection hidden="1"/>
    </xf>
    <xf numFmtId="0" fontId="27" fillId="0" borderId="200" xfId="1" applyFont="1" applyBorder="1" applyProtection="1">
      <protection hidden="1"/>
    </xf>
    <xf numFmtId="0" fontId="562" fillId="23" borderId="0" xfId="32" applyFont="1" applyFill="1" applyAlignment="1">
      <alignment horizontal="left" vertical="center"/>
    </xf>
    <xf numFmtId="0" fontId="558" fillId="23" borderId="0" xfId="32" applyFont="1" applyFill="1" applyAlignment="1">
      <alignment horizontal="left" vertical="center"/>
    </xf>
    <xf numFmtId="0" fontId="558" fillId="3" borderId="0" xfId="0" applyFont="1" applyFill="1" applyAlignment="1">
      <alignment vertical="center"/>
    </xf>
    <xf numFmtId="0" fontId="288" fillId="3" borderId="0" xfId="30" applyFont="1" applyFill="1" applyAlignment="1">
      <alignment horizontal="right" vertical="center"/>
    </xf>
    <xf numFmtId="0" fontId="139" fillId="22" borderId="0" xfId="0" applyFont="1" applyFill="1" applyAlignment="1">
      <alignment vertical="center"/>
    </xf>
    <xf numFmtId="0" fontId="436" fillId="3" borderId="0" xfId="32" applyFont="1" applyFill="1" applyAlignment="1">
      <alignment horizontal="left" vertical="center"/>
    </xf>
    <xf numFmtId="0" fontId="288" fillId="5" borderId="0" xfId="30" applyFont="1" applyFill="1" applyAlignment="1">
      <alignment horizontal="right" vertical="center"/>
    </xf>
    <xf numFmtId="0" fontId="82" fillId="5" borderId="0" xfId="30" applyFont="1" applyFill="1"/>
    <xf numFmtId="0" fontId="139" fillId="44" borderId="0" xfId="0" applyFont="1" applyFill="1" applyAlignment="1">
      <alignment vertical="center"/>
    </xf>
    <xf numFmtId="0" fontId="200" fillId="5" borderId="0" xfId="32" applyFont="1" applyFill="1" applyAlignment="1">
      <alignment horizontal="right" vertical="center"/>
    </xf>
    <xf numFmtId="0" fontId="82" fillId="23" borderId="0" xfId="32" applyFont="1" applyFill="1" applyAlignment="1">
      <alignment horizontal="right" vertical="center"/>
    </xf>
    <xf numFmtId="0" fontId="82" fillId="23" borderId="0" xfId="30" applyFont="1" applyFill="1" applyAlignment="1">
      <alignment vertical="center"/>
    </xf>
    <xf numFmtId="0" fontId="564" fillId="23" borderId="0" xfId="30" applyFont="1" applyFill="1" applyAlignment="1">
      <alignment horizontal="center" vertical="center"/>
    </xf>
    <xf numFmtId="0" fontId="288" fillId="23" borderId="0" xfId="30" applyFont="1" applyFill="1" applyAlignment="1">
      <alignment horizontal="left" vertical="center"/>
    </xf>
    <xf numFmtId="0" fontId="564" fillId="23" borderId="0" xfId="35" applyFont="1" applyFill="1" applyAlignment="1">
      <alignment vertical="center"/>
    </xf>
    <xf numFmtId="0" fontId="200" fillId="5" borderId="0" xfId="30" applyFont="1" applyFill="1" applyAlignment="1">
      <alignment horizontal="center" vertical="center"/>
    </xf>
    <xf numFmtId="0" fontId="310" fillId="22" borderId="0" xfId="0" applyFont="1" applyFill="1" applyAlignment="1">
      <alignment horizontal="center" vertical="center"/>
    </xf>
    <xf numFmtId="0" fontId="288" fillId="23" borderId="0" xfId="35" applyFont="1" applyFill="1" applyAlignment="1">
      <alignment vertical="center"/>
    </xf>
    <xf numFmtId="0" fontId="144" fillId="5" borderId="0" xfId="35" applyFont="1" applyFill="1" applyAlignment="1">
      <alignment vertical="center"/>
    </xf>
    <xf numFmtId="0" fontId="562" fillId="23" borderId="0" xfId="30" applyFont="1" applyFill="1"/>
    <xf numFmtId="0" fontId="564" fillId="23" borderId="0" xfId="30" applyFont="1" applyFill="1" applyAlignment="1">
      <alignment horizontal="right" vertical="center"/>
    </xf>
    <xf numFmtId="0" fontId="558" fillId="23" borderId="0" xfId="30" applyFont="1" applyFill="1" applyAlignment="1">
      <alignment horizontal="left" vertical="center"/>
    </xf>
    <xf numFmtId="224" fontId="201" fillId="44" borderId="0" xfId="0" applyNumberFormat="1" applyFont="1" applyFill="1" applyAlignment="1">
      <alignment horizontal="center" vertical="center"/>
    </xf>
    <xf numFmtId="0" fontId="558" fillId="23" borderId="0" xfId="35" applyFont="1" applyFill="1"/>
    <xf numFmtId="0" fontId="562" fillId="23" borderId="0" xfId="32" applyFont="1" applyFill="1" applyAlignment="1">
      <alignment horizontal="right" vertical="center"/>
    </xf>
    <xf numFmtId="0" fontId="562" fillId="23" borderId="0" xfId="0" applyFont="1" applyFill="1" applyAlignment="1">
      <alignment vertical="center"/>
    </xf>
    <xf numFmtId="0" fontId="565" fillId="19" borderId="0" xfId="0" applyFont="1" applyFill="1" applyAlignment="1">
      <alignment horizontal="center" vertical="center"/>
    </xf>
    <xf numFmtId="0" fontId="288" fillId="23" borderId="0" xfId="0" applyFont="1" applyFill="1" applyAlignment="1">
      <alignment horizontal="left" vertical="center"/>
    </xf>
    <xf numFmtId="14" fontId="288" fillId="23" borderId="0" xfId="35" applyNumberFormat="1" applyFont="1" applyFill="1" applyAlignment="1">
      <alignment horizontal="center" vertical="center"/>
    </xf>
    <xf numFmtId="0" fontId="168" fillId="42" borderId="358" xfId="9" applyFont="1" applyFill="1" applyBorder="1" applyAlignment="1" applyProtection="1">
      <alignment horizontal="center" vertical="center"/>
      <protection hidden="1"/>
    </xf>
    <xf numFmtId="0" fontId="28" fillId="9" borderId="133" xfId="2" applyFont="1" applyFill="1" applyBorder="1" applyAlignment="1" applyProtection="1">
      <alignment horizontal="center" vertical="center"/>
      <protection locked="0"/>
    </xf>
    <xf numFmtId="168" fontId="29" fillId="9" borderId="291" xfId="2" applyNumberFormat="1" applyFont="1" applyFill="1" applyBorder="1" applyAlignment="1">
      <alignment horizontal="center" vertical="center" wrapText="1"/>
    </xf>
    <xf numFmtId="167" fontId="28" fillId="9" borderId="291" xfId="32" applyNumberFormat="1" applyFont="1" applyFill="1" applyBorder="1" applyAlignment="1">
      <alignment horizontal="center" vertical="center"/>
    </xf>
    <xf numFmtId="168" fontId="29" fillId="10" borderId="291" xfId="2" applyNumberFormat="1" applyFont="1" applyFill="1" applyBorder="1" applyAlignment="1">
      <alignment horizontal="center" vertical="center" wrapText="1"/>
    </xf>
    <xf numFmtId="0" fontId="257" fillId="21" borderId="133" xfId="2" applyFont="1" applyFill="1" applyBorder="1" applyAlignment="1" applyProtection="1">
      <alignment horizontal="center" vertical="center"/>
      <protection locked="0"/>
    </xf>
    <xf numFmtId="168" fontId="280" fillId="21" borderId="291" xfId="2" applyNumberFormat="1" applyFont="1" applyFill="1" applyBorder="1" applyAlignment="1">
      <alignment horizontal="left" vertical="center" wrapText="1"/>
    </xf>
    <xf numFmtId="165" fontId="257" fillId="21" borderId="291" xfId="32" applyNumberFormat="1" applyFont="1" applyFill="1" applyBorder="1" applyAlignment="1">
      <alignment horizontal="center" vertical="center"/>
    </xf>
    <xf numFmtId="0" fontId="1" fillId="7" borderId="5" xfId="2" applyFont="1" applyFill="1" applyBorder="1" applyAlignment="1" applyProtection="1">
      <alignment horizontal="center" vertical="center"/>
      <protection locked="0"/>
    </xf>
    <xf numFmtId="0" fontId="1" fillId="7" borderId="0" xfId="2" applyFont="1" applyFill="1" applyAlignment="1" applyProtection="1">
      <alignment horizontal="left" vertical="center"/>
      <protection locked="0"/>
    </xf>
    <xf numFmtId="165" fontId="207" fillId="46" borderId="0" xfId="32" applyNumberFormat="1" applyFont="1" applyFill="1" applyAlignment="1">
      <alignment horizontal="center" vertical="center"/>
    </xf>
    <xf numFmtId="167" fontId="28" fillId="9" borderId="58" xfId="32" applyNumberFormat="1" applyFont="1" applyFill="1" applyBorder="1" applyAlignment="1">
      <alignment horizontal="center" vertical="center"/>
    </xf>
    <xf numFmtId="0" fontId="221" fillId="3" borderId="294" xfId="1" applyFont="1" applyFill="1" applyBorder="1" applyAlignment="1">
      <alignment horizontal="center" vertical="center"/>
    </xf>
    <xf numFmtId="0" fontId="226" fillId="3" borderId="294" xfId="1" applyFont="1" applyFill="1" applyBorder="1" applyAlignment="1">
      <alignment horizontal="center" vertical="center" wrapText="1"/>
    </xf>
    <xf numFmtId="0" fontId="23" fillId="3" borderId="294" xfId="1" applyFont="1" applyFill="1" applyBorder="1" applyAlignment="1">
      <alignment horizontal="center" vertical="center"/>
    </xf>
    <xf numFmtId="0" fontId="233" fillId="4" borderId="294" xfId="1" applyFont="1" applyFill="1" applyBorder="1" applyAlignment="1">
      <alignment horizontal="center" vertical="center"/>
    </xf>
    <xf numFmtId="0" fontId="233" fillId="3" borderId="294" xfId="1" applyFont="1" applyFill="1" applyBorder="1" applyAlignment="1">
      <alignment horizontal="center" vertical="center"/>
    </xf>
    <xf numFmtId="0" fontId="27" fillId="3" borderId="0" xfId="32" applyFont="1" applyFill="1" applyAlignment="1">
      <alignment horizontal="right" vertical="center"/>
    </xf>
    <xf numFmtId="195" fontId="106" fillId="50" borderId="0" xfId="32" applyNumberFormat="1" applyFont="1" applyFill="1" applyAlignment="1">
      <alignment horizontal="center" vertical="center"/>
    </xf>
    <xf numFmtId="195" fontId="106" fillId="3" borderId="0" xfId="32" applyNumberFormat="1" applyFont="1" applyFill="1" applyAlignment="1">
      <alignment horizontal="center" vertical="center"/>
    </xf>
    <xf numFmtId="0" fontId="27" fillId="3" borderId="294" xfId="1" applyFont="1" applyFill="1" applyBorder="1"/>
    <xf numFmtId="0" fontId="7" fillId="3" borderId="358" xfId="1" applyFill="1" applyBorder="1"/>
    <xf numFmtId="0" fontId="156" fillId="0" borderId="0" xfId="32" applyFont="1" applyAlignment="1" applyProtection="1">
      <alignment vertical="center"/>
      <protection locked="0"/>
    </xf>
    <xf numFmtId="0" fontId="156" fillId="0" borderId="0" xfId="32" applyFont="1" applyAlignment="1">
      <alignment vertical="center"/>
    </xf>
    <xf numFmtId="0" fontId="61" fillId="3" borderId="0" xfId="32" applyFont="1" applyFill="1" applyAlignment="1">
      <alignment vertical="center"/>
    </xf>
    <xf numFmtId="0" fontId="61" fillId="12" borderId="0" xfId="32" applyFont="1" applyFill="1" applyAlignment="1">
      <alignment vertical="center"/>
    </xf>
    <xf numFmtId="0" fontId="11" fillId="31" borderId="0" xfId="32" applyFont="1" applyFill="1" applyAlignment="1">
      <alignment horizontal="center" vertical="center"/>
    </xf>
    <xf numFmtId="0" fontId="11" fillId="31" borderId="0" xfId="32" applyFont="1" applyFill="1" applyAlignment="1">
      <alignment vertical="center" wrapText="1"/>
    </xf>
    <xf numFmtId="0" fontId="61" fillId="31" borderId="0" xfId="32" applyFont="1" applyFill="1" applyAlignment="1">
      <alignment vertical="center"/>
    </xf>
    <xf numFmtId="0" fontId="54" fillId="3" borderId="0" xfId="32" applyFont="1" applyFill="1" applyAlignment="1">
      <alignment horizontal="center" vertical="center" wrapText="1"/>
    </xf>
    <xf numFmtId="0" fontId="81" fillId="13" borderId="354" xfId="1" applyFont="1" applyFill="1" applyBorder="1" applyAlignment="1">
      <alignment horizontal="center" vertical="center"/>
    </xf>
    <xf numFmtId="0" fontId="7" fillId="3" borderId="294" xfId="1" applyFill="1" applyBorder="1"/>
    <xf numFmtId="0" fontId="168" fillId="3" borderId="5" xfId="32" applyFont="1" applyFill="1" applyBorder="1" applyAlignment="1">
      <alignment horizontal="center" vertical="center" wrapText="1"/>
    </xf>
    <xf numFmtId="0" fontId="168" fillId="3" borderId="0" xfId="32" applyFont="1" applyFill="1" applyAlignment="1">
      <alignment horizontal="center" vertical="center" wrapText="1"/>
    </xf>
    <xf numFmtId="0" fontId="168" fillId="3" borderId="294" xfId="32" applyFont="1" applyFill="1" applyBorder="1" applyAlignment="1">
      <alignment horizontal="center" vertical="center" wrapText="1"/>
    </xf>
    <xf numFmtId="0" fontId="334" fillId="3" borderId="5" xfId="32" applyFont="1" applyFill="1" applyBorder="1" applyAlignment="1">
      <alignment horizontal="center" vertical="center"/>
    </xf>
    <xf numFmtId="0" fontId="335" fillId="3" borderId="5" xfId="32" applyFont="1" applyFill="1" applyBorder="1" applyAlignment="1">
      <alignment horizontal="center" vertical="center"/>
    </xf>
    <xf numFmtId="0" fontId="15" fillId="3" borderId="294" xfId="1" applyFont="1" applyFill="1" applyBorder="1" applyAlignment="1">
      <alignment vertical="center" wrapText="1"/>
    </xf>
    <xf numFmtId="194" fontId="279" fillId="12" borderId="294" xfId="1" applyNumberFormat="1" applyFont="1" applyFill="1" applyBorder="1" applyAlignment="1">
      <alignment vertical="center"/>
    </xf>
    <xf numFmtId="0" fontId="147" fillId="3" borderId="382" xfId="1" applyFont="1" applyFill="1" applyBorder="1" applyAlignment="1">
      <alignment vertical="center"/>
    </xf>
    <xf numFmtId="0" fontId="7" fillId="0" borderId="299" xfId="1" applyBorder="1"/>
    <xf numFmtId="0" fontId="279" fillId="3" borderId="299" xfId="1" applyFont="1" applyFill="1" applyBorder="1" applyAlignment="1">
      <alignment vertical="center"/>
    </xf>
    <xf numFmtId="0" fontId="147" fillId="3" borderId="310" xfId="1" applyFont="1" applyFill="1" applyBorder="1" applyAlignment="1">
      <alignment vertical="center"/>
    </xf>
    <xf numFmtId="0" fontId="7" fillId="0" borderId="303" xfId="1" applyBorder="1"/>
    <xf numFmtId="0" fontId="279" fillId="3" borderId="303" xfId="1" applyFont="1" applyFill="1" applyBorder="1" applyAlignment="1">
      <alignment vertical="center"/>
    </xf>
    <xf numFmtId="0" fontId="7" fillId="0" borderId="382" xfId="1" applyBorder="1"/>
    <xf numFmtId="0" fontId="147" fillId="3" borderId="0" xfId="32" applyFont="1" applyFill="1" applyAlignment="1">
      <alignment horizontal="center" vertical="center" wrapText="1"/>
    </xf>
    <xf numFmtId="0" fontId="147" fillId="3" borderId="0" xfId="32" applyFont="1" applyFill="1" applyAlignment="1">
      <alignment horizontal="center" vertical="center"/>
    </xf>
    <xf numFmtId="0" fontId="0" fillId="0" borderId="294" xfId="0" applyBorder="1"/>
    <xf numFmtId="0" fontId="0" fillId="3" borderId="294" xfId="0" applyFill="1" applyBorder="1"/>
    <xf numFmtId="3" fontId="343" fillId="31" borderId="5" xfId="32" applyNumberFormat="1" applyFont="1" applyFill="1" applyBorder="1" applyAlignment="1">
      <alignment horizontal="center" vertical="center"/>
    </xf>
    <xf numFmtId="0" fontId="0" fillId="12" borderId="294" xfId="0" applyFill="1" applyBorder="1"/>
    <xf numFmtId="0" fontId="338" fillId="3" borderId="294" xfId="11" applyFont="1" applyFill="1" applyBorder="1" applyAlignment="1">
      <alignment horizontal="center" vertical="center" wrapText="1"/>
    </xf>
    <xf numFmtId="0" fontId="12" fillId="3" borderId="90" xfId="32" applyFont="1" applyFill="1" applyBorder="1" applyAlignment="1">
      <alignment vertical="center"/>
    </xf>
    <xf numFmtId="0" fontId="12" fillId="3" borderId="89" xfId="32" applyFont="1" applyFill="1" applyBorder="1" applyAlignment="1">
      <alignment vertical="center"/>
    </xf>
    <xf numFmtId="0" fontId="12" fillId="3" borderId="91" xfId="32" applyFont="1" applyFill="1" applyBorder="1" applyAlignment="1">
      <alignment vertical="center"/>
    </xf>
    <xf numFmtId="0" fontId="346" fillId="3" borderId="384" xfId="1" applyFont="1" applyFill="1" applyBorder="1" applyAlignment="1">
      <alignment vertical="center"/>
    </xf>
    <xf numFmtId="0" fontId="56" fillId="3" borderId="294" xfId="0" applyFont="1" applyFill="1" applyBorder="1" applyAlignment="1">
      <alignment horizontal="center" vertical="center"/>
    </xf>
    <xf numFmtId="0" fontId="347" fillId="3" borderId="294" xfId="1" applyFont="1" applyFill="1" applyBorder="1" applyAlignment="1">
      <alignment vertical="center"/>
    </xf>
    <xf numFmtId="0" fontId="347" fillId="3" borderId="358" xfId="1" applyFont="1" applyFill="1" applyBorder="1" applyAlignment="1">
      <alignment vertical="center"/>
    </xf>
    <xf numFmtId="0" fontId="174" fillId="3" borderId="294" xfId="32" applyFont="1" applyFill="1" applyBorder="1" applyAlignment="1">
      <alignment horizontal="center" vertical="center" wrapText="1"/>
    </xf>
    <xf numFmtId="0" fontId="279" fillId="3" borderId="0" xfId="32" applyFont="1" applyFill="1" applyAlignment="1">
      <alignment horizontal="center" vertical="center" wrapText="1"/>
    </xf>
    <xf numFmtId="0" fontId="174" fillId="3" borderId="0" xfId="32" applyFont="1" applyFill="1" applyAlignment="1">
      <alignment horizontal="center" vertical="center" wrapText="1"/>
    </xf>
    <xf numFmtId="165" fontId="67" fillId="3" borderId="30" xfId="32" applyNumberFormat="1" applyFont="1" applyFill="1" applyBorder="1" applyAlignment="1">
      <alignment horizontal="center" vertical="center"/>
    </xf>
    <xf numFmtId="165" fontId="354" fillId="3" borderId="0" xfId="32" applyNumberFormat="1" applyFont="1" applyFill="1" applyAlignment="1">
      <alignment horizontal="left" vertical="center"/>
    </xf>
    <xf numFmtId="0" fontId="36" fillId="3" borderId="294" xfId="1" applyFont="1" applyFill="1" applyBorder="1" applyAlignment="1">
      <alignment vertical="center"/>
    </xf>
    <xf numFmtId="165" fontId="354" fillId="3" borderId="20" xfId="32" applyNumberFormat="1" applyFont="1" applyFill="1" applyBorder="1" applyAlignment="1">
      <alignment horizontal="left" vertical="center"/>
    </xf>
    <xf numFmtId="0" fontId="357" fillId="3" borderId="0" xfId="32" applyFont="1" applyFill="1" applyAlignment="1">
      <alignment horizontal="center" vertical="center" wrapText="1"/>
    </xf>
    <xf numFmtId="0" fontId="365" fillId="12" borderId="0" xfId="32" applyFont="1" applyFill="1" applyAlignment="1">
      <alignment horizontal="center" vertical="center"/>
    </xf>
    <xf numFmtId="0" fontId="1" fillId="12" borderId="0" xfId="0" applyFont="1" applyFill="1"/>
    <xf numFmtId="0" fontId="24" fillId="3" borderId="0" xfId="32" applyFont="1" applyFill="1" applyAlignment="1">
      <alignment vertical="center"/>
    </xf>
    <xf numFmtId="0" fontId="0" fillId="3" borderId="358" xfId="0" applyFill="1" applyBorder="1" applyAlignment="1">
      <alignment horizontal="center" vertical="center" textRotation="90"/>
    </xf>
    <xf numFmtId="0" fontId="61" fillId="3" borderId="294" xfId="1" applyFont="1" applyFill="1" applyBorder="1"/>
    <xf numFmtId="0" fontId="36" fillId="3" borderId="294" xfId="1" applyFont="1" applyFill="1" applyBorder="1"/>
    <xf numFmtId="0" fontId="1" fillId="3" borderId="5" xfId="0" applyFont="1" applyFill="1" applyBorder="1"/>
    <xf numFmtId="0" fontId="1" fillId="3" borderId="0" xfId="0" applyFont="1" applyFill="1"/>
    <xf numFmtId="165" fontId="61" fillId="5" borderId="294" xfId="32" applyNumberFormat="1" applyFont="1" applyFill="1" applyBorder="1" applyAlignment="1">
      <alignment horizontal="center" vertical="center"/>
    </xf>
    <xf numFmtId="165" fontId="61" fillId="5" borderId="60" xfId="32" applyNumberFormat="1" applyFont="1" applyFill="1" applyBorder="1" applyAlignment="1">
      <alignment horizontal="center" vertical="center"/>
    </xf>
    <xf numFmtId="0" fontId="34" fillId="3" borderId="385" xfId="1" applyFont="1" applyFill="1" applyBorder="1" applyAlignment="1">
      <alignment horizontal="center" vertical="center"/>
    </xf>
    <xf numFmtId="0" fontId="37" fillId="3" borderId="386" xfId="1" applyFont="1" applyFill="1" applyBorder="1" applyAlignment="1">
      <alignment horizontal="center" vertical="center"/>
    </xf>
    <xf numFmtId="0" fontId="37" fillId="3" borderId="387" xfId="1" applyFont="1" applyFill="1" applyBorder="1" applyAlignment="1">
      <alignment horizontal="center" vertical="center"/>
    </xf>
    <xf numFmtId="0" fontId="34" fillId="22" borderId="388" xfId="1" applyFont="1" applyFill="1" applyBorder="1" applyAlignment="1">
      <alignment horizontal="center" vertical="center"/>
    </xf>
    <xf numFmtId="0" fontId="15" fillId="3" borderId="163" xfId="1" applyFont="1" applyFill="1" applyBorder="1" applyAlignment="1">
      <alignment horizontal="center" vertical="center"/>
    </xf>
    <xf numFmtId="0" fontId="15" fillId="3" borderId="388" xfId="1" applyFont="1" applyFill="1" applyBorder="1" applyAlignment="1">
      <alignment horizontal="center" vertical="center"/>
    </xf>
    <xf numFmtId="0" fontId="34" fillId="22" borderId="163" xfId="1" applyFont="1" applyFill="1" applyBorder="1" applyAlignment="1">
      <alignment horizontal="center" vertical="center"/>
    </xf>
    <xf numFmtId="0" fontId="15" fillId="3" borderId="382" xfId="1" applyFont="1" applyFill="1" applyBorder="1" applyAlignment="1">
      <alignment horizontal="center" vertical="center"/>
    </xf>
    <xf numFmtId="0" fontId="15" fillId="3" borderId="299" xfId="1" applyFont="1" applyFill="1" applyBorder="1" applyAlignment="1">
      <alignment horizontal="center" vertical="center"/>
    </xf>
    <xf numFmtId="0" fontId="34" fillId="22" borderId="383" xfId="1" applyFont="1" applyFill="1" applyBorder="1" applyAlignment="1">
      <alignment horizontal="center" vertical="center"/>
    </xf>
    <xf numFmtId="49" fontId="4" fillId="3" borderId="294" xfId="2" applyNumberFormat="1" applyFill="1" applyBorder="1" applyAlignment="1">
      <alignment horizontal="center" vertical="center"/>
    </xf>
    <xf numFmtId="0" fontId="290" fillId="25" borderId="354" xfId="21" applyFont="1" applyFill="1" applyBorder="1" applyAlignment="1">
      <alignment horizontal="center" vertical="center"/>
    </xf>
    <xf numFmtId="0" fontId="291" fillId="25" borderId="299" xfId="21" applyFont="1" applyFill="1" applyBorder="1" applyAlignment="1" applyProtection="1">
      <alignment horizontal="center" vertical="center"/>
      <protection locked="0"/>
    </xf>
    <xf numFmtId="0" fontId="291" fillId="25" borderId="300" xfId="21" applyFont="1" applyFill="1" applyBorder="1" applyAlignment="1" applyProtection="1">
      <alignment horizontal="center" vertical="center"/>
      <protection locked="0"/>
    </xf>
    <xf numFmtId="0" fontId="292" fillId="53" borderId="301" xfId="21" applyFont="1" applyFill="1" applyBorder="1" applyAlignment="1" applyProtection="1">
      <alignment horizontal="center" vertical="center"/>
      <protection locked="0"/>
    </xf>
    <xf numFmtId="1" fontId="13" fillId="0" borderId="301" xfId="21" applyNumberFormat="1" applyFont="1" applyBorder="1" applyAlignment="1">
      <alignment horizontal="center" vertical="center"/>
    </xf>
    <xf numFmtId="0" fontId="13" fillId="0" borderId="301" xfId="21" applyFont="1" applyBorder="1" applyAlignment="1">
      <alignment horizontal="center" vertical="center"/>
    </xf>
    <xf numFmtId="203" fontId="13" fillId="0" borderId="302" xfId="21" applyNumberFormat="1" applyFont="1" applyBorder="1" applyAlignment="1" applyProtection="1">
      <alignment horizontal="center" vertical="center"/>
      <protection locked="0"/>
    </xf>
    <xf numFmtId="0" fontId="13" fillId="0" borderId="303" xfId="21" applyFont="1" applyBorder="1" applyAlignment="1">
      <alignment horizontal="center" vertical="center"/>
    </xf>
    <xf numFmtId="0" fontId="39" fillId="25" borderId="304" xfId="21" applyFont="1" applyFill="1" applyBorder="1" applyAlignment="1">
      <alignment horizontal="center" vertical="center"/>
    </xf>
    <xf numFmtId="0" fontId="7" fillId="1" borderId="294" xfId="1" applyFill="1" applyBorder="1" applyAlignment="1">
      <alignment vertical="center"/>
    </xf>
    <xf numFmtId="0" fontId="7" fillId="3" borderId="294" xfId="1" applyFill="1" applyBorder="1" applyAlignment="1">
      <alignment horizontal="center" vertical="center"/>
    </xf>
    <xf numFmtId="171" fontId="7" fillId="0" borderId="294" xfId="2" applyNumberFormat="1" applyFont="1" applyBorder="1" applyAlignment="1" applyProtection="1">
      <alignment horizontal="center" vertical="center" wrapText="1"/>
      <protection locked="0"/>
    </xf>
    <xf numFmtId="174" fontId="7" fillId="0" borderId="294" xfId="4" applyNumberFormat="1" applyFont="1" applyBorder="1" applyAlignment="1">
      <alignment horizontal="center" vertical="center"/>
    </xf>
    <xf numFmtId="0" fontId="314" fillId="3" borderId="383" xfId="1" applyFont="1" applyFill="1" applyBorder="1" applyAlignment="1" applyProtection="1">
      <alignment horizontal="right" vertical="center"/>
      <protection hidden="1"/>
    </xf>
    <xf numFmtId="0" fontId="1" fillId="3" borderId="0" xfId="0" applyFont="1" applyFill="1" applyAlignment="1" applyProtection="1">
      <alignment horizontal="left" vertical="center"/>
      <protection locked="0"/>
    </xf>
    <xf numFmtId="0" fontId="56" fillId="3" borderId="294" xfId="0" applyFont="1" applyFill="1" applyBorder="1" applyAlignment="1" applyProtection="1">
      <alignment horizontal="left" vertical="center"/>
      <protection locked="0"/>
    </xf>
    <xf numFmtId="0" fontId="34" fillId="3" borderId="301" xfId="0" applyFont="1" applyFill="1" applyBorder="1" applyAlignment="1">
      <alignment horizontal="center" vertical="center" wrapText="1"/>
    </xf>
    <xf numFmtId="0" fontId="316" fillId="22" borderId="302" xfId="1" applyFont="1" applyFill="1" applyBorder="1" applyAlignment="1">
      <alignment horizontal="center" vertical="center"/>
    </xf>
    <xf numFmtId="0" fontId="322" fillId="3" borderId="303" xfId="1" applyFont="1" applyFill="1" applyBorder="1" applyAlignment="1" applyProtection="1">
      <alignment horizontal="left"/>
      <protection hidden="1"/>
    </xf>
    <xf numFmtId="0" fontId="34" fillId="3" borderId="303" xfId="0" applyFont="1" applyFill="1" applyBorder="1" applyAlignment="1">
      <alignment horizontal="center" vertical="center" wrapText="1"/>
    </xf>
    <xf numFmtId="0" fontId="34" fillId="3" borderId="304" xfId="0" applyFont="1" applyFill="1" applyBorder="1" applyAlignment="1">
      <alignment horizontal="center" vertical="center" wrapText="1"/>
    </xf>
    <xf numFmtId="0" fontId="316" fillId="3" borderId="310" xfId="1" applyFont="1" applyFill="1" applyBorder="1" applyAlignment="1">
      <alignment horizontal="center" vertical="center"/>
    </xf>
    <xf numFmtId="0" fontId="8" fillId="3" borderId="303" xfId="0" applyFont="1" applyFill="1" applyBorder="1" applyAlignment="1">
      <alignment horizontal="center" vertical="center"/>
    </xf>
    <xf numFmtId="0" fontId="315" fillId="3" borderId="303" xfId="1" applyFont="1" applyFill="1" applyBorder="1" applyAlignment="1">
      <alignment horizontal="center" vertical="center"/>
    </xf>
    <xf numFmtId="0" fontId="316" fillId="3" borderId="303" xfId="1" applyFont="1" applyFill="1" applyBorder="1" applyAlignment="1">
      <alignment horizontal="center" vertical="center"/>
    </xf>
    <xf numFmtId="0" fontId="8" fillId="3" borderId="305" xfId="0" applyFont="1" applyFill="1" applyBorder="1" applyAlignment="1">
      <alignment horizontal="center" vertical="center"/>
    </xf>
    <xf numFmtId="167" fontId="323" fillId="59" borderId="299" xfId="0" applyNumberFormat="1" applyFont="1" applyFill="1" applyBorder="1" applyAlignment="1">
      <alignment horizontal="center" vertical="center"/>
    </xf>
    <xf numFmtId="9" fontId="0" fillId="3" borderId="299" xfId="0" applyNumberFormat="1" applyFill="1" applyBorder="1" applyAlignment="1">
      <alignment horizontal="center" vertical="center"/>
    </xf>
    <xf numFmtId="0" fontId="0" fillId="3" borderId="299" xfId="0" applyFill="1" applyBorder="1"/>
    <xf numFmtId="166" fontId="0" fillId="0" borderId="299" xfId="0" applyNumberFormat="1" applyBorder="1" applyAlignment="1">
      <alignment horizontal="center"/>
    </xf>
    <xf numFmtId="166" fontId="0" fillId="0" borderId="383" xfId="0" applyNumberFormat="1" applyBorder="1" applyAlignment="1">
      <alignment horizontal="center"/>
    </xf>
    <xf numFmtId="0" fontId="44" fillId="3" borderId="294" xfId="0" applyFont="1" applyFill="1" applyBorder="1" applyAlignment="1">
      <alignment horizontal="left" vertical="center"/>
    </xf>
    <xf numFmtId="0" fontId="14" fillId="3" borderId="294" xfId="0" applyFont="1" applyFill="1" applyBorder="1" applyAlignment="1">
      <alignment horizontal="center" vertical="center"/>
    </xf>
    <xf numFmtId="206" fontId="311" fillId="3" borderId="294" xfId="0" applyNumberFormat="1" applyFont="1" applyFill="1" applyBorder="1" applyAlignment="1">
      <alignment horizontal="center" vertical="center"/>
    </xf>
    <xf numFmtId="166" fontId="315" fillId="6" borderId="294" xfId="0" applyNumberFormat="1" applyFont="1" applyFill="1" applyBorder="1" applyAlignment="1">
      <alignment horizontal="center" vertical="center"/>
    </xf>
    <xf numFmtId="166" fontId="315" fillId="3" borderId="310" xfId="0" applyNumberFormat="1" applyFont="1" applyFill="1" applyBorder="1" applyAlignment="1">
      <alignment horizontal="center" vertical="center"/>
    </xf>
    <xf numFmtId="0" fontId="0" fillId="3" borderId="303" xfId="0" applyFill="1" applyBorder="1"/>
    <xf numFmtId="166" fontId="315" fillId="3" borderId="303" xfId="0" applyNumberFormat="1" applyFont="1" applyFill="1" applyBorder="1" applyAlignment="1">
      <alignment horizontal="center" vertical="center"/>
    </xf>
    <xf numFmtId="0" fontId="315" fillId="3" borderId="305" xfId="1" applyFont="1" applyFill="1" applyBorder="1" applyAlignment="1">
      <alignment horizontal="center" vertical="center"/>
    </xf>
    <xf numFmtId="0" fontId="174" fillId="3" borderId="294" xfId="1" applyFont="1" applyFill="1" applyBorder="1" applyAlignment="1">
      <alignment vertical="center"/>
    </xf>
    <xf numFmtId="0" fontId="314" fillId="3" borderId="294" xfId="1" applyFont="1" applyFill="1" applyBorder="1" applyAlignment="1" applyProtection="1">
      <alignment horizontal="right" vertical="center"/>
      <protection hidden="1"/>
    </xf>
    <xf numFmtId="183" fontId="79" fillId="15" borderId="301" xfId="2" applyNumberFormat="1" applyFont="1" applyFill="1" applyBorder="1" applyAlignment="1" applyProtection="1">
      <alignment horizontal="center" vertical="center"/>
      <protection locked="0"/>
    </xf>
    <xf numFmtId="183" fontId="136" fillId="15" borderId="294" xfId="2" applyNumberFormat="1" applyFont="1" applyFill="1" applyBorder="1" applyAlignment="1" applyProtection="1">
      <alignment horizontal="center" vertical="center"/>
      <protection locked="0"/>
    </xf>
    <xf numFmtId="184" fontId="136" fillId="15" borderId="301" xfId="2" applyNumberFormat="1" applyFont="1" applyFill="1" applyBorder="1" applyAlignment="1" applyProtection="1">
      <alignment horizontal="center" vertical="center"/>
      <protection locked="0"/>
    </xf>
    <xf numFmtId="183" fontId="136" fillId="15" borderId="301" xfId="2" applyNumberFormat="1" applyFont="1" applyFill="1" applyBorder="1" applyAlignment="1" applyProtection="1">
      <alignment horizontal="center" vertical="center"/>
      <protection locked="0"/>
    </xf>
    <xf numFmtId="183" fontId="79" fillId="15" borderId="294" xfId="2" applyNumberFormat="1" applyFont="1" applyFill="1" applyBorder="1" applyAlignment="1" applyProtection="1">
      <alignment horizontal="center" vertical="center"/>
      <protection locked="0"/>
    </xf>
    <xf numFmtId="183" fontId="61" fillId="3" borderId="301" xfId="2" applyNumberFormat="1" applyFont="1" applyFill="1" applyBorder="1" applyAlignment="1" applyProtection="1">
      <alignment horizontal="center" vertical="center"/>
      <protection locked="0"/>
    </xf>
    <xf numFmtId="183" fontId="61" fillId="3" borderId="294" xfId="2" applyNumberFormat="1" applyFont="1" applyFill="1" applyBorder="1" applyAlignment="1" applyProtection="1">
      <alignment horizontal="center" vertical="center"/>
      <protection locked="0"/>
    </xf>
    <xf numFmtId="184" fontId="61" fillId="3" borderId="301" xfId="2" applyNumberFormat="1" applyFont="1" applyFill="1" applyBorder="1" applyAlignment="1" applyProtection="1">
      <alignment horizontal="center" vertical="center"/>
      <protection locked="0"/>
    </xf>
    <xf numFmtId="184" fontId="61" fillId="3" borderId="294" xfId="2" applyNumberFormat="1" applyFont="1" applyFill="1" applyBorder="1" applyAlignment="1" applyProtection="1">
      <alignment horizontal="center" vertical="center"/>
      <protection locked="0"/>
    </xf>
    <xf numFmtId="0" fontId="7" fillId="12" borderId="291" xfId="2" applyFont="1" applyFill="1" applyBorder="1" applyAlignment="1" applyProtection="1">
      <alignment horizontal="right" vertical="center"/>
      <protection locked="0"/>
    </xf>
    <xf numFmtId="183" fontId="61" fillId="12" borderId="291" xfId="2" applyNumberFormat="1" applyFont="1" applyFill="1" applyBorder="1" applyAlignment="1" applyProtection="1">
      <alignment horizontal="center" vertical="center"/>
      <protection locked="0"/>
    </xf>
    <xf numFmtId="0" fontId="7" fillId="12" borderId="291" xfId="1" applyFill="1" applyBorder="1" applyProtection="1">
      <protection hidden="1"/>
    </xf>
    <xf numFmtId="0" fontId="61" fillId="12" borderId="291" xfId="2" applyFont="1" applyFill="1" applyBorder="1" applyAlignment="1" applyProtection="1">
      <alignment horizontal="right" vertical="center"/>
      <protection locked="0"/>
    </xf>
    <xf numFmtId="184" fontId="61" fillId="12" borderId="291" xfId="2" applyNumberFormat="1" applyFont="1" applyFill="1" applyBorder="1" applyAlignment="1" applyProtection="1">
      <alignment horizontal="center" vertical="center"/>
      <protection locked="0"/>
    </xf>
    <xf numFmtId="172" fontId="55" fillId="15" borderId="301" xfId="2" applyNumberFormat="1" applyFont="1" applyFill="1" applyBorder="1" applyAlignment="1" applyProtection="1">
      <alignment horizontal="center" vertical="center"/>
      <protection locked="0"/>
    </xf>
    <xf numFmtId="0" fontId="61" fillId="3" borderId="310" xfId="2" applyFont="1" applyFill="1" applyBorder="1" applyAlignment="1" applyProtection="1">
      <alignment horizontal="left" vertical="center"/>
      <protection locked="0"/>
    </xf>
    <xf numFmtId="0" fontId="61" fillId="3" borderId="303" xfId="2" applyFont="1" applyFill="1" applyBorder="1" applyAlignment="1" applyProtection="1">
      <alignment horizontal="right" vertical="center"/>
      <protection locked="0"/>
    </xf>
    <xf numFmtId="184" fontId="61" fillId="3" borderId="304" xfId="2" applyNumberFormat="1" applyFont="1" applyFill="1" applyBorder="1" applyAlignment="1" applyProtection="1">
      <alignment horizontal="center" vertical="center"/>
      <protection locked="0"/>
    </xf>
    <xf numFmtId="0" fontId="7" fillId="3" borderId="303" xfId="2" applyFont="1" applyFill="1" applyBorder="1" applyAlignment="1" applyProtection="1">
      <alignment horizontal="right" vertical="center"/>
      <protection locked="0"/>
    </xf>
    <xf numFmtId="183" fontId="61" fillId="3" borderId="304" xfId="2" applyNumberFormat="1" applyFont="1" applyFill="1" applyBorder="1" applyAlignment="1" applyProtection="1">
      <alignment horizontal="center" vertical="center"/>
      <protection locked="0"/>
    </xf>
    <xf numFmtId="184" fontId="61" fillId="3" borderId="305" xfId="2" applyNumberFormat="1" applyFont="1" applyFill="1" applyBorder="1" applyAlignment="1" applyProtection="1">
      <alignment horizontal="center" vertical="center"/>
      <protection locked="0"/>
    </xf>
    <xf numFmtId="0" fontId="43" fillId="4" borderId="389" xfId="7" applyFont="1" applyFill="1" applyBorder="1" applyAlignment="1" applyProtection="1">
      <alignment horizontal="left" vertical="center"/>
      <protection locked="0"/>
    </xf>
    <xf numFmtId="0" fontId="13" fillId="4" borderId="163" xfId="7" applyFont="1" applyFill="1" applyBorder="1" applyAlignment="1" applyProtection="1">
      <alignment horizontal="centerContinuous" vertical="center"/>
      <protection locked="0"/>
    </xf>
    <xf numFmtId="0" fontId="13" fillId="4" borderId="162" xfId="7" applyFont="1" applyFill="1" applyBorder="1" applyAlignment="1" applyProtection="1">
      <alignment horizontal="right" vertical="center"/>
      <protection locked="0"/>
    </xf>
    <xf numFmtId="167" fontId="38" fillId="2" borderId="301" xfId="0" applyNumberFormat="1" applyFont="1" applyFill="1" applyBorder="1" applyAlignment="1" applyProtection="1">
      <alignment horizontal="center" vertical="center"/>
      <protection locked="0"/>
    </xf>
    <xf numFmtId="0" fontId="42" fillId="8" borderId="354" xfId="0" applyFont="1" applyFill="1" applyBorder="1" applyAlignment="1" applyProtection="1">
      <alignment horizontal="right" vertical="center"/>
      <protection locked="0"/>
    </xf>
    <xf numFmtId="176" fontId="38" fillId="15" borderId="301" xfId="0" applyNumberFormat="1" applyFont="1" applyFill="1" applyBorder="1" applyAlignment="1" applyProtection="1">
      <alignment horizontal="center" vertical="center"/>
      <protection locked="0"/>
    </xf>
    <xf numFmtId="167" fontId="39" fillId="15" borderId="301" xfId="0" applyNumberFormat="1" applyFont="1" applyFill="1" applyBorder="1" applyAlignment="1" applyProtection="1">
      <alignment horizontal="center" vertical="center"/>
      <protection locked="0"/>
    </xf>
    <xf numFmtId="172" fontId="39" fillId="15" borderId="301" xfId="0" applyNumberFormat="1" applyFont="1" applyFill="1" applyBorder="1" applyAlignment="1" applyProtection="1">
      <alignment horizontal="center" vertical="center"/>
      <protection locked="0"/>
    </xf>
    <xf numFmtId="176" fontId="39" fillId="15" borderId="301" xfId="0" applyNumberFormat="1" applyFont="1" applyFill="1" applyBorder="1" applyAlignment="1" applyProtection="1">
      <alignment horizontal="center" vertical="center"/>
      <protection locked="0"/>
    </xf>
    <xf numFmtId="167" fontId="24" fillId="8" borderId="301" xfId="0" applyNumberFormat="1" applyFont="1" applyFill="1" applyBorder="1" applyAlignment="1" applyProtection="1">
      <alignment horizontal="center" vertical="center"/>
      <protection locked="0"/>
    </xf>
    <xf numFmtId="169" fontId="24" fillId="8" borderId="301" xfId="0" applyNumberFormat="1" applyFont="1" applyFill="1" applyBorder="1" applyAlignment="1" applyProtection="1">
      <alignment horizontal="center" vertical="center"/>
      <protection locked="0"/>
    </xf>
    <xf numFmtId="176" fontId="24" fillId="8" borderId="301" xfId="0" applyNumberFormat="1" applyFont="1" applyFill="1" applyBorder="1" applyAlignment="1" applyProtection="1">
      <alignment horizontal="center" vertical="center"/>
      <protection locked="0"/>
    </xf>
    <xf numFmtId="0" fontId="24" fillId="8" borderId="302" xfId="0" applyFont="1" applyFill="1" applyBorder="1" applyAlignment="1" applyProtection="1">
      <alignment horizontal="right" vertical="center"/>
      <protection locked="0"/>
    </xf>
    <xf numFmtId="166" fontId="24" fillId="8" borderId="304" xfId="0" applyNumberFormat="1" applyFont="1" applyFill="1" applyBorder="1" applyAlignment="1" applyProtection="1">
      <alignment horizontal="center" vertical="center"/>
      <protection locked="0"/>
    </xf>
    <xf numFmtId="171" fontId="24" fillId="8" borderId="304" xfId="0" applyNumberFormat="1" applyFont="1" applyFill="1" applyBorder="1" applyAlignment="1" applyProtection="1">
      <alignment horizontal="center" vertical="center"/>
      <protection locked="0"/>
    </xf>
    <xf numFmtId="0" fontId="40" fillId="8" borderId="299" xfId="0" applyFont="1" applyFill="1" applyBorder="1" applyAlignment="1" applyProtection="1">
      <alignment horizontal="right" vertical="center"/>
      <protection locked="0"/>
    </xf>
    <xf numFmtId="0" fontId="40" fillId="8" borderId="354" xfId="0" applyFont="1" applyFill="1" applyBorder="1" applyAlignment="1" applyProtection="1">
      <alignment horizontal="right" vertical="center"/>
      <protection locked="0"/>
    </xf>
    <xf numFmtId="167" fontId="39" fillId="15" borderId="300" xfId="0" applyNumberFormat="1" applyFont="1" applyFill="1" applyBorder="1" applyAlignment="1" applyProtection="1">
      <alignment horizontal="center" vertical="center"/>
      <protection locked="0"/>
    </xf>
    <xf numFmtId="176" fontId="84" fillId="15" borderId="301" xfId="0" applyNumberFormat="1" applyFont="1" applyFill="1" applyBorder="1" applyAlignment="1" applyProtection="1">
      <alignment horizontal="center" vertical="center"/>
      <protection locked="0"/>
    </xf>
    <xf numFmtId="176" fontId="84" fillId="15" borderId="300" xfId="0" applyNumberFormat="1" applyFont="1" applyFill="1" applyBorder="1" applyAlignment="1" applyProtection="1">
      <alignment horizontal="center" vertical="center"/>
      <protection locked="0"/>
    </xf>
    <xf numFmtId="172" fontId="37" fillId="15" borderId="301" xfId="0" applyNumberFormat="1" applyFont="1" applyFill="1" applyBorder="1" applyAlignment="1" applyProtection="1">
      <alignment horizontal="center" vertical="center"/>
      <protection locked="0"/>
    </xf>
    <xf numFmtId="176" fontId="37" fillId="15" borderId="301" xfId="0" applyNumberFormat="1" applyFont="1" applyFill="1" applyBorder="1" applyAlignment="1" applyProtection="1">
      <alignment horizontal="center" vertical="center"/>
      <protection locked="0"/>
    </xf>
    <xf numFmtId="169" fontId="24" fillId="8" borderId="304" xfId="0" applyNumberFormat="1" applyFont="1" applyFill="1" applyBorder="1" applyAlignment="1" applyProtection="1">
      <alignment horizontal="center" vertical="center"/>
      <protection locked="0"/>
    </xf>
    <xf numFmtId="176" fontId="24" fillId="8" borderId="304" xfId="0" applyNumberFormat="1" applyFont="1" applyFill="1" applyBorder="1" applyAlignment="1" applyProtection="1">
      <alignment horizontal="center" vertical="center"/>
      <protection locked="0"/>
    </xf>
    <xf numFmtId="185" fontId="39" fillId="15" borderId="294" xfId="0" applyNumberFormat="1" applyFont="1" applyFill="1" applyBorder="1" applyAlignment="1" applyProtection="1">
      <alignment horizontal="center" vertical="center"/>
      <protection locked="0"/>
    </xf>
    <xf numFmtId="185" fontId="77" fillId="15" borderId="294" xfId="0" applyNumberFormat="1" applyFont="1" applyFill="1" applyBorder="1" applyAlignment="1" applyProtection="1">
      <alignment horizontal="center" vertical="center"/>
      <protection locked="0"/>
    </xf>
    <xf numFmtId="172" fontId="37" fillId="15" borderId="294" xfId="0" applyNumberFormat="1" applyFont="1" applyFill="1" applyBorder="1" applyAlignment="1" applyProtection="1">
      <alignment horizontal="center" vertical="center"/>
      <protection locked="0"/>
    </xf>
    <xf numFmtId="172" fontId="184" fillId="15" borderId="294" xfId="0" applyNumberFormat="1" applyFont="1" applyFill="1" applyBorder="1" applyAlignment="1" applyProtection="1">
      <alignment horizontal="center" vertical="center"/>
      <protection locked="0"/>
    </xf>
    <xf numFmtId="188" fontId="24" fillId="3" borderId="294" xfId="0" applyNumberFormat="1" applyFont="1" applyFill="1" applyBorder="1" applyAlignment="1" applyProtection="1">
      <alignment horizontal="center" vertical="center"/>
      <protection locked="0"/>
    </xf>
    <xf numFmtId="2" fontId="15" fillId="8" borderId="294" xfId="0" applyNumberFormat="1" applyFont="1" applyFill="1" applyBorder="1" applyAlignment="1" applyProtection="1">
      <alignment horizontal="center" vertical="center"/>
      <protection locked="0"/>
    </xf>
    <xf numFmtId="170" fontId="24" fillId="8" borderId="294" xfId="0" applyNumberFormat="1" applyFont="1" applyFill="1" applyBorder="1" applyAlignment="1" applyProtection="1">
      <alignment horizontal="center" vertical="center"/>
      <protection locked="0"/>
    </xf>
    <xf numFmtId="0" fontId="15" fillId="8" borderId="358" xfId="0" applyFont="1" applyFill="1" applyBorder="1" applyAlignment="1" applyProtection="1">
      <alignment horizontal="right" vertical="center"/>
      <protection locked="0"/>
    </xf>
    <xf numFmtId="188" fontId="15" fillId="3" borderId="294" xfId="0" applyNumberFormat="1" applyFont="1" applyFill="1" applyBorder="1" applyAlignment="1" applyProtection="1">
      <alignment horizontal="center" vertical="center"/>
      <protection locked="0"/>
    </xf>
    <xf numFmtId="185" fontId="85" fillId="15" borderId="294" xfId="0" applyNumberFormat="1" applyFont="1" applyFill="1" applyBorder="1" applyAlignment="1" applyProtection="1">
      <alignment horizontal="center" vertical="center"/>
      <protection locked="0"/>
    </xf>
    <xf numFmtId="172" fontId="187" fillId="15" borderId="294" xfId="0" applyNumberFormat="1" applyFont="1" applyFill="1" applyBorder="1" applyAlignment="1" applyProtection="1">
      <alignment horizontal="center" vertical="center"/>
      <protection locked="0"/>
    </xf>
    <xf numFmtId="170" fontId="24" fillId="8" borderId="358" xfId="0" applyNumberFormat="1" applyFont="1" applyFill="1" applyBorder="1" applyAlignment="1" applyProtection="1">
      <alignment horizontal="center" vertical="center"/>
      <protection locked="0"/>
    </xf>
    <xf numFmtId="185" fontId="136" fillId="15" borderId="294" xfId="0" applyNumberFormat="1" applyFont="1" applyFill="1" applyBorder="1" applyAlignment="1" applyProtection="1">
      <alignment horizontal="center" vertical="center"/>
      <protection locked="0"/>
    </xf>
    <xf numFmtId="2" fontId="15" fillId="8" borderId="358" xfId="0" applyNumberFormat="1" applyFont="1" applyFill="1" applyBorder="1" applyAlignment="1" applyProtection="1">
      <alignment horizontal="center" vertical="center"/>
      <protection locked="0"/>
    </xf>
    <xf numFmtId="165" fontId="151" fillId="8" borderId="391" xfId="4" applyNumberFormat="1" applyFont="1" applyFill="1" applyBorder="1" applyAlignment="1">
      <alignment horizontal="center" vertical="center"/>
    </xf>
    <xf numFmtId="204" fontId="7" fillId="55" borderId="294" xfId="0" applyNumberFormat="1" applyFont="1" applyFill="1" applyBorder="1" applyAlignment="1">
      <alignment horizontal="centerContinuous" vertical="center" wrapText="1"/>
    </xf>
    <xf numFmtId="189" fontId="15" fillId="12" borderId="392" xfId="0" applyNumberFormat="1" applyFont="1" applyFill="1" applyBorder="1" applyAlignment="1" applyProtection="1">
      <alignment horizontal="center" vertical="center"/>
      <protection locked="0"/>
    </xf>
    <xf numFmtId="189" fontId="15" fillId="12" borderId="294" xfId="0" applyNumberFormat="1" applyFont="1" applyFill="1" applyBorder="1" applyAlignment="1" applyProtection="1">
      <alignment horizontal="center" vertical="center"/>
      <protection locked="0"/>
    </xf>
    <xf numFmtId="0" fontId="7" fillId="3" borderId="301" xfId="1" applyFill="1" applyBorder="1" applyProtection="1">
      <protection hidden="1"/>
    </xf>
    <xf numFmtId="0" fontId="4" fillId="3" borderId="302" xfId="2" applyFill="1" applyBorder="1" applyAlignment="1">
      <alignment vertical="center"/>
    </xf>
    <xf numFmtId="0" fontId="4" fillId="3" borderId="303" xfId="2" applyFill="1" applyBorder="1"/>
    <xf numFmtId="9" fontId="4" fillId="3" borderId="303" xfId="2" applyNumberFormat="1" applyFill="1" applyBorder="1" applyAlignment="1">
      <alignment vertical="center"/>
    </xf>
    <xf numFmtId="0" fontId="4" fillId="3" borderId="303" xfId="2" applyFill="1" applyBorder="1" applyAlignment="1">
      <alignment vertical="center"/>
    </xf>
    <xf numFmtId="0" fontId="7" fillId="3" borderId="303" xfId="1" applyFill="1" applyBorder="1" applyProtection="1">
      <protection hidden="1"/>
    </xf>
    <xf numFmtId="0" fontId="7" fillId="3" borderId="304" xfId="1" applyFill="1" applyBorder="1" applyProtection="1">
      <protection hidden="1"/>
    </xf>
    <xf numFmtId="0" fontId="96" fillId="3" borderId="294" xfId="12" applyFont="1" applyFill="1" applyBorder="1" applyAlignment="1">
      <alignment horizontal="center" vertical="center"/>
    </xf>
    <xf numFmtId="174" fontId="13" fillId="3" borderId="294" xfId="4" applyNumberFormat="1" applyFont="1" applyFill="1" applyBorder="1" applyAlignment="1">
      <alignment vertical="center"/>
    </xf>
    <xf numFmtId="175" fontId="70" fillId="3" borderId="294" xfId="12" applyNumberFormat="1" applyFont="1" applyFill="1" applyBorder="1" applyAlignment="1" applyProtection="1">
      <alignment horizontal="center" vertical="center"/>
      <protection locked="0"/>
    </xf>
    <xf numFmtId="0" fontId="76" fillId="3" borderId="294" xfId="4" applyFont="1" applyFill="1" applyBorder="1" applyAlignment="1">
      <alignment horizontal="center" vertical="center"/>
    </xf>
    <xf numFmtId="0" fontId="4" fillId="3" borderId="294" xfId="2" applyFill="1" applyBorder="1"/>
    <xf numFmtId="1" fontId="85" fillId="15" borderId="294" xfId="4" applyNumberFormat="1" applyFont="1" applyFill="1" applyBorder="1" applyAlignment="1">
      <alignment horizontal="center" vertical="center"/>
    </xf>
    <xf numFmtId="170" fontId="8" fillId="3" borderId="294" xfId="4" applyNumberFormat="1" applyFont="1" applyFill="1" applyBorder="1" applyAlignment="1">
      <alignment horizontal="center" vertical="center"/>
    </xf>
    <xf numFmtId="170" fontId="85" fillId="3" borderId="294" xfId="4" applyNumberFormat="1" applyFont="1" applyFill="1" applyBorder="1" applyAlignment="1">
      <alignment horizontal="center" vertical="center"/>
    </xf>
    <xf numFmtId="171" fontId="85" fillId="15" borderId="294" xfId="4" applyNumberFormat="1" applyFont="1" applyFill="1" applyBorder="1" applyAlignment="1">
      <alignment horizontal="center" vertical="center"/>
    </xf>
    <xf numFmtId="171" fontId="92" fillId="3" borderId="358" xfId="2" applyNumberFormat="1" applyFont="1" applyFill="1" applyBorder="1" applyAlignment="1">
      <alignment vertical="center"/>
    </xf>
    <xf numFmtId="0" fontId="4" fillId="11" borderId="294" xfId="2" applyFill="1" applyBorder="1" applyAlignment="1">
      <alignment vertical="center"/>
    </xf>
    <xf numFmtId="171" fontId="38" fillId="3" borderId="294" xfId="4" applyNumberFormat="1" applyFont="1" applyFill="1" applyBorder="1" applyAlignment="1">
      <alignment horizontal="center" vertical="center"/>
    </xf>
    <xf numFmtId="0" fontId="7" fillId="28" borderId="294" xfId="2" applyFont="1" applyFill="1" applyBorder="1" applyAlignment="1">
      <alignment vertical="center"/>
    </xf>
    <xf numFmtId="0" fontId="7" fillId="3" borderId="294" xfId="2" applyFont="1" applyFill="1" applyBorder="1" applyAlignment="1">
      <alignment vertical="center"/>
    </xf>
    <xf numFmtId="171" fontId="105" fillId="29" borderId="294" xfId="4" applyNumberFormat="1" applyFont="1" applyFill="1" applyBorder="1" applyAlignment="1">
      <alignment horizontal="center" vertical="center"/>
    </xf>
    <xf numFmtId="0" fontId="105" fillId="8" borderId="294" xfId="2" applyFont="1" applyFill="1" applyBorder="1" applyAlignment="1">
      <alignment horizontal="center" vertical="center"/>
    </xf>
    <xf numFmtId="171" fontId="105" fillId="8" borderId="358" xfId="4" applyNumberFormat="1" applyFont="1" applyFill="1" applyBorder="1" applyAlignment="1">
      <alignment horizontal="center" vertical="center"/>
    </xf>
    <xf numFmtId="0" fontId="4" fillId="3" borderId="301" xfId="2" applyFill="1" applyBorder="1"/>
    <xf numFmtId="168" fontId="8" fillId="3" borderId="301" xfId="13" applyNumberFormat="1" applyFont="1" applyFill="1" applyBorder="1" applyAlignment="1">
      <alignment horizontal="center" vertical="center"/>
    </xf>
    <xf numFmtId="0" fontId="4" fillId="3" borderId="302" xfId="2" applyFill="1" applyBorder="1"/>
    <xf numFmtId="0" fontId="7" fillId="0" borderId="303" xfId="1" applyBorder="1" applyProtection="1">
      <protection hidden="1"/>
    </xf>
    <xf numFmtId="0" fontId="4" fillId="3" borderId="304" xfId="2" applyFill="1" applyBorder="1"/>
    <xf numFmtId="0" fontId="81" fillId="3" borderId="294" xfId="12" applyFont="1" applyFill="1" applyBorder="1" applyAlignment="1">
      <alignment horizontal="center" vertical="center"/>
    </xf>
    <xf numFmtId="0" fontId="7" fillId="3" borderId="294" xfId="2" applyFont="1" applyFill="1" applyBorder="1"/>
    <xf numFmtId="0" fontId="7" fillId="3" borderId="354" xfId="1" applyFill="1" applyBorder="1" applyProtection="1">
      <protection hidden="1"/>
    </xf>
    <xf numFmtId="0" fontId="7" fillId="3" borderId="299" xfId="1" applyFill="1" applyBorder="1" applyProtection="1">
      <protection hidden="1"/>
    </xf>
    <xf numFmtId="0" fontId="7" fillId="3" borderId="300" xfId="1" applyFill="1" applyBorder="1" applyProtection="1">
      <protection hidden="1"/>
    </xf>
    <xf numFmtId="0" fontId="27" fillId="3" borderId="301" xfId="4" applyFont="1" applyFill="1" applyBorder="1" applyAlignment="1" applyProtection="1">
      <alignment horizontal="center" vertical="center"/>
      <protection locked="0"/>
    </xf>
    <xf numFmtId="0" fontId="83" fillId="3" borderId="301" xfId="2" applyFont="1" applyFill="1" applyBorder="1" applyAlignment="1">
      <alignment horizontal="left" vertical="center"/>
    </xf>
    <xf numFmtId="168" fontId="36" fillId="3" borderId="393" xfId="4" applyNumberFormat="1" applyFont="1" applyFill="1" applyBorder="1" applyAlignment="1">
      <alignment horizontal="center" vertical="center"/>
    </xf>
    <xf numFmtId="168" fontId="13" fillId="3" borderId="393" xfId="4" applyNumberFormat="1" applyFont="1" applyFill="1" applyBorder="1" applyAlignment="1">
      <alignment horizontal="center" vertical="center"/>
    </xf>
    <xf numFmtId="0" fontId="7" fillId="3" borderId="302" xfId="1" applyFill="1" applyBorder="1" applyProtection="1">
      <protection hidden="1"/>
    </xf>
    <xf numFmtId="0" fontId="4" fillId="8" borderId="294" xfId="2" applyFill="1" applyBorder="1" applyAlignment="1">
      <alignment vertical="center"/>
    </xf>
    <xf numFmtId="168" fontId="122" fillId="15" borderId="22" xfId="32" applyNumberFormat="1" applyFont="1" applyFill="1" applyBorder="1" applyAlignment="1">
      <alignment horizontal="center" vertical="center"/>
    </xf>
    <xf numFmtId="2" fontId="123" fillId="8" borderId="395" xfId="32" applyNumberFormat="1" applyFont="1" applyFill="1" applyBorder="1" applyAlignment="1">
      <alignment horizontal="center" vertical="center"/>
    </xf>
    <xf numFmtId="2" fontId="124" fillId="8" borderId="393" xfId="4" applyNumberFormat="1" applyFont="1" applyFill="1" applyBorder="1" applyAlignment="1">
      <alignment horizontal="center" vertical="center"/>
    </xf>
    <xf numFmtId="0" fontId="4" fillId="8" borderId="395" xfId="2" applyFill="1" applyBorder="1" applyAlignment="1">
      <alignment horizontal="center" vertical="center"/>
    </xf>
    <xf numFmtId="170" fontId="13" fillId="8" borderId="393" xfId="4" applyNumberFormat="1" applyFont="1" applyFill="1" applyBorder="1" applyAlignment="1">
      <alignment horizontal="center" vertical="center"/>
    </xf>
    <xf numFmtId="0" fontId="117" fillId="8" borderId="395" xfId="2" applyFont="1" applyFill="1" applyBorder="1" applyAlignment="1">
      <alignment horizontal="center" vertical="center"/>
    </xf>
    <xf numFmtId="0" fontId="4" fillId="8" borderId="310" xfId="2" applyFill="1" applyBorder="1" applyAlignment="1">
      <alignment vertical="center"/>
    </xf>
    <xf numFmtId="0" fontId="4" fillId="8" borderId="303" xfId="2" applyFill="1" applyBorder="1" applyAlignment="1">
      <alignment vertical="center"/>
    </xf>
    <xf numFmtId="0" fontId="4" fillId="8" borderId="305" xfId="2" applyFill="1" applyBorder="1" applyAlignment="1">
      <alignment vertical="center"/>
    </xf>
    <xf numFmtId="0" fontId="126" fillId="8" borderId="396" xfId="1" applyFont="1" applyFill="1" applyBorder="1" applyAlignment="1">
      <alignment vertical="center"/>
    </xf>
    <xf numFmtId="0" fontId="127" fillId="8" borderId="294" xfId="1" applyFont="1" applyFill="1" applyBorder="1" applyAlignment="1">
      <alignment vertical="center"/>
    </xf>
    <xf numFmtId="182" fontId="124" fillId="8" borderId="0" xfId="32" applyNumberFormat="1" applyFont="1" applyFill="1" applyAlignment="1">
      <alignment horizontal="center" vertical="center"/>
    </xf>
    <xf numFmtId="182" fontId="49" fillId="8" borderId="294" xfId="32" applyNumberFormat="1" applyFont="1" applyFill="1" applyBorder="1" applyAlignment="1">
      <alignment vertical="center"/>
    </xf>
    <xf numFmtId="182" fontId="124" fillId="8" borderId="0" xfId="32" applyNumberFormat="1" applyFont="1" applyFill="1" applyAlignment="1">
      <alignment horizontal="left" vertical="center"/>
    </xf>
    <xf numFmtId="165" fontId="16" fillId="4" borderId="29" xfId="32" applyNumberFormat="1" applyFont="1" applyFill="1" applyBorder="1" applyAlignment="1">
      <alignment vertical="center"/>
    </xf>
    <xf numFmtId="165" fontId="16" fillId="4" borderId="5" xfId="32" applyNumberFormat="1" applyFont="1" applyFill="1" applyBorder="1" applyAlignment="1">
      <alignment horizontal="left" vertical="center"/>
    </xf>
    <xf numFmtId="0" fontId="4" fillId="8" borderId="294" xfId="2" applyFill="1" applyBorder="1"/>
    <xf numFmtId="165" fontId="129" fillId="15" borderId="46" xfId="32" applyNumberFormat="1" applyFont="1" applyFill="1" applyBorder="1" applyAlignment="1">
      <alignment horizontal="center" vertical="center"/>
    </xf>
    <xf numFmtId="1" fontId="130" fillId="8" borderId="395" xfId="32" applyNumberFormat="1" applyFont="1" applyFill="1" applyBorder="1" applyAlignment="1">
      <alignment horizontal="center" vertical="center"/>
    </xf>
    <xf numFmtId="1" fontId="130" fillId="8" borderId="0" xfId="32" applyNumberFormat="1" applyFont="1" applyFill="1" applyAlignment="1">
      <alignment horizontal="center" vertical="center"/>
    </xf>
    <xf numFmtId="2" fontId="49" fillId="8" borderId="165" xfId="32" applyNumberFormat="1" applyFont="1" applyFill="1" applyBorder="1" applyAlignment="1">
      <alignment horizontal="center" vertical="center"/>
    </xf>
    <xf numFmtId="0" fontId="125" fillId="8" borderId="310" xfId="1" applyFont="1" applyFill="1" applyBorder="1" applyAlignment="1">
      <alignment horizontal="center" vertical="center"/>
    </xf>
    <xf numFmtId="0" fontId="4" fillId="8" borderId="303" xfId="2" applyFill="1" applyBorder="1"/>
    <xf numFmtId="0" fontId="4" fillId="8" borderId="305" xfId="2" applyFill="1" applyBorder="1"/>
    <xf numFmtId="0" fontId="135" fillId="8" borderId="396" xfId="1" applyFont="1" applyFill="1" applyBorder="1" applyAlignment="1">
      <alignment vertical="center"/>
    </xf>
    <xf numFmtId="0" fontId="206" fillId="3" borderId="0" xfId="8" applyFont="1" applyFill="1" applyAlignment="1">
      <alignment horizontal="left" vertical="center"/>
    </xf>
    <xf numFmtId="0" fontId="596" fillId="23" borderId="0" xfId="9" applyFont="1" applyFill="1" applyAlignment="1">
      <alignment horizontal="left" vertical="center"/>
    </xf>
    <xf numFmtId="0" fontId="210" fillId="38" borderId="389" xfId="19" applyFont="1" applyFill="1" applyBorder="1" applyAlignment="1">
      <alignment horizontal="centerContinuous" vertical="center" wrapText="1"/>
    </xf>
    <xf numFmtId="0" fontId="210" fillId="38" borderId="396" xfId="19" applyFont="1" applyFill="1" applyBorder="1" applyAlignment="1">
      <alignment horizontal="centerContinuous" vertical="center" wrapText="1"/>
    </xf>
    <xf numFmtId="0" fontId="211" fillId="38" borderId="396" xfId="19" applyFont="1" applyFill="1" applyBorder="1" applyAlignment="1">
      <alignment horizontal="centerContinuous" vertical="center" wrapText="1"/>
    </xf>
    <xf numFmtId="0" fontId="597" fillId="38" borderId="396" xfId="45" applyFont="1" applyFill="1" applyBorder="1" applyAlignment="1">
      <alignment horizontal="centerContinuous" vertical="center" wrapText="1"/>
    </xf>
    <xf numFmtId="0" fontId="597" fillId="38" borderId="394" xfId="45" applyFont="1" applyFill="1" applyBorder="1" applyAlignment="1">
      <alignment horizontal="centerContinuous" vertical="center" wrapText="1"/>
    </xf>
    <xf numFmtId="0" fontId="7" fillId="0" borderId="0" xfId="1" applyAlignment="1">
      <alignment horizontal="centerContinuous" vertical="center"/>
    </xf>
    <xf numFmtId="0" fontId="36" fillId="9" borderId="398" xfId="1" applyFont="1" applyFill="1" applyBorder="1" applyAlignment="1">
      <alignment horizontal="center" vertical="center" wrapText="1"/>
    </xf>
    <xf numFmtId="0" fontId="73" fillId="9" borderId="299" xfId="1" applyFont="1" applyFill="1" applyBorder="1" applyAlignment="1">
      <alignment horizontal="center" vertical="center" wrapText="1"/>
    </xf>
    <xf numFmtId="0" fontId="143" fillId="47" borderId="299" xfId="1" applyFont="1" applyFill="1" applyBorder="1" applyAlignment="1">
      <alignment horizontal="center" vertical="center" wrapText="1"/>
    </xf>
    <xf numFmtId="0" fontId="212" fillId="45" borderId="82" xfId="19" applyFont="1" applyFill="1" applyBorder="1" applyAlignment="1">
      <alignment horizontal="centerContinuous" vertical="center"/>
    </xf>
    <xf numFmtId="0" fontId="212" fillId="45" borderId="83" xfId="19" applyFont="1" applyFill="1" applyBorder="1" applyAlignment="1">
      <alignment horizontal="centerContinuous" vertical="center"/>
    </xf>
    <xf numFmtId="0" fontId="212" fillId="45" borderId="84" xfId="19" applyFont="1" applyFill="1" applyBorder="1" applyAlignment="1">
      <alignment horizontal="centerContinuous" vertical="center"/>
    </xf>
    <xf numFmtId="0" fontId="212" fillId="17" borderId="82" xfId="19" applyFont="1" applyFill="1" applyBorder="1" applyAlignment="1">
      <alignment horizontal="centerContinuous" vertical="center"/>
    </xf>
    <xf numFmtId="0" fontId="212" fillId="17" borderId="83" xfId="19" applyFont="1" applyFill="1" applyBorder="1" applyAlignment="1">
      <alignment horizontal="centerContinuous" vertical="center"/>
    </xf>
    <xf numFmtId="0" fontId="212" fillId="17" borderId="84" xfId="19" applyFont="1" applyFill="1" applyBorder="1" applyAlignment="1">
      <alignment horizontal="centerContinuous" vertical="center"/>
    </xf>
    <xf numFmtId="0" fontId="214" fillId="48" borderId="0" xfId="1" quotePrefix="1" applyFont="1" applyFill="1" applyAlignment="1">
      <alignment horizontal="center" vertical="center"/>
    </xf>
    <xf numFmtId="0" fontId="215" fillId="47" borderId="0" xfId="1" applyFont="1" applyFill="1" applyAlignment="1">
      <alignment horizontal="center" vertical="center"/>
    </xf>
    <xf numFmtId="0" fontId="150" fillId="0" borderId="0" xfId="1" applyFont="1" applyAlignment="1">
      <alignment horizontal="centerContinuous" vertical="center"/>
    </xf>
    <xf numFmtId="0" fontId="69" fillId="0" borderId="0" xfId="1" applyFont="1" applyAlignment="1">
      <alignment horizontal="centerContinuous" vertical="center"/>
    </xf>
    <xf numFmtId="0" fontId="69" fillId="0" borderId="301" xfId="1" applyFont="1" applyBorder="1" applyAlignment="1">
      <alignment horizontal="centerContinuous" vertical="center"/>
    </xf>
    <xf numFmtId="0" fontId="216" fillId="47" borderId="0" xfId="1" applyFont="1" applyFill="1" applyAlignment="1">
      <alignment horizontal="center" vertical="center"/>
    </xf>
    <xf numFmtId="0" fontId="217" fillId="0" borderId="0" xfId="1" applyFont="1" applyAlignment="1">
      <alignment horizontal="centerContinuous" vertical="center" wrapText="1"/>
    </xf>
    <xf numFmtId="0" fontId="217" fillId="0" borderId="301" xfId="1" applyFont="1" applyBorder="1" applyAlignment="1">
      <alignment horizontal="centerContinuous" vertical="center" wrapText="1"/>
    </xf>
    <xf numFmtId="0" fontId="7" fillId="0" borderId="57" xfId="1" applyBorder="1" applyAlignment="1">
      <alignment vertical="center"/>
    </xf>
    <xf numFmtId="0" fontId="7" fillId="0" borderId="301" xfId="1" applyBorder="1" applyAlignment="1">
      <alignment vertical="center"/>
    </xf>
    <xf numFmtId="0" fontId="113" fillId="0" borderId="0" xfId="25" applyFont="1"/>
    <xf numFmtId="0" fontId="399" fillId="0" borderId="0" xfId="25" applyFont="1"/>
    <xf numFmtId="0" fontId="70" fillId="0" borderId="399" xfId="1" applyFont="1" applyBorder="1" applyAlignment="1">
      <alignment horizontal="center" vertical="center"/>
    </xf>
    <xf numFmtId="0" fontId="53" fillId="0" borderId="0" xfId="1" quotePrefix="1" applyFont="1" applyAlignment="1">
      <alignment horizontal="center" vertical="center"/>
    </xf>
    <xf numFmtId="0" fontId="219" fillId="0" borderId="0" xfId="1" applyFont="1" applyAlignment="1">
      <alignment horizontal="center" vertical="center"/>
    </xf>
    <xf numFmtId="0" fontId="69" fillId="0" borderId="399" xfId="1" applyFont="1" applyBorder="1" applyAlignment="1">
      <alignment horizontal="center" vertical="center"/>
    </xf>
    <xf numFmtId="0" fontId="219" fillId="0" borderId="86" xfId="1" applyFont="1" applyBorder="1" applyAlignment="1">
      <alignment horizontal="center" vertical="center"/>
    </xf>
    <xf numFmtId="0" fontId="69" fillId="0" borderId="0" xfId="1" applyFont="1" applyAlignment="1">
      <alignment horizontal="center" vertical="center"/>
    </xf>
    <xf numFmtId="0" fontId="219" fillId="0" borderId="301" xfId="1" applyFont="1" applyBorder="1" applyAlignment="1">
      <alignment horizontal="center" vertical="center"/>
    </xf>
    <xf numFmtId="0" fontId="220" fillId="0" borderId="0" xfId="1" applyFont="1" applyAlignment="1">
      <alignment horizontal="center" vertical="center"/>
    </xf>
    <xf numFmtId="0" fontId="220" fillId="0" borderId="86" xfId="1" applyFont="1" applyBorder="1" applyAlignment="1">
      <alignment horizontal="center" vertical="center"/>
    </xf>
    <xf numFmtId="0" fontId="220" fillId="0" borderId="301" xfId="1" applyFont="1" applyBorder="1" applyAlignment="1">
      <alignment horizontal="center" vertical="center"/>
    </xf>
    <xf numFmtId="0" fontId="598" fillId="0" borderId="0" xfId="25" applyFont="1" applyAlignment="1">
      <alignment horizontal="right" vertical="center"/>
    </xf>
    <xf numFmtId="0" fontId="599" fillId="0" borderId="400" xfId="25" applyFont="1" applyBorder="1" applyAlignment="1">
      <alignment horizontal="center" vertical="center" wrapText="1"/>
    </xf>
    <xf numFmtId="0" fontId="599" fillId="0" borderId="0" xfId="25" applyFont="1" applyAlignment="1">
      <alignment horizontal="center" vertical="center" wrapText="1"/>
    </xf>
    <xf numFmtId="0" fontId="600" fillId="0" borderId="398" xfId="25" applyFont="1" applyBorder="1" applyAlignment="1">
      <alignment horizontal="center" vertical="center"/>
    </xf>
    <xf numFmtId="0" fontId="600" fillId="0" borderId="401" xfId="25" applyFont="1" applyBorder="1" applyAlignment="1">
      <alignment horizontal="center" vertical="center"/>
    </xf>
    <xf numFmtId="0" fontId="601" fillId="0" borderId="0" xfId="25" applyFont="1" applyAlignment="1">
      <alignment horizontal="center" vertical="center"/>
    </xf>
    <xf numFmtId="0" fontId="600" fillId="0" borderId="398" xfId="25" quotePrefix="1" applyFont="1" applyBorder="1" applyAlignment="1">
      <alignment horizontal="center" vertical="center"/>
    </xf>
    <xf numFmtId="0" fontId="238" fillId="0" borderId="0" xfId="25" applyFont="1" applyAlignment="1">
      <alignment horizontal="right"/>
    </xf>
    <xf numFmtId="0" fontId="69" fillId="0" borderId="0" xfId="25" applyFont="1"/>
    <xf numFmtId="0" fontId="600" fillId="0" borderId="302" xfId="25" applyFont="1" applyBorder="1" applyAlignment="1">
      <alignment horizontal="center" vertical="center"/>
    </xf>
    <xf numFmtId="0" fontId="600" fillId="0" borderId="304" xfId="25" applyFont="1" applyBorder="1" applyAlignment="1">
      <alignment horizontal="center" vertical="center"/>
    </xf>
    <xf numFmtId="0" fontId="600" fillId="0" borderId="302" xfId="25" quotePrefix="1" applyFont="1" applyBorder="1" applyAlignment="1">
      <alignment horizontal="center" vertical="center"/>
    </xf>
    <xf numFmtId="0" fontId="376" fillId="0" borderId="402" xfId="25" applyFont="1" applyBorder="1" applyAlignment="1">
      <alignment horizontal="center" vertical="center"/>
    </xf>
    <xf numFmtId="0" fontId="376" fillId="0" borderId="0" xfId="25" applyFont="1" applyAlignment="1">
      <alignment horizontal="center" vertical="center"/>
    </xf>
    <xf numFmtId="0" fontId="602" fillId="0" borderId="0" xfId="25" applyFont="1" applyAlignment="1">
      <alignment horizontal="right" vertical="center"/>
    </xf>
    <xf numFmtId="0" fontId="376" fillId="0" borderId="0" xfId="25" applyFont="1"/>
    <xf numFmtId="0" fontId="603" fillId="0" borderId="354" xfId="25" applyFont="1" applyBorder="1" applyAlignment="1">
      <alignment horizontal="center" vertical="center"/>
    </xf>
    <xf numFmtId="0" fontId="603" fillId="0" borderId="300" xfId="25" applyFont="1" applyBorder="1" applyAlignment="1">
      <alignment horizontal="center" vertical="center"/>
    </xf>
    <xf numFmtId="0" fontId="603" fillId="0" borderId="0" xfId="25" applyFont="1" applyAlignment="1">
      <alignment horizontal="center" vertical="center"/>
    </xf>
    <xf numFmtId="0" fontId="603" fillId="0" borderId="402" xfId="25" applyFont="1" applyBorder="1" applyAlignment="1">
      <alignment horizontal="center" vertical="center"/>
    </xf>
    <xf numFmtId="0" fontId="603" fillId="0" borderId="302" xfId="25" applyFont="1" applyBorder="1" applyAlignment="1">
      <alignment horizontal="center" vertical="center"/>
    </xf>
    <xf numFmtId="0" fontId="603" fillId="0" borderId="304" xfId="25" applyFont="1" applyBorder="1" applyAlignment="1">
      <alignment horizontal="center" vertical="center"/>
    </xf>
    <xf numFmtId="0" fontId="604" fillId="0" borderId="402" xfId="25" applyFont="1" applyBorder="1" applyAlignment="1">
      <alignment horizontal="center" vertical="center"/>
    </xf>
    <xf numFmtId="0" fontId="604" fillId="0" borderId="0" xfId="25" applyFont="1" applyAlignment="1">
      <alignment horizontal="center" vertical="center"/>
    </xf>
    <xf numFmtId="0" fontId="604" fillId="0" borderId="354" xfId="25" applyFont="1" applyBorder="1" applyAlignment="1">
      <alignment horizontal="center" vertical="center"/>
    </xf>
    <xf numFmtId="0" fontId="604" fillId="0" borderId="300" xfId="25" applyFont="1" applyBorder="1" applyAlignment="1">
      <alignment horizontal="center" vertical="center"/>
    </xf>
    <xf numFmtId="0" fontId="604" fillId="0" borderId="302" xfId="25" applyFont="1" applyBorder="1" applyAlignment="1">
      <alignment horizontal="center" vertical="center"/>
    </xf>
    <xf numFmtId="0" fontId="604" fillId="0" borderId="304" xfId="25" applyFont="1" applyBorder="1" applyAlignment="1">
      <alignment horizontal="center" vertical="center"/>
    </xf>
    <xf numFmtId="0" fontId="605" fillId="0" borderId="402" xfId="25" applyFont="1" applyBorder="1" applyAlignment="1">
      <alignment horizontal="center" vertical="center"/>
    </xf>
    <xf numFmtId="0" fontId="605" fillId="0" borderId="0" xfId="25" applyFont="1" applyAlignment="1">
      <alignment horizontal="center" vertical="center"/>
    </xf>
    <xf numFmtId="0" fontId="605" fillId="0" borderId="354" xfId="25" applyFont="1" applyBorder="1" applyAlignment="1">
      <alignment horizontal="center" vertical="center"/>
    </xf>
    <xf numFmtId="0" fontId="605" fillId="0" borderId="300" xfId="25" applyFont="1" applyBorder="1" applyAlignment="1">
      <alignment horizontal="center" vertical="center"/>
    </xf>
    <xf numFmtId="0" fontId="606" fillId="0" borderId="402" xfId="25" applyFont="1" applyBorder="1" applyAlignment="1">
      <alignment horizontal="center" vertical="center"/>
    </xf>
    <xf numFmtId="0" fontId="606" fillId="0" borderId="0" xfId="25" applyFont="1" applyAlignment="1">
      <alignment horizontal="center" vertical="center"/>
    </xf>
    <xf numFmtId="0" fontId="605" fillId="0" borderId="302" xfId="25" applyFont="1" applyBorder="1" applyAlignment="1">
      <alignment horizontal="center" vertical="center"/>
    </xf>
    <xf numFmtId="0" fontId="605" fillId="0" borderId="304" xfId="25" applyFont="1" applyBorder="1" applyAlignment="1">
      <alignment horizontal="center" vertical="center"/>
    </xf>
    <xf numFmtId="0" fontId="236" fillId="0" borderId="0" xfId="1" applyFont="1" applyAlignment="1">
      <alignment horizontal="center" vertical="center"/>
    </xf>
    <xf numFmtId="0" fontId="606" fillId="0" borderId="354" xfId="25" applyFont="1" applyBorder="1" applyAlignment="1">
      <alignment horizontal="center" vertical="center"/>
    </xf>
    <xf numFmtId="0" fontId="606" fillId="0" borderId="300" xfId="25" applyFont="1" applyBorder="1" applyAlignment="1">
      <alignment horizontal="center" vertical="center"/>
    </xf>
    <xf numFmtId="0" fontId="607" fillId="0" borderId="402" xfId="25" applyFont="1" applyBorder="1" applyAlignment="1">
      <alignment horizontal="center" vertical="center" wrapText="1"/>
    </xf>
    <xf numFmtId="0" fontId="607" fillId="0" borderId="0" xfId="25" applyFont="1" applyAlignment="1">
      <alignment horizontal="center" vertical="center" wrapText="1"/>
    </xf>
    <xf numFmtId="0" fontId="606" fillId="0" borderId="302" xfId="25" applyFont="1" applyBorder="1" applyAlignment="1">
      <alignment horizontal="center" vertical="center"/>
    </xf>
    <xf numFmtId="0" fontId="606" fillId="0" borderId="304" xfId="25" applyFont="1" applyBorder="1" applyAlignment="1">
      <alignment horizontal="center" vertical="center"/>
    </xf>
    <xf numFmtId="0" fontId="152" fillId="0" borderId="0" xfId="25" applyFont="1"/>
    <xf numFmtId="0" fontId="385" fillId="0" borderId="402" xfId="25" applyFont="1" applyBorder="1" applyAlignment="1">
      <alignment horizontal="center" vertical="center"/>
    </xf>
    <xf numFmtId="0" fontId="385" fillId="0" borderId="0" xfId="25" applyFont="1" applyAlignment="1">
      <alignment horizontal="center" vertical="center"/>
    </xf>
    <xf numFmtId="0" fontId="385" fillId="0" borderId="0" xfId="25" applyFont="1"/>
    <xf numFmtId="0" fontId="600" fillId="0" borderId="354" xfId="25" applyFont="1" applyBorder="1" applyAlignment="1">
      <alignment horizontal="center" vertical="center"/>
    </xf>
    <xf numFmtId="0" fontId="600" fillId="0" borderId="300" xfId="25" applyFont="1" applyBorder="1" applyAlignment="1">
      <alignment horizontal="center" vertical="center"/>
    </xf>
    <xf numFmtId="0" fontId="608" fillId="0" borderId="402" xfId="25" applyFont="1" applyBorder="1" applyAlignment="1">
      <alignment horizontal="center" vertical="center"/>
    </xf>
    <xf numFmtId="0" fontId="608" fillId="0" borderId="0" xfId="25" applyFont="1" applyAlignment="1">
      <alignment horizontal="center" vertical="center"/>
    </xf>
    <xf numFmtId="0" fontId="608" fillId="0" borderId="365" xfId="25" applyFont="1" applyBorder="1" applyAlignment="1">
      <alignment horizontal="center" vertical="center"/>
    </xf>
    <xf numFmtId="0" fontId="385" fillId="0" borderId="386" xfId="25" applyFont="1" applyBorder="1"/>
    <xf numFmtId="0" fontId="609" fillId="0" borderId="402" xfId="25" applyFont="1" applyBorder="1" applyAlignment="1">
      <alignment horizontal="center" vertical="center"/>
    </xf>
    <xf numFmtId="0" fontId="609" fillId="0" borderId="0" xfId="25" applyFont="1" applyAlignment="1">
      <alignment horizontal="center" vertical="center"/>
    </xf>
    <xf numFmtId="0" fontId="610" fillId="0" borderId="402" xfId="25" applyFont="1" applyBorder="1" applyAlignment="1">
      <alignment horizontal="center" vertical="center"/>
    </xf>
    <xf numFmtId="0" fontId="610" fillId="0" borderId="0" xfId="25" applyFont="1" applyAlignment="1">
      <alignment horizontal="center" vertical="center"/>
    </xf>
    <xf numFmtId="0" fontId="611" fillId="0" borderId="402" xfId="25" applyFont="1" applyBorder="1" applyAlignment="1">
      <alignment horizontal="center" vertical="center"/>
    </xf>
    <xf numFmtId="0" fontId="611" fillId="0" borderId="0" xfId="25" applyFont="1" applyAlignment="1">
      <alignment horizontal="center" vertical="center"/>
    </xf>
    <xf numFmtId="0" fontId="52" fillId="0" borderId="0" xfId="25" applyFont="1" applyAlignment="1">
      <alignment horizontal="left"/>
    </xf>
    <xf numFmtId="0" fontId="238" fillId="0" borderId="0" xfId="1" applyFont="1" applyAlignment="1">
      <alignment horizontal="center" vertical="center"/>
    </xf>
    <xf numFmtId="0" fontId="239" fillId="0" borderId="0" xfId="1" applyFont="1" applyAlignment="1">
      <alignment horizontal="center" vertical="center"/>
    </xf>
    <xf numFmtId="0" fontId="603" fillId="0" borderId="365" xfId="25" applyFont="1" applyBorder="1" applyAlignment="1">
      <alignment horizontal="center" vertical="center"/>
    </xf>
    <xf numFmtId="0" fontId="376" fillId="0" borderId="386" xfId="25" applyFont="1" applyBorder="1"/>
    <xf numFmtId="0" fontId="69" fillId="0" borderId="302" xfId="1" applyFont="1" applyBorder="1" applyAlignment="1">
      <alignment vertical="center"/>
    </xf>
    <xf numFmtId="0" fontId="69" fillId="0" borderId="303" xfId="1" applyFont="1" applyBorder="1" applyAlignment="1">
      <alignment vertical="center"/>
    </xf>
    <xf numFmtId="0" fontId="69" fillId="0" borderId="304" xfId="1" applyFont="1" applyBorder="1" applyAlignment="1">
      <alignment vertical="center"/>
    </xf>
    <xf numFmtId="0" fontId="36" fillId="9" borderId="354" xfId="1" applyFont="1" applyFill="1" applyBorder="1" applyAlignment="1">
      <alignment horizontal="center" vertical="center" wrapText="1"/>
    </xf>
    <xf numFmtId="0" fontId="240" fillId="44" borderId="82" xfId="19" applyFont="1" applyFill="1" applyBorder="1" applyAlignment="1">
      <alignment horizontal="centerContinuous" vertical="center"/>
    </xf>
    <xf numFmtId="0" fontId="240" fillId="44" borderId="83" xfId="19" applyFont="1" applyFill="1" applyBorder="1" applyAlignment="1">
      <alignment horizontal="centerContinuous" vertical="center"/>
    </xf>
    <xf numFmtId="0" fontId="240" fillId="44" borderId="84" xfId="19" applyFont="1" applyFill="1" applyBorder="1" applyAlignment="1">
      <alignment horizontal="centerContinuous" vertical="center"/>
    </xf>
    <xf numFmtId="0" fontId="240" fillId="38" borderId="82" xfId="19" applyFont="1" applyFill="1" applyBorder="1" applyAlignment="1">
      <alignment horizontal="centerContinuous" vertical="center"/>
    </xf>
    <xf numFmtId="0" fontId="240" fillId="38" borderId="83" xfId="19" applyFont="1" applyFill="1" applyBorder="1" applyAlignment="1">
      <alignment horizontal="centerContinuous" vertical="center"/>
    </xf>
    <xf numFmtId="0" fontId="240" fillId="38" borderId="84" xfId="19" applyFont="1" applyFill="1" applyBorder="1" applyAlignment="1">
      <alignment horizontal="centerContinuous" vertical="center"/>
    </xf>
    <xf numFmtId="0" fontId="604" fillId="0" borderId="398" xfId="25" applyFont="1" applyBorder="1" applyAlignment="1">
      <alignment horizontal="center" vertical="center"/>
    </xf>
    <xf numFmtId="0" fontId="241" fillId="47" borderId="0" xfId="1" applyFont="1" applyFill="1" applyAlignment="1">
      <alignment horizontal="center" vertical="center"/>
    </xf>
    <xf numFmtId="0" fontId="150" fillId="0" borderId="0" xfId="1" applyFont="1" applyAlignment="1">
      <alignment horizontal="centerContinuous" vertical="center" wrapText="1"/>
    </xf>
    <xf numFmtId="0" fontId="69" fillId="0" borderId="0" xfId="1" applyFont="1" applyAlignment="1">
      <alignment horizontal="centerContinuous" vertical="center" wrapText="1"/>
    </xf>
    <xf numFmtId="0" fontId="69" fillId="0" borderId="301" xfId="1" applyFont="1" applyBorder="1" applyAlignment="1">
      <alignment horizontal="centerContinuous" vertical="center" wrapText="1"/>
    </xf>
    <xf numFmtId="0" fontId="242" fillId="47" borderId="0" xfId="1" applyFont="1" applyFill="1" applyAlignment="1">
      <alignment horizontal="center" vertical="center"/>
    </xf>
    <xf numFmtId="0" fontId="607" fillId="0" borderId="400" xfId="25" applyFont="1" applyBorder="1" applyAlignment="1">
      <alignment horizontal="center" vertical="center" wrapText="1"/>
    </xf>
    <xf numFmtId="0" fontId="376" fillId="0" borderId="400" xfId="25" applyFont="1" applyBorder="1" applyAlignment="1">
      <alignment horizontal="center" vertical="center"/>
    </xf>
    <xf numFmtId="0" fontId="605" fillId="0" borderId="398" xfId="25" applyFont="1" applyBorder="1" applyAlignment="1">
      <alignment horizontal="center" vertical="center"/>
    </xf>
    <xf numFmtId="0" fontId="243" fillId="0" borderId="0" xfId="1" applyFont="1" applyAlignment="1">
      <alignment horizontal="center" vertical="center"/>
    </xf>
    <xf numFmtId="0" fontId="243" fillId="0" borderId="301" xfId="1" applyFont="1" applyBorder="1" applyAlignment="1">
      <alignment horizontal="center" vertical="center"/>
    </xf>
    <xf numFmtId="0" fontId="244" fillId="0" borderId="0" xfId="1" applyFont="1" applyAlignment="1">
      <alignment horizontal="center" vertical="center"/>
    </xf>
    <xf numFmtId="0" fontId="244" fillId="0" borderId="86" xfId="1" applyFont="1" applyBorder="1" applyAlignment="1">
      <alignment horizontal="center" vertical="center"/>
    </xf>
    <xf numFmtId="0" fontId="244" fillId="0" borderId="301" xfId="1" applyFont="1" applyBorder="1" applyAlignment="1">
      <alignment horizontal="center" vertical="center"/>
    </xf>
    <xf numFmtId="0" fontId="603" fillId="0" borderId="400" xfId="25" applyFont="1" applyBorder="1" applyAlignment="1">
      <alignment horizontal="center" vertical="center"/>
    </xf>
    <xf numFmtId="0" fontId="603" fillId="0" borderId="403" xfId="25" applyFont="1" applyBorder="1" applyAlignment="1">
      <alignment horizontal="center" vertical="center"/>
    </xf>
    <xf numFmtId="0" fontId="606" fillId="0" borderId="398" xfId="25" applyFont="1" applyBorder="1" applyAlignment="1">
      <alignment horizontal="center" vertical="center"/>
    </xf>
    <xf numFmtId="0" fontId="604" fillId="0" borderId="400" xfId="25" applyFont="1" applyBorder="1" applyAlignment="1">
      <alignment horizontal="center" vertical="center"/>
    </xf>
    <xf numFmtId="0" fontId="605" fillId="0" borderId="400" xfId="25" applyFont="1" applyBorder="1" applyAlignment="1">
      <alignment horizontal="center" vertical="center"/>
    </xf>
    <xf numFmtId="0" fontId="606" fillId="0" borderId="400" xfId="25" applyFont="1" applyBorder="1" applyAlignment="1">
      <alignment horizontal="center" vertical="center"/>
    </xf>
    <xf numFmtId="0" fontId="376" fillId="0" borderId="0" xfId="25" applyFont="1" applyAlignment="1">
      <alignment horizontal="right"/>
    </xf>
    <xf numFmtId="0" fontId="603" fillId="0" borderId="398" xfId="25" applyFont="1" applyBorder="1" applyAlignment="1">
      <alignment horizontal="center" vertical="center"/>
    </xf>
    <xf numFmtId="0" fontId="614" fillId="0" borderId="0" xfId="25" applyFont="1" applyAlignment="1">
      <alignment horizontal="center" vertical="center"/>
    </xf>
    <xf numFmtId="0" fontId="27" fillId="0" borderId="0" xfId="1" applyFont="1" applyAlignment="1">
      <alignment vertical="center"/>
    </xf>
    <xf numFmtId="0" fontId="615" fillId="0" borderId="0" xfId="1" applyFont="1" applyAlignment="1">
      <alignment vertical="center"/>
    </xf>
    <xf numFmtId="0" fontId="617" fillId="0" borderId="0" xfId="1" applyFont="1" applyAlignment="1">
      <alignment horizontal="center" vertical="center"/>
    </xf>
    <xf numFmtId="0" fontId="126" fillId="0" borderId="0" xfId="1" applyFont="1" applyAlignment="1">
      <alignment horizontal="center" vertical="center"/>
    </xf>
    <xf numFmtId="0" fontId="618" fillId="3" borderId="0" xfId="1" applyFont="1" applyFill="1" applyAlignment="1">
      <alignment horizontal="center" vertical="center"/>
    </xf>
    <xf numFmtId="0" fontId="619" fillId="3" borderId="0" xfId="1" applyFont="1" applyFill="1" applyAlignment="1">
      <alignment horizontal="center" vertical="center"/>
    </xf>
    <xf numFmtId="0" fontId="579" fillId="141" borderId="0" xfId="1" applyFont="1" applyFill="1" applyAlignment="1">
      <alignment horizontal="center" vertical="center"/>
    </xf>
    <xf numFmtId="0" fontId="620" fillId="3" borderId="0" xfId="1" applyFont="1" applyFill="1" applyAlignment="1">
      <alignment horizontal="center" vertical="center"/>
    </xf>
    <xf numFmtId="0" fontId="621" fillId="3" borderId="0" xfId="1" applyFont="1" applyFill="1" applyAlignment="1">
      <alignment horizontal="center" vertical="center"/>
    </xf>
    <xf numFmtId="0" fontId="622" fillId="3" borderId="0" xfId="1" applyFont="1" applyFill="1" applyAlignment="1">
      <alignment horizontal="center" vertical="center"/>
    </xf>
    <xf numFmtId="0" fontId="623" fillId="0" borderId="0" xfId="1" applyFont="1" applyAlignment="1">
      <alignment horizontal="center" vertical="center"/>
    </xf>
    <xf numFmtId="0" fontId="49" fillId="0" borderId="0" xfId="1" applyFont="1" applyAlignment="1">
      <alignment horizontal="center" vertical="center"/>
    </xf>
    <xf numFmtId="0" fontId="579" fillId="142" borderId="0" xfId="1" applyFont="1" applyFill="1" applyAlignment="1">
      <alignment horizontal="center" vertical="center"/>
    </xf>
    <xf numFmtId="0" fontId="624" fillId="0" borderId="0" xfId="1" applyFont="1" applyAlignment="1">
      <alignment horizontal="center" vertical="center"/>
    </xf>
    <xf numFmtId="0" fontId="625" fillId="0" borderId="0" xfId="1" applyFont="1" applyAlignment="1">
      <alignment horizontal="center" vertical="center"/>
    </xf>
    <xf numFmtId="0" fontId="579" fillId="143" borderId="0" xfId="1" applyFont="1" applyFill="1" applyAlignment="1">
      <alignment horizontal="center" vertical="center"/>
    </xf>
    <xf numFmtId="0" fontId="626" fillId="0" borderId="0" xfId="1" applyFont="1" applyAlignment="1">
      <alignment horizontal="center" vertical="center"/>
    </xf>
    <xf numFmtId="0" fontId="579" fillId="144" borderId="0" xfId="1" applyFont="1" applyFill="1" applyAlignment="1">
      <alignment horizontal="center" vertical="center"/>
    </xf>
    <xf numFmtId="0" fontId="627" fillId="0" borderId="0" xfId="1" applyFont="1" applyAlignment="1">
      <alignment horizontal="center" vertical="center"/>
    </xf>
    <xf numFmtId="0" fontId="579" fillId="30" borderId="0" xfId="1" applyFont="1" applyFill="1" applyAlignment="1">
      <alignment horizontal="center" vertical="center"/>
    </xf>
    <xf numFmtId="0" fontId="628" fillId="0" borderId="0" xfId="1" applyFont="1" applyAlignment="1">
      <alignment horizontal="center" vertical="center"/>
    </xf>
    <xf numFmtId="0" fontId="579" fillId="145" borderId="0" xfId="1" applyFont="1" applyFill="1" applyAlignment="1">
      <alignment horizontal="center" vertical="center"/>
    </xf>
    <xf numFmtId="0" fontId="629" fillId="3" borderId="0" xfId="1" applyFont="1" applyFill="1" applyAlignment="1">
      <alignment horizontal="center" vertical="center"/>
    </xf>
    <xf numFmtId="0" fontId="579" fillId="50" borderId="0" xfId="1" applyFont="1" applyFill="1" applyAlignment="1">
      <alignment horizontal="center" vertical="center"/>
    </xf>
    <xf numFmtId="0" fontId="630" fillId="0" borderId="0" xfId="1" applyFont="1" applyAlignment="1">
      <alignment horizontal="center" vertical="center"/>
    </xf>
    <xf numFmtId="0" fontId="579" fillId="146" borderId="0" xfId="1" applyFont="1" applyFill="1" applyAlignment="1">
      <alignment horizontal="center" vertical="center"/>
    </xf>
    <xf numFmtId="0" fontId="631" fillId="0" borderId="0" xfId="1" applyFont="1" applyAlignment="1">
      <alignment horizontal="center" vertical="center"/>
    </xf>
    <xf numFmtId="0" fontId="579" fillId="27" borderId="0" xfId="1" applyFont="1" applyFill="1" applyAlignment="1">
      <alignment horizontal="center" vertical="center"/>
    </xf>
    <xf numFmtId="0" fontId="632" fillId="0" borderId="0" xfId="1" applyFont="1" applyAlignment="1">
      <alignment horizontal="center" vertical="center"/>
    </xf>
    <xf numFmtId="0" fontId="633" fillId="0" borderId="0" xfId="1" applyFont="1" applyAlignment="1">
      <alignment horizontal="center" vertical="center"/>
    </xf>
    <xf numFmtId="0" fontId="634" fillId="0" borderId="0" xfId="1" applyFont="1" applyAlignment="1">
      <alignment horizontal="center" vertical="center"/>
    </xf>
    <xf numFmtId="0" fontId="635" fillId="0" borderId="0" xfId="1" applyFont="1" applyAlignment="1">
      <alignment horizontal="center" vertical="center"/>
    </xf>
    <xf numFmtId="0" fontId="636" fillId="0" borderId="0" xfId="1" applyFont="1" applyAlignment="1">
      <alignment horizontal="center" vertical="center"/>
    </xf>
    <xf numFmtId="0" fontId="637" fillId="0" borderId="0" xfId="1" applyFont="1" applyAlignment="1">
      <alignment horizontal="center" vertical="center"/>
    </xf>
    <xf numFmtId="0" fontId="638" fillId="0" borderId="0" xfId="1" applyFont="1" applyAlignment="1">
      <alignment horizontal="center" vertical="center"/>
    </xf>
    <xf numFmtId="0" fontId="7" fillId="0" borderId="302" xfId="1" applyBorder="1" applyAlignment="1">
      <alignment vertical="center"/>
    </xf>
    <xf numFmtId="0" fontId="7" fillId="0" borderId="303" xfId="1" applyBorder="1" applyAlignment="1">
      <alignment vertical="center"/>
    </xf>
    <xf numFmtId="0" fontId="7" fillId="0" borderId="304" xfId="1" applyBorder="1" applyAlignment="1">
      <alignment vertical="center"/>
    </xf>
    <xf numFmtId="0" fontId="639" fillId="0" borderId="0" xfId="1" applyFont="1" applyAlignment="1">
      <alignment horizontal="center" vertical="center"/>
    </xf>
    <xf numFmtId="0" fontId="640" fillId="0" borderId="0" xfId="1" applyFont="1" applyAlignment="1">
      <alignment horizontal="center" vertical="center"/>
    </xf>
    <xf numFmtId="0" fontId="614" fillId="0" borderId="0" xfId="1" applyFont="1"/>
    <xf numFmtId="0" fontId="240" fillId="42" borderId="82" xfId="19" applyFont="1" applyFill="1" applyBorder="1" applyAlignment="1">
      <alignment horizontal="centerContinuous" vertical="center"/>
    </xf>
    <xf numFmtId="0" fontId="240" fillId="42" borderId="83" xfId="19" applyFont="1" applyFill="1" applyBorder="1" applyAlignment="1">
      <alignment horizontal="centerContinuous" vertical="center"/>
    </xf>
    <xf numFmtId="0" fontId="240" fillId="42" borderId="84" xfId="19" applyFont="1" applyFill="1" applyBorder="1" applyAlignment="1">
      <alignment horizontal="centerContinuous" vertical="center"/>
    </xf>
    <xf numFmtId="0" fontId="245" fillId="47" borderId="0" xfId="1" applyFont="1" applyFill="1" applyAlignment="1">
      <alignment horizontal="center" vertical="center"/>
    </xf>
    <xf numFmtId="0" fontId="150" fillId="3" borderId="0" xfId="1" applyFont="1" applyFill="1" applyAlignment="1">
      <alignment horizontal="centerContinuous" vertical="center" wrapText="1"/>
    </xf>
    <xf numFmtId="0" fontId="78" fillId="0" borderId="0" xfId="1" applyFont="1" applyAlignment="1">
      <alignment horizontal="centerContinuous" vertical="center" wrapText="1"/>
    </xf>
    <xf numFmtId="0" fontId="7" fillId="0" borderId="0" xfId="1" applyAlignment="1">
      <alignment horizontal="centerContinuous" vertical="center" wrapText="1"/>
    </xf>
    <xf numFmtId="0" fontId="7" fillId="0" borderId="301" xfId="1" applyBorder="1" applyAlignment="1">
      <alignment horizontal="centerContinuous" vertical="center" wrapText="1"/>
    </xf>
    <xf numFmtId="0" fontId="246" fillId="47" borderId="0" xfId="1" applyFont="1" applyFill="1" applyAlignment="1">
      <alignment horizontal="center" vertical="center"/>
    </xf>
    <xf numFmtId="0" fontId="247" fillId="0" borderId="0" xfId="1" applyFont="1" applyAlignment="1">
      <alignment horizontal="center" vertical="center"/>
    </xf>
    <xf numFmtId="0" fontId="247" fillId="0" borderId="86" xfId="1" applyFont="1" applyBorder="1" applyAlignment="1">
      <alignment horizontal="center" vertical="center"/>
    </xf>
    <xf numFmtId="0" fontId="247" fillId="0" borderId="301" xfId="1" applyFont="1" applyBorder="1" applyAlignment="1">
      <alignment horizontal="center" vertical="center"/>
    </xf>
    <xf numFmtId="0" fontId="248" fillId="0" borderId="0" xfId="1" applyFont="1" applyAlignment="1">
      <alignment horizontal="center" vertical="center"/>
    </xf>
    <xf numFmtId="0" fontId="248" fillId="0" borderId="86" xfId="1" applyFont="1" applyBorder="1" applyAlignment="1">
      <alignment horizontal="center" vertical="center"/>
    </xf>
    <xf numFmtId="0" fontId="248" fillId="0" borderId="301" xfId="1" applyFont="1" applyBorder="1" applyAlignment="1">
      <alignment horizontal="center" vertical="center"/>
    </xf>
    <xf numFmtId="0" fontId="36" fillId="0" borderId="302" xfId="1" applyFont="1" applyBorder="1" applyAlignment="1">
      <alignment vertical="center"/>
    </xf>
    <xf numFmtId="0" fontId="36" fillId="0" borderId="303" xfId="1" applyFont="1" applyBorder="1" applyAlignment="1">
      <alignment vertical="center"/>
    </xf>
    <xf numFmtId="0" fontId="249" fillId="0" borderId="304" xfId="1" applyFont="1" applyBorder="1" applyAlignment="1">
      <alignment horizontal="center" vertical="center"/>
    </xf>
    <xf numFmtId="0" fontId="7" fillId="39" borderId="0" xfId="1" applyFill="1" applyAlignment="1">
      <alignment vertical="center"/>
    </xf>
    <xf numFmtId="0" fontId="36" fillId="0" borderId="304" xfId="1" applyFont="1" applyBorder="1" applyAlignment="1">
      <alignment vertical="center"/>
    </xf>
    <xf numFmtId="0" fontId="212" fillId="27" borderId="82" xfId="19" applyFont="1" applyFill="1" applyBorder="1" applyAlignment="1">
      <alignment horizontal="centerContinuous" vertical="center"/>
    </xf>
    <xf numFmtId="0" fontId="212" fillId="27" borderId="83" xfId="19" applyFont="1" applyFill="1" applyBorder="1" applyAlignment="1">
      <alignment horizontal="centerContinuous" vertical="center"/>
    </xf>
    <xf numFmtId="0" fontId="212" fillId="27" borderId="84" xfId="19" applyFont="1" applyFill="1" applyBorder="1" applyAlignment="1">
      <alignment horizontal="centerContinuous" vertical="center"/>
    </xf>
    <xf numFmtId="0" fontId="250" fillId="47" borderId="0" xfId="1" applyFont="1" applyFill="1" applyAlignment="1">
      <alignment horizontal="center" vertical="center"/>
    </xf>
    <xf numFmtId="0" fontId="251" fillId="47" borderId="0" xfId="1" applyFont="1" applyFill="1" applyAlignment="1">
      <alignment horizontal="center" vertical="center"/>
    </xf>
    <xf numFmtId="0" fontId="252" fillId="0" borderId="0" xfId="1" applyFont="1" applyAlignment="1">
      <alignment horizontal="center" vertical="center"/>
    </xf>
    <xf numFmtId="0" fontId="253" fillId="0" borderId="86" xfId="1" applyFont="1" applyBorder="1" applyAlignment="1">
      <alignment horizontal="center" vertical="center"/>
    </xf>
    <xf numFmtId="0" fontId="253" fillId="0" borderId="0" xfId="1" applyFont="1" applyAlignment="1">
      <alignment horizontal="center" vertical="center"/>
    </xf>
    <xf numFmtId="0" fontId="253" fillId="0" borderId="301" xfId="1" applyFont="1" applyBorder="1" applyAlignment="1">
      <alignment horizontal="center" vertical="center"/>
    </xf>
    <xf numFmtId="0" fontId="254" fillId="0" borderId="0" xfId="1" applyFont="1" applyAlignment="1">
      <alignment horizontal="center" vertical="center"/>
    </xf>
    <xf numFmtId="0" fontId="254" fillId="0" borderId="86" xfId="1" applyFont="1" applyBorder="1" applyAlignment="1">
      <alignment horizontal="center" vertical="center"/>
    </xf>
    <xf numFmtId="0" fontId="254" fillId="0" borderId="301" xfId="1" applyFont="1" applyBorder="1" applyAlignment="1">
      <alignment horizontal="center" vertical="center"/>
    </xf>
    <xf numFmtId="0" fontId="478" fillId="147" borderId="0" xfId="25" applyFont="1" applyFill="1" applyAlignment="1">
      <alignment vertical="center"/>
    </xf>
    <xf numFmtId="0" fontId="641" fillId="147" borderId="0" xfId="25" applyFont="1" applyFill="1" applyAlignment="1">
      <alignment vertical="center"/>
    </xf>
    <xf numFmtId="0" fontId="642" fillId="147" borderId="0" xfId="25" applyFont="1" applyFill="1" applyAlignment="1">
      <alignment vertical="center"/>
    </xf>
    <xf numFmtId="0" fontId="643" fillId="147" borderId="0" xfId="25" applyFont="1" applyFill="1" applyAlignment="1">
      <alignment vertical="center"/>
    </xf>
    <xf numFmtId="0" fontId="148" fillId="3" borderId="0" xfId="25" applyFont="1" applyFill="1" applyAlignment="1">
      <alignment horizontal="center" vertical="center"/>
    </xf>
    <xf numFmtId="0" fontId="644" fillId="3" borderId="0" xfId="25" applyFont="1" applyFill="1" applyAlignment="1">
      <alignment horizontal="center" vertical="center"/>
    </xf>
    <xf numFmtId="0" fontId="157" fillId="3" borderId="0" xfId="25" applyFont="1" applyFill="1" applyAlignment="1">
      <alignment horizontal="left" vertical="center" wrapText="1"/>
    </xf>
    <xf numFmtId="0" fontId="645" fillId="3" borderId="0" xfId="25" applyFont="1" applyFill="1" applyAlignment="1">
      <alignment horizontal="left" vertical="center"/>
    </xf>
    <xf numFmtId="0" fontId="157" fillId="3" borderId="0" xfId="25" applyFont="1" applyFill="1" applyAlignment="1">
      <alignment horizontal="left" vertical="center"/>
    </xf>
    <xf numFmtId="0" fontId="534" fillId="147" borderId="0" xfId="25" applyFont="1" applyFill="1" applyAlignment="1">
      <alignment horizontal="right" vertical="center"/>
    </xf>
    <xf numFmtId="0" fontId="646" fillId="3" borderId="0" xfId="46" applyFont="1" applyFill="1" applyAlignment="1">
      <alignment horizontal="left" vertical="center"/>
    </xf>
    <xf numFmtId="0" fontId="20" fillId="3" borderId="0" xfId="46" applyFill="1" applyAlignment="1">
      <alignment horizontal="left" vertical="center"/>
    </xf>
    <xf numFmtId="0" fontId="20" fillId="3" borderId="0" xfId="46" applyFill="1"/>
    <xf numFmtId="0" fontId="647" fillId="3" borderId="0" xfId="25" applyFont="1" applyFill="1" applyAlignment="1">
      <alignment vertical="center"/>
    </xf>
    <xf numFmtId="0" fontId="326" fillId="3" borderId="0" xfId="25" applyFont="1" applyFill="1" applyAlignment="1">
      <alignment horizontal="right" vertical="center"/>
    </xf>
    <xf numFmtId="0" fontId="157" fillId="3" borderId="0" xfId="25" applyFont="1" applyFill="1" applyAlignment="1">
      <alignment horizontal="right" vertical="center" wrapText="1"/>
    </xf>
    <xf numFmtId="0" fontId="157" fillId="3" borderId="0" xfId="25" applyFont="1" applyFill="1" applyAlignment="1">
      <alignment horizontal="right"/>
    </xf>
    <xf numFmtId="0" fontId="646" fillId="3" borderId="0" xfId="46" applyFont="1" applyFill="1" applyAlignment="1">
      <alignment vertical="center"/>
    </xf>
    <xf numFmtId="0" fontId="648" fillId="3" borderId="0" xfId="25" applyFont="1" applyFill="1" applyAlignment="1">
      <alignment horizontal="right" vertical="center"/>
    </xf>
    <xf numFmtId="0" fontId="649" fillId="3" borderId="0" xfId="25" applyFont="1" applyFill="1" applyAlignment="1">
      <alignment vertical="center"/>
    </xf>
    <xf numFmtId="0" fontId="650" fillId="3" borderId="0" xfId="25" applyFont="1" applyFill="1"/>
    <xf numFmtId="0" fontId="651" fillId="3" borderId="0" xfId="25" applyFont="1" applyFill="1" applyAlignment="1">
      <alignment horizontal="center" vertical="center"/>
    </xf>
    <xf numFmtId="0" fontId="650" fillId="3" borderId="0" xfId="25" applyFont="1" applyFill="1" applyAlignment="1">
      <alignment horizontal="left" vertical="center" wrapText="1"/>
    </xf>
    <xf numFmtId="0" fontId="652" fillId="0" borderId="0" xfId="25" applyFont="1" applyAlignment="1">
      <alignment horizontal="center" vertical="center"/>
    </xf>
    <xf numFmtId="0" fontId="653" fillId="0" borderId="0" xfId="25" applyFont="1" applyAlignment="1">
      <alignment horizontal="left" vertical="center"/>
    </xf>
    <xf numFmtId="0" fontId="148" fillId="0" borderId="0" xfId="25" applyFont="1" applyAlignment="1">
      <alignment horizontal="center" vertical="center"/>
    </xf>
    <xf numFmtId="0" fontId="653" fillId="0" borderId="0" xfId="25" applyFont="1" applyAlignment="1">
      <alignment horizontal="center" vertical="center"/>
    </xf>
    <xf numFmtId="0" fontId="654" fillId="0" borderId="0" xfId="25" applyFont="1" applyAlignment="1">
      <alignment horizontal="center" vertical="center"/>
    </xf>
    <xf numFmtId="0" fontId="46" fillId="0" borderId="0" xfId="25" applyFont="1" applyAlignment="1">
      <alignment horizontal="left" vertical="center"/>
    </xf>
    <xf numFmtId="0" fontId="46" fillId="12" borderId="0" xfId="25" applyFont="1" applyFill="1" applyAlignment="1">
      <alignment horizontal="center" vertical="center"/>
    </xf>
    <xf numFmtId="0" fontId="644" fillId="0" borderId="0" xfId="25" applyFont="1" applyAlignment="1">
      <alignment horizontal="center" vertical="center"/>
    </xf>
    <xf numFmtId="0" fontId="157" fillId="0" borderId="0" xfId="25" applyFont="1" applyAlignment="1">
      <alignment horizontal="left" vertical="center" wrapText="1"/>
    </xf>
    <xf numFmtId="0" fontId="157" fillId="5" borderId="0" xfId="25" applyFont="1" applyFill="1"/>
    <xf numFmtId="0" fontId="11" fillId="5" borderId="0" xfId="25" applyFont="1" applyFill="1" applyAlignment="1">
      <alignment vertical="center"/>
    </xf>
    <xf numFmtId="0" fontId="24" fillId="5" borderId="0" xfId="25" applyFont="1" applyFill="1" applyAlignment="1">
      <alignment vertical="center"/>
    </xf>
    <xf numFmtId="0" fontId="655" fillId="5" borderId="0" xfId="46" applyFont="1" applyFill="1" applyAlignment="1">
      <alignment vertical="center"/>
    </xf>
    <xf numFmtId="0" fontId="200" fillId="5" borderId="0" xfId="25" applyFont="1" applyFill="1"/>
    <xf numFmtId="0" fontId="200" fillId="5" borderId="0" xfId="25" applyFont="1" applyFill="1" applyAlignment="1">
      <alignment vertical="center"/>
    </xf>
    <xf numFmtId="0" fontId="24" fillId="0" borderId="0" xfId="25" applyFont="1" applyAlignment="1">
      <alignment vertical="center"/>
    </xf>
    <xf numFmtId="0" fontId="54" fillId="5" borderId="0" xfId="25" applyFont="1" applyFill="1" applyAlignment="1">
      <alignment vertical="center"/>
    </xf>
    <xf numFmtId="0" fontId="656" fillId="0" borderId="0" xfId="25" applyFont="1" applyAlignment="1">
      <alignment horizontal="center" vertical="center"/>
    </xf>
    <xf numFmtId="0" fontId="15" fillId="5" borderId="0" xfId="25" applyFont="1" applyFill="1" applyAlignment="1">
      <alignment horizontal="right" vertical="center"/>
    </xf>
    <xf numFmtId="0" fontId="658" fillId="23" borderId="0" xfId="30" applyFont="1" applyFill="1" applyAlignment="1">
      <alignment vertical="center"/>
    </xf>
    <xf numFmtId="0" fontId="659" fillId="5" borderId="0" xfId="25" applyFont="1" applyFill="1" applyAlignment="1">
      <alignment horizontal="left" vertical="center"/>
    </xf>
    <xf numFmtId="0" fontId="660" fillId="5" borderId="92" xfId="25" applyFont="1" applyFill="1" applyBorder="1" applyAlignment="1">
      <alignment horizontal="center" vertical="center"/>
    </xf>
    <xf numFmtId="0" fontId="168" fillId="147" borderId="0" xfId="25" applyFont="1" applyFill="1" applyAlignment="1">
      <alignment horizontal="right" vertical="center"/>
    </xf>
    <xf numFmtId="0" fontId="20" fillId="5" borderId="0" xfId="46" applyFill="1" applyAlignment="1">
      <alignment vertical="center"/>
    </xf>
    <xf numFmtId="0" fontId="661" fillId="5" borderId="0" xfId="46" applyFont="1" applyFill="1" applyAlignment="1">
      <alignment vertical="center"/>
    </xf>
    <xf numFmtId="0" fontId="662" fillId="5" borderId="0" xfId="25" applyFont="1" applyFill="1" applyAlignment="1">
      <alignment horizontal="left" vertical="center"/>
    </xf>
    <xf numFmtId="0" fontId="24" fillId="147" borderId="0" xfId="25" applyFont="1" applyFill="1" applyAlignment="1">
      <alignment vertical="center"/>
    </xf>
    <xf numFmtId="0" fontId="664" fillId="5" borderId="0" xfId="46" applyFont="1" applyFill="1" applyAlignment="1">
      <alignment vertical="center"/>
    </xf>
    <xf numFmtId="0" fontId="7" fillId="5" borderId="0" xfId="25" applyFill="1"/>
    <xf numFmtId="0" fontId="20" fillId="5" borderId="0" xfId="46" applyFill="1"/>
    <xf numFmtId="0" fontId="7" fillId="147" borderId="0" xfId="25" applyFill="1"/>
    <xf numFmtId="0" fontId="665" fillId="5" borderId="0" xfId="46" applyFont="1" applyFill="1" applyAlignment="1">
      <alignment vertical="center"/>
    </xf>
    <xf numFmtId="0" fontId="667" fillId="23" borderId="0" xfId="30" applyFont="1" applyFill="1" applyAlignment="1">
      <alignment vertical="center"/>
    </xf>
    <xf numFmtId="0" fontId="667" fillId="23" borderId="0" xfId="30" applyFont="1" applyFill="1" applyProtection="1">
      <protection hidden="1"/>
    </xf>
    <xf numFmtId="0" fontId="668" fillId="23" borderId="0" xfId="30" applyFont="1" applyFill="1" applyAlignment="1">
      <alignment vertical="center"/>
    </xf>
    <xf numFmtId="0" fontId="326" fillId="23" borderId="0" xfId="35" applyFont="1" applyFill="1" applyAlignment="1">
      <alignment horizontal="right"/>
    </xf>
    <xf numFmtId="180" fontId="38" fillId="11" borderId="5" xfId="13" applyNumberFormat="1" applyFont="1" applyFill="1" applyBorder="1" applyAlignment="1">
      <alignment horizontal="center" vertical="center"/>
    </xf>
    <xf numFmtId="181" fontId="84" fillId="2" borderId="0" xfId="13" applyNumberFormat="1" applyFont="1" applyFill="1" applyAlignment="1">
      <alignment horizontal="center" vertical="center"/>
    </xf>
    <xf numFmtId="165" fontId="55" fillId="3" borderId="0" xfId="13" applyNumberFormat="1" applyFont="1" applyFill="1" applyAlignment="1">
      <alignment horizontal="center" vertical="center"/>
    </xf>
    <xf numFmtId="0" fontId="55" fillId="3" borderId="0" xfId="13" applyFont="1" applyFill="1" applyAlignment="1">
      <alignment horizontal="center" vertical="center"/>
    </xf>
    <xf numFmtId="0" fontId="107" fillId="3" borderId="0" xfId="12" applyFont="1" applyFill="1" applyAlignment="1">
      <alignment horizontal="center" vertical="center" wrapText="1"/>
    </xf>
    <xf numFmtId="0" fontId="107" fillId="3" borderId="0" xfId="13" applyFont="1" applyFill="1" applyAlignment="1">
      <alignment horizontal="center" vertical="center" wrapText="1"/>
    </xf>
    <xf numFmtId="0" fontId="182" fillId="0" borderId="0" xfId="8" applyFont="1" applyAlignment="1">
      <alignment horizontal="left" vertical="center"/>
    </xf>
    <xf numFmtId="0" fontId="145" fillId="22" borderId="0" xfId="8" applyFont="1" applyFill="1" applyAlignment="1" applyProtection="1">
      <alignment horizontal="left" vertical="center"/>
      <protection hidden="1"/>
    </xf>
    <xf numFmtId="0" fontId="4" fillId="140" borderId="414" xfId="47" applyFill="1" applyBorder="1" applyAlignment="1">
      <alignment horizontal="center" vertical="center"/>
    </xf>
    <xf numFmtId="0" fontId="148" fillId="12" borderId="0" xfId="48" quotePrefix="1" applyFont="1" applyFill="1" applyAlignment="1">
      <alignment horizontal="center" vertical="center"/>
    </xf>
    <xf numFmtId="0" fontId="148" fillId="123" borderId="0" xfId="48" quotePrefix="1" applyFont="1" applyFill="1" applyAlignment="1">
      <alignment horizontal="center" vertical="center"/>
    </xf>
    <xf numFmtId="0" fontId="670" fillId="3" borderId="0" xfId="0" applyFont="1" applyFill="1" applyAlignment="1">
      <alignment horizontal="left" vertical="center" wrapText="1"/>
    </xf>
    <xf numFmtId="0" fontId="671" fillId="4" borderId="0" xfId="49" applyFont="1" applyFill="1" applyAlignment="1">
      <alignment horizontal="center" vertical="center"/>
    </xf>
    <xf numFmtId="0" fontId="148" fillId="12" borderId="0" xfId="49" applyFont="1" applyFill="1" applyAlignment="1">
      <alignment horizontal="center" vertical="center"/>
    </xf>
    <xf numFmtId="0" fontId="587" fillId="41" borderId="0" xfId="48" applyFont="1" applyFill="1" applyAlignment="1">
      <alignment horizontal="center" vertical="center"/>
    </xf>
    <xf numFmtId="0" fontId="4" fillId="65" borderId="415" xfId="2" applyFill="1" applyBorder="1" applyAlignment="1">
      <alignment horizontal="center" vertical="center"/>
    </xf>
    <xf numFmtId="0" fontId="391" fillId="60" borderId="415" xfId="2" applyFont="1" applyFill="1" applyBorder="1" applyAlignment="1">
      <alignment horizontal="center" vertical="center"/>
    </xf>
    <xf numFmtId="0" fontId="387" fillId="3" borderId="0" xfId="1" applyFont="1" applyFill="1" applyAlignment="1" applyProtection="1">
      <alignment horizontal="center"/>
      <protection locked="0"/>
    </xf>
    <xf numFmtId="0" fontId="15" fillId="2" borderId="417" xfId="48" applyFont="1" applyFill="1" applyBorder="1" applyAlignment="1" applyProtection="1">
      <alignment horizontal="center" vertical="center"/>
      <protection hidden="1"/>
    </xf>
    <xf numFmtId="0" fontId="360" fillId="3" borderId="0" xfId="30" applyFont="1" applyFill="1" applyAlignment="1">
      <alignment vertical="center"/>
    </xf>
    <xf numFmtId="0" fontId="672" fillId="148" borderId="35" xfId="50" applyFont="1" applyFill="1" applyBorder="1" applyAlignment="1">
      <alignment horizontal="center" vertical="center"/>
    </xf>
    <xf numFmtId="0" fontId="50" fillId="2" borderId="0" xfId="2" applyFont="1" applyFill="1" applyAlignment="1">
      <alignment vertical="center"/>
    </xf>
    <xf numFmtId="0" fontId="393" fillId="2" borderId="206" xfId="10" applyFont="1" applyFill="1" applyBorder="1" applyAlignment="1" applyProtection="1">
      <alignment vertical="center"/>
    </xf>
    <xf numFmtId="165" fontId="16" fillId="3" borderId="0" xfId="3" applyNumberFormat="1" applyFont="1" applyFill="1" applyAlignment="1">
      <alignment horizontal="left" vertical="center"/>
    </xf>
    <xf numFmtId="0" fontId="19" fillId="3" borderId="0" xfId="4" applyFont="1" applyFill="1" applyAlignment="1">
      <alignment horizontal="left" vertical="center"/>
    </xf>
    <xf numFmtId="0" fontId="90" fillId="3" borderId="225" xfId="1" applyFont="1" applyFill="1" applyBorder="1" applyAlignment="1">
      <alignment horizontal="left" vertical="center"/>
    </xf>
    <xf numFmtId="0" fontId="167" fillId="41" borderId="418" xfId="1" applyFont="1" applyFill="1" applyBorder="1" applyAlignment="1">
      <alignment vertical="center"/>
    </xf>
    <xf numFmtId="0" fontId="11" fillId="12" borderId="294" xfId="1" applyFont="1" applyFill="1" applyBorder="1" applyAlignment="1">
      <alignment horizontal="center" vertical="center"/>
    </xf>
    <xf numFmtId="0" fontId="11" fillId="2" borderId="294" xfId="1" applyFont="1" applyFill="1" applyBorder="1" applyAlignment="1">
      <alignment horizontal="center" vertical="center"/>
    </xf>
    <xf numFmtId="0" fontId="11" fillId="3" borderId="294" xfId="1" applyFont="1" applyFill="1" applyBorder="1" applyAlignment="1">
      <alignment horizontal="center" vertical="center"/>
    </xf>
    <xf numFmtId="0" fontId="394" fillId="3" borderId="0" xfId="30" applyFont="1" applyFill="1" applyAlignment="1">
      <alignment vertical="center"/>
    </xf>
    <xf numFmtId="0" fontId="26" fillId="3" borderId="0" xfId="1" applyFont="1" applyFill="1" applyAlignment="1" applyProtection="1">
      <alignment vertical="center"/>
      <protection hidden="1"/>
    </xf>
    <xf numFmtId="0" fontId="26" fillId="3" borderId="294" xfId="1" applyFont="1" applyFill="1" applyBorder="1" applyAlignment="1" applyProtection="1">
      <alignment vertical="center"/>
      <protection hidden="1"/>
    </xf>
    <xf numFmtId="0" fontId="10" fillId="148" borderId="35" xfId="50" applyFont="1" applyFill="1" applyBorder="1" applyAlignment="1">
      <alignment horizontal="center" vertical="center"/>
    </xf>
    <xf numFmtId="0" fontId="11" fillId="3" borderId="294" xfId="1" applyFont="1" applyFill="1" applyBorder="1" applyAlignment="1" applyProtection="1">
      <alignment horizontal="left" vertical="center"/>
      <protection hidden="1"/>
    </xf>
    <xf numFmtId="0" fontId="11" fillId="3" borderId="420" xfId="1" applyFont="1" applyFill="1" applyBorder="1" applyAlignment="1" applyProtection="1">
      <alignment horizontal="left" vertical="center"/>
      <protection hidden="1"/>
    </xf>
    <xf numFmtId="0" fontId="90" fillId="3" borderId="1" xfId="1" applyFont="1" applyFill="1" applyBorder="1" applyAlignment="1">
      <alignment horizontal="left" vertical="center"/>
    </xf>
    <xf numFmtId="0" fontId="167" fillId="41" borderId="424" xfId="1" applyFont="1" applyFill="1" applyBorder="1" applyAlignment="1">
      <alignment horizontal="center" vertical="center"/>
    </xf>
    <xf numFmtId="0" fontId="267" fillId="3" borderId="294" xfId="1" applyFont="1" applyFill="1" applyBorder="1" applyAlignment="1">
      <alignment horizontal="left" vertical="center"/>
    </xf>
    <xf numFmtId="0" fontId="267" fillId="3" borderId="422" xfId="1" applyFont="1" applyFill="1" applyBorder="1" applyAlignment="1">
      <alignment horizontal="left" vertical="center"/>
    </xf>
    <xf numFmtId="0" fontId="71" fillId="0" borderId="425" xfId="1" applyFont="1" applyBorder="1" applyAlignment="1">
      <alignment horizontal="center" vertical="center"/>
    </xf>
    <xf numFmtId="0" fontId="388" fillId="0" borderId="426" xfId="1" applyFont="1" applyBorder="1" applyAlignment="1">
      <alignment horizontal="center" vertical="center"/>
    </xf>
    <xf numFmtId="0" fontId="388" fillId="0" borderId="427" xfId="1" applyFont="1" applyBorder="1" applyAlignment="1">
      <alignment horizontal="center" vertical="center"/>
    </xf>
    <xf numFmtId="0" fontId="42" fillId="0" borderId="425" xfId="1" applyFont="1" applyBorder="1" applyAlignment="1">
      <alignment horizontal="center" vertical="center"/>
    </xf>
    <xf numFmtId="0" fontId="24" fillId="0" borderId="428" xfId="1" applyFont="1" applyBorder="1" applyAlignment="1">
      <alignment horizontal="center" vertical="center"/>
    </xf>
    <xf numFmtId="201" fontId="24" fillId="65" borderId="429" xfId="1" applyNumberFormat="1" applyFont="1" applyFill="1" applyBorder="1" applyAlignment="1">
      <alignment horizontal="center" vertical="center"/>
    </xf>
    <xf numFmtId="201" fontId="24" fillId="0" borderId="429" xfId="1" applyNumberFormat="1" applyFont="1" applyBorder="1" applyAlignment="1">
      <alignment horizontal="center" vertical="center"/>
    </xf>
    <xf numFmtId="200" fontId="24" fillId="0" borderId="431" xfId="1" applyNumberFormat="1" applyFont="1" applyBorder="1" applyAlignment="1">
      <alignment horizontal="center" vertical="center"/>
    </xf>
    <xf numFmtId="196" fontId="15" fillId="19" borderId="431" xfId="1" applyNumberFormat="1" applyFont="1" applyFill="1" applyBorder="1" applyAlignment="1">
      <alignment horizontal="center" vertical="center"/>
    </xf>
    <xf numFmtId="201" fontId="389" fillId="0" borderId="431" xfId="1" applyNumberFormat="1" applyFont="1" applyBorder="1" applyAlignment="1">
      <alignment horizontal="center" vertical="center"/>
    </xf>
    <xf numFmtId="201" fontId="24" fillId="0" borderId="432" xfId="1" applyNumberFormat="1" applyFont="1" applyBorder="1" applyAlignment="1">
      <alignment horizontal="center" vertical="center"/>
    </xf>
    <xf numFmtId="0" fontId="71" fillId="3" borderId="0" xfId="30" applyFont="1" applyFill="1" applyAlignment="1">
      <alignment horizontal="right" vertical="center"/>
    </xf>
    <xf numFmtId="0" fontId="0" fillId="149" borderId="5" xfId="0" applyFill="1" applyBorder="1"/>
    <xf numFmtId="0" fontId="0" fillId="149" borderId="0" xfId="0" applyFill="1"/>
    <xf numFmtId="0" fontId="0" fillId="149" borderId="294" xfId="0" applyFill="1" applyBorder="1"/>
    <xf numFmtId="0" fontId="0" fillId="3" borderId="384" xfId="0" applyFill="1" applyBorder="1"/>
    <xf numFmtId="0" fontId="90" fillId="3" borderId="101" xfId="0" applyFont="1" applyFill="1" applyBorder="1" applyAlignment="1">
      <alignment horizontal="left" vertical="center"/>
    </xf>
    <xf numFmtId="0" fontId="0" fillId="3" borderId="101" xfId="0" applyFill="1" applyBorder="1"/>
    <xf numFmtId="0" fontId="0" fillId="3" borderId="397" xfId="0" applyFill="1" applyBorder="1"/>
    <xf numFmtId="0" fontId="11" fillId="3" borderId="5" xfId="51" applyFont="1" applyFill="1" applyBorder="1" applyAlignment="1">
      <alignment horizontal="left" vertical="center"/>
    </xf>
    <xf numFmtId="0" fontId="147" fillId="3" borderId="0" xfId="51" applyFont="1" applyFill="1" applyAlignment="1">
      <alignment horizontal="center" vertical="center"/>
    </xf>
    <xf numFmtId="0" fontId="147" fillId="3" borderId="0" xfId="51" applyFont="1" applyFill="1" applyAlignment="1">
      <alignment horizontal="left" vertical="center"/>
    </xf>
    <xf numFmtId="0" fontId="11" fillId="3" borderId="0" xfId="51" applyFont="1" applyFill="1" applyAlignment="1">
      <alignment horizontal="left" vertical="center"/>
    </xf>
    <xf numFmtId="0" fontId="0" fillId="3" borderId="294" xfId="0" applyFill="1" applyBorder="1" applyAlignment="1">
      <alignment vertical="center"/>
    </xf>
    <xf numFmtId="0" fontId="46" fillId="3" borderId="5" xfId="51" applyFont="1" applyFill="1" applyBorder="1" applyAlignment="1">
      <alignment horizontal="left" vertical="center"/>
    </xf>
    <xf numFmtId="0" fontId="6" fillId="3" borderId="0" xfId="0" applyFont="1" applyFill="1" applyAlignment="1">
      <alignment vertical="center"/>
    </xf>
    <xf numFmtId="0" fontId="46" fillId="3" borderId="0" xfId="51" applyFont="1" applyFill="1" applyAlignment="1">
      <alignment horizontal="left" vertical="center"/>
    </xf>
    <xf numFmtId="0" fontId="4" fillId="3" borderId="5" xfId="51" applyFill="1" applyBorder="1" applyAlignment="1">
      <alignment vertical="center"/>
    </xf>
    <xf numFmtId="0" fontId="354" fillId="148" borderId="0" xfId="50" applyFont="1" applyFill="1" applyAlignment="1">
      <alignment horizontal="center" vertical="center"/>
    </xf>
    <xf numFmtId="0" fontId="158" fillId="3" borderId="5" xfId="51" applyFont="1" applyFill="1" applyBorder="1" applyAlignment="1">
      <alignment horizontal="left" vertical="center"/>
    </xf>
    <xf numFmtId="0" fontId="4" fillId="150" borderId="0" xfId="51" applyFill="1" applyAlignment="1">
      <alignment horizontal="left" vertical="center"/>
    </xf>
    <xf numFmtId="0" fontId="4" fillId="3" borderId="0" xfId="51" applyFill="1" applyAlignment="1">
      <alignment horizontal="left" vertical="center"/>
    </xf>
    <xf numFmtId="0" fontId="147" fillId="3" borderId="5" xfId="51" applyFont="1" applyFill="1" applyBorder="1" applyAlignment="1">
      <alignment horizontal="center" vertical="center"/>
    </xf>
    <xf numFmtId="0" fontId="90" fillId="3" borderId="0" xfId="0" applyFont="1" applyFill="1" applyAlignment="1">
      <alignment horizontal="left" vertical="center"/>
    </xf>
    <xf numFmtId="0" fontId="15" fillId="133" borderId="5" xfId="54" applyFont="1" applyFill="1" applyBorder="1" applyAlignment="1">
      <alignment vertical="center"/>
    </xf>
    <xf numFmtId="0" fontId="15" fillId="133" borderId="0" xfId="54" applyFont="1" applyFill="1" applyAlignment="1">
      <alignment vertical="center"/>
    </xf>
    <xf numFmtId="0" fontId="15" fillId="133" borderId="0" xfId="54" applyFont="1" applyFill="1" applyAlignment="1">
      <alignment horizontal="center" vertical="center"/>
    </xf>
    <xf numFmtId="0" fontId="15" fillId="133" borderId="294" xfId="54" applyFont="1" applyFill="1" applyBorder="1" applyAlignment="1">
      <alignment vertical="center"/>
    </xf>
    <xf numFmtId="0" fontId="4" fillId="3" borderId="5" xfId="0" applyFont="1" applyFill="1" applyBorder="1" applyAlignment="1">
      <alignment vertical="center"/>
    </xf>
    <xf numFmtId="0" fontId="4" fillId="3" borderId="0" xfId="0" applyFont="1" applyFill="1" applyAlignment="1">
      <alignment vertical="center"/>
    </xf>
    <xf numFmtId="0" fontId="368" fillId="3" borderId="5" xfId="0" applyFont="1" applyFill="1" applyBorder="1" applyAlignment="1">
      <alignment vertical="center"/>
    </xf>
    <xf numFmtId="0" fontId="368" fillId="3" borderId="0" xfId="0" applyFont="1" applyFill="1" applyAlignment="1">
      <alignment vertical="center"/>
    </xf>
    <xf numFmtId="0" fontId="1" fillId="3" borderId="5" xfId="0" applyFont="1" applyFill="1" applyBorder="1" applyAlignment="1">
      <alignment vertical="center"/>
    </xf>
    <xf numFmtId="0" fontId="1" fillId="3" borderId="0" xfId="0" applyFont="1" applyFill="1" applyAlignment="1">
      <alignment vertical="center"/>
    </xf>
    <xf numFmtId="0" fontId="40" fillId="3" borderId="0" xfId="48" applyFont="1" applyFill="1" applyAlignment="1" applyProtection="1">
      <alignment vertical="center"/>
      <protection hidden="1"/>
    </xf>
    <xf numFmtId="0" fontId="107" fillId="3" borderId="0" xfId="48" applyFont="1" applyFill="1" applyAlignment="1" applyProtection="1">
      <alignment horizontal="center" vertical="center"/>
      <protection hidden="1"/>
    </xf>
    <xf numFmtId="0" fontId="1" fillId="3" borderId="131" xfId="0" applyFont="1" applyFill="1" applyBorder="1" applyAlignment="1">
      <alignment vertical="center"/>
    </xf>
    <xf numFmtId="0" fontId="1" fillId="3" borderId="58" xfId="0" applyFont="1" applyFill="1" applyBorder="1" applyAlignment="1">
      <alignment vertical="center"/>
    </xf>
    <xf numFmtId="0" fontId="0" fillId="3" borderId="58" xfId="0" applyFill="1" applyBorder="1"/>
    <xf numFmtId="0" fontId="107" fillId="3" borderId="58" xfId="48" applyFont="1" applyFill="1" applyBorder="1" applyAlignment="1" applyProtection="1">
      <alignment horizontal="center" vertical="center"/>
      <protection hidden="1"/>
    </xf>
    <xf numFmtId="0" fontId="0" fillId="3" borderId="56" xfId="0" applyFill="1" applyBorder="1"/>
    <xf numFmtId="0" fontId="147" fillId="3" borderId="0" xfId="0" applyFont="1" applyFill="1" applyAlignment="1">
      <alignment horizontal="left" vertical="center"/>
    </xf>
    <xf numFmtId="0" fontId="0" fillId="3" borderId="131" xfId="0" applyFill="1" applyBorder="1"/>
    <xf numFmtId="0" fontId="90" fillId="3" borderId="58" xfId="0" applyFont="1" applyFill="1" applyBorder="1" applyAlignment="1">
      <alignment horizontal="left" vertical="center"/>
    </xf>
    <xf numFmtId="0" fontId="1" fillId="149" borderId="5" xfId="49" applyFont="1" applyFill="1" applyBorder="1" applyAlignment="1">
      <alignment horizontal="left" vertical="center"/>
    </xf>
    <xf numFmtId="0" fontId="1" fillId="149" borderId="0" xfId="0" applyFont="1" applyFill="1"/>
    <xf numFmtId="0" fontId="354" fillId="149" borderId="0" xfId="48" applyFont="1" applyFill="1" applyAlignment="1" applyProtection="1">
      <alignment horizontal="left" vertical="center"/>
      <protection locked="0"/>
    </xf>
    <xf numFmtId="0" fontId="15" fillId="149" borderId="5" xfId="48" quotePrefix="1" applyFont="1" applyFill="1" applyBorder="1" applyAlignment="1" applyProtection="1">
      <alignment vertical="center"/>
      <protection hidden="1"/>
    </xf>
    <xf numFmtId="0" fontId="71" fillId="149" borderId="0" xfId="48" applyFont="1" applyFill="1" applyAlignment="1" applyProtection="1">
      <alignment horizontal="center" vertical="center"/>
      <protection locked="0"/>
    </xf>
    <xf numFmtId="0" fontId="44" fillId="149" borderId="0" xfId="49" applyFont="1" applyFill="1" applyAlignment="1">
      <alignment vertical="center"/>
    </xf>
    <xf numFmtId="0" fontId="4" fillId="149" borderId="0" xfId="49" applyFill="1" applyAlignment="1">
      <alignment vertical="center"/>
    </xf>
    <xf numFmtId="0" fontId="0" fillId="149" borderId="294" xfId="0" applyFill="1" applyBorder="1" applyAlignment="1">
      <alignment vertical="center"/>
    </xf>
    <xf numFmtId="0" fontId="354" fillId="19" borderId="0" xfId="48" applyFont="1" applyFill="1" applyAlignment="1" applyProtection="1">
      <alignment horizontal="right" vertical="center" wrapText="1"/>
      <protection hidden="1"/>
    </xf>
    <xf numFmtId="201" fontId="15" fillId="19" borderId="435" xfId="48" applyNumberFormat="1" applyFont="1" applyFill="1" applyBorder="1" applyAlignment="1">
      <alignment horizontal="center" vertical="center"/>
    </xf>
    <xf numFmtId="0" fontId="168" fillId="151" borderId="414" xfId="48" applyFont="1" applyFill="1" applyBorder="1" applyAlignment="1" applyProtection="1">
      <alignment horizontal="right" vertical="center" wrapText="1"/>
      <protection hidden="1"/>
    </xf>
    <xf numFmtId="183" fontId="168" fillId="27" borderId="85" xfId="48" applyNumberFormat="1" applyFont="1" applyFill="1" applyBorder="1" applyAlignment="1" applyProtection="1">
      <alignment horizontal="center" vertical="center" wrapText="1"/>
      <protection hidden="1"/>
    </xf>
    <xf numFmtId="0" fontId="71" fillId="3" borderId="58" xfId="48" applyFont="1" applyFill="1" applyBorder="1" applyAlignment="1" applyProtection="1">
      <alignment horizontal="center"/>
      <protection locked="0"/>
    </xf>
    <xf numFmtId="0" fontId="15" fillId="3" borderId="436" xfId="48" applyFont="1" applyFill="1" applyBorder="1" applyAlignment="1" applyProtection="1">
      <alignment horizontal="center"/>
      <protection locked="0"/>
    </xf>
    <xf numFmtId="0" fontId="1" fillId="149" borderId="0" xfId="49" applyFont="1" applyFill="1" applyAlignment="1">
      <alignment vertical="center"/>
    </xf>
    <xf numFmtId="183" fontId="368" fillId="152" borderId="0" xfId="48" applyNumberFormat="1" applyFont="1" applyFill="1" applyAlignment="1">
      <alignment horizontal="center" vertical="center"/>
    </xf>
    <xf numFmtId="201" fontId="24" fillId="0" borderId="437" xfId="48" applyNumberFormat="1" applyFont="1" applyBorder="1" applyAlignment="1">
      <alignment horizontal="center" vertical="center"/>
    </xf>
    <xf numFmtId="0" fontId="1" fillId="3" borderId="0" xfId="49" applyFont="1" applyFill="1" applyAlignment="1">
      <alignment vertical="center"/>
    </xf>
    <xf numFmtId="0" fontId="24" fillId="3" borderId="5" xfId="36" applyFont="1" applyFill="1" applyBorder="1" applyAlignment="1">
      <alignment horizontal="right" vertical="center"/>
    </xf>
    <xf numFmtId="0" fontId="24" fillId="3" borderId="0" xfId="36" applyFont="1" applyFill="1" applyAlignment="1">
      <alignment horizontal="right" vertical="center"/>
    </xf>
    <xf numFmtId="0" fontId="24" fillId="3" borderId="0" xfId="36" applyFont="1" applyFill="1" applyAlignment="1">
      <alignment horizontal="left" vertical="center"/>
    </xf>
    <xf numFmtId="0" fontId="57" fillId="3" borderId="0" xfId="8" applyFill="1" applyBorder="1" applyAlignment="1">
      <alignment vertical="center"/>
    </xf>
    <xf numFmtId="0" fontId="4" fillId="3" borderId="0" xfId="49" applyFill="1"/>
    <xf numFmtId="0" fontId="4" fillId="3" borderId="294" xfId="49" applyFill="1" applyBorder="1"/>
    <xf numFmtId="0" fontId="15" fillId="3" borderId="5" xfId="48" applyFont="1" applyFill="1" applyBorder="1" applyAlignment="1" applyProtection="1">
      <alignment vertical="center"/>
      <protection hidden="1"/>
    </xf>
    <xf numFmtId="0" fontId="4" fillId="3" borderId="0" xfId="52" applyFont="1" applyFill="1" applyAlignment="1">
      <alignment horizontal="left" vertical="center"/>
    </xf>
    <xf numFmtId="0" fontId="4" fillId="3" borderId="294" xfId="52" applyFont="1" applyFill="1" applyBorder="1" applyAlignment="1">
      <alignment horizontal="right" vertical="center"/>
    </xf>
    <xf numFmtId="0" fontId="573" fillId="3" borderId="5" xfId="48" applyFont="1" applyFill="1" applyBorder="1" applyAlignment="1" applyProtection="1">
      <alignment horizontal="left" vertical="center"/>
      <protection locked="0"/>
    </xf>
    <xf numFmtId="0" fontId="573" fillId="3" borderId="0" xfId="48" applyFont="1" applyFill="1" applyAlignment="1" applyProtection="1">
      <alignment horizontal="left" vertical="center"/>
      <protection locked="0"/>
    </xf>
    <xf numFmtId="0" fontId="573" fillId="3" borderId="294" xfId="48" applyFont="1" applyFill="1" applyBorder="1" applyAlignment="1" applyProtection="1">
      <alignment horizontal="left" vertical="center"/>
      <protection locked="0"/>
    </xf>
    <xf numFmtId="0" fontId="147" fillId="3" borderId="5" xfId="48" applyFont="1" applyFill="1" applyBorder="1" applyAlignment="1" applyProtection="1">
      <alignment horizontal="left" vertical="center"/>
      <protection locked="0"/>
    </xf>
    <xf numFmtId="0" fontId="147" fillId="3" borderId="294" xfId="48" applyFont="1" applyFill="1" applyBorder="1" applyAlignment="1" applyProtection="1">
      <alignment horizontal="right" vertical="center"/>
      <protection locked="0"/>
    </xf>
    <xf numFmtId="0" fontId="24" fillId="130" borderId="384" xfId="36" applyFont="1" applyFill="1" applyBorder="1" applyAlignment="1">
      <alignment horizontal="right" vertical="center"/>
    </xf>
    <xf numFmtId="0" fontId="24" fillId="130" borderId="101" xfId="36" applyFont="1" applyFill="1" applyBorder="1" applyAlignment="1">
      <alignment horizontal="right" vertical="center"/>
    </xf>
    <xf numFmtId="0" fontId="674" fillId="3" borderId="101" xfId="8" applyFont="1" applyFill="1" applyBorder="1" applyAlignment="1">
      <alignment vertical="center"/>
    </xf>
    <xf numFmtId="0" fontId="4" fillId="3" borderId="101" xfId="49" applyFill="1" applyBorder="1"/>
    <xf numFmtId="0" fontId="4" fillId="3" borderId="397" xfId="49" applyFill="1" applyBorder="1"/>
    <xf numFmtId="0" fontId="0" fillId="3" borderId="438" xfId="0" applyFill="1" applyBorder="1"/>
    <xf numFmtId="0" fontId="24" fillId="3" borderId="299" xfId="54" applyFont="1" applyFill="1" applyBorder="1" applyAlignment="1">
      <alignment horizontal="right" vertical="center"/>
    </xf>
    <xf numFmtId="0" fontId="228" fillId="2" borderId="439" xfId="57" applyFont="1" applyFill="1" applyBorder="1" applyAlignment="1">
      <alignment horizontal="center" vertical="center"/>
    </xf>
    <xf numFmtId="0" fontId="0" fillId="3" borderId="59" xfId="0" applyFill="1" applyBorder="1"/>
    <xf numFmtId="0" fontId="147" fillId="3" borderId="58" xfId="54" applyFont="1" applyFill="1" applyBorder="1" applyAlignment="1">
      <alignment horizontal="right" vertical="center"/>
    </xf>
    <xf numFmtId="0" fontId="228" fillId="2" borderId="254" xfId="57" applyFont="1" applyFill="1" applyBorder="1" applyAlignment="1">
      <alignment horizontal="center" vertical="center"/>
    </xf>
    <xf numFmtId="0" fontId="0" fillId="3" borderId="57" xfId="0" applyFill="1" applyBorder="1"/>
    <xf numFmtId="0" fontId="24" fillId="3" borderId="0" xfId="52" applyFont="1" applyFill="1" applyAlignment="1">
      <alignment horizontal="right" vertical="center"/>
    </xf>
    <xf numFmtId="203" fontId="41" fillId="22" borderId="85" xfId="48" applyNumberFormat="1" applyFont="1" applyFill="1" applyBorder="1" applyAlignment="1">
      <alignment horizontal="center" vertical="center"/>
    </xf>
    <xf numFmtId="203" fontId="34" fillId="22" borderId="85" xfId="48" applyNumberFormat="1" applyFont="1" applyFill="1" applyBorder="1" applyAlignment="1">
      <alignment horizontal="center" vertical="center"/>
    </xf>
    <xf numFmtId="203" fontId="40" fillId="6" borderId="85" xfId="48" applyNumberFormat="1" applyFont="1" applyFill="1" applyBorder="1" applyAlignment="1">
      <alignment horizontal="center" vertical="center"/>
    </xf>
    <xf numFmtId="0" fontId="15" fillId="3" borderId="0" xfId="52" applyFont="1" applyFill="1" applyAlignment="1">
      <alignment horizontal="right" vertical="center"/>
    </xf>
    <xf numFmtId="203" fontId="15" fillId="5" borderId="85" xfId="48" applyNumberFormat="1" applyFont="1" applyFill="1" applyBorder="1" applyAlignment="1">
      <alignment horizontal="center" vertical="center"/>
    </xf>
    <xf numFmtId="0" fontId="368" fillId="14" borderId="57" xfId="13" applyFont="1" applyFill="1" applyBorder="1" applyAlignment="1" applyProtection="1">
      <alignment horizontal="center" vertical="center"/>
      <protection locked="0"/>
    </xf>
    <xf numFmtId="0" fontId="394" fillId="14" borderId="0" xfId="13" applyFont="1" applyFill="1" applyAlignment="1" applyProtection="1">
      <alignment horizontal="right" vertical="center"/>
      <protection locked="0"/>
    </xf>
    <xf numFmtId="1" fontId="32" fillId="2" borderId="57" xfId="52" applyNumberFormat="1" applyFont="1" applyFill="1" applyBorder="1" applyAlignment="1">
      <alignment horizontal="center" vertical="center"/>
    </xf>
    <xf numFmtId="0" fontId="44" fillId="3" borderId="0" xfId="0" applyFont="1" applyFill="1" applyAlignment="1">
      <alignment vertical="center"/>
    </xf>
    <xf numFmtId="0" fontId="15" fillId="3" borderId="0" xfId="13" applyFont="1" applyFill="1" applyAlignment="1">
      <alignment horizontal="left" vertical="center"/>
    </xf>
    <xf numFmtId="0" fontId="40" fillId="153" borderId="57" xfId="48" applyFont="1" applyFill="1" applyBorder="1" applyAlignment="1">
      <alignment horizontal="center" vertical="center"/>
    </xf>
    <xf numFmtId="0" fontId="24" fillId="3" borderId="0" xfId="48" applyFont="1" applyFill="1" applyAlignment="1">
      <alignment horizontal="left" vertical="center"/>
    </xf>
    <xf numFmtId="0" fontId="147" fillId="3" borderId="0" xfId="13" applyFont="1" applyFill="1" applyAlignment="1">
      <alignment horizontal="left" vertical="center"/>
    </xf>
    <xf numFmtId="170" fontId="41" fillId="58" borderId="57" xfId="13" applyNumberFormat="1" applyFont="1" applyFill="1" applyBorder="1" applyAlignment="1" applyProtection="1">
      <alignment horizontal="center" vertical="center"/>
      <protection locked="0"/>
    </xf>
    <xf numFmtId="0" fontId="147" fillId="3" borderId="0" xfId="48" applyFont="1" applyFill="1" applyAlignment="1">
      <alignment horizontal="left" vertical="center"/>
    </xf>
    <xf numFmtId="167" fontId="40" fillId="58" borderId="57" xfId="48" applyNumberFormat="1" applyFont="1" applyFill="1" applyBorder="1" applyAlignment="1">
      <alignment horizontal="center" vertical="center"/>
    </xf>
    <xf numFmtId="0" fontId="24" fillId="3" borderId="0" xfId="0" applyFont="1" applyFill="1" applyAlignment="1">
      <alignment vertical="center"/>
    </xf>
    <xf numFmtId="189" fontId="157" fillId="154" borderId="294" xfId="48" applyNumberFormat="1" applyFont="1" applyFill="1" applyBorder="1" applyAlignment="1">
      <alignment horizontal="center" vertical="center"/>
    </xf>
    <xf numFmtId="165" fontId="41" fillId="58" borderId="57" xfId="13" applyNumberFormat="1" applyFont="1" applyFill="1" applyBorder="1" applyAlignment="1" applyProtection="1">
      <alignment horizontal="center" vertical="center"/>
      <protection locked="0"/>
    </xf>
    <xf numFmtId="0" fontId="1" fillId="3" borderId="0" xfId="0" applyFont="1" applyFill="1" applyAlignment="1">
      <alignment horizontal="left" vertical="center"/>
    </xf>
    <xf numFmtId="0" fontId="34" fillId="3" borderId="0" xfId="0" applyFont="1" applyFill="1" applyAlignment="1">
      <alignment vertical="center"/>
    </xf>
    <xf numFmtId="0" fontId="675" fillId="3" borderId="0" xfId="0" applyFont="1" applyFill="1" applyAlignment="1">
      <alignment vertical="center"/>
    </xf>
    <xf numFmtId="0" fontId="592" fillId="3" borderId="0" xfId="0" applyFont="1" applyFill="1" applyAlignment="1">
      <alignment vertical="center"/>
    </xf>
    <xf numFmtId="0" fontId="24" fillId="3" borderId="5" xfId="48" applyFont="1" applyFill="1" applyBorder="1" applyAlignment="1" applyProtection="1">
      <alignment horizontal="left" vertical="center"/>
      <protection locked="0"/>
    </xf>
    <xf numFmtId="0" fontId="44" fillId="3" borderId="5" xfId="0" applyFont="1" applyFill="1" applyBorder="1" applyAlignment="1">
      <alignment vertical="center"/>
    </xf>
    <xf numFmtId="0" fontId="158" fillId="3" borderId="5" xfId="0" applyFont="1" applyFill="1" applyBorder="1" applyAlignment="1">
      <alignment vertical="center"/>
    </xf>
    <xf numFmtId="0" fontId="89" fillId="3" borderId="0" xfId="0" applyFont="1" applyFill="1" applyAlignment="1">
      <alignment vertical="center"/>
    </xf>
    <xf numFmtId="0" fontId="0" fillId="3" borderId="5" xfId="0" applyFill="1" applyBorder="1" applyAlignment="1">
      <alignment vertical="center"/>
    </xf>
    <xf numFmtId="0" fontId="4" fillId="3" borderId="0" xfId="58" applyFill="1"/>
    <xf numFmtId="0" fontId="15" fillId="3" borderId="0" xfId="48" applyFont="1" applyFill="1" applyAlignment="1">
      <alignment horizontal="left" vertical="center"/>
    </xf>
    <xf numFmtId="0" fontId="677" fillId="3" borderId="0" xfId="8" applyFont="1" applyFill="1" applyBorder="1" applyAlignment="1">
      <alignment vertical="center"/>
    </xf>
    <xf numFmtId="0" fontId="4" fillId="3" borderId="5" xfId="58" applyFill="1" applyBorder="1"/>
    <xf numFmtId="0" fontId="676" fillId="140" borderId="89" xfId="54" applyFont="1" applyFill="1" applyBorder="1" applyAlignment="1">
      <alignment horizontal="center" vertical="center"/>
    </xf>
    <xf numFmtId="0" fontId="148" fillId="12" borderId="0" xfId="48" applyFont="1" applyFill="1" applyAlignment="1">
      <alignment horizontal="center" vertical="center"/>
    </xf>
    <xf numFmtId="0" fontId="678" fillId="3" borderId="0" xfId="54" applyFont="1" applyFill="1" applyAlignment="1">
      <alignment horizontal="center" vertical="center"/>
    </xf>
    <xf numFmtId="0" fontId="34" fillId="148" borderId="0" xfId="50" applyFont="1" applyFill="1" applyAlignment="1">
      <alignment horizontal="center" vertical="center"/>
    </xf>
    <xf numFmtId="0" fontId="4" fillId="3" borderId="0" xfId="0" applyFont="1" applyFill="1"/>
    <xf numFmtId="0" fontId="15" fillId="3" borderId="0" xfId="49" applyFont="1" applyFill="1" applyAlignment="1">
      <alignment horizontal="left" vertical="center"/>
    </xf>
    <xf numFmtId="0" fontId="71" fillId="3" borderId="0" xfId="49" applyFont="1" applyFill="1" applyAlignment="1">
      <alignment horizontal="left" vertical="center"/>
    </xf>
    <xf numFmtId="0" fontId="675" fillId="3" borderId="0" xfId="49" applyFont="1" applyFill="1" applyAlignment="1">
      <alignment horizontal="left" vertical="center"/>
    </xf>
    <xf numFmtId="0" fontId="587" fillId="17" borderId="0" xfId="48" applyFont="1" applyFill="1" applyAlignment="1">
      <alignment horizontal="center" vertical="center"/>
    </xf>
    <xf numFmtId="0" fontId="561" fillId="156" borderId="0" xfId="59" applyFont="1" applyFill="1" applyAlignment="1">
      <alignment horizontal="center" vertical="center"/>
    </xf>
    <xf numFmtId="0" fontId="1" fillId="3" borderId="5" xfId="49" applyFont="1" applyFill="1" applyBorder="1" applyAlignment="1">
      <alignment vertical="center"/>
    </xf>
    <xf numFmtId="0" fontId="679" fillId="3" borderId="0" xfId="48" applyFont="1" applyFill="1" applyAlignment="1" applyProtection="1">
      <alignment vertical="center" wrapText="1"/>
      <protection hidden="1"/>
    </xf>
    <xf numFmtId="0" fontId="107" fillId="3" borderId="0" xfId="48" applyFont="1" applyFill="1" applyAlignment="1" applyProtection="1">
      <alignment horizontal="right" vertical="center"/>
      <protection hidden="1"/>
    </xf>
    <xf numFmtId="0" fontId="0" fillId="3" borderId="19" xfId="0" applyFill="1" applyBorder="1" applyAlignment="1">
      <alignment vertical="center"/>
    </xf>
    <xf numFmtId="0" fontId="0" fillId="3" borderId="18" xfId="0" applyFill="1" applyBorder="1" applyAlignment="1">
      <alignment vertical="center"/>
    </xf>
    <xf numFmtId="0" fontId="0" fillId="3" borderId="17" xfId="0" applyFill="1" applyBorder="1" applyAlignment="1">
      <alignment vertical="center"/>
    </xf>
    <xf numFmtId="0" fontId="11" fillId="3" borderId="5" xfId="51" applyFont="1" applyFill="1" applyBorder="1" applyAlignment="1">
      <alignment vertical="center"/>
    </xf>
    <xf numFmtId="0" fontId="550" fillId="23" borderId="5" xfId="48" applyFont="1" applyFill="1" applyBorder="1" applyAlignment="1" applyProtection="1">
      <alignment horizontal="center" vertical="center"/>
      <protection hidden="1"/>
    </xf>
    <xf numFmtId="0" fontId="550" fillId="23" borderId="5" xfId="48" applyFont="1" applyFill="1" applyBorder="1" applyAlignment="1" applyProtection="1">
      <alignment horizontal="left" vertical="center"/>
      <protection hidden="1"/>
    </xf>
    <xf numFmtId="0" fontId="550" fillId="23" borderId="0" xfId="48" applyFont="1" applyFill="1" applyAlignment="1" applyProtection="1">
      <alignment horizontal="left" vertical="center"/>
      <protection hidden="1"/>
    </xf>
    <xf numFmtId="0" fontId="550" fillId="23" borderId="294" xfId="48" applyFont="1" applyFill="1" applyBorder="1" applyAlignment="1" applyProtection="1">
      <alignment horizontal="left" vertical="center"/>
      <protection hidden="1"/>
    </xf>
    <xf numFmtId="0" fontId="54" fillId="23" borderId="5" xfId="48" applyFont="1" applyFill="1" applyBorder="1" applyAlignment="1" applyProtection="1">
      <alignment vertical="center"/>
      <protection hidden="1"/>
    </xf>
    <xf numFmtId="0" fontId="550" fillId="23" borderId="0" xfId="48" applyFont="1" applyFill="1" applyAlignment="1" applyProtection="1">
      <alignment vertical="center"/>
      <protection hidden="1"/>
    </xf>
    <xf numFmtId="0" fontId="534" fillId="23" borderId="5" xfId="48" applyFont="1" applyFill="1" applyBorder="1" applyAlignment="1" applyProtection="1">
      <alignment vertical="center"/>
      <protection hidden="1"/>
    </xf>
    <xf numFmtId="0" fontId="550" fillId="23" borderId="5" xfId="48" applyFont="1" applyFill="1" applyBorder="1" applyAlignment="1" applyProtection="1">
      <alignment vertical="center"/>
      <protection hidden="1"/>
    </xf>
    <xf numFmtId="0" fontId="550" fillId="23" borderId="5" xfId="60" applyFont="1" applyFill="1" applyBorder="1" applyAlignment="1">
      <alignment horizontal="left" vertical="center"/>
    </xf>
    <xf numFmtId="0" fontId="550" fillId="23" borderId="0" xfId="60" applyFont="1" applyFill="1" applyAlignment="1">
      <alignment horizontal="left" vertical="center"/>
    </xf>
    <xf numFmtId="0" fontId="550" fillId="23" borderId="5" xfId="36" applyFont="1" applyFill="1" applyBorder="1" applyAlignment="1">
      <alignment horizontal="left" vertical="center"/>
    </xf>
    <xf numFmtId="0" fontId="550" fillId="23" borderId="0" xfId="36" applyFont="1" applyFill="1" applyAlignment="1">
      <alignment horizontal="left" vertical="center"/>
    </xf>
    <xf numFmtId="0" fontId="35" fillId="23" borderId="5" xfId="61" applyFont="1" applyFill="1" applyBorder="1" applyAlignment="1">
      <alignment horizontal="center" vertical="center"/>
    </xf>
    <xf numFmtId="0" fontId="35" fillId="23" borderId="0" xfId="61" applyFont="1" applyFill="1" applyAlignment="1">
      <alignment horizontal="center" vertical="center"/>
    </xf>
    <xf numFmtId="0" fontId="148" fillId="133" borderId="5" xfId="48" applyFont="1" applyFill="1" applyBorder="1" applyAlignment="1">
      <alignment horizontal="center" vertical="center"/>
    </xf>
    <xf numFmtId="0" fontId="148" fillId="133" borderId="0" xfId="48" applyFont="1" applyFill="1" applyAlignment="1">
      <alignment horizontal="center" vertical="center"/>
    </xf>
    <xf numFmtId="0" fontId="148" fillId="133" borderId="294" xfId="48" applyFont="1" applyFill="1" applyBorder="1" applyAlignment="1">
      <alignment horizontal="center" vertical="center"/>
    </xf>
    <xf numFmtId="0" fontId="148" fillId="12" borderId="358" xfId="48" applyFont="1" applyFill="1" applyBorder="1" applyAlignment="1">
      <alignment horizontal="center" vertical="center"/>
    </xf>
    <xf numFmtId="0" fontId="148" fillId="12" borderId="1" xfId="48" applyFont="1" applyFill="1" applyBorder="1" applyAlignment="1">
      <alignment horizontal="center" vertical="center"/>
    </xf>
    <xf numFmtId="0" fontId="148" fillId="12" borderId="60" xfId="48" applyFont="1" applyFill="1" applyBorder="1" applyAlignment="1">
      <alignment horizontal="center" vertical="center"/>
    </xf>
    <xf numFmtId="0" fontId="587" fillId="41" borderId="0" xfId="30" applyFont="1" applyFill="1" applyAlignment="1">
      <alignment horizontal="center" vertical="center"/>
    </xf>
    <xf numFmtId="0" fontId="148" fillId="5" borderId="0" xfId="30" applyFont="1" applyFill="1" applyAlignment="1">
      <alignment horizontal="center" vertical="center"/>
    </xf>
    <xf numFmtId="0" fontId="147" fillId="4" borderId="35" xfId="30" applyFont="1" applyFill="1" applyBorder="1" applyAlignment="1">
      <alignment horizontal="center" vertical="center"/>
    </xf>
    <xf numFmtId="0" fontId="147" fillId="4" borderId="5" xfId="30" applyFont="1" applyFill="1" applyBorder="1" applyAlignment="1">
      <alignment horizontal="center" vertical="center"/>
    </xf>
    <xf numFmtId="0" fontId="147" fillId="4" borderId="423" xfId="30" applyFont="1" applyFill="1" applyBorder="1" applyAlignment="1">
      <alignment horizontal="center" vertical="center"/>
    </xf>
    <xf numFmtId="0" fontId="147" fillId="4" borderId="434" xfId="30" applyFont="1" applyFill="1" applyBorder="1" applyAlignment="1">
      <alignment horizontal="center" vertical="center"/>
    </xf>
    <xf numFmtId="0" fontId="147" fillId="4" borderId="120" xfId="30" applyFont="1" applyFill="1" applyBorder="1" applyAlignment="1">
      <alignment horizontal="center" vertical="center"/>
    </xf>
    <xf numFmtId="0" fontId="167" fillId="41" borderId="418" xfId="1" applyFont="1" applyFill="1" applyBorder="1" applyAlignment="1">
      <alignment horizontal="center" vertical="center"/>
    </xf>
    <xf numFmtId="0" fontId="24" fillId="0" borderId="217" xfId="1" applyFont="1" applyBorder="1"/>
    <xf numFmtId="0" fontId="24" fillId="0" borderId="234" xfId="1" applyFont="1" applyBorder="1"/>
    <xf numFmtId="0" fontId="167" fillId="41" borderId="424" xfId="1" applyFont="1" applyFill="1" applyBorder="1" applyAlignment="1">
      <alignment vertical="center"/>
    </xf>
    <xf numFmtId="0" fontId="90" fillId="3" borderId="448" xfId="1" applyFont="1" applyFill="1" applyBorder="1" applyAlignment="1">
      <alignment horizontal="left" vertical="center"/>
    </xf>
    <xf numFmtId="0" fontId="147" fillId="4" borderId="449" xfId="30" applyFont="1" applyFill="1" applyBorder="1" applyAlignment="1">
      <alignment horizontal="center" vertical="center"/>
    </xf>
    <xf numFmtId="187" fontId="389" fillId="0" borderId="212" xfId="1" applyNumberFormat="1" applyFont="1" applyBorder="1" applyAlignment="1">
      <alignment horizontal="center" vertical="center"/>
    </xf>
    <xf numFmtId="187" fontId="389" fillId="65" borderId="212" xfId="1" applyNumberFormat="1" applyFont="1" applyFill="1" applyBorder="1" applyAlignment="1">
      <alignment horizontal="center" vertical="center"/>
    </xf>
    <xf numFmtId="0" fontId="4" fillId="65" borderId="450" xfId="2" applyFill="1" applyBorder="1" applyAlignment="1">
      <alignment horizontal="center" vertical="center"/>
    </xf>
    <xf numFmtId="0" fontId="147" fillId="4" borderId="451" xfId="30" applyFont="1" applyFill="1" applyBorder="1" applyAlignment="1">
      <alignment horizontal="center" vertical="center"/>
    </xf>
    <xf numFmtId="0" fontId="393" fillId="2" borderId="206" xfId="24" applyFont="1" applyFill="1" applyBorder="1" applyAlignment="1" applyProtection="1">
      <alignment vertical="center"/>
    </xf>
    <xf numFmtId="0" fontId="4" fillId="65" borderId="452" xfId="2" applyFill="1" applyBorder="1" applyAlignment="1">
      <alignment horizontal="center" vertical="center"/>
    </xf>
    <xf numFmtId="0" fontId="387" fillId="3" borderId="206" xfId="1" applyFont="1" applyFill="1" applyBorder="1" applyAlignment="1" applyProtection="1">
      <alignment horizontal="center"/>
      <protection locked="0"/>
    </xf>
    <xf numFmtId="0" fontId="15" fillId="0" borderId="453" xfId="1" applyFont="1" applyBorder="1" applyAlignment="1">
      <alignment horizontal="center"/>
    </xf>
    <xf numFmtId="0" fontId="4" fillId="65" borderId="229" xfId="2" applyFill="1" applyBorder="1"/>
    <xf numFmtId="0" fontId="24" fillId="0" borderId="446" xfId="1" applyFont="1" applyBorder="1" applyAlignment="1">
      <alignment horizontal="left"/>
    </xf>
    <xf numFmtId="0" fontId="50" fillId="2" borderId="220" xfId="1" applyFont="1" applyFill="1" applyBorder="1" applyAlignment="1">
      <alignment horizontal="left" vertical="center"/>
    </xf>
    <xf numFmtId="165" fontId="16" fillId="3" borderId="222" xfId="3" applyNumberFormat="1" applyFont="1" applyFill="1" applyBorder="1" applyAlignment="1">
      <alignment horizontal="right" vertical="center"/>
    </xf>
    <xf numFmtId="0" fontId="19" fillId="3" borderId="0" xfId="4" applyFont="1" applyFill="1" applyAlignment="1">
      <alignment vertical="center"/>
    </xf>
    <xf numFmtId="0" fontId="680" fillId="140" borderId="414" xfId="47" applyFont="1" applyFill="1" applyBorder="1" applyAlignment="1">
      <alignment horizontal="center" vertical="center"/>
    </xf>
    <xf numFmtId="0" fontId="681" fillId="57" borderId="7" xfId="47" applyFont="1" applyFill="1" applyBorder="1" applyAlignment="1">
      <alignment horizontal="center" vertical="center"/>
    </xf>
    <xf numFmtId="0" fontId="681" fillId="157" borderId="7" xfId="47" applyFont="1" applyFill="1" applyBorder="1" applyAlignment="1">
      <alignment horizontal="center" vertical="center"/>
    </xf>
    <xf numFmtId="0" fontId="682" fillId="157" borderId="0" xfId="48" applyFont="1" applyFill="1" applyAlignment="1">
      <alignment horizontal="left" vertical="center"/>
    </xf>
    <xf numFmtId="0" fontId="683" fillId="157" borderId="0" xfId="48" applyFont="1" applyFill="1" applyAlignment="1">
      <alignment horizontal="left" vertical="center"/>
    </xf>
    <xf numFmtId="0" fontId="148" fillId="123" borderId="1" xfId="48" quotePrefix="1" applyFont="1" applyFill="1" applyBorder="1" applyAlignment="1">
      <alignment horizontal="center" vertical="center"/>
    </xf>
    <xf numFmtId="0" fontId="684" fillId="157" borderId="0" xfId="48" applyFont="1" applyFill="1" applyAlignment="1">
      <alignment horizontal="right" vertical="center"/>
    </xf>
    <xf numFmtId="0" fontId="685" fillId="157" borderId="0" xfId="48" applyFont="1" applyFill="1" applyAlignment="1">
      <alignment horizontal="left" vertical="center"/>
    </xf>
    <xf numFmtId="0" fontId="686" fillId="22" borderId="0" xfId="48" applyFont="1" applyFill="1" applyAlignment="1">
      <alignment vertical="center"/>
    </xf>
    <xf numFmtId="0" fontId="672" fillId="3" borderId="0" xfId="48" applyFont="1" applyFill="1" applyAlignment="1" applyProtection="1">
      <alignment horizontal="left" vertical="center"/>
      <protection hidden="1"/>
    </xf>
    <xf numFmtId="0" fontId="26" fillId="3" borderId="0" xfId="48" applyFont="1" applyFill="1" applyAlignment="1" applyProtection="1">
      <alignment horizontal="left" vertical="center"/>
      <protection hidden="1"/>
    </xf>
    <xf numFmtId="0" fontId="26" fillId="3" borderId="0" xfId="48" applyFont="1" applyFill="1" applyAlignment="1" applyProtection="1">
      <alignment horizontal="center" vertical="center"/>
      <protection hidden="1"/>
    </xf>
    <xf numFmtId="0" fontId="4" fillId="3" borderId="0" xfId="47" applyFill="1" applyAlignment="1">
      <alignment wrapText="1"/>
    </xf>
    <xf numFmtId="0" fontId="4" fillId="3" borderId="0" xfId="47" applyFill="1"/>
    <xf numFmtId="0" fontId="200" fillId="0" borderId="0" xfId="49" applyFont="1" applyAlignment="1">
      <alignment horizontal="right" vertical="center"/>
    </xf>
    <xf numFmtId="0" fontId="54" fillId="41" borderId="0" xfId="48" applyFont="1" applyFill="1" applyAlignment="1">
      <alignment horizontal="center" vertical="center"/>
    </xf>
    <xf numFmtId="0" fontId="579" fillId="140" borderId="0" xfId="47" applyFont="1" applyFill="1" applyAlignment="1">
      <alignment horizontal="right" vertical="center"/>
    </xf>
    <xf numFmtId="0" fontId="169" fillId="3" borderId="0" xfId="47" applyFont="1" applyFill="1" applyAlignment="1">
      <alignment vertical="center"/>
    </xf>
    <xf numFmtId="0" fontId="139" fillId="3" borderId="0" xfId="0" applyFont="1" applyFill="1" applyAlignment="1">
      <alignment vertical="center"/>
    </xf>
    <xf numFmtId="0" fontId="26" fillId="12" borderId="0" xfId="48" applyFont="1" applyFill="1" applyAlignment="1" applyProtection="1">
      <alignment horizontal="center" vertical="center"/>
      <protection hidden="1"/>
    </xf>
    <xf numFmtId="0" fontId="26" fillId="12" borderId="0" xfId="48" applyFont="1" applyFill="1" applyAlignment="1" applyProtection="1">
      <alignment horizontal="left" vertical="center"/>
      <protection hidden="1"/>
    </xf>
    <xf numFmtId="0" fontId="525" fillId="0" borderId="454" xfId="52" applyFont="1" applyBorder="1" applyAlignment="1">
      <alignment horizontal="center" vertical="center"/>
    </xf>
    <xf numFmtId="0" fontId="228" fillId="0" borderId="454" xfId="52" applyFont="1" applyBorder="1" applyAlignment="1">
      <alignment horizontal="center" vertical="center"/>
    </xf>
    <xf numFmtId="0" fontId="0" fillId="3" borderId="0" xfId="0" applyFill="1" applyAlignment="1">
      <alignment horizontal="left" vertical="center" wrapText="1"/>
    </xf>
    <xf numFmtId="0" fontId="4" fillId="0" borderId="0" xfId="47"/>
    <xf numFmtId="0" fontId="573" fillId="0" borderId="57" xfId="48" applyFont="1" applyBorder="1" applyAlignment="1" applyProtection="1">
      <alignment horizontal="center" vertical="center"/>
      <protection hidden="1"/>
    </xf>
    <xf numFmtId="0" fontId="687" fillId="0" borderId="455" xfId="52" applyFont="1" applyBorder="1" applyAlignment="1">
      <alignment horizontal="center" vertical="center"/>
    </xf>
    <xf numFmtId="0" fontId="594" fillId="12" borderId="0" xfId="48" applyFont="1" applyFill="1" applyAlignment="1" applyProtection="1">
      <alignment horizontal="left" vertical="center"/>
      <protection hidden="1"/>
    </xf>
    <xf numFmtId="0" fontId="594" fillId="12" borderId="0" xfId="48" applyFont="1" applyFill="1" applyAlignment="1" applyProtection="1">
      <alignment horizontal="center" vertical="center"/>
      <protection hidden="1"/>
    </xf>
    <xf numFmtId="0" fontId="594" fillId="12" borderId="458" xfId="48" applyFont="1" applyFill="1" applyBorder="1" applyAlignment="1" applyProtection="1">
      <alignment horizontal="center" vertical="center"/>
      <protection hidden="1"/>
    </xf>
    <xf numFmtId="0" fontId="594" fillId="3" borderId="0" xfId="48" applyFont="1" applyFill="1" applyAlignment="1" applyProtection="1">
      <alignment horizontal="center" vertical="center" wrapText="1"/>
      <protection hidden="1"/>
    </xf>
    <xf numFmtId="0" fontId="688" fillId="3" borderId="57" xfId="48" applyFont="1" applyFill="1" applyBorder="1" applyAlignment="1" applyProtection="1">
      <alignment horizontal="center" vertical="center"/>
      <protection hidden="1"/>
    </xf>
    <xf numFmtId="0" fontId="688" fillId="3" borderId="0" xfId="48" applyFont="1" applyFill="1" applyAlignment="1" applyProtection="1">
      <alignment horizontal="left" vertical="center"/>
      <protection locked="0"/>
    </xf>
    <xf numFmtId="0" fontId="6" fillId="0" borderId="459" xfId="0" applyFont="1" applyBorder="1" applyAlignment="1">
      <alignment horizontal="center" vertical="center" wrapText="1"/>
    </xf>
    <xf numFmtId="0" fontId="6" fillId="0" borderId="0" xfId="0" applyFont="1" applyAlignment="1">
      <alignment horizontal="left" vertical="center" wrapText="1"/>
    </xf>
    <xf numFmtId="0" fontId="6" fillId="0" borderId="439" xfId="0" applyFont="1" applyBorder="1" applyAlignment="1">
      <alignment horizontal="left" vertical="center" wrapText="1"/>
    </xf>
    <xf numFmtId="0" fontId="687" fillId="3" borderId="0" xfId="52" applyFont="1" applyFill="1" applyAlignment="1">
      <alignment horizontal="center" vertical="center"/>
    </xf>
    <xf numFmtId="0" fontId="687" fillId="0" borderId="444" xfId="52" applyFont="1" applyBorder="1" applyAlignment="1">
      <alignment horizontal="center" vertical="center"/>
    </xf>
    <xf numFmtId="0" fontId="689" fillId="3" borderId="57" xfId="48" applyFont="1" applyFill="1" applyBorder="1" applyAlignment="1" applyProtection="1">
      <alignment horizontal="center" vertical="center"/>
      <protection hidden="1"/>
    </xf>
    <xf numFmtId="0" fontId="15" fillId="3" borderId="0" xfId="48" applyFont="1" applyFill="1" applyAlignment="1" applyProtection="1">
      <alignment horizontal="left" vertical="center"/>
      <protection hidden="1"/>
    </xf>
    <xf numFmtId="0" fontId="0" fillId="3" borderId="395" xfId="0" applyFill="1" applyBorder="1" applyAlignment="1">
      <alignment vertical="center" wrapText="1"/>
    </xf>
    <xf numFmtId="0" fontId="0" fillId="3" borderId="458" xfId="0" applyFill="1" applyBorder="1" applyAlignment="1">
      <alignment vertical="center" wrapText="1"/>
    </xf>
    <xf numFmtId="0" fontId="594" fillId="3" borderId="0" xfId="48" applyFont="1" applyFill="1" applyAlignment="1" applyProtection="1">
      <alignment vertical="center" wrapText="1"/>
      <protection hidden="1"/>
    </xf>
    <xf numFmtId="0" fontId="593" fillId="3" borderId="458" xfId="47" applyFont="1" applyFill="1" applyBorder="1" applyAlignment="1">
      <alignment horizontal="center" vertical="center"/>
    </xf>
    <xf numFmtId="0" fontId="593" fillId="5" borderId="0" xfId="47" applyFont="1" applyFill="1" applyAlignment="1">
      <alignment horizontal="center" vertical="center"/>
    </xf>
    <xf numFmtId="0" fontId="593" fillId="12" borderId="85" xfId="47" applyFont="1" applyFill="1" applyBorder="1" applyAlignment="1">
      <alignment horizontal="center" vertical="center"/>
    </xf>
    <xf numFmtId="0" fontId="573" fillId="5" borderId="57" xfId="48" applyFont="1" applyFill="1" applyBorder="1" applyAlignment="1" applyProtection="1">
      <alignment horizontal="center" vertical="center"/>
      <protection hidden="1"/>
    </xf>
    <xf numFmtId="0" fontId="687" fillId="0" borderId="454" xfId="52" applyFont="1" applyBorder="1" applyAlignment="1">
      <alignment horizontal="center" vertical="center"/>
    </xf>
    <xf numFmtId="0" fontId="525" fillId="3" borderId="0" xfId="52" applyFont="1" applyFill="1" applyAlignment="1">
      <alignment horizontal="center" vertical="center"/>
    </xf>
    <xf numFmtId="0" fontId="594" fillId="12" borderId="395" xfId="48" applyFont="1" applyFill="1" applyBorder="1" applyAlignment="1" applyProtection="1">
      <alignment horizontal="left" vertical="center"/>
      <protection hidden="1"/>
    </xf>
    <xf numFmtId="0" fontId="390" fillId="3" borderId="57" xfId="48" applyFont="1" applyFill="1" applyBorder="1" applyAlignment="1" applyProtection="1">
      <alignment horizontal="center" vertical="center"/>
      <protection hidden="1"/>
    </xf>
    <xf numFmtId="0" fontId="6" fillId="3" borderId="458" xfId="0" applyFont="1" applyFill="1" applyBorder="1" applyAlignment="1">
      <alignment vertical="center" wrapText="1"/>
    </xf>
    <xf numFmtId="0" fontId="0" fillId="3" borderId="0" xfId="0" applyFill="1" applyAlignment="1">
      <alignment vertical="center" wrapText="1"/>
    </xf>
    <xf numFmtId="0" fontId="0" fillId="3" borderId="85" xfId="0" applyFill="1" applyBorder="1" applyAlignment="1">
      <alignment vertical="center" wrapText="1"/>
    </xf>
    <xf numFmtId="0" fontId="573" fillId="0" borderId="0" xfId="48" applyFont="1" applyAlignment="1" applyProtection="1">
      <alignment horizontal="left" vertical="center"/>
      <protection locked="0"/>
    </xf>
    <xf numFmtId="0" fontId="0" fillId="0" borderId="0" xfId="0" applyAlignment="1">
      <alignment vertical="center" wrapText="1"/>
    </xf>
    <xf numFmtId="0" fontId="689" fillId="3" borderId="0" xfId="48" applyFont="1" applyFill="1" applyAlignment="1" applyProtection="1">
      <alignment horizontal="center" vertical="center"/>
      <protection hidden="1"/>
    </xf>
    <xf numFmtId="0" fontId="4" fillId="3" borderId="395" xfId="0" applyFont="1" applyFill="1" applyBorder="1" applyAlignment="1">
      <alignment vertical="center" wrapText="1"/>
    </xf>
    <xf numFmtId="0" fontId="4" fillId="3" borderId="0" xfId="0" applyFont="1" applyFill="1" applyAlignment="1">
      <alignment vertical="center" wrapText="1"/>
    </xf>
    <xf numFmtId="0" fontId="6" fillId="0" borderId="0" xfId="0" applyFont="1" applyAlignment="1">
      <alignment vertical="center" wrapText="1"/>
    </xf>
    <xf numFmtId="0" fontId="15" fillId="3" borderId="0" xfId="48" applyFont="1" applyFill="1" applyAlignment="1" applyProtection="1">
      <alignment horizontal="left" vertical="center" wrapText="1"/>
      <protection hidden="1"/>
    </xf>
    <xf numFmtId="0" fontId="44" fillId="3" borderId="0" xfId="0" applyFont="1" applyFill="1" applyAlignment="1">
      <alignment vertical="center" wrapText="1"/>
    </xf>
    <xf numFmtId="0" fontId="4" fillId="3" borderId="395" xfId="0" applyFont="1" applyFill="1" applyBorder="1"/>
    <xf numFmtId="0" fontId="15" fillId="3" borderId="0" xfId="0" applyFont="1" applyFill="1" applyAlignment="1">
      <alignment vertical="center" wrapText="1"/>
    </xf>
    <xf numFmtId="0" fontId="689" fillId="3" borderId="460" xfId="48" applyFont="1" applyFill="1" applyBorder="1" applyAlignment="1" applyProtection="1">
      <alignment horizontal="center" vertical="center"/>
      <protection hidden="1"/>
    </xf>
    <xf numFmtId="0" fontId="15" fillId="3" borderId="444" xfId="48" applyFont="1" applyFill="1" applyBorder="1" applyAlignment="1" applyProtection="1">
      <alignment horizontal="left" vertical="center"/>
      <protection hidden="1"/>
    </xf>
    <xf numFmtId="0" fontId="0" fillId="3" borderId="461" xfId="0" applyFill="1" applyBorder="1" applyAlignment="1">
      <alignment vertical="center" wrapText="1"/>
    </xf>
    <xf numFmtId="0" fontId="0" fillId="3" borderId="462" xfId="0" applyFill="1" applyBorder="1" applyAlignment="1">
      <alignment vertical="center" wrapText="1"/>
    </xf>
    <xf numFmtId="0" fontId="40" fillId="3" borderId="0" xfId="48" applyFont="1" applyFill="1" applyAlignment="1" applyProtection="1">
      <alignment horizontal="left" vertical="center"/>
      <protection hidden="1"/>
    </xf>
    <xf numFmtId="0" fontId="40" fillId="3" borderId="0" xfId="48" applyFont="1" applyFill="1" applyAlignment="1" applyProtection="1">
      <alignment horizontal="right" vertical="center"/>
      <protection hidden="1"/>
    </xf>
    <xf numFmtId="0" fontId="71" fillId="3" borderId="0" xfId="48" applyFont="1" applyFill="1" applyAlignment="1" applyProtection="1">
      <alignment horizontal="left" vertical="center"/>
      <protection hidden="1"/>
    </xf>
    <xf numFmtId="0" fontId="46" fillId="3" borderId="0" xfId="48" applyFont="1" applyFill="1" applyAlignment="1" applyProtection="1">
      <alignment horizontal="left" vertical="center"/>
      <protection hidden="1"/>
    </xf>
    <xf numFmtId="0" fontId="66" fillId="3" borderId="0" xfId="28" applyFont="1" applyFill="1" applyBorder="1" applyAlignment="1">
      <alignment horizontal="center" vertical="center" wrapText="1"/>
    </xf>
    <xf numFmtId="0" fontId="46" fillId="3" borderId="0" xfId="28" applyFont="1" applyFill="1" applyBorder="1" applyAlignment="1">
      <alignment horizontal="left" vertical="center"/>
    </xf>
    <xf numFmtId="0" fontId="68" fillId="3" borderId="0" xfId="28" applyFont="1" applyFill="1" applyBorder="1" applyAlignment="1">
      <alignment horizontal="center" vertical="center" wrapText="1"/>
    </xf>
    <xf numFmtId="0" fontId="4" fillId="0" borderId="0" xfId="47" applyAlignment="1">
      <alignment wrapText="1"/>
    </xf>
    <xf numFmtId="0" fontId="46" fillId="3" borderId="0" xfId="48" applyFont="1" applyFill="1" applyAlignment="1" applyProtection="1">
      <alignment horizontal="center" vertical="center" wrapText="1"/>
      <protection hidden="1"/>
    </xf>
    <xf numFmtId="0" fontId="594" fillId="3" borderId="0" xfId="48" applyFont="1" applyFill="1" applyAlignment="1" applyProtection="1">
      <alignment horizontal="left" vertical="center"/>
      <protection hidden="1"/>
    </xf>
    <xf numFmtId="0" fontId="11" fillId="3" borderId="0" xfId="48" applyFont="1" applyFill="1" applyAlignment="1" applyProtection="1">
      <alignment horizontal="left" vertical="center"/>
      <protection hidden="1"/>
    </xf>
    <xf numFmtId="0" fontId="170" fillId="3" borderId="395" xfId="0" applyFont="1" applyFill="1" applyBorder="1" applyAlignment="1">
      <alignment vertical="center" wrapText="1"/>
    </xf>
    <xf numFmtId="0" fontId="170" fillId="3" borderId="458" xfId="0" applyFont="1" applyFill="1" applyBorder="1" applyAlignment="1">
      <alignment vertical="center" wrapText="1"/>
    </xf>
    <xf numFmtId="0" fontId="107" fillId="3" borderId="0" xfId="48" applyFont="1" applyFill="1" applyAlignment="1" applyProtection="1">
      <alignment horizontal="center" vertical="center" wrapText="1"/>
      <protection hidden="1"/>
    </xf>
    <xf numFmtId="0" fontId="690" fillId="12" borderId="463" xfId="47" applyFont="1" applyFill="1" applyBorder="1" applyAlignment="1">
      <alignment horizontal="center" vertical="center" wrapText="1"/>
    </xf>
    <xf numFmtId="0" fontId="594" fillId="12" borderId="101" xfId="48" applyFont="1" applyFill="1" applyBorder="1" applyAlignment="1" applyProtection="1">
      <alignment horizontal="left" vertical="center"/>
      <protection hidden="1"/>
    </xf>
    <xf numFmtId="0" fontId="691" fillId="12" borderId="101" xfId="48" applyFont="1" applyFill="1" applyBorder="1" applyAlignment="1" applyProtection="1">
      <alignment horizontal="left" vertical="center"/>
      <protection hidden="1"/>
    </xf>
    <xf numFmtId="0" fontId="691" fillId="12" borderId="158" xfId="48" applyFont="1" applyFill="1" applyBorder="1" applyAlignment="1" applyProtection="1">
      <alignment horizontal="left" vertical="center"/>
      <protection hidden="1"/>
    </xf>
    <xf numFmtId="0" fontId="15" fillId="3" borderId="0" xfId="48" applyFont="1" applyFill="1" applyAlignment="1" applyProtection="1">
      <alignment horizontal="center" vertical="center" wrapText="1"/>
      <protection hidden="1"/>
    </xf>
    <xf numFmtId="0" fontId="688" fillId="3" borderId="0" xfId="48" applyFont="1" applyFill="1" applyAlignment="1" applyProtection="1">
      <alignment horizontal="left" vertical="center" wrapText="1"/>
      <protection locked="0"/>
    </xf>
    <xf numFmtId="0" fontId="147" fillId="3" borderId="0" xfId="48" applyFont="1" applyFill="1" applyAlignment="1" applyProtection="1">
      <alignment horizontal="left" vertical="center" wrapText="1"/>
      <protection locked="0"/>
    </xf>
    <xf numFmtId="0" fontId="4" fillId="0" borderId="395" xfId="47" applyBorder="1" applyAlignment="1">
      <alignment wrapText="1"/>
    </xf>
    <xf numFmtId="0" fontId="4" fillId="0" borderId="458" xfId="47" applyBorder="1" applyAlignment="1">
      <alignment wrapText="1"/>
    </xf>
    <xf numFmtId="0" fontId="147" fillId="3" borderId="395" xfId="48" applyFont="1" applyFill="1" applyBorder="1" applyAlignment="1" applyProtection="1">
      <alignment horizontal="left" vertical="center" wrapText="1"/>
      <protection hidden="1"/>
    </xf>
    <xf numFmtId="0" fontId="147" fillId="3" borderId="0" xfId="48" applyFont="1" applyFill="1" applyAlignment="1" applyProtection="1">
      <alignment horizontal="left" vertical="center" wrapText="1"/>
      <protection hidden="1"/>
    </xf>
    <xf numFmtId="0" fontId="4" fillId="12" borderId="463" xfId="47" applyFill="1" applyBorder="1" applyAlignment="1">
      <alignment wrapText="1"/>
    </xf>
    <xf numFmtId="0" fontId="4" fillId="3" borderId="395" xfId="49" applyFill="1" applyBorder="1" applyAlignment="1">
      <alignment vertical="center"/>
    </xf>
    <xf numFmtId="0" fontId="4" fillId="3" borderId="0" xfId="49" applyFill="1" applyAlignment="1">
      <alignment vertical="center"/>
    </xf>
    <xf numFmtId="0" fontId="431" fillId="12" borderId="0" xfId="48" applyFont="1" applyFill="1" applyAlignment="1" applyProtection="1">
      <alignment horizontal="center" vertical="center"/>
      <protection hidden="1"/>
    </xf>
    <xf numFmtId="0" fontId="431" fillId="12" borderId="0" xfId="48" applyFont="1" applyFill="1" applyAlignment="1" applyProtection="1">
      <alignment horizontal="left" vertical="center"/>
      <protection hidden="1"/>
    </xf>
    <xf numFmtId="0" fontId="431" fillId="12" borderId="395" xfId="48" applyFont="1" applyFill="1" applyBorder="1" applyAlignment="1" applyProtection="1">
      <alignment horizontal="left" vertical="center"/>
      <protection hidden="1"/>
    </xf>
    <xf numFmtId="0" fontId="354" fillId="3" borderId="0" xfId="48" applyFont="1" applyFill="1" applyAlignment="1" applyProtection="1">
      <alignment horizontal="center" vertical="center"/>
      <protection hidden="1"/>
    </xf>
    <xf numFmtId="0" fontId="354" fillId="3" borderId="0" xfId="48" applyFont="1" applyFill="1" applyAlignment="1" applyProtection="1">
      <alignment horizontal="left" vertical="center"/>
      <protection hidden="1"/>
    </xf>
    <xf numFmtId="0" fontId="693" fillId="3" borderId="395" xfId="0" applyFont="1" applyFill="1" applyBorder="1" applyAlignment="1">
      <alignment vertical="center" wrapText="1"/>
    </xf>
    <xf numFmtId="0" fontId="693" fillId="3" borderId="0" xfId="0" applyFont="1" applyFill="1" applyAlignment="1">
      <alignment vertical="center" wrapText="1"/>
    </xf>
    <xf numFmtId="0" fontId="693" fillId="3" borderId="0" xfId="0" applyFont="1" applyFill="1"/>
    <xf numFmtId="0" fontId="0" fillId="158" borderId="0" xfId="0" applyFill="1"/>
    <xf numFmtId="0" fontId="11" fillId="158" borderId="0" xfId="36" applyFont="1" applyFill="1" applyAlignment="1">
      <alignment horizontal="right" vertical="center"/>
    </xf>
    <xf numFmtId="0" fontId="687" fillId="3" borderId="0" xfId="52" applyFont="1" applyFill="1" applyAlignment="1">
      <alignment vertical="center"/>
    </xf>
    <xf numFmtId="0" fontId="4" fillId="0" borderId="0" xfId="49" applyAlignment="1">
      <alignment vertical="center"/>
    </xf>
    <xf numFmtId="0" fontId="206" fillId="3" borderId="0" xfId="28" applyFont="1" applyFill="1" applyAlignment="1">
      <alignment horizontal="left" vertical="center"/>
    </xf>
    <xf numFmtId="0" fontId="6" fillId="3" borderId="0" xfId="0" applyFont="1" applyFill="1" applyAlignment="1">
      <alignment vertical="center" wrapText="1"/>
    </xf>
    <xf numFmtId="0" fontId="1" fillId="3" borderId="0" xfId="47" applyFont="1" applyFill="1" applyAlignment="1">
      <alignment wrapText="1"/>
    </xf>
    <xf numFmtId="0" fontId="4" fillId="0" borderId="464" xfId="47" applyBorder="1" applyAlignment="1">
      <alignment wrapText="1"/>
    </xf>
    <xf numFmtId="0" fontId="0" fillId="3" borderId="356" xfId="0" applyFill="1" applyBorder="1" applyAlignment="1">
      <alignment horizontal="left" vertical="center" wrapText="1"/>
    </xf>
    <xf numFmtId="0" fontId="689" fillId="3" borderId="464" xfId="48" applyFont="1" applyFill="1" applyBorder="1" applyAlignment="1" applyProtection="1">
      <alignment horizontal="center" vertical="center"/>
      <protection hidden="1"/>
    </xf>
    <xf numFmtId="0" fontId="689" fillId="3" borderId="127" xfId="48" applyFont="1" applyFill="1" applyBorder="1" applyAlignment="1" applyProtection="1">
      <alignment horizontal="center" vertical="center"/>
      <protection hidden="1"/>
    </xf>
    <xf numFmtId="0" fontId="1" fillId="3" borderId="58" xfId="0" applyFont="1" applyFill="1" applyBorder="1" applyAlignment="1">
      <alignment horizontal="left" vertical="center"/>
    </xf>
    <xf numFmtId="0" fontId="0" fillId="3" borderId="58" xfId="0" applyFill="1" applyBorder="1" applyAlignment="1">
      <alignment horizontal="left" vertical="center" wrapText="1"/>
    </xf>
    <xf numFmtId="0" fontId="0" fillId="3" borderId="132" xfId="0" applyFill="1" applyBorder="1" applyAlignment="1">
      <alignment horizontal="left" vertical="center" wrapText="1"/>
    </xf>
    <xf numFmtId="0" fontId="689" fillId="12" borderId="464" xfId="48" applyFont="1" applyFill="1" applyBorder="1" applyAlignment="1" applyProtection="1">
      <alignment horizontal="center" vertical="center"/>
      <protection hidden="1"/>
    </xf>
    <xf numFmtId="0" fontId="691" fillId="12" borderId="0" xfId="48" applyFont="1" applyFill="1" applyAlignment="1" applyProtection="1">
      <alignment horizontal="left" vertical="center"/>
      <protection hidden="1"/>
    </xf>
    <xf numFmtId="0" fontId="691" fillId="12" borderId="356" xfId="48" applyFont="1" applyFill="1" applyBorder="1" applyAlignment="1" applyProtection="1">
      <alignment horizontal="left" vertical="center"/>
      <protection hidden="1"/>
    </xf>
    <xf numFmtId="0" fontId="4" fillId="3" borderId="356" xfId="47" applyFill="1" applyBorder="1" applyAlignment="1">
      <alignment horizontal="left" vertical="center" wrapText="1"/>
    </xf>
    <xf numFmtId="0" fontId="689" fillId="12" borderId="463" xfId="48" applyFont="1" applyFill="1" applyBorder="1" applyAlignment="1" applyProtection="1">
      <alignment horizontal="center" vertical="center"/>
      <protection hidden="1"/>
    </xf>
    <xf numFmtId="0" fontId="0" fillId="12" borderId="101" xfId="0" applyFill="1" applyBorder="1"/>
    <xf numFmtId="0" fontId="689" fillId="12" borderId="101" xfId="48" applyFont="1" applyFill="1" applyBorder="1" applyAlignment="1" applyProtection="1">
      <alignment horizontal="center" vertical="center"/>
      <protection hidden="1"/>
    </xf>
    <xf numFmtId="0" fontId="15" fillId="12" borderId="158" xfId="48" applyFont="1" applyFill="1" applyBorder="1" applyAlignment="1" applyProtection="1">
      <alignment horizontal="left" vertical="center"/>
      <protection hidden="1"/>
    </xf>
    <xf numFmtId="0" fontId="4" fillId="3" borderId="0" xfId="47" applyFill="1" applyAlignment="1">
      <alignment horizontal="left" vertical="center" wrapText="1"/>
    </xf>
    <xf numFmtId="0" fontId="15" fillId="3" borderId="356" xfId="48" applyFont="1" applyFill="1" applyBorder="1" applyAlignment="1" applyProtection="1">
      <alignment horizontal="left" vertical="center"/>
      <protection hidden="1"/>
    </xf>
    <xf numFmtId="0" fontId="4" fillId="3" borderId="58" xfId="47" applyFill="1" applyBorder="1" applyAlignment="1">
      <alignment horizontal="left" vertical="center" wrapText="1"/>
    </xf>
    <xf numFmtId="0" fontId="689" fillId="3" borderId="58" xfId="48" applyFont="1" applyFill="1" applyBorder="1" applyAlignment="1" applyProtection="1">
      <alignment horizontal="center" vertical="center"/>
      <protection hidden="1"/>
    </xf>
    <xf numFmtId="0" fontId="15" fillId="3" borderId="132" xfId="48" applyFont="1" applyFill="1" applyBorder="1" applyAlignment="1" applyProtection="1">
      <alignment horizontal="left" vertical="center"/>
      <protection hidden="1"/>
    </xf>
    <xf numFmtId="0" fontId="695" fillId="0" borderId="0" xfId="0" applyFont="1" applyAlignment="1">
      <alignment vertical="center" wrapText="1"/>
    </xf>
    <xf numFmtId="0" fontId="1" fillId="3" borderId="356" xfId="0" applyFont="1" applyFill="1" applyBorder="1" applyAlignment="1">
      <alignment horizontal="left" vertical="center"/>
    </xf>
    <xf numFmtId="0" fontId="4" fillId="3" borderId="356" xfId="47" applyFill="1" applyBorder="1" applyAlignment="1">
      <alignment wrapText="1"/>
    </xf>
    <xf numFmtId="0" fontId="0" fillId="3" borderId="58" xfId="0" applyFill="1" applyBorder="1" applyAlignment="1">
      <alignment horizontal="left" vertical="center"/>
    </xf>
    <xf numFmtId="0" fontId="4" fillId="3" borderId="132" xfId="47" applyFill="1" applyBorder="1" applyAlignment="1">
      <alignment wrapText="1"/>
    </xf>
    <xf numFmtId="0" fontId="573" fillId="3" borderId="57" xfId="48" applyFont="1" applyFill="1" applyBorder="1" applyAlignment="1" applyProtection="1">
      <alignment horizontal="center" vertical="center"/>
      <protection hidden="1"/>
    </xf>
    <xf numFmtId="0" fontId="430" fillId="3" borderId="0" xfId="52" applyFont="1" applyFill="1" applyAlignment="1">
      <alignment horizontal="center" vertical="center"/>
    </xf>
    <xf numFmtId="0" fontId="687" fillId="0" borderId="0" xfId="52" applyFont="1" applyAlignment="1">
      <alignment horizontal="center" vertical="center"/>
    </xf>
    <xf numFmtId="0" fontId="687" fillId="3" borderId="454" xfId="52" applyFont="1" applyFill="1" applyBorder="1" applyAlignment="1">
      <alignment horizontal="center" vertical="center"/>
    </xf>
    <xf numFmtId="0" fontId="394" fillId="0" borderId="0" xfId="48" applyFont="1" applyAlignment="1" applyProtection="1">
      <alignment horizontal="left" vertical="center"/>
      <protection locked="0"/>
    </xf>
    <xf numFmtId="0" fontId="90" fillId="0" borderId="0" xfId="0" applyFont="1"/>
    <xf numFmtId="0" fontId="90" fillId="0" borderId="0" xfId="0" applyFont="1" applyAlignment="1">
      <alignment vertical="center" wrapText="1"/>
    </xf>
    <xf numFmtId="0" fontId="0" fillId="157" borderId="0" xfId="0" applyFill="1" applyAlignment="1">
      <alignment vertical="center"/>
    </xf>
    <xf numFmtId="0" fontId="561" fillId="157" borderId="0" xfId="49" applyFont="1" applyFill="1" applyAlignment="1">
      <alignment horizontal="center" vertical="center"/>
    </xf>
    <xf numFmtId="0" fontId="0" fillId="22" borderId="0" xfId="0" applyFill="1" applyAlignment="1">
      <alignment horizontal="center" vertical="center"/>
    </xf>
    <xf numFmtId="0" fontId="0" fillId="0" borderId="0" xfId="0" applyAlignment="1">
      <alignment horizontal="center" vertical="center"/>
    </xf>
    <xf numFmtId="0" fontId="698" fillId="3" borderId="0" xfId="52" applyFont="1" applyFill="1" applyAlignment="1">
      <alignment horizontal="right" vertical="center"/>
    </xf>
    <xf numFmtId="0" fontId="698" fillId="0" borderId="0" xfId="52" applyFont="1" applyAlignment="1">
      <alignment horizontal="center" vertical="center"/>
    </xf>
    <xf numFmtId="0" fontId="0" fillId="0" borderId="438" xfId="0" applyBorder="1" applyAlignment="1">
      <alignment horizontal="center" vertical="center"/>
    </xf>
    <xf numFmtId="0" fontId="699" fillId="0" borderId="465" xfId="36" applyFont="1" applyBorder="1" applyAlignment="1">
      <alignment horizontal="center" vertical="center"/>
    </xf>
    <xf numFmtId="0" fontId="699" fillId="0" borderId="439" xfId="36" applyFont="1" applyBorder="1" applyAlignment="1">
      <alignment horizontal="center" vertical="center"/>
    </xf>
    <xf numFmtId="0" fontId="525" fillId="0" borderId="0" xfId="52" applyFont="1" applyAlignment="1">
      <alignment vertical="center"/>
    </xf>
    <xf numFmtId="0" fontId="525" fillId="0" borderId="0" xfId="52" applyFont="1" applyAlignment="1">
      <alignment horizontal="center" vertical="center"/>
    </xf>
    <xf numFmtId="0" fontId="689" fillId="3" borderId="466" xfId="48" applyFont="1" applyFill="1" applyBorder="1" applyAlignment="1" applyProtection="1">
      <alignment horizontal="center" vertical="center"/>
      <protection hidden="1"/>
    </xf>
    <xf numFmtId="0" fontId="573" fillId="3" borderId="0" xfId="48" applyFont="1" applyFill="1" applyAlignment="1" applyProtection="1">
      <alignment horizontal="right" vertical="center"/>
      <protection locked="0"/>
    </xf>
    <xf numFmtId="0" fontId="700" fillId="3" borderId="57" xfId="0" applyFont="1" applyFill="1" applyBorder="1" applyAlignment="1">
      <alignment horizontal="right" vertical="center" wrapText="1"/>
    </xf>
    <xf numFmtId="0" fontId="701" fillId="3" borderId="57" xfId="0" applyFont="1" applyFill="1" applyBorder="1" applyAlignment="1">
      <alignment horizontal="right" vertical="center" wrapText="1"/>
    </xf>
    <xf numFmtId="0" fontId="426" fillId="0" borderId="57" xfId="52" applyFont="1" applyBorder="1" applyAlignment="1">
      <alignment horizontal="center" vertical="center"/>
    </xf>
    <xf numFmtId="0" fontId="702" fillId="3" borderId="57" xfId="48" applyFont="1" applyFill="1" applyBorder="1" applyAlignment="1" applyProtection="1">
      <alignment horizontal="center" vertical="center"/>
      <protection hidden="1"/>
    </xf>
    <xf numFmtId="0" fontId="71" fillId="3" borderId="0" xfId="52" applyFont="1" applyFill="1" applyAlignment="1">
      <alignment vertical="center"/>
    </xf>
    <xf numFmtId="0" fontId="703" fillId="0" borderId="0" xfId="0" applyFont="1" applyAlignment="1">
      <alignment vertical="center" wrapText="1"/>
    </xf>
    <xf numFmtId="0" fontId="703" fillId="0" borderId="57" xfId="0" applyFont="1" applyBorder="1" applyAlignment="1">
      <alignment horizontal="right" vertical="center" wrapText="1"/>
    </xf>
    <xf numFmtId="0" fontId="703" fillId="0" borderId="85" xfId="0" applyFont="1" applyBorder="1" applyAlignment="1">
      <alignment vertical="center" wrapText="1"/>
    </xf>
    <xf numFmtId="0" fontId="704" fillId="0" borderId="0" xfId="0" applyFont="1" applyAlignment="1">
      <alignment horizontal="right" vertical="center" wrapText="1"/>
    </xf>
    <xf numFmtId="0" fontId="698" fillId="3" borderId="57" xfId="52" applyFont="1" applyFill="1" applyBorder="1" applyAlignment="1">
      <alignment horizontal="right" vertical="center"/>
    </xf>
    <xf numFmtId="0" fontId="698" fillId="0" borderId="85" xfId="52" applyFont="1" applyBorder="1" applyAlignment="1">
      <alignment horizontal="center" vertical="center"/>
    </xf>
    <xf numFmtId="0" fontId="692" fillId="3" borderId="464" xfId="48" applyFont="1" applyFill="1" applyBorder="1" applyAlignment="1" applyProtection="1">
      <alignment horizontal="right" vertical="center"/>
      <protection locked="0"/>
    </xf>
    <xf numFmtId="0" fontId="170" fillId="0" borderId="85" xfId="0" applyFont="1" applyBorder="1"/>
    <xf numFmtId="0" fontId="0" fillId="3" borderId="58" xfId="0" applyFill="1" applyBorder="1" applyAlignment="1">
      <alignment vertical="center" wrapText="1"/>
    </xf>
    <xf numFmtId="0" fontId="700" fillId="3" borderId="59" xfId="0" applyFont="1" applyFill="1" applyBorder="1" applyAlignment="1">
      <alignment horizontal="right" vertical="center" wrapText="1"/>
    </xf>
    <xf numFmtId="0" fontId="701" fillId="3" borderId="59" xfId="0" applyFont="1" applyFill="1" applyBorder="1" applyAlignment="1">
      <alignment horizontal="right" vertical="center" wrapText="1"/>
    </xf>
    <xf numFmtId="0" fontId="0" fillId="3" borderId="254" xfId="0" applyFill="1" applyBorder="1" applyAlignment="1">
      <alignment vertical="center" wrapText="1"/>
    </xf>
    <xf numFmtId="0" fontId="0" fillId="0" borderId="57" xfId="0" applyBorder="1" applyAlignment="1">
      <alignment horizontal="center" vertical="center"/>
    </xf>
    <xf numFmtId="0" fontId="692" fillId="3" borderId="85" xfId="48" applyFont="1" applyFill="1" applyBorder="1" applyAlignment="1" applyProtection="1">
      <alignment horizontal="left" vertical="center"/>
      <protection locked="0"/>
    </xf>
    <xf numFmtId="0" fontId="594" fillId="3" borderId="0" xfId="48" applyFont="1" applyFill="1" applyAlignment="1" applyProtection="1">
      <alignment horizontal="center" vertical="center"/>
      <protection hidden="1"/>
    </xf>
    <xf numFmtId="0" fontId="0" fillId="3" borderId="291" xfId="0" applyFill="1" applyBorder="1" applyAlignment="1">
      <alignment vertical="center" wrapText="1"/>
    </xf>
    <xf numFmtId="0" fontId="700" fillId="3" borderId="133" xfId="0" applyFont="1" applyFill="1" applyBorder="1" applyAlignment="1">
      <alignment horizontal="right" vertical="center" wrapText="1"/>
    </xf>
    <xf numFmtId="0" fontId="701" fillId="3" borderId="133" xfId="0" applyFont="1" applyFill="1" applyBorder="1" applyAlignment="1">
      <alignment horizontal="right" vertical="center" wrapText="1"/>
    </xf>
    <xf numFmtId="0" fontId="0" fillId="3" borderId="467" xfId="0" applyFill="1" applyBorder="1" applyAlignment="1">
      <alignment vertical="center" wrapText="1"/>
    </xf>
    <xf numFmtId="0" fontId="0" fillId="3" borderId="101" xfId="0" applyFill="1" applyBorder="1" applyAlignment="1">
      <alignment vertical="center" wrapText="1"/>
    </xf>
    <xf numFmtId="0" fontId="700" fillId="3" borderId="328" xfId="0" applyFont="1" applyFill="1" applyBorder="1" applyAlignment="1">
      <alignment horizontal="right" vertical="center" wrapText="1"/>
    </xf>
    <xf numFmtId="0" fontId="701" fillId="3" borderId="328" xfId="0" applyFont="1" applyFill="1" applyBorder="1" applyAlignment="1">
      <alignment horizontal="right" vertical="center" wrapText="1"/>
    </xf>
    <xf numFmtId="0" fontId="0" fillId="3" borderId="468" xfId="0" applyFill="1" applyBorder="1" applyAlignment="1">
      <alignment vertical="center" wrapText="1"/>
    </xf>
    <xf numFmtId="0" fontId="426" fillId="5" borderId="57" xfId="52" applyFont="1" applyFill="1" applyBorder="1" applyAlignment="1">
      <alignment horizontal="center" vertical="center"/>
    </xf>
    <xf numFmtId="0" fontId="170" fillId="3" borderId="0" xfId="0" applyFont="1" applyFill="1" applyAlignment="1">
      <alignment vertical="center" wrapText="1"/>
    </xf>
    <xf numFmtId="0" fontId="705" fillId="3" borderId="57" xfId="52" applyFont="1" applyFill="1" applyBorder="1" applyAlignment="1">
      <alignment horizontal="right" vertical="center"/>
    </xf>
    <xf numFmtId="0" fontId="573" fillId="0" borderId="57" xfId="48" applyFont="1" applyBorder="1" applyAlignment="1" applyProtection="1">
      <alignment horizontal="right" vertical="center"/>
      <protection locked="0"/>
    </xf>
    <xf numFmtId="0" fontId="573" fillId="0" borderId="0" xfId="48" applyFont="1" applyAlignment="1" applyProtection="1">
      <alignment horizontal="right" vertical="center"/>
      <protection locked="0"/>
    </xf>
    <xf numFmtId="0" fontId="700" fillId="0" borderId="57" xfId="0" applyFont="1" applyBorder="1" applyAlignment="1">
      <alignment horizontal="right" vertical="center" wrapText="1"/>
    </xf>
    <xf numFmtId="0" fontId="701" fillId="0" borderId="57" xfId="0" applyFont="1" applyBorder="1" applyAlignment="1">
      <alignment horizontal="right" vertical="center" wrapText="1"/>
    </xf>
    <xf numFmtId="0" fontId="0" fillId="0" borderId="85" xfId="0" applyBorder="1" applyAlignment="1">
      <alignment vertical="center" wrapText="1"/>
    </xf>
    <xf numFmtId="0" fontId="525" fillId="3" borderId="57" xfId="52" applyFont="1" applyFill="1" applyBorder="1" applyAlignment="1">
      <alignment horizontal="right" vertical="center"/>
    </xf>
    <xf numFmtId="0" fontId="525" fillId="3" borderId="85" xfId="52" applyFont="1" applyFill="1" applyBorder="1" applyAlignment="1">
      <alignment horizontal="center" vertical="center"/>
    </xf>
    <xf numFmtId="0" fontId="525" fillId="3" borderId="0" xfId="52" applyFont="1" applyFill="1" applyAlignment="1">
      <alignment horizontal="right" vertical="center"/>
    </xf>
    <xf numFmtId="0" fontId="525" fillId="0" borderId="85" xfId="52" applyFont="1" applyBorder="1" applyAlignment="1">
      <alignment horizontal="center" vertical="center"/>
    </xf>
    <xf numFmtId="0" fontId="699" fillId="3" borderId="85" xfId="36" applyFont="1" applyFill="1" applyBorder="1" applyAlignment="1">
      <alignment vertical="center"/>
    </xf>
    <xf numFmtId="0" fontId="170" fillId="3" borderId="85" xfId="0" applyFont="1" applyFill="1" applyBorder="1"/>
    <xf numFmtId="0" fontId="170" fillId="0" borderId="464" xfId="0" applyFont="1" applyBorder="1"/>
    <xf numFmtId="0" fontId="431" fillId="3" borderId="0" xfId="48" applyFont="1" applyFill="1" applyAlignment="1" applyProtection="1">
      <alignment horizontal="center" vertical="center"/>
      <protection hidden="1"/>
    </xf>
    <xf numFmtId="0" fontId="431" fillId="3" borderId="0" xfId="48" applyFont="1" applyFill="1" applyAlignment="1" applyProtection="1">
      <alignment horizontal="left" vertical="center"/>
      <protection hidden="1"/>
    </xf>
    <xf numFmtId="0" fontId="170" fillId="3" borderId="464" xfId="0" applyFont="1" applyFill="1" applyBorder="1" applyAlignment="1">
      <alignment horizontal="right"/>
    </xf>
    <xf numFmtId="0" fontId="0" fillId="3" borderId="101" xfId="0" applyFill="1" applyBorder="1" applyAlignment="1">
      <alignment horizontal="right" vertical="center" wrapText="1"/>
    </xf>
    <xf numFmtId="0" fontId="6" fillId="3" borderId="101" xfId="0" applyFont="1" applyFill="1" applyBorder="1" applyAlignment="1">
      <alignment horizontal="right" vertical="center" wrapText="1"/>
    </xf>
    <xf numFmtId="0" fontId="703" fillId="3" borderId="0" xfId="0" applyFont="1" applyFill="1" applyAlignment="1">
      <alignment vertical="center" wrapText="1"/>
    </xf>
    <xf numFmtId="0" fontId="707" fillId="3" borderId="57" xfId="0" applyFont="1" applyFill="1" applyBorder="1" applyAlignment="1">
      <alignment horizontal="right" vertical="center" wrapText="1"/>
    </xf>
    <xf numFmtId="0" fontId="703" fillId="3" borderId="85" xfId="0" applyFont="1" applyFill="1" applyBorder="1" applyAlignment="1">
      <alignment vertical="center" wrapText="1"/>
    </xf>
    <xf numFmtId="0" fontId="708" fillId="3" borderId="0" xfId="0" applyFont="1" applyFill="1" applyAlignment="1">
      <alignment horizontal="right" vertical="center" wrapText="1"/>
    </xf>
    <xf numFmtId="0" fontId="703" fillId="3" borderId="57" xfId="0" applyFont="1" applyFill="1" applyBorder="1" applyAlignment="1">
      <alignment horizontal="right" vertical="center" wrapText="1"/>
    </xf>
    <xf numFmtId="0" fontId="704" fillId="3" borderId="0" xfId="0" applyFont="1" applyFill="1" applyAlignment="1">
      <alignment horizontal="right" vertical="center" wrapText="1"/>
    </xf>
    <xf numFmtId="0" fontId="0" fillId="0" borderId="460" xfId="0" applyBorder="1" applyAlignment="1">
      <alignment horizontal="center" vertical="center"/>
    </xf>
    <xf numFmtId="0" fontId="170" fillId="3" borderId="469" xfId="0" applyFont="1" applyFill="1" applyBorder="1" applyAlignment="1">
      <alignment horizontal="right"/>
    </xf>
    <xf numFmtId="0" fontId="170" fillId="3" borderId="470" xfId="0" applyFont="1" applyFill="1" applyBorder="1"/>
    <xf numFmtId="0" fontId="707" fillId="0" borderId="85" xfId="0" applyFont="1" applyBorder="1" applyAlignment="1">
      <alignment vertical="center" wrapText="1"/>
    </xf>
    <xf numFmtId="0" fontId="703" fillId="3" borderId="0" xfId="0" applyFont="1" applyFill="1" applyAlignment="1">
      <alignment horizontal="right" vertical="center" wrapText="1"/>
    </xf>
    <xf numFmtId="0" fontId="691" fillId="3" borderId="0" xfId="48" applyFont="1" applyFill="1" applyAlignment="1" applyProtection="1">
      <alignment horizontal="left" vertical="center"/>
      <protection hidden="1"/>
    </xf>
    <xf numFmtId="0" fontId="707" fillId="3" borderId="0" xfId="48" applyFont="1" applyFill="1" applyAlignment="1" applyProtection="1">
      <alignment horizontal="left" vertical="center"/>
      <protection hidden="1"/>
    </xf>
    <xf numFmtId="0" fontId="704" fillId="0" borderId="0" xfId="0" applyFont="1" applyAlignment="1">
      <alignment vertical="center" wrapText="1"/>
    </xf>
    <xf numFmtId="0" fontId="0" fillId="0" borderId="0" xfId="0" applyAlignment="1">
      <alignment vertical="center"/>
    </xf>
    <xf numFmtId="0" fontId="40" fillId="3" borderId="0" xfId="49" applyFont="1" applyFill="1" applyAlignment="1">
      <alignment vertical="center"/>
    </xf>
    <xf numFmtId="0" fontId="71" fillId="3" borderId="0" xfId="0" applyFont="1" applyFill="1" applyAlignment="1">
      <alignment vertical="center"/>
    </xf>
    <xf numFmtId="0" fontId="710" fillId="3" borderId="0" xfId="0" applyFont="1" applyFill="1" applyAlignment="1">
      <alignment vertical="center"/>
    </xf>
    <xf numFmtId="0" fontId="709" fillId="3" borderId="0" xfId="0" applyFont="1" applyFill="1" applyAlignment="1">
      <alignment horizontal="left" vertical="center"/>
    </xf>
    <xf numFmtId="0" fontId="32" fillId="3" borderId="0" xfId="32" applyFont="1" applyFill="1" applyAlignment="1" applyProtection="1">
      <alignment vertical="center"/>
      <protection locked="0"/>
    </xf>
    <xf numFmtId="0" fontId="147" fillId="3" borderId="0" xfId="32" applyFont="1" applyFill="1" applyAlignment="1" applyProtection="1">
      <alignment vertical="center"/>
      <protection locked="0"/>
    </xf>
    <xf numFmtId="0" fontId="71" fillId="3" borderId="0" xfId="32" applyFont="1" applyFill="1" applyAlignment="1" applyProtection="1">
      <alignment vertical="center"/>
      <protection locked="0"/>
    </xf>
    <xf numFmtId="0" fontId="594" fillId="3" borderId="0" xfId="49" applyFont="1" applyFill="1" applyAlignment="1">
      <alignment vertical="center"/>
    </xf>
    <xf numFmtId="0" fontId="15" fillId="3" borderId="0" xfId="32" applyFont="1" applyFill="1" applyAlignment="1" applyProtection="1">
      <alignment vertical="center"/>
      <protection locked="0"/>
    </xf>
    <xf numFmtId="0" fontId="71" fillId="3" borderId="0" xfId="0" applyFont="1" applyFill="1" applyAlignment="1">
      <alignment horizontal="right" vertical="center"/>
    </xf>
    <xf numFmtId="0" fontId="71" fillId="3" borderId="0" xfId="0" applyFont="1" applyFill="1" applyAlignment="1">
      <alignment horizontal="left" vertical="center"/>
    </xf>
    <xf numFmtId="0" fontId="695" fillId="3" borderId="0" xfId="0" applyFont="1" applyFill="1" applyAlignment="1">
      <alignment horizontal="left" vertical="center"/>
    </xf>
    <xf numFmtId="0" fontId="57" fillId="3" borderId="0" xfId="8" applyFill="1" applyAlignment="1">
      <alignment vertical="center"/>
    </xf>
    <xf numFmtId="0" fontId="6" fillId="3" borderId="0" xfId="0" applyFont="1" applyFill="1" applyAlignment="1">
      <alignment horizontal="right" vertical="center"/>
    </xf>
    <xf numFmtId="0" fontId="57" fillId="0" borderId="0" xfId="8" applyAlignment="1">
      <alignment vertical="center"/>
    </xf>
    <xf numFmtId="0" fontId="32" fillId="3" borderId="0" xfId="0" applyFont="1" applyFill="1"/>
    <xf numFmtId="0" fontId="553" fillId="3" borderId="0" xfId="0" applyFont="1" applyFill="1" applyAlignment="1">
      <alignment vertical="center"/>
    </xf>
    <xf numFmtId="0" fontId="0" fillId="3" borderId="0" xfId="0" applyFill="1" applyAlignment="1">
      <alignment horizontal="left" vertical="center" indent="1"/>
    </xf>
    <xf numFmtId="0" fontId="6" fillId="3" borderId="0" xfId="0" applyFont="1" applyFill="1" applyAlignment="1">
      <alignment horizontal="left" vertical="center" indent="1"/>
    </xf>
    <xf numFmtId="0" fontId="6" fillId="3" borderId="0" xfId="0" applyFont="1" applyFill="1" applyAlignment="1">
      <alignment horizontal="center" vertical="center" wrapText="1"/>
    </xf>
    <xf numFmtId="0" fontId="148" fillId="5" borderId="0" xfId="48" applyFont="1" applyFill="1" applyAlignment="1">
      <alignment horizontal="center" vertical="center"/>
    </xf>
    <xf numFmtId="0" fontId="713" fillId="57" borderId="7" xfId="47" applyFont="1" applyFill="1" applyBorder="1" applyAlignment="1">
      <alignment horizontal="center" vertical="center"/>
    </xf>
    <xf numFmtId="0" fontId="4" fillId="0" borderId="0" xfId="49"/>
    <xf numFmtId="0" fontId="713" fillId="157" borderId="7" xfId="47" applyFont="1" applyFill="1" applyBorder="1" applyAlignment="1">
      <alignment horizontal="center" vertical="center"/>
    </xf>
    <xf numFmtId="0" fontId="174" fillId="3" borderId="0" xfId="54" applyFont="1" applyFill="1" applyAlignment="1">
      <alignment horizontal="center" vertical="center"/>
    </xf>
    <xf numFmtId="0" fontId="684" fillId="157" borderId="0" xfId="48" applyFont="1" applyFill="1" applyAlignment="1">
      <alignment horizontal="left" vertical="center"/>
    </xf>
    <xf numFmtId="0" fontId="714" fillId="3" borderId="0" xfId="48" applyFont="1" applyFill="1" applyAlignment="1">
      <alignment horizontal="center" vertical="center"/>
    </xf>
    <xf numFmtId="0" fontId="1" fillId="3" borderId="0" xfId="49" applyFont="1" applyFill="1"/>
    <xf numFmtId="0" fontId="587" fillId="147" borderId="0" xfId="49" applyFont="1" applyFill="1" applyAlignment="1">
      <alignment horizontal="right" vertical="center"/>
    </xf>
    <xf numFmtId="0" fontId="44" fillId="3" borderId="0" xfId="0" applyFont="1" applyFill="1"/>
    <xf numFmtId="0" fontId="15" fillId="3" borderId="0" xfId="54" applyFont="1" applyFill="1"/>
    <xf numFmtId="0" fontId="30" fillId="0" borderId="0" xfId="49" applyFont="1" applyAlignment="1">
      <alignment horizontal="center" vertical="center"/>
    </xf>
    <xf numFmtId="0" fontId="669" fillId="23" borderId="0" xfId="49" applyFont="1" applyFill="1" applyAlignment="1">
      <alignment vertical="center"/>
    </xf>
    <xf numFmtId="0" fontId="561" fillId="47" borderId="0" xfId="26" applyFont="1" applyFill="1" applyAlignment="1">
      <alignment horizontal="center" vertical="center"/>
    </xf>
    <xf numFmtId="0" fontId="715" fillId="8" borderId="0" xfId="26" applyFont="1" applyFill="1" applyAlignment="1">
      <alignment horizontal="center" vertical="center"/>
    </xf>
    <xf numFmtId="0" fontId="4" fillId="76" borderId="0" xfId="26" applyFont="1" applyFill="1" applyAlignment="1">
      <alignment horizontal="center" vertical="center"/>
    </xf>
    <xf numFmtId="0" fontId="715" fillId="39" borderId="0" xfId="26" applyFont="1" applyFill="1" applyAlignment="1">
      <alignment horizontal="center" vertical="center"/>
    </xf>
    <xf numFmtId="0" fontId="561" fillId="37" borderId="0" xfId="26" applyFont="1" applyFill="1" applyAlignment="1">
      <alignment horizontal="center" vertical="center"/>
    </xf>
    <xf numFmtId="0" fontId="715" fillId="48" borderId="0" xfId="26" applyFont="1" applyFill="1" applyAlignment="1">
      <alignment horizontal="center" vertical="center"/>
    </xf>
    <xf numFmtId="0" fontId="715" fillId="77" borderId="0" xfId="26" applyFont="1" applyFill="1" applyAlignment="1">
      <alignment horizontal="center" vertical="center"/>
    </xf>
    <xf numFmtId="0" fontId="715" fillId="78" borderId="0" xfId="26" applyFont="1" applyFill="1" applyAlignment="1">
      <alignment horizontal="center" vertical="center"/>
    </xf>
    <xf numFmtId="0" fontId="170" fillId="3" borderId="0" xfId="49" applyFont="1" applyFill="1"/>
    <xf numFmtId="0" fontId="561" fillId="79" borderId="0" xfId="26" applyFont="1" applyFill="1" applyAlignment="1">
      <alignment horizontal="center" vertical="center"/>
    </xf>
    <xf numFmtId="0" fontId="561" fillId="80" borderId="0" xfId="26" applyFont="1" applyFill="1" applyAlignment="1">
      <alignment horizontal="center" vertical="center"/>
    </xf>
    <xf numFmtId="0" fontId="561" fillId="81" borderId="0" xfId="26" applyFont="1" applyFill="1" applyAlignment="1">
      <alignment horizontal="center" vertical="center"/>
    </xf>
    <xf numFmtId="0" fontId="715" fillId="82" borderId="0" xfId="26" applyFont="1" applyFill="1" applyAlignment="1">
      <alignment horizontal="center" vertical="center"/>
    </xf>
    <xf numFmtId="0" fontId="561" fillId="83" borderId="0" xfId="26" applyFont="1" applyFill="1" applyAlignment="1">
      <alignment horizontal="center" vertical="center"/>
    </xf>
    <xf numFmtId="0" fontId="715" fillId="84" borderId="0" xfId="26" applyFont="1" applyFill="1" applyAlignment="1">
      <alignment horizontal="center" vertical="center"/>
    </xf>
    <xf numFmtId="0" fontId="715" fillId="32" borderId="0" xfId="26" applyFont="1" applyFill="1" applyAlignment="1">
      <alignment horizontal="center" vertical="center"/>
    </xf>
    <xf numFmtId="0" fontId="715" fillId="57" borderId="0" xfId="26" applyFont="1" applyFill="1" applyAlignment="1">
      <alignment horizontal="center" vertical="center"/>
    </xf>
    <xf numFmtId="0" fontId="715" fillId="86" borderId="0" xfId="26" applyFont="1" applyFill="1" applyAlignment="1">
      <alignment horizontal="center" vertical="center"/>
    </xf>
    <xf numFmtId="0" fontId="561" fillId="87" borderId="0" xfId="26" applyFont="1" applyFill="1" applyAlignment="1">
      <alignment horizontal="center" vertical="center"/>
    </xf>
    <xf numFmtId="0" fontId="715" fillId="15" borderId="0" xfId="26" applyFont="1" applyFill="1" applyAlignment="1">
      <alignment horizontal="center" vertical="center"/>
    </xf>
    <xf numFmtId="0" fontId="715" fillId="88" borderId="0" xfId="26" applyFont="1" applyFill="1" applyAlignment="1">
      <alignment horizontal="center" vertical="center"/>
    </xf>
    <xf numFmtId="0" fontId="561" fillId="89" borderId="0" xfId="26" applyFont="1" applyFill="1" applyAlignment="1">
      <alignment horizontal="center" vertical="center"/>
    </xf>
    <xf numFmtId="0" fontId="715" fillId="90" borderId="0" xfId="26" applyFont="1" applyFill="1" applyAlignment="1">
      <alignment horizontal="center" vertical="center"/>
    </xf>
    <xf numFmtId="0" fontId="715" fillId="91" borderId="0" xfId="26" applyFont="1" applyFill="1" applyAlignment="1">
      <alignment horizontal="center" vertical="center"/>
    </xf>
    <xf numFmtId="0" fontId="715" fillId="56" borderId="0" xfId="26" applyFont="1" applyFill="1" applyAlignment="1">
      <alignment horizontal="center" vertical="center"/>
    </xf>
    <xf numFmtId="0" fontId="561" fillId="93" borderId="0" xfId="26" applyFont="1" applyFill="1" applyAlignment="1">
      <alignment horizontal="center" vertical="center"/>
    </xf>
    <xf numFmtId="0" fontId="561" fillId="94" borderId="0" xfId="26" applyFont="1" applyFill="1" applyAlignment="1">
      <alignment horizontal="center" vertical="center"/>
    </xf>
    <xf numFmtId="0" fontId="715" fillId="95" borderId="0" xfId="26" applyFont="1" applyFill="1" applyAlignment="1">
      <alignment horizontal="center" vertical="center"/>
    </xf>
    <xf numFmtId="0" fontId="715" fillId="96" borderId="0" xfId="26" applyFont="1" applyFill="1" applyAlignment="1">
      <alignment horizontal="center" vertical="center"/>
    </xf>
    <xf numFmtId="0" fontId="561" fillId="97" borderId="0" xfId="26" applyFont="1" applyFill="1" applyAlignment="1">
      <alignment horizontal="center" vertical="center"/>
    </xf>
    <xf numFmtId="0" fontId="561" fillId="98" borderId="0" xfId="26" applyFont="1" applyFill="1" applyAlignment="1">
      <alignment horizontal="center" vertical="center"/>
    </xf>
    <xf numFmtId="0" fontId="561" fillId="99" borderId="0" xfId="26" applyFont="1" applyFill="1" applyAlignment="1">
      <alignment horizontal="center" vertical="center"/>
    </xf>
    <xf numFmtId="0" fontId="561" fillId="100" borderId="0" xfId="26" applyFont="1" applyFill="1" applyAlignment="1">
      <alignment horizontal="center" vertical="center"/>
    </xf>
    <xf numFmtId="0" fontId="40" fillId="3" borderId="471" xfId="49" applyFont="1" applyFill="1" applyBorder="1"/>
    <xf numFmtId="0" fontId="715" fillId="102" borderId="0" xfId="26" applyFont="1" applyFill="1" applyAlignment="1">
      <alignment horizontal="center" vertical="center"/>
    </xf>
    <xf numFmtId="0" fontId="715" fillId="103" borderId="0" xfId="26" applyFont="1" applyFill="1" applyAlignment="1">
      <alignment horizontal="center" vertical="center"/>
    </xf>
    <xf numFmtId="0" fontId="715" fillId="9" borderId="0" xfId="26" applyFont="1" applyFill="1" applyAlignment="1">
      <alignment horizontal="center" vertical="center"/>
    </xf>
    <xf numFmtId="0" fontId="715" fillId="25" borderId="0" xfId="26" applyFont="1" applyFill="1" applyAlignment="1">
      <alignment horizontal="center" vertical="center"/>
    </xf>
    <xf numFmtId="0" fontId="715" fillId="104" borderId="0" xfId="26" applyFont="1" applyFill="1" applyAlignment="1">
      <alignment horizontal="center" vertical="center"/>
    </xf>
    <xf numFmtId="0" fontId="715" fillId="105" borderId="0" xfId="26" applyFont="1" applyFill="1" applyAlignment="1">
      <alignment horizontal="center" vertical="center"/>
    </xf>
    <xf numFmtId="0" fontId="715" fillId="38" borderId="0" xfId="26" applyFont="1" applyFill="1" applyAlignment="1">
      <alignment horizontal="center" vertical="center"/>
    </xf>
    <xf numFmtId="0" fontId="715" fillId="106" borderId="0" xfId="26" applyFont="1" applyFill="1" applyAlignment="1">
      <alignment horizontal="center" vertical="center"/>
    </xf>
    <xf numFmtId="0" fontId="561" fillId="107" borderId="0" xfId="26" applyFont="1" applyFill="1" applyAlignment="1">
      <alignment horizontal="center" vertical="center"/>
    </xf>
    <xf numFmtId="0" fontId="715" fillId="108" borderId="0" xfId="26" applyFont="1" applyFill="1" applyAlignment="1">
      <alignment horizontal="center" vertical="center"/>
    </xf>
    <xf numFmtId="0" fontId="715" fillId="33" borderId="0" xfId="26" applyFont="1" applyFill="1" applyAlignment="1">
      <alignment horizontal="center" vertical="center"/>
    </xf>
    <xf numFmtId="0" fontId="715" fillId="74" borderId="0" xfId="26" applyFont="1" applyFill="1" applyAlignment="1">
      <alignment horizontal="center" vertical="center"/>
    </xf>
    <xf numFmtId="0" fontId="715" fillId="109" borderId="0" xfId="26" applyFont="1" applyFill="1" applyAlignment="1">
      <alignment horizontal="center" vertical="center"/>
    </xf>
    <xf numFmtId="0" fontId="561" fillId="26" borderId="0" xfId="26" applyFont="1" applyFill="1" applyAlignment="1">
      <alignment horizontal="center" vertical="center"/>
    </xf>
    <xf numFmtId="0" fontId="561" fillId="110" borderId="0" xfId="26" applyFont="1" applyFill="1" applyAlignment="1">
      <alignment horizontal="center" vertical="center"/>
    </xf>
    <xf numFmtId="0" fontId="561" fillId="111" borderId="0" xfId="26" applyFont="1" applyFill="1" applyAlignment="1">
      <alignment horizontal="center" vertical="center"/>
    </xf>
    <xf numFmtId="0" fontId="561" fillId="112" borderId="0" xfId="26" applyFont="1" applyFill="1" applyAlignment="1">
      <alignment horizontal="center" vertical="center"/>
    </xf>
    <xf numFmtId="0" fontId="561" fillId="113" borderId="0" xfId="26" applyFont="1" applyFill="1" applyAlignment="1">
      <alignment horizontal="center" vertical="center"/>
    </xf>
    <xf numFmtId="0" fontId="561" fillId="114" borderId="0" xfId="26" applyFont="1" applyFill="1" applyAlignment="1">
      <alignment horizontal="center" vertical="center"/>
    </xf>
    <xf numFmtId="0" fontId="561" fillId="115" borderId="0" xfId="26" applyFont="1" applyFill="1" applyAlignment="1">
      <alignment horizontal="center" vertical="center"/>
    </xf>
    <xf numFmtId="0" fontId="561" fillId="116" borderId="0" xfId="26" applyFont="1" applyFill="1" applyAlignment="1">
      <alignment horizontal="center" vertical="center"/>
    </xf>
    <xf numFmtId="0" fontId="561" fillId="117" borderId="0" xfId="26" applyFont="1" applyFill="1" applyAlignment="1">
      <alignment horizontal="center" vertical="center"/>
    </xf>
    <xf numFmtId="0" fontId="561" fillId="118" borderId="0" xfId="26" applyFont="1" applyFill="1" applyAlignment="1">
      <alignment horizontal="center" vertical="center"/>
    </xf>
    <xf numFmtId="0" fontId="561" fillId="69" borderId="0" xfId="26" applyFont="1" applyFill="1" applyAlignment="1">
      <alignment horizontal="center" vertical="center"/>
    </xf>
    <xf numFmtId="0" fontId="716" fillId="0" borderId="0" xfId="48" applyFont="1" applyAlignment="1">
      <alignment horizontal="center" vertical="center"/>
    </xf>
    <xf numFmtId="0" fontId="46" fillId="3" borderId="57" xfId="54" applyFont="1" applyFill="1" applyBorder="1" applyAlignment="1">
      <alignment vertical="center"/>
    </xf>
    <xf numFmtId="0" fontId="46" fillId="3" borderId="85" xfId="54" applyFont="1" applyFill="1" applyBorder="1" applyAlignment="1">
      <alignment vertical="center"/>
    </xf>
    <xf numFmtId="0" fontId="719" fillId="3" borderId="1" xfId="0" applyFont="1" applyFill="1" applyBorder="1" applyAlignment="1">
      <alignment horizontal="center"/>
    </xf>
    <xf numFmtId="0" fontId="719" fillId="3" borderId="1" xfId="62" applyFont="1" applyFill="1" applyBorder="1" applyAlignment="1">
      <alignment horizontal="center"/>
    </xf>
    <xf numFmtId="0" fontId="719" fillId="3" borderId="472" xfId="62" applyFont="1" applyFill="1" applyBorder="1" applyAlignment="1">
      <alignment horizontal="center"/>
    </xf>
    <xf numFmtId="0" fontId="719" fillId="3" borderId="60" xfId="0" applyFont="1" applyFill="1" applyBorder="1" applyAlignment="1">
      <alignment horizontal="center"/>
    </xf>
    <xf numFmtId="0" fontId="719" fillId="3" borderId="473" xfId="62" applyFont="1" applyFill="1" applyBorder="1" applyAlignment="1">
      <alignment horizontal="center"/>
    </xf>
    <xf numFmtId="0" fontId="719" fillId="3" borderId="474" xfId="0" applyFont="1" applyFill="1" applyBorder="1" applyAlignment="1">
      <alignment horizontal="center"/>
    </xf>
    <xf numFmtId="0" fontId="218" fillId="160" borderId="411" xfId="26" applyFont="1" applyFill="1" applyBorder="1" applyAlignment="1">
      <alignment horizontal="center" vertical="center" wrapText="1"/>
    </xf>
    <xf numFmtId="0" fontId="0" fillId="0" borderId="475" xfId="0" applyBorder="1" applyAlignment="1">
      <alignment horizontal="center" vertical="center"/>
    </xf>
    <xf numFmtId="0" fontId="721" fillId="8" borderId="475" xfId="26" applyFont="1" applyFill="1" applyBorder="1" applyAlignment="1">
      <alignment horizontal="center" vertical="center" wrapText="1"/>
    </xf>
    <xf numFmtId="0" fontId="218" fillId="83" borderId="476" xfId="26" applyFont="1" applyFill="1" applyBorder="1" applyAlignment="1">
      <alignment horizontal="center" vertical="center" wrapText="1"/>
    </xf>
    <xf numFmtId="0" fontId="722" fillId="161" borderId="0" xfId="0" applyFont="1" applyFill="1"/>
    <xf numFmtId="0" fontId="423" fillId="0" borderId="477" xfId="62" applyFont="1" applyBorder="1" applyAlignment="1">
      <alignment horizontal="left" vertical="center" wrapText="1"/>
    </xf>
    <xf numFmtId="0" fontId="423" fillId="0" borderId="478" xfId="62" applyFont="1" applyBorder="1" applyAlignment="1">
      <alignment horizontal="left" vertical="center"/>
    </xf>
    <xf numFmtId="0" fontId="423" fillId="0" borderId="479" xfId="62" applyFont="1" applyBorder="1" applyAlignment="1">
      <alignment horizontal="center" vertical="center"/>
    </xf>
    <xf numFmtId="0" fontId="722" fillId="0" borderId="480" xfId="0" applyFont="1" applyBorder="1" applyAlignment="1">
      <alignment horizontal="center" vertical="center"/>
    </xf>
    <xf numFmtId="0" fontId="722" fillId="0" borderId="481" xfId="0" applyFont="1" applyBorder="1" applyAlignment="1">
      <alignment horizontal="center" vertical="center"/>
    </xf>
    <xf numFmtId="0" fontId="722" fillId="162" borderId="0" xfId="0" applyFont="1" applyFill="1"/>
    <xf numFmtId="0" fontId="423" fillId="0" borderId="482" xfId="62" applyFont="1" applyBorder="1" applyAlignment="1">
      <alignment horizontal="left" wrapText="1" indent="1"/>
    </xf>
    <xf numFmtId="0" fontId="423" fillId="0" borderId="483" xfId="62" applyFont="1" applyBorder="1" applyAlignment="1">
      <alignment horizontal="left" indent="1"/>
    </xf>
    <xf numFmtId="0" fontId="423" fillId="0" borderId="484" xfId="62" applyFont="1" applyBorder="1" applyAlignment="1">
      <alignment horizontal="right" indent="1"/>
    </xf>
    <xf numFmtId="0" fontId="722" fillId="0" borderId="485" xfId="0" applyFont="1" applyBorder="1" applyAlignment="1">
      <alignment horizontal="right" indent="1"/>
    </xf>
    <xf numFmtId="0" fontId="722" fillId="0" borderId="486" xfId="0" applyFont="1" applyBorder="1" applyAlignment="1">
      <alignment horizontal="right" indent="1"/>
    </xf>
    <xf numFmtId="0" fontId="722" fillId="163" borderId="0" xfId="0" applyFont="1" applyFill="1"/>
    <xf numFmtId="0" fontId="423" fillId="0" borderId="486" xfId="62" applyFont="1" applyBorder="1" applyAlignment="1">
      <alignment horizontal="left" wrapText="1" indent="1"/>
    </xf>
    <xf numFmtId="0" fontId="721" fillId="60" borderId="411" xfId="26" applyFont="1" applyFill="1" applyBorder="1" applyAlignment="1">
      <alignment horizontal="center" vertical="center" wrapText="1"/>
    </xf>
    <xf numFmtId="0" fontId="218" fillId="79" borderId="476" xfId="26" applyFont="1" applyFill="1" applyBorder="1" applyAlignment="1">
      <alignment horizontal="center" vertical="center" wrapText="1"/>
    </xf>
    <xf numFmtId="0" fontId="722" fillId="164" borderId="0" xfId="0" applyFont="1" applyFill="1"/>
    <xf numFmtId="0" fontId="423" fillId="0" borderId="482" xfId="62" applyFont="1" applyBorder="1" applyAlignment="1">
      <alignment horizontal="left" vertical="center" wrapText="1"/>
    </xf>
    <xf numFmtId="0" fontId="423" fillId="0" borderId="483" xfId="62" applyFont="1" applyBorder="1" applyAlignment="1">
      <alignment horizontal="left" vertical="center"/>
    </xf>
    <xf numFmtId="0" fontId="423" fillId="0" borderId="484" xfId="62" applyFont="1" applyBorder="1" applyAlignment="1">
      <alignment horizontal="center" vertical="center"/>
    </xf>
    <xf numFmtId="0" fontId="722" fillId="0" borderId="485" xfId="0" applyFont="1" applyBorder="1" applyAlignment="1">
      <alignment horizontal="center" vertical="center"/>
    </xf>
    <xf numFmtId="0" fontId="722" fillId="0" borderId="486" xfId="0" applyFont="1" applyBorder="1" applyAlignment="1">
      <alignment horizontal="center" vertical="center"/>
    </xf>
    <xf numFmtId="0" fontId="722" fillId="165" borderId="0" xfId="0" applyFont="1" applyFill="1"/>
    <xf numFmtId="0" fontId="722" fillId="166" borderId="0" xfId="0" applyFont="1" applyFill="1"/>
    <xf numFmtId="0" fontId="423" fillId="0" borderId="486" xfId="62" applyFont="1" applyBorder="1" applyAlignment="1">
      <alignment horizontal="left" indent="1"/>
    </xf>
    <xf numFmtId="0" fontId="721" fillId="17" borderId="411" xfId="26" applyFont="1" applyFill="1" applyBorder="1" applyAlignment="1">
      <alignment horizontal="center" vertical="center" wrapText="1"/>
    </xf>
    <xf numFmtId="0" fontId="218" fillId="84" borderId="476" xfId="26" applyFont="1" applyFill="1" applyBorder="1" applyAlignment="1">
      <alignment horizontal="center" vertical="center" wrapText="1"/>
    </xf>
    <xf numFmtId="0" fontId="722" fillId="167" borderId="0" xfId="0" applyFont="1" applyFill="1"/>
    <xf numFmtId="0" fontId="722" fillId="168" borderId="0" xfId="0" applyFont="1" applyFill="1"/>
    <xf numFmtId="0" fontId="722" fillId="169" borderId="0" xfId="0" applyFont="1" applyFill="1"/>
    <xf numFmtId="0" fontId="721" fillId="119" borderId="411" xfId="26" applyFont="1" applyFill="1" applyBorder="1" applyAlignment="1">
      <alignment horizontal="center" vertical="center" wrapText="1"/>
    </xf>
    <xf numFmtId="0" fontId="218" fillId="37" borderId="476" xfId="26" applyFont="1" applyFill="1" applyBorder="1" applyAlignment="1">
      <alignment horizontal="center" vertical="center" wrapText="1"/>
    </xf>
    <xf numFmtId="0" fontId="722" fillId="170" borderId="0" xfId="0" applyFont="1" applyFill="1"/>
    <xf numFmtId="0" fontId="722" fillId="171" borderId="0" xfId="0" applyFont="1" applyFill="1"/>
    <xf numFmtId="0" fontId="722" fillId="172" borderId="0" xfId="0" applyFont="1" applyFill="1"/>
    <xf numFmtId="0" fontId="721" fillId="45" borderId="476" xfId="26" applyFont="1" applyFill="1" applyBorder="1" applyAlignment="1">
      <alignment horizontal="center" vertical="center" wrapText="1"/>
    </xf>
    <xf numFmtId="0" fontId="721" fillId="102" borderId="476" xfId="26" applyFont="1" applyFill="1" applyBorder="1" applyAlignment="1">
      <alignment horizontal="center" vertical="center" wrapText="1"/>
    </xf>
    <xf numFmtId="0" fontId="722" fillId="173" borderId="0" xfId="0" applyFont="1" applyFill="1"/>
    <xf numFmtId="0" fontId="423" fillId="0" borderId="482" xfId="62" applyFont="1" applyBorder="1" applyAlignment="1">
      <alignment horizontal="left" vertical="center"/>
    </xf>
    <xf numFmtId="0" fontId="722" fillId="174" borderId="0" xfId="0" applyFont="1" applyFill="1"/>
    <xf numFmtId="0" fontId="722" fillId="175" borderId="0" xfId="0" applyFont="1" applyFill="1"/>
    <xf numFmtId="0" fontId="721" fillId="22" borderId="476" xfId="26" applyFont="1" applyFill="1" applyBorder="1" applyAlignment="1">
      <alignment horizontal="center" vertical="center" wrapText="1"/>
    </xf>
    <xf numFmtId="0" fontId="721" fillId="88" borderId="476" xfId="26" applyFont="1" applyFill="1" applyBorder="1" applyAlignment="1">
      <alignment horizontal="center" vertical="center" wrapText="1"/>
    </xf>
    <xf numFmtId="0" fontId="722" fillId="176" borderId="0" xfId="0" applyFont="1" applyFill="1"/>
    <xf numFmtId="0" fontId="722" fillId="177" borderId="0" xfId="0" applyFont="1" applyFill="1"/>
    <xf numFmtId="0" fontId="722" fillId="178" borderId="0" xfId="0" applyFont="1" applyFill="1"/>
    <xf numFmtId="0" fontId="721" fillId="121" borderId="476" xfId="26" applyFont="1" applyFill="1" applyBorder="1" applyAlignment="1">
      <alignment horizontal="center" vertical="center" wrapText="1"/>
    </xf>
    <xf numFmtId="0" fontId="721" fillId="9" borderId="476" xfId="26" applyFont="1" applyFill="1" applyBorder="1" applyAlignment="1">
      <alignment horizontal="center" vertical="center" wrapText="1"/>
    </xf>
    <xf numFmtId="0" fontId="722" fillId="179" borderId="0" xfId="0" applyFont="1" applyFill="1"/>
    <xf numFmtId="0" fontId="722" fillId="180" borderId="0" xfId="0" applyFont="1" applyFill="1"/>
    <xf numFmtId="0" fontId="722" fillId="181" borderId="0" xfId="0" applyFont="1" applyFill="1"/>
    <xf numFmtId="0" fontId="721" fillId="182" borderId="476" xfId="26" applyFont="1" applyFill="1" applyBorder="1" applyAlignment="1">
      <alignment horizontal="center" vertical="center" wrapText="1"/>
    </xf>
    <xf numFmtId="0" fontId="721" fillId="25" borderId="476" xfId="26" applyFont="1" applyFill="1" applyBorder="1" applyAlignment="1">
      <alignment horizontal="center" vertical="center" wrapText="1"/>
    </xf>
    <xf numFmtId="0" fontId="722" fillId="183" borderId="0" xfId="0" applyFont="1" applyFill="1"/>
    <xf numFmtId="0" fontId="722" fillId="184" borderId="0" xfId="0" applyFont="1" applyFill="1"/>
    <xf numFmtId="0" fontId="722" fillId="185" borderId="0" xfId="0" applyFont="1" applyFill="1"/>
    <xf numFmtId="0" fontId="218" fillId="159" borderId="476" xfId="26" applyFont="1" applyFill="1" applyBorder="1" applyAlignment="1">
      <alignment horizontal="center" vertical="center" wrapText="1"/>
    </xf>
    <xf numFmtId="0" fontId="721" fillId="104" borderId="476" xfId="26" applyFont="1" applyFill="1" applyBorder="1" applyAlignment="1">
      <alignment horizontal="center" vertical="center" wrapText="1"/>
    </xf>
    <xf numFmtId="0" fontId="722" fillId="186" borderId="0" xfId="0" applyFont="1" applyFill="1"/>
    <xf numFmtId="0" fontId="722" fillId="187" borderId="0" xfId="0" applyFont="1" applyFill="1"/>
    <xf numFmtId="0" fontId="722" fillId="188" borderId="0" xfId="0" applyFont="1" applyFill="1"/>
    <xf numFmtId="0" fontId="676" fillId="20" borderId="487" xfId="54" applyFont="1" applyFill="1" applyBorder="1" applyAlignment="1">
      <alignment horizontal="center" vertical="center"/>
    </xf>
    <xf numFmtId="0" fontId="676" fillId="20" borderId="488" xfId="54" applyFont="1" applyFill="1" applyBorder="1" applyAlignment="1">
      <alignment horizontal="center" vertical="center"/>
    </xf>
    <xf numFmtId="0" fontId="218" fillId="122" borderId="476" xfId="26" applyFont="1" applyFill="1" applyBorder="1" applyAlignment="1">
      <alignment horizontal="center" vertical="center" wrapText="1"/>
    </xf>
    <xf numFmtId="0" fontId="721" fillId="105" borderId="476" xfId="26" applyFont="1" applyFill="1" applyBorder="1" applyAlignment="1">
      <alignment horizontal="center" vertical="center" wrapText="1"/>
    </xf>
    <xf numFmtId="0" fontId="722" fillId="189" borderId="0" xfId="0" applyFont="1" applyFill="1"/>
    <xf numFmtId="0" fontId="722" fillId="190" borderId="0" xfId="0" applyFont="1" applyFill="1"/>
    <xf numFmtId="0" fontId="722" fillId="191" borderId="0" xfId="0" applyFont="1" applyFill="1"/>
    <xf numFmtId="0" fontId="218" fillId="81" borderId="476" xfId="26" applyFont="1" applyFill="1" applyBorder="1" applyAlignment="1">
      <alignment horizontal="center" vertical="center" wrapText="1"/>
    </xf>
    <xf numFmtId="0" fontId="721" fillId="38" borderId="476" xfId="26" applyFont="1" applyFill="1" applyBorder="1" applyAlignment="1">
      <alignment horizontal="center" vertical="center" wrapText="1"/>
    </xf>
    <xf numFmtId="0" fontId="722" fillId="192" borderId="0" xfId="0" applyFont="1" applyFill="1"/>
    <xf numFmtId="0" fontId="722" fillId="193" borderId="0" xfId="0" applyFont="1" applyFill="1"/>
    <xf numFmtId="0" fontId="423" fillId="0" borderId="482" xfId="62" applyFont="1" applyBorder="1" applyAlignment="1">
      <alignment horizontal="left" indent="1"/>
    </xf>
    <xf numFmtId="0" fontId="722" fillId="194" borderId="0" xfId="0" applyFont="1" applyFill="1"/>
    <xf numFmtId="0" fontId="218" fillId="82" borderId="476" xfId="26" applyFont="1" applyFill="1" applyBorder="1" applyAlignment="1">
      <alignment horizontal="center" vertical="center" wrapText="1"/>
    </xf>
    <xf numFmtId="0" fontId="721" fillId="106" borderId="476" xfId="26" applyFont="1" applyFill="1" applyBorder="1" applyAlignment="1">
      <alignment horizontal="center" vertical="center" wrapText="1"/>
    </xf>
    <xf numFmtId="0" fontId="722" fillId="195" borderId="0" xfId="0" applyFont="1" applyFill="1"/>
    <xf numFmtId="0" fontId="722" fillId="196" borderId="0" xfId="0" applyFont="1" applyFill="1"/>
    <xf numFmtId="0" fontId="722" fillId="197" borderId="0" xfId="0" applyFont="1" applyFill="1"/>
    <xf numFmtId="0" fontId="721" fillId="107" borderId="476" xfId="26" applyFont="1" applyFill="1" applyBorder="1" applyAlignment="1">
      <alignment horizontal="center" vertical="center" wrapText="1"/>
    </xf>
    <xf numFmtId="0" fontId="722" fillId="198" borderId="0" xfId="0" applyFont="1" applyFill="1"/>
    <xf numFmtId="0" fontId="722" fillId="199" borderId="0" xfId="0" applyFont="1" applyFill="1"/>
    <xf numFmtId="0" fontId="722" fillId="200" borderId="0" xfId="0" applyFont="1" applyFill="1"/>
    <xf numFmtId="0" fontId="721" fillId="108" borderId="476" xfId="26" applyFont="1" applyFill="1" applyBorder="1" applyAlignment="1">
      <alignment horizontal="center" vertical="center" wrapText="1"/>
    </xf>
    <xf numFmtId="0" fontId="722" fillId="201" borderId="0" xfId="0" applyFont="1" applyFill="1"/>
    <xf numFmtId="0" fontId="722" fillId="202" borderId="0" xfId="0" applyFont="1" applyFill="1"/>
    <xf numFmtId="0" fontId="722" fillId="203" borderId="0" xfId="0" applyFont="1" applyFill="1"/>
    <xf numFmtId="0" fontId="721" fillId="32" borderId="476" xfId="26" applyFont="1" applyFill="1" applyBorder="1" applyAlignment="1">
      <alignment horizontal="center" vertical="center" wrapText="1"/>
    </xf>
    <xf numFmtId="0" fontId="721" fillId="33" borderId="476" xfId="26" applyFont="1" applyFill="1" applyBorder="1" applyAlignment="1">
      <alignment horizontal="center" vertical="center" wrapText="1"/>
    </xf>
    <xf numFmtId="0" fontId="722" fillId="204" borderId="0" xfId="0" applyFont="1" applyFill="1"/>
    <xf numFmtId="0" fontId="722" fillId="205" borderId="0" xfId="0" applyFont="1" applyFill="1"/>
    <xf numFmtId="0" fontId="722" fillId="206" borderId="0" xfId="0" applyFont="1" applyFill="1"/>
    <xf numFmtId="0" fontId="721" fillId="57" borderId="476" xfId="26" applyFont="1" applyFill="1" applyBorder="1" applyAlignment="1">
      <alignment horizontal="center" vertical="center" wrapText="1"/>
    </xf>
    <xf numFmtId="0" fontId="721" fillId="74" borderId="476" xfId="26" applyFont="1" applyFill="1" applyBorder="1" applyAlignment="1">
      <alignment horizontal="center" vertical="center" wrapText="1"/>
    </xf>
    <xf numFmtId="0" fontId="722" fillId="207" borderId="0" xfId="0" applyFont="1" applyFill="1"/>
    <xf numFmtId="0" fontId="722" fillId="208" borderId="0" xfId="0" applyFont="1" applyFill="1"/>
    <xf numFmtId="0" fontId="722" fillId="209" borderId="0" xfId="0" applyFont="1" applyFill="1"/>
    <xf numFmtId="0" fontId="218" fillId="86" borderId="476" xfId="26" applyFont="1" applyFill="1" applyBorder="1" applyAlignment="1">
      <alignment horizontal="center" vertical="center" wrapText="1"/>
    </xf>
    <xf numFmtId="0" fontId="721" fillId="109" borderId="476" xfId="26" applyFont="1" applyFill="1" applyBorder="1" applyAlignment="1">
      <alignment horizontal="center" vertical="center" wrapText="1"/>
    </xf>
    <xf numFmtId="0" fontId="722" fillId="210" borderId="0" xfId="0" applyFont="1" applyFill="1"/>
    <xf numFmtId="0" fontId="722" fillId="211" borderId="0" xfId="0" applyFont="1" applyFill="1"/>
    <xf numFmtId="0" fontId="722" fillId="212" borderId="0" xfId="0" applyFont="1" applyFill="1"/>
    <xf numFmtId="0" fontId="218" fillId="87" borderId="476" xfId="26" applyFont="1" applyFill="1" applyBorder="1" applyAlignment="1">
      <alignment horizontal="center" vertical="center" wrapText="1"/>
    </xf>
    <xf numFmtId="0" fontId="721" fillId="26" borderId="476" xfId="26" applyFont="1" applyFill="1" applyBorder="1" applyAlignment="1">
      <alignment horizontal="center" vertical="center" wrapText="1"/>
    </xf>
    <xf numFmtId="0" fontId="722" fillId="213" borderId="0" xfId="0" applyFont="1" applyFill="1"/>
    <xf numFmtId="0" fontId="722" fillId="214" borderId="0" xfId="0" applyFont="1" applyFill="1"/>
    <xf numFmtId="0" fontId="722" fillId="215" borderId="0" xfId="0" applyFont="1" applyFill="1"/>
    <xf numFmtId="0" fontId="721" fillId="2" borderId="476" xfId="26" applyFont="1" applyFill="1" applyBorder="1" applyAlignment="1">
      <alignment horizontal="center" vertical="center" wrapText="1"/>
    </xf>
    <xf numFmtId="0" fontId="218" fillId="110" borderId="476" xfId="26" applyFont="1" applyFill="1" applyBorder="1" applyAlignment="1">
      <alignment horizontal="center" vertical="center" wrapText="1"/>
    </xf>
    <xf numFmtId="0" fontId="722" fillId="216" borderId="0" xfId="0" applyFont="1" applyFill="1"/>
    <xf numFmtId="0" fontId="722" fillId="217" borderId="0" xfId="0" applyFont="1" applyFill="1"/>
    <xf numFmtId="0" fontId="722" fillId="218" borderId="0" xfId="0" applyFont="1" applyFill="1"/>
    <xf numFmtId="0" fontId="721" fillId="111" borderId="476" xfId="26" applyFont="1" applyFill="1" applyBorder="1" applyAlignment="1">
      <alignment horizontal="center" vertical="center" wrapText="1"/>
    </xf>
    <xf numFmtId="0" fontId="722" fillId="219" borderId="0" xfId="0" applyFont="1" applyFill="1"/>
    <xf numFmtId="0" fontId="722" fillId="220" borderId="0" xfId="0" applyFont="1" applyFill="1"/>
    <xf numFmtId="0" fontId="722" fillId="221" borderId="0" xfId="0" applyFont="1" applyFill="1"/>
    <xf numFmtId="0" fontId="218" fillId="89" borderId="476" xfId="26" applyFont="1" applyFill="1" applyBorder="1" applyAlignment="1">
      <alignment horizontal="center" vertical="center" wrapText="1"/>
    </xf>
    <xf numFmtId="0" fontId="218" fillId="112" borderId="476" xfId="26" applyFont="1" applyFill="1" applyBorder="1" applyAlignment="1">
      <alignment horizontal="center" vertical="center" wrapText="1"/>
    </xf>
    <xf numFmtId="0" fontId="722" fillId="222" borderId="0" xfId="0" applyFont="1" applyFill="1"/>
    <xf numFmtId="0" fontId="722" fillId="223" borderId="0" xfId="0" applyFont="1" applyFill="1"/>
    <xf numFmtId="0" fontId="722" fillId="224" borderId="0" xfId="0" applyFont="1" applyFill="1"/>
    <xf numFmtId="0" fontId="721" fillId="90" borderId="476" xfId="26" applyFont="1" applyFill="1" applyBorder="1" applyAlignment="1">
      <alignment horizontal="center" vertical="center" wrapText="1"/>
    </xf>
    <xf numFmtId="0" fontId="721" fillId="85" borderId="476" xfId="26" applyFont="1" applyFill="1" applyBorder="1" applyAlignment="1">
      <alignment horizontal="center" vertical="center" wrapText="1"/>
    </xf>
    <xf numFmtId="0" fontId="722" fillId="225" borderId="0" xfId="0" applyFont="1" applyFill="1"/>
    <xf numFmtId="0" fontId="722" fillId="226" borderId="0" xfId="0" applyFont="1" applyFill="1"/>
    <xf numFmtId="0" fontId="722" fillId="227" borderId="0" xfId="0" applyFont="1" applyFill="1"/>
    <xf numFmtId="0" fontId="218" fillId="91" borderId="476" xfId="26" applyFont="1" applyFill="1" applyBorder="1" applyAlignment="1">
      <alignment horizontal="center" vertical="center" wrapText="1"/>
    </xf>
    <xf numFmtId="0" fontId="218" fillId="115" borderId="476" xfId="26" applyFont="1" applyFill="1" applyBorder="1" applyAlignment="1">
      <alignment horizontal="center" vertical="center" wrapText="1"/>
    </xf>
    <xf numFmtId="0" fontId="722" fillId="228" borderId="0" xfId="0" applyFont="1" applyFill="1"/>
    <xf numFmtId="0" fontId="722" fillId="229" borderId="0" xfId="0" applyFont="1" applyFill="1"/>
    <xf numFmtId="0" fontId="722" fillId="230" borderId="0" xfId="0" applyFont="1" applyFill="1"/>
    <xf numFmtId="0" fontId="721" fillId="56" borderId="476" xfId="26" applyFont="1" applyFill="1" applyBorder="1" applyAlignment="1">
      <alignment horizontal="center" vertical="center" wrapText="1"/>
    </xf>
    <xf numFmtId="0" fontId="218" fillId="116" borderId="476" xfId="26" applyFont="1" applyFill="1" applyBorder="1" applyAlignment="1">
      <alignment horizontal="center" vertical="center" wrapText="1"/>
    </xf>
    <xf numFmtId="0" fontId="722" fillId="231" borderId="0" xfId="0" applyFont="1" applyFill="1"/>
    <xf numFmtId="0" fontId="722" fillId="232" borderId="0" xfId="0" applyFont="1" applyFill="1"/>
    <xf numFmtId="0" fontId="722" fillId="233" borderId="0" xfId="0" applyFont="1" applyFill="1"/>
    <xf numFmtId="0" fontId="722" fillId="234" borderId="0" xfId="0" applyFont="1" applyFill="1"/>
    <xf numFmtId="0" fontId="722" fillId="235" borderId="0" xfId="0" applyFont="1" applyFill="1"/>
    <xf numFmtId="0" fontId="722" fillId="236" borderId="0" xfId="0" applyFont="1" applyFill="1"/>
    <xf numFmtId="0" fontId="721" fillId="77" borderId="476" xfId="26" applyFont="1" applyFill="1" applyBorder="1" applyAlignment="1">
      <alignment horizontal="center" vertical="center" wrapText="1"/>
    </xf>
    <xf numFmtId="0" fontId="218" fillId="118" borderId="476" xfId="26" applyFont="1" applyFill="1" applyBorder="1" applyAlignment="1">
      <alignment horizontal="center" vertical="center" wrapText="1"/>
    </xf>
    <xf numFmtId="0" fontId="722" fillId="237" borderId="0" xfId="0" applyFont="1" applyFill="1"/>
    <xf numFmtId="0" fontId="722" fillId="238" borderId="0" xfId="0" applyFont="1" applyFill="1"/>
    <xf numFmtId="0" fontId="722" fillId="239" borderId="0" xfId="0" applyFont="1" applyFill="1"/>
    <xf numFmtId="0" fontId="721" fillId="48" borderId="476" xfId="26" applyFont="1" applyFill="1" applyBorder="1" applyAlignment="1">
      <alignment horizontal="center" vertical="center" wrapText="1"/>
    </xf>
    <xf numFmtId="0" fontId="218" fillId="69" borderId="476" xfId="26" applyFont="1" applyFill="1" applyBorder="1" applyAlignment="1">
      <alignment horizontal="center" vertical="center" wrapText="1"/>
    </xf>
    <xf numFmtId="0" fontId="722" fillId="240" borderId="0" xfId="0" applyFont="1" applyFill="1"/>
    <xf numFmtId="0" fontId="722" fillId="241" borderId="0" xfId="0" applyFont="1" applyFill="1"/>
    <xf numFmtId="0" fontId="722" fillId="242" borderId="0" xfId="0" applyFont="1" applyFill="1"/>
    <xf numFmtId="0" fontId="721" fillId="78" borderId="476" xfId="26" applyFont="1" applyFill="1" applyBorder="1" applyAlignment="1">
      <alignment horizontal="center" vertical="center" wrapText="1"/>
    </xf>
    <xf numFmtId="0" fontId="722" fillId="243" borderId="0" xfId="0" applyFont="1" applyFill="1"/>
    <xf numFmtId="0" fontId="722" fillId="244" borderId="0" xfId="0" applyFont="1" applyFill="1"/>
    <xf numFmtId="0" fontId="722" fillId="245" borderId="0" xfId="0" applyFont="1" applyFill="1"/>
    <xf numFmtId="0" fontId="722" fillId="246" borderId="0" xfId="0" applyFont="1" applyFill="1"/>
    <xf numFmtId="0" fontId="722" fillId="247" borderId="0" xfId="0" applyFont="1" applyFill="1"/>
    <xf numFmtId="0" fontId="722" fillId="248" borderId="0" xfId="0" applyFont="1" applyFill="1"/>
    <xf numFmtId="0" fontId="722" fillId="249" borderId="0" xfId="0" applyFont="1" applyFill="1"/>
    <xf numFmtId="0" fontId="722" fillId="22" borderId="0" xfId="0" applyFont="1" applyFill="1"/>
    <xf numFmtId="0" fontId="722" fillId="250" borderId="0" xfId="0" applyFont="1" applyFill="1"/>
    <xf numFmtId="0" fontId="145" fillId="0" borderId="0" xfId="8" applyFont="1"/>
    <xf numFmtId="0" fontId="722" fillId="251" borderId="0" xfId="0" applyFont="1" applyFill="1"/>
    <xf numFmtId="0" fontId="722" fillId="252" borderId="0" xfId="0" applyFont="1" applyFill="1"/>
    <xf numFmtId="0" fontId="722" fillId="253" borderId="0" xfId="0" applyFont="1" applyFill="1"/>
    <xf numFmtId="0" fontId="722" fillId="254" borderId="0" xfId="0" applyFont="1" applyFill="1"/>
    <xf numFmtId="0" fontId="722" fillId="255" borderId="0" xfId="0" applyFont="1" applyFill="1"/>
    <xf numFmtId="0" fontId="722" fillId="256" borderId="0" xfId="0" applyFont="1" applyFill="1"/>
    <xf numFmtId="0" fontId="723" fillId="160" borderId="0" xfId="0" applyFont="1" applyFill="1" applyAlignment="1">
      <alignment horizontal="center" vertical="center" wrapText="1"/>
    </xf>
    <xf numFmtId="0" fontId="723" fillId="257" borderId="0" xfId="0" applyFont="1" applyFill="1" applyAlignment="1">
      <alignment horizontal="center" vertical="center" wrapText="1"/>
    </xf>
    <xf numFmtId="0" fontId="723" fillId="258" borderId="0" xfId="0" applyFont="1" applyFill="1" applyAlignment="1">
      <alignment horizontal="center" vertical="center" wrapText="1"/>
    </xf>
    <xf numFmtId="0" fontId="723" fillId="259" borderId="0" xfId="0" applyFont="1" applyFill="1" applyAlignment="1">
      <alignment horizontal="center" vertical="center" wrapText="1"/>
    </xf>
    <xf numFmtId="0" fontId="723" fillId="260" borderId="0" xfId="0" applyFont="1" applyFill="1" applyAlignment="1">
      <alignment horizontal="center" vertical="center" wrapText="1"/>
    </xf>
    <xf numFmtId="0" fontId="723" fillId="261" borderId="0" xfId="0" applyFont="1" applyFill="1" applyAlignment="1">
      <alignment horizontal="center" vertical="center" wrapText="1"/>
    </xf>
    <xf numFmtId="0" fontId="723" fillId="262" borderId="0" xfId="0" applyFont="1" applyFill="1" applyAlignment="1">
      <alignment horizontal="center" vertical="center" wrapText="1"/>
    </xf>
    <xf numFmtId="0" fontId="723" fillId="263" borderId="0" xfId="0" applyFont="1" applyFill="1" applyAlignment="1">
      <alignment horizontal="center" vertical="center" wrapText="1"/>
    </xf>
    <xf numFmtId="0" fontId="723" fillId="45" borderId="0" xfId="0" applyFont="1" applyFill="1" applyAlignment="1">
      <alignment horizontal="center" vertical="center" wrapText="1"/>
    </xf>
    <xf numFmtId="0" fontId="722" fillId="264" borderId="0" xfId="0" applyFont="1" applyFill="1"/>
    <xf numFmtId="0" fontId="722" fillId="265" borderId="0" xfId="0" applyFont="1" applyFill="1"/>
    <xf numFmtId="0" fontId="722" fillId="266" borderId="0" xfId="0" applyFont="1" applyFill="1"/>
    <xf numFmtId="0" fontId="723" fillId="267" borderId="0" xfId="0" applyFont="1" applyFill="1" applyAlignment="1">
      <alignment horizontal="center" vertical="center" wrapText="1"/>
    </xf>
    <xf numFmtId="0" fontId="723" fillId="268" borderId="0" xfId="0" applyFont="1" applyFill="1" applyAlignment="1">
      <alignment horizontal="center" vertical="center" wrapText="1"/>
    </xf>
    <xf numFmtId="0" fontId="723" fillId="269" borderId="0" xfId="0" applyFont="1" applyFill="1" applyAlignment="1">
      <alignment horizontal="center" vertical="center" wrapText="1"/>
    </xf>
    <xf numFmtId="0" fontId="723" fillId="270" borderId="0" xfId="0" applyFont="1" applyFill="1" applyAlignment="1">
      <alignment horizontal="center" vertical="center" wrapText="1"/>
    </xf>
    <xf numFmtId="0" fontId="723" fillId="271" borderId="0" xfId="0" applyFont="1" applyFill="1" applyAlignment="1">
      <alignment horizontal="center" vertical="center" wrapText="1"/>
    </xf>
    <xf numFmtId="0" fontId="723" fillId="272" borderId="0" xfId="0" applyFont="1" applyFill="1" applyAlignment="1">
      <alignment horizontal="center" vertical="center" wrapText="1"/>
    </xf>
    <xf numFmtId="0" fontId="723" fillId="273" borderId="0" xfId="0" applyFont="1" applyFill="1" applyAlignment="1">
      <alignment horizontal="center" vertical="center" wrapText="1"/>
    </xf>
    <xf numFmtId="0" fontId="723" fillId="274" borderId="0" xfId="0" applyFont="1" applyFill="1" applyAlignment="1">
      <alignment horizontal="center" vertical="center" wrapText="1"/>
    </xf>
    <xf numFmtId="0" fontId="723" fillId="275" borderId="0" xfId="0" applyFont="1" applyFill="1" applyAlignment="1">
      <alignment horizontal="center" vertical="center" wrapText="1"/>
    </xf>
    <xf numFmtId="0" fontId="722" fillId="276" borderId="0" xfId="0" applyFont="1" applyFill="1"/>
    <xf numFmtId="0" fontId="722" fillId="277" borderId="0" xfId="0" applyFont="1" applyFill="1"/>
    <xf numFmtId="0" fontId="722" fillId="278" borderId="0" xfId="0" applyFont="1" applyFill="1"/>
    <xf numFmtId="0" fontId="723" fillId="279" borderId="0" xfId="0" applyFont="1" applyFill="1" applyAlignment="1">
      <alignment horizontal="center" vertical="center" wrapText="1"/>
    </xf>
    <xf numFmtId="0" fontId="723" fillId="280" borderId="0" xfId="0" applyFont="1" applyFill="1" applyAlignment="1">
      <alignment horizontal="center" vertical="center" wrapText="1"/>
    </xf>
    <xf numFmtId="0" fontId="723" fillId="281" borderId="0" xfId="0" applyFont="1" applyFill="1" applyAlignment="1">
      <alignment horizontal="center" vertical="center" wrapText="1"/>
    </xf>
    <xf numFmtId="0" fontId="723" fillId="282" borderId="0" xfId="0" applyFont="1" applyFill="1" applyAlignment="1">
      <alignment horizontal="center" vertical="center" wrapText="1"/>
    </xf>
    <xf numFmtId="0" fontId="723" fillId="283" borderId="0" xfId="0" applyFont="1" applyFill="1" applyAlignment="1">
      <alignment horizontal="center" vertical="center" wrapText="1"/>
    </xf>
    <xf numFmtId="0" fontId="723" fillId="284" borderId="0" xfId="0" applyFont="1" applyFill="1" applyAlignment="1">
      <alignment horizontal="center" vertical="center" wrapText="1"/>
    </xf>
    <xf numFmtId="0" fontId="723" fillId="285" borderId="0" xfId="0" applyFont="1" applyFill="1" applyAlignment="1">
      <alignment horizontal="center" vertical="center" wrapText="1"/>
    </xf>
    <xf numFmtId="0" fontId="723" fillId="286" borderId="0" xfId="0" applyFont="1" applyFill="1" applyAlignment="1">
      <alignment horizontal="center" vertical="center" wrapText="1"/>
    </xf>
    <xf numFmtId="0" fontId="723" fillId="287" borderId="0" xfId="0" applyFont="1" applyFill="1" applyAlignment="1">
      <alignment horizontal="center" vertical="center" wrapText="1"/>
    </xf>
    <xf numFmtId="0" fontId="722" fillId="288" borderId="0" xfId="0" applyFont="1" applyFill="1"/>
    <xf numFmtId="0" fontId="722" fillId="289" borderId="0" xfId="0" applyFont="1" applyFill="1"/>
    <xf numFmtId="0" fontId="722" fillId="290" borderId="0" xfId="0" applyFont="1" applyFill="1"/>
    <xf numFmtId="0" fontId="723" fillId="291" borderId="0" xfId="0" applyFont="1" applyFill="1" applyAlignment="1">
      <alignment horizontal="center" vertical="center" wrapText="1"/>
    </xf>
    <xf numFmtId="0" fontId="723" fillId="292" borderId="0" xfId="0" applyFont="1" applyFill="1" applyAlignment="1">
      <alignment horizontal="center" vertical="center" wrapText="1"/>
    </xf>
    <xf numFmtId="0" fontId="723" fillId="293" borderId="0" xfId="0" applyFont="1" applyFill="1" applyAlignment="1">
      <alignment horizontal="center" vertical="center" wrapText="1"/>
    </xf>
    <xf numFmtId="0" fontId="723" fillId="294" borderId="0" xfId="0" applyFont="1" applyFill="1" applyAlignment="1">
      <alignment horizontal="center" vertical="center" wrapText="1"/>
    </xf>
    <xf numFmtId="0" fontId="723" fillId="295" borderId="0" xfId="0" applyFont="1" applyFill="1" applyAlignment="1">
      <alignment horizontal="center" vertical="center" wrapText="1"/>
    </xf>
    <xf numFmtId="0" fontId="723" fillId="296" borderId="0" xfId="0" applyFont="1" applyFill="1" applyAlignment="1">
      <alignment horizontal="center" vertical="center" wrapText="1"/>
    </xf>
    <xf numFmtId="0" fontId="723" fillId="297" borderId="0" xfId="0" applyFont="1" applyFill="1" applyAlignment="1">
      <alignment horizontal="center" vertical="center" wrapText="1"/>
    </xf>
    <xf numFmtId="0" fontId="723" fillId="298" borderId="0" xfId="0" applyFont="1" applyFill="1" applyAlignment="1">
      <alignment horizontal="center" vertical="center" wrapText="1"/>
    </xf>
    <xf numFmtId="0" fontId="723" fillId="299" borderId="0" xfId="0" applyFont="1" applyFill="1" applyAlignment="1">
      <alignment horizontal="center" vertical="center" wrapText="1"/>
    </xf>
    <xf numFmtId="0" fontId="722" fillId="300" borderId="0" xfId="0" applyFont="1" applyFill="1"/>
    <xf numFmtId="0" fontId="722" fillId="301" borderId="0" xfId="0" applyFont="1" applyFill="1"/>
    <xf numFmtId="0" fontId="722" fillId="302" borderId="0" xfId="0" applyFont="1" applyFill="1"/>
    <xf numFmtId="0" fontId="723" fillId="122" borderId="0" xfId="0" applyFont="1" applyFill="1" applyAlignment="1">
      <alignment horizontal="center" vertical="center" wrapText="1"/>
    </xf>
    <xf numFmtId="0" fontId="723" fillId="303" borderId="0" xfId="0" applyFont="1" applyFill="1" applyAlignment="1">
      <alignment horizontal="center" vertical="center" wrapText="1"/>
    </xf>
    <xf numFmtId="0" fontId="723" fillId="304" borderId="0" xfId="0" applyFont="1" applyFill="1" applyAlignment="1">
      <alignment horizontal="center" vertical="center" wrapText="1"/>
    </xf>
    <xf numFmtId="0" fontId="723" fillId="305" borderId="0" xfId="0" applyFont="1" applyFill="1" applyAlignment="1">
      <alignment horizontal="center" vertical="center" wrapText="1"/>
    </xf>
    <xf numFmtId="0" fontId="723" fillId="306" borderId="0" xfId="0" applyFont="1" applyFill="1" applyAlignment="1">
      <alignment horizontal="center" vertical="center" wrapText="1"/>
    </xf>
    <xf numFmtId="0" fontId="723" fillId="307" borderId="0" xfId="0" applyFont="1" applyFill="1" applyAlignment="1">
      <alignment horizontal="center" vertical="center" wrapText="1"/>
    </xf>
    <xf numFmtId="0" fontId="723" fillId="308" borderId="0" xfId="0" applyFont="1" applyFill="1" applyAlignment="1">
      <alignment horizontal="center" vertical="center" wrapText="1"/>
    </xf>
    <xf numFmtId="0" fontId="723" fillId="309" borderId="0" xfId="0" applyFont="1" applyFill="1" applyAlignment="1">
      <alignment horizontal="center" vertical="center" wrapText="1"/>
    </xf>
    <xf numFmtId="0" fontId="723" fillId="310" borderId="0" xfId="0" applyFont="1" applyFill="1" applyAlignment="1">
      <alignment horizontal="center" vertical="center" wrapText="1"/>
    </xf>
    <xf numFmtId="0" fontId="722" fillId="124" borderId="0" xfId="0" applyFont="1" applyFill="1"/>
    <xf numFmtId="0" fontId="722" fillId="311" borderId="0" xfId="0" applyFont="1" applyFill="1"/>
    <xf numFmtId="0" fontId="722" fillId="312" borderId="0" xfId="0" applyFont="1" applyFill="1"/>
    <xf numFmtId="0" fontId="723" fillId="313" borderId="0" xfId="0" applyFont="1" applyFill="1" applyAlignment="1">
      <alignment horizontal="center" vertical="center" wrapText="1"/>
    </xf>
    <xf numFmtId="0" fontId="723" fillId="314" borderId="0" xfId="0" applyFont="1" applyFill="1" applyAlignment="1">
      <alignment horizontal="center" vertical="center" wrapText="1"/>
    </xf>
    <xf numFmtId="0" fontId="723" fillId="315" borderId="0" xfId="0" applyFont="1" applyFill="1" applyAlignment="1">
      <alignment horizontal="center" vertical="center" wrapText="1"/>
    </xf>
    <xf numFmtId="0" fontId="723" fillId="316" borderId="0" xfId="0" applyFont="1" applyFill="1" applyAlignment="1">
      <alignment horizontal="center" vertical="center" wrapText="1"/>
    </xf>
    <xf numFmtId="0" fontId="723" fillId="317" borderId="0" xfId="0" applyFont="1" applyFill="1" applyAlignment="1">
      <alignment horizontal="center" vertical="center" wrapText="1"/>
    </xf>
    <xf numFmtId="0" fontId="723" fillId="318" borderId="0" xfId="0" applyFont="1" applyFill="1" applyAlignment="1">
      <alignment horizontal="center" vertical="center" wrapText="1"/>
    </xf>
    <xf numFmtId="0" fontId="723" fillId="319" borderId="0" xfId="0" applyFont="1" applyFill="1" applyAlignment="1">
      <alignment horizontal="center" vertical="center" wrapText="1"/>
    </xf>
    <xf numFmtId="0" fontId="723" fillId="320" borderId="0" xfId="0" applyFont="1" applyFill="1" applyAlignment="1">
      <alignment horizontal="center" vertical="center" wrapText="1"/>
    </xf>
    <xf numFmtId="0" fontId="723" fillId="321" borderId="0" xfId="0" applyFont="1" applyFill="1" applyAlignment="1">
      <alignment horizontal="center" vertical="center" wrapText="1"/>
    </xf>
    <xf numFmtId="0" fontId="722" fillId="322" borderId="0" xfId="0" applyFont="1" applyFill="1"/>
    <xf numFmtId="0" fontId="722" fillId="323" borderId="0" xfId="0" applyFont="1" applyFill="1"/>
    <xf numFmtId="0" fontId="722" fillId="324" borderId="0" xfId="0" applyFont="1" applyFill="1"/>
    <xf numFmtId="0" fontId="714" fillId="0" borderId="0" xfId="48" applyFont="1" applyAlignment="1">
      <alignment horizontal="center" vertical="center"/>
    </xf>
    <xf numFmtId="0" fontId="723" fillId="325" borderId="0" xfId="0" applyFont="1" applyFill="1" applyAlignment="1">
      <alignment horizontal="center" vertical="center" wrapText="1"/>
    </xf>
    <xf numFmtId="0" fontId="723" fillId="326" borderId="0" xfId="0" applyFont="1" applyFill="1" applyAlignment="1">
      <alignment horizontal="center" vertical="center" wrapText="1"/>
    </xf>
    <xf numFmtId="0" fontId="723" fillId="327" borderId="0" xfId="0" applyFont="1" applyFill="1" applyAlignment="1">
      <alignment horizontal="center" vertical="center" wrapText="1"/>
    </xf>
    <xf numFmtId="0" fontId="723" fillId="328" borderId="0" xfId="0" applyFont="1" applyFill="1" applyAlignment="1">
      <alignment horizontal="center" vertical="center" wrapText="1"/>
    </xf>
    <xf numFmtId="0" fontId="723" fillId="329" borderId="0" xfId="0" applyFont="1" applyFill="1" applyAlignment="1">
      <alignment horizontal="center" vertical="center" wrapText="1"/>
    </xf>
    <xf numFmtId="0" fontId="723" fillId="330" borderId="0" xfId="0" applyFont="1" applyFill="1" applyAlignment="1">
      <alignment horizontal="center" vertical="center" wrapText="1"/>
    </xf>
    <xf numFmtId="0" fontId="723" fillId="331" borderId="0" xfId="0" applyFont="1" applyFill="1" applyAlignment="1">
      <alignment horizontal="center" vertical="center" wrapText="1"/>
    </xf>
    <xf numFmtId="0" fontId="723" fillId="332" borderId="0" xfId="0" applyFont="1" applyFill="1" applyAlignment="1">
      <alignment horizontal="center" vertical="center" wrapText="1"/>
    </xf>
    <xf numFmtId="0" fontId="723" fillId="333" borderId="0" xfId="0" applyFont="1" applyFill="1" applyAlignment="1">
      <alignment horizontal="center" vertical="center" wrapText="1"/>
    </xf>
    <xf numFmtId="0" fontId="722" fillId="334" borderId="0" xfId="0" applyFont="1" applyFill="1"/>
    <xf numFmtId="0" fontId="722" fillId="335" borderId="0" xfId="0" applyFont="1" applyFill="1"/>
    <xf numFmtId="0" fontId="722" fillId="336" borderId="0" xfId="0" applyFont="1" applyFill="1"/>
    <xf numFmtId="0" fontId="723" fillId="337" borderId="0" xfId="0" applyFont="1" applyFill="1" applyAlignment="1">
      <alignment horizontal="center" vertical="center" wrapText="1"/>
    </xf>
    <xf numFmtId="0" fontId="723" fillId="338" borderId="0" xfId="0" applyFont="1" applyFill="1" applyAlignment="1">
      <alignment horizontal="center" vertical="center" wrapText="1"/>
    </xf>
    <xf numFmtId="0" fontId="723" fillId="339" borderId="0" xfId="0" applyFont="1" applyFill="1" applyAlignment="1">
      <alignment horizontal="center" vertical="center" wrapText="1"/>
    </xf>
    <xf numFmtId="0" fontId="723" fillId="340" borderId="0" xfId="0" applyFont="1" applyFill="1" applyAlignment="1">
      <alignment horizontal="center" vertical="center" wrapText="1"/>
    </xf>
    <xf numFmtId="0" fontId="723" fillId="341" borderId="0" xfId="0" applyFont="1" applyFill="1" applyAlignment="1">
      <alignment horizontal="center" vertical="center" wrapText="1"/>
    </xf>
    <xf numFmtId="0" fontId="723" fillId="342" borderId="0" xfId="0" applyFont="1" applyFill="1" applyAlignment="1">
      <alignment horizontal="center" vertical="center" wrapText="1"/>
    </xf>
    <xf numFmtId="0" fontId="723" fillId="343" borderId="0" xfId="0" applyFont="1" applyFill="1" applyAlignment="1">
      <alignment horizontal="center" vertical="center" wrapText="1"/>
    </xf>
    <xf numFmtId="0" fontId="723" fillId="344" borderId="0" xfId="0" applyFont="1" applyFill="1" applyAlignment="1">
      <alignment horizontal="center" vertical="center" wrapText="1"/>
    </xf>
    <xf numFmtId="0" fontId="0" fillId="345" borderId="0" xfId="0" applyFill="1" applyAlignment="1">
      <alignment horizontal="center" vertical="center" wrapText="1"/>
    </xf>
    <xf numFmtId="0" fontId="722" fillId="346" borderId="0" xfId="0" applyFont="1" applyFill="1"/>
    <xf numFmtId="0" fontId="722" fillId="347" borderId="0" xfId="0" applyFont="1" applyFill="1"/>
    <xf numFmtId="0" fontId="722" fillId="348" borderId="0" xfId="0" applyFont="1" applyFill="1"/>
    <xf numFmtId="0" fontId="723" fillId="119" borderId="0" xfId="0" applyFont="1" applyFill="1" applyAlignment="1">
      <alignment horizontal="center" vertical="center" wrapText="1"/>
    </xf>
    <xf numFmtId="0" fontId="723" fillId="349" borderId="0" xfId="0" applyFont="1" applyFill="1" applyAlignment="1">
      <alignment horizontal="center" vertical="center" wrapText="1"/>
    </xf>
    <xf numFmtId="0" fontId="723" fillId="350" borderId="0" xfId="0" applyFont="1" applyFill="1" applyAlignment="1">
      <alignment horizontal="center" vertical="center" wrapText="1"/>
    </xf>
    <xf numFmtId="0" fontId="723" fillId="351" borderId="0" xfId="0" applyFont="1" applyFill="1" applyAlignment="1">
      <alignment horizontal="center" vertical="center" wrapText="1"/>
    </xf>
    <xf numFmtId="0" fontId="723" fillId="352" borderId="0" xfId="0" applyFont="1" applyFill="1" applyAlignment="1">
      <alignment horizontal="center" vertical="center" wrapText="1"/>
    </xf>
    <xf numFmtId="0" fontId="723" fillId="353" borderId="0" xfId="0" applyFont="1" applyFill="1" applyAlignment="1">
      <alignment horizontal="center" vertical="center" wrapText="1"/>
    </xf>
    <xf numFmtId="0" fontId="723" fillId="354" borderId="0" xfId="0" applyFont="1" applyFill="1" applyAlignment="1">
      <alignment horizontal="center" vertical="center" wrapText="1"/>
    </xf>
    <xf numFmtId="0" fontId="0" fillId="355" borderId="0" xfId="0" applyFill="1" applyAlignment="1">
      <alignment horizontal="center" vertical="center" wrapText="1"/>
    </xf>
    <xf numFmtId="0" fontId="0" fillId="182" borderId="0" xfId="0" applyFill="1" applyAlignment="1">
      <alignment horizontal="center" vertical="center" wrapText="1"/>
    </xf>
    <xf numFmtId="0" fontId="722" fillId="356" borderId="0" xfId="0" applyFont="1" applyFill="1"/>
    <xf numFmtId="0" fontId="722" fillId="357" borderId="0" xfId="0" applyFont="1" applyFill="1"/>
    <xf numFmtId="0" fontId="722" fillId="358" borderId="0" xfId="0" applyFont="1" applyFill="1"/>
    <xf numFmtId="0" fontId="723" fillId="359" borderId="0" xfId="0" applyFont="1" applyFill="1" applyAlignment="1">
      <alignment horizontal="center" vertical="center" wrapText="1"/>
    </xf>
    <xf numFmtId="0" fontId="723" fillId="360" borderId="0" xfId="0" applyFont="1" applyFill="1" applyAlignment="1">
      <alignment horizontal="center" vertical="center" wrapText="1"/>
    </xf>
    <xf numFmtId="0" fontId="723" fillId="361" borderId="0" xfId="0" applyFont="1" applyFill="1" applyAlignment="1">
      <alignment horizontal="center" vertical="center" wrapText="1"/>
    </xf>
    <xf numFmtId="0" fontId="723" fillId="362" borderId="0" xfId="0" applyFont="1" applyFill="1" applyAlignment="1">
      <alignment horizontal="center" vertical="center" wrapText="1"/>
    </xf>
    <xf numFmtId="0" fontId="723" fillId="363" borderId="0" xfId="0" applyFont="1" applyFill="1" applyAlignment="1">
      <alignment horizontal="center" vertical="center" wrapText="1"/>
    </xf>
    <xf numFmtId="0" fontId="723" fillId="364" borderId="0" xfId="0" applyFont="1" applyFill="1" applyAlignment="1">
      <alignment horizontal="center" vertical="center" wrapText="1"/>
    </xf>
    <xf numFmtId="0" fontId="723" fillId="365" borderId="0" xfId="0" applyFont="1" applyFill="1" applyAlignment="1">
      <alignment horizontal="center" vertical="center" wrapText="1"/>
    </xf>
    <xf numFmtId="0" fontId="723" fillId="366" borderId="0" xfId="0" applyFont="1" applyFill="1" applyAlignment="1">
      <alignment horizontal="center" vertical="center" wrapText="1"/>
    </xf>
    <xf numFmtId="0" fontId="723" fillId="367" borderId="0" xfId="0" applyFont="1" applyFill="1" applyAlignment="1">
      <alignment horizontal="center" vertical="center" wrapText="1"/>
    </xf>
    <xf numFmtId="0" fontId="722" fillId="368" borderId="0" xfId="0" applyFont="1" applyFill="1"/>
    <xf numFmtId="0" fontId="722" fillId="369" borderId="0" xfId="0" applyFont="1" applyFill="1"/>
    <xf numFmtId="0" fontId="723" fillId="370" borderId="0" xfId="0" applyFont="1" applyFill="1" applyAlignment="1">
      <alignment horizontal="center" vertical="center" wrapText="1"/>
    </xf>
    <xf numFmtId="0" fontId="723" fillId="371" borderId="0" xfId="0" applyFont="1" applyFill="1" applyAlignment="1">
      <alignment horizontal="center" vertical="center" wrapText="1"/>
    </xf>
    <xf numFmtId="0" fontId="723" fillId="372" borderId="0" xfId="0" applyFont="1" applyFill="1" applyAlignment="1">
      <alignment horizontal="center" vertical="center" wrapText="1"/>
    </xf>
    <xf numFmtId="0" fontId="723" fillId="373" borderId="0" xfId="0" applyFont="1" applyFill="1" applyAlignment="1">
      <alignment horizontal="center" vertical="center" wrapText="1"/>
    </xf>
    <xf numFmtId="0" fontId="723" fillId="374" borderId="0" xfId="0" applyFont="1" applyFill="1" applyAlignment="1">
      <alignment horizontal="center" vertical="center" wrapText="1"/>
    </xf>
    <xf numFmtId="0" fontId="723" fillId="375" borderId="0" xfId="0" applyFont="1" applyFill="1" applyAlignment="1">
      <alignment horizontal="center" vertical="center" wrapText="1"/>
    </xf>
    <xf numFmtId="0" fontId="723" fillId="376" borderId="0" xfId="0" applyFont="1" applyFill="1" applyAlignment="1">
      <alignment horizontal="center" vertical="center" wrapText="1"/>
    </xf>
    <xf numFmtId="0" fontId="723" fillId="377" borderId="0" xfId="0" applyFont="1" applyFill="1" applyAlignment="1">
      <alignment horizontal="center" vertical="center" wrapText="1"/>
    </xf>
    <xf numFmtId="0" fontId="723" fillId="378" borderId="0" xfId="0" applyFont="1" applyFill="1" applyAlignment="1">
      <alignment horizontal="center" vertical="center" wrapText="1"/>
    </xf>
    <xf numFmtId="0" fontId="722" fillId="379" borderId="0" xfId="0" applyFont="1" applyFill="1"/>
    <xf numFmtId="0" fontId="722" fillId="380" borderId="0" xfId="0" applyFont="1" applyFill="1"/>
    <xf numFmtId="0" fontId="722" fillId="381" borderId="0" xfId="0" applyFont="1" applyFill="1"/>
    <xf numFmtId="0" fontId="723" fillId="382" borderId="0" xfId="0" applyFont="1" applyFill="1" applyAlignment="1">
      <alignment horizontal="center" vertical="center" wrapText="1"/>
    </xf>
    <xf numFmtId="0" fontId="723" fillId="383" borderId="0" xfId="0" applyFont="1" applyFill="1" applyAlignment="1">
      <alignment horizontal="center" vertical="center" wrapText="1"/>
    </xf>
    <xf numFmtId="0" fontId="723" fillId="384" borderId="0" xfId="0" applyFont="1" applyFill="1" applyAlignment="1">
      <alignment horizontal="center" vertical="center" wrapText="1"/>
    </xf>
    <xf numFmtId="0" fontId="723" fillId="385" borderId="0" xfId="0" applyFont="1" applyFill="1" applyAlignment="1">
      <alignment horizontal="center" vertical="center" wrapText="1"/>
    </xf>
    <xf numFmtId="0" fontId="723" fillId="386" borderId="0" xfId="0" applyFont="1" applyFill="1" applyAlignment="1">
      <alignment horizontal="center" vertical="center" wrapText="1"/>
    </xf>
    <xf numFmtId="0" fontId="723" fillId="387" borderId="0" xfId="0" applyFont="1" applyFill="1" applyAlignment="1">
      <alignment horizontal="center" vertical="center" wrapText="1"/>
    </xf>
    <xf numFmtId="0" fontId="723" fillId="388" borderId="0" xfId="0" applyFont="1" applyFill="1" applyAlignment="1">
      <alignment horizontal="center" vertical="center" wrapText="1"/>
    </xf>
    <xf numFmtId="0" fontId="723" fillId="389" borderId="0" xfId="0" applyFont="1" applyFill="1" applyAlignment="1">
      <alignment horizontal="center" vertical="center" wrapText="1"/>
    </xf>
    <xf numFmtId="0" fontId="723" fillId="390" borderId="0" xfId="0" applyFont="1" applyFill="1" applyAlignment="1">
      <alignment horizontal="center" vertical="center" wrapText="1"/>
    </xf>
    <xf numFmtId="0" fontId="722" fillId="391" borderId="0" xfId="0" applyFont="1" applyFill="1"/>
    <xf numFmtId="0" fontId="722" fillId="392" borderId="0" xfId="0" applyFont="1" applyFill="1"/>
    <xf numFmtId="0" fontId="722" fillId="393" borderId="0" xfId="0" applyFont="1" applyFill="1"/>
    <xf numFmtId="0" fontId="723" fillId="394" borderId="0" xfId="0" applyFont="1" applyFill="1" applyAlignment="1">
      <alignment horizontal="center" vertical="center" wrapText="1"/>
    </xf>
    <xf numFmtId="0" fontId="723" fillId="395" borderId="0" xfId="0" applyFont="1" applyFill="1" applyAlignment="1">
      <alignment horizontal="center" vertical="center" wrapText="1"/>
    </xf>
    <xf numFmtId="0" fontId="723" fillId="396" borderId="0" xfId="0" applyFont="1" applyFill="1" applyAlignment="1">
      <alignment horizontal="center" vertical="center" wrapText="1"/>
    </xf>
    <xf numFmtId="0" fontId="723" fillId="397" borderId="0" xfId="0" applyFont="1" applyFill="1" applyAlignment="1">
      <alignment horizontal="center" vertical="center" wrapText="1"/>
    </xf>
    <xf numFmtId="0" fontId="723" fillId="398" borderId="0" xfId="0" applyFont="1" applyFill="1" applyAlignment="1">
      <alignment horizontal="center" vertical="center" wrapText="1"/>
    </xf>
    <xf numFmtId="0" fontId="723" fillId="399" borderId="0" xfId="0" applyFont="1" applyFill="1" applyAlignment="1">
      <alignment horizontal="center" vertical="center" wrapText="1"/>
    </xf>
    <xf numFmtId="0" fontId="723" fillId="400" borderId="0" xfId="0" applyFont="1" applyFill="1" applyAlignment="1">
      <alignment horizontal="center" vertical="center" wrapText="1"/>
    </xf>
    <xf numFmtId="0" fontId="723" fillId="401" borderId="0" xfId="0" applyFont="1" applyFill="1" applyAlignment="1">
      <alignment horizontal="center" vertical="center" wrapText="1"/>
    </xf>
    <xf numFmtId="0" fontId="723" fillId="402" borderId="0" xfId="0" applyFont="1" applyFill="1" applyAlignment="1">
      <alignment horizontal="center" vertical="center" wrapText="1"/>
    </xf>
    <xf numFmtId="0" fontId="722" fillId="403" borderId="0" xfId="0" applyFont="1" applyFill="1"/>
    <xf numFmtId="0" fontId="722" fillId="404" borderId="0" xfId="0" applyFont="1" applyFill="1"/>
    <xf numFmtId="0" fontId="722" fillId="405" borderId="0" xfId="0" applyFont="1" applyFill="1"/>
    <xf numFmtId="0" fontId="723" fillId="406" borderId="0" xfId="0" applyFont="1" applyFill="1" applyAlignment="1">
      <alignment horizontal="center" vertical="center" wrapText="1"/>
    </xf>
    <xf numFmtId="0" fontId="723" fillId="407" borderId="0" xfId="0" applyFont="1" applyFill="1" applyAlignment="1">
      <alignment horizontal="center" vertical="center" wrapText="1"/>
    </xf>
    <xf numFmtId="0" fontId="723" fillId="408" borderId="0" xfId="0" applyFont="1" applyFill="1" applyAlignment="1">
      <alignment horizontal="center" vertical="center" wrapText="1"/>
    </xf>
    <xf numFmtId="0" fontId="723" fillId="409" borderId="0" xfId="0" applyFont="1" applyFill="1" applyAlignment="1">
      <alignment horizontal="center" vertical="center" wrapText="1"/>
    </xf>
    <xf numFmtId="0" fontId="723" fillId="410" borderId="0" xfId="0" applyFont="1" applyFill="1" applyAlignment="1">
      <alignment horizontal="center" vertical="center" wrapText="1"/>
    </xf>
    <xf numFmtId="0" fontId="723" fillId="411" borderId="0" xfId="0" applyFont="1" applyFill="1" applyAlignment="1">
      <alignment horizontal="center" vertical="center" wrapText="1"/>
    </xf>
    <xf numFmtId="0" fontId="723" fillId="412" borderId="0" xfId="0" applyFont="1" applyFill="1" applyAlignment="1">
      <alignment horizontal="center" vertical="center" wrapText="1"/>
    </xf>
    <xf numFmtId="0" fontId="723" fillId="413" borderId="0" xfId="0" applyFont="1" applyFill="1" applyAlignment="1">
      <alignment horizontal="center" vertical="center" wrapText="1"/>
    </xf>
    <xf numFmtId="0" fontId="723" fillId="414" borderId="0" xfId="0" applyFont="1" applyFill="1" applyAlignment="1">
      <alignment horizontal="center" vertical="center" wrapText="1"/>
    </xf>
    <xf numFmtId="0" fontId="722" fillId="415" borderId="0" xfId="0" applyFont="1" applyFill="1"/>
    <xf numFmtId="0" fontId="722" fillId="416" borderId="0" xfId="0" applyFont="1" applyFill="1"/>
    <xf numFmtId="0" fontId="722" fillId="417" borderId="0" xfId="0" applyFont="1" applyFill="1"/>
    <xf numFmtId="0" fontId="723" fillId="418" borderId="0" xfId="0" applyFont="1" applyFill="1" applyAlignment="1">
      <alignment horizontal="center" vertical="center" wrapText="1"/>
    </xf>
    <xf numFmtId="0" fontId="723" fillId="419" borderId="0" xfId="0" applyFont="1" applyFill="1" applyAlignment="1">
      <alignment horizontal="center" vertical="center" wrapText="1"/>
    </xf>
    <xf numFmtId="0" fontId="723" fillId="420" borderId="0" xfId="0" applyFont="1" applyFill="1" applyAlignment="1">
      <alignment horizontal="center" vertical="center" wrapText="1"/>
    </xf>
    <xf numFmtId="0" fontId="723" fillId="421" borderId="0" xfId="0" applyFont="1" applyFill="1" applyAlignment="1">
      <alignment horizontal="center" vertical="center" wrapText="1"/>
    </xf>
    <xf numFmtId="0" fontId="723" fillId="422" borderId="0" xfId="0" applyFont="1" applyFill="1" applyAlignment="1">
      <alignment horizontal="center" vertical="center" wrapText="1"/>
    </xf>
    <xf numFmtId="0" fontId="723" fillId="423" borderId="0" xfId="0" applyFont="1" applyFill="1" applyAlignment="1">
      <alignment horizontal="center" vertical="center" wrapText="1"/>
    </xf>
    <xf numFmtId="0" fontId="723" fillId="424" borderId="0" xfId="0" applyFont="1" applyFill="1" applyAlignment="1">
      <alignment horizontal="center" vertical="center" wrapText="1"/>
    </xf>
    <xf numFmtId="0" fontId="723" fillId="425" borderId="0" xfId="0" applyFont="1" applyFill="1" applyAlignment="1">
      <alignment horizontal="center" vertical="center" wrapText="1"/>
    </xf>
    <xf numFmtId="0" fontId="723" fillId="426" borderId="0" xfId="0" applyFont="1" applyFill="1" applyAlignment="1">
      <alignment horizontal="center" vertical="center" wrapText="1"/>
    </xf>
    <xf numFmtId="0" fontId="722" fillId="427" borderId="0" xfId="0" applyFont="1" applyFill="1"/>
    <xf numFmtId="0" fontId="722" fillId="428" borderId="0" xfId="0" applyFont="1" applyFill="1"/>
    <xf numFmtId="0" fontId="722" fillId="429" borderId="0" xfId="0" applyFont="1" applyFill="1"/>
    <xf numFmtId="0" fontId="723" fillId="430" borderId="0" xfId="0" applyFont="1" applyFill="1" applyAlignment="1">
      <alignment horizontal="center" vertical="center" wrapText="1"/>
    </xf>
    <xf numFmtId="0" fontId="723" fillId="431" borderId="0" xfId="0" applyFont="1" applyFill="1" applyAlignment="1">
      <alignment horizontal="center" vertical="center" wrapText="1"/>
    </xf>
    <xf numFmtId="0" fontId="723" fillId="432" borderId="0" xfId="0" applyFont="1" applyFill="1" applyAlignment="1">
      <alignment horizontal="center" vertical="center" wrapText="1"/>
    </xf>
    <xf numFmtId="0" fontId="723" fillId="433" borderId="0" xfId="0" applyFont="1" applyFill="1" applyAlignment="1">
      <alignment horizontal="center" vertical="center" wrapText="1"/>
    </xf>
    <xf numFmtId="0" fontId="723" fillId="434" borderId="0" xfId="0" applyFont="1" applyFill="1" applyAlignment="1">
      <alignment horizontal="center" vertical="center" wrapText="1"/>
    </xf>
    <xf numFmtId="0" fontId="723" fillId="435" borderId="0" xfId="0" applyFont="1" applyFill="1" applyAlignment="1">
      <alignment horizontal="center" vertical="center" wrapText="1"/>
    </xf>
    <xf numFmtId="0" fontId="723" fillId="436" borderId="0" xfId="0" applyFont="1" applyFill="1" applyAlignment="1">
      <alignment horizontal="center" vertical="center" wrapText="1"/>
    </xf>
    <xf numFmtId="0" fontId="723" fillId="437" borderId="0" xfId="0" applyFont="1" applyFill="1" applyAlignment="1">
      <alignment horizontal="center" vertical="center" wrapText="1"/>
    </xf>
    <xf numFmtId="0" fontId="0" fillId="438" borderId="0" xfId="0" applyFill="1" applyAlignment="1">
      <alignment horizontal="center" vertical="center" wrapText="1"/>
    </xf>
    <xf numFmtId="0" fontId="722" fillId="439" borderId="0" xfId="0" applyFont="1" applyFill="1"/>
    <xf numFmtId="0" fontId="722" fillId="440" borderId="0" xfId="0" applyFont="1" applyFill="1"/>
    <xf numFmtId="0" fontId="722" fillId="441" borderId="0" xfId="0" applyFont="1" applyFill="1"/>
    <xf numFmtId="0" fontId="723" fillId="442" borderId="0" xfId="0" applyFont="1" applyFill="1" applyAlignment="1">
      <alignment horizontal="center" vertical="center" wrapText="1"/>
    </xf>
    <xf numFmtId="0" fontId="723" fillId="443" borderId="0" xfId="0" applyFont="1" applyFill="1" applyAlignment="1">
      <alignment horizontal="center" vertical="center" wrapText="1"/>
    </xf>
    <xf numFmtId="0" fontId="723" fillId="444" borderId="0" xfId="0" applyFont="1" applyFill="1" applyAlignment="1">
      <alignment horizontal="center" vertical="center" wrapText="1"/>
    </xf>
    <xf numFmtId="0" fontId="723" fillId="445" borderId="0" xfId="0" applyFont="1" applyFill="1" applyAlignment="1">
      <alignment horizontal="center" vertical="center" wrapText="1"/>
    </xf>
    <xf numFmtId="0" fontId="723" fillId="446" borderId="0" xfId="0" applyFont="1" applyFill="1" applyAlignment="1">
      <alignment horizontal="center" vertical="center" wrapText="1"/>
    </xf>
    <xf numFmtId="0" fontId="723" fillId="447" borderId="0" xfId="0" applyFont="1" applyFill="1" applyAlignment="1">
      <alignment horizontal="center" vertical="center" wrapText="1"/>
    </xf>
    <xf numFmtId="0" fontId="723" fillId="448" borderId="0" xfId="0" applyFont="1" applyFill="1" applyAlignment="1">
      <alignment horizontal="center" vertical="center" wrapText="1"/>
    </xf>
    <xf numFmtId="0" fontId="0" fillId="449" borderId="0" xfId="0" applyFill="1" applyAlignment="1">
      <alignment horizontal="center" vertical="center" wrapText="1"/>
    </xf>
    <xf numFmtId="0" fontId="0" fillId="450" borderId="0" xfId="0" applyFill="1" applyAlignment="1">
      <alignment horizontal="center" vertical="center" wrapText="1"/>
    </xf>
    <xf numFmtId="0" fontId="722" fillId="451" borderId="0" xfId="0" applyFont="1" applyFill="1"/>
    <xf numFmtId="0" fontId="722" fillId="452" borderId="0" xfId="0" applyFont="1" applyFill="1"/>
    <xf numFmtId="0" fontId="722" fillId="453" borderId="0" xfId="0" applyFont="1" applyFill="1"/>
    <xf numFmtId="0" fontId="723" fillId="454" borderId="0" xfId="0" applyFont="1" applyFill="1" applyAlignment="1">
      <alignment horizontal="center" vertical="center" wrapText="1"/>
    </xf>
    <xf numFmtId="0" fontId="723" fillId="455" borderId="0" xfId="0" applyFont="1" applyFill="1" applyAlignment="1">
      <alignment horizontal="center" vertical="center" wrapText="1"/>
    </xf>
    <xf numFmtId="0" fontId="723" fillId="456" borderId="0" xfId="0" applyFont="1" applyFill="1" applyAlignment="1">
      <alignment horizontal="center" vertical="center" wrapText="1"/>
    </xf>
    <xf numFmtId="0" fontId="723" fillId="457" borderId="0" xfId="0" applyFont="1" applyFill="1" applyAlignment="1">
      <alignment horizontal="center" vertical="center" wrapText="1"/>
    </xf>
    <xf numFmtId="0" fontId="723" fillId="458" borderId="0" xfId="0" applyFont="1" applyFill="1" applyAlignment="1">
      <alignment horizontal="center" vertical="center" wrapText="1"/>
    </xf>
    <xf numFmtId="0" fontId="723" fillId="459" borderId="0" xfId="0" applyFont="1" applyFill="1" applyAlignment="1">
      <alignment horizontal="center" vertical="center" wrapText="1"/>
    </xf>
    <xf numFmtId="0" fontId="0" fillId="460" borderId="0" xfId="0" applyFill="1" applyAlignment="1">
      <alignment horizontal="center" vertical="center" wrapText="1"/>
    </xf>
    <xf numFmtId="0" fontId="0" fillId="461" borderId="0" xfId="0" applyFill="1" applyAlignment="1">
      <alignment horizontal="center" vertical="center" wrapText="1"/>
    </xf>
    <xf numFmtId="0" fontId="0" fillId="462" borderId="0" xfId="0" applyFill="1" applyAlignment="1">
      <alignment horizontal="center" vertical="center" wrapText="1"/>
    </xf>
    <xf numFmtId="0" fontId="722" fillId="463" borderId="0" xfId="0" applyFont="1" applyFill="1"/>
    <xf numFmtId="0" fontId="722" fillId="464" borderId="0" xfId="0" applyFont="1" applyFill="1"/>
    <xf numFmtId="0" fontId="722" fillId="465" borderId="0" xfId="0" applyFont="1" applyFill="1"/>
    <xf numFmtId="0" fontId="723" fillId="466" borderId="0" xfId="0" applyFont="1" applyFill="1" applyAlignment="1">
      <alignment horizontal="center" vertical="center" wrapText="1"/>
    </xf>
    <xf numFmtId="0" fontId="723" fillId="467" borderId="0" xfId="0" applyFont="1" applyFill="1" applyAlignment="1">
      <alignment horizontal="center" vertical="center" wrapText="1"/>
    </xf>
    <xf numFmtId="0" fontId="723" fillId="468" borderId="0" xfId="0" applyFont="1" applyFill="1" applyAlignment="1">
      <alignment horizontal="center" vertical="center" wrapText="1"/>
    </xf>
    <xf numFmtId="0" fontId="723" fillId="469" borderId="0" xfId="0" applyFont="1" applyFill="1" applyAlignment="1">
      <alignment horizontal="center" vertical="center" wrapText="1"/>
    </xf>
    <xf numFmtId="0" fontId="723" fillId="470" borderId="0" xfId="0" applyFont="1" applyFill="1" applyAlignment="1">
      <alignment horizontal="center" vertical="center" wrapText="1"/>
    </xf>
    <xf numFmtId="0" fontId="723" fillId="471" borderId="0" xfId="0" applyFont="1" applyFill="1" applyAlignment="1">
      <alignment horizontal="center" vertical="center" wrapText="1"/>
    </xf>
    <xf numFmtId="0" fontId="723" fillId="472" borderId="0" xfId="0" applyFont="1" applyFill="1" applyAlignment="1">
      <alignment horizontal="center" vertical="center" wrapText="1"/>
    </xf>
    <xf numFmtId="0" fontId="723" fillId="473" borderId="0" xfId="0" applyFont="1" applyFill="1" applyAlignment="1">
      <alignment horizontal="center" vertical="center" wrapText="1"/>
    </xf>
    <xf numFmtId="0" fontId="723" fillId="474" borderId="0" xfId="0" applyFont="1" applyFill="1" applyAlignment="1">
      <alignment horizontal="center" vertical="center" wrapText="1"/>
    </xf>
    <xf numFmtId="0" fontId="722" fillId="475" borderId="0" xfId="0" applyFont="1" applyFill="1"/>
    <xf numFmtId="0" fontId="722" fillId="476" borderId="0" xfId="0" applyFont="1" applyFill="1"/>
    <xf numFmtId="0" fontId="722" fillId="477" borderId="0" xfId="0" applyFont="1" applyFill="1"/>
    <xf numFmtId="0" fontId="723" fillId="478" borderId="0" xfId="0" applyFont="1" applyFill="1" applyAlignment="1">
      <alignment horizontal="center" vertical="center" wrapText="1"/>
    </xf>
    <xf numFmtId="0" fontId="723" fillId="479" borderId="0" xfId="0" applyFont="1" applyFill="1" applyAlignment="1">
      <alignment horizontal="center" vertical="center" wrapText="1"/>
    </xf>
    <xf numFmtId="0" fontId="723" fillId="480" borderId="0" xfId="0" applyFont="1" applyFill="1" applyAlignment="1">
      <alignment horizontal="center" vertical="center" wrapText="1"/>
    </xf>
    <xf numFmtId="0" fontId="723" fillId="481" borderId="0" xfId="0" applyFont="1" applyFill="1" applyAlignment="1">
      <alignment horizontal="center" vertical="center" wrapText="1"/>
    </xf>
    <xf numFmtId="0" fontId="723" fillId="482" borderId="0" xfId="0" applyFont="1" applyFill="1" applyAlignment="1">
      <alignment horizontal="center" vertical="center" wrapText="1"/>
    </xf>
    <xf numFmtId="0" fontId="723" fillId="483" borderId="0" xfId="0" applyFont="1" applyFill="1" applyAlignment="1">
      <alignment horizontal="center" vertical="center" wrapText="1"/>
    </xf>
    <xf numFmtId="0" fontId="723" fillId="484" borderId="0" xfId="0" applyFont="1" applyFill="1" applyAlignment="1">
      <alignment horizontal="center" vertical="center" wrapText="1"/>
    </xf>
    <xf numFmtId="0" fontId="723" fillId="485" borderId="0" xfId="0" applyFont="1" applyFill="1" applyAlignment="1">
      <alignment horizontal="center" vertical="center" wrapText="1"/>
    </xf>
    <xf numFmtId="0" fontId="723" fillId="486" borderId="0" xfId="0" applyFont="1" applyFill="1" applyAlignment="1">
      <alignment horizontal="center" vertical="center" wrapText="1"/>
    </xf>
    <xf numFmtId="0" fontId="722" fillId="487" borderId="0" xfId="0" applyFont="1" applyFill="1"/>
    <xf numFmtId="0" fontId="722" fillId="488" borderId="0" xfId="0" applyFont="1" applyFill="1"/>
    <xf numFmtId="0" fontId="722" fillId="489" borderId="0" xfId="0" applyFont="1" applyFill="1"/>
    <xf numFmtId="0" fontId="723" fillId="490" borderId="0" xfId="0" applyFont="1" applyFill="1" applyAlignment="1">
      <alignment horizontal="center" vertical="center" wrapText="1"/>
    </xf>
    <xf numFmtId="0" fontId="723" fillId="491" borderId="0" xfId="0" applyFont="1" applyFill="1" applyAlignment="1">
      <alignment horizontal="center" vertical="center" wrapText="1"/>
    </xf>
    <xf numFmtId="0" fontId="723" fillId="174" borderId="0" xfId="0" applyFont="1" applyFill="1" applyAlignment="1">
      <alignment horizontal="center" vertical="center" wrapText="1"/>
    </xf>
    <xf numFmtId="0" fontId="723" fillId="492" borderId="0" xfId="0" applyFont="1" applyFill="1" applyAlignment="1">
      <alignment horizontal="center" vertical="center" wrapText="1"/>
    </xf>
    <xf numFmtId="0" fontId="723" fillId="493" borderId="0" xfId="0" applyFont="1" applyFill="1" applyAlignment="1">
      <alignment horizontal="center" vertical="center" wrapText="1"/>
    </xf>
    <xf numFmtId="0" fontId="723" fillId="494" borderId="0" xfId="0" applyFont="1" applyFill="1" applyAlignment="1">
      <alignment horizontal="center" vertical="center" wrapText="1"/>
    </xf>
    <xf numFmtId="0" fontId="723" fillId="495" borderId="0" xfId="0" applyFont="1" applyFill="1" applyAlignment="1">
      <alignment horizontal="center" vertical="center" wrapText="1"/>
    </xf>
    <xf numFmtId="0" fontId="723" fillId="496" borderId="0" xfId="0" applyFont="1" applyFill="1" applyAlignment="1">
      <alignment horizontal="center" vertical="center" wrapText="1"/>
    </xf>
    <xf numFmtId="0" fontId="723" fillId="497" borderId="0" xfId="0" applyFont="1" applyFill="1" applyAlignment="1">
      <alignment horizontal="center" vertical="center" wrapText="1"/>
    </xf>
    <xf numFmtId="0" fontId="722" fillId="498" borderId="0" xfId="0" applyFont="1" applyFill="1"/>
    <xf numFmtId="0" fontId="722" fillId="499" borderId="0" xfId="0" applyFont="1" applyFill="1"/>
    <xf numFmtId="0" fontId="722" fillId="500" borderId="0" xfId="0" applyFont="1" applyFill="1"/>
    <xf numFmtId="0" fontId="723" fillId="501" borderId="0" xfId="0" applyFont="1" applyFill="1" applyAlignment="1">
      <alignment horizontal="center" vertical="center" wrapText="1"/>
    </xf>
    <xf numFmtId="0" fontId="723" fillId="502" borderId="0" xfId="0" applyFont="1" applyFill="1" applyAlignment="1">
      <alignment horizontal="center" vertical="center" wrapText="1"/>
    </xf>
    <xf numFmtId="0" fontId="723" fillId="503" borderId="0" xfId="0" applyFont="1" applyFill="1" applyAlignment="1">
      <alignment horizontal="center" vertical="center" wrapText="1"/>
    </xf>
    <xf numFmtId="0" fontId="723" fillId="504" borderId="0" xfId="0" applyFont="1" applyFill="1" applyAlignment="1">
      <alignment horizontal="center" vertical="center" wrapText="1"/>
    </xf>
    <xf numFmtId="0" fontId="723" fillId="505" borderId="0" xfId="0" applyFont="1" applyFill="1" applyAlignment="1">
      <alignment horizontal="center" vertical="center" wrapText="1"/>
    </xf>
    <xf numFmtId="0" fontId="723" fillId="506" borderId="0" xfId="0" applyFont="1" applyFill="1" applyAlignment="1">
      <alignment horizontal="center" vertical="center" wrapText="1"/>
    </xf>
    <xf numFmtId="0" fontId="723" fillId="507" borderId="0" xfId="0" applyFont="1" applyFill="1" applyAlignment="1">
      <alignment horizontal="center" vertical="center" wrapText="1"/>
    </xf>
    <xf numFmtId="0" fontId="723" fillId="508" borderId="0" xfId="0" applyFont="1" applyFill="1" applyAlignment="1">
      <alignment horizontal="center" vertical="center" wrapText="1"/>
    </xf>
    <xf numFmtId="0" fontId="723" fillId="509" borderId="0" xfId="0" applyFont="1" applyFill="1" applyAlignment="1">
      <alignment horizontal="center" vertical="center" wrapText="1"/>
    </xf>
    <xf numFmtId="0" fontId="722" fillId="510" borderId="0" xfId="0" applyFont="1" applyFill="1"/>
    <xf numFmtId="0" fontId="722" fillId="511" borderId="0" xfId="0" applyFont="1" applyFill="1"/>
    <xf numFmtId="0" fontId="722" fillId="512" borderId="0" xfId="0" applyFont="1" applyFill="1"/>
    <xf numFmtId="0" fontId="723" fillId="513" borderId="0" xfId="0" applyFont="1" applyFill="1" applyAlignment="1">
      <alignment horizontal="center" vertical="center" wrapText="1"/>
    </xf>
    <xf numFmtId="0" fontId="723" fillId="514" borderId="0" xfId="0" applyFont="1" applyFill="1" applyAlignment="1">
      <alignment horizontal="center" vertical="center" wrapText="1"/>
    </xf>
    <xf numFmtId="0" fontId="723" fillId="515" borderId="0" xfId="0" applyFont="1" applyFill="1" applyAlignment="1">
      <alignment horizontal="center" vertical="center" wrapText="1"/>
    </xf>
    <xf numFmtId="0" fontId="723" fillId="516" borderId="0" xfId="0" applyFont="1" applyFill="1" applyAlignment="1">
      <alignment horizontal="center" vertical="center" wrapText="1"/>
    </xf>
    <xf numFmtId="0" fontId="723" fillId="517" borderId="0" xfId="0" applyFont="1" applyFill="1" applyAlignment="1">
      <alignment horizontal="center" vertical="center" wrapText="1"/>
    </xf>
    <xf numFmtId="0" fontId="723" fillId="518" borderId="0" xfId="0" applyFont="1" applyFill="1" applyAlignment="1">
      <alignment horizontal="center" vertical="center" wrapText="1"/>
    </xf>
    <xf numFmtId="0" fontId="723" fillId="519" borderId="0" xfId="0" applyFont="1" applyFill="1" applyAlignment="1">
      <alignment horizontal="center" vertical="center" wrapText="1"/>
    </xf>
    <xf numFmtId="0" fontId="723" fillId="520" borderId="0" xfId="0" applyFont="1" applyFill="1" applyAlignment="1">
      <alignment horizontal="center" vertical="center" wrapText="1"/>
    </xf>
    <xf numFmtId="0" fontId="723" fillId="521" borderId="0" xfId="0" applyFont="1" applyFill="1" applyAlignment="1">
      <alignment horizontal="center" vertical="center" wrapText="1"/>
    </xf>
    <xf numFmtId="0" fontId="722" fillId="522" borderId="0" xfId="0" applyFont="1" applyFill="1"/>
    <xf numFmtId="0" fontId="722" fillId="523" borderId="0" xfId="0" applyFont="1" applyFill="1"/>
    <xf numFmtId="0" fontId="722" fillId="524" borderId="0" xfId="0" applyFont="1" applyFill="1"/>
    <xf numFmtId="0" fontId="723" fillId="525" borderId="0" xfId="0" applyFont="1" applyFill="1" applyAlignment="1">
      <alignment horizontal="center" vertical="center" wrapText="1"/>
    </xf>
    <xf numFmtId="0" fontId="723" fillId="526" borderId="0" xfId="0" applyFont="1" applyFill="1" applyAlignment="1">
      <alignment horizontal="center" vertical="center" wrapText="1"/>
    </xf>
    <xf numFmtId="0" fontId="723" fillId="527" borderId="0" xfId="0" applyFont="1" applyFill="1" applyAlignment="1">
      <alignment horizontal="center" vertical="center" wrapText="1"/>
    </xf>
    <xf numFmtId="0" fontId="723" fillId="528" borderId="0" xfId="0" applyFont="1" applyFill="1" applyAlignment="1">
      <alignment horizontal="center" vertical="center" wrapText="1"/>
    </xf>
    <xf numFmtId="0" fontId="723" fillId="529" borderId="0" xfId="0" applyFont="1" applyFill="1" applyAlignment="1">
      <alignment horizontal="center" vertical="center" wrapText="1"/>
    </xf>
    <xf numFmtId="0" fontId="723" fillId="530" borderId="0" xfId="0" applyFont="1" applyFill="1" applyAlignment="1">
      <alignment horizontal="center" vertical="center" wrapText="1"/>
    </xf>
    <xf numFmtId="0" fontId="723" fillId="531" borderId="0" xfId="0" applyFont="1" applyFill="1" applyAlignment="1">
      <alignment horizontal="center" vertical="center" wrapText="1"/>
    </xf>
    <xf numFmtId="0" fontId="723" fillId="532" borderId="0" xfId="0" applyFont="1" applyFill="1" applyAlignment="1">
      <alignment horizontal="center" vertical="center" wrapText="1"/>
    </xf>
    <xf numFmtId="0" fontId="0" fillId="533" borderId="0" xfId="0" applyFill="1" applyAlignment="1">
      <alignment horizontal="center" vertical="center" wrapText="1"/>
    </xf>
    <xf numFmtId="0" fontId="722" fillId="534" borderId="0" xfId="0" applyFont="1" applyFill="1"/>
    <xf numFmtId="0" fontId="722" fillId="535" borderId="0" xfId="0" applyFont="1" applyFill="1"/>
    <xf numFmtId="0" fontId="722" fillId="536" borderId="0" xfId="0" applyFont="1" applyFill="1"/>
    <xf numFmtId="0" fontId="723" fillId="537" borderId="0" xfId="0" applyFont="1" applyFill="1" applyAlignment="1">
      <alignment horizontal="center" vertical="center" wrapText="1"/>
    </xf>
    <xf numFmtId="0" fontId="723" fillId="538" borderId="0" xfId="0" applyFont="1" applyFill="1" applyAlignment="1">
      <alignment horizontal="center" vertical="center" wrapText="1"/>
    </xf>
    <xf numFmtId="0" fontId="723" fillId="539" borderId="0" xfId="0" applyFont="1" applyFill="1" applyAlignment="1">
      <alignment horizontal="center" vertical="center" wrapText="1"/>
    </xf>
    <xf numFmtId="0" fontId="723" fillId="540" borderId="0" xfId="0" applyFont="1" applyFill="1" applyAlignment="1">
      <alignment horizontal="center" vertical="center" wrapText="1"/>
    </xf>
    <xf numFmtId="0" fontId="723" fillId="541" borderId="0" xfId="0" applyFont="1" applyFill="1" applyAlignment="1">
      <alignment horizontal="center" vertical="center" wrapText="1"/>
    </xf>
    <xf numFmtId="0" fontId="723" fillId="542" borderId="0" xfId="0" applyFont="1" applyFill="1" applyAlignment="1">
      <alignment horizontal="center" vertical="center" wrapText="1"/>
    </xf>
    <xf numFmtId="0" fontId="723" fillId="543" borderId="0" xfId="0" applyFont="1" applyFill="1" applyAlignment="1">
      <alignment horizontal="center" vertical="center" wrapText="1"/>
    </xf>
    <xf numFmtId="0" fontId="0" fillId="544" borderId="0" xfId="0" applyFill="1" applyAlignment="1">
      <alignment horizontal="center" vertical="center" wrapText="1"/>
    </xf>
    <xf numFmtId="0" fontId="0" fillId="545" borderId="0" xfId="0" applyFill="1" applyAlignment="1">
      <alignment horizontal="center" vertical="center" wrapText="1"/>
    </xf>
    <xf numFmtId="0" fontId="722" fillId="546" borderId="0" xfId="0" applyFont="1" applyFill="1"/>
    <xf numFmtId="0" fontId="722" fillId="547" borderId="0" xfId="0" applyFont="1" applyFill="1"/>
    <xf numFmtId="0" fontId="722" fillId="548" borderId="0" xfId="0" applyFont="1" applyFill="1"/>
    <xf numFmtId="0" fontId="723" fillId="549" borderId="0" xfId="0" applyFont="1" applyFill="1" applyAlignment="1">
      <alignment horizontal="center" vertical="center" wrapText="1"/>
    </xf>
    <xf numFmtId="0" fontId="723" fillId="550" borderId="0" xfId="0" applyFont="1" applyFill="1" applyAlignment="1">
      <alignment horizontal="center" vertical="center" wrapText="1"/>
    </xf>
    <xf numFmtId="0" fontId="723" fillId="551" borderId="0" xfId="0" applyFont="1" applyFill="1" applyAlignment="1">
      <alignment horizontal="center" vertical="center" wrapText="1"/>
    </xf>
    <xf numFmtId="0" fontId="723" fillId="552" borderId="0" xfId="0" applyFont="1" applyFill="1" applyAlignment="1">
      <alignment horizontal="center" vertical="center" wrapText="1"/>
    </xf>
    <xf numFmtId="0" fontId="723" fillId="553" borderId="0" xfId="0" applyFont="1" applyFill="1" applyAlignment="1">
      <alignment horizontal="center" vertical="center" wrapText="1"/>
    </xf>
    <xf numFmtId="0" fontId="723" fillId="554" borderId="0" xfId="0" applyFont="1" applyFill="1" applyAlignment="1">
      <alignment horizontal="center" vertical="center" wrapText="1"/>
    </xf>
    <xf numFmtId="0" fontId="0" fillId="555" borderId="0" xfId="0" applyFill="1" applyAlignment="1">
      <alignment horizontal="center" vertical="center" wrapText="1"/>
    </xf>
    <xf numFmtId="0" fontId="0" fillId="556" borderId="0" xfId="0" applyFill="1" applyAlignment="1">
      <alignment horizontal="center" vertical="center" wrapText="1"/>
    </xf>
    <xf numFmtId="0" fontId="0" fillId="557" borderId="0" xfId="0" applyFill="1" applyAlignment="1">
      <alignment horizontal="center" vertical="center" wrapText="1"/>
    </xf>
    <xf numFmtId="0" fontId="722" fillId="558" borderId="0" xfId="0" applyFont="1" applyFill="1"/>
    <xf numFmtId="0" fontId="722" fillId="559" borderId="0" xfId="0" applyFont="1" applyFill="1"/>
    <xf numFmtId="0" fontId="722" fillId="560" borderId="0" xfId="0" applyFont="1" applyFill="1"/>
    <xf numFmtId="0" fontId="723" fillId="561" borderId="0" xfId="0" applyFont="1" applyFill="1" applyAlignment="1">
      <alignment horizontal="center" vertical="center" wrapText="1"/>
    </xf>
    <xf numFmtId="0" fontId="723" fillId="562" borderId="0" xfId="0" applyFont="1" applyFill="1" applyAlignment="1">
      <alignment horizontal="center" vertical="center" wrapText="1"/>
    </xf>
    <xf numFmtId="0" fontId="723" fillId="563" borderId="0" xfId="0" applyFont="1" applyFill="1" applyAlignment="1">
      <alignment horizontal="center" vertical="center" wrapText="1"/>
    </xf>
    <xf numFmtId="0" fontId="723" fillId="564" borderId="0" xfId="0" applyFont="1" applyFill="1" applyAlignment="1">
      <alignment horizontal="center" vertical="center" wrapText="1"/>
    </xf>
    <xf numFmtId="0" fontId="723" fillId="565" borderId="0" xfId="0" applyFont="1" applyFill="1" applyAlignment="1">
      <alignment horizontal="center" vertical="center" wrapText="1"/>
    </xf>
    <xf numFmtId="0" fontId="0" fillId="566" borderId="0" xfId="0" applyFill="1" applyAlignment="1">
      <alignment horizontal="center" vertical="center" wrapText="1"/>
    </xf>
    <xf numFmtId="0" fontId="0" fillId="567" borderId="0" xfId="0" applyFill="1" applyAlignment="1">
      <alignment horizontal="center" vertical="center" wrapText="1"/>
    </xf>
    <xf numFmtId="0" fontId="0" fillId="568" borderId="0" xfId="0" applyFill="1" applyAlignment="1">
      <alignment horizontal="center" vertical="center" wrapText="1"/>
    </xf>
    <xf numFmtId="0" fontId="0" fillId="569" borderId="0" xfId="0" applyFill="1" applyAlignment="1">
      <alignment horizontal="center" vertical="center" wrapText="1"/>
    </xf>
    <xf numFmtId="0" fontId="722" fillId="570" borderId="0" xfId="0" applyFont="1" applyFill="1"/>
    <xf numFmtId="0" fontId="722" fillId="571" borderId="0" xfId="0" applyFont="1" applyFill="1"/>
    <xf numFmtId="0" fontId="722" fillId="572" borderId="0" xfId="0" applyFont="1" applyFill="1"/>
    <xf numFmtId="0" fontId="723" fillId="573" borderId="0" xfId="0" applyFont="1" applyFill="1" applyAlignment="1">
      <alignment horizontal="center" vertical="center" wrapText="1"/>
    </xf>
    <xf numFmtId="0" fontId="723" fillId="574" borderId="0" xfId="0" applyFont="1" applyFill="1" applyAlignment="1">
      <alignment horizontal="center" vertical="center" wrapText="1"/>
    </xf>
    <xf numFmtId="0" fontId="723" fillId="575" borderId="0" xfId="0" applyFont="1" applyFill="1" applyAlignment="1">
      <alignment horizontal="center" vertical="center" wrapText="1"/>
    </xf>
    <xf numFmtId="0" fontId="723" fillId="576" borderId="0" xfId="0" applyFont="1" applyFill="1" applyAlignment="1">
      <alignment horizontal="center" vertical="center" wrapText="1"/>
    </xf>
    <xf numFmtId="0" fontId="723" fillId="577" borderId="0" xfId="0" applyFont="1" applyFill="1" applyAlignment="1">
      <alignment horizontal="center" vertical="center" wrapText="1"/>
    </xf>
    <xf numFmtId="0" fontId="723" fillId="578" borderId="0" xfId="0" applyFont="1" applyFill="1" applyAlignment="1">
      <alignment horizontal="center" vertical="center" wrapText="1"/>
    </xf>
    <xf numFmtId="0" fontId="723" fillId="579" borderId="0" xfId="0" applyFont="1" applyFill="1" applyAlignment="1">
      <alignment horizontal="center" vertical="center" wrapText="1"/>
    </xf>
    <xf numFmtId="0" fontId="723" fillId="580" borderId="0" xfId="0" applyFont="1" applyFill="1" applyAlignment="1">
      <alignment horizontal="center" vertical="center" wrapText="1"/>
    </xf>
    <xf numFmtId="0" fontId="723" fillId="581" borderId="0" xfId="0" applyFont="1" applyFill="1" applyAlignment="1">
      <alignment horizontal="center" vertical="center" wrapText="1"/>
    </xf>
    <xf numFmtId="0" fontId="722" fillId="582" borderId="0" xfId="0" applyFont="1" applyFill="1"/>
    <xf numFmtId="0" fontId="722" fillId="583" borderId="0" xfId="0" applyFont="1" applyFill="1"/>
    <xf numFmtId="0" fontId="722" fillId="584" borderId="0" xfId="0" applyFont="1" applyFill="1"/>
    <xf numFmtId="0" fontId="723" fillId="585" borderId="0" xfId="0" applyFont="1" applyFill="1" applyAlignment="1">
      <alignment horizontal="center" vertical="center" wrapText="1"/>
    </xf>
    <xf numFmtId="0" fontId="723" fillId="586" borderId="0" xfId="0" applyFont="1" applyFill="1" applyAlignment="1">
      <alignment horizontal="center" vertical="center" wrapText="1"/>
    </xf>
    <xf numFmtId="0" fontId="723" fillId="587" borderId="0" xfId="0" applyFont="1" applyFill="1" applyAlignment="1">
      <alignment horizontal="center" vertical="center" wrapText="1"/>
    </xf>
    <xf numFmtId="0" fontId="723" fillId="588" borderId="0" xfId="0" applyFont="1" applyFill="1" applyAlignment="1">
      <alignment horizontal="center" vertical="center" wrapText="1"/>
    </xf>
    <xf numFmtId="0" fontId="723" fillId="589" borderId="0" xfId="0" applyFont="1" applyFill="1" applyAlignment="1">
      <alignment horizontal="center" vertical="center" wrapText="1"/>
    </xf>
    <xf numFmtId="0" fontId="723" fillId="590" borderId="0" xfId="0" applyFont="1" applyFill="1" applyAlignment="1">
      <alignment horizontal="center" vertical="center" wrapText="1"/>
    </xf>
    <xf numFmtId="0" fontId="723" fillId="591" borderId="0" xfId="0" applyFont="1" applyFill="1" applyAlignment="1">
      <alignment horizontal="center" vertical="center" wrapText="1"/>
    </xf>
    <xf numFmtId="0" fontId="723" fillId="592" borderId="0" xfId="0" applyFont="1" applyFill="1" applyAlignment="1">
      <alignment horizontal="center" vertical="center" wrapText="1"/>
    </xf>
    <xf numFmtId="0" fontId="723" fillId="593" borderId="0" xfId="0" applyFont="1" applyFill="1" applyAlignment="1">
      <alignment horizontal="center" vertical="center" wrapText="1"/>
    </xf>
    <xf numFmtId="0" fontId="722" fillId="594" borderId="0" xfId="0" applyFont="1" applyFill="1"/>
    <xf numFmtId="0" fontId="722" fillId="595" borderId="0" xfId="0" applyFont="1" applyFill="1"/>
    <xf numFmtId="0" fontId="722" fillId="596" borderId="0" xfId="0" applyFont="1" applyFill="1"/>
    <xf numFmtId="0" fontId="723" fillId="597" borderId="0" xfId="0" applyFont="1" applyFill="1" applyAlignment="1">
      <alignment horizontal="center" vertical="center" wrapText="1"/>
    </xf>
    <xf numFmtId="0" fontId="723" fillId="598" borderId="0" xfId="0" applyFont="1" applyFill="1" applyAlignment="1">
      <alignment horizontal="center" vertical="center" wrapText="1"/>
    </xf>
    <xf numFmtId="0" fontId="723" fillId="599" borderId="0" xfId="0" applyFont="1" applyFill="1" applyAlignment="1">
      <alignment horizontal="center" vertical="center" wrapText="1"/>
    </xf>
    <xf numFmtId="0" fontId="723" fillId="600" borderId="0" xfId="0" applyFont="1" applyFill="1" applyAlignment="1">
      <alignment horizontal="center" vertical="center" wrapText="1"/>
    </xf>
    <xf numFmtId="0" fontId="723" fillId="601" borderId="0" xfId="0" applyFont="1" applyFill="1" applyAlignment="1">
      <alignment horizontal="center" vertical="center" wrapText="1"/>
    </xf>
    <xf numFmtId="0" fontId="723" fillId="602" borderId="0" xfId="0" applyFont="1" applyFill="1" applyAlignment="1">
      <alignment horizontal="center" vertical="center" wrapText="1"/>
    </xf>
    <xf numFmtId="0" fontId="723" fillId="603" borderId="0" xfId="0" applyFont="1" applyFill="1" applyAlignment="1">
      <alignment horizontal="center" vertical="center" wrapText="1"/>
    </xf>
    <xf numFmtId="0" fontId="723" fillId="604" borderId="0" xfId="0" applyFont="1" applyFill="1" applyAlignment="1">
      <alignment horizontal="center" vertical="center" wrapText="1"/>
    </xf>
    <xf numFmtId="0" fontId="723" fillId="605" borderId="0" xfId="0" applyFont="1" applyFill="1" applyAlignment="1">
      <alignment horizontal="center" vertical="center" wrapText="1"/>
    </xf>
    <xf numFmtId="0" fontId="722" fillId="606" borderId="0" xfId="0" applyFont="1" applyFill="1"/>
    <xf numFmtId="0" fontId="722" fillId="607" borderId="0" xfId="0" applyFont="1" applyFill="1"/>
    <xf numFmtId="0" fontId="722" fillId="608" borderId="0" xfId="0" applyFont="1" applyFill="1"/>
    <xf numFmtId="0" fontId="723" fillId="609" borderId="0" xfId="0" applyFont="1" applyFill="1" applyAlignment="1">
      <alignment horizontal="center" vertical="center" wrapText="1"/>
    </xf>
    <xf numFmtId="0" fontId="723" fillId="610" borderId="0" xfId="0" applyFont="1" applyFill="1" applyAlignment="1">
      <alignment horizontal="center" vertical="center" wrapText="1"/>
    </xf>
    <xf numFmtId="0" fontId="723" fillId="611" borderId="0" xfId="0" applyFont="1" applyFill="1" applyAlignment="1">
      <alignment horizontal="center" vertical="center" wrapText="1"/>
    </xf>
    <xf numFmtId="0" fontId="723" fillId="612" borderId="0" xfId="0" applyFont="1" applyFill="1" applyAlignment="1">
      <alignment horizontal="center" vertical="center" wrapText="1"/>
    </xf>
    <xf numFmtId="0" fontId="723" fillId="613" borderId="0" xfId="0" applyFont="1" applyFill="1" applyAlignment="1">
      <alignment horizontal="center" vertical="center" wrapText="1"/>
    </xf>
    <xf numFmtId="0" fontId="723" fillId="614" borderId="0" xfId="0" applyFont="1" applyFill="1" applyAlignment="1">
      <alignment horizontal="center" vertical="center" wrapText="1"/>
    </xf>
    <xf numFmtId="0" fontId="723" fillId="615" borderId="0" xfId="0" applyFont="1" applyFill="1" applyAlignment="1">
      <alignment horizontal="center" vertical="center" wrapText="1"/>
    </xf>
    <xf numFmtId="0" fontId="723" fillId="616" borderId="0" xfId="0" applyFont="1" applyFill="1" applyAlignment="1">
      <alignment horizontal="center" vertical="center" wrapText="1"/>
    </xf>
    <xf numFmtId="0" fontId="723" fillId="617" borderId="0" xfId="0" applyFont="1" applyFill="1" applyAlignment="1">
      <alignment horizontal="center" vertical="center" wrapText="1"/>
    </xf>
    <xf numFmtId="0" fontId="722" fillId="618" borderId="0" xfId="0" applyFont="1" applyFill="1"/>
    <xf numFmtId="0" fontId="722" fillId="619" borderId="0" xfId="0" applyFont="1" applyFill="1"/>
    <xf numFmtId="0" fontId="722" fillId="620" borderId="0" xfId="0" applyFont="1" applyFill="1"/>
    <xf numFmtId="0" fontId="723" fillId="621" borderId="0" xfId="0" applyFont="1" applyFill="1" applyAlignment="1">
      <alignment horizontal="center" vertical="center" wrapText="1"/>
    </xf>
    <xf numFmtId="0" fontId="723" fillId="622" borderId="0" xfId="0" applyFont="1" applyFill="1" applyAlignment="1">
      <alignment horizontal="center" vertical="center" wrapText="1"/>
    </xf>
    <xf numFmtId="0" fontId="723" fillId="623" borderId="0" xfId="0" applyFont="1" applyFill="1" applyAlignment="1">
      <alignment horizontal="center" vertical="center" wrapText="1"/>
    </xf>
    <xf numFmtId="0" fontId="723" fillId="624" borderId="0" xfId="0" applyFont="1" applyFill="1" applyAlignment="1">
      <alignment horizontal="center" vertical="center" wrapText="1"/>
    </xf>
    <xf numFmtId="0" fontId="723" fillId="625" borderId="0" xfId="0" applyFont="1" applyFill="1" applyAlignment="1">
      <alignment horizontal="center" vertical="center" wrapText="1"/>
    </xf>
    <xf numFmtId="0" fontId="723" fillId="626" borderId="0" xfId="0" applyFont="1" applyFill="1" applyAlignment="1">
      <alignment horizontal="center" vertical="center" wrapText="1"/>
    </xf>
    <xf numFmtId="0" fontId="723" fillId="627" borderId="0" xfId="0" applyFont="1" applyFill="1" applyAlignment="1">
      <alignment horizontal="center" vertical="center" wrapText="1"/>
    </xf>
    <xf numFmtId="0" fontId="723" fillId="628" borderId="0" xfId="0" applyFont="1" applyFill="1" applyAlignment="1">
      <alignment horizontal="center" vertical="center" wrapText="1"/>
    </xf>
    <xf numFmtId="0" fontId="0" fillId="629" borderId="0" xfId="0" applyFill="1" applyAlignment="1">
      <alignment horizontal="center" vertical="center" wrapText="1"/>
    </xf>
    <xf numFmtId="0" fontId="722" fillId="630" borderId="0" xfId="0" applyFont="1" applyFill="1"/>
    <xf numFmtId="0" fontId="722" fillId="631" borderId="0" xfId="0" applyFont="1" applyFill="1"/>
    <xf numFmtId="0" fontId="722" fillId="632" borderId="0" xfId="0" applyFont="1" applyFill="1"/>
    <xf numFmtId="0" fontId="723" fillId="633" borderId="0" xfId="0" applyFont="1" applyFill="1" applyAlignment="1">
      <alignment horizontal="center" vertical="center" wrapText="1"/>
    </xf>
    <xf numFmtId="0" fontId="723" fillId="634" borderId="0" xfId="0" applyFont="1" applyFill="1" applyAlignment="1">
      <alignment horizontal="center" vertical="center" wrapText="1"/>
    </xf>
    <xf numFmtId="0" fontId="723" fillId="635" borderId="0" xfId="0" applyFont="1" applyFill="1" applyAlignment="1">
      <alignment horizontal="center" vertical="center" wrapText="1"/>
    </xf>
    <xf numFmtId="0" fontId="723" fillId="636" borderId="0" xfId="0" applyFont="1" applyFill="1" applyAlignment="1">
      <alignment horizontal="center" vertical="center" wrapText="1"/>
    </xf>
    <xf numFmtId="0" fontId="723" fillId="637" borderId="0" xfId="0" applyFont="1" applyFill="1" applyAlignment="1">
      <alignment horizontal="center" vertical="center" wrapText="1"/>
    </xf>
    <xf numFmtId="0" fontId="723" fillId="638" borderId="0" xfId="0" applyFont="1" applyFill="1" applyAlignment="1">
      <alignment horizontal="center" vertical="center" wrapText="1"/>
    </xf>
    <xf numFmtId="0" fontId="723" fillId="639" borderId="0" xfId="0" applyFont="1" applyFill="1" applyAlignment="1">
      <alignment horizontal="center" vertical="center" wrapText="1"/>
    </xf>
    <xf numFmtId="0" fontId="0" fillId="640" borderId="0" xfId="0" applyFill="1" applyAlignment="1">
      <alignment horizontal="center" vertical="center" wrapText="1"/>
    </xf>
    <xf numFmtId="0" fontId="0" fillId="641" borderId="0" xfId="0" applyFill="1" applyAlignment="1">
      <alignment horizontal="center" vertical="center" wrapText="1"/>
    </xf>
    <xf numFmtId="0" fontId="722" fillId="642" borderId="0" xfId="0" applyFont="1" applyFill="1"/>
    <xf numFmtId="0" fontId="722" fillId="643" borderId="0" xfId="0" applyFont="1" applyFill="1"/>
    <xf numFmtId="0" fontId="722" fillId="644" borderId="0" xfId="0" applyFont="1" applyFill="1"/>
    <xf numFmtId="0" fontId="723" fillId="645" borderId="0" xfId="0" applyFont="1" applyFill="1" applyAlignment="1">
      <alignment horizontal="center" vertical="center" wrapText="1"/>
    </xf>
    <xf numFmtId="0" fontId="723" fillId="646" borderId="0" xfId="0" applyFont="1" applyFill="1" applyAlignment="1">
      <alignment horizontal="center" vertical="center" wrapText="1"/>
    </xf>
    <xf numFmtId="0" fontId="723" fillId="647" borderId="0" xfId="0" applyFont="1" applyFill="1" applyAlignment="1">
      <alignment horizontal="center" vertical="center" wrapText="1"/>
    </xf>
    <xf numFmtId="0" fontId="723" fillId="648" borderId="0" xfId="0" applyFont="1" applyFill="1" applyAlignment="1">
      <alignment horizontal="center" vertical="center" wrapText="1"/>
    </xf>
    <xf numFmtId="0" fontId="723" fillId="649" borderId="0" xfId="0" applyFont="1" applyFill="1" applyAlignment="1">
      <alignment horizontal="center" vertical="center" wrapText="1"/>
    </xf>
    <xf numFmtId="0" fontId="723" fillId="650" borderId="0" xfId="0" applyFont="1" applyFill="1" applyAlignment="1">
      <alignment horizontal="center" vertical="center" wrapText="1"/>
    </xf>
    <xf numFmtId="0" fontId="0" fillId="651" borderId="0" xfId="0" applyFill="1" applyAlignment="1">
      <alignment horizontal="center" vertical="center" wrapText="1"/>
    </xf>
    <xf numFmtId="0" fontId="0" fillId="652" borderId="0" xfId="0" applyFill="1" applyAlignment="1">
      <alignment horizontal="center" vertical="center" wrapText="1"/>
    </xf>
    <xf numFmtId="0" fontId="0" fillId="653" borderId="0" xfId="0" applyFill="1" applyAlignment="1">
      <alignment horizontal="center" vertical="center" wrapText="1"/>
    </xf>
    <xf numFmtId="0" fontId="722" fillId="654" borderId="0" xfId="0" applyFont="1" applyFill="1"/>
    <xf numFmtId="0" fontId="722" fillId="655" borderId="0" xfId="0" applyFont="1" applyFill="1"/>
    <xf numFmtId="0" fontId="722" fillId="656" borderId="0" xfId="0" applyFont="1" applyFill="1"/>
    <xf numFmtId="0" fontId="723" fillId="657" borderId="0" xfId="0" applyFont="1" applyFill="1" applyAlignment="1">
      <alignment horizontal="center" vertical="center" wrapText="1"/>
    </xf>
    <xf numFmtId="0" fontId="723" fillId="658" borderId="0" xfId="0" applyFont="1" applyFill="1" applyAlignment="1">
      <alignment horizontal="center" vertical="center" wrapText="1"/>
    </xf>
    <xf numFmtId="0" fontId="723" fillId="659" borderId="0" xfId="0" applyFont="1" applyFill="1" applyAlignment="1">
      <alignment horizontal="center" vertical="center" wrapText="1"/>
    </xf>
    <xf numFmtId="0" fontId="723" fillId="660" borderId="0" xfId="0" applyFont="1" applyFill="1" applyAlignment="1">
      <alignment horizontal="center" vertical="center" wrapText="1"/>
    </xf>
    <xf numFmtId="0" fontId="723" fillId="661" borderId="0" xfId="0" applyFont="1" applyFill="1" applyAlignment="1">
      <alignment horizontal="center" vertical="center" wrapText="1"/>
    </xf>
    <xf numFmtId="0" fontId="0" fillId="662" borderId="0" xfId="0" applyFill="1" applyAlignment="1">
      <alignment horizontal="center" vertical="center" wrapText="1"/>
    </xf>
    <xf numFmtId="0" fontId="0" fillId="663" borderId="0" xfId="0" applyFill="1" applyAlignment="1">
      <alignment horizontal="center" vertical="center" wrapText="1"/>
    </xf>
    <xf numFmtId="0" fontId="0" fillId="664" borderId="0" xfId="0" applyFill="1" applyAlignment="1">
      <alignment horizontal="center" vertical="center" wrapText="1"/>
    </xf>
    <xf numFmtId="0" fontId="0" fillId="665" borderId="0" xfId="0" applyFill="1" applyAlignment="1">
      <alignment horizontal="center" vertical="center" wrapText="1"/>
    </xf>
    <xf numFmtId="0" fontId="722" fillId="666" borderId="0" xfId="0" applyFont="1" applyFill="1"/>
    <xf numFmtId="0" fontId="722" fillId="667" borderId="0" xfId="0" applyFont="1" applyFill="1"/>
    <xf numFmtId="0" fontId="722" fillId="668" borderId="0" xfId="0" applyFont="1" applyFill="1"/>
    <xf numFmtId="0" fontId="723" fillId="669" borderId="0" xfId="0" applyFont="1" applyFill="1" applyAlignment="1">
      <alignment horizontal="center" vertical="center" wrapText="1"/>
    </xf>
    <xf numFmtId="0" fontId="723" fillId="670" borderId="0" xfId="0" applyFont="1" applyFill="1" applyAlignment="1">
      <alignment horizontal="center" vertical="center" wrapText="1"/>
    </xf>
    <xf numFmtId="0" fontId="723" fillId="671" borderId="0" xfId="0" applyFont="1" applyFill="1" applyAlignment="1">
      <alignment horizontal="center" vertical="center" wrapText="1"/>
    </xf>
    <xf numFmtId="0" fontId="723" fillId="672" borderId="0" xfId="0" applyFont="1" applyFill="1" applyAlignment="1">
      <alignment horizontal="center" vertical="center" wrapText="1"/>
    </xf>
    <xf numFmtId="0" fontId="0" fillId="673" borderId="0" xfId="0" applyFill="1" applyAlignment="1">
      <alignment horizontal="center" vertical="center" wrapText="1"/>
    </xf>
    <xf numFmtId="0" fontId="0" fillId="674" borderId="0" xfId="0" applyFill="1" applyAlignment="1">
      <alignment horizontal="center" vertical="center" wrapText="1"/>
    </xf>
    <xf numFmtId="0" fontId="0" fillId="675" borderId="0" xfId="0" applyFill="1" applyAlignment="1">
      <alignment horizontal="center" vertical="center" wrapText="1"/>
    </xf>
    <xf numFmtId="0" fontId="0" fillId="676" borderId="0" xfId="0" applyFill="1" applyAlignment="1">
      <alignment horizontal="center" vertical="center" wrapText="1"/>
    </xf>
    <xf numFmtId="0" fontId="0" fillId="677" borderId="0" xfId="0" applyFill="1" applyAlignment="1">
      <alignment horizontal="center" vertical="center" wrapText="1"/>
    </xf>
    <xf numFmtId="0" fontId="722" fillId="678" borderId="0" xfId="0" applyFont="1" applyFill="1"/>
    <xf numFmtId="0" fontId="722" fillId="679" borderId="0" xfId="0" applyFont="1" applyFill="1"/>
    <xf numFmtId="0" fontId="722" fillId="680" borderId="0" xfId="0" applyFont="1" applyFill="1"/>
    <xf numFmtId="0" fontId="723" fillId="159" borderId="0" xfId="0" applyFont="1" applyFill="1" applyAlignment="1">
      <alignment horizontal="center" vertical="center" wrapText="1"/>
    </xf>
    <xf numFmtId="0" fontId="723" fillId="681" borderId="0" xfId="0" applyFont="1" applyFill="1" applyAlignment="1">
      <alignment horizontal="center" vertical="center" wrapText="1"/>
    </xf>
    <xf numFmtId="0" fontId="723" fillId="682" borderId="0" xfId="0" applyFont="1" applyFill="1" applyAlignment="1">
      <alignment horizontal="center" vertical="center" wrapText="1"/>
    </xf>
    <xf numFmtId="0" fontId="723" fillId="683" borderId="0" xfId="0" applyFont="1" applyFill="1" applyAlignment="1">
      <alignment horizontal="center" vertical="center" wrapText="1"/>
    </xf>
    <xf numFmtId="0" fontId="723" fillId="52" borderId="0" xfId="0" applyFont="1" applyFill="1" applyAlignment="1">
      <alignment horizontal="center" vertical="center" wrapText="1"/>
    </xf>
    <xf numFmtId="0" fontId="723" fillId="684" borderId="0" xfId="0" applyFont="1" applyFill="1" applyAlignment="1">
      <alignment horizontal="center" vertical="center" wrapText="1"/>
    </xf>
    <xf numFmtId="0" fontId="723" fillId="685" borderId="0" xfId="0" applyFont="1" applyFill="1" applyAlignment="1">
      <alignment horizontal="center" vertical="center" wrapText="1"/>
    </xf>
    <xf numFmtId="0" fontId="723" fillId="686" borderId="0" xfId="0" applyFont="1" applyFill="1" applyAlignment="1">
      <alignment horizontal="center" vertical="center" wrapText="1"/>
    </xf>
    <xf numFmtId="0" fontId="723" fillId="687" borderId="0" xfId="0" applyFont="1" applyFill="1" applyAlignment="1">
      <alignment horizontal="center" vertical="center" wrapText="1"/>
    </xf>
    <xf numFmtId="0" fontId="722" fillId="688" borderId="0" xfId="0" applyFont="1" applyFill="1"/>
    <xf numFmtId="0" fontId="722" fillId="689" borderId="0" xfId="0" applyFont="1" applyFill="1"/>
    <xf numFmtId="0" fontId="722" fillId="690" borderId="0" xfId="0" applyFont="1" applyFill="1"/>
    <xf numFmtId="0" fontId="723" fillId="691" borderId="0" xfId="0" applyFont="1" applyFill="1" applyAlignment="1">
      <alignment horizontal="center" vertical="center" wrapText="1"/>
    </xf>
    <xf numFmtId="0" fontId="723" fillId="692" borderId="0" xfId="0" applyFont="1" applyFill="1" applyAlignment="1">
      <alignment horizontal="center" vertical="center" wrapText="1"/>
    </xf>
    <xf numFmtId="0" fontId="723" fillId="693" borderId="0" xfId="0" applyFont="1" applyFill="1" applyAlignment="1">
      <alignment horizontal="center" vertical="center" wrapText="1"/>
    </xf>
    <xf numFmtId="0" fontId="723" fillId="694" borderId="0" xfId="0" applyFont="1" applyFill="1" applyAlignment="1">
      <alignment horizontal="center" vertical="center" wrapText="1"/>
    </xf>
    <xf numFmtId="0" fontId="723" fillId="695" borderId="0" xfId="0" applyFont="1" applyFill="1" applyAlignment="1">
      <alignment horizontal="center" vertical="center" wrapText="1"/>
    </xf>
    <xf numFmtId="0" fontId="723" fillId="696" borderId="0" xfId="0" applyFont="1" applyFill="1" applyAlignment="1">
      <alignment horizontal="center" vertical="center" wrapText="1"/>
    </xf>
    <xf numFmtId="0" fontId="723" fillId="697" borderId="0" xfId="0" applyFont="1" applyFill="1" applyAlignment="1">
      <alignment horizontal="center" vertical="center" wrapText="1"/>
    </xf>
    <xf numFmtId="0" fontId="723" fillId="698" borderId="0" xfId="0" applyFont="1" applyFill="1" applyAlignment="1">
      <alignment horizontal="center" vertical="center" wrapText="1"/>
    </xf>
    <xf numFmtId="0" fontId="723" fillId="699" borderId="0" xfId="0" applyFont="1" applyFill="1" applyAlignment="1">
      <alignment horizontal="center" vertical="center" wrapText="1"/>
    </xf>
    <xf numFmtId="0" fontId="722" fillId="700" borderId="0" xfId="0" applyFont="1" applyFill="1"/>
    <xf numFmtId="0" fontId="722" fillId="701" borderId="0" xfId="0" applyFont="1" applyFill="1"/>
    <xf numFmtId="0" fontId="722" fillId="702" borderId="0" xfId="0" applyFont="1" applyFill="1"/>
    <xf numFmtId="0" fontId="723" fillId="703" borderId="0" xfId="0" applyFont="1" applyFill="1" applyAlignment="1">
      <alignment horizontal="center" vertical="center" wrapText="1"/>
    </xf>
    <xf numFmtId="0" fontId="723" fillId="704" borderId="0" xfId="0" applyFont="1" applyFill="1" applyAlignment="1">
      <alignment horizontal="center" vertical="center" wrapText="1"/>
    </xf>
    <xf numFmtId="0" fontId="723" fillId="705" borderId="0" xfId="0" applyFont="1" applyFill="1" applyAlignment="1">
      <alignment horizontal="center" vertical="center" wrapText="1"/>
    </xf>
    <xf numFmtId="0" fontId="723" fillId="706" borderId="0" xfId="0" applyFont="1" applyFill="1" applyAlignment="1">
      <alignment horizontal="center" vertical="center" wrapText="1"/>
    </xf>
    <xf numFmtId="0" fontId="723" fillId="707" borderId="0" xfId="0" applyFont="1" applyFill="1" applyAlignment="1">
      <alignment horizontal="center" vertical="center" wrapText="1"/>
    </xf>
    <xf numFmtId="0" fontId="723" fillId="708" borderId="0" xfId="0" applyFont="1" applyFill="1" applyAlignment="1">
      <alignment horizontal="center" vertical="center" wrapText="1"/>
    </xf>
    <xf numFmtId="0" fontId="723" fillId="709" borderId="0" xfId="0" applyFont="1" applyFill="1" applyAlignment="1">
      <alignment horizontal="center" vertical="center" wrapText="1"/>
    </xf>
    <xf numFmtId="0" fontId="723" fillId="710" borderId="0" xfId="0" applyFont="1" applyFill="1" applyAlignment="1">
      <alignment horizontal="center" vertical="center" wrapText="1"/>
    </xf>
    <xf numFmtId="0" fontId="723" fillId="711" borderId="0" xfId="0" applyFont="1" applyFill="1" applyAlignment="1">
      <alignment horizontal="center" vertical="center" wrapText="1"/>
    </xf>
    <xf numFmtId="0" fontId="722" fillId="712" borderId="0" xfId="0" applyFont="1" applyFill="1"/>
    <xf numFmtId="0" fontId="722" fillId="713" borderId="0" xfId="0" applyFont="1" applyFill="1"/>
    <xf numFmtId="0" fontId="722" fillId="714" borderId="0" xfId="0" applyFont="1" applyFill="1"/>
    <xf numFmtId="0" fontId="723" fillId="715" borderId="0" xfId="0" applyFont="1" applyFill="1" applyAlignment="1">
      <alignment horizontal="center" vertical="center" wrapText="1"/>
    </xf>
    <xf numFmtId="0" fontId="723" fillId="716" borderId="0" xfId="0" applyFont="1" applyFill="1" applyAlignment="1">
      <alignment horizontal="center" vertical="center" wrapText="1"/>
    </xf>
    <xf numFmtId="0" fontId="723" fillId="717" borderId="0" xfId="0" applyFont="1" applyFill="1" applyAlignment="1">
      <alignment horizontal="center" vertical="center" wrapText="1"/>
    </xf>
    <xf numFmtId="0" fontId="723" fillId="718" borderId="0" xfId="0" applyFont="1" applyFill="1" applyAlignment="1">
      <alignment horizontal="center" vertical="center" wrapText="1"/>
    </xf>
    <xf numFmtId="0" fontId="723" fillId="719" borderId="0" xfId="0" applyFont="1" applyFill="1" applyAlignment="1">
      <alignment horizontal="center" vertical="center" wrapText="1"/>
    </xf>
    <xf numFmtId="0" fontId="723" fillId="720" borderId="0" xfId="0" applyFont="1" applyFill="1" applyAlignment="1">
      <alignment horizontal="center" vertical="center" wrapText="1"/>
    </xf>
    <xf numFmtId="0" fontId="723" fillId="721" borderId="0" xfId="0" applyFont="1" applyFill="1" applyAlignment="1">
      <alignment horizontal="center" vertical="center" wrapText="1"/>
    </xf>
    <xf numFmtId="0" fontId="723" fillId="722" borderId="0" xfId="0" applyFont="1" applyFill="1" applyAlignment="1">
      <alignment horizontal="center" vertical="center" wrapText="1"/>
    </xf>
    <xf numFmtId="0" fontId="0" fillId="723" borderId="0" xfId="0" applyFill="1" applyAlignment="1">
      <alignment horizontal="center" vertical="center" wrapText="1"/>
    </xf>
    <xf numFmtId="0" fontId="722" fillId="724" borderId="0" xfId="0" applyFont="1" applyFill="1"/>
    <xf numFmtId="0" fontId="722" fillId="725" borderId="0" xfId="0" applyFont="1" applyFill="1"/>
    <xf numFmtId="0" fontId="722" fillId="726" borderId="0" xfId="0" applyFont="1" applyFill="1"/>
    <xf numFmtId="0" fontId="723" fillId="607" borderId="0" xfId="0" applyFont="1" applyFill="1" applyAlignment="1">
      <alignment horizontal="center" vertical="center" wrapText="1"/>
    </xf>
    <xf numFmtId="0" fontId="723" fillId="727" borderId="0" xfId="0" applyFont="1" applyFill="1" applyAlignment="1">
      <alignment horizontal="center" vertical="center" wrapText="1"/>
    </xf>
    <xf numFmtId="0" fontId="723" fillId="728" borderId="0" xfId="0" applyFont="1" applyFill="1" applyAlignment="1">
      <alignment horizontal="center" vertical="center" wrapText="1"/>
    </xf>
    <xf numFmtId="0" fontId="723" fillId="729" borderId="0" xfId="0" applyFont="1" applyFill="1" applyAlignment="1">
      <alignment horizontal="center" vertical="center" wrapText="1"/>
    </xf>
    <xf numFmtId="0" fontId="724" fillId="157" borderId="0" xfId="0" applyFont="1" applyFill="1" applyAlignment="1">
      <alignment horizontal="center" vertical="center" wrapText="1"/>
    </xf>
    <xf numFmtId="0" fontId="723" fillId="730" borderId="0" xfId="0" applyFont="1" applyFill="1" applyAlignment="1">
      <alignment horizontal="center" vertical="center" wrapText="1"/>
    </xf>
    <xf numFmtId="0" fontId="723" fillId="731" borderId="0" xfId="0" applyFont="1" applyFill="1" applyAlignment="1">
      <alignment horizontal="center" vertical="center" wrapText="1"/>
    </xf>
    <xf numFmtId="0" fontId="0" fillId="732" borderId="0" xfId="0" applyFill="1" applyAlignment="1">
      <alignment horizontal="center" vertical="center" wrapText="1"/>
    </xf>
    <xf numFmtId="0" fontId="0" fillId="733" borderId="0" xfId="0" applyFill="1" applyAlignment="1">
      <alignment horizontal="center" vertical="center" wrapText="1"/>
    </xf>
    <xf numFmtId="0" fontId="722" fillId="60" borderId="0" xfId="0" applyFont="1" applyFill="1"/>
    <xf numFmtId="0" fontId="722" fillId="734" borderId="0" xfId="0" applyFont="1" applyFill="1"/>
    <xf numFmtId="0" fontId="722" fillId="735" borderId="0" xfId="0" applyFont="1" applyFill="1"/>
    <xf numFmtId="0" fontId="723" fillId="736" borderId="0" xfId="0" applyFont="1" applyFill="1" applyAlignment="1">
      <alignment horizontal="center" vertical="center" wrapText="1"/>
    </xf>
    <xf numFmtId="0" fontId="723" fillId="737" borderId="0" xfId="0" applyFont="1" applyFill="1" applyAlignment="1">
      <alignment horizontal="center" vertical="center" wrapText="1"/>
    </xf>
    <xf numFmtId="0" fontId="723" fillId="738" borderId="0" xfId="0" applyFont="1" applyFill="1" applyAlignment="1">
      <alignment horizontal="center" vertical="center" wrapText="1"/>
    </xf>
    <xf numFmtId="0" fontId="723" fillId="739" borderId="0" xfId="0" applyFont="1" applyFill="1" applyAlignment="1">
      <alignment horizontal="center" vertical="center" wrapText="1"/>
    </xf>
    <xf numFmtId="0" fontId="723" fillId="740" borderId="0" xfId="0" applyFont="1" applyFill="1" applyAlignment="1">
      <alignment horizontal="center" vertical="center" wrapText="1"/>
    </xf>
    <xf numFmtId="0" fontId="723" fillId="741" borderId="0" xfId="0" applyFont="1" applyFill="1" applyAlignment="1">
      <alignment horizontal="center" vertical="center" wrapText="1"/>
    </xf>
    <xf numFmtId="0" fontId="0" fillId="742" borderId="0" xfId="0" applyFill="1" applyAlignment="1">
      <alignment horizontal="center" vertical="center" wrapText="1"/>
    </xf>
    <xf numFmtId="0" fontId="0" fillId="743" borderId="0" xfId="0" applyFill="1" applyAlignment="1">
      <alignment horizontal="center" vertical="center" wrapText="1"/>
    </xf>
    <xf numFmtId="0" fontId="0" fillId="744" borderId="0" xfId="0" applyFill="1" applyAlignment="1">
      <alignment horizontal="center" vertical="center" wrapText="1"/>
    </xf>
    <xf numFmtId="0" fontId="722" fillId="45" borderId="0" xfId="0" applyFont="1" applyFill="1"/>
    <xf numFmtId="0" fontId="722" fillId="745" borderId="0" xfId="0" applyFont="1" applyFill="1"/>
    <xf numFmtId="0" fontId="722" fillId="746" borderId="0" xfId="0" applyFont="1" applyFill="1"/>
    <xf numFmtId="0" fontId="723" fillId="747" borderId="0" xfId="0" applyFont="1" applyFill="1" applyAlignment="1">
      <alignment horizontal="center" vertical="center" wrapText="1"/>
    </xf>
    <xf numFmtId="0" fontId="723" fillId="748" borderId="0" xfId="0" applyFont="1" applyFill="1" applyAlignment="1">
      <alignment horizontal="center" vertical="center" wrapText="1"/>
    </xf>
    <xf numFmtId="0" fontId="723" fillId="749" borderId="0" xfId="0" applyFont="1" applyFill="1" applyAlignment="1">
      <alignment horizontal="center" vertical="center" wrapText="1"/>
    </xf>
    <xf numFmtId="0" fontId="723" fillId="750" borderId="0" xfId="0" applyFont="1" applyFill="1" applyAlignment="1">
      <alignment horizontal="center" vertical="center" wrapText="1"/>
    </xf>
    <xf numFmtId="0" fontId="723" fillId="751" borderId="0" xfId="0" applyFont="1" applyFill="1" applyAlignment="1">
      <alignment horizontal="center" vertical="center" wrapText="1"/>
    </xf>
    <xf numFmtId="0" fontId="0" fillId="752" borderId="0" xfId="0" applyFill="1" applyAlignment="1">
      <alignment horizontal="center" vertical="center" wrapText="1"/>
    </xf>
    <xf numFmtId="0" fontId="0" fillId="753" borderId="0" xfId="0" applyFill="1" applyAlignment="1">
      <alignment horizontal="center" vertical="center" wrapText="1"/>
    </xf>
    <xf numFmtId="0" fontId="0" fillId="754" borderId="0" xfId="0" applyFill="1" applyAlignment="1">
      <alignment horizontal="center" vertical="center" wrapText="1"/>
    </xf>
    <xf numFmtId="0" fontId="0" fillId="755" borderId="0" xfId="0" applyFill="1" applyAlignment="1">
      <alignment horizontal="center" vertical="center" wrapText="1"/>
    </xf>
    <xf numFmtId="0" fontId="722" fillId="756" borderId="0" xfId="0" applyFont="1" applyFill="1"/>
    <xf numFmtId="0" fontId="722" fillId="757" borderId="0" xfId="0" applyFont="1" applyFill="1"/>
    <xf numFmtId="0" fontId="722" fillId="758" borderId="0" xfId="0" applyFont="1" applyFill="1"/>
    <xf numFmtId="0" fontId="723" fillId="759" borderId="0" xfId="0" applyFont="1" applyFill="1" applyAlignment="1">
      <alignment horizontal="center" vertical="center" wrapText="1"/>
    </xf>
    <xf numFmtId="0" fontId="723" fillId="760" borderId="0" xfId="0" applyFont="1" applyFill="1" applyAlignment="1">
      <alignment horizontal="center" vertical="center" wrapText="1"/>
    </xf>
    <xf numFmtId="0" fontId="723" fillId="761" borderId="0" xfId="0" applyFont="1" applyFill="1" applyAlignment="1">
      <alignment horizontal="center" vertical="center" wrapText="1"/>
    </xf>
    <xf numFmtId="0" fontId="723" fillId="762" borderId="0" xfId="0" applyFont="1" applyFill="1" applyAlignment="1">
      <alignment horizontal="center" vertical="center" wrapText="1"/>
    </xf>
    <xf numFmtId="0" fontId="0" fillId="763" borderId="0" xfId="0" applyFill="1" applyAlignment="1">
      <alignment horizontal="center" vertical="center" wrapText="1"/>
    </xf>
    <xf numFmtId="0" fontId="0" fillId="764" borderId="0" xfId="0" applyFill="1" applyAlignment="1">
      <alignment horizontal="center" vertical="center" wrapText="1"/>
    </xf>
    <xf numFmtId="0" fontId="0" fillId="765" borderId="0" xfId="0" applyFill="1" applyAlignment="1">
      <alignment horizontal="center" vertical="center" wrapText="1"/>
    </xf>
    <xf numFmtId="0" fontId="0" fillId="766" borderId="0" xfId="0" applyFill="1" applyAlignment="1">
      <alignment horizontal="center" vertical="center" wrapText="1"/>
    </xf>
    <xf numFmtId="0" fontId="0" fillId="767" borderId="0" xfId="0" applyFill="1" applyAlignment="1">
      <alignment horizontal="center" vertical="center" wrapText="1"/>
    </xf>
    <xf numFmtId="0" fontId="722" fillId="768" borderId="0" xfId="0" applyFont="1" applyFill="1"/>
    <xf numFmtId="0" fontId="722" fillId="769" borderId="0" xfId="0" applyFont="1" applyFill="1"/>
    <xf numFmtId="0" fontId="722" fillId="770" borderId="0" xfId="0" applyFont="1" applyFill="1"/>
    <xf numFmtId="0" fontId="723" fillId="771" borderId="0" xfId="0" applyFont="1" applyFill="1" applyAlignment="1">
      <alignment horizontal="center" vertical="center" wrapText="1"/>
    </xf>
    <xf numFmtId="0" fontId="723" fillId="772" borderId="0" xfId="0" applyFont="1" applyFill="1" applyAlignment="1">
      <alignment horizontal="center" vertical="center" wrapText="1"/>
    </xf>
    <xf numFmtId="0" fontId="723" fillId="773" borderId="0" xfId="0" applyFont="1" applyFill="1" applyAlignment="1">
      <alignment horizontal="center" vertical="center" wrapText="1"/>
    </xf>
    <xf numFmtId="0" fontId="0" fillId="774" borderId="0" xfId="0" applyFill="1" applyAlignment="1">
      <alignment horizontal="center" vertical="center" wrapText="1"/>
    </xf>
    <xf numFmtId="0" fontId="0" fillId="775" borderId="0" xfId="0" applyFill="1" applyAlignment="1">
      <alignment horizontal="center" vertical="center" wrapText="1"/>
    </xf>
    <xf numFmtId="0" fontId="0" fillId="776" borderId="0" xfId="0" applyFill="1" applyAlignment="1">
      <alignment horizontal="center" vertical="center" wrapText="1"/>
    </xf>
    <xf numFmtId="0" fontId="0" fillId="777" borderId="0" xfId="0" applyFill="1" applyAlignment="1">
      <alignment horizontal="center" vertical="center" wrapText="1"/>
    </xf>
    <xf numFmtId="0" fontId="0" fillId="778" borderId="0" xfId="0" applyFill="1" applyAlignment="1">
      <alignment horizontal="center" vertical="center" wrapText="1"/>
    </xf>
    <xf numFmtId="0" fontId="0" fillId="779" borderId="0" xfId="0" applyFill="1" applyAlignment="1">
      <alignment horizontal="center" vertical="center" wrapText="1"/>
    </xf>
    <xf numFmtId="0" fontId="722" fillId="780" borderId="0" xfId="0" applyFont="1" applyFill="1"/>
    <xf numFmtId="0" fontId="722" fillId="781" borderId="0" xfId="0" applyFont="1" applyFill="1"/>
    <xf numFmtId="0" fontId="722" fillId="782" borderId="0" xfId="0" applyFont="1" applyFill="1"/>
    <xf numFmtId="0" fontId="723" fillId="783" borderId="0" xfId="0" applyFont="1" applyFill="1" applyAlignment="1">
      <alignment horizontal="center" vertical="center" wrapText="1"/>
    </xf>
    <xf numFmtId="0" fontId="723" fillId="784" borderId="0" xfId="0" applyFont="1" applyFill="1" applyAlignment="1">
      <alignment horizontal="center" vertical="center" wrapText="1"/>
    </xf>
    <xf numFmtId="0" fontId="723" fillId="785" borderId="0" xfId="0" applyFont="1" applyFill="1" applyAlignment="1">
      <alignment horizontal="center" vertical="center" wrapText="1"/>
    </xf>
    <xf numFmtId="0" fontId="723" fillId="786" borderId="0" xfId="0" applyFont="1" applyFill="1" applyAlignment="1">
      <alignment horizontal="center" vertical="center" wrapText="1"/>
    </xf>
    <xf numFmtId="0" fontId="723" fillId="787" borderId="0" xfId="0" applyFont="1" applyFill="1" applyAlignment="1">
      <alignment horizontal="center" vertical="center" wrapText="1"/>
    </xf>
    <xf numFmtId="0" fontId="723" fillId="788" borderId="0" xfId="0" applyFont="1" applyFill="1" applyAlignment="1">
      <alignment horizontal="center" vertical="center" wrapText="1"/>
    </xf>
    <xf numFmtId="0" fontId="723" fillId="789" borderId="0" xfId="0" applyFont="1" applyFill="1" applyAlignment="1">
      <alignment horizontal="center" vertical="center" wrapText="1"/>
    </xf>
    <xf numFmtId="0" fontId="723" fillId="790" borderId="0" xfId="0" applyFont="1" applyFill="1" applyAlignment="1">
      <alignment horizontal="center" vertical="center" wrapText="1"/>
    </xf>
    <xf numFmtId="0" fontId="723" fillId="791" borderId="0" xfId="0" applyFont="1" applyFill="1" applyAlignment="1">
      <alignment horizontal="center" vertical="center" wrapText="1"/>
    </xf>
    <xf numFmtId="0" fontId="722" fillId="68" borderId="0" xfId="0" applyFont="1" applyFill="1"/>
    <xf numFmtId="0" fontId="722" fillId="792" borderId="0" xfId="0" applyFont="1" applyFill="1"/>
    <xf numFmtId="0" fontId="722" fillId="793" borderId="0" xfId="0" applyFont="1" applyFill="1"/>
    <xf numFmtId="0" fontId="723" fillId="794" borderId="0" xfId="0" applyFont="1" applyFill="1" applyAlignment="1">
      <alignment horizontal="center" vertical="center" wrapText="1"/>
    </xf>
    <xf numFmtId="0" fontId="723" fillId="795" borderId="0" xfId="0" applyFont="1" applyFill="1" applyAlignment="1">
      <alignment horizontal="center" vertical="center" wrapText="1"/>
    </xf>
    <xf numFmtId="0" fontId="723" fillId="796" borderId="0" xfId="0" applyFont="1" applyFill="1" applyAlignment="1">
      <alignment horizontal="center" vertical="center" wrapText="1"/>
    </xf>
    <xf numFmtId="0" fontId="723" fillId="797" borderId="0" xfId="0" applyFont="1" applyFill="1" applyAlignment="1">
      <alignment horizontal="center" vertical="center" wrapText="1"/>
    </xf>
    <xf numFmtId="0" fontId="723" fillId="798" borderId="0" xfId="0" applyFont="1" applyFill="1" applyAlignment="1">
      <alignment horizontal="center" vertical="center" wrapText="1"/>
    </xf>
    <xf numFmtId="0" fontId="723" fillId="799" borderId="0" xfId="0" applyFont="1" applyFill="1" applyAlignment="1">
      <alignment horizontal="center" vertical="center" wrapText="1"/>
    </xf>
    <xf numFmtId="0" fontId="723" fillId="800" borderId="0" xfId="0" applyFont="1" applyFill="1" applyAlignment="1">
      <alignment horizontal="center" vertical="center" wrapText="1"/>
    </xf>
    <xf numFmtId="0" fontId="723" fillId="801" borderId="0" xfId="0" applyFont="1" applyFill="1" applyAlignment="1">
      <alignment horizontal="center" vertical="center" wrapText="1"/>
    </xf>
    <xf numFmtId="0" fontId="723" fillId="802" borderId="0" xfId="0" applyFont="1" applyFill="1" applyAlignment="1">
      <alignment horizontal="center" vertical="center" wrapText="1"/>
    </xf>
    <xf numFmtId="0" fontId="722" fillId="803" borderId="0" xfId="0" applyFont="1" applyFill="1"/>
    <xf numFmtId="0" fontId="722" fillId="804" borderId="0" xfId="0" applyFont="1" applyFill="1"/>
    <xf numFmtId="0" fontId="722" fillId="805" borderId="0" xfId="0" applyFont="1" applyFill="1"/>
    <xf numFmtId="0" fontId="723" fillId="806" borderId="0" xfId="0" applyFont="1" applyFill="1" applyAlignment="1">
      <alignment horizontal="center" vertical="center" wrapText="1"/>
    </xf>
    <xf numFmtId="0" fontId="723" fillId="807" borderId="0" xfId="0" applyFont="1" applyFill="1" applyAlignment="1">
      <alignment horizontal="center" vertical="center" wrapText="1"/>
    </xf>
    <xf numFmtId="0" fontId="723" fillId="808" borderId="0" xfId="0" applyFont="1" applyFill="1" applyAlignment="1">
      <alignment horizontal="center" vertical="center" wrapText="1"/>
    </xf>
    <xf numFmtId="0" fontId="723" fillId="809" borderId="0" xfId="0" applyFont="1" applyFill="1" applyAlignment="1">
      <alignment horizontal="center" vertical="center" wrapText="1"/>
    </xf>
    <xf numFmtId="0" fontId="723" fillId="810" borderId="0" xfId="0" applyFont="1" applyFill="1" applyAlignment="1">
      <alignment horizontal="center" vertical="center" wrapText="1"/>
    </xf>
    <xf numFmtId="0" fontId="723" fillId="811" borderId="0" xfId="0" applyFont="1" applyFill="1" applyAlignment="1">
      <alignment horizontal="center" vertical="center" wrapText="1"/>
    </xf>
    <xf numFmtId="0" fontId="723" fillId="812" borderId="0" xfId="0" applyFont="1" applyFill="1" applyAlignment="1">
      <alignment horizontal="center" vertical="center" wrapText="1"/>
    </xf>
    <xf numFmtId="0" fontId="723" fillId="813" borderId="0" xfId="0" applyFont="1" applyFill="1" applyAlignment="1">
      <alignment horizontal="center" vertical="center" wrapText="1"/>
    </xf>
    <xf numFmtId="0" fontId="0" fillId="814" borderId="0" xfId="0" applyFill="1" applyAlignment="1">
      <alignment horizontal="center" vertical="center" wrapText="1"/>
    </xf>
    <xf numFmtId="0" fontId="722" fillId="815" borderId="0" xfId="0" applyFont="1" applyFill="1"/>
    <xf numFmtId="0" fontId="722" fillId="816" borderId="0" xfId="0" applyFont="1" applyFill="1"/>
    <xf numFmtId="0" fontId="722" fillId="817" borderId="0" xfId="0" applyFont="1" applyFill="1"/>
    <xf numFmtId="0" fontId="723" fillId="818" borderId="0" xfId="0" applyFont="1" applyFill="1" applyAlignment="1">
      <alignment horizontal="center" vertical="center" wrapText="1"/>
    </xf>
    <xf numFmtId="0" fontId="723" fillId="819" borderId="0" xfId="0" applyFont="1" applyFill="1" applyAlignment="1">
      <alignment horizontal="center" vertical="center" wrapText="1"/>
    </xf>
    <xf numFmtId="0" fontId="723" fillId="820" borderId="0" xfId="0" applyFont="1" applyFill="1" applyAlignment="1">
      <alignment horizontal="center" vertical="center" wrapText="1"/>
    </xf>
    <xf numFmtId="0" fontId="723" fillId="821" borderId="0" xfId="0" applyFont="1" applyFill="1" applyAlignment="1">
      <alignment horizontal="center" vertical="center" wrapText="1"/>
    </xf>
    <xf numFmtId="0" fontId="723" fillId="822" borderId="0" xfId="0" applyFont="1" applyFill="1" applyAlignment="1">
      <alignment horizontal="center" vertical="center" wrapText="1"/>
    </xf>
    <xf numFmtId="0" fontId="723" fillId="823" borderId="0" xfId="0" applyFont="1" applyFill="1" applyAlignment="1">
      <alignment horizontal="center" vertical="center" wrapText="1"/>
    </xf>
    <xf numFmtId="0" fontId="723" fillId="824" borderId="0" xfId="0" applyFont="1" applyFill="1" applyAlignment="1">
      <alignment horizontal="center" vertical="center" wrapText="1"/>
    </xf>
    <xf numFmtId="0" fontId="0" fillId="825" borderId="0" xfId="0" applyFill="1" applyAlignment="1">
      <alignment horizontal="center" vertical="center" wrapText="1"/>
    </xf>
    <xf numFmtId="0" fontId="0" fillId="826" borderId="0" xfId="0" applyFill="1" applyAlignment="1">
      <alignment horizontal="center" vertical="center" wrapText="1"/>
    </xf>
    <xf numFmtId="0" fontId="722" fillId="827" borderId="0" xfId="0" applyFont="1" applyFill="1"/>
    <xf numFmtId="0" fontId="722" fillId="828" borderId="0" xfId="0" applyFont="1" applyFill="1"/>
    <xf numFmtId="0" fontId="722" fillId="829" borderId="0" xfId="0" applyFont="1" applyFill="1"/>
    <xf numFmtId="0" fontId="723" fillId="830" borderId="0" xfId="0" applyFont="1" applyFill="1" applyAlignment="1">
      <alignment horizontal="center" vertical="center" wrapText="1"/>
    </xf>
    <xf numFmtId="0" fontId="723" fillId="831" borderId="0" xfId="0" applyFont="1" applyFill="1" applyAlignment="1">
      <alignment horizontal="center" vertical="center" wrapText="1"/>
    </xf>
    <xf numFmtId="0" fontId="723" fillId="832" borderId="0" xfId="0" applyFont="1" applyFill="1" applyAlignment="1">
      <alignment horizontal="center" vertical="center" wrapText="1"/>
    </xf>
    <xf numFmtId="0" fontId="723" fillId="833" borderId="0" xfId="0" applyFont="1" applyFill="1" applyAlignment="1">
      <alignment horizontal="center" vertical="center" wrapText="1"/>
    </xf>
    <xf numFmtId="0" fontId="723" fillId="834" borderId="0" xfId="0" applyFont="1" applyFill="1" applyAlignment="1">
      <alignment horizontal="center" vertical="center" wrapText="1"/>
    </xf>
    <xf numFmtId="0" fontId="723" fillId="835" borderId="0" xfId="0" applyFont="1" applyFill="1" applyAlignment="1">
      <alignment horizontal="center" vertical="center" wrapText="1"/>
    </xf>
    <xf numFmtId="0" fontId="0" fillId="836" borderId="0" xfId="0" applyFill="1" applyAlignment="1">
      <alignment horizontal="center" vertical="center" wrapText="1"/>
    </xf>
    <xf numFmtId="0" fontId="0" fillId="837" borderId="0" xfId="0" applyFill="1" applyAlignment="1">
      <alignment horizontal="center" vertical="center" wrapText="1"/>
    </xf>
    <xf numFmtId="0" fontId="0" fillId="838" borderId="0" xfId="0" applyFill="1" applyAlignment="1">
      <alignment horizontal="center" vertical="center" wrapText="1"/>
    </xf>
    <xf numFmtId="0" fontId="722" fillId="839" borderId="0" xfId="0" applyFont="1" applyFill="1"/>
    <xf numFmtId="0" fontId="722" fillId="840" borderId="0" xfId="0" applyFont="1" applyFill="1"/>
    <xf numFmtId="0" fontId="722" fillId="841" borderId="0" xfId="0" applyFont="1" applyFill="1"/>
    <xf numFmtId="0" fontId="723" fillId="842" borderId="0" xfId="0" applyFont="1" applyFill="1" applyAlignment="1">
      <alignment horizontal="center" vertical="center" wrapText="1"/>
    </xf>
    <xf numFmtId="0" fontId="723" fillId="843" borderId="0" xfId="0" applyFont="1" applyFill="1" applyAlignment="1">
      <alignment horizontal="center" vertical="center" wrapText="1"/>
    </xf>
    <xf numFmtId="0" fontId="723" fillId="844" borderId="0" xfId="0" applyFont="1" applyFill="1" applyAlignment="1">
      <alignment horizontal="center" vertical="center" wrapText="1"/>
    </xf>
    <xf numFmtId="0" fontId="723" fillId="845" borderId="0" xfId="0" applyFont="1" applyFill="1" applyAlignment="1">
      <alignment horizontal="center" vertical="center" wrapText="1"/>
    </xf>
    <xf numFmtId="0" fontId="723" fillId="846" borderId="0" xfId="0" applyFont="1" applyFill="1" applyAlignment="1">
      <alignment horizontal="center" vertical="center" wrapText="1"/>
    </xf>
    <xf numFmtId="0" fontId="0" fillId="847" borderId="0" xfId="0" applyFill="1" applyAlignment="1">
      <alignment horizontal="center" vertical="center" wrapText="1"/>
    </xf>
    <xf numFmtId="0" fontId="0" fillId="848" borderId="0" xfId="0" applyFill="1" applyAlignment="1">
      <alignment horizontal="center" vertical="center" wrapText="1"/>
    </xf>
    <xf numFmtId="0" fontId="0" fillId="849" borderId="0" xfId="0" applyFill="1" applyAlignment="1">
      <alignment horizontal="center" vertical="center" wrapText="1"/>
    </xf>
    <xf numFmtId="0" fontId="0" fillId="850" borderId="0" xfId="0" applyFill="1" applyAlignment="1">
      <alignment horizontal="center" vertical="center" wrapText="1"/>
    </xf>
    <xf numFmtId="0" fontId="722" fillId="851" borderId="0" xfId="0" applyFont="1" applyFill="1"/>
    <xf numFmtId="0" fontId="722" fillId="852" borderId="0" xfId="0" applyFont="1" applyFill="1"/>
    <xf numFmtId="0" fontId="722" fillId="853" borderId="0" xfId="0" applyFont="1" applyFill="1"/>
    <xf numFmtId="0" fontId="723" fillId="854" borderId="0" xfId="0" applyFont="1" applyFill="1" applyAlignment="1">
      <alignment horizontal="center" vertical="center" wrapText="1"/>
    </xf>
    <xf numFmtId="0" fontId="723" fillId="855" borderId="0" xfId="0" applyFont="1" applyFill="1" applyAlignment="1">
      <alignment horizontal="center" vertical="center" wrapText="1"/>
    </xf>
    <xf numFmtId="0" fontId="723" fillId="856" borderId="0" xfId="0" applyFont="1" applyFill="1" applyAlignment="1">
      <alignment horizontal="center" vertical="center" wrapText="1"/>
    </xf>
    <xf numFmtId="0" fontId="723" fillId="857" borderId="0" xfId="0" applyFont="1" applyFill="1" applyAlignment="1">
      <alignment horizontal="center" vertical="center" wrapText="1"/>
    </xf>
    <xf numFmtId="0" fontId="0" fillId="858" borderId="0" xfId="0" applyFill="1" applyAlignment="1">
      <alignment horizontal="center" vertical="center" wrapText="1"/>
    </xf>
    <xf numFmtId="0" fontId="0" fillId="859" borderId="0" xfId="0" applyFill="1" applyAlignment="1">
      <alignment horizontal="center" vertical="center" wrapText="1"/>
    </xf>
    <xf numFmtId="0" fontId="0" fillId="860" borderId="0" xfId="0" applyFill="1" applyAlignment="1">
      <alignment horizontal="center" vertical="center" wrapText="1"/>
    </xf>
    <xf numFmtId="0" fontId="0" fillId="861" borderId="0" xfId="0" applyFill="1" applyAlignment="1">
      <alignment horizontal="center" vertical="center" wrapText="1"/>
    </xf>
    <xf numFmtId="0" fontId="0" fillId="862" borderId="0" xfId="0" applyFill="1" applyAlignment="1">
      <alignment horizontal="center" vertical="center" wrapText="1"/>
    </xf>
    <xf numFmtId="0" fontId="722" fillId="863" borderId="0" xfId="0" applyFont="1" applyFill="1"/>
    <xf numFmtId="0" fontId="722" fillId="864" borderId="0" xfId="0" applyFont="1" applyFill="1"/>
    <xf numFmtId="0" fontId="722" fillId="865" borderId="0" xfId="0" applyFont="1" applyFill="1"/>
    <xf numFmtId="0" fontId="723" fillId="866" borderId="0" xfId="0" applyFont="1" applyFill="1" applyAlignment="1">
      <alignment horizontal="center" vertical="center" wrapText="1"/>
    </xf>
    <xf numFmtId="0" fontId="723" fillId="867" borderId="0" xfId="0" applyFont="1" applyFill="1" applyAlignment="1">
      <alignment horizontal="center" vertical="center" wrapText="1"/>
    </xf>
    <xf numFmtId="0" fontId="723" fillId="868" borderId="0" xfId="0" applyFont="1" applyFill="1" applyAlignment="1">
      <alignment horizontal="center" vertical="center" wrapText="1"/>
    </xf>
    <xf numFmtId="0" fontId="0" fillId="869" borderId="0" xfId="0" applyFill="1" applyAlignment="1">
      <alignment horizontal="center" vertical="center" wrapText="1"/>
    </xf>
    <xf numFmtId="0" fontId="0" fillId="870" borderId="0" xfId="0" applyFill="1" applyAlignment="1">
      <alignment horizontal="center" vertical="center" wrapText="1"/>
    </xf>
    <xf numFmtId="0" fontId="0" fillId="871" borderId="0" xfId="0" applyFill="1" applyAlignment="1">
      <alignment horizontal="center" vertical="center" wrapText="1"/>
    </xf>
    <xf numFmtId="0" fontId="0" fillId="872" borderId="0" xfId="0" applyFill="1" applyAlignment="1">
      <alignment horizontal="center" vertical="center" wrapText="1"/>
    </xf>
    <xf numFmtId="0" fontId="0" fillId="873" borderId="0" xfId="0" applyFill="1" applyAlignment="1">
      <alignment horizontal="center" vertical="center" wrapText="1"/>
    </xf>
    <xf numFmtId="0" fontId="0" fillId="874" borderId="0" xfId="0" applyFill="1" applyAlignment="1">
      <alignment horizontal="center" vertical="center" wrapText="1"/>
    </xf>
    <xf numFmtId="0" fontId="722" fillId="875" borderId="0" xfId="0" applyFont="1" applyFill="1"/>
    <xf numFmtId="0" fontId="722" fillId="876" borderId="0" xfId="0" applyFont="1" applyFill="1"/>
    <xf numFmtId="0" fontId="722" fillId="877" borderId="0" xfId="0" applyFont="1" applyFill="1"/>
    <xf numFmtId="0" fontId="723" fillId="878" borderId="0" xfId="0" applyFont="1" applyFill="1" applyAlignment="1">
      <alignment horizontal="center" vertical="center" wrapText="1"/>
    </xf>
    <xf numFmtId="0" fontId="723" fillId="879" borderId="0" xfId="0" applyFont="1" applyFill="1" applyAlignment="1">
      <alignment horizontal="center" vertical="center" wrapText="1"/>
    </xf>
    <xf numFmtId="0" fontId="0" fillId="880" borderId="0" xfId="0" applyFill="1" applyAlignment="1">
      <alignment horizontal="center" vertical="center" wrapText="1"/>
    </xf>
    <xf numFmtId="0" fontId="0" fillId="881" borderId="0" xfId="0" applyFill="1" applyAlignment="1">
      <alignment horizontal="center" vertical="center" wrapText="1"/>
    </xf>
    <xf numFmtId="0" fontId="0" fillId="882" borderId="0" xfId="0" applyFill="1" applyAlignment="1">
      <alignment horizontal="center" vertical="center" wrapText="1"/>
    </xf>
    <xf numFmtId="0" fontId="0" fillId="883" borderId="0" xfId="0" applyFill="1" applyAlignment="1">
      <alignment horizontal="center" vertical="center" wrapText="1"/>
    </xf>
    <xf numFmtId="0" fontId="0" fillId="884" borderId="0" xfId="0" applyFill="1" applyAlignment="1">
      <alignment horizontal="center" vertical="center" wrapText="1"/>
    </xf>
    <xf numFmtId="0" fontId="0" fillId="885" borderId="0" xfId="0" applyFill="1" applyAlignment="1">
      <alignment horizontal="center" vertical="center" wrapText="1"/>
    </xf>
    <xf numFmtId="0" fontId="0" fillId="886" borderId="0" xfId="0" applyFill="1" applyAlignment="1">
      <alignment horizontal="center" vertical="center" wrapText="1"/>
    </xf>
    <xf numFmtId="0" fontId="722" fillId="887" borderId="0" xfId="0" applyFont="1" applyFill="1"/>
    <xf numFmtId="0" fontId="722" fillId="888" borderId="0" xfId="0" applyFont="1" applyFill="1"/>
    <xf numFmtId="0" fontId="722" fillId="889" borderId="0" xfId="0" applyFont="1" applyFill="1"/>
    <xf numFmtId="0" fontId="723" fillId="890" borderId="0" xfId="0" applyFont="1" applyFill="1" applyAlignment="1">
      <alignment horizontal="center" vertical="center" wrapText="1"/>
    </xf>
    <xf numFmtId="0" fontId="723" fillId="891" borderId="0" xfId="0" applyFont="1" applyFill="1" applyAlignment="1">
      <alignment horizontal="center" vertical="center" wrapText="1"/>
    </xf>
    <xf numFmtId="0" fontId="723" fillId="892" borderId="0" xfId="0" applyFont="1" applyFill="1" applyAlignment="1">
      <alignment horizontal="center" vertical="center" wrapText="1"/>
    </xf>
    <xf numFmtId="0" fontId="723" fillId="893" borderId="0" xfId="0" applyFont="1" applyFill="1" applyAlignment="1">
      <alignment horizontal="center" vertical="center" wrapText="1"/>
    </xf>
    <xf numFmtId="0" fontId="723" fillId="894" borderId="0" xfId="0" applyFont="1" applyFill="1" applyAlignment="1">
      <alignment horizontal="center" vertical="center" wrapText="1"/>
    </xf>
    <xf numFmtId="0" fontId="723" fillId="895" borderId="0" xfId="0" applyFont="1" applyFill="1" applyAlignment="1">
      <alignment horizontal="center" vertical="center" wrapText="1"/>
    </xf>
    <xf numFmtId="0" fontId="723" fillId="896" borderId="0" xfId="0" applyFont="1" applyFill="1" applyAlignment="1">
      <alignment horizontal="center" vertical="center" wrapText="1"/>
    </xf>
    <xf numFmtId="0" fontId="723" fillId="897" borderId="0" xfId="0" applyFont="1" applyFill="1" applyAlignment="1">
      <alignment horizontal="center" vertical="center" wrapText="1"/>
    </xf>
    <xf numFmtId="0" fontId="723" fillId="898" borderId="0" xfId="0" applyFont="1" applyFill="1" applyAlignment="1">
      <alignment horizontal="center" vertical="center" wrapText="1"/>
    </xf>
    <xf numFmtId="0" fontId="722" fillId="899" borderId="0" xfId="0" applyFont="1" applyFill="1"/>
    <xf numFmtId="0" fontId="722" fillId="900" borderId="0" xfId="0" applyFont="1" applyFill="1"/>
    <xf numFmtId="0" fontId="722" fillId="901" borderId="0" xfId="0" applyFont="1" applyFill="1"/>
    <xf numFmtId="0" fontId="723" fillId="902" borderId="0" xfId="0" applyFont="1" applyFill="1" applyAlignment="1">
      <alignment horizontal="center" vertical="center" wrapText="1"/>
    </xf>
    <xf numFmtId="0" fontId="723" fillId="903" borderId="0" xfId="0" applyFont="1" applyFill="1" applyAlignment="1">
      <alignment horizontal="center" vertical="center" wrapText="1"/>
    </xf>
    <xf numFmtId="0" fontId="723" fillId="904" borderId="0" xfId="0" applyFont="1" applyFill="1" applyAlignment="1">
      <alignment horizontal="center" vertical="center" wrapText="1"/>
    </xf>
    <xf numFmtId="0" fontId="723" fillId="905" borderId="0" xfId="0" applyFont="1" applyFill="1" applyAlignment="1">
      <alignment horizontal="center" vertical="center" wrapText="1"/>
    </xf>
    <xf numFmtId="0" fontId="723" fillId="906" borderId="0" xfId="0" applyFont="1" applyFill="1" applyAlignment="1">
      <alignment horizontal="center" vertical="center" wrapText="1"/>
    </xf>
    <xf numFmtId="0" fontId="723" fillId="907" borderId="0" xfId="0" applyFont="1" applyFill="1" applyAlignment="1">
      <alignment horizontal="center" vertical="center" wrapText="1"/>
    </xf>
    <xf numFmtId="0" fontId="723" fillId="908" borderId="0" xfId="0" applyFont="1" applyFill="1" applyAlignment="1">
      <alignment horizontal="center" vertical="center" wrapText="1"/>
    </xf>
    <xf numFmtId="0" fontId="723" fillId="909" borderId="0" xfId="0" applyFont="1" applyFill="1" applyAlignment="1">
      <alignment horizontal="center" vertical="center" wrapText="1"/>
    </xf>
    <xf numFmtId="0" fontId="0" fillId="910" borderId="0" xfId="0" applyFill="1" applyAlignment="1">
      <alignment horizontal="center" vertical="center" wrapText="1"/>
    </xf>
    <xf numFmtId="0" fontId="722" fillId="911" borderId="0" xfId="0" applyFont="1" applyFill="1"/>
    <xf numFmtId="0" fontId="722" fillId="912" borderId="0" xfId="0" applyFont="1" applyFill="1"/>
    <xf numFmtId="0" fontId="722" fillId="913" borderId="0" xfId="0" applyFont="1" applyFill="1"/>
    <xf numFmtId="0" fontId="723" fillId="914" borderId="0" xfId="0" applyFont="1" applyFill="1" applyAlignment="1">
      <alignment horizontal="center" vertical="center" wrapText="1"/>
    </xf>
    <xf numFmtId="0" fontId="723" fillId="915" borderId="0" xfId="0" applyFont="1" applyFill="1" applyAlignment="1">
      <alignment horizontal="center" vertical="center" wrapText="1"/>
    </xf>
    <xf numFmtId="0" fontId="723" fillId="916" borderId="0" xfId="0" applyFont="1" applyFill="1" applyAlignment="1">
      <alignment horizontal="center" vertical="center" wrapText="1"/>
    </xf>
    <xf numFmtId="0" fontId="723" fillId="917" borderId="0" xfId="0" applyFont="1" applyFill="1" applyAlignment="1">
      <alignment horizontal="center" vertical="center" wrapText="1"/>
    </xf>
    <xf numFmtId="0" fontId="723" fillId="918" borderId="0" xfId="0" applyFont="1" applyFill="1" applyAlignment="1">
      <alignment horizontal="center" vertical="center" wrapText="1"/>
    </xf>
    <xf numFmtId="0" fontId="723" fillId="919" borderId="0" xfId="0" applyFont="1" applyFill="1" applyAlignment="1">
      <alignment horizontal="center" vertical="center" wrapText="1"/>
    </xf>
    <xf numFmtId="0" fontId="723" fillId="920" borderId="0" xfId="0" applyFont="1" applyFill="1" applyAlignment="1">
      <alignment horizontal="center" vertical="center" wrapText="1"/>
    </xf>
    <xf numFmtId="0" fontId="0" fillId="921" borderId="0" xfId="0" applyFill="1" applyAlignment="1">
      <alignment horizontal="center" vertical="center" wrapText="1"/>
    </xf>
    <xf numFmtId="0" fontId="0" fillId="922" borderId="0" xfId="0" applyFill="1" applyAlignment="1">
      <alignment horizontal="center" vertical="center" wrapText="1"/>
    </xf>
    <xf numFmtId="0" fontId="722" fillId="923" borderId="0" xfId="0" applyFont="1" applyFill="1"/>
    <xf numFmtId="0" fontId="722" fillId="924" borderId="0" xfId="0" applyFont="1" applyFill="1"/>
    <xf numFmtId="0" fontId="722" fillId="925" borderId="0" xfId="0" applyFont="1" applyFill="1"/>
    <xf numFmtId="0" fontId="723" fillId="926" borderId="0" xfId="0" applyFont="1" applyFill="1" applyAlignment="1">
      <alignment horizontal="center" vertical="center" wrapText="1"/>
    </xf>
    <xf numFmtId="0" fontId="723" fillId="927" borderId="0" xfId="0" applyFont="1" applyFill="1" applyAlignment="1">
      <alignment horizontal="center" vertical="center" wrapText="1"/>
    </xf>
    <xf numFmtId="0" fontId="723" fillId="928" borderId="0" xfId="0" applyFont="1" applyFill="1" applyAlignment="1">
      <alignment horizontal="center" vertical="center" wrapText="1"/>
    </xf>
    <xf numFmtId="0" fontId="723" fillId="929" borderId="0" xfId="0" applyFont="1" applyFill="1" applyAlignment="1">
      <alignment horizontal="center" vertical="center" wrapText="1"/>
    </xf>
    <xf numFmtId="0" fontId="723" fillId="930" borderId="0" xfId="0" applyFont="1" applyFill="1" applyAlignment="1">
      <alignment horizontal="center" vertical="center" wrapText="1"/>
    </xf>
    <xf numFmtId="0" fontId="723" fillId="931" borderId="0" xfId="0" applyFont="1" applyFill="1" applyAlignment="1">
      <alignment horizontal="center" vertical="center" wrapText="1"/>
    </xf>
    <xf numFmtId="0" fontId="0" fillId="932" borderId="0" xfId="0" applyFill="1" applyAlignment="1">
      <alignment horizontal="center" vertical="center" wrapText="1"/>
    </xf>
    <xf numFmtId="0" fontId="0" fillId="933" borderId="0" xfId="0" applyFill="1" applyAlignment="1">
      <alignment horizontal="center" vertical="center" wrapText="1"/>
    </xf>
    <xf numFmtId="0" fontId="0" fillId="934" borderId="0" xfId="0" applyFill="1" applyAlignment="1">
      <alignment horizontal="center" vertical="center" wrapText="1"/>
    </xf>
    <xf numFmtId="0" fontId="722" fillId="935" borderId="0" xfId="0" applyFont="1" applyFill="1"/>
    <xf numFmtId="0" fontId="722" fillId="936" borderId="0" xfId="0" applyFont="1" applyFill="1"/>
    <xf numFmtId="0" fontId="722" fillId="937" borderId="0" xfId="0" applyFont="1" applyFill="1"/>
    <xf numFmtId="0" fontId="723" fillId="938" borderId="0" xfId="0" applyFont="1" applyFill="1" applyAlignment="1">
      <alignment horizontal="center" vertical="center" wrapText="1"/>
    </xf>
    <xf numFmtId="0" fontId="723" fillId="939" borderId="0" xfId="0" applyFont="1" applyFill="1" applyAlignment="1">
      <alignment horizontal="center" vertical="center" wrapText="1"/>
    </xf>
    <xf numFmtId="0" fontId="723" fillId="940" borderId="0" xfId="0" applyFont="1" applyFill="1" applyAlignment="1">
      <alignment horizontal="center" vertical="center" wrapText="1"/>
    </xf>
    <xf numFmtId="0" fontId="723" fillId="941" borderId="0" xfId="0" applyFont="1" applyFill="1" applyAlignment="1">
      <alignment horizontal="center" vertical="center" wrapText="1"/>
    </xf>
    <xf numFmtId="0" fontId="723" fillId="942" borderId="0" xfId="0" applyFont="1" applyFill="1" applyAlignment="1">
      <alignment horizontal="center" vertical="center" wrapText="1"/>
    </xf>
    <xf numFmtId="0" fontId="0" fillId="943" borderId="0" xfId="0" applyFill="1" applyAlignment="1">
      <alignment horizontal="center" vertical="center" wrapText="1"/>
    </xf>
    <xf numFmtId="0" fontId="0" fillId="944" borderId="0" xfId="0" applyFill="1" applyAlignment="1">
      <alignment horizontal="center" vertical="center" wrapText="1"/>
    </xf>
    <xf numFmtId="0" fontId="0" fillId="945" borderId="0" xfId="0" applyFill="1" applyAlignment="1">
      <alignment horizontal="center" vertical="center" wrapText="1"/>
    </xf>
    <xf numFmtId="0" fontId="0" fillId="946" borderId="0" xfId="0" applyFill="1" applyAlignment="1">
      <alignment horizontal="center" vertical="center" wrapText="1"/>
    </xf>
    <xf numFmtId="0" fontId="722" fillId="947" borderId="0" xfId="0" applyFont="1" applyFill="1"/>
    <xf numFmtId="0" fontId="722" fillId="948" borderId="0" xfId="0" applyFont="1" applyFill="1"/>
    <xf numFmtId="0" fontId="722" fillId="949" borderId="0" xfId="0" applyFont="1" applyFill="1"/>
    <xf numFmtId="0" fontId="723" fillId="950" borderId="0" xfId="0" applyFont="1" applyFill="1" applyAlignment="1">
      <alignment horizontal="center" vertical="center" wrapText="1"/>
    </xf>
    <xf numFmtId="0" fontId="723" fillId="951" borderId="0" xfId="0" applyFont="1" applyFill="1" applyAlignment="1">
      <alignment horizontal="center" vertical="center" wrapText="1"/>
    </xf>
    <xf numFmtId="0" fontId="723" fillId="952" borderId="0" xfId="0" applyFont="1" applyFill="1" applyAlignment="1">
      <alignment horizontal="center" vertical="center" wrapText="1"/>
    </xf>
    <xf numFmtId="0" fontId="723" fillId="953" borderId="0" xfId="0" applyFont="1" applyFill="1" applyAlignment="1">
      <alignment horizontal="center" vertical="center" wrapText="1"/>
    </xf>
    <xf numFmtId="0" fontId="0" fillId="954" borderId="0" xfId="0" applyFill="1" applyAlignment="1">
      <alignment horizontal="center" vertical="center" wrapText="1"/>
    </xf>
    <xf numFmtId="0" fontId="0" fillId="955" borderId="0" xfId="0" applyFill="1" applyAlignment="1">
      <alignment horizontal="center" vertical="center" wrapText="1"/>
    </xf>
    <xf numFmtId="0" fontId="0" fillId="956" borderId="0" xfId="0" applyFill="1" applyAlignment="1">
      <alignment horizontal="center" vertical="center" wrapText="1"/>
    </xf>
    <xf numFmtId="0" fontId="0" fillId="957" borderId="0" xfId="0" applyFill="1" applyAlignment="1">
      <alignment horizontal="center" vertical="center" wrapText="1"/>
    </xf>
    <xf numFmtId="0" fontId="0" fillId="958" borderId="0" xfId="0" applyFill="1" applyAlignment="1">
      <alignment horizontal="center" vertical="center" wrapText="1"/>
    </xf>
    <xf numFmtId="0" fontId="722" fillId="959" borderId="0" xfId="0" applyFont="1" applyFill="1"/>
    <xf numFmtId="0" fontId="722" fillId="960" borderId="0" xfId="0" applyFont="1" applyFill="1"/>
    <xf numFmtId="0" fontId="722" fillId="961" borderId="0" xfId="0" applyFont="1" applyFill="1"/>
    <xf numFmtId="0" fontId="723" fillId="962" borderId="0" xfId="0" applyFont="1" applyFill="1" applyAlignment="1">
      <alignment horizontal="center" vertical="center" wrapText="1"/>
    </xf>
    <xf numFmtId="0" fontId="723" fillId="963" borderId="0" xfId="0" applyFont="1" applyFill="1" applyAlignment="1">
      <alignment horizontal="center" vertical="center" wrapText="1"/>
    </xf>
    <xf numFmtId="0" fontId="723" fillId="964" borderId="0" xfId="0" applyFont="1" applyFill="1" applyAlignment="1">
      <alignment horizontal="center" vertical="center" wrapText="1"/>
    </xf>
    <xf numFmtId="0" fontId="0" fillId="965" borderId="0" xfId="0" applyFill="1" applyAlignment="1">
      <alignment horizontal="center" vertical="center" wrapText="1"/>
    </xf>
    <xf numFmtId="0" fontId="0" fillId="966" borderId="0" xfId="0" applyFill="1" applyAlignment="1">
      <alignment horizontal="center" vertical="center" wrapText="1"/>
    </xf>
    <xf numFmtId="0" fontId="0" fillId="967" borderId="0" xfId="0" applyFill="1" applyAlignment="1">
      <alignment horizontal="center" vertical="center" wrapText="1"/>
    </xf>
    <xf numFmtId="0" fontId="0" fillId="968" borderId="0" xfId="0" applyFill="1" applyAlignment="1">
      <alignment horizontal="center" vertical="center" wrapText="1"/>
    </xf>
    <xf numFmtId="0" fontId="0" fillId="969" borderId="0" xfId="0" applyFill="1" applyAlignment="1">
      <alignment horizontal="center" vertical="center" wrapText="1"/>
    </xf>
    <xf numFmtId="0" fontId="0" fillId="970" borderId="0" xfId="0" applyFill="1" applyAlignment="1">
      <alignment horizontal="center" vertical="center" wrapText="1"/>
    </xf>
    <xf numFmtId="0" fontId="722" fillId="971" borderId="0" xfId="0" applyFont="1" applyFill="1"/>
    <xf numFmtId="0" fontId="722" fillId="972" borderId="0" xfId="0" applyFont="1" applyFill="1"/>
    <xf numFmtId="0" fontId="722" fillId="973" borderId="0" xfId="0" applyFont="1" applyFill="1"/>
    <xf numFmtId="0" fontId="723" fillId="974" borderId="0" xfId="0" applyFont="1" applyFill="1" applyAlignment="1">
      <alignment horizontal="center" vertical="center" wrapText="1"/>
    </xf>
    <xf numFmtId="0" fontId="723" fillId="975" borderId="0" xfId="0" applyFont="1" applyFill="1" applyAlignment="1">
      <alignment horizontal="center" vertical="center" wrapText="1"/>
    </xf>
    <xf numFmtId="0" fontId="0" fillId="976" borderId="0" xfId="0" applyFill="1" applyAlignment="1">
      <alignment horizontal="center" vertical="center" wrapText="1"/>
    </xf>
    <xf numFmtId="0" fontId="0" fillId="977" borderId="0" xfId="0" applyFill="1" applyAlignment="1">
      <alignment horizontal="center" vertical="center" wrapText="1"/>
    </xf>
    <xf numFmtId="0" fontId="0" fillId="978" borderId="0" xfId="0" applyFill="1" applyAlignment="1">
      <alignment horizontal="center" vertical="center" wrapText="1"/>
    </xf>
    <xf numFmtId="0" fontId="0" fillId="979" borderId="0" xfId="0" applyFill="1" applyAlignment="1">
      <alignment horizontal="center" vertical="center" wrapText="1"/>
    </xf>
    <xf numFmtId="0" fontId="0" fillId="980" borderId="0" xfId="0" applyFill="1" applyAlignment="1">
      <alignment horizontal="center" vertical="center" wrapText="1"/>
    </xf>
    <xf numFmtId="0" fontId="0" fillId="981" borderId="0" xfId="0" applyFill="1" applyAlignment="1">
      <alignment horizontal="center" vertical="center" wrapText="1"/>
    </xf>
    <xf numFmtId="0" fontId="0" fillId="982" borderId="0" xfId="0" applyFill="1" applyAlignment="1">
      <alignment horizontal="center" vertical="center" wrapText="1"/>
    </xf>
    <xf numFmtId="0" fontId="722" fillId="260" borderId="0" xfId="0" applyFont="1" applyFill="1"/>
    <xf numFmtId="0" fontId="722" fillId="983" borderId="0" xfId="0" applyFont="1" applyFill="1"/>
    <xf numFmtId="0" fontId="722" fillId="984" borderId="0" xfId="0" applyFont="1" applyFill="1"/>
    <xf numFmtId="0" fontId="723" fillId="985" borderId="0" xfId="0" applyFont="1" applyFill="1" applyAlignment="1">
      <alignment horizontal="center" vertical="center" wrapText="1"/>
    </xf>
    <xf numFmtId="0" fontId="0" fillId="986" borderId="0" xfId="0" applyFill="1" applyAlignment="1">
      <alignment horizontal="center" vertical="center" wrapText="1"/>
    </xf>
    <xf numFmtId="0" fontId="0" fillId="987" borderId="0" xfId="0" applyFill="1" applyAlignment="1">
      <alignment horizontal="center" vertical="center" wrapText="1"/>
    </xf>
    <xf numFmtId="0" fontId="0" fillId="988" borderId="0" xfId="0" applyFill="1" applyAlignment="1">
      <alignment horizontal="center" vertical="center" wrapText="1"/>
    </xf>
    <xf numFmtId="0" fontId="0" fillId="989" borderId="0" xfId="0" applyFill="1" applyAlignment="1">
      <alignment horizontal="center" vertical="center" wrapText="1"/>
    </xf>
    <xf numFmtId="0" fontId="0" fillId="990" borderId="0" xfId="0" applyFill="1" applyAlignment="1">
      <alignment horizontal="center" vertical="center" wrapText="1"/>
    </xf>
    <xf numFmtId="0" fontId="0" fillId="991" borderId="0" xfId="0" applyFill="1" applyAlignment="1">
      <alignment horizontal="center" vertical="center" wrapText="1"/>
    </xf>
    <xf numFmtId="0" fontId="0" fillId="992" borderId="0" xfId="0" applyFill="1" applyAlignment="1">
      <alignment horizontal="center" vertical="center" wrapText="1"/>
    </xf>
    <xf numFmtId="0" fontId="0" fillId="993" borderId="0" xfId="0" applyFill="1" applyAlignment="1">
      <alignment horizontal="center" vertical="center" wrapText="1"/>
    </xf>
    <xf numFmtId="0" fontId="722" fillId="994" borderId="0" xfId="0" applyFont="1" applyFill="1"/>
    <xf numFmtId="0" fontId="722" fillId="995" borderId="0" xfId="0" applyFont="1" applyFill="1"/>
    <xf numFmtId="0" fontId="722" fillId="996" borderId="0" xfId="0" applyFont="1" applyFill="1"/>
    <xf numFmtId="0" fontId="723" fillId="997" borderId="0" xfId="0" applyFont="1" applyFill="1" applyAlignment="1">
      <alignment horizontal="center" vertical="center" wrapText="1"/>
    </xf>
    <xf numFmtId="0" fontId="723" fillId="998" borderId="0" xfId="0" applyFont="1" applyFill="1" applyAlignment="1">
      <alignment horizontal="center" vertical="center" wrapText="1"/>
    </xf>
    <xf numFmtId="0" fontId="723" fillId="999" borderId="0" xfId="0" applyFont="1" applyFill="1" applyAlignment="1">
      <alignment horizontal="center" vertical="center" wrapText="1"/>
    </xf>
    <xf numFmtId="0" fontId="723" fillId="1000" borderId="0" xfId="0" applyFont="1" applyFill="1" applyAlignment="1">
      <alignment horizontal="center" vertical="center" wrapText="1"/>
    </xf>
    <xf numFmtId="0" fontId="723" fillId="1001" borderId="0" xfId="0" applyFont="1" applyFill="1" applyAlignment="1">
      <alignment horizontal="center" vertical="center" wrapText="1"/>
    </xf>
    <xf numFmtId="0" fontId="723" fillId="1002" borderId="0" xfId="0" applyFont="1" applyFill="1" applyAlignment="1">
      <alignment horizontal="center" vertical="center" wrapText="1"/>
    </xf>
    <xf numFmtId="0" fontId="723" fillId="1003" borderId="0" xfId="0" applyFont="1" applyFill="1" applyAlignment="1">
      <alignment horizontal="center" vertical="center" wrapText="1"/>
    </xf>
    <xf numFmtId="0" fontId="723" fillId="1004" borderId="0" xfId="0" applyFont="1" applyFill="1" applyAlignment="1">
      <alignment horizontal="center" vertical="center" wrapText="1"/>
    </xf>
    <xf numFmtId="0" fontId="0" fillId="1005" borderId="0" xfId="0" applyFill="1" applyAlignment="1">
      <alignment horizontal="center" vertical="center" wrapText="1"/>
    </xf>
    <xf numFmtId="0" fontId="722" fillId="1006" borderId="0" xfId="0" applyFont="1" applyFill="1"/>
    <xf numFmtId="0" fontId="722" fillId="1007" borderId="0" xfId="0" applyFont="1" applyFill="1"/>
    <xf numFmtId="0" fontId="722" fillId="1008" borderId="0" xfId="0" applyFont="1" applyFill="1"/>
    <xf numFmtId="0" fontId="723" fillId="1009" borderId="0" xfId="0" applyFont="1" applyFill="1" applyAlignment="1">
      <alignment horizontal="center" vertical="center" wrapText="1"/>
    </xf>
    <xf numFmtId="0" fontId="723" fillId="1010" borderId="0" xfId="0" applyFont="1" applyFill="1" applyAlignment="1">
      <alignment horizontal="center" vertical="center" wrapText="1"/>
    </xf>
    <xf numFmtId="0" fontId="723" fillId="1011" borderId="0" xfId="0" applyFont="1" applyFill="1" applyAlignment="1">
      <alignment horizontal="center" vertical="center" wrapText="1"/>
    </xf>
    <xf numFmtId="0" fontId="723" fillId="1012" borderId="0" xfId="0" applyFont="1" applyFill="1" applyAlignment="1">
      <alignment horizontal="center" vertical="center" wrapText="1"/>
    </xf>
    <xf numFmtId="0" fontId="723" fillId="1013" borderId="0" xfId="0" applyFont="1" applyFill="1" applyAlignment="1">
      <alignment horizontal="center" vertical="center" wrapText="1"/>
    </xf>
    <xf numFmtId="0" fontId="723" fillId="1014" borderId="0" xfId="0" applyFont="1" applyFill="1" applyAlignment="1">
      <alignment horizontal="center" vertical="center" wrapText="1"/>
    </xf>
    <xf numFmtId="0" fontId="723" fillId="1015" borderId="0" xfId="0" applyFont="1" applyFill="1" applyAlignment="1">
      <alignment horizontal="center" vertical="center" wrapText="1"/>
    </xf>
    <xf numFmtId="0" fontId="0" fillId="1016" borderId="0" xfId="0" applyFill="1" applyAlignment="1">
      <alignment horizontal="center" vertical="center" wrapText="1"/>
    </xf>
    <xf numFmtId="0" fontId="0" fillId="1017" borderId="0" xfId="0" applyFill="1" applyAlignment="1">
      <alignment horizontal="center" vertical="center" wrapText="1"/>
    </xf>
    <xf numFmtId="0" fontId="722" fillId="1018" borderId="0" xfId="0" applyFont="1" applyFill="1"/>
    <xf numFmtId="0" fontId="722" fillId="1019" borderId="0" xfId="0" applyFont="1" applyFill="1"/>
    <xf numFmtId="0" fontId="722" fillId="1020" borderId="0" xfId="0" applyFont="1" applyFill="1"/>
    <xf numFmtId="0" fontId="723" fillId="1021" borderId="0" xfId="0" applyFont="1" applyFill="1" applyAlignment="1">
      <alignment horizontal="center" vertical="center" wrapText="1"/>
    </xf>
    <xf numFmtId="0" fontId="723" fillId="1022" borderId="0" xfId="0" applyFont="1" applyFill="1" applyAlignment="1">
      <alignment horizontal="center" vertical="center" wrapText="1"/>
    </xf>
    <xf numFmtId="0" fontId="723" fillId="1023" borderId="0" xfId="0" applyFont="1" applyFill="1" applyAlignment="1">
      <alignment horizontal="center" vertical="center" wrapText="1"/>
    </xf>
    <xf numFmtId="0" fontId="723" fillId="1024" borderId="0" xfId="0" applyFont="1" applyFill="1" applyAlignment="1">
      <alignment horizontal="center" vertical="center" wrapText="1"/>
    </xf>
    <xf numFmtId="0" fontId="723" fillId="1025" borderId="0" xfId="0" applyFont="1" applyFill="1" applyAlignment="1">
      <alignment horizontal="center" vertical="center" wrapText="1"/>
    </xf>
    <xf numFmtId="0" fontId="723" fillId="1026" borderId="0" xfId="0" applyFont="1" applyFill="1" applyAlignment="1">
      <alignment horizontal="center" vertical="center" wrapText="1"/>
    </xf>
    <xf numFmtId="0" fontId="0" fillId="1027" borderId="0" xfId="0" applyFill="1" applyAlignment="1">
      <alignment horizontal="center" vertical="center" wrapText="1"/>
    </xf>
    <xf numFmtId="0" fontId="0" fillId="1028" borderId="0" xfId="0" applyFill="1" applyAlignment="1">
      <alignment horizontal="center" vertical="center" wrapText="1"/>
    </xf>
    <xf numFmtId="0" fontId="0" fillId="1029" borderId="0" xfId="0" applyFill="1" applyAlignment="1">
      <alignment horizontal="center" vertical="center" wrapText="1"/>
    </xf>
    <xf numFmtId="0" fontId="722" fillId="1030" borderId="0" xfId="0" applyFont="1" applyFill="1"/>
    <xf numFmtId="0" fontId="722" fillId="1031" borderId="0" xfId="0" applyFont="1" applyFill="1"/>
    <xf numFmtId="0" fontId="722" fillId="1032" borderId="0" xfId="0" applyFont="1" applyFill="1"/>
    <xf numFmtId="0" fontId="723" fillId="1033" borderId="0" xfId="0" applyFont="1" applyFill="1" applyAlignment="1">
      <alignment horizontal="center" vertical="center" wrapText="1"/>
    </xf>
    <xf numFmtId="0" fontId="723" fillId="1034" borderId="0" xfId="0" applyFont="1" applyFill="1" applyAlignment="1">
      <alignment horizontal="center" vertical="center" wrapText="1"/>
    </xf>
    <xf numFmtId="0" fontId="723" fillId="1035" borderId="0" xfId="0" applyFont="1" applyFill="1" applyAlignment="1">
      <alignment horizontal="center" vertical="center" wrapText="1"/>
    </xf>
    <xf numFmtId="0" fontId="723" fillId="1036" borderId="0" xfId="0" applyFont="1" applyFill="1" applyAlignment="1">
      <alignment horizontal="center" vertical="center" wrapText="1"/>
    </xf>
    <xf numFmtId="0" fontId="723" fillId="1037" borderId="0" xfId="0" applyFont="1" applyFill="1" applyAlignment="1">
      <alignment horizontal="center" vertical="center" wrapText="1"/>
    </xf>
    <xf numFmtId="0" fontId="0" fillId="1038" borderId="0" xfId="0" applyFill="1" applyAlignment="1">
      <alignment horizontal="center" vertical="center" wrapText="1"/>
    </xf>
    <xf numFmtId="0" fontId="0" fillId="1039" borderId="0" xfId="0" applyFill="1" applyAlignment="1">
      <alignment horizontal="center" vertical="center" wrapText="1"/>
    </xf>
    <xf numFmtId="0" fontId="0" fillId="1040" borderId="0" xfId="0" applyFill="1" applyAlignment="1">
      <alignment horizontal="center" vertical="center" wrapText="1"/>
    </xf>
    <xf numFmtId="0" fontId="0" fillId="1041" borderId="0" xfId="0" applyFill="1" applyAlignment="1">
      <alignment horizontal="center" vertical="center" wrapText="1"/>
    </xf>
    <xf numFmtId="0" fontId="722" fillId="1042" borderId="0" xfId="0" applyFont="1" applyFill="1"/>
    <xf numFmtId="0" fontId="722" fillId="1043" borderId="0" xfId="0" applyFont="1" applyFill="1"/>
    <xf numFmtId="0" fontId="722" fillId="1044" borderId="0" xfId="0" applyFont="1" applyFill="1"/>
    <xf numFmtId="0" fontId="723" fillId="1045" borderId="0" xfId="0" applyFont="1" applyFill="1" applyAlignment="1">
      <alignment horizontal="center" vertical="center" wrapText="1"/>
    </xf>
    <xf numFmtId="0" fontId="723" fillId="1046" borderId="0" xfId="0" applyFont="1" applyFill="1" applyAlignment="1">
      <alignment horizontal="center" vertical="center" wrapText="1"/>
    </xf>
    <xf numFmtId="0" fontId="723" fillId="1047" borderId="0" xfId="0" applyFont="1" applyFill="1" applyAlignment="1">
      <alignment horizontal="center" vertical="center" wrapText="1"/>
    </xf>
    <xf numFmtId="0" fontId="723" fillId="1048" borderId="0" xfId="0" applyFont="1" applyFill="1" applyAlignment="1">
      <alignment horizontal="center" vertical="center" wrapText="1"/>
    </xf>
    <xf numFmtId="0" fontId="0" fillId="1049" borderId="0" xfId="0" applyFill="1" applyAlignment="1">
      <alignment horizontal="center" vertical="center" wrapText="1"/>
    </xf>
    <xf numFmtId="0" fontId="0" fillId="1050" borderId="0" xfId="0" applyFill="1" applyAlignment="1">
      <alignment horizontal="center" vertical="center" wrapText="1"/>
    </xf>
    <xf numFmtId="0" fontId="0" fillId="1051" borderId="0" xfId="0" applyFill="1" applyAlignment="1">
      <alignment horizontal="center" vertical="center" wrapText="1"/>
    </xf>
    <xf numFmtId="0" fontId="0" fillId="1052" borderId="0" xfId="0" applyFill="1" applyAlignment="1">
      <alignment horizontal="center" vertical="center" wrapText="1"/>
    </xf>
    <xf numFmtId="0" fontId="0" fillId="1053" borderId="0" xfId="0" applyFill="1" applyAlignment="1">
      <alignment horizontal="center" vertical="center" wrapText="1"/>
    </xf>
    <xf numFmtId="0" fontId="722" fillId="1054" borderId="0" xfId="0" applyFont="1" applyFill="1"/>
    <xf numFmtId="0" fontId="722" fillId="1055" borderId="0" xfId="0" applyFont="1" applyFill="1"/>
    <xf numFmtId="0" fontId="722" fillId="1056" borderId="0" xfId="0" applyFont="1" applyFill="1"/>
    <xf numFmtId="0" fontId="723" fillId="1057" borderId="0" xfId="0" applyFont="1" applyFill="1" applyAlignment="1">
      <alignment horizontal="center" vertical="center" wrapText="1"/>
    </xf>
    <xf numFmtId="0" fontId="723" fillId="1058" borderId="0" xfId="0" applyFont="1" applyFill="1" applyAlignment="1">
      <alignment horizontal="center" vertical="center" wrapText="1"/>
    </xf>
    <xf numFmtId="0" fontId="723" fillId="1059" borderId="0" xfId="0" applyFont="1" applyFill="1" applyAlignment="1">
      <alignment horizontal="center" vertical="center" wrapText="1"/>
    </xf>
    <xf numFmtId="0" fontId="0" fillId="1060" borderId="0" xfId="0" applyFill="1" applyAlignment="1">
      <alignment horizontal="center" vertical="center" wrapText="1"/>
    </xf>
    <xf numFmtId="0" fontId="0" fillId="1061" borderId="0" xfId="0" applyFill="1" applyAlignment="1">
      <alignment horizontal="center" vertical="center" wrapText="1"/>
    </xf>
    <xf numFmtId="0" fontId="0" fillId="1062" borderId="0" xfId="0" applyFill="1" applyAlignment="1">
      <alignment horizontal="center" vertical="center" wrapText="1"/>
    </xf>
    <xf numFmtId="0" fontId="0" fillId="1063" borderId="0" xfId="0" applyFill="1" applyAlignment="1">
      <alignment horizontal="center" vertical="center" wrapText="1"/>
    </xf>
    <xf numFmtId="0" fontId="0" fillId="1064" borderId="0" xfId="0" applyFill="1" applyAlignment="1">
      <alignment horizontal="center" vertical="center" wrapText="1"/>
    </xf>
    <xf numFmtId="0" fontId="0" fillId="1065" borderId="0" xfId="0" applyFill="1" applyAlignment="1">
      <alignment horizontal="center" vertical="center" wrapText="1"/>
    </xf>
    <xf numFmtId="0" fontId="722" fillId="1066" borderId="0" xfId="0" applyFont="1" applyFill="1"/>
    <xf numFmtId="0" fontId="722" fillId="1067" borderId="0" xfId="0" applyFont="1" applyFill="1"/>
    <xf numFmtId="0" fontId="722" fillId="1068" borderId="0" xfId="0" applyFont="1" applyFill="1"/>
    <xf numFmtId="0" fontId="723" fillId="1069" borderId="0" xfId="0" applyFont="1" applyFill="1" applyAlignment="1">
      <alignment horizontal="center" vertical="center" wrapText="1"/>
    </xf>
    <xf numFmtId="0" fontId="723" fillId="1070" borderId="0" xfId="0" applyFont="1" applyFill="1" applyAlignment="1">
      <alignment horizontal="center" vertical="center" wrapText="1"/>
    </xf>
    <xf numFmtId="0" fontId="0" fillId="1071" borderId="0" xfId="0" applyFill="1" applyAlignment="1">
      <alignment horizontal="center" vertical="center" wrapText="1"/>
    </xf>
    <xf numFmtId="0" fontId="0" fillId="1072" borderId="0" xfId="0" applyFill="1" applyAlignment="1">
      <alignment horizontal="center" vertical="center" wrapText="1"/>
    </xf>
    <xf numFmtId="0" fontId="0" fillId="1073" borderId="0" xfId="0" applyFill="1" applyAlignment="1">
      <alignment horizontal="center" vertical="center" wrapText="1"/>
    </xf>
    <xf numFmtId="0" fontId="0" fillId="1074" borderId="0" xfId="0" applyFill="1" applyAlignment="1">
      <alignment horizontal="center" vertical="center" wrapText="1"/>
    </xf>
    <xf numFmtId="0" fontId="0" fillId="1075" borderId="0" xfId="0" applyFill="1" applyAlignment="1">
      <alignment horizontal="center" vertical="center" wrapText="1"/>
    </xf>
    <xf numFmtId="0" fontId="0" fillId="1076" borderId="0" xfId="0" applyFill="1" applyAlignment="1">
      <alignment horizontal="center" vertical="center" wrapText="1"/>
    </xf>
    <xf numFmtId="0" fontId="0" fillId="1077" borderId="0" xfId="0" applyFill="1" applyAlignment="1">
      <alignment horizontal="center" vertical="center" wrapText="1"/>
    </xf>
    <xf numFmtId="0" fontId="722" fillId="1078" borderId="0" xfId="0" applyFont="1" applyFill="1"/>
    <xf numFmtId="0" fontId="722" fillId="1079" borderId="0" xfId="0" applyFont="1" applyFill="1"/>
    <xf numFmtId="0" fontId="722" fillId="1080" borderId="0" xfId="0" applyFont="1" applyFill="1"/>
    <xf numFmtId="0" fontId="723" fillId="1081" borderId="0" xfId="0" applyFont="1" applyFill="1" applyAlignment="1">
      <alignment horizontal="center" vertical="center" wrapText="1"/>
    </xf>
    <xf numFmtId="0" fontId="0" fillId="1082" borderId="0" xfId="0" applyFill="1" applyAlignment="1">
      <alignment horizontal="center" vertical="center" wrapText="1"/>
    </xf>
    <xf numFmtId="0" fontId="0" fillId="1083" borderId="0" xfId="0" applyFill="1" applyAlignment="1">
      <alignment horizontal="center" vertical="center" wrapText="1"/>
    </xf>
    <xf numFmtId="0" fontId="0" fillId="1084" borderId="0" xfId="0" applyFill="1" applyAlignment="1">
      <alignment horizontal="center" vertical="center" wrapText="1"/>
    </xf>
    <xf numFmtId="0" fontId="0" fillId="1085" borderId="0" xfId="0" applyFill="1" applyAlignment="1">
      <alignment horizontal="center" vertical="center" wrapText="1"/>
    </xf>
    <xf numFmtId="0" fontId="0" fillId="1086" borderId="0" xfId="0" applyFill="1" applyAlignment="1">
      <alignment horizontal="center" vertical="center" wrapText="1"/>
    </xf>
    <xf numFmtId="0" fontId="0" fillId="1087" borderId="0" xfId="0" applyFill="1" applyAlignment="1">
      <alignment horizontal="center" vertical="center" wrapText="1"/>
    </xf>
    <xf numFmtId="0" fontId="0" fillId="1088" borderId="0" xfId="0" applyFill="1" applyAlignment="1">
      <alignment horizontal="center" vertical="center" wrapText="1"/>
    </xf>
    <xf numFmtId="0" fontId="0" fillId="1089" borderId="0" xfId="0" applyFill="1" applyAlignment="1">
      <alignment horizontal="center" vertical="center" wrapText="1"/>
    </xf>
    <xf numFmtId="0" fontId="722" fillId="1090" borderId="0" xfId="0" applyFont="1" applyFill="1"/>
    <xf numFmtId="0" fontId="722" fillId="1091" borderId="0" xfId="0" applyFont="1" applyFill="1"/>
    <xf numFmtId="0" fontId="722" fillId="1092" borderId="0" xfId="0" applyFont="1" applyFill="1"/>
    <xf numFmtId="0" fontId="0" fillId="1093" borderId="0" xfId="0" applyFill="1" applyAlignment="1">
      <alignment horizontal="center" vertical="center" wrapText="1"/>
    </xf>
    <xf numFmtId="0" fontId="0" fillId="1094" borderId="0" xfId="0" applyFill="1" applyAlignment="1">
      <alignment horizontal="center" vertical="center" wrapText="1"/>
    </xf>
    <xf numFmtId="0" fontId="0" fillId="1095" borderId="0" xfId="0" applyFill="1" applyAlignment="1">
      <alignment horizontal="center" vertical="center" wrapText="1"/>
    </xf>
    <xf numFmtId="0" fontId="0" fillId="1096" borderId="0" xfId="0" applyFill="1" applyAlignment="1">
      <alignment horizontal="center" vertical="center" wrapText="1"/>
    </xf>
    <xf numFmtId="0" fontId="0" fillId="1097" borderId="0" xfId="0" applyFill="1" applyAlignment="1">
      <alignment horizontal="center" vertical="center" wrapText="1"/>
    </xf>
    <xf numFmtId="0" fontId="0" fillId="1098" borderId="0" xfId="0" applyFill="1" applyAlignment="1">
      <alignment horizontal="center" vertical="center" wrapText="1"/>
    </xf>
    <xf numFmtId="0" fontId="0" fillId="1099" borderId="0" xfId="0" applyFill="1" applyAlignment="1">
      <alignment horizontal="center" vertical="center" wrapText="1"/>
    </xf>
    <xf numFmtId="0" fontId="0" fillId="1100" borderId="0" xfId="0" applyFill="1" applyAlignment="1">
      <alignment horizontal="center" vertical="center" wrapText="1"/>
    </xf>
    <xf numFmtId="0" fontId="0" fillId="1101" borderId="0" xfId="0" applyFill="1" applyAlignment="1">
      <alignment horizontal="center" vertical="center" wrapText="1"/>
    </xf>
    <xf numFmtId="0" fontId="722" fillId="1102" borderId="0" xfId="0" applyFont="1" applyFill="1"/>
    <xf numFmtId="0" fontId="722" fillId="1103" borderId="0" xfId="0" applyFont="1" applyFill="1"/>
    <xf numFmtId="0" fontId="722" fillId="1104" borderId="0" xfId="0" applyFont="1" applyFill="1"/>
    <xf numFmtId="0" fontId="723" fillId="17" borderId="0" xfId="0" applyFont="1" applyFill="1" applyAlignment="1">
      <alignment horizontal="center" vertical="center" wrapText="1"/>
    </xf>
    <xf numFmtId="0" fontId="723" fillId="1105" borderId="0" xfId="0" applyFont="1" applyFill="1" applyAlignment="1">
      <alignment horizontal="center" vertical="center" wrapText="1"/>
    </xf>
    <xf numFmtId="0" fontId="723" fillId="1106" borderId="0" xfId="0" applyFont="1" applyFill="1" applyAlignment="1">
      <alignment horizontal="center" vertical="center" wrapText="1"/>
    </xf>
    <xf numFmtId="0" fontId="723" fillId="1107" borderId="0" xfId="0" applyFont="1" applyFill="1" applyAlignment="1">
      <alignment horizontal="center" vertical="center" wrapText="1"/>
    </xf>
    <xf numFmtId="0" fontId="723" fillId="1108" borderId="0" xfId="0" applyFont="1" applyFill="1" applyAlignment="1">
      <alignment horizontal="center" vertical="center" wrapText="1"/>
    </xf>
    <xf numFmtId="0" fontId="723" fillId="1109" borderId="0" xfId="0" applyFont="1" applyFill="1" applyAlignment="1">
      <alignment horizontal="center" vertical="center" wrapText="1"/>
    </xf>
    <xf numFmtId="0" fontId="723" fillId="1110" borderId="0" xfId="0" applyFont="1" applyFill="1" applyAlignment="1">
      <alignment horizontal="center" vertical="center" wrapText="1"/>
    </xf>
    <xf numFmtId="0" fontId="0" fillId="1111" borderId="0" xfId="0" applyFill="1" applyAlignment="1">
      <alignment horizontal="center" vertical="center" wrapText="1"/>
    </xf>
    <xf numFmtId="0" fontId="0" fillId="121" borderId="0" xfId="0" applyFill="1" applyAlignment="1">
      <alignment horizontal="center" vertical="center" wrapText="1"/>
    </xf>
    <xf numFmtId="0" fontId="722" fillId="1112" borderId="0" xfId="0" applyFont="1" applyFill="1"/>
    <xf numFmtId="0" fontId="722" fillId="1113" borderId="0" xfId="0" applyFont="1" applyFill="1"/>
    <xf numFmtId="0" fontId="722" fillId="1114" borderId="0" xfId="0" applyFont="1" applyFill="1"/>
    <xf numFmtId="0" fontId="723" fillId="1115" borderId="0" xfId="0" applyFont="1" applyFill="1" applyAlignment="1">
      <alignment horizontal="center" vertical="center" wrapText="1"/>
    </xf>
    <xf numFmtId="0" fontId="723" fillId="1116" borderId="0" xfId="0" applyFont="1" applyFill="1" applyAlignment="1">
      <alignment horizontal="center" vertical="center" wrapText="1"/>
    </xf>
    <xf numFmtId="0" fontId="723" fillId="1117" borderId="0" xfId="0" applyFont="1" applyFill="1" applyAlignment="1">
      <alignment horizontal="center" vertical="center" wrapText="1"/>
    </xf>
    <xf numFmtId="0" fontId="723" fillId="1118" borderId="0" xfId="0" applyFont="1" applyFill="1" applyAlignment="1">
      <alignment horizontal="center" vertical="center" wrapText="1"/>
    </xf>
    <xf numFmtId="0" fontId="723" fillId="1119" borderId="0" xfId="0" applyFont="1" applyFill="1" applyAlignment="1">
      <alignment horizontal="center" vertical="center" wrapText="1"/>
    </xf>
    <xf numFmtId="0" fontId="723" fillId="1120" borderId="0" xfId="0" applyFont="1" applyFill="1" applyAlignment="1">
      <alignment horizontal="center" vertical="center" wrapText="1"/>
    </xf>
    <xf numFmtId="0" fontId="0" fillId="1121" borderId="0" xfId="0" applyFill="1" applyAlignment="1">
      <alignment horizontal="center" vertical="center" wrapText="1"/>
    </xf>
    <xf numFmtId="0" fontId="0" fillId="1122" borderId="0" xfId="0" applyFill="1" applyAlignment="1">
      <alignment horizontal="center" vertical="center" wrapText="1"/>
    </xf>
    <xf numFmtId="0" fontId="0" fillId="1123" borderId="0" xfId="0" applyFill="1" applyAlignment="1">
      <alignment horizontal="center" vertical="center" wrapText="1"/>
    </xf>
    <xf numFmtId="0" fontId="722" fillId="1124" borderId="0" xfId="0" applyFont="1" applyFill="1"/>
    <xf numFmtId="0" fontId="722" fillId="1125" borderId="0" xfId="0" applyFont="1" applyFill="1"/>
    <xf numFmtId="0" fontId="722" fillId="1126" borderId="0" xfId="0" applyFont="1" applyFill="1"/>
    <xf numFmtId="0" fontId="723" fillId="1127" borderId="0" xfId="0" applyFont="1" applyFill="1" applyAlignment="1">
      <alignment horizontal="center" vertical="center" wrapText="1"/>
    </xf>
    <xf numFmtId="0" fontId="723" fillId="1128" borderId="0" xfId="0" applyFont="1" applyFill="1" applyAlignment="1">
      <alignment horizontal="center" vertical="center" wrapText="1"/>
    </xf>
    <xf numFmtId="0" fontId="723" fillId="1129" borderId="0" xfId="0" applyFont="1" applyFill="1" applyAlignment="1">
      <alignment horizontal="center" vertical="center" wrapText="1"/>
    </xf>
    <xf numFmtId="0" fontId="723" fillId="1130" borderId="0" xfId="0" applyFont="1" applyFill="1" applyAlignment="1">
      <alignment horizontal="center" vertical="center" wrapText="1"/>
    </xf>
    <xf numFmtId="0" fontId="723" fillId="1131" borderId="0" xfId="0" applyFont="1" applyFill="1" applyAlignment="1">
      <alignment horizontal="center" vertical="center" wrapText="1"/>
    </xf>
    <xf numFmtId="0" fontId="0" fillId="1132" borderId="0" xfId="0" applyFill="1" applyAlignment="1">
      <alignment horizontal="center" vertical="center" wrapText="1"/>
    </xf>
    <xf numFmtId="0" fontId="0" fillId="1133" borderId="0" xfId="0" applyFill="1" applyAlignment="1">
      <alignment horizontal="center" vertical="center" wrapText="1"/>
    </xf>
    <xf numFmtId="0" fontId="0" fillId="1134" borderId="0" xfId="0" applyFill="1" applyAlignment="1">
      <alignment horizontal="center" vertical="center" wrapText="1"/>
    </xf>
    <xf numFmtId="0" fontId="0" fillId="1135" borderId="0" xfId="0" applyFill="1" applyAlignment="1">
      <alignment horizontal="center" vertical="center" wrapText="1"/>
    </xf>
    <xf numFmtId="0" fontId="722" fillId="1136" borderId="0" xfId="0" applyFont="1" applyFill="1"/>
    <xf numFmtId="0" fontId="722" fillId="1137" borderId="0" xfId="0" applyFont="1" applyFill="1"/>
    <xf numFmtId="0" fontId="722" fillId="1138" borderId="0" xfId="0" applyFont="1" applyFill="1"/>
    <xf numFmtId="0" fontId="723" fillId="1139" borderId="0" xfId="0" applyFont="1" applyFill="1" applyAlignment="1">
      <alignment horizontal="center" vertical="center" wrapText="1"/>
    </xf>
    <xf numFmtId="0" fontId="723" fillId="1140" borderId="0" xfId="0" applyFont="1" applyFill="1" applyAlignment="1">
      <alignment horizontal="center" vertical="center" wrapText="1"/>
    </xf>
    <xf numFmtId="0" fontId="723" fillId="1141" borderId="0" xfId="0" applyFont="1" applyFill="1" applyAlignment="1">
      <alignment horizontal="center" vertical="center" wrapText="1"/>
    </xf>
    <xf numFmtId="0" fontId="723" fillId="1142" borderId="0" xfId="0" applyFont="1" applyFill="1" applyAlignment="1">
      <alignment horizontal="center" vertical="center" wrapText="1"/>
    </xf>
    <xf numFmtId="0" fontId="0" fillId="1143" borderId="0" xfId="0" applyFill="1" applyAlignment="1">
      <alignment horizontal="center" vertical="center" wrapText="1"/>
    </xf>
    <xf numFmtId="0" fontId="0" fillId="1144" borderId="0" xfId="0" applyFill="1" applyAlignment="1">
      <alignment horizontal="center" vertical="center" wrapText="1"/>
    </xf>
    <xf numFmtId="0" fontId="0" fillId="1145" borderId="0" xfId="0" applyFill="1" applyAlignment="1">
      <alignment horizontal="center" vertical="center" wrapText="1"/>
    </xf>
    <xf numFmtId="0" fontId="0" fillId="1146" borderId="0" xfId="0" applyFill="1" applyAlignment="1">
      <alignment horizontal="center" vertical="center" wrapText="1"/>
    </xf>
    <xf numFmtId="0" fontId="0" fillId="1147" borderId="0" xfId="0" applyFill="1" applyAlignment="1">
      <alignment horizontal="center" vertical="center" wrapText="1"/>
    </xf>
    <xf numFmtId="0" fontId="722" fillId="1148" borderId="0" xfId="0" applyFont="1" applyFill="1"/>
    <xf numFmtId="0" fontId="722" fillId="1149" borderId="0" xfId="0" applyFont="1" applyFill="1"/>
    <xf numFmtId="0" fontId="722" fillId="1150" borderId="0" xfId="0" applyFont="1" applyFill="1"/>
    <xf numFmtId="0" fontId="723" fillId="1151" borderId="0" xfId="0" applyFont="1" applyFill="1" applyAlignment="1">
      <alignment horizontal="center" vertical="center" wrapText="1"/>
    </xf>
    <xf numFmtId="0" fontId="723" fillId="1152" borderId="0" xfId="0" applyFont="1" applyFill="1" applyAlignment="1">
      <alignment horizontal="center" vertical="center" wrapText="1"/>
    </xf>
    <xf numFmtId="0" fontId="723" fillId="1153" borderId="0" xfId="0" applyFont="1" applyFill="1" applyAlignment="1">
      <alignment horizontal="center" vertical="center" wrapText="1"/>
    </xf>
    <xf numFmtId="0" fontId="0" fillId="1154" borderId="0" xfId="0" applyFill="1" applyAlignment="1">
      <alignment horizontal="center" vertical="center" wrapText="1"/>
    </xf>
    <xf numFmtId="0" fontId="0" fillId="1155" borderId="0" xfId="0" applyFill="1" applyAlignment="1">
      <alignment horizontal="center" vertical="center" wrapText="1"/>
    </xf>
    <xf numFmtId="0" fontId="0" fillId="1156" borderId="0" xfId="0" applyFill="1" applyAlignment="1">
      <alignment horizontal="center" vertical="center" wrapText="1"/>
    </xf>
    <xf numFmtId="0" fontId="0" fillId="1157" borderId="0" xfId="0" applyFill="1" applyAlignment="1">
      <alignment horizontal="center" vertical="center" wrapText="1"/>
    </xf>
    <xf numFmtId="0" fontId="0" fillId="1158" borderId="0" xfId="0" applyFill="1" applyAlignment="1">
      <alignment horizontal="center" vertical="center" wrapText="1"/>
    </xf>
    <xf numFmtId="0" fontId="0" fillId="1159" borderId="0" xfId="0" applyFill="1" applyAlignment="1">
      <alignment horizontal="center" vertical="center" wrapText="1"/>
    </xf>
    <xf numFmtId="0" fontId="722" fillId="1160" borderId="0" xfId="0" applyFont="1" applyFill="1"/>
    <xf numFmtId="0" fontId="722" fillId="1161" borderId="0" xfId="0" applyFont="1" applyFill="1"/>
    <xf numFmtId="0" fontId="722" fillId="1162" borderId="0" xfId="0" applyFont="1" applyFill="1"/>
    <xf numFmtId="0" fontId="723" fillId="1163" borderId="0" xfId="0" applyFont="1" applyFill="1" applyAlignment="1">
      <alignment horizontal="center" vertical="center" wrapText="1"/>
    </xf>
    <xf numFmtId="0" fontId="723" fillId="1164" borderId="0" xfId="0" applyFont="1" applyFill="1" applyAlignment="1">
      <alignment horizontal="center" vertical="center" wrapText="1"/>
    </xf>
    <xf numFmtId="0" fontId="0" fillId="1165" borderId="0" xfId="0" applyFill="1" applyAlignment="1">
      <alignment horizontal="center" vertical="center" wrapText="1"/>
    </xf>
    <xf numFmtId="0" fontId="0" fillId="1166" borderId="0" xfId="0" applyFill="1" applyAlignment="1">
      <alignment horizontal="center" vertical="center" wrapText="1"/>
    </xf>
    <xf numFmtId="0" fontId="0" fillId="1167" borderId="0" xfId="0" applyFill="1" applyAlignment="1">
      <alignment horizontal="center" vertical="center" wrapText="1"/>
    </xf>
    <xf numFmtId="0" fontId="0" fillId="1168" borderId="0" xfId="0" applyFill="1" applyAlignment="1">
      <alignment horizontal="center" vertical="center" wrapText="1"/>
    </xf>
    <xf numFmtId="0" fontId="0" fillId="1169" borderId="0" xfId="0" applyFill="1" applyAlignment="1">
      <alignment horizontal="center" vertical="center" wrapText="1"/>
    </xf>
    <xf numFmtId="0" fontId="0" fillId="1170" borderId="0" xfId="0" applyFill="1" applyAlignment="1">
      <alignment horizontal="center" vertical="center" wrapText="1"/>
    </xf>
    <xf numFmtId="0" fontId="0" fillId="1171" borderId="0" xfId="0" applyFill="1" applyAlignment="1">
      <alignment horizontal="center" vertical="center" wrapText="1"/>
    </xf>
    <xf numFmtId="0" fontId="722" fillId="1172" borderId="0" xfId="0" applyFont="1" applyFill="1"/>
    <xf numFmtId="0" fontId="722" fillId="121" borderId="0" xfId="0" applyFont="1" applyFill="1"/>
    <xf numFmtId="0" fontId="722" fillId="1173" borderId="0" xfId="0" applyFont="1" applyFill="1"/>
    <xf numFmtId="0" fontId="723" fillId="133" borderId="0" xfId="0" applyFont="1" applyFill="1" applyAlignment="1">
      <alignment horizontal="center" vertical="center" wrapText="1"/>
    </xf>
    <xf numFmtId="0" fontId="0" fillId="1174" borderId="0" xfId="0" applyFill="1" applyAlignment="1">
      <alignment horizontal="center" vertical="center" wrapText="1"/>
    </xf>
    <xf numFmtId="0" fontId="0" fillId="1175" borderId="0" xfId="0" applyFill="1" applyAlignment="1">
      <alignment horizontal="center" vertical="center" wrapText="1"/>
    </xf>
    <xf numFmtId="0" fontId="0" fillId="1176" borderId="0" xfId="0" applyFill="1" applyAlignment="1">
      <alignment horizontal="center" vertical="center" wrapText="1"/>
    </xf>
    <xf numFmtId="0" fontId="0" fillId="1177" borderId="0" xfId="0" applyFill="1" applyAlignment="1">
      <alignment horizontal="center" vertical="center" wrapText="1"/>
    </xf>
    <xf numFmtId="0" fontId="0" fillId="1178" borderId="0" xfId="0" applyFill="1" applyAlignment="1">
      <alignment horizontal="center" vertical="center" wrapText="1"/>
    </xf>
    <xf numFmtId="0" fontId="0" fillId="1179" borderId="0" xfId="0" applyFill="1" applyAlignment="1">
      <alignment horizontal="center" vertical="center" wrapText="1"/>
    </xf>
    <xf numFmtId="0" fontId="0" fillId="1180" borderId="0" xfId="0" applyFill="1" applyAlignment="1">
      <alignment horizontal="center" vertical="center" wrapText="1"/>
    </xf>
    <xf numFmtId="0" fontId="0" fillId="1181" borderId="0" xfId="0" applyFill="1" applyAlignment="1">
      <alignment horizontal="center" vertical="center" wrapText="1"/>
    </xf>
    <xf numFmtId="0" fontId="722" fillId="1182" borderId="0" xfId="0" applyFont="1" applyFill="1"/>
    <xf numFmtId="0" fontId="722" fillId="1183" borderId="0" xfId="0" applyFont="1" applyFill="1"/>
    <xf numFmtId="0" fontId="722" fillId="1184" borderId="0" xfId="0" applyFont="1" applyFill="1"/>
    <xf numFmtId="0" fontId="0" fillId="1185" borderId="0" xfId="0" applyFill="1" applyAlignment="1">
      <alignment horizontal="center" vertical="center" wrapText="1"/>
    </xf>
    <xf numFmtId="0" fontId="0" fillId="1186" borderId="0" xfId="0" applyFill="1" applyAlignment="1">
      <alignment horizontal="center" vertical="center" wrapText="1"/>
    </xf>
    <xf numFmtId="0" fontId="0" fillId="1187" borderId="0" xfId="0" applyFill="1" applyAlignment="1">
      <alignment horizontal="center" vertical="center" wrapText="1"/>
    </xf>
    <xf numFmtId="0" fontId="0" fillId="1188" borderId="0" xfId="0" applyFill="1" applyAlignment="1">
      <alignment horizontal="center" vertical="center" wrapText="1"/>
    </xf>
    <xf numFmtId="0" fontId="0" fillId="1189" borderId="0" xfId="0" applyFill="1" applyAlignment="1">
      <alignment horizontal="center" vertical="center" wrapText="1"/>
    </xf>
    <xf numFmtId="0" fontId="0" fillId="1190" borderId="0" xfId="0" applyFill="1" applyAlignment="1">
      <alignment horizontal="center" vertical="center" wrapText="1"/>
    </xf>
    <xf numFmtId="0" fontId="0" fillId="1191" borderId="0" xfId="0" applyFill="1" applyAlignment="1">
      <alignment horizontal="center" vertical="center" wrapText="1"/>
    </xf>
    <xf numFmtId="0" fontId="0" fillId="1192" borderId="0" xfId="0" applyFill="1" applyAlignment="1">
      <alignment horizontal="center" vertical="center" wrapText="1"/>
    </xf>
    <xf numFmtId="0" fontId="0" fillId="1193" borderId="0" xfId="0" applyFill="1" applyAlignment="1">
      <alignment horizontal="center" vertical="center" wrapText="1"/>
    </xf>
    <xf numFmtId="0" fontId="722" fillId="1194" borderId="0" xfId="0" applyFont="1" applyFill="1"/>
    <xf numFmtId="0" fontId="722" fillId="1195" borderId="0" xfId="0" applyFont="1" applyFill="1"/>
    <xf numFmtId="0" fontId="722" fillId="1196" borderId="0" xfId="0" applyFont="1" applyFill="1"/>
    <xf numFmtId="0" fontId="0" fillId="22" borderId="0" xfId="0" applyFill="1" applyAlignment="1">
      <alignment horizontal="center" vertical="center" wrapText="1"/>
    </xf>
    <xf numFmtId="0" fontId="0" fillId="1197" borderId="0" xfId="0" applyFill="1" applyAlignment="1">
      <alignment horizontal="center" vertical="center" wrapText="1"/>
    </xf>
    <xf numFmtId="0" fontId="0" fillId="1198" borderId="0" xfId="0" applyFill="1" applyAlignment="1">
      <alignment horizontal="center" vertical="center" wrapText="1"/>
    </xf>
    <xf numFmtId="0" fontId="0" fillId="1199" borderId="0" xfId="0" applyFill="1" applyAlignment="1">
      <alignment horizontal="center" vertical="center" wrapText="1"/>
    </xf>
    <xf numFmtId="0" fontId="0" fillId="1200" borderId="0" xfId="0" applyFill="1" applyAlignment="1">
      <alignment horizontal="center" vertical="center" wrapText="1"/>
    </xf>
    <xf numFmtId="0" fontId="0" fillId="1201" borderId="0" xfId="0" applyFill="1" applyAlignment="1">
      <alignment horizontal="center" vertical="center" wrapText="1"/>
    </xf>
    <xf numFmtId="0" fontId="0" fillId="1202" borderId="0" xfId="0" applyFill="1" applyAlignment="1">
      <alignment horizontal="center" vertical="center" wrapText="1"/>
    </xf>
    <xf numFmtId="0" fontId="0" fillId="428" borderId="0" xfId="0" applyFill="1" applyAlignment="1">
      <alignment horizontal="center" vertical="center" wrapText="1"/>
    </xf>
    <xf numFmtId="0" fontId="0" fillId="60" borderId="0" xfId="0" applyFill="1" applyAlignment="1">
      <alignment horizontal="center" vertical="center" wrapText="1"/>
    </xf>
    <xf numFmtId="0" fontId="722" fillId="1203" borderId="0" xfId="0" applyFont="1" applyFill="1"/>
    <xf numFmtId="0" fontId="722" fillId="1204" borderId="0" xfId="0" applyFont="1" applyFill="1"/>
    <xf numFmtId="0" fontId="722" fillId="1205" borderId="0" xfId="0" applyFont="1" applyFill="1"/>
    <xf numFmtId="0" fontId="722" fillId="1206" borderId="0" xfId="0" applyFont="1" applyFill="1"/>
    <xf numFmtId="0" fontId="722" fillId="1207" borderId="0" xfId="0" applyFont="1" applyFill="1"/>
    <xf numFmtId="0" fontId="722" fillId="1208" borderId="0" xfId="0" applyFont="1" applyFill="1"/>
    <xf numFmtId="0" fontId="722" fillId="1209" borderId="0" xfId="0" applyFont="1" applyFill="1"/>
    <xf numFmtId="0" fontId="722" fillId="1210" borderId="0" xfId="0" applyFont="1" applyFill="1"/>
    <xf numFmtId="0" fontId="722" fillId="1211" borderId="0" xfId="0" applyFont="1" applyFill="1"/>
    <xf numFmtId="0" fontId="722" fillId="1212" borderId="0" xfId="0" applyFont="1" applyFill="1"/>
    <xf numFmtId="0" fontId="722" fillId="1213" borderId="0" xfId="0" applyFont="1" applyFill="1"/>
    <xf numFmtId="0" fontId="722" fillId="1214" borderId="0" xfId="0" applyFont="1" applyFill="1"/>
    <xf numFmtId="0" fontId="722" fillId="1215" borderId="0" xfId="0" applyFont="1" applyFill="1"/>
    <xf numFmtId="0" fontId="722" fillId="1216" borderId="0" xfId="0" applyFont="1" applyFill="1"/>
    <xf numFmtId="0" fontId="722" fillId="1217" borderId="0" xfId="0" applyFont="1" applyFill="1"/>
    <xf numFmtId="0" fontId="722" fillId="1218" borderId="0" xfId="0" applyFont="1" applyFill="1"/>
    <xf numFmtId="0" fontId="722" fillId="1219" borderId="0" xfId="0" applyFont="1" applyFill="1"/>
    <xf numFmtId="0" fontId="722" fillId="1220" borderId="0" xfId="0" applyFont="1" applyFill="1"/>
    <xf numFmtId="0" fontId="722" fillId="1221" borderId="0" xfId="0" applyFont="1" applyFill="1"/>
    <xf numFmtId="0" fontId="722" fillId="1222" borderId="0" xfId="0" applyFont="1" applyFill="1"/>
    <xf numFmtId="0" fontId="722" fillId="1223" borderId="0" xfId="0" applyFont="1" applyFill="1"/>
    <xf numFmtId="0" fontId="722" fillId="1224" borderId="0" xfId="0" applyFont="1" applyFill="1"/>
    <xf numFmtId="0" fontId="722" fillId="1225" borderId="0" xfId="0" applyFont="1" applyFill="1"/>
    <xf numFmtId="0" fontId="722" fillId="1226" borderId="0" xfId="0" applyFont="1" applyFill="1"/>
    <xf numFmtId="0" fontId="722" fillId="1227" borderId="0" xfId="0" applyFont="1" applyFill="1"/>
    <xf numFmtId="0" fontId="722" fillId="1228" borderId="0" xfId="0" applyFont="1" applyFill="1"/>
    <xf numFmtId="0" fontId="722" fillId="1229" borderId="0" xfId="0" applyFont="1" applyFill="1"/>
    <xf numFmtId="0" fontId="722" fillId="1230" borderId="0" xfId="0" applyFont="1" applyFill="1"/>
    <xf numFmtId="0" fontId="722" fillId="1231" borderId="0" xfId="0" applyFont="1" applyFill="1"/>
    <xf numFmtId="0" fontId="722" fillId="1232" borderId="0" xfId="0" applyFont="1" applyFill="1"/>
    <xf numFmtId="0" fontId="722" fillId="1233" borderId="0" xfId="0" applyFont="1" applyFill="1"/>
    <xf numFmtId="0" fontId="722" fillId="1234" borderId="0" xfId="0" applyFont="1" applyFill="1"/>
    <xf numFmtId="0" fontId="722" fillId="1235" borderId="0" xfId="0" applyFont="1" applyFill="1"/>
    <xf numFmtId="0" fontId="722" fillId="1236" borderId="0" xfId="0" applyFont="1" applyFill="1"/>
    <xf numFmtId="0" fontId="722" fillId="1237" borderId="0" xfId="0" applyFont="1" applyFill="1"/>
    <xf numFmtId="0" fontId="722" fillId="1238" borderId="0" xfId="0" applyFont="1" applyFill="1"/>
    <xf numFmtId="0" fontId="722" fillId="1239" borderId="0" xfId="0" applyFont="1" applyFill="1"/>
    <xf numFmtId="0" fontId="722" fillId="1240" borderId="0" xfId="0" applyFont="1" applyFill="1"/>
    <xf numFmtId="0" fontId="722" fillId="1241" borderId="0" xfId="0" applyFont="1" applyFill="1"/>
    <xf numFmtId="0" fontId="722" fillId="1242" borderId="0" xfId="0" applyFont="1" applyFill="1"/>
    <xf numFmtId="0" fontId="722" fillId="1243" borderId="0" xfId="0" applyFont="1" applyFill="1"/>
    <xf numFmtId="0" fontId="722" fillId="1244" borderId="0" xfId="0" applyFont="1" applyFill="1"/>
    <xf numFmtId="0" fontId="722" fillId="1245" borderId="0" xfId="0" applyFont="1" applyFill="1"/>
    <xf numFmtId="0" fontId="722" fillId="1246" borderId="0" xfId="0" applyFont="1" applyFill="1"/>
    <xf numFmtId="0" fontId="722" fillId="1247" borderId="0" xfId="0" applyFont="1" applyFill="1"/>
    <xf numFmtId="0" fontId="722" fillId="1248" borderId="0" xfId="0" applyFont="1" applyFill="1"/>
    <xf numFmtId="0" fontId="722" fillId="1249" borderId="0" xfId="0" applyFont="1" applyFill="1"/>
    <xf numFmtId="0" fontId="722" fillId="1250" borderId="0" xfId="0" applyFont="1" applyFill="1"/>
    <xf numFmtId="0" fontId="722" fillId="1251" borderId="0" xfId="0" applyFont="1" applyFill="1"/>
    <xf numFmtId="0" fontId="722" fillId="1252" borderId="0" xfId="0" applyFont="1" applyFill="1"/>
    <xf numFmtId="0" fontId="722" fillId="1253" borderId="0" xfId="0" applyFont="1" applyFill="1"/>
    <xf numFmtId="0" fontId="722" fillId="1254" borderId="0" xfId="0" applyFont="1" applyFill="1"/>
    <xf numFmtId="0" fontId="722" fillId="1255" borderId="0" xfId="0" applyFont="1" applyFill="1"/>
    <xf numFmtId="0" fontId="722" fillId="1256" borderId="0" xfId="0" applyFont="1" applyFill="1"/>
    <xf numFmtId="0" fontId="722" fillId="1257" borderId="0" xfId="0" applyFont="1" applyFill="1"/>
    <xf numFmtId="0" fontId="722" fillId="1258" borderId="0" xfId="0" applyFont="1" applyFill="1"/>
    <xf numFmtId="0" fontId="722" fillId="1259" borderId="0" xfId="0" applyFont="1" applyFill="1"/>
    <xf numFmtId="0" fontId="722" fillId="1260" borderId="0" xfId="0" applyFont="1" applyFill="1"/>
    <xf numFmtId="0" fontId="722" fillId="1261" borderId="0" xfId="0" applyFont="1" applyFill="1"/>
    <xf numFmtId="0" fontId="722" fillId="17" borderId="0" xfId="0" applyFont="1" applyFill="1"/>
    <xf numFmtId="0" fontId="722" fillId="1262" borderId="0" xfId="0" applyFont="1" applyFill="1"/>
    <xf numFmtId="0" fontId="722" fillId="1263" borderId="0" xfId="0" applyFont="1" applyFill="1"/>
    <xf numFmtId="0" fontId="722" fillId="1264" borderId="0" xfId="0" applyFont="1" applyFill="1"/>
    <xf numFmtId="0" fontId="722" fillId="1265" borderId="0" xfId="0" applyFont="1" applyFill="1"/>
    <xf numFmtId="0" fontId="722" fillId="1266" borderId="0" xfId="0" applyFont="1" applyFill="1"/>
    <xf numFmtId="0" fontId="722" fillId="1267" borderId="0" xfId="0" applyFont="1" applyFill="1"/>
    <xf numFmtId="0" fontId="722" fillId="1268" borderId="0" xfId="0" applyFont="1" applyFill="1"/>
    <xf numFmtId="0" fontId="722" fillId="1269" borderId="0" xfId="0" applyFont="1" applyFill="1"/>
    <xf numFmtId="0" fontId="722" fillId="1270" borderId="0" xfId="0" applyFont="1" applyFill="1"/>
    <xf numFmtId="0" fontId="722" fillId="1271" borderId="0" xfId="0" applyFont="1" applyFill="1"/>
    <xf numFmtId="0" fontId="722" fillId="52" borderId="0" xfId="0" applyFont="1" applyFill="1"/>
    <xf numFmtId="0" fontId="722" fillId="1272" borderId="0" xfId="0" applyFont="1" applyFill="1"/>
    <xf numFmtId="0" fontId="722" fillId="1273" borderId="0" xfId="0" applyFont="1" applyFill="1"/>
    <xf numFmtId="0" fontId="722" fillId="1274" borderId="0" xfId="0" applyFont="1" applyFill="1"/>
    <xf numFmtId="0" fontId="722" fillId="1275" borderId="0" xfId="0" applyFont="1" applyFill="1"/>
    <xf numFmtId="0" fontId="722" fillId="1276" borderId="0" xfId="0" applyFont="1" applyFill="1"/>
    <xf numFmtId="0" fontId="722" fillId="1277" borderId="0" xfId="0" applyFont="1" applyFill="1"/>
    <xf numFmtId="0" fontId="722" fillId="1129" borderId="0" xfId="0" applyFont="1" applyFill="1"/>
    <xf numFmtId="0" fontId="722" fillId="1278" borderId="0" xfId="0" applyFont="1" applyFill="1"/>
    <xf numFmtId="0" fontId="722" fillId="1279" borderId="0" xfId="0" applyFont="1" applyFill="1"/>
    <xf numFmtId="0" fontId="722" fillId="1280" borderId="0" xfId="0" applyFont="1" applyFill="1"/>
    <xf numFmtId="0" fontId="722" fillId="1281" borderId="0" xfId="0" applyFont="1" applyFill="1"/>
    <xf numFmtId="0" fontId="722" fillId="1282" borderId="0" xfId="0" applyFont="1" applyFill="1"/>
    <xf numFmtId="0" fontId="722" fillId="1283" borderId="0" xfId="0" applyFont="1" applyFill="1"/>
    <xf numFmtId="0" fontId="722" fillId="1284" borderId="0" xfId="0" applyFont="1" applyFill="1"/>
    <xf numFmtId="0" fontId="722" fillId="1285" borderId="0" xfId="0" applyFont="1" applyFill="1"/>
    <xf numFmtId="0" fontId="722" fillId="1286" borderId="0" xfId="0" applyFont="1" applyFill="1"/>
    <xf numFmtId="0" fontId="722" fillId="1287" borderId="0" xfId="0" applyFont="1" applyFill="1"/>
    <xf numFmtId="0" fontId="722" fillId="1288" borderId="0" xfId="0" applyFont="1" applyFill="1"/>
    <xf numFmtId="0" fontId="722" fillId="1289" borderId="0" xfId="0" applyFont="1" applyFill="1"/>
    <xf numFmtId="0" fontId="722" fillId="1290" borderId="0" xfId="0" applyFont="1" applyFill="1"/>
    <xf numFmtId="0" fontId="722" fillId="1291" borderId="0" xfId="0" applyFont="1" applyFill="1"/>
    <xf numFmtId="0" fontId="722" fillId="1292" borderId="0" xfId="0" applyFont="1" applyFill="1"/>
    <xf numFmtId="0" fontId="722" fillId="1293" borderId="0" xfId="0" applyFont="1" applyFill="1"/>
    <xf numFmtId="0" fontId="722" fillId="1294" borderId="0" xfId="0" applyFont="1" applyFill="1"/>
    <xf numFmtId="0" fontId="722" fillId="1295" borderId="0" xfId="0" applyFont="1" applyFill="1"/>
    <xf numFmtId="0" fontId="722" fillId="1296" borderId="0" xfId="0" applyFont="1" applyFill="1"/>
    <xf numFmtId="0" fontId="722" fillId="1297" borderId="0" xfId="0" applyFont="1" applyFill="1"/>
    <xf numFmtId="0" fontId="722" fillId="1298" borderId="0" xfId="0" applyFont="1" applyFill="1"/>
    <xf numFmtId="0" fontId="722" fillId="1299" borderId="0" xfId="0" applyFont="1" applyFill="1"/>
    <xf numFmtId="0" fontId="722" fillId="1300" borderId="0" xfId="0" applyFont="1" applyFill="1"/>
    <xf numFmtId="0" fontId="722" fillId="1301" borderId="0" xfId="0" applyFont="1" applyFill="1"/>
    <xf numFmtId="0" fontId="722" fillId="1302" borderId="0" xfId="0" applyFont="1" applyFill="1"/>
    <xf numFmtId="0" fontId="722" fillId="1303" borderId="0" xfId="0" applyFont="1" applyFill="1"/>
    <xf numFmtId="0" fontId="722" fillId="1304" borderId="0" xfId="0" applyFont="1" applyFill="1"/>
    <xf numFmtId="0" fontId="722" fillId="1305" borderId="0" xfId="0" applyFont="1" applyFill="1"/>
    <xf numFmtId="0" fontId="722" fillId="1306" borderId="0" xfId="0" applyFont="1" applyFill="1"/>
    <xf numFmtId="0" fontId="722" fillId="1307" borderId="0" xfId="0" applyFont="1" applyFill="1"/>
    <xf numFmtId="0" fontId="722" fillId="1308" borderId="0" xfId="0" applyFont="1" applyFill="1"/>
    <xf numFmtId="0" fontId="722" fillId="1309" borderId="0" xfId="0" applyFont="1" applyFill="1"/>
    <xf numFmtId="0" fontId="722" fillId="1310" borderId="0" xfId="0" applyFont="1" applyFill="1"/>
    <xf numFmtId="0" fontId="722" fillId="1311" borderId="0" xfId="0" applyFont="1" applyFill="1"/>
    <xf numFmtId="0" fontId="722" fillId="1312" borderId="0" xfId="0" applyFont="1" applyFill="1"/>
    <xf numFmtId="0" fontId="722" fillId="1313" borderId="0" xfId="0" applyFont="1" applyFill="1"/>
    <xf numFmtId="0" fontId="722" fillId="1314" borderId="0" xfId="0" applyFont="1" applyFill="1"/>
    <xf numFmtId="0" fontId="722" fillId="1315" borderId="0" xfId="0" applyFont="1" applyFill="1"/>
    <xf numFmtId="0" fontId="722" fillId="1316" borderId="0" xfId="0" applyFont="1" applyFill="1"/>
    <xf numFmtId="0" fontId="722" fillId="1317" borderId="0" xfId="0" applyFont="1" applyFill="1"/>
    <xf numFmtId="0" fontId="722" fillId="1318" borderId="0" xfId="0" applyFont="1" applyFill="1"/>
    <xf numFmtId="0" fontId="722" fillId="1319" borderId="0" xfId="0" applyFont="1" applyFill="1"/>
    <xf numFmtId="0" fontId="722" fillId="1320" borderId="0" xfId="0" applyFont="1" applyFill="1"/>
    <xf numFmtId="0" fontId="722" fillId="1321" borderId="0" xfId="0" applyFont="1" applyFill="1"/>
    <xf numFmtId="0" fontId="722" fillId="1322" borderId="0" xfId="0" applyFont="1" applyFill="1"/>
    <xf numFmtId="0" fontId="722" fillId="1323" borderId="0" xfId="0" applyFont="1" applyFill="1"/>
    <xf numFmtId="0" fontId="722" fillId="1324" borderId="0" xfId="0" applyFont="1" applyFill="1"/>
    <xf numFmtId="0" fontId="722" fillId="1325" borderId="0" xfId="0" applyFont="1" applyFill="1"/>
    <xf numFmtId="0" fontId="722" fillId="1326" borderId="0" xfId="0" applyFont="1" applyFill="1"/>
    <xf numFmtId="0" fontId="722" fillId="1327" borderId="0" xfId="0" applyFont="1" applyFill="1"/>
    <xf numFmtId="0" fontId="722" fillId="1328" borderId="0" xfId="0" applyFont="1" applyFill="1"/>
    <xf numFmtId="0" fontId="722" fillId="1329" borderId="0" xfId="0" applyFont="1" applyFill="1"/>
    <xf numFmtId="0" fontId="722" fillId="1330" borderId="0" xfId="0" applyFont="1" applyFill="1"/>
    <xf numFmtId="0" fontId="722" fillId="1331" borderId="0" xfId="0" applyFont="1" applyFill="1"/>
    <xf numFmtId="0" fontId="722" fillId="1332" borderId="0" xfId="0" applyFont="1" applyFill="1"/>
    <xf numFmtId="0" fontId="722" fillId="1333" borderId="0" xfId="0" applyFont="1" applyFill="1"/>
    <xf numFmtId="0" fontId="722" fillId="1334" borderId="0" xfId="0" applyFont="1" applyFill="1"/>
    <xf numFmtId="0" fontId="722" fillId="1335" borderId="0" xfId="0" applyFont="1" applyFill="1"/>
    <xf numFmtId="0" fontId="722" fillId="1336" borderId="0" xfId="0" applyFont="1" applyFill="1"/>
    <xf numFmtId="0" fontId="722" fillId="1337" borderId="0" xfId="0" applyFont="1" applyFill="1"/>
    <xf numFmtId="0" fontId="722" fillId="1338" borderId="0" xfId="0" applyFont="1" applyFill="1"/>
    <xf numFmtId="0" fontId="722" fillId="1339" borderId="0" xfId="0" applyFont="1" applyFill="1"/>
    <xf numFmtId="0" fontId="722" fillId="1340" borderId="0" xfId="0" applyFont="1" applyFill="1"/>
    <xf numFmtId="0" fontId="722" fillId="1341" borderId="0" xfId="0" applyFont="1" applyFill="1"/>
    <xf numFmtId="0" fontId="722" fillId="1342" borderId="0" xfId="0" applyFont="1" applyFill="1"/>
    <xf numFmtId="0" fontId="722" fillId="1343" borderId="0" xfId="0" applyFont="1" applyFill="1"/>
    <xf numFmtId="0" fontId="722" fillId="1344" borderId="0" xfId="0" applyFont="1" applyFill="1"/>
    <xf numFmtId="0" fontId="722" fillId="1345" borderId="0" xfId="0" applyFont="1" applyFill="1"/>
    <xf numFmtId="0" fontId="722" fillId="1346" borderId="0" xfId="0" applyFont="1" applyFill="1"/>
    <xf numFmtId="0" fontId="722" fillId="1347" borderId="0" xfId="0" applyFont="1" applyFill="1"/>
    <xf numFmtId="0" fontId="722" fillId="1348" borderId="0" xfId="0" applyFont="1" applyFill="1"/>
    <xf numFmtId="0" fontId="722" fillId="1349" borderId="0" xfId="0" applyFont="1" applyFill="1"/>
    <xf numFmtId="0" fontId="722" fillId="1350" borderId="0" xfId="0" applyFont="1" applyFill="1"/>
    <xf numFmtId="0" fontId="722" fillId="1351" borderId="0" xfId="0" applyFont="1" applyFill="1"/>
    <xf numFmtId="0" fontId="722" fillId="1352" borderId="0" xfId="0" applyFont="1" applyFill="1"/>
    <xf numFmtId="0" fontId="722" fillId="1353" borderId="0" xfId="0" applyFont="1" applyFill="1"/>
    <xf numFmtId="0" fontId="722" fillId="1354" borderId="0" xfId="0" applyFont="1" applyFill="1"/>
    <xf numFmtId="0" fontId="722" fillId="1355" borderId="0" xfId="0" applyFont="1" applyFill="1"/>
    <xf numFmtId="0" fontId="722" fillId="182" borderId="0" xfId="0" applyFont="1" applyFill="1"/>
    <xf numFmtId="0" fontId="722" fillId="1356" borderId="0" xfId="0" applyFont="1" applyFill="1"/>
    <xf numFmtId="0" fontId="722" fillId="1357" borderId="0" xfId="0" applyFont="1" applyFill="1"/>
    <xf numFmtId="0" fontId="722" fillId="1358" borderId="0" xfId="0" applyFont="1" applyFill="1"/>
    <xf numFmtId="0" fontId="722" fillId="1359" borderId="0" xfId="0" applyFont="1" applyFill="1"/>
    <xf numFmtId="0" fontId="722" fillId="1360" borderId="0" xfId="0" applyFont="1" applyFill="1"/>
    <xf numFmtId="0" fontId="722" fillId="1361" borderId="0" xfId="0" applyFont="1" applyFill="1"/>
    <xf numFmtId="0" fontId="722" fillId="1362" borderId="0" xfId="0" applyFont="1" applyFill="1"/>
    <xf numFmtId="0" fontId="722" fillId="1363" borderId="0" xfId="0" applyFont="1" applyFill="1"/>
    <xf numFmtId="0" fontId="722" fillId="1364" borderId="0" xfId="0" applyFont="1" applyFill="1"/>
    <xf numFmtId="0" fontId="722" fillId="1365" borderId="0" xfId="0" applyFont="1" applyFill="1"/>
    <xf numFmtId="0" fontId="722" fillId="1366" borderId="0" xfId="0" applyFont="1" applyFill="1"/>
    <xf numFmtId="0" fontId="722" fillId="1367" borderId="0" xfId="0" applyFont="1" applyFill="1"/>
    <xf numFmtId="0" fontId="722" fillId="1368" borderId="0" xfId="0" applyFont="1" applyFill="1"/>
    <xf numFmtId="0" fontId="722" fillId="1369" borderId="0" xfId="0" applyFont="1" applyFill="1"/>
    <xf numFmtId="0" fontId="722" fillId="1370" borderId="0" xfId="0" applyFont="1" applyFill="1"/>
    <xf numFmtId="0" fontId="722" fillId="1371" borderId="0" xfId="0" applyFont="1" applyFill="1"/>
    <xf numFmtId="0" fontId="722" fillId="1372" borderId="0" xfId="0" applyFont="1" applyFill="1"/>
    <xf numFmtId="0" fontId="722" fillId="1373" borderId="0" xfId="0" applyFont="1" applyFill="1"/>
    <xf numFmtId="0" fontId="722" fillId="1374" borderId="0" xfId="0" applyFont="1" applyFill="1"/>
    <xf numFmtId="0" fontId="722" fillId="1375" borderId="0" xfId="0" applyFont="1" applyFill="1"/>
    <xf numFmtId="0" fontId="722" fillId="1376" borderId="0" xfId="0" applyFont="1" applyFill="1"/>
    <xf numFmtId="0" fontId="722" fillId="1377" borderId="0" xfId="0" applyFont="1" applyFill="1"/>
    <xf numFmtId="0" fontId="722" fillId="1378" borderId="0" xfId="0" applyFont="1" applyFill="1"/>
    <xf numFmtId="0" fontId="722" fillId="1379" borderId="0" xfId="0" applyFont="1" applyFill="1"/>
    <xf numFmtId="0" fontId="722" fillId="1380" borderId="0" xfId="0" applyFont="1" applyFill="1"/>
    <xf numFmtId="0" fontId="722" fillId="1381" borderId="0" xfId="0" applyFont="1" applyFill="1"/>
    <xf numFmtId="0" fontId="722" fillId="1382" borderId="0" xfId="0" applyFont="1" applyFill="1"/>
    <xf numFmtId="0" fontId="722" fillId="1383" borderId="0" xfId="0" applyFont="1" applyFill="1"/>
    <xf numFmtId="0" fontId="722" fillId="1384" borderId="0" xfId="0" applyFont="1" applyFill="1"/>
    <xf numFmtId="0" fontId="722" fillId="1385" borderId="0" xfId="0" applyFont="1" applyFill="1"/>
    <xf numFmtId="0" fontId="722" fillId="1386" borderId="0" xfId="0" applyFont="1" applyFill="1"/>
    <xf numFmtId="0" fontId="722" fillId="1387" borderId="0" xfId="0" applyFont="1" applyFill="1"/>
    <xf numFmtId="0" fontId="722" fillId="1388" borderId="0" xfId="0" applyFont="1" applyFill="1"/>
    <xf numFmtId="0" fontId="722" fillId="1389" borderId="0" xfId="0" applyFont="1" applyFill="1"/>
    <xf numFmtId="0" fontId="722" fillId="1390" borderId="0" xfId="0" applyFont="1" applyFill="1"/>
    <xf numFmtId="0" fontId="722" fillId="1101" borderId="0" xfId="0" applyFont="1" applyFill="1"/>
    <xf numFmtId="0" fontId="722" fillId="1391" borderId="0" xfId="0" applyFont="1" applyFill="1"/>
    <xf numFmtId="0" fontId="722" fillId="1392" borderId="0" xfId="0" applyFont="1" applyFill="1"/>
    <xf numFmtId="0" fontId="722" fillId="1393" borderId="0" xfId="0" applyFont="1" applyFill="1"/>
    <xf numFmtId="0" fontId="722" fillId="1394" borderId="0" xfId="0" applyFont="1" applyFill="1"/>
    <xf numFmtId="0" fontId="722" fillId="1395" borderId="0" xfId="0" applyFont="1" applyFill="1"/>
    <xf numFmtId="0" fontId="722" fillId="1396" borderId="0" xfId="0" applyFont="1" applyFill="1"/>
    <xf numFmtId="0" fontId="722" fillId="1397" borderId="0" xfId="0" applyFont="1" applyFill="1"/>
    <xf numFmtId="0" fontId="722" fillId="1398" borderId="0" xfId="0" applyFont="1" applyFill="1"/>
    <xf numFmtId="0" fontId="722" fillId="1399" borderId="0" xfId="0" applyFont="1" applyFill="1"/>
    <xf numFmtId="0" fontId="722" fillId="1400" borderId="0" xfId="0" applyFont="1" applyFill="1"/>
    <xf numFmtId="0" fontId="722" fillId="1401" borderId="0" xfId="0" applyFont="1" applyFill="1"/>
    <xf numFmtId="0" fontId="722" fillId="1402" borderId="0" xfId="0" applyFont="1" applyFill="1"/>
    <xf numFmtId="0" fontId="722" fillId="1403" borderId="0" xfId="0" applyFont="1" applyFill="1"/>
    <xf numFmtId="0" fontId="722" fillId="1404" borderId="0" xfId="0" applyFont="1" applyFill="1"/>
    <xf numFmtId="0" fontId="722" fillId="1405" borderId="0" xfId="0" applyFont="1" applyFill="1"/>
    <xf numFmtId="0" fontId="722" fillId="1406" borderId="0" xfId="0" applyFont="1" applyFill="1"/>
    <xf numFmtId="0" fontId="722" fillId="1407" borderId="0" xfId="0" applyFont="1" applyFill="1"/>
    <xf numFmtId="0" fontId="722" fillId="1408" borderId="0" xfId="0" applyFont="1" applyFill="1"/>
    <xf numFmtId="0" fontId="722" fillId="1409" borderId="0" xfId="0" applyFont="1" applyFill="1"/>
    <xf numFmtId="0" fontId="722" fillId="1410" borderId="0" xfId="0" applyFont="1" applyFill="1"/>
    <xf numFmtId="0" fontId="722" fillId="1411" borderId="0" xfId="0" applyFont="1" applyFill="1"/>
    <xf numFmtId="0" fontId="722" fillId="1412" borderId="0" xfId="0" applyFont="1" applyFill="1"/>
    <xf numFmtId="0" fontId="722" fillId="1413" borderId="0" xfId="0" applyFont="1" applyFill="1"/>
    <xf numFmtId="0" fontId="722" fillId="1414" borderId="0" xfId="0" applyFont="1" applyFill="1"/>
    <xf numFmtId="0" fontId="722" fillId="1415" borderId="0" xfId="0" applyFont="1" applyFill="1"/>
    <xf numFmtId="0" fontId="722" fillId="1416" borderId="0" xfId="0" applyFont="1" applyFill="1"/>
    <xf numFmtId="0" fontId="722" fillId="1417" borderId="0" xfId="0" applyFont="1" applyFill="1"/>
    <xf numFmtId="0" fontId="722" fillId="1418" borderId="0" xfId="0" applyFont="1" applyFill="1"/>
    <xf numFmtId="0" fontId="722" fillId="1419" borderId="0" xfId="0" applyFont="1" applyFill="1"/>
    <xf numFmtId="0" fontId="722" fillId="1420" borderId="0" xfId="0" applyFont="1" applyFill="1"/>
    <xf numFmtId="0" fontId="722" fillId="1421" borderId="0" xfId="0" applyFont="1" applyFill="1"/>
    <xf numFmtId="0" fontId="722" fillId="1422" borderId="0" xfId="0" applyFont="1" applyFill="1"/>
    <xf numFmtId="0" fontId="722" fillId="1423" borderId="0" xfId="0" applyFont="1" applyFill="1"/>
    <xf numFmtId="0" fontId="722" fillId="1424" borderId="0" xfId="0" applyFont="1" applyFill="1"/>
    <xf numFmtId="0" fontId="722" fillId="1425" borderId="0" xfId="0" applyFont="1" applyFill="1"/>
    <xf numFmtId="0" fontId="722" fillId="1426" borderId="0" xfId="0" applyFont="1" applyFill="1"/>
    <xf numFmtId="0" fontId="722" fillId="1427" borderId="0" xfId="0" applyFont="1" applyFill="1"/>
    <xf numFmtId="0" fontId="722" fillId="1428" borderId="0" xfId="0" applyFont="1" applyFill="1"/>
    <xf numFmtId="0" fontId="722" fillId="1429" borderId="0" xfId="0" applyFont="1" applyFill="1"/>
    <xf numFmtId="0" fontId="722" fillId="1430" borderId="0" xfId="0" applyFont="1" applyFill="1"/>
    <xf numFmtId="0" fontId="722" fillId="1431" borderId="0" xfId="0" applyFont="1" applyFill="1"/>
    <xf numFmtId="0" fontId="722" fillId="1432" borderId="0" xfId="0" applyFont="1" applyFill="1"/>
    <xf numFmtId="0" fontId="722" fillId="1433" borderId="0" xfId="0" applyFont="1" applyFill="1"/>
    <xf numFmtId="0" fontId="722" fillId="1434" borderId="0" xfId="0" applyFont="1" applyFill="1"/>
    <xf numFmtId="0" fontId="722" fillId="1435" borderId="0" xfId="0" applyFont="1" applyFill="1"/>
    <xf numFmtId="0" fontId="722" fillId="1436" borderId="0" xfId="0" applyFont="1" applyFill="1"/>
    <xf numFmtId="0" fontId="722" fillId="1437" borderId="0" xfId="0" applyFont="1" applyFill="1"/>
    <xf numFmtId="0" fontId="722" fillId="1438" borderId="0" xfId="0" applyFont="1" applyFill="1"/>
    <xf numFmtId="0" fontId="722" fillId="1439" borderId="0" xfId="0" applyFont="1" applyFill="1"/>
    <xf numFmtId="0" fontId="722" fillId="1440" borderId="0" xfId="0" applyFont="1" applyFill="1"/>
    <xf numFmtId="0" fontId="722" fillId="1441" borderId="0" xfId="0" applyFont="1" applyFill="1"/>
    <xf numFmtId="0" fontId="722" fillId="1442" borderId="0" xfId="0" applyFont="1" applyFill="1"/>
    <xf numFmtId="0" fontId="722" fillId="1443" borderId="0" xfId="0" applyFont="1" applyFill="1"/>
    <xf numFmtId="0" fontId="722" fillId="1444" borderId="0" xfId="0" applyFont="1" applyFill="1"/>
    <xf numFmtId="0" fontId="722" fillId="1445" borderId="0" xfId="0" applyFont="1" applyFill="1"/>
    <xf numFmtId="0" fontId="722" fillId="890" borderId="0" xfId="0" applyFont="1" applyFill="1"/>
    <xf numFmtId="0" fontId="722" fillId="1446" borderId="0" xfId="0" applyFont="1" applyFill="1"/>
    <xf numFmtId="0" fontId="722" fillId="1447" borderId="0" xfId="0" applyFont="1" applyFill="1"/>
    <xf numFmtId="0" fontId="722" fillId="1448" borderId="0" xfId="0" applyFont="1" applyFill="1"/>
    <xf numFmtId="0" fontId="722" fillId="1449" borderId="0" xfId="0" applyFont="1" applyFill="1"/>
    <xf numFmtId="0" fontId="722" fillId="1450" borderId="0" xfId="0" applyFont="1" applyFill="1"/>
    <xf numFmtId="0" fontId="722" fillId="1451" borderId="0" xfId="0" applyFont="1" applyFill="1"/>
    <xf numFmtId="0" fontId="722" fillId="1452" borderId="0" xfId="0" applyFont="1" applyFill="1"/>
    <xf numFmtId="0" fontId="722" fillId="1453" borderId="0" xfId="0" applyFont="1" applyFill="1"/>
    <xf numFmtId="0" fontId="722" fillId="1454" borderId="0" xfId="0" applyFont="1" applyFill="1"/>
    <xf numFmtId="0" fontId="722" fillId="1455" borderId="0" xfId="0" applyFont="1" applyFill="1"/>
    <xf numFmtId="0" fontId="722" fillId="1456" borderId="0" xfId="0" applyFont="1" applyFill="1"/>
    <xf numFmtId="0" fontId="722" fillId="1457" borderId="0" xfId="0" applyFont="1" applyFill="1"/>
    <xf numFmtId="0" fontId="722" fillId="306" borderId="0" xfId="0" applyFont="1" applyFill="1"/>
    <xf numFmtId="0" fontId="722" fillId="1458" borderId="0" xfId="0" applyFont="1" applyFill="1"/>
    <xf numFmtId="0" fontId="722" fillId="1459" borderId="0" xfId="0" applyFont="1" applyFill="1"/>
    <xf numFmtId="0" fontId="722" fillId="1460" borderId="0" xfId="0" applyFont="1" applyFill="1"/>
    <xf numFmtId="0" fontId="722" fillId="1461" borderId="0" xfId="0" applyFont="1" applyFill="1"/>
    <xf numFmtId="0" fontId="722" fillId="1462" borderId="0" xfId="0" applyFont="1" applyFill="1"/>
    <xf numFmtId="0" fontId="722" fillId="1463" borderId="0" xfId="0" applyFont="1" applyFill="1"/>
    <xf numFmtId="0" fontId="722" fillId="1464" borderId="0" xfId="0" applyFont="1" applyFill="1"/>
    <xf numFmtId="0" fontId="722" fillId="1465" borderId="0" xfId="0" applyFont="1" applyFill="1"/>
    <xf numFmtId="0" fontId="722" fillId="1466" borderId="0" xfId="0" applyFont="1" applyFill="1"/>
    <xf numFmtId="0" fontId="722" fillId="1467" borderId="0" xfId="0" applyFont="1" applyFill="1"/>
    <xf numFmtId="0" fontId="722" fillId="1468" borderId="0" xfId="0" applyFont="1" applyFill="1"/>
    <xf numFmtId="0" fontId="722" fillId="1469" borderId="0" xfId="0" applyFont="1" applyFill="1"/>
    <xf numFmtId="0" fontId="722" fillId="1470" borderId="0" xfId="0" applyFont="1" applyFill="1"/>
    <xf numFmtId="0" fontId="722" fillId="1471" borderId="0" xfId="0" applyFont="1" applyFill="1"/>
    <xf numFmtId="0" fontId="722" fillId="1472" borderId="0" xfId="0" applyFont="1" applyFill="1"/>
    <xf numFmtId="0" fontId="722" fillId="1473" borderId="0" xfId="0" applyFont="1" applyFill="1"/>
    <xf numFmtId="0" fontId="722" fillId="1474" borderId="0" xfId="0" applyFont="1" applyFill="1"/>
    <xf numFmtId="0" fontId="722" fillId="1475" borderId="0" xfId="0" applyFont="1" applyFill="1"/>
    <xf numFmtId="0" fontId="722" fillId="1476" borderId="0" xfId="0" applyFont="1" applyFill="1"/>
    <xf numFmtId="0" fontId="722" fillId="1477" borderId="0" xfId="0" applyFont="1" applyFill="1"/>
    <xf numFmtId="0" fontId="722" fillId="1478" borderId="0" xfId="0" applyFont="1" applyFill="1"/>
    <xf numFmtId="0" fontId="722" fillId="1479" borderId="0" xfId="0" applyFont="1" applyFill="1"/>
    <xf numFmtId="0" fontId="722" fillId="1480" borderId="0" xfId="0" applyFont="1" applyFill="1"/>
    <xf numFmtId="0" fontId="722" fillId="1481" borderId="0" xfId="0" applyFont="1" applyFill="1"/>
    <xf numFmtId="0" fontId="722" fillId="1482" borderId="0" xfId="0" applyFont="1" applyFill="1"/>
    <xf numFmtId="0" fontId="722" fillId="1483" borderId="0" xfId="0" applyFont="1" applyFill="1"/>
    <xf numFmtId="0" fontId="722" fillId="1484" borderId="0" xfId="0" applyFont="1" applyFill="1"/>
    <xf numFmtId="0" fontId="722" fillId="1485" borderId="0" xfId="0" applyFont="1" applyFill="1"/>
    <xf numFmtId="0" fontId="722" fillId="1486" borderId="0" xfId="0" applyFont="1" applyFill="1"/>
    <xf numFmtId="0" fontId="722" fillId="1487" borderId="0" xfId="0" applyFont="1" applyFill="1"/>
    <xf numFmtId="0" fontId="722" fillId="1488" borderId="0" xfId="0" applyFont="1" applyFill="1"/>
    <xf numFmtId="0" fontId="722" fillId="1489" borderId="0" xfId="0" applyFont="1" applyFill="1"/>
    <xf numFmtId="0" fontId="722" fillId="1490" borderId="0" xfId="0" applyFont="1" applyFill="1"/>
    <xf numFmtId="0" fontId="722" fillId="1491" borderId="0" xfId="0" applyFont="1" applyFill="1"/>
    <xf numFmtId="0" fontId="722" fillId="1492" borderId="0" xfId="0" applyFont="1" applyFill="1"/>
    <xf numFmtId="0" fontId="722" fillId="1493" borderId="0" xfId="0" applyFont="1" applyFill="1"/>
    <xf numFmtId="0" fontId="722" fillId="1494" borderId="0" xfId="0" applyFont="1" applyFill="1"/>
    <xf numFmtId="0" fontId="722" fillId="1495" borderId="0" xfId="0" applyFont="1" applyFill="1"/>
    <xf numFmtId="0" fontId="722" fillId="1496" borderId="0" xfId="0" applyFont="1" applyFill="1"/>
    <xf numFmtId="0" fontId="722" fillId="1497" borderId="0" xfId="0" applyFont="1" applyFill="1"/>
    <xf numFmtId="0" fontId="722" fillId="1498" borderId="0" xfId="0" applyFont="1" applyFill="1"/>
    <xf numFmtId="0" fontId="722" fillId="1499" borderId="0" xfId="0" applyFont="1" applyFill="1"/>
    <xf numFmtId="0" fontId="722" fillId="1500" borderId="0" xfId="0" applyFont="1" applyFill="1"/>
    <xf numFmtId="0" fontId="722" fillId="1501" borderId="0" xfId="0" applyFont="1" applyFill="1"/>
    <xf numFmtId="0" fontId="722" fillId="1502" borderId="0" xfId="0" applyFont="1" applyFill="1"/>
    <xf numFmtId="0" fontId="722" fillId="1503" borderId="0" xfId="0" applyFont="1" applyFill="1"/>
    <xf numFmtId="0" fontId="722" fillId="1504" borderId="0" xfId="0" applyFont="1" applyFill="1"/>
    <xf numFmtId="0" fontId="722" fillId="1505" borderId="0" xfId="0" applyFont="1" applyFill="1"/>
    <xf numFmtId="0" fontId="722" fillId="1506" borderId="0" xfId="0" applyFont="1" applyFill="1"/>
    <xf numFmtId="0" fontId="722" fillId="1507" borderId="0" xfId="0" applyFont="1" applyFill="1"/>
    <xf numFmtId="0" fontId="722" fillId="1508" borderId="0" xfId="0" applyFont="1" applyFill="1"/>
    <xf numFmtId="0" fontId="722" fillId="1509" borderId="0" xfId="0" applyFont="1" applyFill="1"/>
    <xf numFmtId="0" fontId="722" fillId="1510" borderId="0" xfId="0" applyFont="1" applyFill="1"/>
    <xf numFmtId="0" fontId="722" fillId="1511" borderId="0" xfId="0" applyFont="1" applyFill="1"/>
    <xf numFmtId="0" fontId="722" fillId="1512" borderId="0" xfId="0" applyFont="1" applyFill="1"/>
    <xf numFmtId="0" fontId="722" fillId="1513" borderId="0" xfId="0" applyFont="1" applyFill="1"/>
    <xf numFmtId="0" fontId="722" fillId="1514" borderId="0" xfId="0" applyFont="1" applyFill="1"/>
    <xf numFmtId="0" fontId="722" fillId="1515" borderId="0" xfId="0" applyFont="1" applyFill="1"/>
    <xf numFmtId="0" fontId="722" fillId="1516" borderId="0" xfId="0" applyFont="1" applyFill="1"/>
    <xf numFmtId="0" fontId="722" fillId="1517" borderId="0" xfId="0" applyFont="1" applyFill="1"/>
    <xf numFmtId="0" fontId="722" fillId="1518" borderId="0" xfId="0" applyFont="1" applyFill="1"/>
    <xf numFmtId="0" fontId="722" fillId="1519" borderId="0" xfId="0" applyFont="1" applyFill="1"/>
    <xf numFmtId="0" fontId="722" fillId="1520" borderId="0" xfId="0" applyFont="1" applyFill="1"/>
    <xf numFmtId="0" fontId="722" fillId="1521" borderId="0" xfId="0" applyFont="1" applyFill="1"/>
    <xf numFmtId="0" fontId="722" fillId="1522" borderId="0" xfId="0" applyFont="1" applyFill="1"/>
    <xf numFmtId="0" fontId="722" fillId="1523" borderId="0" xfId="0" applyFont="1" applyFill="1"/>
    <xf numFmtId="0" fontId="722" fillId="1524" borderId="0" xfId="0" applyFont="1" applyFill="1"/>
    <xf numFmtId="0" fontId="722" fillId="159" borderId="0" xfId="0" applyFont="1" applyFill="1"/>
    <xf numFmtId="0" fontId="722" fillId="1525" borderId="0" xfId="0" applyFont="1" applyFill="1"/>
    <xf numFmtId="0" fontId="722" fillId="1526" borderId="0" xfId="0" applyFont="1" applyFill="1"/>
    <xf numFmtId="0" fontId="722" fillId="1527" borderId="0" xfId="0" applyFont="1" applyFill="1"/>
    <xf numFmtId="0" fontId="722" fillId="1528" borderId="0" xfId="0" applyFont="1" applyFill="1"/>
    <xf numFmtId="0" fontId="722" fillId="1529" borderId="0" xfId="0" applyFont="1" applyFill="1"/>
    <xf numFmtId="0" fontId="722" fillId="1530" borderId="0" xfId="0" applyFont="1" applyFill="1"/>
    <xf numFmtId="0" fontId="722" fillId="1531" borderId="0" xfId="0" applyFont="1" applyFill="1"/>
    <xf numFmtId="0" fontId="722" fillId="1532" borderId="0" xfId="0" applyFont="1" applyFill="1"/>
    <xf numFmtId="0" fontId="722" fillId="1533" borderId="0" xfId="0" applyFont="1" applyFill="1"/>
    <xf numFmtId="0" fontId="722" fillId="1534" borderId="0" xfId="0" applyFont="1" applyFill="1"/>
    <xf numFmtId="0" fontId="722" fillId="1535" borderId="0" xfId="0" applyFont="1" applyFill="1"/>
    <xf numFmtId="0" fontId="722" fillId="1536" borderId="0" xfId="0" applyFont="1" applyFill="1"/>
    <xf numFmtId="0" fontId="722" fillId="1537" borderId="0" xfId="0" applyFont="1" applyFill="1"/>
    <xf numFmtId="0" fontId="722" fillId="1538" borderId="0" xfId="0" applyFont="1" applyFill="1"/>
    <xf numFmtId="0" fontId="722" fillId="1539" borderId="0" xfId="0" applyFont="1" applyFill="1"/>
    <xf numFmtId="0" fontId="722" fillId="1540" borderId="0" xfId="0" applyFont="1" applyFill="1"/>
    <xf numFmtId="0" fontId="722" fillId="1541" borderId="0" xfId="0" applyFont="1" applyFill="1"/>
    <xf numFmtId="0" fontId="722" fillId="1542" borderId="0" xfId="0" applyFont="1" applyFill="1"/>
    <xf numFmtId="0" fontId="722" fillId="1543" borderId="0" xfId="0" applyFont="1" applyFill="1"/>
    <xf numFmtId="0" fontId="722" fillId="1544" borderId="0" xfId="0" applyFont="1" applyFill="1"/>
    <xf numFmtId="0" fontId="722" fillId="1545" borderId="0" xfId="0" applyFont="1" applyFill="1"/>
    <xf numFmtId="0" fontId="722" fillId="1546" borderId="0" xfId="0" applyFont="1" applyFill="1"/>
    <xf numFmtId="0" fontId="722" fillId="1547" borderId="0" xfId="0" applyFont="1" applyFill="1"/>
    <xf numFmtId="0" fontId="722" fillId="1548" borderId="0" xfId="0" applyFont="1" applyFill="1"/>
    <xf numFmtId="0" fontId="722" fillId="1549" borderId="0" xfId="0" applyFont="1" applyFill="1"/>
    <xf numFmtId="0" fontId="722" fillId="1550" borderId="0" xfId="0" applyFont="1" applyFill="1"/>
    <xf numFmtId="0" fontId="722" fillId="1551" borderId="0" xfId="0" applyFont="1" applyFill="1"/>
    <xf numFmtId="0" fontId="722" fillId="1552" borderId="0" xfId="0" applyFont="1" applyFill="1"/>
    <xf numFmtId="0" fontId="722" fillId="1553" borderId="0" xfId="0" applyFont="1" applyFill="1"/>
    <xf numFmtId="0" fontId="722" fillId="1554" borderId="0" xfId="0" applyFont="1" applyFill="1"/>
    <xf numFmtId="0" fontId="722" fillId="1555" borderId="0" xfId="0" applyFont="1" applyFill="1"/>
    <xf numFmtId="0" fontId="722" fillId="1556" borderId="0" xfId="0" applyFont="1" applyFill="1"/>
    <xf numFmtId="0" fontId="722" fillId="1557" borderId="0" xfId="0" applyFont="1" applyFill="1"/>
    <xf numFmtId="0" fontId="722" fillId="1558" borderId="0" xfId="0" applyFont="1" applyFill="1"/>
    <xf numFmtId="0" fontId="722" fillId="1559" borderId="0" xfId="0" applyFont="1" applyFill="1"/>
    <xf numFmtId="0" fontId="722" fillId="1560" borderId="0" xfId="0" applyFont="1" applyFill="1"/>
    <xf numFmtId="0" fontId="722" fillId="1561" borderId="0" xfId="0" applyFont="1" applyFill="1"/>
    <xf numFmtId="0" fontId="722" fillId="1562" borderId="0" xfId="0" applyFont="1" applyFill="1"/>
    <xf numFmtId="0" fontId="722" fillId="1563" borderId="0" xfId="0" applyFont="1" applyFill="1"/>
    <xf numFmtId="0" fontId="722" fillId="1564" borderId="0" xfId="0" applyFont="1" applyFill="1"/>
    <xf numFmtId="0" fontId="722" fillId="1565" borderId="0" xfId="0" applyFont="1" applyFill="1"/>
    <xf numFmtId="0" fontId="722" fillId="1566" borderId="0" xfId="0" applyFont="1" applyFill="1"/>
    <xf numFmtId="0" fontId="722" fillId="1567" borderId="0" xfId="0" applyFont="1" applyFill="1"/>
    <xf numFmtId="0" fontId="722" fillId="1568" borderId="0" xfId="0" applyFont="1" applyFill="1"/>
    <xf numFmtId="0" fontId="722" fillId="1569" borderId="0" xfId="0" applyFont="1" applyFill="1"/>
    <xf numFmtId="0" fontId="722" fillId="1570" borderId="0" xfId="0" applyFont="1" applyFill="1"/>
    <xf numFmtId="0" fontId="722" fillId="1571" borderId="0" xfId="0" applyFont="1" applyFill="1"/>
    <xf numFmtId="0" fontId="722" fillId="1572" borderId="0" xfId="0" applyFont="1" applyFill="1"/>
    <xf numFmtId="0" fontId="722" fillId="1573" borderId="0" xfId="0" applyFont="1" applyFill="1"/>
    <xf numFmtId="0" fontId="722" fillId="1574" borderId="0" xfId="0" applyFont="1" applyFill="1"/>
    <xf numFmtId="0" fontId="722" fillId="1575" borderId="0" xfId="0" applyFont="1" applyFill="1"/>
    <xf numFmtId="0" fontId="722" fillId="1576" borderId="0" xfId="0" applyFont="1" applyFill="1"/>
    <xf numFmtId="0" fontId="722" fillId="1577" borderId="0" xfId="0" applyFont="1" applyFill="1"/>
    <xf numFmtId="0" fontId="722" fillId="1578" borderId="0" xfId="0" applyFont="1" applyFill="1"/>
    <xf numFmtId="0" fontId="722" fillId="1579" borderId="0" xfId="0" applyFont="1" applyFill="1"/>
    <xf numFmtId="0" fontId="722" fillId="1580" borderId="0" xfId="0" applyFont="1" applyFill="1"/>
    <xf numFmtId="0" fontId="722" fillId="1581" borderId="0" xfId="0" applyFont="1" applyFill="1"/>
    <xf numFmtId="0" fontId="722" fillId="1582" borderId="0" xfId="0" applyFont="1" applyFill="1"/>
    <xf numFmtId="0" fontId="722" fillId="1583" borderId="0" xfId="0" applyFont="1" applyFill="1"/>
    <xf numFmtId="0" fontId="722" fillId="1584" borderId="0" xfId="0" applyFont="1" applyFill="1"/>
    <xf numFmtId="0" fontId="722" fillId="1585" borderId="0" xfId="0" applyFont="1" applyFill="1"/>
    <xf numFmtId="0" fontId="722" fillId="1586" borderId="0" xfId="0" applyFont="1" applyFill="1"/>
    <xf numFmtId="0" fontId="722" fillId="1587" borderId="0" xfId="0" applyFont="1" applyFill="1"/>
    <xf numFmtId="0" fontId="722" fillId="1588" borderId="0" xfId="0" applyFont="1" applyFill="1"/>
    <xf numFmtId="0" fontId="722" fillId="1589" borderId="0" xfId="0" applyFont="1" applyFill="1"/>
    <xf numFmtId="0" fontId="722" fillId="1590" borderId="0" xfId="0" applyFont="1" applyFill="1"/>
    <xf numFmtId="0" fontId="722" fillId="1591" borderId="0" xfId="0" applyFont="1" applyFill="1"/>
    <xf numFmtId="0" fontId="722" fillId="1592" borderId="0" xfId="0" applyFont="1" applyFill="1"/>
    <xf numFmtId="0" fontId="722" fillId="1593" borderId="0" xfId="0" applyFont="1" applyFill="1"/>
    <xf numFmtId="0" fontId="722" fillId="1594" borderId="0" xfId="0" applyFont="1" applyFill="1"/>
    <xf numFmtId="0" fontId="722" fillId="1595" borderId="0" xfId="0" applyFont="1" applyFill="1"/>
    <xf numFmtId="0" fontId="722" fillId="1596" borderId="0" xfId="0" applyFont="1" applyFill="1"/>
    <xf numFmtId="0" fontId="722" fillId="1597" borderId="0" xfId="0" applyFont="1" applyFill="1"/>
    <xf numFmtId="0" fontId="722" fillId="1598" borderId="0" xfId="0" applyFont="1" applyFill="1"/>
    <xf numFmtId="0" fontId="722" fillId="1599" borderId="0" xfId="0" applyFont="1" applyFill="1"/>
    <xf numFmtId="0" fontId="722" fillId="1600" borderId="0" xfId="0" applyFont="1" applyFill="1"/>
    <xf numFmtId="0" fontId="722" fillId="1601" borderId="0" xfId="0" applyFont="1" applyFill="1"/>
    <xf numFmtId="0" fontId="722" fillId="1602" borderId="0" xfId="0" applyFont="1" applyFill="1"/>
    <xf numFmtId="0" fontId="722" fillId="1603" borderId="0" xfId="0" applyFont="1" applyFill="1"/>
    <xf numFmtId="0" fontId="722" fillId="1604" borderId="0" xfId="0" applyFont="1" applyFill="1"/>
    <xf numFmtId="0" fontId="722" fillId="1605" borderId="0" xfId="0" applyFont="1" applyFill="1"/>
    <xf numFmtId="0" fontId="722" fillId="1606" borderId="0" xfId="0" applyFont="1" applyFill="1"/>
    <xf numFmtId="0" fontId="722" fillId="1607" borderId="0" xfId="0" applyFont="1" applyFill="1"/>
    <xf numFmtId="0" fontId="722" fillId="1608" borderId="0" xfId="0" applyFont="1" applyFill="1"/>
    <xf numFmtId="0" fontId="722" fillId="1609" borderId="0" xfId="0" applyFont="1" applyFill="1"/>
    <xf numFmtId="0" fontId="722" fillId="1610" borderId="0" xfId="0" applyFont="1" applyFill="1"/>
    <xf numFmtId="0" fontId="722" fillId="1611" borderId="0" xfId="0" applyFont="1" applyFill="1"/>
    <xf numFmtId="0" fontId="722" fillId="1612" borderId="0" xfId="0" applyFont="1" applyFill="1"/>
    <xf numFmtId="0" fontId="722" fillId="1613" borderId="0" xfId="0" applyFont="1" applyFill="1"/>
    <xf numFmtId="0" fontId="722" fillId="1614" borderId="0" xfId="0" applyFont="1" applyFill="1"/>
    <xf numFmtId="0" fontId="722" fillId="1615" borderId="0" xfId="0" applyFont="1" applyFill="1"/>
    <xf numFmtId="0" fontId="722" fillId="1616" borderId="0" xfId="0" applyFont="1" applyFill="1"/>
    <xf numFmtId="0" fontId="722" fillId="1617" borderId="0" xfId="0" applyFont="1" applyFill="1"/>
    <xf numFmtId="0" fontId="722" fillId="1618" borderId="0" xfId="0" applyFont="1" applyFill="1"/>
    <xf numFmtId="0" fontId="722" fillId="1619" borderId="0" xfId="0" applyFont="1" applyFill="1"/>
    <xf numFmtId="0" fontId="722" fillId="1620" borderId="0" xfId="0" applyFont="1" applyFill="1"/>
    <xf numFmtId="0" fontId="722" fillId="1621" borderId="0" xfId="0" applyFont="1" applyFill="1"/>
    <xf numFmtId="0" fontId="722" fillId="1622" borderId="0" xfId="0" applyFont="1" applyFill="1"/>
    <xf numFmtId="0" fontId="722" fillId="1623" borderId="0" xfId="0" applyFont="1" applyFill="1"/>
    <xf numFmtId="0" fontId="722" fillId="1624" borderId="0" xfId="0" applyFont="1" applyFill="1"/>
    <xf numFmtId="0" fontId="722" fillId="1625" borderId="0" xfId="0" applyFont="1" applyFill="1"/>
    <xf numFmtId="0" fontId="722" fillId="1626" borderId="0" xfId="0" applyFont="1" applyFill="1"/>
    <xf numFmtId="0" fontId="722" fillId="1627" borderId="0" xfId="0" applyFont="1" applyFill="1"/>
    <xf numFmtId="0" fontId="722" fillId="1628" borderId="0" xfId="0" applyFont="1" applyFill="1"/>
    <xf numFmtId="0" fontId="722" fillId="1629" borderId="0" xfId="0" applyFont="1" applyFill="1"/>
    <xf numFmtId="0" fontId="722" fillId="1630" borderId="0" xfId="0" applyFont="1" applyFill="1"/>
    <xf numFmtId="0" fontId="722" fillId="1631" borderId="0" xfId="0" applyFont="1" applyFill="1"/>
    <xf numFmtId="0" fontId="722" fillId="1632" borderId="0" xfId="0" applyFont="1" applyFill="1"/>
    <xf numFmtId="0" fontId="722" fillId="1633" borderId="0" xfId="0" applyFont="1" applyFill="1"/>
    <xf numFmtId="0" fontId="722" fillId="1634" borderId="0" xfId="0" applyFont="1" applyFill="1"/>
    <xf numFmtId="0" fontId="722" fillId="1635" borderId="0" xfId="0" applyFont="1" applyFill="1"/>
    <xf numFmtId="0" fontId="722" fillId="1636" borderId="0" xfId="0" applyFont="1" applyFill="1"/>
    <xf numFmtId="0" fontId="722" fillId="1637" borderId="0" xfId="0" applyFont="1" applyFill="1"/>
    <xf numFmtId="0" fontId="722" fillId="1638" borderId="0" xfId="0" applyFont="1" applyFill="1"/>
    <xf numFmtId="0" fontId="722" fillId="1639" borderId="0" xfId="0" applyFont="1" applyFill="1"/>
    <xf numFmtId="0" fontId="722" fillId="1640" borderId="0" xfId="0" applyFont="1" applyFill="1"/>
    <xf numFmtId="0" fontId="722" fillId="1641" borderId="0" xfId="0" applyFont="1" applyFill="1"/>
    <xf numFmtId="0" fontId="722" fillId="1642" borderId="0" xfId="0" applyFont="1" applyFill="1"/>
    <xf numFmtId="0" fontId="722" fillId="1643" borderId="0" xfId="0" applyFont="1" applyFill="1"/>
    <xf numFmtId="0" fontId="722" fillId="1644" borderId="0" xfId="0" applyFont="1" applyFill="1"/>
    <xf numFmtId="0" fontId="722" fillId="1645" borderId="0" xfId="0" applyFont="1" applyFill="1"/>
    <xf numFmtId="0" fontId="722" fillId="1646" borderId="0" xfId="0" applyFont="1" applyFill="1"/>
    <xf numFmtId="0" fontId="722" fillId="1647" borderId="0" xfId="0" applyFont="1" applyFill="1"/>
    <xf numFmtId="0" fontId="722" fillId="1648" borderId="0" xfId="0" applyFont="1" applyFill="1"/>
    <xf numFmtId="0" fontId="722" fillId="1649" borderId="0" xfId="0" applyFont="1" applyFill="1"/>
    <xf numFmtId="0" fontId="722" fillId="1650" borderId="0" xfId="0" applyFont="1" applyFill="1"/>
    <xf numFmtId="0" fontId="722" fillId="1651" borderId="0" xfId="0" applyFont="1" applyFill="1"/>
    <xf numFmtId="0" fontId="722" fillId="1652" borderId="0" xfId="0" applyFont="1" applyFill="1"/>
    <xf numFmtId="0" fontId="722" fillId="1653" borderId="0" xfId="0" applyFont="1" applyFill="1"/>
    <xf numFmtId="0" fontId="722" fillId="1654" borderId="0" xfId="0" applyFont="1" applyFill="1"/>
    <xf numFmtId="0" fontId="722" fillId="1655" borderId="0" xfId="0" applyFont="1" applyFill="1"/>
    <xf numFmtId="0" fontId="722" fillId="1656" borderId="0" xfId="0" applyFont="1" applyFill="1"/>
    <xf numFmtId="0" fontId="722" fillId="1657" borderId="0" xfId="0" applyFont="1" applyFill="1"/>
    <xf numFmtId="0" fontId="722" fillId="1658" borderId="0" xfId="0" applyFont="1" applyFill="1"/>
    <xf numFmtId="0" fontId="722" fillId="1659" borderId="0" xfId="0" applyFont="1" applyFill="1"/>
    <xf numFmtId="0" fontId="722" fillId="1660" borderId="0" xfId="0" applyFont="1" applyFill="1"/>
    <xf numFmtId="0" fontId="722" fillId="1661" borderId="0" xfId="0" applyFont="1" applyFill="1"/>
    <xf numFmtId="0" fontId="722" fillId="1662" borderId="0" xfId="0" applyFont="1" applyFill="1"/>
    <xf numFmtId="0" fontId="722" fillId="1663" borderId="0" xfId="0" applyFont="1" applyFill="1"/>
    <xf numFmtId="0" fontId="722" fillId="1664" borderId="0" xfId="0" applyFont="1" applyFill="1"/>
    <xf numFmtId="0" fontId="722" fillId="1665" borderId="0" xfId="0" applyFont="1" applyFill="1"/>
    <xf numFmtId="0" fontId="722" fillId="1666" borderId="0" xfId="0" applyFont="1" applyFill="1"/>
    <xf numFmtId="0" fontId="722" fillId="1667" borderId="0" xfId="0" applyFont="1" applyFill="1"/>
    <xf numFmtId="0" fontId="722" fillId="1668" borderId="0" xfId="0" applyFont="1" applyFill="1"/>
    <xf numFmtId="0" fontId="722" fillId="1669" borderId="0" xfId="0" applyFont="1" applyFill="1"/>
    <xf numFmtId="0" fontId="722" fillId="1670" borderId="0" xfId="0" applyFont="1" applyFill="1"/>
    <xf numFmtId="0" fontId="722" fillId="1671" borderId="0" xfId="0" applyFont="1" applyFill="1"/>
    <xf numFmtId="0" fontId="722" fillId="1672" borderId="0" xfId="0" applyFont="1" applyFill="1"/>
    <xf numFmtId="0" fontId="722" fillId="1673" borderId="0" xfId="0" applyFont="1" applyFill="1"/>
    <xf numFmtId="0" fontId="722" fillId="1674" borderId="0" xfId="0" applyFont="1" applyFill="1"/>
    <xf numFmtId="0" fontId="722" fillId="1675" borderId="0" xfId="0" applyFont="1" applyFill="1"/>
    <xf numFmtId="0" fontId="722" fillId="1676" borderId="0" xfId="0" applyFont="1" applyFill="1"/>
    <xf numFmtId="0" fontId="722" fillId="1677" borderId="0" xfId="0" applyFont="1" applyFill="1"/>
    <xf numFmtId="0" fontId="722" fillId="1678" borderId="0" xfId="0" applyFont="1" applyFill="1"/>
    <xf numFmtId="0" fontId="722" fillId="1679" borderId="0" xfId="0" applyFont="1" applyFill="1"/>
    <xf numFmtId="0" fontId="722" fillId="1680" borderId="0" xfId="0" applyFont="1" applyFill="1"/>
    <xf numFmtId="0" fontId="722" fillId="1681" borderId="0" xfId="0" applyFont="1" applyFill="1"/>
    <xf numFmtId="0" fontId="722" fillId="1682" borderId="0" xfId="0" applyFont="1" applyFill="1"/>
    <xf numFmtId="0" fontId="722" fillId="1683" borderId="0" xfId="0" applyFont="1" applyFill="1"/>
    <xf numFmtId="0" fontId="722" fillId="1684" borderId="0" xfId="0" applyFont="1" applyFill="1"/>
    <xf numFmtId="0" fontId="722" fillId="1685" borderId="0" xfId="0" applyFont="1" applyFill="1"/>
    <xf numFmtId="0" fontId="722" fillId="1686" borderId="0" xfId="0" applyFont="1" applyFill="1"/>
    <xf numFmtId="0" fontId="722" fillId="1687" borderId="0" xfId="0" applyFont="1" applyFill="1"/>
    <xf numFmtId="0" fontId="722" fillId="1688" borderId="0" xfId="0" applyFont="1" applyFill="1"/>
    <xf numFmtId="0" fontId="722" fillId="1689" borderId="0" xfId="0" applyFont="1" applyFill="1"/>
    <xf numFmtId="0" fontId="722" fillId="1690" borderId="0" xfId="0" applyFont="1" applyFill="1"/>
    <xf numFmtId="0" fontId="722" fillId="1691" borderId="0" xfId="0" applyFont="1" applyFill="1"/>
    <xf numFmtId="0" fontId="722" fillId="1692" borderId="0" xfId="0" applyFont="1" applyFill="1"/>
    <xf numFmtId="0" fontId="722" fillId="1693" borderId="0" xfId="0" applyFont="1" applyFill="1"/>
    <xf numFmtId="0" fontId="722" fillId="1694" borderId="0" xfId="0" applyFont="1" applyFill="1"/>
    <xf numFmtId="0" fontId="722" fillId="1695" borderId="0" xfId="0" applyFont="1" applyFill="1"/>
    <xf numFmtId="0" fontId="722" fillId="1696" borderId="0" xfId="0" applyFont="1" applyFill="1"/>
    <xf numFmtId="0" fontId="722" fillId="1697" borderId="0" xfId="0" applyFont="1" applyFill="1"/>
    <xf numFmtId="0" fontId="722" fillId="1698" borderId="0" xfId="0" applyFont="1" applyFill="1"/>
    <xf numFmtId="0" fontId="722" fillId="1699" borderId="0" xfId="0" applyFont="1" applyFill="1"/>
    <xf numFmtId="0" fontId="722" fillId="1700" borderId="0" xfId="0" applyFont="1" applyFill="1"/>
    <xf numFmtId="0" fontId="722" fillId="1701" borderId="0" xfId="0" applyFont="1" applyFill="1"/>
    <xf numFmtId="0" fontId="722" fillId="1702" borderId="0" xfId="0" applyFont="1" applyFill="1"/>
    <xf numFmtId="0" fontId="722" fillId="1703" borderId="0" xfId="0" applyFont="1" applyFill="1"/>
    <xf numFmtId="0" fontId="722" fillId="1704" borderId="0" xfId="0" applyFont="1" applyFill="1"/>
    <xf numFmtId="0" fontId="722" fillId="1705" borderId="0" xfId="0" applyFont="1" applyFill="1"/>
    <xf numFmtId="0" fontId="722" fillId="1706" borderId="0" xfId="0" applyFont="1" applyFill="1"/>
    <xf numFmtId="0" fontId="722" fillId="1707" borderId="0" xfId="0" applyFont="1" applyFill="1"/>
    <xf numFmtId="0" fontId="722" fillId="1708" borderId="0" xfId="0" applyFont="1" applyFill="1"/>
    <xf numFmtId="0" fontId="722" fillId="1709" borderId="0" xfId="0" applyFont="1" applyFill="1"/>
    <xf numFmtId="0" fontId="722" fillId="1710" borderId="0" xfId="0" applyFont="1" applyFill="1"/>
    <xf numFmtId="0" fontId="722" fillId="1711" borderId="0" xfId="0" applyFont="1" applyFill="1"/>
    <xf numFmtId="0" fontId="722" fillId="1712" borderId="0" xfId="0" applyFont="1" applyFill="1"/>
    <xf numFmtId="0" fontId="722" fillId="1713" borderId="0" xfId="0" applyFont="1" applyFill="1"/>
    <xf numFmtId="0" fontId="722" fillId="1714" borderId="0" xfId="0" applyFont="1" applyFill="1"/>
    <xf numFmtId="0" fontId="722" fillId="1715" borderId="0" xfId="0" applyFont="1" applyFill="1"/>
    <xf numFmtId="0" fontId="722" fillId="1716" borderId="0" xfId="0" applyFont="1" applyFill="1"/>
    <xf numFmtId="0" fontId="722" fillId="1717" borderId="0" xfId="0" applyFont="1" applyFill="1"/>
    <xf numFmtId="0" fontId="722" fillId="1718" borderId="0" xfId="0" applyFont="1" applyFill="1"/>
    <xf numFmtId="0" fontId="722" fillId="1719" borderId="0" xfId="0" applyFont="1" applyFill="1"/>
    <xf numFmtId="0" fontId="722" fillId="1720" borderId="0" xfId="0" applyFont="1" applyFill="1"/>
    <xf numFmtId="0" fontId="722" fillId="1721" borderId="0" xfId="0" applyFont="1" applyFill="1"/>
    <xf numFmtId="0" fontId="722" fillId="1722" borderId="0" xfId="0" applyFont="1" applyFill="1"/>
    <xf numFmtId="0" fontId="722" fillId="1723" borderId="0" xfId="0" applyFont="1" applyFill="1"/>
    <xf numFmtId="0" fontId="722" fillId="1724" borderId="0" xfId="0" applyFont="1" applyFill="1"/>
    <xf numFmtId="0" fontId="722" fillId="1725" borderId="0" xfId="0" applyFont="1" applyFill="1"/>
    <xf numFmtId="0" fontId="722" fillId="1726" borderId="0" xfId="0" applyFont="1" applyFill="1"/>
    <xf numFmtId="0" fontId="722" fillId="1727" borderId="0" xfId="0" applyFont="1" applyFill="1"/>
    <xf numFmtId="0" fontId="722" fillId="1728" borderId="0" xfId="0" applyFont="1" applyFill="1"/>
    <xf numFmtId="0" fontId="722" fillId="1729" borderId="0" xfId="0" applyFont="1" applyFill="1"/>
    <xf numFmtId="0" fontId="722" fillId="1730" borderId="0" xfId="0" applyFont="1" applyFill="1"/>
    <xf numFmtId="0" fontId="722" fillId="1731" borderId="0" xfId="0" applyFont="1" applyFill="1"/>
    <xf numFmtId="0" fontId="722" fillId="1732" borderId="0" xfId="0" applyFont="1" applyFill="1"/>
    <xf numFmtId="0" fontId="722" fillId="1733" borderId="0" xfId="0" applyFont="1" applyFill="1"/>
    <xf numFmtId="0" fontId="722" fillId="1734" borderId="0" xfId="0" applyFont="1" applyFill="1"/>
    <xf numFmtId="0" fontId="722" fillId="1735" borderId="0" xfId="0" applyFont="1" applyFill="1"/>
    <xf numFmtId="0" fontId="722" fillId="1736" borderId="0" xfId="0" applyFont="1" applyFill="1"/>
    <xf numFmtId="0" fontId="722" fillId="1737" borderId="0" xfId="0" applyFont="1" applyFill="1"/>
    <xf numFmtId="0" fontId="722" fillId="1738" borderId="0" xfId="0" applyFont="1" applyFill="1"/>
    <xf numFmtId="0" fontId="722" fillId="1739" borderId="0" xfId="0" applyFont="1" applyFill="1"/>
    <xf numFmtId="0" fontId="722" fillId="1740" borderId="0" xfId="0" applyFont="1" applyFill="1"/>
    <xf numFmtId="0" fontId="722" fillId="1741" borderId="0" xfId="0" applyFont="1" applyFill="1"/>
    <xf numFmtId="0" fontId="722" fillId="1742" borderId="0" xfId="0" applyFont="1" applyFill="1"/>
    <xf numFmtId="0" fontId="722" fillId="1743" borderId="0" xfId="0" applyFont="1" applyFill="1"/>
    <xf numFmtId="0" fontId="722" fillId="1744" borderId="0" xfId="0" applyFont="1" applyFill="1"/>
    <xf numFmtId="0" fontId="722" fillId="1745" borderId="0" xfId="0" applyFont="1" applyFill="1"/>
    <xf numFmtId="0" fontId="722" fillId="1746" borderId="0" xfId="0" applyFont="1" applyFill="1"/>
    <xf numFmtId="0" fontId="722" fillId="1747" borderId="0" xfId="0" applyFont="1" applyFill="1"/>
    <xf numFmtId="0" fontId="722" fillId="1748" borderId="0" xfId="0" applyFont="1" applyFill="1"/>
    <xf numFmtId="0" fontId="722" fillId="1749" borderId="0" xfId="0" applyFont="1" applyFill="1"/>
    <xf numFmtId="0" fontId="722" fillId="1750" borderId="0" xfId="0" applyFont="1" applyFill="1"/>
    <xf numFmtId="0" fontId="722" fillId="1751" borderId="0" xfId="0" applyFont="1" applyFill="1"/>
    <xf numFmtId="0" fontId="722" fillId="1752" borderId="0" xfId="0" applyFont="1" applyFill="1"/>
    <xf numFmtId="0" fontId="722" fillId="968" borderId="0" xfId="0" applyFont="1" applyFill="1"/>
    <xf numFmtId="0" fontId="722" fillId="1753" borderId="0" xfId="0" applyFont="1" applyFill="1"/>
    <xf numFmtId="0" fontId="722" fillId="1754" borderId="0" xfId="0" applyFont="1" applyFill="1"/>
    <xf numFmtId="0" fontId="722" fillId="1755" borderId="0" xfId="0" applyFont="1" applyFill="1"/>
    <xf numFmtId="0" fontId="722" fillId="1756" borderId="0" xfId="0" applyFont="1" applyFill="1"/>
    <xf numFmtId="0" fontId="722" fillId="1757" borderId="0" xfId="0" applyFont="1" applyFill="1"/>
    <xf numFmtId="0" fontId="722" fillId="1758" borderId="0" xfId="0" applyFont="1" applyFill="1"/>
    <xf numFmtId="0" fontId="722" fillId="1759" borderId="0" xfId="0" applyFont="1" applyFill="1"/>
    <xf numFmtId="0" fontId="722" fillId="1760" borderId="0" xfId="0" applyFont="1" applyFill="1"/>
    <xf numFmtId="0" fontId="722" fillId="1761" borderId="0" xfId="0" applyFont="1" applyFill="1"/>
    <xf numFmtId="0" fontId="722" fillId="1762" borderId="0" xfId="0" applyFont="1" applyFill="1"/>
    <xf numFmtId="0" fontId="722" fillId="1763" borderId="0" xfId="0" applyFont="1" applyFill="1"/>
    <xf numFmtId="0" fontId="722" fillId="1764" borderId="0" xfId="0" applyFont="1" applyFill="1"/>
    <xf numFmtId="0" fontId="722" fillId="1765" borderId="0" xfId="0" applyFont="1" applyFill="1"/>
    <xf numFmtId="0" fontId="722" fillId="1766" borderId="0" xfId="0" applyFont="1" applyFill="1"/>
    <xf numFmtId="0" fontId="722" fillId="1767" borderId="0" xfId="0" applyFont="1" applyFill="1"/>
    <xf numFmtId="0" fontId="722" fillId="1768" borderId="0" xfId="0" applyFont="1" applyFill="1"/>
    <xf numFmtId="0" fontId="722" fillId="1769" borderId="0" xfId="0" applyFont="1" applyFill="1"/>
    <xf numFmtId="0" fontId="722" fillId="1770" borderId="0" xfId="0" applyFont="1" applyFill="1"/>
    <xf numFmtId="0" fontId="722" fillId="1771" borderId="0" xfId="0" applyFont="1" applyFill="1"/>
    <xf numFmtId="0" fontId="722" fillId="1772" borderId="0" xfId="0" applyFont="1" applyFill="1"/>
    <xf numFmtId="0" fontId="722" fillId="1773" borderId="0" xfId="0" applyFont="1" applyFill="1"/>
    <xf numFmtId="0" fontId="722" fillId="1774" borderId="0" xfId="0" applyFont="1" applyFill="1"/>
    <xf numFmtId="0" fontId="722" fillId="1775" borderId="0" xfId="0" applyFont="1" applyFill="1"/>
    <xf numFmtId="0" fontId="722" fillId="1776" borderId="0" xfId="0" applyFont="1" applyFill="1"/>
    <xf numFmtId="0" fontId="722" fillId="1777" borderId="0" xfId="0" applyFont="1" applyFill="1"/>
    <xf numFmtId="0" fontId="722" fillId="1778" borderId="0" xfId="0" applyFont="1" applyFill="1"/>
    <xf numFmtId="0" fontId="722" fillId="1779" borderId="0" xfId="0" applyFont="1" applyFill="1"/>
    <xf numFmtId="0" fontId="722" fillId="1780" borderId="0" xfId="0" applyFont="1" applyFill="1"/>
    <xf numFmtId="0" fontId="722" fillId="1781" borderId="0" xfId="0" applyFont="1" applyFill="1"/>
    <xf numFmtId="0" fontId="722" fillId="1782" borderId="0" xfId="0" applyFont="1" applyFill="1"/>
    <xf numFmtId="0" fontId="722" fillId="1783" borderId="0" xfId="0" applyFont="1" applyFill="1"/>
    <xf numFmtId="0" fontId="722" fillId="119" borderId="0" xfId="0" applyFont="1" applyFill="1"/>
    <xf numFmtId="0" fontId="722" fillId="1784" borderId="0" xfId="0" applyFont="1" applyFill="1"/>
    <xf numFmtId="0" fontId="722" fillId="1785" borderId="0" xfId="0" applyFont="1" applyFill="1"/>
    <xf numFmtId="0" fontId="722" fillId="1786" borderId="0" xfId="0" applyFont="1" applyFill="1"/>
    <xf numFmtId="0" fontId="722" fillId="1787" borderId="0" xfId="0" applyFont="1" applyFill="1"/>
    <xf numFmtId="0" fontId="722" fillId="1788" borderId="0" xfId="0" applyFont="1" applyFill="1"/>
    <xf numFmtId="0" fontId="722" fillId="1789" borderId="0" xfId="0" applyFont="1" applyFill="1"/>
    <xf numFmtId="0" fontId="722" fillId="1790" borderId="0" xfId="0" applyFont="1" applyFill="1"/>
    <xf numFmtId="0" fontId="722" fillId="1791" borderId="0" xfId="0" applyFont="1" applyFill="1"/>
    <xf numFmtId="0" fontId="722" fillId="1792" borderId="0" xfId="0" applyFont="1" applyFill="1"/>
    <xf numFmtId="0" fontId="722" fillId="1793" borderId="0" xfId="0" applyFont="1" applyFill="1"/>
    <xf numFmtId="0" fontId="722" fillId="1794" borderId="0" xfId="0" applyFont="1" applyFill="1"/>
    <xf numFmtId="0" fontId="722" fillId="1795" borderId="0" xfId="0" applyFont="1" applyFill="1"/>
    <xf numFmtId="0" fontId="722" fillId="1796" borderId="0" xfId="0" applyFont="1" applyFill="1"/>
    <xf numFmtId="0" fontId="722" fillId="1797" borderId="0" xfId="0" applyFont="1" applyFill="1"/>
    <xf numFmtId="0" fontId="722" fillId="1798" borderId="0" xfId="0" applyFont="1" applyFill="1"/>
    <xf numFmtId="0" fontId="722" fillId="1799" borderId="0" xfId="0" applyFont="1" applyFill="1"/>
    <xf numFmtId="0" fontId="722" fillId="1800" borderId="0" xfId="0" applyFont="1" applyFill="1"/>
    <xf numFmtId="0" fontId="722" fillId="1801" borderId="0" xfId="0" applyFont="1" applyFill="1"/>
    <xf numFmtId="0" fontId="722" fillId="1802" borderId="0" xfId="0" applyFont="1" applyFill="1"/>
    <xf numFmtId="0" fontId="722" fillId="1803" borderId="0" xfId="0" applyFont="1" applyFill="1"/>
    <xf numFmtId="0" fontId="722" fillId="1804" borderId="0" xfId="0" applyFont="1" applyFill="1"/>
    <xf numFmtId="0" fontId="722" fillId="1088" borderId="0" xfId="0" applyFont="1" applyFill="1"/>
    <xf numFmtId="0" fontId="722" fillId="1805" borderId="0" xfId="0" applyFont="1" applyFill="1"/>
    <xf numFmtId="0" fontId="722" fillId="1806" borderId="0" xfId="0" applyFont="1" applyFill="1"/>
    <xf numFmtId="0" fontId="722" fillId="1807" borderId="0" xfId="0" applyFont="1" applyFill="1"/>
    <xf numFmtId="0" fontId="722" fillId="1808" borderId="0" xfId="0" applyFont="1" applyFill="1"/>
    <xf numFmtId="0" fontId="722" fillId="1809" borderId="0" xfId="0" applyFont="1" applyFill="1"/>
    <xf numFmtId="0" fontId="722" fillId="1810" borderId="0" xfId="0" applyFont="1" applyFill="1"/>
    <xf numFmtId="0" fontId="722" fillId="1811" borderId="0" xfId="0" applyFont="1" applyFill="1"/>
    <xf numFmtId="0" fontId="722" fillId="1812" borderId="0" xfId="0" applyFont="1" applyFill="1"/>
    <xf numFmtId="0" fontId="722" fillId="1813" borderId="0" xfId="0" applyFont="1" applyFill="1"/>
    <xf numFmtId="0" fontId="722" fillId="1814" borderId="0" xfId="0" applyFont="1" applyFill="1"/>
    <xf numFmtId="0" fontId="722" fillId="1815" borderId="0" xfId="0" applyFont="1" applyFill="1"/>
    <xf numFmtId="0" fontId="722" fillId="1816" borderId="0" xfId="0" applyFont="1" applyFill="1"/>
    <xf numFmtId="0" fontId="722" fillId="1817" borderId="0" xfId="0" applyFont="1" applyFill="1"/>
    <xf numFmtId="0" fontId="722" fillId="1818" borderId="0" xfId="0" applyFont="1" applyFill="1"/>
    <xf numFmtId="0" fontId="722" fillId="1819" borderId="0" xfId="0" applyFont="1" applyFill="1"/>
    <xf numFmtId="0" fontId="722" fillId="1820" borderId="0" xfId="0" applyFont="1" applyFill="1"/>
    <xf numFmtId="0" fontId="722" fillId="1821" borderId="0" xfId="0" applyFont="1" applyFill="1"/>
    <xf numFmtId="0" fontId="722" fillId="1822" borderId="0" xfId="0" applyFont="1" applyFill="1"/>
    <xf numFmtId="0" fontId="722" fillId="1823" borderId="0" xfId="0" applyFont="1" applyFill="1"/>
    <xf numFmtId="0" fontId="722" fillId="1824" borderId="0" xfId="0" applyFont="1" applyFill="1"/>
    <xf numFmtId="0" fontId="722" fillId="1825" borderId="0" xfId="0" applyFont="1" applyFill="1"/>
    <xf numFmtId="0" fontId="722" fillId="1826" borderId="0" xfId="0" applyFont="1" applyFill="1"/>
    <xf numFmtId="0" fontId="722" fillId="1827" borderId="0" xfId="0" applyFont="1" applyFill="1"/>
    <xf numFmtId="0" fontId="722" fillId="1828" borderId="0" xfId="0" applyFont="1" applyFill="1"/>
    <xf numFmtId="0" fontId="722" fillId="1829" borderId="0" xfId="0" applyFont="1" applyFill="1"/>
    <xf numFmtId="0" fontId="722" fillId="1830" borderId="0" xfId="0" applyFont="1" applyFill="1"/>
    <xf numFmtId="0" fontId="722" fillId="137" borderId="0" xfId="0" applyFont="1" applyFill="1"/>
    <xf numFmtId="0" fontId="722" fillId="1831" borderId="0" xfId="0" applyFont="1" applyFill="1"/>
    <xf numFmtId="0" fontId="722" fillId="1832" borderId="0" xfId="0" applyFont="1" applyFill="1"/>
    <xf numFmtId="0" fontId="722" fillId="1833" borderId="0" xfId="0" applyFont="1" applyFill="1"/>
    <xf numFmtId="0" fontId="722" fillId="1834" borderId="0" xfId="0" applyFont="1" applyFill="1"/>
    <xf numFmtId="0" fontId="722" fillId="1835" borderId="0" xfId="0" applyFont="1" applyFill="1"/>
    <xf numFmtId="0" fontId="722" fillId="1836" borderId="0" xfId="0" applyFont="1" applyFill="1"/>
    <xf numFmtId="0" fontId="722" fillId="1837" borderId="0" xfId="0" applyFont="1" applyFill="1"/>
    <xf numFmtId="0" fontId="722" fillId="1838" borderId="0" xfId="0" applyFont="1" applyFill="1"/>
    <xf numFmtId="0" fontId="722" fillId="1839" borderId="0" xfId="0" applyFont="1" applyFill="1"/>
    <xf numFmtId="0" fontId="722" fillId="1840" borderId="0" xfId="0" applyFont="1" applyFill="1"/>
    <xf numFmtId="0" fontId="722" fillId="1841" borderId="0" xfId="0" applyFont="1" applyFill="1"/>
    <xf numFmtId="0" fontId="722" fillId="1842" borderId="0" xfId="0" applyFont="1" applyFill="1"/>
    <xf numFmtId="0" fontId="722" fillId="1843" borderId="0" xfId="0" applyFont="1" applyFill="1"/>
    <xf numFmtId="0" fontId="722" fillId="1844" borderId="0" xfId="0" applyFont="1" applyFill="1"/>
    <xf numFmtId="0" fontId="722" fillId="1845" borderId="0" xfId="0" applyFont="1" applyFill="1"/>
    <xf numFmtId="0" fontId="722" fillId="1846" borderId="0" xfId="0" applyFont="1" applyFill="1"/>
    <xf numFmtId="0" fontId="722" fillId="1847" borderId="0" xfId="0" applyFont="1" applyFill="1"/>
    <xf numFmtId="0" fontId="722" fillId="1848" borderId="0" xfId="0" applyFont="1" applyFill="1"/>
    <xf numFmtId="0" fontId="722" fillId="1849" borderId="0" xfId="0" applyFont="1" applyFill="1"/>
    <xf numFmtId="0" fontId="722" fillId="1850" borderId="0" xfId="0" applyFont="1" applyFill="1"/>
    <xf numFmtId="0" fontId="722" fillId="1851" borderId="0" xfId="0" applyFont="1" applyFill="1"/>
    <xf numFmtId="0" fontId="722" fillId="1852" borderId="0" xfId="0" applyFont="1" applyFill="1"/>
    <xf numFmtId="0" fontId="722" fillId="1853" borderId="0" xfId="0" applyFont="1" applyFill="1"/>
    <xf numFmtId="0" fontId="722" fillId="1854" borderId="0" xfId="0" applyFont="1" applyFill="1"/>
    <xf numFmtId="0" fontId="722" fillId="1855" borderId="0" xfId="0" applyFont="1" applyFill="1"/>
    <xf numFmtId="0" fontId="722" fillId="1856" borderId="0" xfId="0" applyFont="1" applyFill="1"/>
    <xf numFmtId="0" fontId="722" fillId="1857" borderId="0" xfId="0" applyFont="1" applyFill="1"/>
    <xf numFmtId="0" fontId="722" fillId="1858" borderId="0" xfId="0" applyFont="1" applyFill="1"/>
    <xf numFmtId="0" fontId="722" fillId="1859" borderId="0" xfId="0" applyFont="1" applyFill="1"/>
    <xf numFmtId="0" fontId="722" fillId="1860" borderId="0" xfId="0" applyFont="1" applyFill="1"/>
    <xf numFmtId="0" fontId="722" fillId="1861" borderId="0" xfId="0" applyFont="1" applyFill="1"/>
    <xf numFmtId="0" fontId="722" fillId="1862" borderId="0" xfId="0" applyFont="1" applyFill="1"/>
    <xf numFmtId="0" fontId="722" fillId="1863" borderId="0" xfId="0" applyFont="1" applyFill="1"/>
    <xf numFmtId="0" fontId="722" fillId="1864" borderId="0" xfId="0" applyFont="1" applyFill="1"/>
    <xf numFmtId="0" fontId="722" fillId="1865" borderId="0" xfId="0" applyFont="1" applyFill="1"/>
    <xf numFmtId="0" fontId="722" fillId="1866" borderId="0" xfId="0" applyFont="1" applyFill="1"/>
    <xf numFmtId="0" fontId="722" fillId="1867" borderId="0" xfId="0" applyFont="1" applyFill="1"/>
    <xf numFmtId="0" fontId="722" fillId="1868" borderId="0" xfId="0" applyFont="1" applyFill="1"/>
    <xf numFmtId="0" fontId="722" fillId="1869" borderId="0" xfId="0" applyFont="1" applyFill="1"/>
    <xf numFmtId="0" fontId="722" fillId="1870" borderId="0" xfId="0" applyFont="1" applyFill="1"/>
    <xf numFmtId="0" fontId="722" fillId="1871" borderId="0" xfId="0" applyFont="1" applyFill="1"/>
    <xf numFmtId="0" fontId="722" fillId="1872" borderId="0" xfId="0" applyFont="1" applyFill="1"/>
    <xf numFmtId="0" fontId="722" fillId="1873" borderId="0" xfId="0" applyFont="1" applyFill="1"/>
    <xf numFmtId="0" fontId="722" fillId="122" borderId="0" xfId="0" applyFont="1" applyFill="1"/>
    <xf numFmtId="0" fontId="722" fillId="1874" borderId="0" xfId="0" applyFont="1" applyFill="1"/>
    <xf numFmtId="0" fontId="722" fillId="1875" borderId="0" xfId="0" applyFont="1" applyFill="1"/>
    <xf numFmtId="0" fontId="722" fillId="1876" borderId="0" xfId="0" applyFont="1" applyFill="1"/>
    <xf numFmtId="0" fontId="722" fillId="1877" borderId="0" xfId="0" applyFont="1" applyFill="1"/>
    <xf numFmtId="0" fontId="722" fillId="1878" borderId="0" xfId="0" applyFont="1" applyFill="1"/>
    <xf numFmtId="0" fontId="722" fillId="1879" borderId="0" xfId="0" applyFont="1" applyFill="1"/>
    <xf numFmtId="0" fontId="722" fillId="1880" borderId="0" xfId="0" applyFont="1" applyFill="1"/>
    <xf numFmtId="0" fontId="722" fillId="1881" borderId="0" xfId="0" applyFont="1" applyFill="1"/>
    <xf numFmtId="0" fontId="722" fillId="1882" borderId="0" xfId="0" applyFont="1" applyFill="1"/>
    <xf numFmtId="0" fontId="722" fillId="1883" borderId="0" xfId="0" applyFont="1" applyFill="1"/>
    <xf numFmtId="0" fontId="722" fillId="1884" borderId="0" xfId="0" applyFont="1" applyFill="1"/>
    <xf numFmtId="0" fontId="722" fillId="1885" borderId="0" xfId="0" applyFont="1" applyFill="1"/>
    <xf numFmtId="0" fontId="722" fillId="1886" borderId="0" xfId="0" applyFont="1" applyFill="1"/>
    <xf numFmtId="0" fontId="722" fillId="1887" borderId="0" xfId="0" applyFont="1" applyFill="1"/>
    <xf numFmtId="0" fontId="722" fillId="1888" borderId="0" xfId="0" applyFont="1" applyFill="1"/>
    <xf numFmtId="0" fontId="722" fillId="1889" borderId="0" xfId="0" applyFont="1" applyFill="1"/>
    <xf numFmtId="0" fontId="722" fillId="1890" borderId="0" xfId="0" applyFont="1" applyFill="1"/>
    <xf numFmtId="0" fontId="722" fillId="1891" borderId="0" xfId="0" applyFont="1" applyFill="1"/>
    <xf numFmtId="0" fontId="722" fillId="1892" borderId="0" xfId="0" applyFont="1" applyFill="1"/>
    <xf numFmtId="0" fontId="722" fillId="1893" borderId="0" xfId="0" applyFont="1" applyFill="1"/>
    <xf numFmtId="0" fontId="722" fillId="1894" borderId="0" xfId="0" applyFont="1" applyFill="1"/>
    <xf numFmtId="0" fontId="722" fillId="1895" borderId="0" xfId="0" applyFont="1" applyFill="1"/>
    <xf numFmtId="0" fontId="722" fillId="1896" borderId="0" xfId="0" applyFont="1" applyFill="1"/>
    <xf numFmtId="0" fontId="722" fillId="1897" borderId="0" xfId="0" applyFont="1" applyFill="1"/>
    <xf numFmtId="0" fontId="722" fillId="1898" borderId="0" xfId="0" applyFont="1" applyFill="1"/>
    <xf numFmtId="0" fontId="722" fillId="1899" borderId="0" xfId="0" applyFont="1" applyFill="1"/>
    <xf numFmtId="0" fontId="722" fillId="1900" borderId="0" xfId="0" applyFont="1" applyFill="1"/>
    <xf numFmtId="0" fontId="722" fillId="1901" borderId="0" xfId="0" applyFont="1" applyFill="1"/>
    <xf numFmtId="0" fontId="722" fillId="1902" borderId="0" xfId="0" applyFont="1" applyFill="1"/>
    <xf numFmtId="0" fontId="722" fillId="1903" borderId="0" xfId="0" applyFont="1" applyFill="1"/>
    <xf numFmtId="0" fontId="722" fillId="1904" borderId="0" xfId="0" applyFont="1" applyFill="1"/>
    <xf numFmtId="0" fontId="722" fillId="1905" borderId="0" xfId="0" applyFont="1" applyFill="1"/>
    <xf numFmtId="0" fontId="722" fillId="1906" borderId="0" xfId="0" applyFont="1" applyFill="1"/>
    <xf numFmtId="0" fontId="722" fillId="1907" borderId="0" xfId="0" applyFont="1" applyFill="1"/>
    <xf numFmtId="0" fontId="722" fillId="1908" borderId="0" xfId="0" applyFont="1" applyFill="1"/>
    <xf numFmtId="0" fontId="722" fillId="1909" borderId="0" xfId="0" applyFont="1" applyFill="1"/>
    <xf numFmtId="0" fontId="722" fillId="1910" borderId="0" xfId="0" applyFont="1" applyFill="1"/>
    <xf numFmtId="0" fontId="722" fillId="1911" borderId="0" xfId="0" applyFont="1" applyFill="1"/>
    <xf numFmtId="0" fontId="722" fillId="1912" borderId="0" xfId="0" applyFont="1" applyFill="1"/>
    <xf numFmtId="0" fontId="722" fillId="1913" borderId="0" xfId="0" applyFont="1" applyFill="1"/>
    <xf numFmtId="0" fontId="722" fillId="1914" borderId="0" xfId="0" applyFont="1" applyFill="1"/>
    <xf numFmtId="0" fontId="722" fillId="1915" borderId="0" xfId="0" applyFont="1" applyFill="1"/>
    <xf numFmtId="0" fontId="722" fillId="1916" borderId="0" xfId="0" applyFont="1" applyFill="1"/>
    <xf numFmtId="0" fontId="722" fillId="1917" borderId="0" xfId="0" applyFont="1" applyFill="1"/>
    <xf numFmtId="0" fontId="722" fillId="1918" borderId="0" xfId="0" applyFont="1" applyFill="1"/>
    <xf numFmtId="0" fontId="722" fillId="1919" borderId="0" xfId="0" applyFont="1" applyFill="1"/>
    <xf numFmtId="0" fontId="722" fillId="1920" borderId="0" xfId="0" applyFont="1" applyFill="1"/>
    <xf numFmtId="0" fontId="722" fillId="1921" borderId="0" xfId="0" applyFont="1" applyFill="1"/>
    <xf numFmtId="0" fontId="722" fillId="1922" borderId="0" xfId="0" applyFont="1" applyFill="1"/>
    <xf numFmtId="0" fontId="722" fillId="1923" borderId="0" xfId="0" applyFont="1" applyFill="1"/>
    <xf numFmtId="0" fontId="722" fillId="1924" borderId="0" xfId="0" applyFont="1" applyFill="1"/>
    <xf numFmtId="0" fontId="722" fillId="1925" borderId="0" xfId="0" applyFont="1" applyFill="1"/>
    <xf numFmtId="0" fontId="722" fillId="1926" borderId="0" xfId="0" applyFont="1" applyFill="1"/>
    <xf numFmtId="0" fontId="722" fillId="1927" borderId="0" xfId="0" applyFont="1" applyFill="1"/>
    <xf numFmtId="0" fontId="722" fillId="1928" borderId="0" xfId="0" applyFont="1" applyFill="1"/>
    <xf numFmtId="0" fontId="722" fillId="1929" borderId="0" xfId="0" applyFont="1" applyFill="1"/>
    <xf numFmtId="0" fontId="722" fillId="1930" borderId="0" xfId="0" applyFont="1" applyFill="1"/>
    <xf numFmtId="0" fontId="722" fillId="1931" borderId="0" xfId="0" applyFont="1" applyFill="1"/>
    <xf numFmtId="0" fontId="722" fillId="1932" borderId="0" xfId="0" applyFont="1" applyFill="1"/>
    <xf numFmtId="0" fontId="722" fillId="1933" borderId="0" xfId="0" applyFont="1" applyFill="1"/>
    <xf numFmtId="0" fontId="722" fillId="1934" borderId="0" xfId="0" applyFont="1" applyFill="1"/>
    <xf numFmtId="0" fontId="722" fillId="1935" borderId="0" xfId="0" applyFont="1" applyFill="1"/>
    <xf numFmtId="0" fontId="722" fillId="1936" borderId="0" xfId="0" applyFont="1" applyFill="1"/>
    <xf numFmtId="0" fontId="722" fillId="1937" borderId="0" xfId="0" applyFont="1" applyFill="1"/>
    <xf numFmtId="0" fontId="722" fillId="1938" borderId="0" xfId="0" applyFont="1" applyFill="1"/>
    <xf numFmtId="0" fontId="722" fillId="1939" borderId="0" xfId="0" applyFont="1" applyFill="1"/>
    <xf numFmtId="0" fontId="722" fillId="1940" borderId="0" xfId="0" applyFont="1" applyFill="1"/>
    <xf numFmtId="0" fontId="722" fillId="1941" borderId="0" xfId="0" applyFont="1" applyFill="1"/>
    <xf numFmtId="0" fontId="722" fillId="1942" borderId="0" xfId="0" applyFont="1" applyFill="1"/>
    <xf numFmtId="0" fontId="722" fillId="1943" borderId="0" xfId="0" applyFont="1" applyFill="1"/>
    <xf numFmtId="0" fontId="722" fillId="1944" borderId="0" xfId="0" applyFont="1" applyFill="1"/>
    <xf numFmtId="0" fontId="722" fillId="1945" borderId="0" xfId="0" applyFont="1" applyFill="1"/>
    <xf numFmtId="0" fontId="722" fillId="1946" borderId="0" xfId="0" applyFont="1" applyFill="1"/>
    <xf numFmtId="0" fontId="722" fillId="1947" borderId="0" xfId="0" applyFont="1" applyFill="1"/>
    <xf numFmtId="0" fontId="722" fillId="1948" borderId="0" xfId="0" applyFont="1" applyFill="1"/>
    <xf numFmtId="0" fontId="722" fillId="1949" borderId="0" xfId="0" applyFont="1" applyFill="1"/>
    <xf numFmtId="0" fontId="722" fillId="1950" borderId="0" xfId="0" applyFont="1" applyFill="1"/>
    <xf numFmtId="0" fontId="722" fillId="1951" borderId="0" xfId="0" applyFont="1" applyFill="1"/>
    <xf numFmtId="0" fontId="722" fillId="1952" borderId="0" xfId="0" applyFont="1" applyFill="1"/>
    <xf numFmtId="0" fontId="722" fillId="1953" borderId="0" xfId="0" applyFont="1" applyFill="1"/>
    <xf numFmtId="0" fontId="722" fillId="1954" borderId="0" xfId="0" applyFont="1" applyFill="1"/>
    <xf numFmtId="0" fontId="722" fillId="1955" borderId="0" xfId="0" applyFont="1" applyFill="1"/>
    <xf numFmtId="0" fontId="722" fillId="1956" borderId="0" xfId="0" applyFont="1" applyFill="1"/>
    <xf numFmtId="0" fontId="722" fillId="1957" borderId="0" xfId="0" applyFont="1" applyFill="1"/>
    <xf numFmtId="0" fontId="722" fillId="1958" borderId="0" xfId="0" applyFont="1" applyFill="1"/>
    <xf numFmtId="0" fontId="722" fillId="1959" borderId="0" xfId="0" applyFont="1" applyFill="1"/>
    <xf numFmtId="0" fontId="722" fillId="1960" borderId="0" xfId="0" applyFont="1" applyFill="1"/>
    <xf numFmtId="0" fontId="722" fillId="1961" borderId="0" xfId="0" applyFont="1" applyFill="1"/>
    <xf numFmtId="0" fontId="722" fillId="1962" borderId="0" xfId="0" applyFont="1" applyFill="1"/>
    <xf numFmtId="0" fontId="722" fillId="1963" borderId="0" xfId="0" applyFont="1" applyFill="1"/>
    <xf numFmtId="0" fontId="722" fillId="612" borderId="0" xfId="0" applyFont="1" applyFill="1"/>
    <xf numFmtId="0" fontId="722" fillId="160" borderId="0" xfId="0" applyFont="1" applyFill="1"/>
    <xf numFmtId="0" fontId="722" fillId="1964" borderId="0" xfId="0" applyFont="1" applyFill="1"/>
    <xf numFmtId="0" fontId="722" fillId="1965" borderId="0" xfId="0" applyFont="1" applyFill="1"/>
    <xf numFmtId="0" fontId="722" fillId="1966" borderId="0" xfId="0" applyFont="1" applyFill="1"/>
    <xf numFmtId="0" fontId="722" fillId="1967" borderId="0" xfId="0" applyFont="1" applyFill="1"/>
    <xf numFmtId="0" fontId="722" fillId="1968" borderId="0" xfId="0" applyFont="1" applyFill="1"/>
    <xf numFmtId="0" fontId="722" fillId="1969" borderId="0" xfId="0" applyFont="1" applyFill="1"/>
    <xf numFmtId="0" fontId="722" fillId="1970" borderId="0" xfId="0" applyFont="1" applyFill="1"/>
    <xf numFmtId="0" fontId="722" fillId="1971" borderId="0" xfId="0" applyFont="1" applyFill="1"/>
    <xf numFmtId="0" fontId="722" fillId="1972" borderId="0" xfId="0" applyFont="1" applyFill="1"/>
    <xf numFmtId="0" fontId="722" fillId="1973" borderId="0" xfId="0" applyFont="1" applyFill="1"/>
    <xf numFmtId="0" fontId="722" fillId="1974" borderId="0" xfId="0" applyFont="1" applyFill="1"/>
    <xf numFmtId="0" fontId="722" fillId="1975" borderId="0" xfId="0" applyFont="1" applyFill="1"/>
    <xf numFmtId="0" fontId="722" fillId="1976" borderId="0" xfId="0" applyFont="1" applyFill="1"/>
    <xf numFmtId="0" fontId="722" fillId="1977" borderId="0" xfId="0" applyFont="1" applyFill="1"/>
    <xf numFmtId="0" fontId="722" fillId="1978" borderId="0" xfId="0" applyFont="1" applyFill="1"/>
    <xf numFmtId="0" fontId="722" fillId="1979" borderId="0" xfId="0" applyFont="1" applyFill="1"/>
    <xf numFmtId="0" fontId="722" fillId="1980" borderId="0" xfId="0" applyFont="1" applyFill="1"/>
    <xf numFmtId="0" fontId="722" fillId="1981" borderId="0" xfId="0" applyFont="1" applyFill="1"/>
    <xf numFmtId="0" fontId="722" fillId="1982" borderId="0" xfId="0" applyFont="1" applyFill="1"/>
    <xf numFmtId="0" fontId="722" fillId="1983" borderId="0" xfId="0" applyFont="1" applyFill="1"/>
    <xf numFmtId="0" fontId="722" fillId="1984" borderId="0" xfId="0" applyFont="1" applyFill="1"/>
    <xf numFmtId="0" fontId="722" fillId="1985" borderId="0" xfId="0" applyFont="1" applyFill="1"/>
    <xf numFmtId="0" fontId="722" fillId="1986" borderId="0" xfId="0" applyFont="1" applyFill="1"/>
    <xf numFmtId="0" fontId="722" fillId="1987" borderId="0" xfId="0" applyFont="1" applyFill="1"/>
    <xf numFmtId="0" fontId="722" fillId="1988" borderId="0" xfId="0" applyFont="1" applyFill="1"/>
    <xf numFmtId="0" fontId="722" fillId="1989" borderId="0" xfId="0" applyFont="1" applyFill="1"/>
    <xf numFmtId="0" fontId="722" fillId="1990" borderId="0" xfId="0" applyFont="1" applyFill="1"/>
    <xf numFmtId="0" fontId="722" fillId="1991" borderId="0" xfId="0" applyFont="1" applyFill="1"/>
    <xf numFmtId="0" fontId="722" fillId="0" borderId="0" xfId="0" applyFont="1"/>
    <xf numFmtId="0" fontId="423" fillId="0" borderId="0" xfId="62" applyFont="1" applyAlignment="1">
      <alignment horizontal="left" indent="1"/>
    </xf>
    <xf numFmtId="0" fontId="423" fillId="0" borderId="0" xfId="62" applyFont="1" applyAlignment="1">
      <alignment horizontal="right" indent="1"/>
    </xf>
    <xf numFmtId="0" fontId="722" fillId="0" borderId="0" xfId="0" applyFont="1" applyAlignment="1">
      <alignment horizontal="right" indent="1"/>
    </xf>
    <xf numFmtId="0" fontId="722" fillId="1992" borderId="0" xfId="0" applyFont="1" applyFill="1"/>
    <xf numFmtId="0" fontId="722" fillId="1993" borderId="0" xfId="0" applyFont="1" applyFill="1"/>
    <xf numFmtId="0" fontId="423" fillId="0" borderId="489" xfId="62" applyFont="1" applyBorder="1" applyAlignment="1">
      <alignment horizontal="left" indent="1"/>
    </xf>
    <xf numFmtId="0" fontId="423" fillId="0" borderId="490" xfId="62" applyFont="1" applyBorder="1" applyAlignment="1">
      <alignment horizontal="left" indent="1"/>
    </xf>
    <xf numFmtId="0" fontId="423" fillId="0" borderId="491" xfId="62" applyFont="1" applyBorder="1" applyAlignment="1">
      <alignment horizontal="right" indent="1"/>
    </xf>
    <xf numFmtId="0" fontId="722" fillId="0" borderId="492" xfId="0" applyFont="1" applyBorder="1" applyAlignment="1">
      <alignment horizontal="right" indent="1"/>
    </xf>
    <xf numFmtId="0" fontId="722" fillId="0" borderId="489" xfId="0" applyFont="1" applyBorder="1" applyAlignment="1">
      <alignment horizontal="right" indent="1"/>
    </xf>
    <xf numFmtId="0" fontId="148" fillId="5" borderId="0" xfId="47" applyFont="1" applyFill="1" applyAlignment="1">
      <alignment horizontal="center" vertical="center"/>
    </xf>
    <xf numFmtId="0" fontId="148" fillId="68" borderId="0" xfId="48" applyFont="1" applyFill="1" applyAlignment="1">
      <alignment horizontal="center" vertical="center"/>
    </xf>
    <xf numFmtId="0" fontId="1" fillId="0" borderId="0" xfId="60"/>
    <xf numFmtId="0" fontId="561" fillId="890" borderId="0" xfId="53" applyFont="1" applyFill="1" applyAlignment="1">
      <alignment vertical="center"/>
    </xf>
    <xf numFmtId="0" fontId="4" fillId="0" borderId="0" xfId="53"/>
    <xf numFmtId="0" fontId="4" fillId="3" borderId="0" xfId="53" applyFill="1"/>
    <xf numFmtId="0" fontId="15" fillId="3" borderId="0" xfId="53" applyFont="1" applyFill="1"/>
    <xf numFmtId="0" fontId="157" fillId="3" borderId="0" xfId="52" applyFont="1" applyFill="1" applyAlignment="1">
      <alignment vertical="center"/>
    </xf>
    <xf numFmtId="0" fontId="157" fillId="3" borderId="0" xfId="48" applyFont="1" applyFill="1" applyProtection="1">
      <protection hidden="1"/>
    </xf>
    <xf numFmtId="0" fontId="30" fillId="0" borderId="0" xfId="48" applyFont="1" applyAlignment="1">
      <alignment horizontal="center" vertical="center"/>
    </xf>
    <xf numFmtId="0" fontId="288" fillId="13" borderId="493" xfId="48" applyFont="1" applyFill="1" applyBorder="1" applyAlignment="1">
      <alignment horizontal="center" vertical="center"/>
    </xf>
    <xf numFmtId="0" fontId="561" fillId="3" borderId="0" xfId="53" applyFont="1" applyFill="1" applyAlignment="1">
      <alignment vertical="center"/>
    </xf>
    <xf numFmtId="0" fontId="46" fillId="8" borderId="0" xfId="63" applyFont="1" applyFill="1" applyAlignment="1">
      <alignment horizontal="center" vertical="center"/>
    </xf>
    <xf numFmtId="0" fontId="23" fillId="3" borderId="0" xfId="60" applyFont="1" applyFill="1" applyAlignment="1">
      <alignment vertical="center"/>
    </xf>
    <xf numFmtId="0" fontId="23" fillId="12" borderId="0" xfId="53" applyFont="1" applyFill="1" applyAlignment="1">
      <alignment horizontal="center" vertical="center"/>
    </xf>
    <xf numFmtId="0" fontId="46" fillId="3" borderId="0" xfId="48" applyFont="1" applyFill="1" applyAlignment="1" applyProtection="1">
      <alignment vertical="center"/>
      <protection hidden="1"/>
    </xf>
    <xf numFmtId="0" fontId="677" fillId="3" borderId="0" xfId="64" applyFill="1" applyBorder="1" applyAlignment="1">
      <alignment vertical="center"/>
    </xf>
    <xf numFmtId="0" fontId="15" fillId="3" borderId="0" xfId="60" applyFont="1" applyFill="1" applyAlignment="1">
      <alignment vertical="center"/>
    </xf>
    <xf numFmtId="0" fontId="15" fillId="3" borderId="0" xfId="60" applyFont="1" applyFill="1" applyAlignment="1">
      <alignment horizontal="right" vertical="center"/>
    </xf>
    <xf numFmtId="0" fontId="493" fillId="13" borderId="494" xfId="48" applyFont="1" applyFill="1" applyBorder="1" applyAlignment="1">
      <alignment horizontal="center" vertical="center"/>
    </xf>
    <xf numFmtId="0" fontId="15" fillId="9" borderId="47" xfId="52" applyFont="1" applyFill="1" applyBorder="1" applyAlignment="1" applyProtection="1">
      <alignment horizontal="centerContinuous" vertical="center"/>
      <protection locked="0"/>
    </xf>
    <xf numFmtId="0" fontId="15" fillId="9" borderId="48" xfId="52" applyFont="1" applyFill="1" applyBorder="1" applyAlignment="1" applyProtection="1">
      <alignment horizontal="centerContinuous" vertical="center"/>
      <protection locked="0"/>
    </xf>
    <xf numFmtId="0" fontId="15" fillId="10" borderId="48" xfId="52" applyFont="1" applyFill="1" applyBorder="1" applyAlignment="1" applyProtection="1">
      <alignment horizontal="centerContinuous" vertical="center"/>
      <protection locked="0"/>
    </xf>
    <xf numFmtId="0" fontId="15" fillId="9" borderId="49" xfId="52" applyFont="1" applyFill="1" applyBorder="1" applyAlignment="1" applyProtection="1">
      <alignment horizontal="right" vertical="center"/>
      <protection locked="0"/>
    </xf>
    <xf numFmtId="0" fontId="4" fillId="12" borderId="82" xfId="53" applyFill="1" applyBorder="1" applyAlignment="1">
      <alignment horizontal="center" vertical="center"/>
    </xf>
    <xf numFmtId="0" fontId="174" fillId="3" borderId="58" xfId="48" applyFont="1" applyFill="1" applyBorder="1" applyAlignment="1">
      <alignment horizontal="left" vertical="center"/>
    </xf>
    <xf numFmtId="0" fontId="677" fillId="3" borderId="495" xfId="64" applyFill="1" applyBorder="1" applyAlignment="1">
      <alignment vertical="center"/>
    </xf>
    <xf numFmtId="0" fontId="677" fillId="3" borderId="51" xfId="64" applyFill="1" applyBorder="1" applyAlignment="1">
      <alignment vertical="center"/>
    </xf>
    <xf numFmtId="0" fontId="726" fillId="3" borderId="5" xfId="53" applyFont="1" applyFill="1" applyBorder="1" applyAlignment="1" applyProtection="1">
      <alignment horizontal="left" vertical="center"/>
      <protection locked="0"/>
    </xf>
    <xf numFmtId="0" fontId="727" fillId="3" borderId="101" xfId="53" applyFont="1" applyFill="1" applyBorder="1" applyAlignment="1" applyProtection="1">
      <alignment horizontal="right" vertical="center"/>
      <protection locked="0"/>
    </xf>
    <xf numFmtId="183" fontId="728" fillId="15" borderId="85" xfId="53" applyNumberFormat="1" applyFont="1" applyFill="1" applyBorder="1" applyAlignment="1" applyProtection="1">
      <alignment horizontal="center" vertical="center"/>
      <protection locked="0"/>
    </xf>
    <xf numFmtId="0" fontId="727" fillId="3" borderId="0" xfId="53" applyFont="1" applyFill="1" applyAlignment="1" applyProtection="1">
      <alignment horizontal="right" vertical="center"/>
      <protection locked="0"/>
    </xf>
    <xf numFmtId="0" fontId="185" fillId="3" borderId="0" xfId="53" applyFont="1" applyFill="1" applyAlignment="1" applyProtection="1">
      <alignment horizontal="right" vertical="center"/>
      <protection locked="0"/>
    </xf>
    <xf numFmtId="183" fontId="188" fillId="15" borderId="4" xfId="53" applyNumberFormat="1" applyFont="1" applyFill="1" applyBorder="1" applyAlignment="1" applyProtection="1">
      <alignment horizontal="center" vertical="center"/>
      <protection locked="0"/>
    </xf>
    <xf numFmtId="0" fontId="729" fillId="3" borderId="5" xfId="53" applyFont="1" applyFill="1" applyBorder="1" applyAlignment="1" applyProtection="1">
      <alignment horizontal="left" vertical="center"/>
      <protection locked="0"/>
    </xf>
    <xf numFmtId="0" fontId="729" fillId="3" borderId="0" xfId="53" applyFont="1" applyFill="1" applyAlignment="1" applyProtection="1">
      <alignment horizontal="right" vertical="center"/>
      <protection locked="0"/>
    </xf>
    <xf numFmtId="184" fontId="188" fillId="15" borderId="85" xfId="53" applyNumberFormat="1" applyFont="1" applyFill="1" applyBorder="1" applyAlignment="1" applyProtection="1">
      <alignment horizontal="center" vertical="center"/>
      <protection locked="0"/>
    </xf>
    <xf numFmtId="183" fontId="188" fillId="15" borderId="85" xfId="53" applyNumberFormat="1" applyFont="1" applyFill="1" applyBorder="1" applyAlignment="1" applyProtection="1">
      <alignment horizontal="center" vertical="center"/>
      <protection locked="0"/>
    </xf>
    <xf numFmtId="183" fontId="728" fillId="15" borderId="4" xfId="53" applyNumberFormat="1" applyFont="1" applyFill="1" applyBorder="1" applyAlignment="1" applyProtection="1">
      <alignment horizontal="center" vertical="center"/>
      <protection locked="0"/>
    </xf>
    <xf numFmtId="0" fontId="24" fillId="3" borderId="5" xfId="53" applyFont="1" applyFill="1" applyBorder="1" applyAlignment="1" applyProtection="1">
      <alignment horizontal="left" vertical="center"/>
      <protection locked="0"/>
    </xf>
    <xf numFmtId="0" fontId="24" fillId="3" borderId="0" xfId="53" applyFont="1" applyFill="1" applyAlignment="1" applyProtection="1">
      <alignment horizontal="right" vertical="center"/>
      <protection locked="0"/>
    </xf>
    <xf numFmtId="183" fontId="147" fillId="3" borderId="85" xfId="53" applyNumberFormat="1" applyFont="1" applyFill="1" applyBorder="1" applyAlignment="1" applyProtection="1">
      <alignment horizontal="center" vertical="center"/>
      <protection locked="0"/>
    </xf>
    <xf numFmtId="0" fontId="157" fillId="3" borderId="0" xfId="53" applyFont="1" applyFill="1" applyAlignment="1" applyProtection="1">
      <alignment horizontal="right" vertical="center"/>
      <protection locked="0"/>
    </xf>
    <xf numFmtId="183" fontId="147" fillId="3" borderId="4" xfId="53" applyNumberFormat="1" applyFont="1" applyFill="1" applyBorder="1" applyAlignment="1" applyProtection="1">
      <alignment horizontal="center" vertical="center"/>
      <protection locked="0"/>
    </xf>
    <xf numFmtId="0" fontId="157" fillId="3" borderId="131" xfId="53" applyFont="1" applyFill="1" applyBorder="1" applyAlignment="1" applyProtection="1">
      <alignment horizontal="left" vertical="center"/>
      <protection locked="0"/>
    </xf>
    <xf numFmtId="0" fontId="147" fillId="3" borderId="0" xfId="53" applyFont="1" applyFill="1" applyAlignment="1" applyProtection="1">
      <alignment horizontal="right" vertical="center"/>
      <protection locked="0"/>
    </xf>
    <xf numFmtId="184" fontId="147" fillId="3" borderId="85" xfId="53" applyNumberFormat="1" applyFont="1" applyFill="1" applyBorder="1" applyAlignment="1" applyProtection="1">
      <alignment horizontal="center" vertical="center"/>
      <protection locked="0"/>
    </xf>
    <xf numFmtId="184" fontId="147" fillId="3" borderId="4" xfId="53" applyNumberFormat="1" applyFont="1" applyFill="1" applyBorder="1" applyAlignment="1" applyProtection="1">
      <alignment horizontal="center" vertical="center"/>
      <protection locked="0"/>
    </xf>
    <xf numFmtId="0" fontId="157" fillId="12" borderId="50" xfId="53" applyFont="1" applyFill="1" applyBorder="1" applyAlignment="1" applyProtection="1">
      <alignment horizontal="left" vertical="center"/>
      <protection locked="0"/>
    </xf>
    <xf numFmtId="0" fontId="157" fillId="12" borderId="495" xfId="53" applyFont="1" applyFill="1" applyBorder="1" applyAlignment="1" applyProtection="1">
      <alignment horizontal="right" vertical="center"/>
      <protection locked="0"/>
    </xf>
    <xf numFmtId="183" fontId="147" fillId="12" borderId="495" xfId="53" applyNumberFormat="1" applyFont="1" applyFill="1" applyBorder="1" applyAlignment="1" applyProtection="1">
      <alignment horizontal="center" vertical="center"/>
      <protection locked="0"/>
    </xf>
    <xf numFmtId="0" fontId="157" fillId="12" borderId="495" xfId="48" applyFont="1" applyFill="1" applyBorder="1" applyProtection="1">
      <protection hidden="1"/>
    </xf>
    <xf numFmtId="0" fontId="147" fillId="12" borderId="495" xfId="53" applyFont="1" applyFill="1" applyBorder="1" applyAlignment="1" applyProtection="1">
      <alignment horizontal="right" vertical="center"/>
      <protection locked="0"/>
    </xf>
    <xf numFmtId="184" fontId="147" fillId="12" borderId="495" xfId="53" applyNumberFormat="1" applyFont="1" applyFill="1" applyBorder="1" applyAlignment="1" applyProtection="1">
      <alignment horizontal="center" vertical="center"/>
      <protection locked="0"/>
    </xf>
    <xf numFmtId="184" fontId="147" fillId="12" borderId="51" xfId="53" applyNumberFormat="1" applyFont="1" applyFill="1" applyBorder="1" applyAlignment="1" applyProtection="1">
      <alignment horizontal="center" vertical="center"/>
      <protection locked="0"/>
    </xf>
    <xf numFmtId="0" fontId="185" fillId="3" borderId="5" xfId="53" applyFont="1" applyFill="1" applyBorder="1" applyAlignment="1" applyProtection="1">
      <alignment horizontal="left" vertical="center"/>
      <protection locked="0"/>
    </xf>
    <xf numFmtId="0" fontId="188" fillId="3" borderId="0" xfId="53" applyFont="1" applyFill="1" applyAlignment="1" applyProtection="1">
      <alignment horizontal="right" vertical="center" wrapText="1"/>
      <protection locked="0"/>
    </xf>
    <xf numFmtId="172" fontId="730" fillId="15" borderId="85" xfId="53" applyNumberFormat="1" applyFont="1" applyFill="1" applyBorder="1" applyAlignment="1" applyProtection="1">
      <alignment horizontal="center" vertical="center"/>
      <protection locked="0"/>
    </xf>
    <xf numFmtId="0" fontId="729" fillId="3" borderId="0" xfId="53" applyFont="1" applyFill="1" applyAlignment="1" applyProtection="1">
      <alignment horizontal="right" vertical="center" wrapText="1"/>
      <protection locked="0"/>
    </xf>
    <xf numFmtId="0" fontId="147" fillId="3" borderId="496" xfId="53" applyFont="1" applyFill="1" applyBorder="1" applyAlignment="1" applyProtection="1">
      <alignment horizontal="left" vertical="center"/>
      <protection locked="0"/>
    </xf>
    <xf numFmtId="0" fontId="147" fillId="3" borderId="444" xfId="53" applyFont="1" applyFill="1" applyBorder="1" applyAlignment="1" applyProtection="1">
      <alignment horizontal="right" vertical="center"/>
      <protection locked="0"/>
    </xf>
    <xf numFmtId="184" fontId="147" fillId="3" borderId="470" xfId="53" applyNumberFormat="1" applyFont="1" applyFill="1" applyBorder="1" applyAlignment="1" applyProtection="1">
      <alignment horizontal="center" vertical="center"/>
      <protection locked="0"/>
    </xf>
    <xf numFmtId="0" fontId="157" fillId="3" borderId="444" xfId="53" applyFont="1" applyFill="1" applyBorder="1" applyAlignment="1" applyProtection="1">
      <alignment horizontal="right" vertical="center"/>
      <protection locked="0"/>
    </xf>
    <xf numFmtId="183" fontId="147" fillId="3" borderId="470" xfId="53" applyNumberFormat="1" applyFont="1" applyFill="1" applyBorder="1" applyAlignment="1" applyProtection="1">
      <alignment horizontal="center" vertical="center"/>
      <protection locked="0"/>
    </xf>
    <xf numFmtId="184" fontId="147" fillId="3" borderId="445" xfId="53" applyNumberFormat="1" applyFont="1" applyFill="1" applyBorder="1" applyAlignment="1" applyProtection="1">
      <alignment horizontal="center" vertical="center"/>
      <protection locked="0"/>
    </xf>
    <xf numFmtId="0" fontId="157" fillId="3" borderId="0" xfId="48" applyFont="1" applyFill="1" applyAlignment="1">
      <alignment horizontal="center" vertical="center" wrapText="1"/>
    </xf>
    <xf numFmtId="0" fontId="157" fillId="3" borderId="0" xfId="48" applyFont="1" applyFill="1" applyAlignment="1">
      <alignment horizontal="center" vertical="center"/>
    </xf>
    <xf numFmtId="0" fontId="157" fillId="3" borderId="0" xfId="48" applyFont="1" applyFill="1" applyAlignment="1">
      <alignment horizontal="centerContinuous" vertical="center"/>
    </xf>
    <xf numFmtId="0" fontId="294" fillId="0" borderId="0" xfId="53" applyFont="1" applyAlignment="1">
      <alignment horizontal="center" vertical="center"/>
    </xf>
    <xf numFmtId="0" fontId="294" fillId="3" borderId="0" xfId="53" applyFont="1" applyFill="1" applyAlignment="1">
      <alignment vertical="center"/>
    </xf>
    <xf numFmtId="0" fontId="294" fillId="0" borderId="0" xfId="53" applyFont="1" applyAlignment="1">
      <alignment vertical="center"/>
    </xf>
    <xf numFmtId="0" fontId="493" fillId="13" borderId="398" xfId="48" applyFont="1" applyFill="1" applyBorder="1" applyAlignment="1">
      <alignment horizontal="center" vertical="center"/>
    </xf>
    <xf numFmtId="0" fontId="11" fillId="4" borderId="389" xfId="52" applyFont="1" applyFill="1" applyBorder="1" applyAlignment="1" applyProtection="1">
      <alignment horizontal="left" vertical="center"/>
      <protection locked="0"/>
    </xf>
    <xf numFmtId="0" fontId="15" fillId="4" borderId="396" xfId="52" applyFont="1" applyFill="1" applyBorder="1" applyAlignment="1" applyProtection="1">
      <alignment horizontal="centerContinuous" vertical="center"/>
      <protection locked="0"/>
    </xf>
    <xf numFmtId="0" fontId="15" fillId="4" borderId="394" xfId="52" applyFont="1" applyFill="1" applyBorder="1" applyAlignment="1" applyProtection="1">
      <alignment horizontal="right" vertical="center"/>
      <protection locked="0"/>
    </xf>
    <xf numFmtId="0" fontId="15" fillId="4" borderId="389" xfId="52" applyFont="1" applyFill="1" applyBorder="1" applyAlignment="1" applyProtection="1">
      <alignment horizontal="left" vertical="center"/>
      <protection locked="0"/>
    </xf>
    <xf numFmtId="0" fontId="677" fillId="3" borderId="84" xfId="64" applyFill="1" applyBorder="1" applyAlignment="1">
      <alignment vertical="center"/>
    </xf>
    <xf numFmtId="0" fontId="731" fillId="8" borderId="57" xfId="53" applyFont="1" applyFill="1" applyBorder="1" applyAlignment="1" applyProtection="1">
      <alignment horizontal="right" vertical="center"/>
      <protection locked="0"/>
    </xf>
    <xf numFmtId="167" fontId="42" fillId="2" borderId="85" xfId="53" applyNumberFormat="1" applyFont="1" applyFill="1" applyBorder="1" applyAlignment="1" applyProtection="1">
      <alignment horizontal="center" vertical="center"/>
      <protection locked="0"/>
    </xf>
    <xf numFmtId="0" fontId="731" fillId="3" borderId="0" xfId="53" applyFont="1" applyFill="1" applyAlignment="1" applyProtection="1">
      <alignment horizontal="right" vertical="center"/>
      <protection locked="0"/>
    </xf>
    <xf numFmtId="176" fontId="42" fillId="15" borderId="85" xfId="53" applyNumberFormat="1" applyFont="1" applyFill="1" applyBorder="1" applyAlignment="1" applyProtection="1">
      <alignment horizontal="center" vertical="center"/>
      <protection locked="0"/>
    </xf>
    <xf numFmtId="0" fontId="41" fillId="8" borderId="57" xfId="53" applyFont="1" applyFill="1" applyBorder="1" applyAlignment="1" applyProtection="1">
      <alignment horizontal="right" vertical="center"/>
      <protection locked="0"/>
    </xf>
    <xf numFmtId="167" fontId="41" fillId="15" borderId="85" xfId="53" applyNumberFormat="1" applyFont="1" applyFill="1" applyBorder="1" applyAlignment="1" applyProtection="1">
      <alignment horizontal="center" vertical="center"/>
      <protection locked="0"/>
    </xf>
    <xf numFmtId="0" fontId="41" fillId="3" borderId="0" xfId="53" applyFont="1" applyFill="1" applyAlignment="1" applyProtection="1">
      <alignment horizontal="right" vertical="center"/>
      <protection locked="0"/>
    </xf>
    <xf numFmtId="172" fontId="41" fillId="15" borderId="85" xfId="53" applyNumberFormat="1" applyFont="1" applyFill="1" applyBorder="1" applyAlignment="1" applyProtection="1">
      <alignment horizontal="center" vertical="center"/>
      <protection locked="0"/>
    </xf>
    <xf numFmtId="176" fontId="41" fillId="15" borderId="85" xfId="53" applyNumberFormat="1" applyFont="1" applyFill="1" applyBorder="1" applyAlignment="1" applyProtection="1">
      <alignment horizontal="center" vertical="center"/>
      <protection locked="0"/>
    </xf>
    <xf numFmtId="0" fontId="24" fillId="8" borderId="57" xfId="53" applyFont="1" applyFill="1" applyBorder="1" applyAlignment="1" applyProtection="1">
      <alignment horizontal="right" vertical="center"/>
      <protection locked="0"/>
    </xf>
    <xf numFmtId="167" fontId="24" fillId="8" borderId="85" xfId="53" applyNumberFormat="1" applyFont="1" applyFill="1" applyBorder="1" applyAlignment="1" applyProtection="1">
      <alignment horizontal="center" vertical="center"/>
      <protection locked="0"/>
    </xf>
    <xf numFmtId="169" fontId="24" fillId="8" borderId="85" xfId="53" applyNumberFormat="1" applyFont="1" applyFill="1" applyBorder="1" applyAlignment="1" applyProtection="1">
      <alignment horizontal="center" vertical="center"/>
      <protection locked="0"/>
    </xf>
    <xf numFmtId="176" fontId="24" fillId="8" borderId="85" xfId="53" applyNumberFormat="1" applyFont="1" applyFill="1" applyBorder="1" applyAlignment="1" applyProtection="1">
      <alignment horizontal="center" vertical="center"/>
      <protection locked="0"/>
    </xf>
    <xf numFmtId="0" fontId="24" fillId="8" borderId="460" xfId="53" applyFont="1" applyFill="1" applyBorder="1" applyAlignment="1" applyProtection="1">
      <alignment horizontal="right" vertical="center"/>
      <protection locked="0"/>
    </xf>
    <xf numFmtId="166" fontId="24" fillId="8" borderId="470" xfId="53" applyNumberFormat="1" applyFont="1" applyFill="1" applyBorder="1" applyAlignment="1" applyProtection="1">
      <alignment horizontal="center" vertical="center"/>
      <protection locked="0"/>
    </xf>
    <xf numFmtId="171" fontId="24" fillId="8" borderId="470" xfId="53" applyNumberFormat="1" applyFont="1" applyFill="1" applyBorder="1" applyAlignment="1" applyProtection="1">
      <alignment horizontal="center" vertical="center"/>
      <protection locked="0"/>
    </xf>
    <xf numFmtId="0" fontId="40" fillId="8" borderId="57" xfId="53" applyFont="1" applyFill="1" applyBorder="1" applyAlignment="1" applyProtection="1">
      <alignment horizontal="right" vertical="center"/>
      <protection locked="0"/>
    </xf>
    <xf numFmtId="0" fontId="40" fillId="8" borderId="497" xfId="53" applyFont="1" applyFill="1" applyBorder="1" applyAlignment="1" applyProtection="1">
      <alignment horizontal="right" vertical="center"/>
      <protection locked="0"/>
    </xf>
    <xf numFmtId="0" fontId="40" fillId="8" borderId="398" xfId="53" applyFont="1" applyFill="1" applyBorder="1" applyAlignment="1" applyProtection="1">
      <alignment horizontal="right" vertical="center"/>
      <protection locked="0"/>
    </xf>
    <xf numFmtId="167" fontId="41" fillId="15" borderId="401" xfId="53" applyNumberFormat="1" applyFont="1" applyFill="1" applyBorder="1" applyAlignment="1" applyProtection="1">
      <alignment horizontal="center" vertical="center"/>
      <protection locked="0"/>
    </xf>
    <xf numFmtId="176" fontId="40" fillId="15" borderId="85" xfId="53" applyNumberFormat="1" applyFont="1" applyFill="1" applyBorder="1" applyAlignment="1" applyProtection="1">
      <alignment horizontal="center" vertical="center"/>
      <protection locked="0"/>
    </xf>
    <xf numFmtId="176" fontId="40" fillId="15" borderId="401" xfId="53" applyNumberFormat="1" applyFont="1" applyFill="1" applyBorder="1" applyAlignment="1" applyProtection="1">
      <alignment horizontal="center" vertical="center"/>
      <protection locked="0"/>
    </xf>
    <xf numFmtId="0" fontId="731" fillId="8" borderId="0" xfId="53" applyFont="1" applyFill="1" applyAlignment="1" applyProtection="1">
      <alignment horizontal="right" vertical="center"/>
      <protection locked="0"/>
    </xf>
    <xf numFmtId="172" fontId="34" fillId="15" borderId="85" xfId="53" applyNumberFormat="1" applyFont="1" applyFill="1" applyBorder="1" applyAlignment="1" applyProtection="1">
      <alignment horizontal="center" vertical="center"/>
      <protection locked="0"/>
    </xf>
    <xf numFmtId="176" fontId="34" fillId="15" borderId="85" xfId="53" applyNumberFormat="1" applyFont="1" applyFill="1" applyBorder="1" applyAlignment="1" applyProtection="1">
      <alignment horizontal="center" vertical="center"/>
      <protection locked="0"/>
    </xf>
    <xf numFmtId="169" fontId="24" fillId="8" borderId="470" xfId="53" applyNumberFormat="1" applyFont="1" applyFill="1" applyBorder="1" applyAlignment="1" applyProtection="1">
      <alignment horizontal="center" vertical="center"/>
      <protection locked="0"/>
    </xf>
    <xf numFmtId="176" fontId="24" fillId="8" borderId="470" xfId="53" applyNumberFormat="1" applyFont="1" applyFill="1" applyBorder="1" applyAlignment="1" applyProtection="1">
      <alignment horizontal="center" vertical="center"/>
      <protection locked="0"/>
    </xf>
    <xf numFmtId="0" fontId="44" fillId="3" borderId="0" xfId="53" applyFont="1" applyFill="1" applyAlignment="1">
      <alignment vertical="center"/>
    </xf>
    <xf numFmtId="0" fontId="44" fillId="3" borderId="0" xfId="53" applyFont="1" applyFill="1"/>
    <xf numFmtId="0" fontId="0" fillId="3" borderId="0" xfId="53" applyFont="1" applyFill="1"/>
    <xf numFmtId="0" fontId="34" fillId="3" borderId="0" xfId="53" applyFont="1" applyFill="1"/>
    <xf numFmtId="0" fontId="731" fillId="3" borderId="0" xfId="53" applyFont="1" applyFill="1"/>
    <xf numFmtId="0" fontId="4" fillId="12" borderId="50" xfId="53" applyFill="1" applyBorder="1" applyAlignment="1">
      <alignment horizontal="center" vertical="center"/>
    </xf>
    <xf numFmtId="0" fontId="174" fillId="3" borderId="51" xfId="48" applyFont="1" applyFill="1" applyBorder="1" applyAlignment="1">
      <alignment horizontal="left" vertical="center"/>
    </xf>
    <xf numFmtId="0" fontId="185" fillId="8" borderId="5" xfId="53" applyFont="1" applyFill="1" applyBorder="1" applyAlignment="1" applyProtection="1">
      <alignment horizontal="right" vertical="center"/>
      <protection locked="0"/>
    </xf>
    <xf numFmtId="185" fontId="185" fillId="15" borderId="4" xfId="53" applyNumberFormat="1" applyFont="1" applyFill="1" applyBorder="1" applyAlignment="1" applyProtection="1">
      <alignment horizontal="center" vertical="center"/>
      <protection locked="0"/>
    </xf>
    <xf numFmtId="185" fontId="732" fillId="15" borderId="4" xfId="53" applyNumberFormat="1" applyFont="1" applyFill="1" applyBorder="1" applyAlignment="1" applyProtection="1">
      <alignment horizontal="center" vertical="center"/>
      <protection locked="0"/>
    </xf>
    <xf numFmtId="0" fontId="727" fillId="8" borderId="5" xfId="53" applyFont="1" applyFill="1" applyBorder="1" applyAlignment="1" applyProtection="1">
      <alignment horizontal="right" vertical="center"/>
      <protection locked="0"/>
    </xf>
    <xf numFmtId="172" fontId="186" fillId="15" borderId="4" xfId="53" applyNumberFormat="1" applyFont="1" applyFill="1" applyBorder="1" applyAlignment="1" applyProtection="1">
      <alignment horizontal="center" vertical="center"/>
      <protection locked="0"/>
    </xf>
    <xf numFmtId="0" fontId="15" fillId="8" borderId="5" xfId="53" applyFont="1" applyFill="1" applyBorder="1" applyAlignment="1" applyProtection="1">
      <alignment horizontal="right" vertical="center"/>
      <protection locked="0"/>
    </xf>
    <xf numFmtId="2" fontId="15" fillId="8" borderId="4" xfId="53" applyNumberFormat="1" applyFont="1" applyFill="1" applyBorder="1" applyAlignment="1" applyProtection="1">
      <alignment horizontal="center" vertical="center"/>
      <protection locked="0"/>
    </xf>
    <xf numFmtId="0" fontId="15" fillId="8" borderId="358" xfId="53" applyFont="1" applyFill="1" applyBorder="1" applyAlignment="1" applyProtection="1">
      <alignment horizontal="right" vertical="center"/>
      <protection locked="0"/>
    </xf>
    <xf numFmtId="189" fontId="15" fillId="3" borderId="60" xfId="53" applyNumberFormat="1" applyFont="1" applyFill="1" applyBorder="1" applyAlignment="1" applyProtection="1">
      <alignment horizontal="center" vertical="center"/>
      <protection locked="0"/>
    </xf>
    <xf numFmtId="0" fontId="41" fillId="8" borderId="5" xfId="53" applyFont="1" applyFill="1" applyBorder="1" applyAlignment="1" applyProtection="1">
      <alignment horizontal="right" vertical="center"/>
      <protection locked="0"/>
    </xf>
    <xf numFmtId="185" fontId="41" fillId="15" borderId="4" xfId="53" applyNumberFormat="1" applyFont="1" applyFill="1" applyBorder="1" applyAlignment="1" applyProtection="1">
      <alignment horizontal="center" vertical="center"/>
      <protection locked="0"/>
    </xf>
    <xf numFmtId="0" fontId="731" fillId="8" borderId="5" xfId="53" applyFont="1" applyFill="1" applyBorder="1" applyAlignment="1" applyProtection="1">
      <alignment horizontal="right" vertical="center"/>
      <protection locked="0"/>
    </xf>
    <xf numFmtId="172" fontId="34" fillId="15" borderId="4" xfId="53" applyNumberFormat="1" applyFont="1" applyFill="1" applyBorder="1" applyAlignment="1" applyProtection="1">
      <alignment horizontal="center" vertical="center"/>
      <protection locked="0"/>
    </xf>
    <xf numFmtId="0" fontId="24" fillId="8" borderId="5" xfId="53" applyFont="1" applyFill="1" applyBorder="1" applyAlignment="1" applyProtection="1">
      <alignment horizontal="right" vertical="center"/>
      <protection locked="0"/>
    </xf>
    <xf numFmtId="188" fontId="24" fillId="3" borderId="4" xfId="53" applyNumberFormat="1" applyFont="1" applyFill="1" applyBorder="1" applyAlignment="1" applyProtection="1">
      <alignment horizontal="center" vertical="center"/>
      <protection locked="0"/>
    </xf>
    <xf numFmtId="0" fontId="188" fillId="8" borderId="5" xfId="53" applyFont="1" applyFill="1" applyBorder="1" applyAlignment="1" applyProtection="1">
      <alignment horizontal="right" vertical="center"/>
      <protection locked="0"/>
    </xf>
    <xf numFmtId="185" fontId="188" fillId="15" borderId="4" xfId="53" applyNumberFormat="1" applyFont="1" applyFill="1" applyBorder="1" applyAlignment="1" applyProtection="1">
      <alignment horizontal="center" vertical="center"/>
      <protection locked="0"/>
    </xf>
    <xf numFmtId="170" fontId="24" fillId="8" borderId="4" xfId="53" applyNumberFormat="1" applyFont="1" applyFill="1" applyBorder="1" applyAlignment="1" applyProtection="1">
      <alignment horizontal="center" vertical="center"/>
      <protection locked="0"/>
    </xf>
    <xf numFmtId="0" fontId="733" fillId="8" borderId="5" xfId="53" applyFont="1" applyFill="1" applyBorder="1" applyAlignment="1" applyProtection="1">
      <alignment horizontal="right" vertical="center"/>
      <protection locked="0"/>
    </xf>
    <xf numFmtId="172" fontId="5" fillId="15" borderId="4" xfId="53" applyNumberFormat="1" applyFont="1" applyFill="1" applyBorder="1" applyAlignment="1" applyProtection="1">
      <alignment horizontal="center" vertical="center"/>
      <protection locked="0"/>
    </xf>
    <xf numFmtId="188" fontId="15" fillId="3" borderId="4" xfId="53" applyNumberFormat="1" applyFont="1" applyFill="1" applyBorder="1" applyAlignment="1" applyProtection="1">
      <alignment horizontal="center" vertical="center"/>
      <protection locked="0"/>
    </xf>
    <xf numFmtId="170" fontId="15" fillId="8" borderId="16" xfId="53" applyNumberFormat="1" applyFont="1" applyFill="1" applyBorder="1" applyAlignment="1" applyProtection="1">
      <alignment horizontal="center" vertical="center"/>
      <protection locked="0"/>
    </xf>
    <xf numFmtId="188" fontId="15" fillId="3" borderId="14" xfId="53" applyNumberFormat="1" applyFont="1" applyFill="1" applyBorder="1" applyAlignment="1" applyProtection="1">
      <alignment horizontal="center" vertical="center"/>
      <protection locked="0"/>
    </xf>
    <xf numFmtId="2" fontId="15" fillId="8" borderId="358" xfId="53" applyNumberFormat="1" applyFont="1" applyFill="1" applyBorder="1" applyAlignment="1" applyProtection="1">
      <alignment horizontal="center" vertical="center"/>
      <protection locked="0"/>
    </xf>
    <xf numFmtId="188" fontId="15" fillId="3" borderId="60" xfId="53" applyNumberFormat="1" applyFont="1" applyFill="1" applyBorder="1" applyAlignment="1" applyProtection="1">
      <alignment horizontal="center" vertical="center"/>
      <protection locked="0"/>
    </xf>
    <xf numFmtId="0" fontId="4" fillId="3" borderId="5" xfId="53" applyFill="1" applyBorder="1"/>
    <xf numFmtId="0" fontId="4" fillId="3" borderId="4" xfId="53" applyFill="1" applyBorder="1"/>
    <xf numFmtId="170" fontId="24" fillId="8" borderId="358" xfId="53" applyNumberFormat="1" applyFont="1" applyFill="1" applyBorder="1" applyAlignment="1" applyProtection="1">
      <alignment horizontal="center" vertical="center"/>
      <protection locked="0"/>
    </xf>
    <xf numFmtId="0" fontId="174" fillId="3" borderId="0" xfId="48" applyFont="1" applyFill="1" applyAlignment="1">
      <alignment horizontal="left" vertical="center"/>
    </xf>
    <xf numFmtId="0" fontId="677" fillId="3" borderId="0" xfId="28" applyFont="1" applyFill="1"/>
    <xf numFmtId="0" fontId="11" fillId="3" borderId="0" xfId="48" applyFont="1" applyFill="1" applyAlignment="1">
      <alignment horizontal="left" vertical="center"/>
    </xf>
    <xf numFmtId="0" fontId="54" fillId="42" borderId="0" xfId="48" applyFont="1" applyFill="1" applyAlignment="1" applyProtection="1">
      <alignment horizontal="center" vertical="center"/>
      <protection hidden="1"/>
    </xf>
    <xf numFmtId="0" fontId="4" fillId="3" borderId="0" xfId="53" applyFill="1" applyAlignment="1">
      <alignment horizontal="left" vertical="center"/>
    </xf>
    <xf numFmtId="0" fontId="44" fillId="17" borderId="0" xfId="48" applyFont="1" applyFill="1" applyAlignment="1">
      <alignment horizontal="left" vertical="center"/>
    </xf>
    <xf numFmtId="0" fontId="218" fillId="17" borderId="0" xfId="48" applyFont="1" applyFill="1" applyAlignment="1">
      <alignment horizontal="centerContinuous" vertical="center"/>
    </xf>
    <xf numFmtId="0" fontId="218" fillId="17" borderId="0" xfId="48" applyFont="1" applyFill="1" applyAlignment="1">
      <alignment horizontal="center" vertical="center"/>
    </xf>
    <xf numFmtId="0" fontId="65" fillId="3" borderId="0" xfId="48" applyFont="1" applyFill="1" applyProtection="1">
      <protection hidden="1"/>
    </xf>
    <xf numFmtId="0" fontId="139" fillId="3" borderId="0" xfId="53" applyFont="1" applyFill="1"/>
    <xf numFmtId="0" fontId="170" fillId="3" borderId="0" xfId="53" applyFont="1" applyFill="1"/>
    <xf numFmtId="0" fontId="4" fillId="12" borderId="131" xfId="53" applyFill="1" applyBorder="1" applyAlignment="1">
      <alignment horizontal="center" vertical="center"/>
    </xf>
    <xf numFmtId="2" fontId="147" fillId="54" borderId="498" xfId="53" applyNumberFormat="1" applyFont="1" applyFill="1" applyBorder="1" applyAlignment="1" applyProtection="1">
      <alignment horizontal="center" vertical="center" wrapText="1"/>
      <protection locked="0"/>
    </xf>
    <xf numFmtId="0" fontId="4" fillId="12" borderId="0" xfId="53" applyFill="1"/>
    <xf numFmtId="168" fontId="148" fillId="12" borderId="499" xfId="53" applyNumberFormat="1" applyFont="1" applyFill="1" applyBorder="1" applyAlignment="1">
      <alignment horizontal="center" vertical="center"/>
    </xf>
    <xf numFmtId="0" fontId="157" fillId="12" borderId="500" xfId="53" applyFont="1" applyFill="1" applyBorder="1" applyAlignment="1">
      <alignment horizontal="center" vertical="center"/>
    </xf>
    <xf numFmtId="2" fontId="148" fillId="12" borderId="119" xfId="53" applyNumberFormat="1" applyFont="1" applyFill="1" applyBorder="1" applyAlignment="1">
      <alignment horizontal="center" vertical="center"/>
    </xf>
    <xf numFmtId="9" fontId="148" fillId="28" borderId="35" xfId="53" applyNumberFormat="1" applyFont="1" applyFill="1" applyBorder="1" applyAlignment="1">
      <alignment horizontal="center" vertical="center"/>
    </xf>
    <xf numFmtId="0" fontId="15" fillId="12" borderId="0" xfId="52" applyFont="1" applyFill="1" applyAlignment="1">
      <alignment horizontal="centerContinuous" vertical="center"/>
    </xf>
    <xf numFmtId="0" fontId="4" fillId="28" borderId="0" xfId="53" applyFill="1" applyAlignment="1">
      <alignment horizontal="centerContinuous" vertical="center" wrapText="1"/>
    </xf>
    <xf numFmtId="0" fontId="148" fillId="28" borderId="0" xfId="52" applyFont="1" applyFill="1" applyAlignment="1">
      <alignment horizontal="right" vertical="center"/>
    </xf>
    <xf numFmtId="165" fontId="726" fillId="2" borderId="391" xfId="52" applyNumberFormat="1" applyFont="1" applyFill="1" applyBorder="1" applyAlignment="1">
      <alignment horizontal="center" vertical="center"/>
    </xf>
    <xf numFmtId="9" fontId="279" fillId="28" borderId="356" xfId="53" applyNumberFormat="1" applyFont="1" applyFill="1" applyBorder="1" applyAlignment="1">
      <alignment horizontal="center" vertical="center"/>
    </xf>
    <xf numFmtId="204" fontId="157" fillId="55" borderId="4" xfId="53" applyNumberFormat="1" applyFont="1" applyFill="1" applyBorder="1" applyAlignment="1">
      <alignment horizontal="centerContinuous" vertical="center" wrapText="1"/>
    </xf>
    <xf numFmtId="166" fontId="185" fillId="15" borderId="35" xfId="53" applyNumberFormat="1" applyFont="1" applyFill="1" applyBorder="1" applyAlignment="1">
      <alignment horizontal="center" vertical="center"/>
    </xf>
    <xf numFmtId="0" fontId="41" fillId="15" borderId="0" xfId="52" applyFont="1" applyFill="1" applyAlignment="1">
      <alignment horizontal="left" vertical="center"/>
    </xf>
    <xf numFmtId="189" fontId="15" fillId="12" borderId="392" xfId="53" applyNumberFormat="1" applyFont="1" applyFill="1" applyBorder="1" applyAlignment="1" applyProtection="1">
      <alignment horizontal="center" vertical="center"/>
      <protection locked="0"/>
    </xf>
    <xf numFmtId="172" fontId="732" fillId="2" borderId="0" xfId="53" applyNumberFormat="1" applyFont="1" applyFill="1" applyAlignment="1" applyProtection="1">
      <alignment horizontal="center" vertical="center"/>
      <protection locked="0"/>
    </xf>
    <xf numFmtId="189" fontId="15" fillId="12" borderId="4" xfId="53" applyNumberFormat="1" applyFont="1" applyFill="1" applyBorder="1" applyAlignment="1" applyProtection="1">
      <alignment horizontal="center" vertical="center"/>
      <protection locked="0"/>
    </xf>
    <xf numFmtId="189" fontId="15" fillId="12" borderId="0" xfId="53" applyNumberFormat="1" applyFont="1" applyFill="1" applyAlignment="1" applyProtection="1">
      <alignment horizontal="center" vertical="center"/>
      <protection locked="0"/>
    </xf>
    <xf numFmtId="172" fontId="732" fillId="15" borderId="0" xfId="53" applyNumberFormat="1" applyFont="1" applyFill="1" applyAlignment="1" applyProtection="1">
      <alignment horizontal="center" vertical="center"/>
      <protection locked="0"/>
    </xf>
    <xf numFmtId="166" fontId="185" fillId="15" borderId="501" xfId="53" applyNumberFormat="1" applyFont="1" applyFill="1" applyBorder="1" applyAlignment="1">
      <alignment horizontal="center" vertical="center"/>
    </xf>
    <xf numFmtId="0" fontId="41" fillId="15" borderId="444" xfId="52" applyFont="1" applyFill="1" applyBorder="1" applyAlignment="1">
      <alignment horizontal="left" vertical="center"/>
    </xf>
    <xf numFmtId="189" fontId="15" fillId="12" borderId="444" xfId="53" applyNumberFormat="1" applyFont="1" applyFill="1" applyBorder="1" applyAlignment="1" applyProtection="1">
      <alignment horizontal="center" vertical="center"/>
      <protection locked="0"/>
    </xf>
    <xf numFmtId="172" fontId="732" fillId="15" borderId="444" xfId="53" applyNumberFormat="1" applyFont="1" applyFill="1" applyBorder="1" applyAlignment="1" applyProtection="1">
      <alignment horizontal="center" vertical="center"/>
      <protection locked="0"/>
    </xf>
    <xf numFmtId="189" fontId="15" fillId="12" borderId="445" xfId="53" applyNumberFormat="1" applyFont="1" applyFill="1" applyBorder="1" applyAlignment="1" applyProtection="1">
      <alignment horizontal="center" vertical="center"/>
      <protection locked="0"/>
    </xf>
    <xf numFmtId="0" fontId="24" fillId="3" borderId="382" xfId="48" applyFont="1" applyFill="1" applyBorder="1" applyAlignment="1">
      <alignment horizontal="center" vertical="center"/>
    </xf>
    <xf numFmtId="0" fontId="737" fillId="3" borderId="497" xfId="48" quotePrefix="1" applyFont="1" applyFill="1" applyBorder="1" applyAlignment="1">
      <alignment horizontal="center" vertical="center"/>
    </xf>
    <xf numFmtId="172" fontId="46" fillId="12" borderId="497" xfId="65" applyNumberFormat="1" applyFont="1" applyFill="1" applyBorder="1" applyAlignment="1" applyProtection="1">
      <alignment horizontal="center" vertical="center" wrapText="1"/>
      <protection locked="0"/>
    </xf>
    <xf numFmtId="205" fontId="46" fillId="12" borderId="383" xfId="65" applyNumberFormat="1" applyFont="1" applyFill="1" applyBorder="1" applyAlignment="1" applyProtection="1">
      <alignment horizontal="center" vertical="center" wrapText="1"/>
      <protection locked="0"/>
    </xf>
    <xf numFmtId="0" fontId="67" fillId="3" borderId="0" xfId="48" applyFont="1" applyFill="1" applyAlignment="1">
      <alignment horizontal="center" vertical="center" wrapText="1"/>
    </xf>
    <xf numFmtId="0" fontId="67" fillId="3" borderId="4" xfId="48" applyFont="1" applyFill="1" applyBorder="1" applyAlignment="1">
      <alignment horizontal="center" vertical="center" wrapText="1"/>
    </xf>
    <xf numFmtId="0" fontId="24" fillId="3" borderId="5" xfId="48" applyFont="1" applyFill="1" applyBorder="1" applyAlignment="1">
      <alignment horizontal="left" vertical="center"/>
    </xf>
    <xf numFmtId="0" fontId="733" fillId="3" borderId="0" xfId="53" applyFont="1" applyFill="1"/>
    <xf numFmtId="0" fontId="738" fillId="3" borderId="5" xfId="48" applyFont="1" applyFill="1" applyBorder="1" applyAlignment="1">
      <alignment horizontal="right" vertical="center"/>
    </xf>
    <xf numFmtId="0" fontId="4" fillId="3" borderId="358" xfId="53" applyFill="1" applyBorder="1"/>
    <xf numFmtId="0" fontId="4" fillId="3" borderId="1" xfId="53" applyFill="1" applyBorder="1"/>
    <xf numFmtId="0" fontId="67" fillId="3" borderId="1" xfId="48" applyFont="1" applyFill="1" applyBorder="1" applyAlignment="1">
      <alignment horizontal="center" vertical="center" wrapText="1"/>
    </xf>
    <xf numFmtId="0" fontId="67" fillId="3" borderId="60" xfId="48" applyFont="1" applyFill="1" applyBorder="1" applyAlignment="1">
      <alignment horizontal="center" vertical="center" wrapText="1"/>
    </xf>
    <xf numFmtId="0" fontId="738" fillId="3" borderId="90" xfId="48" applyFont="1" applyFill="1" applyBorder="1" applyAlignment="1">
      <alignment horizontal="right" vertical="center"/>
    </xf>
    <xf numFmtId="0" fontId="4" fillId="3" borderId="89" xfId="53" applyFill="1" applyBorder="1"/>
    <xf numFmtId="0" fontId="4" fillId="0" borderId="89" xfId="53" applyBorder="1"/>
    <xf numFmtId="0" fontId="4" fillId="0" borderId="91" xfId="53" applyBorder="1"/>
    <xf numFmtId="0" fontId="24" fillId="3" borderId="19" xfId="48" applyFont="1" applyFill="1" applyBorder="1" applyAlignment="1">
      <alignment horizontal="left" vertical="center"/>
    </xf>
    <xf numFmtId="0" fontId="24" fillId="3" borderId="18" xfId="48" applyFont="1" applyFill="1" applyBorder="1" applyAlignment="1">
      <alignment horizontal="left" vertical="center"/>
    </xf>
    <xf numFmtId="0" fontId="147" fillId="3" borderId="18" xfId="53" applyFont="1" applyFill="1" applyBorder="1"/>
    <xf numFmtId="0" fontId="67" fillId="3" borderId="17" xfId="48" applyFont="1" applyFill="1" applyBorder="1" applyAlignment="1">
      <alignment horizontal="center" vertical="center" wrapText="1"/>
    </xf>
    <xf numFmtId="0" fontId="733" fillId="3" borderId="1" xfId="53" applyFont="1" applyFill="1" applyBorder="1"/>
    <xf numFmtId="0" fontId="5" fillId="3" borderId="1" xfId="53" applyFont="1" applyFill="1" applyBorder="1"/>
    <xf numFmtId="0" fontId="550" fillId="890" borderId="0" xfId="48" applyFont="1" applyFill="1" applyAlignment="1">
      <alignment horizontal="center" vertical="center"/>
    </xf>
    <xf numFmtId="0" fontId="169" fillId="3" borderId="0" xfId="53" applyFont="1" applyFill="1" applyAlignment="1">
      <alignment vertical="center"/>
    </xf>
    <xf numFmtId="0" fontId="30" fillId="3" borderId="0" xfId="48" applyFont="1" applyFill="1" applyAlignment="1">
      <alignment horizontal="center" vertical="center" wrapText="1"/>
    </xf>
    <xf numFmtId="0" fontId="30" fillId="3" borderId="0" xfId="48" applyFont="1" applyFill="1" applyProtection="1">
      <protection hidden="1"/>
    </xf>
    <xf numFmtId="0" fontId="30" fillId="3" borderId="0" xfId="48" applyFont="1" applyFill="1" applyAlignment="1">
      <alignment horizontal="center" vertical="center"/>
    </xf>
    <xf numFmtId="0" fontId="30" fillId="3" borderId="0" xfId="48" applyFont="1" applyFill="1" applyAlignment="1">
      <alignment horizontal="centerContinuous" vertical="center"/>
    </xf>
    <xf numFmtId="2" fontId="11" fillId="8" borderId="0" xfId="53" applyNumberFormat="1" applyFont="1" applyFill="1" applyAlignment="1" applyProtection="1">
      <alignment horizontal="center" vertical="center"/>
      <protection locked="0"/>
    </xf>
    <xf numFmtId="188" fontId="15" fillId="3" borderId="0" xfId="53" applyNumberFormat="1" applyFont="1" applyFill="1" applyAlignment="1" applyProtection="1">
      <alignment horizontal="center" vertical="center"/>
      <protection locked="0"/>
    </xf>
    <xf numFmtId="0" fontId="368" fillId="3" borderId="0" xfId="48" applyFont="1" applyFill="1" applyAlignment="1">
      <alignment horizontal="center" vertical="center"/>
    </xf>
    <xf numFmtId="0" fontId="169" fillId="3" borderId="0" xfId="53" applyFont="1" applyFill="1"/>
    <xf numFmtId="0" fontId="206" fillId="3" borderId="0" xfId="28" applyFont="1" applyFill="1"/>
    <xf numFmtId="0" fontId="12" fillId="3" borderId="0" xfId="53" applyFont="1" applyFill="1"/>
    <xf numFmtId="0" fontId="157" fillId="31" borderId="0" xfId="48" applyFont="1" applyFill="1" applyAlignment="1" applyProtection="1">
      <alignment horizontal="center" vertical="center"/>
      <protection locked="0"/>
    </xf>
    <xf numFmtId="0" fontId="23" fillId="3" borderId="0" xfId="60" applyFont="1" applyFill="1" applyAlignment="1">
      <alignment horizontal="left" vertical="center"/>
    </xf>
    <xf numFmtId="0" fontId="341" fillId="3" borderId="0" xfId="48" applyFont="1" applyFill="1" applyAlignment="1">
      <alignment vertical="center"/>
    </xf>
    <xf numFmtId="0" fontId="30" fillId="0" borderId="0" xfId="48" applyFont="1" applyAlignment="1">
      <alignment horizontal="right" vertical="center"/>
    </xf>
    <xf numFmtId="0" fontId="8" fillId="3" borderId="0" xfId="48" applyFont="1" applyFill="1" applyAlignment="1" applyProtection="1">
      <alignment vertical="center"/>
      <protection hidden="1"/>
    </xf>
    <xf numFmtId="0" fontId="70" fillId="3" borderId="0" xfId="48" applyFont="1" applyFill="1" applyAlignment="1">
      <alignment vertical="center"/>
    </xf>
    <xf numFmtId="0" fontId="44" fillId="3" borderId="0" xfId="60" applyFont="1" applyFill="1"/>
    <xf numFmtId="0" fontId="549" fillId="3" borderId="0" xfId="13" applyFont="1" applyFill="1" applyAlignment="1">
      <alignment vertical="center"/>
    </xf>
    <xf numFmtId="0" fontId="53" fillId="3" borderId="0" xfId="48" applyFont="1" applyFill="1"/>
    <xf numFmtId="0" fontId="7" fillId="3" borderId="0" xfId="48" applyFill="1" applyProtection="1">
      <protection hidden="1"/>
    </xf>
    <xf numFmtId="0" fontId="221" fillId="13" borderId="382" xfId="48" applyFont="1" applyFill="1" applyBorder="1" applyAlignment="1">
      <alignment horizontal="center" vertical="center"/>
    </xf>
    <xf numFmtId="0" fontId="70" fillId="4" borderId="398" xfId="48" applyFont="1" applyFill="1" applyBorder="1" applyAlignment="1">
      <alignment horizontal="center" vertical="center"/>
    </xf>
    <xf numFmtId="0" fontId="81" fillId="13" borderId="398" xfId="48" applyFont="1" applyFill="1" applyBorder="1" applyAlignment="1">
      <alignment horizontal="center" vertical="center"/>
    </xf>
    <xf numFmtId="0" fontId="168" fillId="3" borderId="5" xfId="48" applyFont="1" applyFill="1" applyBorder="1" applyAlignment="1" applyProtection="1">
      <alignment horizontal="center" vertical="center"/>
      <protection hidden="1"/>
    </xf>
    <xf numFmtId="0" fontId="4" fillId="12" borderId="59" xfId="53" applyFill="1" applyBorder="1" applyAlignment="1">
      <alignment horizontal="center" vertical="center"/>
    </xf>
    <xf numFmtId="0" fontId="677" fillId="3" borderId="58" xfId="64" applyFill="1" applyBorder="1" applyAlignment="1">
      <alignment vertical="center"/>
    </xf>
    <xf numFmtId="0" fontId="54" fillId="3" borderId="58" xfId="32" applyFont="1" applyFill="1" applyBorder="1" applyAlignment="1">
      <alignment horizontal="center" vertical="center"/>
    </xf>
    <xf numFmtId="0" fontId="70" fillId="3" borderId="58" xfId="48" applyFont="1" applyFill="1" applyBorder="1" applyAlignment="1">
      <alignment horizontal="center" vertical="center"/>
    </xf>
    <xf numFmtId="0" fontId="70" fillId="3" borderId="254" xfId="48" applyFont="1" applyFill="1" applyBorder="1" applyAlignment="1">
      <alignment horizontal="center" vertical="center"/>
    </xf>
    <xf numFmtId="0" fontId="4" fillId="3" borderId="131" xfId="53" applyFill="1" applyBorder="1" applyAlignment="1">
      <alignment horizontal="center" vertical="center"/>
    </xf>
    <xf numFmtId="0" fontId="677" fillId="3" borderId="56" xfId="64" applyFill="1" applyBorder="1" applyAlignment="1">
      <alignment vertical="center"/>
    </xf>
    <xf numFmtId="0" fontId="7" fillId="3" borderId="57" xfId="48" applyFill="1" applyBorder="1" applyAlignment="1">
      <alignment horizontal="center" vertical="center" wrapText="1"/>
    </xf>
    <xf numFmtId="0" fontId="7" fillId="3" borderId="0" xfId="48" applyFill="1" applyAlignment="1">
      <alignment horizontal="center" vertical="center" wrapText="1"/>
    </xf>
    <xf numFmtId="0" fontId="57" fillId="3" borderId="5" xfId="66" applyFill="1" applyBorder="1" applyAlignment="1">
      <alignment vertical="center" wrapText="1"/>
    </xf>
    <xf numFmtId="0" fontId="57" fillId="3" borderId="0" xfId="66" applyFill="1" applyBorder="1" applyAlignment="1">
      <alignment vertical="center" wrapText="1"/>
    </xf>
    <xf numFmtId="0" fontId="54" fillId="3" borderId="56" xfId="32" applyFont="1" applyFill="1" applyBorder="1" applyAlignment="1">
      <alignment horizontal="center" vertical="center"/>
    </xf>
    <xf numFmtId="0" fontId="70" fillId="3" borderId="0" xfId="48" applyFont="1" applyFill="1" applyAlignment="1">
      <alignment horizontal="centerContinuous" vertical="center"/>
    </xf>
    <xf numFmtId="0" fontId="7" fillId="1" borderId="0" xfId="48" applyFill="1" applyAlignment="1">
      <alignment vertical="center"/>
    </xf>
    <xf numFmtId="0" fontId="7" fillId="1" borderId="4" xfId="48" applyFill="1" applyBorder="1" applyAlignment="1">
      <alignment vertical="center"/>
    </xf>
    <xf numFmtId="0" fontId="7" fillId="3" borderId="0" xfId="48" applyFill="1" applyAlignment="1">
      <alignment horizontal="center" vertical="center"/>
    </xf>
    <xf numFmtId="0" fontId="7" fillId="3" borderId="0" xfId="48" applyFill="1" applyAlignment="1">
      <alignment horizontal="centerContinuous" vertical="center"/>
    </xf>
    <xf numFmtId="0" fontId="7" fillId="3" borderId="4" xfId="48" applyFill="1" applyBorder="1" applyAlignment="1">
      <alignment horizontal="center" vertical="center"/>
    </xf>
    <xf numFmtId="0" fontId="4" fillId="3" borderId="60" xfId="53" applyFill="1" applyBorder="1"/>
    <xf numFmtId="0" fontId="7" fillId="3" borderId="1" xfId="48" applyFill="1" applyBorder="1" applyAlignment="1">
      <alignment horizontal="center" vertical="center"/>
    </xf>
    <xf numFmtId="0" fontId="7" fillId="3" borderId="1" xfId="48" applyFill="1" applyBorder="1" applyAlignment="1">
      <alignment horizontal="centerContinuous" vertical="center"/>
    </xf>
    <xf numFmtId="0" fontId="7" fillId="3" borderId="60" xfId="48" applyFill="1" applyBorder="1" applyAlignment="1">
      <alignment horizontal="center" vertical="center"/>
    </xf>
    <xf numFmtId="0" fontId="200" fillId="3" borderId="0" xfId="48" applyFont="1" applyFill="1" applyAlignment="1" applyProtection="1">
      <alignment vertical="center"/>
      <protection hidden="1"/>
    </xf>
    <xf numFmtId="0" fontId="23" fillId="3" borderId="0" xfId="48" applyFont="1" applyFill="1" applyAlignment="1" applyProtection="1">
      <alignment vertical="center"/>
      <protection hidden="1"/>
    </xf>
    <xf numFmtId="0" fontId="168" fillId="42" borderId="0" xfId="48" applyFont="1" applyFill="1" applyAlignment="1" applyProtection="1">
      <alignment horizontal="center" vertical="center"/>
      <protection hidden="1"/>
    </xf>
    <xf numFmtId="0" fontId="145" fillId="3" borderId="0" xfId="66" applyFont="1" applyFill="1" applyAlignment="1" applyProtection="1">
      <alignment vertical="center"/>
      <protection hidden="1"/>
    </xf>
    <xf numFmtId="0" fontId="61" fillId="3" borderId="0" xfId="48" applyFont="1" applyFill="1" applyAlignment="1" applyProtection="1">
      <alignment vertical="center"/>
      <protection hidden="1"/>
    </xf>
    <xf numFmtId="0" fontId="255" fillId="3" borderId="0" xfId="66" applyFont="1" applyFill="1" applyAlignment="1" applyProtection="1">
      <alignment vertical="center"/>
      <protection hidden="1"/>
    </xf>
    <xf numFmtId="0" fontId="182" fillId="3" borderId="0" xfId="8" applyFont="1" applyFill="1" applyAlignment="1" applyProtection="1">
      <alignment horizontal="left" vertical="center"/>
      <protection hidden="1"/>
    </xf>
    <xf numFmtId="0" fontId="68" fillId="3" borderId="0" xfId="66" applyFont="1" applyFill="1" applyAlignment="1" applyProtection="1">
      <alignment vertical="center"/>
      <protection hidden="1"/>
    </xf>
    <xf numFmtId="0" fontId="4" fillId="12" borderId="496" xfId="53" applyFill="1" applyBorder="1" applyAlignment="1">
      <alignment horizontal="center" vertical="center"/>
    </xf>
    <xf numFmtId="0" fontId="174" fillId="3" borderId="444" xfId="48" applyFont="1" applyFill="1" applyBorder="1" applyAlignment="1">
      <alignment horizontal="left" vertical="center"/>
    </xf>
    <xf numFmtId="0" fontId="376" fillId="3" borderId="0" xfId="13" applyFont="1" applyFill="1" applyAlignment="1">
      <alignment horizontal="right" vertical="center"/>
    </xf>
    <xf numFmtId="2" fontId="383" fillId="8" borderId="514" xfId="52" applyNumberFormat="1" applyFont="1" applyFill="1" applyBorder="1" applyAlignment="1">
      <alignment horizontal="center" vertical="center"/>
    </xf>
    <xf numFmtId="171" fontId="383" fillId="8" borderId="514" xfId="52" applyNumberFormat="1" applyFont="1" applyFill="1" applyBorder="1" applyAlignment="1">
      <alignment horizontal="center" vertical="center"/>
    </xf>
    <xf numFmtId="175" fontId="383" fillId="8" borderId="514" xfId="12" applyNumberFormat="1" applyFont="1" applyFill="1" applyBorder="1" applyAlignment="1" applyProtection="1">
      <alignment horizontal="center" vertical="center"/>
      <protection locked="0"/>
    </xf>
    <xf numFmtId="0" fontId="38" fillId="15" borderId="514" xfId="52" applyFont="1" applyFill="1" applyBorder="1" applyAlignment="1">
      <alignment horizontal="center" vertical="center"/>
    </xf>
    <xf numFmtId="0" fontId="152" fillId="38" borderId="424" xfId="13" applyFont="1" applyFill="1" applyBorder="1" applyAlignment="1">
      <alignment vertical="center"/>
    </xf>
    <xf numFmtId="0" fontId="152" fillId="38" borderId="7" xfId="13" applyFont="1" applyFill="1" applyBorder="1" applyAlignment="1">
      <alignment vertical="center"/>
    </xf>
    <xf numFmtId="0" fontId="152" fillId="38" borderId="419" xfId="13" applyFont="1" applyFill="1" applyBorder="1" applyAlignment="1">
      <alignment horizontal="right" vertical="center"/>
    </xf>
    <xf numFmtId="0" fontId="39" fillId="64" borderId="495" xfId="13" applyFont="1" applyFill="1" applyBorder="1" applyAlignment="1" applyProtection="1">
      <alignment horizontal="center" vertical="center"/>
      <protection locked="0"/>
    </xf>
    <xf numFmtId="0" fontId="39" fillId="64" borderId="495" xfId="13" applyFont="1" applyFill="1" applyBorder="1" applyAlignment="1" applyProtection="1">
      <alignment horizontal="left" vertical="center"/>
      <protection locked="0"/>
    </xf>
    <xf numFmtId="213" fontId="13" fillId="8" borderId="495" xfId="13" applyNumberFormat="1" applyFont="1" applyFill="1" applyBorder="1" applyAlignment="1" applyProtection="1">
      <alignment horizontal="right" vertical="center"/>
      <protection locked="0"/>
    </xf>
    <xf numFmtId="214" fontId="13" fillId="8" borderId="495" xfId="60" applyNumberFormat="1" applyFont="1" applyFill="1" applyBorder="1" applyAlignment="1">
      <alignment horizontal="center" vertical="center"/>
    </xf>
    <xf numFmtId="0" fontId="384" fillId="58" borderId="22" xfId="13" applyFont="1" applyFill="1" applyBorder="1" applyAlignment="1" applyProtection="1">
      <alignment horizontal="center" vertical="center"/>
      <protection locked="0"/>
    </xf>
    <xf numFmtId="1" fontId="49" fillId="64" borderId="524" xfId="13" applyNumberFormat="1" applyFont="1" applyFill="1" applyBorder="1" applyAlignment="1" applyProtection="1">
      <alignment horizontal="center" vertical="center"/>
      <protection locked="0"/>
    </xf>
    <xf numFmtId="213" fontId="13" fillId="8" borderId="525" xfId="13" applyNumberFormat="1" applyFont="1" applyFill="1" applyBorder="1" applyAlignment="1" applyProtection="1">
      <alignment horizontal="right" vertical="center"/>
      <protection locked="0"/>
    </xf>
    <xf numFmtId="214" fontId="13" fillId="8" borderId="525" xfId="60" applyNumberFormat="1" applyFont="1" applyFill="1" applyBorder="1" applyAlignment="1">
      <alignment horizontal="center" vertical="center"/>
    </xf>
    <xf numFmtId="1" fontId="7" fillId="8" borderId="526" xfId="13" applyNumberFormat="1" applyFont="1" applyFill="1" applyBorder="1" applyAlignment="1" applyProtection="1">
      <alignment horizontal="left" vertical="center"/>
      <protection locked="0"/>
    </xf>
    <xf numFmtId="213" fontId="13" fillId="8" borderId="524" xfId="13" applyNumberFormat="1" applyFont="1" applyFill="1" applyBorder="1" applyAlignment="1" applyProtection="1">
      <alignment horizontal="right" vertical="center"/>
      <protection locked="0"/>
    </xf>
    <xf numFmtId="1" fontId="7" fillId="8" borderId="527" xfId="13" applyNumberFormat="1" applyFont="1" applyFill="1" applyBorder="1" applyAlignment="1" applyProtection="1">
      <alignment horizontal="left" vertical="center"/>
      <protection locked="0"/>
    </xf>
    <xf numFmtId="0" fontId="436" fillId="42" borderId="424" xfId="13" applyFont="1" applyFill="1" applyBorder="1" applyAlignment="1">
      <alignment vertical="center"/>
    </xf>
    <xf numFmtId="0" fontId="436" fillId="42" borderId="7" xfId="13" applyFont="1" applyFill="1" applyBorder="1" applyAlignment="1">
      <alignment vertical="center"/>
    </xf>
    <xf numFmtId="0" fontId="436" fillId="42" borderId="419" xfId="13" applyFont="1" applyFill="1" applyBorder="1" applyAlignment="1">
      <alignment horizontal="right" vertical="center"/>
    </xf>
    <xf numFmtId="215" fontId="13" fillId="8" borderId="495" xfId="60" applyNumberFormat="1" applyFont="1" applyFill="1" applyBorder="1" applyAlignment="1">
      <alignment horizontal="center" vertical="center"/>
    </xf>
    <xf numFmtId="0" fontId="39" fillId="64" borderId="101" xfId="13" applyFont="1" applyFill="1" applyBorder="1" applyAlignment="1" applyProtection="1">
      <alignment horizontal="center" vertical="center"/>
      <protection locked="0"/>
    </xf>
    <xf numFmtId="0" fontId="39" fillId="64" borderId="101" xfId="13" applyFont="1" applyFill="1" applyBorder="1" applyAlignment="1" applyProtection="1">
      <alignment horizontal="left" vertical="center"/>
      <protection locked="0"/>
    </xf>
    <xf numFmtId="168" fontId="384" fillId="40" borderId="530" xfId="13" applyNumberFormat="1" applyFont="1" applyFill="1" applyBorder="1" applyAlignment="1" applyProtection="1">
      <alignment horizontal="center" vertical="center"/>
      <protection locked="0"/>
    </xf>
    <xf numFmtId="168" fontId="49" fillId="64" borderId="531" xfId="13" applyNumberFormat="1" applyFont="1" applyFill="1" applyBorder="1" applyAlignment="1" applyProtection="1">
      <alignment horizontal="center" vertical="center"/>
      <protection locked="0"/>
    </xf>
    <xf numFmtId="213" fontId="13" fillId="8" borderId="101" xfId="13" applyNumberFormat="1" applyFont="1" applyFill="1" applyBorder="1" applyAlignment="1" applyProtection="1">
      <alignment horizontal="right" vertical="center"/>
      <protection locked="0"/>
    </xf>
    <xf numFmtId="215" fontId="13" fillId="8" borderId="101" xfId="60" applyNumberFormat="1" applyFont="1" applyFill="1" applyBorder="1" applyAlignment="1">
      <alignment horizontal="center" vertical="center"/>
    </xf>
    <xf numFmtId="1" fontId="7" fillId="8" borderId="532" xfId="13" applyNumberFormat="1" applyFont="1" applyFill="1" applyBorder="1" applyAlignment="1" applyProtection="1">
      <alignment horizontal="left" vertical="center"/>
      <protection locked="0"/>
    </xf>
    <xf numFmtId="213" fontId="13" fillId="8" borderId="531" xfId="13" applyNumberFormat="1" applyFont="1" applyFill="1" applyBorder="1" applyAlignment="1" applyProtection="1">
      <alignment horizontal="right" vertical="center"/>
      <protection locked="0"/>
    </xf>
    <xf numFmtId="214" fontId="13" fillId="8" borderId="101" xfId="60" applyNumberFormat="1" applyFont="1" applyFill="1" applyBorder="1" applyAlignment="1">
      <alignment horizontal="center" vertical="center"/>
    </xf>
    <xf numFmtId="1" fontId="7" fillId="8" borderId="533" xfId="13" applyNumberFormat="1" applyFont="1" applyFill="1" applyBorder="1" applyAlignment="1" applyProtection="1">
      <alignment horizontal="left" vertical="center"/>
      <protection locked="0"/>
    </xf>
    <xf numFmtId="0" fontId="1" fillId="3" borderId="382" xfId="60" applyFill="1" applyBorder="1"/>
    <xf numFmtId="0" fontId="122" fillId="14" borderId="497" xfId="13" applyFont="1" applyFill="1" applyBorder="1" applyAlignment="1" applyProtection="1">
      <alignment horizontal="right" vertical="center" wrapText="1"/>
      <protection locked="0"/>
    </xf>
    <xf numFmtId="0" fontId="39" fillId="14" borderId="497" xfId="13" applyFont="1" applyFill="1" applyBorder="1" applyAlignment="1" applyProtection="1">
      <alignment horizontal="center" vertical="center"/>
      <protection locked="0"/>
    </xf>
    <xf numFmtId="0" fontId="39" fillId="14" borderId="497" xfId="13" applyFont="1" applyFill="1" applyBorder="1" applyAlignment="1" applyProtection="1">
      <alignment horizontal="left" vertical="center"/>
      <protection locked="0"/>
    </xf>
    <xf numFmtId="168" fontId="384" fillId="14" borderId="497" xfId="13" applyNumberFormat="1" applyFont="1" applyFill="1" applyBorder="1" applyAlignment="1" applyProtection="1">
      <alignment horizontal="center" vertical="center"/>
      <protection locked="0"/>
    </xf>
    <xf numFmtId="168" fontId="49" fillId="14" borderId="497" xfId="13" applyNumberFormat="1" applyFont="1" applyFill="1" applyBorder="1" applyAlignment="1" applyProtection="1">
      <alignment horizontal="center" vertical="center"/>
      <protection locked="0"/>
    </xf>
    <xf numFmtId="0" fontId="49" fillId="3" borderId="497" xfId="13" applyFont="1" applyFill="1" applyBorder="1" applyAlignment="1" applyProtection="1">
      <alignment horizontal="left" vertical="center"/>
      <protection locked="0"/>
    </xf>
    <xf numFmtId="213" fontId="13" fillId="3" borderId="497" xfId="13" applyNumberFormat="1" applyFont="1" applyFill="1" applyBorder="1" applyAlignment="1" applyProtection="1">
      <alignment horizontal="right" vertical="center"/>
      <protection locked="0"/>
    </xf>
    <xf numFmtId="215" fontId="13" fillId="3" borderId="497" xfId="60" applyNumberFormat="1" applyFont="1" applyFill="1" applyBorder="1" applyAlignment="1">
      <alignment horizontal="center" vertical="center"/>
    </xf>
    <xf numFmtId="1" fontId="7" fillId="3" borderId="497" xfId="13" applyNumberFormat="1" applyFont="1" applyFill="1" applyBorder="1" applyAlignment="1" applyProtection="1">
      <alignment horizontal="left" vertical="center"/>
      <protection locked="0"/>
    </xf>
    <xf numFmtId="214" fontId="13" fillId="3" borderId="497" xfId="60" applyNumberFormat="1" applyFont="1" applyFill="1" applyBorder="1" applyAlignment="1">
      <alignment horizontal="center" vertical="center"/>
    </xf>
    <xf numFmtId="1" fontId="7" fillId="3" borderId="383" xfId="13" applyNumberFormat="1" applyFont="1" applyFill="1" applyBorder="1" applyAlignment="1" applyProtection="1">
      <alignment horizontal="left" vertical="center"/>
      <protection locked="0"/>
    </xf>
    <xf numFmtId="0" fontId="1" fillId="3" borderId="131" xfId="60" applyFill="1" applyBorder="1" applyAlignment="1">
      <alignment vertical="center"/>
    </xf>
    <xf numFmtId="0" fontId="122" fillId="14" borderId="58" xfId="13" applyFont="1" applyFill="1" applyBorder="1" applyAlignment="1" applyProtection="1">
      <alignment horizontal="right" vertical="center" wrapText="1"/>
      <protection locked="0"/>
    </xf>
    <xf numFmtId="168" fontId="384" fillId="14" borderId="58" xfId="13" applyNumberFormat="1" applyFont="1" applyFill="1" applyBorder="1" applyAlignment="1" applyProtection="1">
      <alignment horizontal="center" vertical="center"/>
      <protection locked="0"/>
    </xf>
    <xf numFmtId="168" fontId="49" fillId="14" borderId="58" xfId="13" applyNumberFormat="1" applyFont="1" applyFill="1" applyBorder="1" applyAlignment="1" applyProtection="1">
      <alignment horizontal="center" vertical="center"/>
      <protection locked="0"/>
    </xf>
    <xf numFmtId="0" fontId="49" fillId="3" borderId="58" xfId="13" applyFont="1" applyFill="1" applyBorder="1" applyAlignment="1" applyProtection="1">
      <alignment horizontal="left" vertical="center"/>
      <protection locked="0"/>
    </xf>
    <xf numFmtId="215" fontId="13" fillId="3" borderId="58" xfId="60" applyNumberFormat="1" applyFont="1" applyFill="1" applyBorder="1" applyAlignment="1">
      <alignment horizontal="center" vertical="center"/>
    </xf>
    <xf numFmtId="1" fontId="7" fillId="3" borderId="58" xfId="13" applyNumberFormat="1" applyFont="1" applyFill="1" applyBorder="1" applyAlignment="1" applyProtection="1">
      <alignment horizontal="left" vertical="center"/>
      <protection locked="0"/>
    </xf>
    <xf numFmtId="214" fontId="13" fillId="3" borderId="58" xfId="60" applyNumberFormat="1" applyFont="1" applyFill="1" applyBorder="1" applyAlignment="1">
      <alignment horizontal="center" vertical="center"/>
    </xf>
    <xf numFmtId="1" fontId="7" fillId="3" borderId="56" xfId="13" applyNumberFormat="1" applyFont="1" applyFill="1" applyBorder="1" applyAlignment="1" applyProtection="1">
      <alignment horizontal="left" vertical="center"/>
      <protection locked="0"/>
    </xf>
    <xf numFmtId="214" fontId="13" fillId="32" borderId="0" xfId="60" applyNumberFormat="1" applyFont="1" applyFill="1" applyAlignment="1">
      <alignment horizontal="center" vertical="center"/>
    </xf>
    <xf numFmtId="0" fontId="169" fillId="3" borderId="58" xfId="53" applyFont="1" applyFill="1" applyBorder="1" applyAlignment="1">
      <alignment horizontal="center" vertical="center"/>
    </xf>
    <xf numFmtId="0" fontId="169" fillId="3" borderId="56" xfId="53" applyFont="1" applyFill="1" applyBorder="1" applyAlignment="1">
      <alignment horizontal="center" vertical="center"/>
    </xf>
    <xf numFmtId="0" fontId="39" fillId="14" borderId="0" xfId="13" applyFont="1" applyFill="1" applyAlignment="1" applyProtection="1">
      <alignment horizontal="center" vertical="center"/>
      <protection locked="0"/>
    </xf>
    <xf numFmtId="0" fontId="39" fillId="14" borderId="4" xfId="13" applyFont="1" applyFill="1" applyBorder="1" applyAlignment="1" applyProtection="1">
      <alignment horizontal="left" vertical="center"/>
      <protection locked="0"/>
    </xf>
    <xf numFmtId="0" fontId="36" fillId="38" borderId="5" xfId="13" applyFont="1" applyFill="1" applyBorder="1" applyAlignment="1">
      <alignment vertical="center"/>
    </xf>
    <xf numFmtId="0" fontId="36" fillId="38" borderId="0" xfId="13" applyFont="1" applyFill="1" applyAlignment="1">
      <alignment vertical="center"/>
    </xf>
    <xf numFmtId="0" fontId="36" fillId="38" borderId="4" xfId="13" applyFont="1" applyFill="1" applyBorder="1" applyAlignment="1">
      <alignment vertical="center"/>
    </xf>
    <xf numFmtId="0" fontId="39" fillId="14" borderId="1" xfId="13" applyFont="1" applyFill="1" applyBorder="1" applyAlignment="1" applyProtection="1">
      <alignment horizontal="center" vertical="center"/>
      <protection locked="0"/>
    </xf>
    <xf numFmtId="0" fontId="39" fillId="14" borderId="60" xfId="13" applyFont="1" applyFill="1" applyBorder="1" applyAlignment="1" applyProtection="1">
      <alignment horizontal="left" vertical="center"/>
      <protection locked="0"/>
    </xf>
    <xf numFmtId="0" fontId="70" fillId="10" borderId="398" xfId="48" applyFont="1" applyFill="1" applyBorder="1" applyAlignment="1">
      <alignment horizontal="center" vertical="center"/>
    </xf>
    <xf numFmtId="0" fontId="677" fillId="3" borderId="444" xfId="64" applyFill="1" applyBorder="1" applyAlignment="1">
      <alignment vertical="center"/>
    </xf>
    <xf numFmtId="0" fontId="677" fillId="3" borderId="445" xfId="64" applyFill="1" applyBorder="1" applyAlignment="1">
      <alignment vertical="center"/>
    </xf>
    <xf numFmtId="195" fontId="54" fillId="50" borderId="5" xfId="32" applyNumberFormat="1" applyFont="1" applyFill="1" applyBorder="1" applyAlignment="1">
      <alignment horizontal="center" vertical="center"/>
    </xf>
    <xf numFmtId="0" fontId="182" fillId="3" borderId="0" xfId="28" applyFont="1" applyFill="1" applyAlignment="1">
      <alignment horizontal="center" vertical="center"/>
    </xf>
    <xf numFmtId="0" fontId="145" fillId="3" borderId="0" xfId="28" applyFont="1" applyFill="1" applyAlignment="1">
      <alignment horizontal="left" vertical="center"/>
    </xf>
    <xf numFmtId="0" fontId="145" fillId="3" borderId="0" xfId="28" applyFont="1" applyFill="1" applyAlignment="1">
      <alignment horizontal="center" vertical="center"/>
    </xf>
    <xf numFmtId="0" fontId="182" fillId="3" borderId="0" xfId="28" applyFont="1" applyFill="1" applyAlignment="1">
      <alignment vertical="center"/>
    </xf>
    <xf numFmtId="0" fontId="182" fillId="3" borderId="0" xfId="28" applyFont="1" applyFill="1" applyAlignment="1">
      <alignment horizontal="center"/>
    </xf>
    <xf numFmtId="0" fontId="27" fillId="3" borderId="4" xfId="48" applyFont="1" applyFill="1" applyBorder="1"/>
    <xf numFmtId="0" fontId="740" fillId="3" borderId="5" xfId="48" applyFont="1" applyFill="1" applyBorder="1"/>
    <xf numFmtId="0" fontId="7" fillId="3" borderId="5" xfId="48" applyFill="1" applyBorder="1"/>
    <xf numFmtId="0" fontId="4" fillId="3" borderId="0" xfId="60" applyFont="1" applyFill="1"/>
    <xf numFmtId="0" fontId="24" fillId="3" borderId="0" xfId="32" applyFont="1" applyFill="1" applyAlignment="1">
      <alignment vertical="center" wrapText="1"/>
    </xf>
    <xf numFmtId="0" fontId="30" fillId="3" borderId="0" xfId="32" applyFont="1" applyFill="1" applyAlignment="1">
      <alignment horizontal="right" vertical="center"/>
    </xf>
    <xf numFmtId="0" fontId="235" fillId="3" borderId="0" xfId="48" applyFont="1" applyFill="1" applyAlignment="1">
      <alignment vertical="center"/>
    </xf>
    <xf numFmtId="0" fontId="27" fillId="3" borderId="0" xfId="48" applyFont="1" applyFill="1"/>
    <xf numFmtId="0" fontId="1" fillId="3" borderId="0" xfId="60" applyFill="1"/>
    <xf numFmtId="0" fontId="594" fillId="3" borderId="0" xfId="60" applyFont="1" applyFill="1" applyAlignment="1">
      <alignment horizontal="center"/>
    </xf>
    <xf numFmtId="198" fontId="741" fillId="1995" borderId="0" xfId="48" applyNumberFormat="1" applyFont="1" applyFill="1" applyAlignment="1">
      <alignment horizontal="center" vertical="center"/>
    </xf>
    <xf numFmtId="198" fontId="32" fillId="1996" borderId="0" xfId="48" applyNumberFormat="1" applyFont="1" applyFill="1" applyAlignment="1">
      <alignment horizontal="center" vertical="center"/>
    </xf>
    <xf numFmtId="198" fontId="431" fillId="1996" borderId="0" xfId="48" applyNumberFormat="1" applyFont="1" applyFill="1" applyAlignment="1">
      <alignment horizontal="center" vertical="center"/>
    </xf>
    <xf numFmtId="0" fontId="11" fillId="3" borderId="0" xfId="60" applyFont="1" applyFill="1" applyAlignment="1">
      <alignment horizontal="center"/>
    </xf>
    <xf numFmtId="198" fontId="11" fillId="1995" borderId="0" xfId="48" applyNumberFormat="1" applyFont="1" applyFill="1" applyAlignment="1">
      <alignment horizontal="center" vertical="center"/>
    </xf>
    <xf numFmtId="0" fontId="40" fillId="3" borderId="0" xfId="60" applyFont="1" applyFill="1" applyAlignment="1">
      <alignment horizontal="right" vertical="center"/>
    </xf>
    <xf numFmtId="0" fontId="394" fillId="3" borderId="0" xfId="60" applyFont="1" applyFill="1" applyAlignment="1">
      <alignment horizontal="right" vertical="center"/>
    </xf>
    <xf numFmtId="198" fontId="742" fillId="1995" borderId="0" xfId="48" applyNumberFormat="1" applyFont="1" applyFill="1" applyAlignment="1">
      <alignment horizontal="right" vertical="center"/>
    </xf>
    <xf numFmtId="198" fontId="742" fillId="1995" borderId="0" xfId="48" applyNumberFormat="1" applyFont="1" applyFill="1" applyAlignment="1">
      <alignment horizontal="left" vertical="center"/>
    </xf>
    <xf numFmtId="0" fontId="44" fillId="3" borderId="0" xfId="60" applyFont="1" applyFill="1" applyAlignment="1">
      <alignment horizontal="center" vertical="center"/>
    </xf>
    <xf numFmtId="0" fontId="4" fillId="3" borderId="398" xfId="53" applyFill="1" applyBorder="1"/>
    <xf numFmtId="0" fontId="15" fillId="3" borderId="497" xfId="13" applyFont="1" applyFill="1" applyBorder="1" applyAlignment="1" applyProtection="1">
      <alignment horizontal="right" vertical="center"/>
      <protection locked="0"/>
    </xf>
    <xf numFmtId="198" fontId="71" fillId="1996" borderId="497" xfId="48" applyNumberFormat="1" applyFont="1" applyFill="1" applyBorder="1" applyAlignment="1">
      <alignment horizontal="center" vertical="center"/>
    </xf>
    <xf numFmtId="0" fontId="15" fillId="3" borderId="398" xfId="60" applyFont="1" applyFill="1" applyBorder="1" applyAlignment="1">
      <alignment horizontal="right" vertical="center"/>
    </xf>
    <xf numFmtId="0" fontId="15" fillId="3" borderId="497" xfId="60" applyFont="1" applyFill="1" applyBorder="1" applyAlignment="1">
      <alignment horizontal="left" vertical="center"/>
    </xf>
    <xf numFmtId="0" fontId="15" fillId="3" borderId="497" xfId="60" applyFont="1" applyFill="1" applyBorder="1" applyAlignment="1">
      <alignment vertical="center"/>
    </xf>
    <xf numFmtId="0" fontId="15" fillId="3" borderId="401" xfId="60" applyFont="1" applyFill="1" applyBorder="1" applyAlignment="1">
      <alignment vertical="center"/>
    </xf>
    <xf numFmtId="0" fontId="4" fillId="3" borderId="57" xfId="53" applyFill="1" applyBorder="1"/>
    <xf numFmtId="0" fontId="15" fillId="3" borderId="0" xfId="32" applyFont="1" applyFill="1" applyAlignment="1">
      <alignment horizontal="right" vertical="center"/>
    </xf>
    <xf numFmtId="198" fontId="743" fillId="1996" borderId="0" xfId="48" applyNumberFormat="1" applyFont="1" applyFill="1" applyAlignment="1">
      <alignment horizontal="center" vertical="center"/>
    </xf>
    <xf numFmtId="0" fontId="15" fillId="3" borderId="57" xfId="60" applyFont="1" applyFill="1" applyBorder="1" applyAlignment="1">
      <alignment horizontal="right" vertical="center"/>
    </xf>
    <xf numFmtId="227" fontId="15" fillId="1995" borderId="0" xfId="48" applyNumberFormat="1" applyFont="1" applyFill="1" applyAlignment="1">
      <alignment horizontal="center" vertical="center"/>
    </xf>
    <xf numFmtId="0" fontId="15" fillId="3" borderId="0" xfId="60" applyFont="1" applyFill="1" applyAlignment="1">
      <alignment horizontal="center" vertical="center"/>
    </xf>
    <xf numFmtId="198" fontId="15" fillId="1995" borderId="301" xfId="48" applyNumberFormat="1" applyFont="1" applyFill="1" applyBorder="1" applyAlignment="1">
      <alignment horizontal="left" vertical="center"/>
    </xf>
    <xf numFmtId="0" fontId="157" fillId="3" borderId="460" xfId="48" applyFont="1" applyFill="1" applyBorder="1"/>
    <xf numFmtId="198" fontId="15" fillId="1995" borderId="444" xfId="48" applyNumberFormat="1" applyFont="1" applyFill="1" applyBorder="1" applyAlignment="1">
      <alignment horizontal="center" vertical="center"/>
    </xf>
    <xf numFmtId="198" fontId="15" fillId="1995" borderId="444" xfId="48" applyNumberFormat="1" applyFont="1" applyFill="1" applyBorder="1" applyAlignment="1">
      <alignment horizontal="left" vertical="center"/>
    </xf>
    <xf numFmtId="0" fontId="1" fillId="3" borderId="470" xfId="60" applyFill="1" applyBorder="1"/>
    <xf numFmtId="0" fontId="24" fillId="3" borderId="0" xfId="48" applyFont="1" applyFill="1" applyAlignment="1">
      <alignment horizontal="right" vertical="center"/>
    </xf>
    <xf numFmtId="0" fontId="158" fillId="3" borderId="0" xfId="60" applyFont="1" applyFill="1" applyAlignment="1">
      <alignment horizontal="center"/>
    </xf>
    <xf numFmtId="0" fontId="6" fillId="3" borderId="0" xfId="60" applyFont="1" applyFill="1" applyAlignment="1">
      <alignment horizontal="center"/>
    </xf>
    <xf numFmtId="0" fontId="24" fillId="3" borderId="0" xfId="60" applyFont="1" applyFill="1" applyAlignment="1">
      <alignment horizontal="left" vertical="center"/>
    </xf>
    <xf numFmtId="198" fontId="15" fillId="1995" borderId="0" xfId="48" applyNumberFormat="1" applyFont="1" applyFill="1" applyAlignment="1">
      <alignment horizontal="center" vertical="center"/>
    </xf>
    <xf numFmtId="198" fontId="15" fillId="1995" borderId="0" xfId="48" applyNumberFormat="1" applyFont="1" applyFill="1" applyAlignment="1">
      <alignment horizontal="left" vertical="center"/>
    </xf>
    <xf numFmtId="0" fontId="30" fillId="3" borderId="497" xfId="32" applyFont="1" applyFill="1" applyBorder="1" applyAlignment="1">
      <alignment horizontal="right" vertical="center"/>
    </xf>
    <xf numFmtId="198" fontId="15" fillId="1995" borderId="497" xfId="48" applyNumberFormat="1" applyFont="1" applyFill="1" applyBorder="1" applyAlignment="1">
      <alignment horizontal="center" vertical="center"/>
    </xf>
    <xf numFmtId="198" fontId="15" fillId="1995" borderId="497" xfId="48" applyNumberFormat="1" applyFont="1" applyFill="1" applyBorder="1" applyAlignment="1">
      <alignment horizontal="left" vertical="center"/>
    </xf>
    <xf numFmtId="0" fontId="1" fillId="3" borderId="497" xfId="60" applyFill="1" applyBorder="1"/>
    <xf numFmtId="0" fontId="27" fillId="3" borderId="383" xfId="48" applyFont="1" applyFill="1" applyBorder="1"/>
    <xf numFmtId="0" fontId="1" fillId="3" borderId="358" xfId="60" applyFill="1" applyBorder="1" applyAlignment="1">
      <alignment vertical="center"/>
    </xf>
    <xf numFmtId="0" fontId="30" fillId="3" borderId="1" xfId="32" applyFont="1" applyFill="1" applyBorder="1" applyAlignment="1">
      <alignment horizontal="right" vertical="center"/>
    </xf>
    <xf numFmtId="198" fontId="15" fillId="1995" borderId="1" xfId="48" applyNumberFormat="1" applyFont="1" applyFill="1" applyBorder="1" applyAlignment="1">
      <alignment horizontal="center" vertical="center"/>
    </xf>
    <xf numFmtId="198" fontId="15" fillId="1995" borderId="1" xfId="48" applyNumberFormat="1" applyFont="1" applyFill="1" applyBorder="1" applyAlignment="1">
      <alignment horizontal="left" vertical="center"/>
    </xf>
    <xf numFmtId="0" fontId="1" fillId="3" borderId="1" xfId="60" applyFill="1" applyBorder="1"/>
    <xf numFmtId="0" fontId="27" fillId="3" borderId="60" xfId="48" applyFont="1" applyFill="1" applyBorder="1"/>
    <xf numFmtId="0" fontId="70" fillId="4" borderId="366" xfId="48" applyFont="1" applyFill="1" applyBorder="1" applyAlignment="1">
      <alignment horizontal="center" vertical="center"/>
    </xf>
    <xf numFmtId="0" fontId="164" fillId="12" borderId="131" xfId="53" applyFont="1" applyFill="1" applyBorder="1" applyAlignment="1">
      <alignment horizontal="center" vertical="center"/>
    </xf>
    <xf numFmtId="0" fontId="61" fillId="3" borderId="58" xfId="48" applyFont="1" applyFill="1" applyBorder="1" applyAlignment="1">
      <alignment horizontal="left" vertical="center"/>
    </xf>
    <xf numFmtId="0" fontId="7" fillId="3" borderId="58" xfId="60" applyFont="1" applyFill="1" applyBorder="1"/>
    <xf numFmtId="0" fontId="73" fillId="0" borderId="58" xfId="13" applyBorder="1"/>
    <xf numFmtId="0" fontId="61" fillId="3" borderId="58" xfId="60" applyFont="1" applyFill="1" applyBorder="1" applyAlignment="1">
      <alignment horizontal="right" vertical="center"/>
    </xf>
    <xf numFmtId="0" fontId="441" fillId="13" borderId="56" xfId="60" applyFont="1" applyFill="1" applyBorder="1" applyAlignment="1">
      <alignment horizontal="center" vertical="center"/>
    </xf>
    <xf numFmtId="0" fontId="7" fillId="3" borderId="5" xfId="60" applyFont="1" applyFill="1" applyBorder="1"/>
    <xf numFmtId="0" fontId="7" fillId="3" borderId="0" xfId="60" applyFont="1" applyFill="1"/>
    <xf numFmtId="0" fontId="73" fillId="3" borderId="4" xfId="13" applyFill="1" applyBorder="1"/>
    <xf numFmtId="0" fontId="73" fillId="3" borderId="5" xfId="13" applyFill="1" applyBorder="1"/>
    <xf numFmtId="0" fontId="43" fillId="3" borderId="0" xfId="13" applyFont="1" applyFill="1" applyAlignment="1" applyProtection="1">
      <alignment vertical="center"/>
      <protection locked="0"/>
    </xf>
    <xf numFmtId="0" fontId="43" fillId="3" borderId="0" xfId="13" applyFont="1" applyFill="1" applyAlignment="1" applyProtection="1">
      <alignment horizontal="right" vertical="center"/>
      <protection locked="0"/>
    </xf>
    <xf numFmtId="0" fontId="745" fillId="1996" borderId="0" xfId="48" applyFont="1" applyFill="1" applyAlignment="1">
      <alignment horizontal="center" vertical="center"/>
    </xf>
    <xf numFmtId="198" fontId="71" fillId="1996" borderId="0" xfId="48" applyNumberFormat="1" applyFont="1" applyFill="1" applyAlignment="1">
      <alignment vertical="center"/>
    </xf>
    <xf numFmtId="0" fontId="43" fillId="3" borderId="0" xfId="60" applyFont="1" applyFill="1" applyAlignment="1">
      <alignment vertical="center"/>
    </xf>
    <xf numFmtId="0" fontId="27" fillId="3" borderId="0" xfId="60" applyFont="1" applyFill="1"/>
    <xf numFmtId="0" fontId="27" fillId="3" borderId="0" xfId="60" applyFont="1" applyFill="1" applyAlignment="1">
      <alignment horizontal="right"/>
    </xf>
    <xf numFmtId="0" fontId="43" fillId="3" borderId="0" xfId="32" applyFont="1" applyFill="1" applyAlignment="1">
      <alignment vertical="center"/>
    </xf>
    <xf numFmtId="0" fontId="43" fillId="3" borderId="0" xfId="32" applyFont="1" applyFill="1" applyAlignment="1">
      <alignment horizontal="right" vertical="center"/>
    </xf>
    <xf numFmtId="198" fontId="15" fillId="1995" borderId="0" xfId="48" applyNumberFormat="1" applyFont="1" applyFill="1" applyAlignment="1">
      <alignment vertical="center"/>
    </xf>
    <xf numFmtId="0" fontId="43" fillId="3" borderId="0" xfId="60" applyFont="1" applyFill="1" applyAlignment="1">
      <alignment horizontal="center" vertical="center"/>
    </xf>
    <xf numFmtId="0" fontId="43" fillId="1995" borderId="0" xfId="48" applyFont="1" applyFill="1" applyAlignment="1">
      <alignment horizontal="center" vertical="center"/>
    </xf>
    <xf numFmtId="0" fontId="73" fillId="3" borderId="4" xfId="13" applyFill="1" applyBorder="1" applyAlignment="1">
      <alignment horizontal="center"/>
    </xf>
    <xf numFmtId="0" fontId="27" fillId="3" borderId="5" xfId="60" applyFont="1" applyFill="1" applyBorder="1"/>
    <xf numFmtId="0" fontId="43" fillId="3" borderId="0" xfId="60" applyFont="1" applyFill="1" applyAlignment="1">
      <alignment horizontal="right" vertical="center"/>
    </xf>
    <xf numFmtId="0" fontId="43" fillId="1995" borderId="0" xfId="48" applyFont="1" applyFill="1" applyAlignment="1">
      <alignment horizontal="left" vertical="center"/>
    </xf>
    <xf numFmtId="198" fontId="43" fillId="1995" borderId="0" xfId="48" applyNumberFormat="1" applyFont="1" applyFill="1" applyAlignment="1">
      <alignment vertical="center"/>
    </xf>
    <xf numFmtId="198" fontId="43" fillId="3" borderId="0" xfId="60" applyNumberFormat="1" applyFont="1" applyFill="1" applyAlignment="1">
      <alignment horizontal="center" vertical="center"/>
    </xf>
    <xf numFmtId="165" fontId="353" fillId="4" borderId="5" xfId="32" applyNumberFormat="1" applyFont="1" applyFill="1" applyBorder="1" applyAlignment="1">
      <alignment vertical="center"/>
    </xf>
    <xf numFmtId="165" fontId="353" fillId="32" borderId="0" xfId="32" applyNumberFormat="1" applyFont="1" applyFill="1" applyAlignment="1">
      <alignment vertical="center"/>
    </xf>
    <xf numFmtId="165" fontId="353" fillId="32" borderId="4" xfId="32" applyNumberFormat="1" applyFont="1" applyFill="1" applyBorder="1" applyAlignment="1">
      <alignment vertical="center"/>
    </xf>
    <xf numFmtId="0" fontId="24" fillId="8" borderId="358" xfId="52" applyFont="1" applyFill="1" applyBorder="1" applyAlignment="1">
      <alignment vertical="center"/>
    </xf>
    <xf numFmtId="0" fontId="24" fillId="8" borderId="1" xfId="52" applyFont="1" applyFill="1" applyBorder="1" applyAlignment="1">
      <alignment vertical="center"/>
    </xf>
    <xf numFmtId="0" fontId="73" fillId="3" borderId="60" xfId="13" applyFill="1" applyBorder="1"/>
    <xf numFmtId="198" fontId="163" fillId="1996" borderId="0" xfId="48" applyNumberFormat="1" applyFont="1" applyFill="1" applyAlignment="1">
      <alignment vertical="center"/>
    </xf>
    <xf numFmtId="198" fontId="746" fillId="1996" borderId="0" xfId="48" applyNumberFormat="1" applyFont="1" applyFill="1" applyAlignment="1">
      <alignment vertical="center"/>
    </xf>
    <xf numFmtId="198" fontId="13" fillId="1995" borderId="0" xfId="48" applyNumberFormat="1" applyFont="1" applyFill="1" applyAlignment="1">
      <alignment horizontal="center" vertical="center"/>
    </xf>
    <xf numFmtId="0" fontId="27" fillId="0" borderId="0" xfId="60" applyFont="1"/>
    <xf numFmtId="198" fontId="43" fillId="1995" borderId="0" xfId="48" applyNumberFormat="1" applyFont="1" applyFill="1" applyAlignment="1">
      <alignment horizontal="left" vertical="center"/>
    </xf>
    <xf numFmtId="0" fontId="1" fillId="3" borderId="5" xfId="60" applyFill="1" applyBorder="1"/>
    <xf numFmtId="0" fontId="163" fillId="3" borderId="0" xfId="60" applyFont="1" applyFill="1" applyAlignment="1">
      <alignment horizontal="center" vertical="center"/>
    </xf>
    <xf numFmtId="0" fontId="163" fillId="3" borderId="58" xfId="60" applyFont="1" applyFill="1" applyBorder="1" applyAlignment="1">
      <alignment horizontal="center" vertical="center"/>
    </xf>
    <xf numFmtId="0" fontId="73" fillId="3" borderId="56" xfId="13" applyFill="1" applyBorder="1"/>
    <xf numFmtId="0" fontId="44" fillId="3" borderId="445" xfId="60" applyFont="1" applyFill="1" applyBorder="1" applyAlignment="1">
      <alignment horizontal="center"/>
    </xf>
    <xf numFmtId="0" fontId="4" fillId="12" borderId="5" xfId="53" applyFill="1" applyBorder="1" applyAlignment="1">
      <alignment horizontal="center" vertical="center"/>
    </xf>
    <xf numFmtId="0" fontId="44" fillId="3" borderId="0" xfId="60" applyFont="1" applyFill="1" applyAlignment="1">
      <alignment horizontal="center"/>
    </xf>
    <xf numFmtId="0" fontId="197" fillId="3" borderId="57" xfId="19" quotePrefix="1" applyFont="1" applyFill="1" applyBorder="1" applyAlignment="1">
      <alignment vertical="center"/>
    </xf>
    <xf numFmtId="0" fontId="204" fillId="3" borderId="0" xfId="19" quotePrefix="1" applyFont="1" applyFill="1" applyAlignment="1">
      <alignment horizontal="right" vertical="center"/>
    </xf>
    <xf numFmtId="1" fontId="204" fillId="3" borderId="0" xfId="19" applyNumberFormat="1" applyFont="1" applyFill="1" applyAlignment="1">
      <alignment horizontal="center" vertical="center"/>
    </xf>
    <xf numFmtId="0" fontId="697" fillId="0" borderId="4" xfId="60" applyFont="1" applyBorder="1"/>
    <xf numFmtId="0" fontId="24" fillId="3" borderId="497" xfId="19" applyFont="1" applyFill="1" applyBorder="1" applyAlignment="1">
      <alignment horizontal="center"/>
    </xf>
    <xf numFmtId="0" fontId="24" fillId="3" borderId="401" xfId="19" applyFont="1" applyFill="1" applyBorder="1" applyAlignment="1">
      <alignment horizontal="center"/>
    </xf>
    <xf numFmtId="0" fontId="24" fillId="3" borderId="383" xfId="19" applyFont="1" applyFill="1" applyBorder="1" applyAlignment="1">
      <alignment horizontal="center"/>
    </xf>
    <xf numFmtId="165" fontId="24" fillId="3" borderId="0" xfId="60" applyNumberFormat="1" applyFont="1" applyFill="1" applyAlignment="1">
      <alignment horizontal="center" vertical="center"/>
    </xf>
    <xf numFmtId="0" fontId="15" fillId="3" borderId="4" xfId="67" applyFont="1" applyFill="1" applyBorder="1" applyAlignment="1">
      <alignment horizontal="center" vertical="center" wrapText="1"/>
    </xf>
    <xf numFmtId="0" fontId="71" fillId="2" borderId="539" xfId="19" applyFont="1" applyFill="1" applyBorder="1" applyAlignment="1" applyProtection="1">
      <alignment horizontal="center" vertical="center"/>
      <protection locked="0"/>
    </xf>
    <xf numFmtId="0" fontId="749" fillId="2" borderId="500" xfId="67" applyFont="1" applyFill="1" applyBorder="1" applyAlignment="1">
      <alignment horizontal="center" vertical="center" wrapText="1"/>
    </xf>
    <xf numFmtId="168" fontId="40" fillId="2" borderId="500" xfId="19" applyNumberFormat="1" applyFont="1" applyFill="1" applyBorder="1" applyAlignment="1" applyProtection="1">
      <alignment horizontal="center" vertical="center"/>
      <protection locked="0"/>
    </xf>
    <xf numFmtId="165" fontId="15" fillId="5" borderId="56" xfId="60" applyNumberFormat="1" applyFont="1" applyFill="1" applyBorder="1" applyAlignment="1">
      <alignment horizontal="center" vertical="center"/>
    </xf>
    <xf numFmtId="165" fontId="15" fillId="5" borderId="540" xfId="60" applyNumberFormat="1" applyFont="1" applyFill="1" applyBorder="1" applyAlignment="1">
      <alignment horizontal="center" vertical="center"/>
    </xf>
    <xf numFmtId="1" fontId="24" fillId="3" borderId="58" xfId="19" applyNumberFormat="1" applyFont="1" applyFill="1" applyBorder="1" applyAlignment="1">
      <alignment horizontal="center" vertical="center"/>
    </xf>
    <xf numFmtId="165" fontId="24" fillId="3" borderId="58" xfId="60" applyNumberFormat="1" applyFont="1" applyFill="1" applyBorder="1" applyAlignment="1">
      <alignment horizontal="center" vertical="center"/>
    </xf>
    <xf numFmtId="1" fontId="15" fillId="3" borderId="101" xfId="19" applyNumberFormat="1" applyFont="1" applyFill="1" applyBorder="1" applyAlignment="1">
      <alignment horizontal="center" vertical="center"/>
    </xf>
    <xf numFmtId="0" fontId="24" fillId="3" borderId="101" xfId="19" applyFont="1" applyFill="1" applyBorder="1" applyAlignment="1">
      <alignment horizontal="center"/>
    </xf>
    <xf numFmtId="0" fontId="24" fillId="3" borderId="533" xfId="19" applyFont="1" applyFill="1" applyBorder="1" applyAlignment="1">
      <alignment horizontal="center"/>
    </xf>
    <xf numFmtId="0" fontId="1" fillId="3" borderId="473" xfId="60" applyFill="1" applyBorder="1"/>
    <xf numFmtId="0" fontId="1" fillId="3" borderId="60" xfId="60" applyFill="1" applyBorder="1"/>
    <xf numFmtId="0" fontId="15" fillId="3" borderId="56" xfId="60" applyFont="1" applyFill="1" applyBorder="1" applyAlignment="1">
      <alignment horizontal="center" vertical="center"/>
    </xf>
    <xf numFmtId="0" fontId="15" fillId="3" borderId="5" xfId="19" applyFont="1" applyFill="1" applyBorder="1" applyAlignment="1">
      <alignment horizontal="right" vertical="center" wrapText="1"/>
    </xf>
    <xf numFmtId="0" fontId="197" fillId="3" borderId="146" xfId="19" quotePrefix="1" applyFont="1" applyFill="1" applyBorder="1" applyAlignment="1">
      <alignment vertical="center"/>
    </xf>
    <xf numFmtId="0" fontId="204" fillId="3" borderId="359" xfId="19" quotePrefix="1" applyFont="1" applyFill="1" applyBorder="1" applyAlignment="1">
      <alignment horizontal="right" vertical="center"/>
    </xf>
    <xf numFmtId="1" fontId="204" fillId="3" borderId="359" xfId="19" applyNumberFormat="1" applyFont="1" applyFill="1" applyBorder="1" applyAlignment="1">
      <alignment horizontal="center" vertical="center"/>
    </xf>
    <xf numFmtId="0" fontId="697" fillId="0" borderId="148" xfId="60" applyFont="1" applyBorder="1"/>
    <xf numFmtId="0" fontId="44" fillId="3" borderId="56" xfId="60" applyFont="1" applyFill="1" applyBorder="1" applyAlignment="1">
      <alignment horizontal="center"/>
    </xf>
    <xf numFmtId="0" fontId="44" fillId="3" borderId="254" xfId="60" applyFont="1" applyFill="1" applyBorder="1" applyAlignment="1">
      <alignment horizontal="center"/>
    </xf>
    <xf numFmtId="0" fontId="44" fillId="3" borderId="133" xfId="60" applyFont="1" applyFill="1" applyBorder="1" applyAlignment="1">
      <alignment horizontal="center" vertical="center"/>
    </xf>
    <xf numFmtId="0" fontId="197" fillId="3" borderId="495" xfId="19" quotePrefix="1" applyFont="1" applyFill="1" applyBorder="1" applyAlignment="1">
      <alignment vertical="center"/>
    </xf>
    <xf numFmtId="0" fontId="204" fillId="3" borderId="495" xfId="19" quotePrefix="1" applyFont="1" applyFill="1" applyBorder="1" applyAlignment="1">
      <alignment horizontal="right" vertical="center"/>
    </xf>
    <xf numFmtId="1" fontId="204" fillId="3" borderId="495" xfId="19" applyNumberFormat="1" applyFont="1" applyFill="1" applyBorder="1" applyAlignment="1">
      <alignment horizontal="center" vertical="center"/>
    </xf>
    <xf numFmtId="0" fontId="697" fillId="0" borderId="51" xfId="60" applyFont="1" applyBorder="1"/>
    <xf numFmtId="0" fontId="44" fillId="3" borderId="131" xfId="60" applyFont="1" applyFill="1" applyBorder="1" applyAlignment="1">
      <alignment horizontal="center"/>
    </xf>
    <xf numFmtId="0" fontId="24" fillId="3" borderId="0" xfId="19" applyFont="1" applyFill="1" applyAlignment="1">
      <alignment horizontal="center"/>
    </xf>
    <xf numFmtId="0" fontId="24" fillId="3" borderId="301" xfId="19" applyFont="1" applyFill="1" applyBorder="1" applyAlignment="1">
      <alignment horizontal="center"/>
    </xf>
    <xf numFmtId="0" fontId="24" fillId="3" borderId="4" xfId="19" applyFont="1" applyFill="1" applyBorder="1" applyAlignment="1">
      <alignment horizontal="center"/>
    </xf>
    <xf numFmtId="0" fontId="24" fillId="3" borderId="0" xfId="60" applyFont="1" applyFill="1" applyAlignment="1">
      <alignment horizontal="center" vertical="center"/>
    </xf>
    <xf numFmtId="0" fontId="15" fillId="3" borderId="4" xfId="67" applyFont="1" applyFill="1" applyBorder="1" applyAlignment="1">
      <alignment horizontal="center" vertical="center"/>
    </xf>
    <xf numFmtId="0" fontId="749" fillId="2" borderId="461" xfId="67" applyFont="1" applyFill="1" applyBorder="1" applyAlignment="1">
      <alignment horizontal="center" vertical="center" wrapText="1"/>
    </xf>
    <xf numFmtId="170" fontId="40" fillId="2" borderId="461" xfId="19" applyNumberFormat="1" applyFont="1" applyFill="1" applyBorder="1" applyAlignment="1" applyProtection="1">
      <alignment horizontal="center" vertical="center"/>
      <protection locked="0"/>
    </xf>
    <xf numFmtId="0" fontId="15" fillId="5" borderId="58" xfId="60" applyFont="1" applyFill="1" applyBorder="1" applyAlignment="1">
      <alignment horizontal="center" vertical="center"/>
    </xf>
    <xf numFmtId="1" fontId="24" fillId="3" borderId="444" xfId="19" applyNumberFormat="1" applyFont="1" applyFill="1" applyBorder="1" applyAlignment="1">
      <alignment horizontal="center" vertical="center"/>
    </xf>
    <xf numFmtId="0" fontId="24" fillId="3" borderId="444" xfId="60" applyFont="1" applyFill="1" applyBorder="1" applyAlignment="1">
      <alignment horizontal="center" vertical="center"/>
    </xf>
    <xf numFmtId="0" fontId="15" fillId="3" borderId="444" xfId="19" applyFont="1" applyFill="1" applyBorder="1" applyAlignment="1">
      <alignment horizontal="right" vertical="center" wrapText="1"/>
    </xf>
    <xf numFmtId="0" fontId="15" fillId="3" borderId="445" xfId="67" applyFont="1" applyFill="1" applyBorder="1" applyAlignment="1">
      <alignment horizontal="center" vertical="center"/>
    </xf>
    <xf numFmtId="170" fontId="40" fillId="2" borderId="500" xfId="19" applyNumberFormat="1" applyFont="1" applyFill="1" applyBorder="1" applyAlignment="1" applyProtection="1">
      <alignment horizontal="center" vertical="center"/>
      <protection locked="0"/>
    </xf>
    <xf numFmtId="0" fontId="15" fillId="5" borderId="56" xfId="60" applyFont="1" applyFill="1" applyBorder="1" applyAlignment="1">
      <alignment horizontal="center" vertical="center"/>
    </xf>
    <xf numFmtId="0" fontId="40" fillId="3" borderId="57" xfId="60" applyFont="1" applyFill="1" applyBorder="1" applyAlignment="1">
      <alignment horizontal="center"/>
    </xf>
    <xf numFmtId="0" fontId="394" fillId="3" borderId="0" xfId="60" applyFont="1" applyFill="1"/>
    <xf numFmtId="0" fontId="1" fillId="3" borderId="301" xfId="60" applyFill="1" applyBorder="1"/>
    <xf numFmtId="0" fontId="24" fillId="3" borderId="0" xfId="19" applyFont="1" applyFill="1" applyAlignment="1">
      <alignment vertical="center"/>
    </xf>
    <xf numFmtId="0" fontId="24" fillId="3" borderId="0" xfId="60" applyFont="1" applyFill="1"/>
    <xf numFmtId="0" fontId="24" fillId="3" borderId="4" xfId="60" applyFont="1" applyFill="1" applyBorder="1"/>
    <xf numFmtId="0" fontId="394" fillId="3" borderId="358" xfId="67" applyFont="1" applyFill="1" applyBorder="1" applyAlignment="1">
      <alignment vertical="center"/>
    </xf>
    <xf numFmtId="0" fontId="748" fillId="0" borderId="473" xfId="60" applyFont="1" applyBorder="1"/>
    <xf numFmtId="0" fontId="1" fillId="0" borderId="1" xfId="60" applyBorder="1"/>
    <xf numFmtId="0" fontId="1" fillId="0" borderId="474" xfId="60" applyBorder="1"/>
    <xf numFmtId="0" fontId="24" fillId="3" borderId="1" xfId="60" applyFont="1" applyFill="1" applyBorder="1"/>
    <xf numFmtId="0" fontId="24" fillId="3" borderId="60" xfId="60" applyFont="1" applyFill="1" applyBorder="1"/>
    <xf numFmtId="0" fontId="24" fillId="3" borderId="58" xfId="60" applyFont="1" applyFill="1" applyBorder="1" applyAlignment="1">
      <alignment horizontal="center" vertical="center"/>
    </xf>
    <xf numFmtId="0" fontId="197" fillId="3" borderId="382" xfId="19" quotePrefix="1" applyFont="1" applyFill="1" applyBorder="1" applyAlignment="1">
      <alignment vertical="center"/>
    </xf>
    <xf numFmtId="0" fontId="204" fillId="3" borderId="497" xfId="19" quotePrefix="1" applyFont="1" applyFill="1" applyBorder="1" applyAlignment="1">
      <alignment horizontal="right" vertical="center"/>
    </xf>
    <xf numFmtId="1" fontId="204" fillId="3" borderId="497" xfId="19" applyNumberFormat="1" applyFont="1" applyFill="1" applyBorder="1" applyAlignment="1">
      <alignment horizontal="center" vertical="center"/>
    </xf>
    <xf numFmtId="0" fontId="697" fillId="0" borderId="383" xfId="60" applyFont="1" applyBorder="1"/>
    <xf numFmtId="0" fontId="44" fillId="3" borderId="5" xfId="60" applyFont="1" applyFill="1" applyBorder="1" applyAlignment="1">
      <alignment horizontal="center"/>
    </xf>
    <xf numFmtId="0" fontId="1" fillId="3" borderId="4" xfId="60" applyFill="1" applyBorder="1"/>
    <xf numFmtId="0" fontId="748" fillId="3" borderId="5" xfId="19" applyFont="1" applyFill="1" applyBorder="1" applyAlignment="1">
      <alignment vertical="center"/>
    </xf>
    <xf numFmtId="0" fontId="281" fillId="133" borderId="0" xfId="13" applyFont="1" applyFill="1" applyAlignment="1">
      <alignment horizontal="left" vertical="center"/>
    </xf>
    <xf numFmtId="0" fontId="281" fillId="133" borderId="0" xfId="13" applyFont="1" applyFill="1" applyAlignment="1">
      <alignment horizontal="centerContinuous" vertical="center"/>
    </xf>
    <xf numFmtId="0" fontId="751" fillId="133" borderId="4" xfId="13" applyFont="1" applyFill="1" applyBorder="1" applyAlignment="1">
      <alignment horizontal="right" vertical="center"/>
    </xf>
    <xf numFmtId="0" fontId="752" fillId="66" borderId="0" xfId="13" applyFont="1" applyFill="1" applyAlignment="1">
      <alignment horizontal="left" vertical="center"/>
    </xf>
    <xf numFmtId="0" fontId="753" fillId="66" borderId="0" xfId="13" applyFont="1" applyFill="1" applyAlignment="1">
      <alignment horizontal="centerContinuous" vertical="center"/>
    </xf>
    <xf numFmtId="0" fontId="751" fillId="66" borderId="4" xfId="13" applyFont="1" applyFill="1" applyBorder="1" applyAlignment="1">
      <alignment horizontal="right" vertical="center"/>
    </xf>
    <xf numFmtId="0" fontId="281" fillId="133" borderId="444" xfId="13" applyFont="1" applyFill="1" applyBorder="1" applyAlignment="1">
      <alignment horizontal="left" vertical="center"/>
    </xf>
    <xf numFmtId="0" fontId="281" fillId="133" borderId="444" xfId="13" applyFont="1" applyFill="1" applyBorder="1" applyAlignment="1">
      <alignment horizontal="centerContinuous" vertical="center"/>
    </xf>
    <xf numFmtId="0" fontId="281" fillId="133" borderId="445" xfId="13" applyFont="1" applyFill="1" applyBorder="1" applyAlignment="1">
      <alignment horizontal="right" vertical="center"/>
    </xf>
    <xf numFmtId="0" fontId="281" fillId="66" borderId="4" xfId="13" applyFont="1" applyFill="1" applyBorder="1" applyAlignment="1">
      <alignment horizontal="right" vertical="center"/>
    </xf>
    <xf numFmtId="0" fontId="157" fillId="0" borderId="0" xfId="13" applyFont="1" applyAlignment="1" applyProtection="1">
      <alignment horizontal="center" vertical="center" wrapText="1"/>
      <protection locked="0"/>
    </xf>
    <xf numFmtId="0" fontId="148" fillId="0" borderId="0" xfId="13" applyFont="1" applyAlignment="1" applyProtection="1">
      <alignment horizontal="center" vertical="center" wrapText="1"/>
      <protection locked="0"/>
    </xf>
    <xf numFmtId="0" fontId="756" fillId="0" borderId="0" xfId="13" applyFont="1" applyAlignment="1" applyProtection="1">
      <alignment horizontal="center" vertical="center" wrapText="1"/>
      <protection locked="0"/>
    </xf>
    <xf numFmtId="0" fontId="4" fillId="3" borderId="4" xfId="60" applyFont="1" applyFill="1" applyBorder="1"/>
    <xf numFmtId="0" fontId="306" fillId="40" borderId="58" xfId="13" applyFont="1" applyFill="1" applyBorder="1" applyAlignment="1" applyProtection="1">
      <alignment horizontal="center" vertical="center"/>
      <protection locked="0"/>
    </xf>
    <xf numFmtId="0" fontId="32" fillId="40" borderId="58" xfId="13" applyFont="1" applyFill="1" applyBorder="1" applyAlignment="1" applyProtection="1">
      <alignment horizontal="center" vertical="center"/>
      <protection locked="0"/>
    </xf>
    <xf numFmtId="1" fontId="308" fillId="40" borderId="58" xfId="13" applyNumberFormat="1" applyFont="1" applyFill="1" applyBorder="1" applyAlignment="1" applyProtection="1">
      <alignment horizontal="center" vertical="center"/>
      <protection locked="0"/>
    </xf>
    <xf numFmtId="0" fontId="4" fillId="2" borderId="56" xfId="60" applyFont="1" applyFill="1" applyBorder="1"/>
    <xf numFmtId="0" fontId="15" fillId="3" borderId="35" xfId="13" applyFont="1" applyFill="1" applyBorder="1" applyAlignment="1" applyProtection="1">
      <alignment horizontal="center" vertical="center" wrapText="1"/>
      <protection locked="0"/>
    </xf>
    <xf numFmtId="170" fontId="11" fillId="3" borderId="501" xfId="13" applyNumberFormat="1" applyFont="1" applyFill="1" applyBorder="1" applyAlignment="1" applyProtection="1">
      <alignment horizontal="center" vertical="center"/>
      <protection locked="0"/>
    </xf>
    <xf numFmtId="0" fontId="11" fillId="3" borderId="469" xfId="13" applyFont="1" applyFill="1" applyBorder="1" applyAlignment="1" applyProtection="1">
      <alignment horizontal="right" vertical="center"/>
      <protection locked="0"/>
    </xf>
    <xf numFmtId="213" fontId="11" fillId="3" borderId="461" xfId="13" applyNumberFormat="1" applyFont="1" applyFill="1" applyBorder="1" applyAlignment="1" applyProtection="1">
      <alignment horizontal="center" vertical="center"/>
      <protection locked="0"/>
    </xf>
    <xf numFmtId="214" fontId="11" fillId="3" borderId="444" xfId="53" applyNumberFormat="1" applyFont="1" applyFill="1" applyBorder="1" applyAlignment="1">
      <alignment horizontal="center" vertical="center"/>
    </xf>
    <xf numFmtId="1" fontId="11" fillId="3" borderId="444" xfId="13" applyNumberFormat="1" applyFont="1" applyFill="1" applyBorder="1" applyAlignment="1" applyProtection="1">
      <alignment horizontal="left" vertical="center"/>
      <protection locked="0"/>
    </xf>
    <xf numFmtId="213" fontId="11" fillId="3" borderId="460" xfId="13" applyNumberFormat="1" applyFont="1" applyFill="1" applyBorder="1" applyAlignment="1" applyProtection="1">
      <alignment horizontal="right" vertical="center"/>
      <protection locked="0"/>
    </xf>
    <xf numFmtId="1" fontId="11" fillId="3" borderId="445" xfId="13" applyNumberFormat="1" applyFont="1" applyFill="1" applyBorder="1" applyAlignment="1" applyProtection="1">
      <alignment horizontal="left" vertical="center"/>
      <protection locked="0"/>
    </xf>
    <xf numFmtId="0" fontId="169" fillId="3" borderId="0" xfId="53" applyFont="1" applyFill="1" applyAlignment="1">
      <alignment horizontal="center" vertical="center"/>
    </xf>
    <xf numFmtId="0" fontId="169" fillId="3" borderId="4" xfId="53" applyFont="1" applyFill="1" applyBorder="1" applyAlignment="1">
      <alignment horizontal="center" vertical="center"/>
    </xf>
    <xf numFmtId="0" fontId="758" fillId="133" borderId="101" xfId="13" applyFont="1" applyFill="1" applyBorder="1" applyAlignment="1">
      <alignment vertical="center"/>
    </xf>
    <xf numFmtId="0" fontId="281" fillId="133" borderId="101" xfId="13" applyFont="1" applyFill="1" applyBorder="1" applyAlignment="1">
      <alignment vertical="center"/>
    </xf>
    <xf numFmtId="0" fontId="281" fillId="133" borderId="533" xfId="13" applyFont="1" applyFill="1" applyBorder="1" applyAlignment="1">
      <alignment vertical="center"/>
    </xf>
    <xf numFmtId="2" fontId="147" fillId="3" borderId="0" xfId="13" applyNumberFormat="1" applyFont="1" applyFill="1" applyAlignment="1" applyProtection="1">
      <alignment horizontal="right" vertical="center"/>
      <protection locked="0"/>
    </xf>
    <xf numFmtId="0" fontId="147" fillId="3" borderId="0" xfId="13" applyFont="1" applyFill="1" applyAlignment="1" applyProtection="1">
      <alignment horizontal="left" vertical="center"/>
      <protection locked="0"/>
    </xf>
    <xf numFmtId="213" fontId="147" fillId="3" borderId="0" xfId="13" applyNumberFormat="1" applyFont="1" applyFill="1" applyAlignment="1" applyProtection="1">
      <alignment horizontal="center" vertical="center"/>
      <protection locked="0"/>
    </xf>
    <xf numFmtId="214" fontId="147" fillId="3" borderId="0" xfId="53" applyNumberFormat="1" applyFont="1" applyFill="1" applyAlignment="1">
      <alignment horizontal="center" vertical="center"/>
    </xf>
    <xf numFmtId="1" fontId="147" fillId="3" borderId="0" xfId="13" applyNumberFormat="1" applyFont="1" applyFill="1" applyAlignment="1" applyProtection="1">
      <alignment horizontal="left" vertical="center"/>
      <protection locked="0"/>
    </xf>
    <xf numFmtId="213" fontId="147" fillId="3" borderId="0" xfId="13" applyNumberFormat="1" applyFont="1" applyFill="1" applyAlignment="1" applyProtection="1">
      <alignment horizontal="right" vertical="center"/>
      <protection locked="0"/>
    </xf>
    <xf numFmtId="1" fontId="147" fillId="3" borderId="4" xfId="13" applyNumberFormat="1" applyFont="1" applyFill="1" applyBorder="1" applyAlignment="1" applyProtection="1">
      <alignment horizontal="left" vertical="center"/>
      <protection locked="0"/>
    </xf>
    <xf numFmtId="0" fontId="281" fillId="5" borderId="5" xfId="13" applyFont="1" applyFill="1" applyBorder="1" applyAlignment="1">
      <alignment horizontal="left" vertical="center"/>
    </xf>
    <xf numFmtId="170" fontId="594" fillId="5" borderId="0" xfId="13" applyNumberFormat="1" applyFont="1" applyFill="1" applyAlignment="1" applyProtection="1">
      <alignment horizontal="right" vertical="center"/>
      <protection locked="0"/>
    </xf>
    <xf numFmtId="0" fontId="279" fillId="5" borderId="0" xfId="13" applyFont="1" applyFill="1"/>
    <xf numFmtId="0" fontId="753" fillId="5" borderId="0" xfId="13" applyFont="1" applyFill="1" applyAlignment="1">
      <alignment horizontal="center" vertical="center"/>
    </xf>
    <xf numFmtId="0" fontId="752" fillId="5" borderId="0" xfId="13" applyFont="1" applyFill="1" applyAlignment="1">
      <alignment horizontal="center" vertical="center"/>
    </xf>
    <xf numFmtId="0" fontId="752" fillId="5" borderId="4" xfId="13" applyFont="1" applyFill="1" applyBorder="1" applyAlignment="1">
      <alignment horizontal="center" vertical="center"/>
    </xf>
    <xf numFmtId="0" fontId="741" fillId="3" borderId="5" xfId="48" applyFont="1" applyFill="1" applyBorder="1" applyAlignment="1" applyProtection="1">
      <alignment horizontal="center"/>
      <protection hidden="1"/>
    </xf>
    <xf numFmtId="214" fontId="147" fillId="3" borderId="0" xfId="53" applyNumberFormat="1" applyFont="1" applyFill="1" applyAlignment="1">
      <alignment horizontal="right" vertical="center"/>
    </xf>
    <xf numFmtId="175" fontId="71" fillId="5" borderId="0" xfId="12" applyNumberFormat="1" applyFont="1" applyFill="1" applyAlignment="1" applyProtection="1">
      <alignment horizontal="center" vertical="center"/>
      <protection locked="0"/>
    </xf>
    <xf numFmtId="0" fontId="11" fillId="5" borderId="5" xfId="13" applyFont="1" applyFill="1" applyBorder="1" applyAlignment="1">
      <alignment horizontal="left" vertical="center"/>
    </xf>
    <xf numFmtId="168" fontId="306" fillId="40" borderId="0" xfId="13" applyNumberFormat="1" applyFont="1" applyFill="1" applyAlignment="1" applyProtection="1">
      <alignment vertical="center"/>
      <protection locked="0"/>
    </xf>
    <xf numFmtId="0" fontId="306" fillId="40" borderId="0" xfId="13" applyFont="1" applyFill="1" applyAlignment="1" applyProtection="1">
      <alignment vertical="center"/>
      <protection locked="0"/>
    </xf>
    <xf numFmtId="0" fontId="12" fillId="15" borderId="0" xfId="52" applyFont="1" applyFill="1" applyAlignment="1">
      <alignment horizontal="center" vertical="center"/>
    </xf>
    <xf numFmtId="175" fontId="71" fillId="5" borderId="0" xfId="12" applyNumberFormat="1" applyFont="1" applyFill="1" applyAlignment="1" applyProtection="1">
      <alignment horizontal="center"/>
      <protection locked="0"/>
    </xf>
    <xf numFmtId="0" fontId="759" fillId="1997" borderId="5" xfId="13" applyFont="1" applyFill="1" applyBorder="1" applyAlignment="1" applyProtection="1">
      <alignment vertical="center"/>
      <protection locked="0"/>
    </xf>
    <xf numFmtId="0" fontId="12" fillId="1997" borderId="0" xfId="13" applyFont="1" applyFill="1" applyAlignment="1" applyProtection="1">
      <alignment vertical="center"/>
      <protection locked="0"/>
    </xf>
    <xf numFmtId="165" fontId="12" fillId="58" borderId="0" xfId="13" applyNumberFormat="1" applyFont="1" applyFill="1" applyAlignment="1" applyProtection="1">
      <alignment vertical="center"/>
      <protection locked="0"/>
    </xf>
    <xf numFmtId="170" fontId="11" fillId="1997" borderId="0" xfId="13" applyNumberFormat="1" applyFont="1" applyFill="1" applyAlignment="1" applyProtection="1">
      <alignment vertical="center"/>
      <protection locked="0"/>
    </xf>
    <xf numFmtId="0" fontId="11" fillId="5" borderId="0" xfId="13" applyFont="1" applyFill="1" applyAlignment="1" applyProtection="1">
      <alignment vertical="center"/>
      <protection locked="0"/>
    </xf>
    <xf numFmtId="213" fontId="11" fillId="5" borderId="0" xfId="13" applyNumberFormat="1" applyFont="1" applyFill="1" applyAlignment="1" applyProtection="1">
      <alignment vertical="center"/>
      <protection locked="0"/>
    </xf>
    <xf numFmtId="228" fontId="11" fillId="5" borderId="0" xfId="53" applyNumberFormat="1" applyFont="1" applyFill="1" applyAlignment="1">
      <alignment vertical="center"/>
    </xf>
    <xf numFmtId="1" fontId="30" fillId="5" borderId="0" xfId="13" applyNumberFormat="1" applyFont="1" applyFill="1" applyAlignment="1" applyProtection="1">
      <alignment vertical="center"/>
      <protection locked="0"/>
    </xf>
    <xf numFmtId="1" fontId="30" fillId="5" borderId="4" xfId="13" applyNumberFormat="1" applyFont="1" applyFill="1" applyBorder="1" applyAlignment="1" applyProtection="1">
      <alignment vertical="center"/>
      <protection locked="0"/>
    </xf>
    <xf numFmtId="1" fontId="12" fillId="2" borderId="501" xfId="53" applyNumberFormat="1" applyFont="1" applyFill="1" applyBorder="1" applyAlignment="1">
      <alignment horizontal="center" vertical="center"/>
    </xf>
    <xf numFmtId="171" fontId="306" fillId="15" borderId="461" xfId="53" applyNumberFormat="1" applyFont="1" applyFill="1" applyBorder="1" applyAlignment="1">
      <alignment horizontal="center" vertical="center"/>
    </xf>
    <xf numFmtId="172" fontId="308" fillId="15" borderId="461" xfId="53" applyNumberFormat="1" applyFont="1" applyFill="1" applyBorder="1" applyAlignment="1" applyProtection="1">
      <alignment horizontal="center" vertical="center"/>
      <protection locked="0"/>
    </xf>
    <xf numFmtId="168" fontId="30" fillId="8" borderId="469" xfId="53" applyNumberFormat="1" applyFont="1" applyFill="1" applyBorder="1" applyAlignment="1">
      <alignment vertical="center"/>
    </xf>
    <xf numFmtId="168" fontId="30" fillId="3" borderId="546" xfId="53" applyNumberFormat="1" applyFont="1" applyFill="1" applyBorder="1" applyAlignment="1">
      <alignment vertical="center"/>
    </xf>
    <xf numFmtId="170" fontId="30" fillId="0" borderId="461" xfId="13" applyNumberFormat="1" applyFont="1" applyBorder="1" applyAlignment="1" applyProtection="1">
      <alignment horizontal="center" vertical="center"/>
      <protection locked="0"/>
    </xf>
    <xf numFmtId="168" fontId="11" fillId="0" borderId="469" xfId="53" applyNumberFormat="1" applyFont="1" applyBorder="1" applyAlignment="1">
      <alignment vertical="center"/>
    </xf>
    <xf numFmtId="168" fontId="30" fillId="0" borderId="469" xfId="53" applyNumberFormat="1" applyFont="1" applyBorder="1" applyAlignment="1">
      <alignment horizontal="center" vertical="center"/>
    </xf>
    <xf numFmtId="168" fontId="30" fillId="3" borderId="445" xfId="53" applyNumberFormat="1" applyFont="1" applyFill="1" applyBorder="1" applyAlignment="1">
      <alignment vertical="center"/>
    </xf>
    <xf numFmtId="0" fontId="81" fillId="27" borderId="0" xfId="12" applyFont="1" applyFill="1" applyAlignment="1">
      <alignment vertical="center"/>
    </xf>
    <xf numFmtId="0" fontId="81" fillId="27" borderId="4" xfId="12" applyFont="1" applyFill="1" applyBorder="1" applyAlignment="1">
      <alignment vertical="center"/>
    </xf>
    <xf numFmtId="0" fontId="107" fillId="3" borderId="5" xfId="12" applyFont="1" applyFill="1" applyBorder="1" applyAlignment="1">
      <alignment horizontal="center" vertical="center" wrapText="1"/>
    </xf>
    <xf numFmtId="0" fontId="107" fillId="3" borderId="0" xfId="12" applyFont="1" applyFill="1" applyAlignment="1">
      <alignment vertical="center" wrapText="1"/>
    </xf>
    <xf numFmtId="0" fontId="107" fillId="3" borderId="0" xfId="13" applyFont="1" applyFill="1" applyAlignment="1">
      <alignment vertical="center" wrapText="1"/>
    </xf>
    <xf numFmtId="0" fontId="81" fillId="3" borderId="0" xfId="12" applyFont="1" applyFill="1" applyAlignment="1">
      <alignment vertical="center"/>
    </xf>
    <xf numFmtId="0" fontId="81" fillId="3" borderId="4" xfId="12" applyFont="1" applyFill="1" applyBorder="1" applyAlignment="1">
      <alignment vertical="center"/>
    </xf>
    <xf numFmtId="0" fontId="412" fillId="3" borderId="0" xfId="13" applyFont="1" applyFill="1" applyAlignment="1">
      <alignment vertical="center"/>
    </xf>
    <xf numFmtId="0" fontId="110" fillId="3" borderId="0" xfId="13" applyFont="1" applyFill="1" applyAlignment="1">
      <alignment vertical="center"/>
    </xf>
    <xf numFmtId="0" fontId="110" fillId="3" borderId="4" xfId="13" applyFont="1" applyFill="1" applyBorder="1" applyAlignment="1">
      <alignment vertical="center"/>
    </xf>
    <xf numFmtId="165" fontId="55" fillId="3" borderId="5" xfId="13" applyNumberFormat="1" applyFont="1" applyFill="1" applyBorder="1" applyAlignment="1">
      <alignment vertical="center"/>
    </xf>
    <xf numFmtId="165" fontId="55" fillId="3" borderId="0" xfId="13" applyNumberFormat="1" applyFont="1" applyFill="1" applyAlignment="1">
      <alignment vertical="center"/>
    </xf>
    <xf numFmtId="170" fontId="8" fillId="3" borderId="4" xfId="13" applyNumberFormat="1" applyFont="1" applyFill="1" applyBorder="1" applyAlignment="1">
      <alignment horizontal="center" vertical="center"/>
    </xf>
    <xf numFmtId="180" fontId="38" fillId="11" borderId="5" xfId="13" applyNumberFormat="1" applyFont="1" applyFill="1" applyBorder="1" applyAlignment="1">
      <alignment vertical="center"/>
    </xf>
    <xf numFmtId="181" fontId="84" fillId="2" borderId="0" xfId="13" applyNumberFormat="1" applyFont="1" applyFill="1" applyAlignment="1">
      <alignment vertical="center"/>
    </xf>
    <xf numFmtId="2" fontId="13" fillId="3" borderId="0" xfId="13" applyNumberFormat="1" applyFont="1" applyFill="1" applyAlignment="1">
      <alignment vertical="center"/>
    </xf>
    <xf numFmtId="180" fontId="13" fillId="31" borderId="5" xfId="13" applyNumberFormat="1" applyFont="1" applyFill="1" applyBorder="1" applyAlignment="1">
      <alignment vertical="center"/>
    </xf>
    <xf numFmtId="180" fontId="13" fillId="31" borderId="0" xfId="13" applyNumberFormat="1" applyFont="1" applyFill="1" applyAlignment="1">
      <alignment vertical="center"/>
    </xf>
    <xf numFmtId="180" fontId="13" fillId="31" borderId="4" xfId="13" applyNumberFormat="1" applyFont="1" applyFill="1" applyBorder="1" applyAlignment="1">
      <alignment vertical="center"/>
    </xf>
    <xf numFmtId="0" fontId="108" fillId="3" borderId="5" xfId="12" applyFont="1" applyFill="1" applyBorder="1"/>
    <xf numFmtId="0" fontId="7" fillId="0" borderId="0" xfId="48" applyProtection="1">
      <protection hidden="1"/>
    </xf>
    <xf numFmtId="180" fontId="111" fillId="3" borderId="5" xfId="13" applyNumberFormat="1" applyFont="1" applyFill="1" applyBorder="1" applyAlignment="1">
      <alignment vertical="center"/>
    </xf>
    <xf numFmtId="181" fontId="111" fillId="3" borderId="0" xfId="13" applyNumberFormat="1" applyFont="1" applyFill="1" applyAlignment="1">
      <alignment vertical="center"/>
    </xf>
    <xf numFmtId="0" fontId="412" fillId="3" borderId="0" xfId="13" applyFont="1" applyFill="1" applyAlignment="1">
      <alignment horizontal="left" vertical="center"/>
    </xf>
    <xf numFmtId="0" fontId="112" fillId="3" borderId="0" xfId="53" applyFont="1" applyFill="1"/>
    <xf numFmtId="0" fontId="7" fillId="3" borderId="0" xfId="53" applyFont="1" applyFill="1"/>
    <xf numFmtId="0" fontId="7" fillId="3" borderId="4" xfId="53" applyFont="1" applyFill="1" applyBorder="1"/>
    <xf numFmtId="0" fontId="90" fillId="3" borderId="5" xfId="48" applyFont="1" applyFill="1" applyBorder="1" applyAlignment="1">
      <alignment horizontal="left" vertical="center"/>
    </xf>
    <xf numFmtId="0" fontId="90" fillId="3" borderId="0" xfId="48" applyFont="1" applyFill="1" applyProtection="1">
      <protection hidden="1"/>
    </xf>
    <xf numFmtId="0" fontId="90" fillId="3" borderId="5" xfId="12" applyFont="1" applyFill="1" applyBorder="1" applyAlignment="1">
      <alignment horizontal="left"/>
    </xf>
    <xf numFmtId="0" fontId="35" fillId="30" borderId="5" xfId="12" applyFont="1" applyFill="1" applyBorder="1" applyAlignment="1">
      <alignment vertical="center"/>
    </xf>
    <xf numFmtId="0" fontId="35" fillId="30" borderId="0" xfId="12" applyFont="1" applyFill="1" applyAlignment="1">
      <alignment vertical="center"/>
    </xf>
    <xf numFmtId="0" fontId="35" fillId="30" borderId="4" xfId="12" applyFont="1" applyFill="1" applyBorder="1" applyAlignment="1">
      <alignment vertical="center"/>
    </xf>
    <xf numFmtId="0" fontId="8" fillId="3" borderId="4" xfId="13" applyFont="1" applyFill="1" applyBorder="1" applyAlignment="1">
      <alignment horizontal="center" wrapText="1"/>
    </xf>
    <xf numFmtId="165" fontId="296" fillId="3" borderId="5" xfId="13" applyNumberFormat="1" applyFont="1" applyFill="1" applyBorder="1" applyAlignment="1">
      <alignment vertical="center"/>
    </xf>
    <xf numFmtId="165" fontId="296" fillId="3" borderId="0" xfId="13" applyNumberFormat="1" applyFont="1" applyFill="1" applyAlignment="1">
      <alignment vertical="center"/>
    </xf>
    <xf numFmtId="0" fontId="296" fillId="3" borderId="0" xfId="13" applyFont="1" applyFill="1" applyAlignment="1">
      <alignment horizontal="center" vertical="center"/>
    </xf>
    <xf numFmtId="0" fontId="55" fillId="3" borderId="0" xfId="13" applyFont="1" applyFill="1" applyAlignment="1">
      <alignment vertical="center"/>
    </xf>
    <xf numFmtId="168" fontId="8" fillId="3" borderId="4" xfId="13" applyNumberFormat="1" applyFont="1" applyFill="1" applyBorder="1" applyAlignment="1">
      <alignment horizontal="center" vertical="center"/>
    </xf>
    <xf numFmtId="165" fontId="55" fillId="3" borderId="5" xfId="13" applyNumberFormat="1" applyFont="1" applyFill="1" applyBorder="1" applyAlignment="1">
      <alignment horizontal="center" vertical="center"/>
    </xf>
    <xf numFmtId="0" fontId="8" fillId="3" borderId="4" xfId="13" applyFont="1" applyFill="1" applyBorder="1" applyAlignment="1">
      <alignment horizontal="right" vertical="center"/>
    </xf>
    <xf numFmtId="0" fontId="350" fillId="3" borderId="5" xfId="48" applyFont="1" applyFill="1" applyBorder="1" applyAlignment="1">
      <alignment horizontal="left" vertical="center"/>
    </xf>
    <xf numFmtId="0" fontId="350" fillId="3" borderId="0" xfId="48" applyFont="1" applyFill="1" applyProtection="1">
      <protection hidden="1"/>
    </xf>
    <xf numFmtId="165" fontId="46" fillId="3" borderId="0" xfId="13" applyNumberFormat="1" applyFont="1" applyFill="1" applyAlignment="1">
      <alignment horizontal="center" vertical="center"/>
    </xf>
    <xf numFmtId="0" fontId="46" fillId="3" borderId="0" xfId="13" applyFont="1" applyFill="1" applyAlignment="1">
      <alignment horizontal="center" vertical="center"/>
    </xf>
    <xf numFmtId="168" fontId="46" fillId="3" borderId="4" xfId="13" applyNumberFormat="1" applyFont="1" applyFill="1" applyBorder="1" applyAlignment="1">
      <alignment horizontal="center" vertical="center"/>
    </xf>
    <xf numFmtId="0" fontId="350" fillId="3" borderId="5" xfId="12" applyFont="1" applyFill="1" applyBorder="1" applyAlignment="1">
      <alignment horizontal="left"/>
    </xf>
    <xf numFmtId="0" fontId="46" fillId="3" borderId="497" xfId="13" applyFont="1" applyFill="1" applyBorder="1" applyAlignment="1">
      <alignment vertical="center"/>
    </xf>
    <xf numFmtId="0" fontId="46" fillId="3" borderId="0" xfId="53" applyFont="1" applyFill="1" applyAlignment="1">
      <alignment horizontal="center" vertical="center"/>
    </xf>
    <xf numFmtId="0" fontId="46" fillId="3" borderId="5" xfId="13" applyFont="1" applyFill="1" applyBorder="1" applyAlignment="1">
      <alignment vertical="center"/>
    </xf>
    <xf numFmtId="0" fontId="46" fillId="3" borderId="0" xfId="13" applyFont="1" applyFill="1" applyAlignment="1">
      <alignment vertical="center"/>
    </xf>
    <xf numFmtId="0" fontId="8" fillId="22" borderId="5" xfId="12" applyFont="1" applyFill="1" applyBorder="1" applyAlignment="1">
      <alignment vertical="center"/>
    </xf>
    <xf numFmtId="0" fontId="8" fillId="22" borderId="0" xfId="12" applyFont="1" applyFill="1" applyAlignment="1">
      <alignment vertical="center"/>
    </xf>
    <xf numFmtId="0" fontId="8" fillId="22" borderId="4" xfId="12" applyFont="1" applyFill="1" applyBorder="1" applyAlignment="1">
      <alignment vertical="center"/>
    </xf>
    <xf numFmtId="0" fontId="7" fillId="0" borderId="1" xfId="48" applyBorder="1" applyProtection="1">
      <protection hidden="1"/>
    </xf>
    <xf numFmtId="0" fontId="174" fillId="3" borderId="83" xfId="48" applyFont="1" applyFill="1" applyBorder="1" applyAlignment="1">
      <alignment horizontal="left" vertical="center"/>
    </xf>
    <xf numFmtId="0" fontId="677" fillId="3" borderId="83" xfId="64" applyFill="1" applyBorder="1" applyAlignment="1">
      <alignment vertical="center"/>
    </xf>
    <xf numFmtId="0" fontId="677" fillId="3" borderId="552" xfId="64" applyFill="1" applyBorder="1" applyAlignment="1">
      <alignment vertical="center"/>
    </xf>
    <xf numFmtId="0" fontId="4" fillId="8" borderId="5" xfId="53" applyFill="1" applyBorder="1" applyAlignment="1">
      <alignment vertical="center"/>
    </xf>
    <xf numFmtId="0" fontId="4" fillId="8" borderId="0" xfId="53" applyFill="1" applyAlignment="1">
      <alignment vertical="center"/>
    </xf>
    <xf numFmtId="0" fontId="4" fillId="8" borderId="4" xfId="53" applyFill="1" applyBorder="1" applyAlignment="1">
      <alignment vertical="center"/>
    </xf>
    <xf numFmtId="0" fontId="117" fillId="0" borderId="0" xfId="53" applyFont="1" applyAlignment="1">
      <alignment horizontal="right" vertical="center"/>
    </xf>
    <xf numFmtId="0" fontId="4" fillId="8" borderId="0" xfId="53" applyFill="1" applyAlignment="1">
      <alignment horizontal="left" vertical="center"/>
    </xf>
    <xf numFmtId="0" fontId="118" fillId="8" borderId="0" xfId="53" applyFont="1" applyFill="1" applyAlignment="1">
      <alignment horizontal="right" vertical="center"/>
    </xf>
    <xf numFmtId="0" fontId="36" fillId="8" borderId="0" xfId="52" applyFont="1" applyFill="1" applyAlignment="1">
      <alignment horizontal="center" vertical="center"/>
    </xf>
    <xf numFmtId="0" fontId="36" fillId="8" borderId="553" xfId="52" applyFont="1" applyFill="1" applyBorder="1" applyAlignment="1">
      <alignment horizontal="center" vertical="center"/>
    </xf>
    <xf numFmtId="0" fontId="36" fillId="8" borderId="553" xfId="53" applyFont="1" applyFill="1" applyBorder="1" applyAlignment="1" applyProtection="1">
      <alignment horizontal="center" vertical="center"/>
      <protection locked="0"/>
    </xf>
    <xf numFmtId="0" fontId="761" fillId="8" borderId="0" xfId="53" applyFont="1" applyFill="1" applyAlignment="1">
      <alignment horizontal="right" vertical="center"/>
    </xf>
    <xf numFmtId="0" fontId="120" fillId="15" borderId="22" xfId="52" applyFont="1" applyFill="1" applyBorder="1" applyAlignment="1">
      <alignment horizontal="center" vertical="center"/>
    </xf>
    <xf numFmtId="0" fontId="13" fillId="3" borderId="0" xfId="53" applyFont="1" applyFill="1" applyAlignment="1">
      <alignment horizontal="center" vertical="center"/>
    </xf>
    <xf numFmtId="0" fontId="115" fillId="8" borderId="0" xfId="53" applyFont="1" applyFill="1" applyAlignment="1">
      <alignment horizontal="left" vertical="center"/>
    </xf>
    <xf numFmtId="0" fontId="121" fillId="8" borderId="0" xfId="53" applyFont="1" applyFill="1" applyAlignment="1">
      <alignment horizontal="right" vertical="center"/>
    </xf>
    <xf numFmtId="168" fontId="4" fillId="8" borderId="0" xfId="53" applyNumberFormat="1" applyFill="1" applyAlignment="1">
      <alignment horizontal="center" vertical="center"/>
    </xf>
    <xf numFmtId="0" fontId="115" fillId="8" borderId="0" xfId="53" applyFont="1" applyFill="1" applyAlignment="1">
      <alignment horizontal="right" vertical="center"/>
    </xf>
    <xf numFmtId="2" fontId="124" fillId="8" borderId="393" xfId="52" applyNumberFormat="1" applyFont="1" applyFill="1" applyBorder="1" applyAlignment="1">
      <alignment horizontal="center" vertical="center"/>
    </xf>
    <xf numFmtId="0" fontId="4" fillId="8" borderId="395" xfId="53" applyFill="1" applyBorder="1" applyAlignment="1">
      <alignment horizontal="center" vertical="center"/>
    </xf>
    <xf numFmtId="0" fontId="4" fillId="0" borderId="5" xfId="53" applyBorder="1" applyAlignment="1">
      <alignment vertical="center"/>
    </xf>
    <xf numFmtId="0" fontId="115" fillId="0" borderId="0" xfId="53" applyFont="1" applyAlignment="1">
      <alignment horizontal="right" vertical="center"/>
    </xf>
    <xf numFmtId="175" fontId="39" fillId="15" borderId="0" xfId="53" applyNumberFormat="1" applyFont="1" applyFill="1" applyAlignment="1" applyProtection="1">
      <alignment horizontal="center" vertical="center"/>
      <protection locked="0"/>
    </xf>
    <xf numFmtId="0" fontId="125" fillId="8" borderId="0" xfId="48" applyFont="1" applyFill="1" applyAlignment="1">
      <alignment horizontal="left" vertical="center"/>
    </xf>
    <xf numFmtId="0" fontId="4" fillId="0" borderId="0" xfId="53" applyAlignment="1">
      <alignment vertical="center"/>
    </xf>
    <xf numFmtId="170" fontId="13" fillId="8" borderId="393" xfId="52" applyNumberFormat="1" applyFont="1" applyFill="1" applyBorder="1" applyAlignment="1">
      <alignment horizontal="center" vertical="center"/>
    </xf>
    <xf numFmtId="170" fontId="13" fillId="8" borderId="0" xfId="53" applyNumberFormat="1" applyFont="1" applyFill="1" applyAlignment="1">
      <alignment horizontal="center" vertical="center"/>
    </xf>
    <xf numFmtId="0" fontId="117" fillId="8" borderId="153" xfId="53" applyFont="1" applyFill="1" applyBorder="1" applyAlignment="1">
      <alignment horizontal="center" vertical="center"/>
    </xf>
    <xf numFmtId="0" fontId="4" fillId="8" borderId="496" xfId="53" applyFill="1" applyBorder="1" applyAlignment="1">
      <alignment vertical="center"/>
    </xf>
    <xf numFmtId="0" fontId="4" fillId="8" borderId="444" xfId="53" applyFill="1" applyBorder="1" applyAlignment="1">
      <alignment vertical="center"/>
    </xf>
    <xf numFmtId="0" fontId="4" fillId="8" borderId="445" xfId="53" applyFill="1" applyBorder="1" applyAlignment="1">
      <alignment vertical="center"/>
    </xf>
    <xf numFmtId="0" fontId="760" fillId="8" borderId="5" xfId="48" applyFont="1" applyFill="1" applyBorder="1" applyAlignment="1">
      <alignment horizontal="center" vertical="center"/>
    </xf>
    <xf numFmtId="0" fontId="126" fillId="8" borderId="396" xfId="48" applyFont="1" applyFill="1" applyBorder="1" applyAlignment="1">
      <alignment vertical="center"/>
    </xf>
    <xf numFmtId="0" fontId="127" fillId="8" borderId="0" xfId="48" applyFont="1" applyFill="1" applyAlignment="1">
      <alignment vertical="center"/>
    </xf>
    <xf numFmtId="0" fontId="127" fillId="8" borderId="4" xfId="48" applyFont="1" applyFill="1" applyBorder="1" applyAlignment="1">
      <alignment vertical="center"/>
    </xf>
    <xf numFmtId="0" fontId="27" fillId="3" borderId="5" xfId="52" applyFont="1" applyFill="1" applyBorder="1" applyAlignment="1">
      <alignment horizontal="right" vertical="center"/>
    </xf>
    <xf numFmtId="182" fontId="49" fillId="8" borderId="4" xfId="32" applyNumberFormat="1" applyFont="1" applyFill="1" applyBorder="1" applyAlignment="1">
      <alignment vertical="center"/>
    </xf>
    <xf numFmtId="0" fontId="125" fillId="8" borderId="5" xfId="48" applyFont="1" applyFill="1" applyBorder="1" applyAlignment="1">
      <alignment horizontal="center" vertical="center"/>
    </xf>
    <xf numFmtId="0" fontId="4" fillId="8" borderId="5" xfId="53" applyFill="1" applyBorder="1"/>
    <xf numFmtId="0" fontId="4" fillId="8" borderId="0" xfId="53" applyFill="1"/>
    <xf numFmtId="0" fontId="4" fillId="8" borderId="4" xfId="53" applyFill="1" applyBorder="1"/>
    <xf numFmtId="0" fontId="117" fillId="8" borderId="5" xfId="53" applyFont="1" applyFill="1" applyBorder="1" applyAlignment="1">
      <alignment vertical="center" wrapText="1"/>
    </xf>
    <xf numFmtId="0" fontId="117" fillId="8" borderId="0" xfId="53" applyFont="1" applyFill="1" applyAlignment="1">
      <alignment vertical="center" wrapText="1"/>
    </xf>
    <xf numFmtId="0" fontId="117" fillId="0" borderId="0" xfId="53" applyFont="1" applyAlignment="1">
      <alignment horizontal="right"/>
    </xf>
    <xf numFmtId="0" fontId="118" fillId="8" borderId="0" xfId="53" applyFont="1" applyFill="1" applyAlignment="1">
      <alignment horizontal="right"/>
    </xf>
    <xf numFmtId="0" fontId="36" fillId="8" borderId="554" xfId="52" applyFont="1" applyFill="1" applyBorder="1" applyAlignment="1">
      <alignment horizontal="center" vertical="center"/>
    </xf>
    <xf numFmtId="0" fontId="36" fillId="8" borderId="554" xfId="53" applyFont="1" applyFill="1" applyBorder="1" applyAlignment="1" applyProtection="1">
      <alignment horizontal="center" vertical="center"/>
      <protection locked="0"/>
    </xf>
    <xf numFmtId="165" fontId="129" fillId="15" borderId="500" xfId="32" applyNumberFormat="1" applyFont="1" applyFill="1" applyBorder="1" applyAlignment="1">
      <alignment horizontal="center" vertical="center"/>
    </xf>
    <xf numFmtId="1" fontId="130" fillId="8" borderId="153" xfId="32" applyNumberFormat="1" applyFont="1" applyFill="1" applyBorder="1" applyAlignment="1">
      <alignment horizontal="center" vertical="center"/>
    </xf>
    <xf numFmtId="0" fontId="13" fillId="3" borderId="0" xfId="53" applyFont="1" applyFill="1" applyAlignment="1">
      <alignment horizontal="left" vertical="center"/>
    </xf>
    <xf numFmtId="0" fontId="762" fillId="8" borderId="5" xfId="48" applyFont="1" applyFill="1" applyBorder="1" applyAlignment="1">
      <alignment horizontal="center" vertical="center"/>
    </xf>
    <xf numFmtId="0" fontId="763" fillId="8" borderId="0" xfId="48" applyFont="1" applyFill="1" applyAlignment="1" applyProtection="1">
      <alignment horizontal="left" vertical="center"/>
      <protection hidden="1"/>
    </xf>
    <xf numFmtId="0" fontId="117" fillId="8" borderId="5" xfId="53" applyFont="1" applyFill="1" applyBorder="1" applyAlignment="1">
      <alignment vertical="center"/>
    </xf>
    <xf numFmtId="0" fontId="117" fillId="8" borderId="0" xfId="53" applyFont="1" applyFill="1" applyAlignment="1">
      <alignment vertical="center"/>
    </xf>
    <xf numFmtId="0" fontId="117" fillId="8" borderId="0" xfId="53" applyFont="1" applyFill="1" applyAlignment="1">
      <alignment horizontal="right" vertical="center"/>
    </xf>
    <xf numFmtId="2" fontId="49" fillId="8" borderId="554" xfId="32" applyNumberFormat="1" applyFont="1" applyFill="1" applyBorder="1" applyAlignment="1">
      <alignment horizontal="center" vertical="center"/>
    </xf>
    <xf numFmtId="0" fontId="4" fillId="8" borderId="153" xfId="53" applyFill="1" applyBorder="1" applyAlignment="1">
      <alignment horizontal="center" vertical="center"/>
    </xf>
    <xf numFmtId="0" fontId="4" fillId="8" borderId="0" xfId="53" applyFill="1" applyAlignment="1">
      <alignment horizontal="left"/>
    </xf>
    <xf numFmtId="0" fontId="4" fillId="0" borderId="5" xfId="53" applyBorder="1"/>
    <xf numFmtId="0" fontId="125" fillId="8" borderId="496" xfId="48" applyFont="1" applyFill="1" applyBorder="1" applyAlignment="1">
      <alignment horizontal="center" vertical="center"/>
    </xf>
    <xf numFmtId="0" fontId="4" fillId="8" borderId="444" xfId="53" applyFill="1" applyBorder="1"/>
    <xf numFmtId="0" fontId="4" fillId="8" borderId="445" xfId="53" applyFill="1" applyBorder="1"/>
    <xf numFmtId="0" fontId="133" fillId="8" borderId="5" xfId="48" applyFont="1" applyFill="1" applyBorder="1" applyAlignment="1">
      <alignment horizontal="center" vertical="center"/>
    </xf>
    <xf numFmtId="0" fontId="135" fillId="8" borderId="396" xfId="48" applyFont="1" applyFill="1" applyBorder="1" applyAlignment="1">
      <alignment vertical="center"/>
    </xf>
    <xf numFmtId="1" fontId="13" fillId="9" borderId="424" xfId="53" applyNumberFormat="1" applyFont="1" applyFill="1" applyBorder="1" applyAlignment="1">
      <alignment horizontal="centerContinuous" vertical="center" wrapText="1"/>
    </xf>
    <xf numFmtId="0" fontId="7" fillId="10" borderId="7" xfId="53" applyFont="1" applyFill="1" applyBorder="1" applyAlignment="1">
      <alignment horizontal="centerContinuous" vertical="center" wrapText="1"/>
    </xf>
    <xf numFmtId="0" fontId="7" fillId="9" borderId="7" xfId="53" applyFont="1" applyFill="1" applyBorder="1" applyAlignment="1">
      <alignment horizontal="centerContinuous" vertical="center" wrapText="1"/>
    </xf>
    <xf numFmtId="0" fontId="7" fillId="9" borderId="419" xfId="53" applyFont="1" applyFill="1" applyBorder="1" applyAlignment="1">
      <alignment horizontal="centerContinuous" vertical="center" wrapText="1"/>
    </xf>
    <xf numFmtId="0" fontId="13" fillId="9" borderId="424" xfId="53" applyFont="1" applyFill="1" applyBorder="1" applyAlignment="1">
      <alignment horizontal="centerContinuous" vertical="center"/>
    </xf>
    <xf numFmtId="0" fontId="13" fillId="9" borderId="7" xfId="53" applyFont="1" applyFill="1" applyBorder="1" applyAlignment="1">
      <alignment horizontal="centerContinuous" vertical="center"/>
    </xf>
    <xf numFmtId="0" fontId="4" fillId="9" borderId="7" xfId="53" applyFill="1" applyBorder="1" applyAlignment="1">
      <alignment horizontal="centerContinuous" vertical="center"/>
    </xf>
    <xf numFmtId="0" fontId="4" fillId="9" borderId="419" xfId="53" applyFill="1" applyBorder="1" applyAlignment="1">
      <alignment horizontal="centerContinuous" vertical="center"/>
    </xf>
    <xf numFmtId="171" fontId="7" fillId="0" borderId="5" xfId="53" applyNumberFormat="1" applyFont="1" applyBorder="1" applyAlignment="1" applyProtection="1">
      <alignment horizontal="center" vertical="center" wrapText="1"/>
      <protection locked="0"/>
    </xf>
    <xf numFmtId="171" fontId="7" fillId="0" borderId="0" xfId="53" applyNumberFormat="1" applyFont="1" applyAlignment="1" applyProtection="1">
      <alignment horizontal="center" vertical="center" wrapText="1"/>
      <protection locked="0"/>
    </xf>
    <xf numFmtId="171" fontId="7" fillId="0" borderId="4" xfId="53" applyNumberFormat="1" applyFont="1" applyBorder="1" applyAlignment="1" applyProtection="1">
      <alignment horizontal="center" vertical="center" wrapText="1"/>
      <protection locked="0"/>
    </xf>
    <xf numFmtId="174" fontId="7" fillId="0" borderId="35" xfId="52" applyNumberFormat="1" applyFont="1" applyBorder="1" applyAlignment="1">
      <alignment horizontal="center" vertical="center"/>
    </xf>
    <xf numFmtId="174" fontId="7" fillId="0" borderId="153" xfId="52" applyNumberFormat="1" applyFont="1" applyBorder="1" applyAlignment="1">
      <alignment horizontal="center" vertical="center"/>
    </xf>
    <xf numFmtId="174" fontId="7" fillId="0" borderId="551" xfId="52" applyNumberFormat="1" applyFont="1" applyBorder="1" applyAlignment="1">
      <alignment horizontal="center" vertical="center"/>
    </xf>
    <xf numFmtId="0" fontId="174" fillId="3" borderId="567" xfId="48" applyFont="1" applyFill="1" applyBorder="1" applyAlignment="1">
      <alignment horizontal="left" vertical="center"/>
    </xf>
    <xf numFmtId="0" fontId="677" fillId="3" borderId="567" xfId="64" applyFill="1" applyBorder="1" applyAlignment="1">
      <alignment vertical="center"/>
    </xf>
    <xf numFmtId="0" fontId="677" fillId="3" borderId="568" xfId="64" applyFill="1" applyBorder="1" applyAlignment="1">
      <alignment vertical="center"/>
    </xf>
    <xf numFmtId="0" fontId="56" fillId="3" borderId="5" xfId="53" applyFont="1" applyFill="1" applyBorder="1" applyAlignment="1" applyProtection="1">
      <alignment horizontal="left" vertical="center"/>
      <protection locked="0"/>
    </xf>
    <xf numFmtId="0" fontId="56" fillId="3" borderId="0" xfId="53" applyFont="1" applyFill="1" applyAlignment="1" applyProtection="1">
      <alignment horizontal="left" vertical="center"/>
      <protection locked="0"/>
    </xf>
    <xf numFmtId="0" fontId="314" fillId="3" borderId="383" xfId="48" applyFont="1" applyFill="1" applyBorder="1" applyAlignment="1" applyProtection="1">
      <alignment horizontal="right" vertical="center"/>
      <protection hidden="1"/>
    </xf>
    <xf numFmtId="0" fontId="1" fillId="3" borderId="0" xfId="53" applyFont="1" applyFill="1" applyAlignment="1" applyProtection="1">
      <alignment horizontal="left" vertical="center"/>
      <protection locked="0"/>
    </xf>
    <xf numFmtId="0" fontId="56" fillId="3" borderId="4" xfId="53" applyFont="1" applyFill="1" applyBorder="1" applyAlignment="1" applyProtection="1">
      <alignment horizontal="left" vertical="center"/>
      <protection locked="0"/>
    </xf>
    <xf numFmtId="0" fontId="8" fillId="3" borderId="57" xfId="53" applyFont="1" applyFill="1" applyBorder="1" applyAlignment="1">
      <alignment horizontal="centerContinuous" vertical="center"/>
    </xf>
    <xf numFmtId="0" fontId="8" fillId="3" borderId="0" xfId="53" applyFont="1" applyFill="1" applyAlignment="1">
      <alignment horizontal="centerContinuous" vertical="center"/>
    </xf>
    <xf numFmtId="0" fontId="315" fillId="3" borderId="0" xfId="48" applyFont="1" applyFill="1" applyAlignment="1">
      <alignment horizontal="center" vertical="center"/>
    </xf>
    <xf numFmtId="0" fontId="316" fillId="3" borderId="57" xfId="48" applyFont="1" applyFill="1" applyBorder="1" applyAlignment="1">
      <alignment horizontal="center" vertical="center"/>
    </xf>
    <xf numFmtId="167" fontId="317" fillId="59" borderId="0" xfId="53" applyNumberFormat="1" applyFont="1" applyFill="1" applyAlignment="1">
      <alignment horizontal="center" vertical="center"/>
    </xf>
    <xf numFmtId="0" fontId="4" fillId="3" borderId="0" xfId="53" applyFill="1" applyAlignment="1">
      <alignment vertical="center"/>
    </xf>
    <xf numFmtId="0" fontId="34" fillId="3" borderId="0" xfId="53" applyFont="1" applyFill="1" applyAlignment="1">
      <alignment horizontal="center" vertical="center" wrapText="1"/>
    </xf>
    <xf numFmtId="0" fontId="34" fillId="3" borderId="301" xfId="53" applyFont="1" applyFill="1" applyBorder="1" applyAlignment="1">
      <alignment horizontal="center" vertical="center" wrapText="1"/>
    </xf>
    <xf numFmtId="0" fontId="34" fillId="22" borderId="57" xfId="53" applyFont="1" applyFill="1" applyBorder="1" applyAlignment="1">
      <alignment horizontal="center" vertical="center"/>
    </xf>
    <xf numFmtId="0" fontId="44" fillId="3" borderId="0" xfId="53" applyFont="1" applyFill="1" applyAlignment="1">
      <alignment horizontal="left" vertical="center"/>
    </xf>
    <xf numFmtId="167" fontId="15" fillId="3" borderId="0" xfId="53" applyNumberFormat="1" applyFont="1" applyFill="1" applyAlignment="1">
      <alignment horizontal="center" vertical="center"/>
    </xf>
    <xf numFmtId="0" fontId="4" fillId="3" borderId="0" xfId="53" applyFill="1" applyAlignment="1">
      <alignment horizontal="center" vertical="center"/>
    </xf>
    <xf numFmtId="0" fontId="315" fillId="3" borderId="57" xfId="48" applyFont="1" applyFill="1" applyBorder="1" applyAlignment="1">
      <alignment horizontal="center" vertical="center"/>
    </xf>
    <xf numFmtId="0" fontId="319" fillId="3" borderId="0" xfId="48" applyFont="1" applyFill="1" applyAlignment="1" applyProtection="1">
      <alignment horizontal="left"/>
      <protection hidden="1"/>
    </xf>
    <xf numFmtId="0" fontId="320" fillId="3" borderId="0" xfId="48" applyFont="1" applyFill="1" applyAlignment="1" applyProtection="1">
      <alignment horizontal="left"/>
      <protection hidden="1"/>
    </xf>
    <xf numFmtId="0" fontId="315" fillId="3" borderId="142" xfId="48" applyFont="1" applyFill="1" applyBorder="1" applyAlignment="1">
      <alignment horizontal="center" vertical="center"/>
    </xf>
    <xf numFmtId="0" fontId="321" fillId="3" borderId="143" xfId="48" applyFont="1" applyFill="1" applyBorder="1" applyAlignment="1" applyProtection="1">
      <alignment horizontal="left"/>
      <protection hidden="1"/>
    </xf>
    <xf numFmtId="0" fontId="34" fillId="3" borderId="143" xfId="53" applyFont="1" applyFill="1" applyBorder="1" applyAlignment="1">
      <alignment horizontal="center" vertical="center" wrapText="1"/>
    </xf>
    <xf numFmtId="0" fontId="34" fillId="3" borderId="144" xfId="53" applyFont="1" applyFill="1" applyBorder="1" applyAlignment="1">
      <alignment horizontal="center" vertical="center" wrapText="1"/>
    </xf>
    <xf numFmtId="0" fontId="316" fillId="22" borderId="460" xfId="48" applyFont="1" applyFill="1" applyBorder="1" applyAlignment="1">
      <alignment horizontal="center" vertical="center"/>
    </xf>
    <xf numFmtId="0" fontId="322" fillId="3" borderId="444" xfId="48" applyFont="1" applyFill="1" applyBorder="1" applyAlignment="1" applyProtection="1">
      <alignment horizontal="left"/>
      <protection hidden="1"/>
    </xf>
    <xf numFmtId="0" fontId="34" fillId="3" borderId="444" xfId="53" applyFont="1" applyFill="1" applyBorder="1" applyAlignment="1">
      <alignment horizontal="center" vertical="center" wrapText="1"/>
    </xf>
    <xf numFmtId="0" fontId="34" fillId="3" borderId="470" xfId="53" applyFont="1" applyFill="1" applyBorder="1" applyAlignment="1">
      <alignment horizontal="center" vertical="center" wrapText="1"/>
    </xf>
    <xf numFmtId="0" fontId="83" fillId="0" borderId="0" xfId="53" applyFont="1" applyAlignment="1">
      <alignment vertical="top"/>
    </xf>
    <xf numFmtId="0" fontId="316" fillId="3" borderId="496" xfId="48" applyFont="1" applyFill="1" applyBorder="1" applyAlignment="1">
      <alignment horizontal="center" vertical="center"/>
    </xf>
    <xf numFmtId="0" fontId="8" fillId="3" borderId="444" xfId="53" applyFont="1" applyFill="1" applyBorder="1" applyAlignment="1">
      <alignment horizontal="center" vertical="center"/>
    </xf>
    <xf numFmtId="0" fontId="315" fillId="3" borderId="444" xfId="48" applyFont="1" applyFill="1" applyBorder="1" applyAlignment="1">
      <alignment horizontal="center" vertical="center"/>
    </xf>
    <xf numFmtId="0" fontId="316" fillId="3" borderId="444" xfId="48" applyFont="1" applyFill="1" applyBorder="1" applyAlignment="1">
      <alignment horizontal="center" vertical="center"/>
    </xf>
    <xf numFmtId="0" fontId="8" fillId="3" borderId="445" xfId="53" applyFont="1" applyFill="1" applyBorder="1" applyAlignment="1">
      <alignment horizontal="center" vertical="center"/>
    </xf>
    <xf numFmtId="167" fontId="323" fillId="59" borderId="497" xfId="53" applyNumberFormat="1" applyFont="1" applyFill="1" applyBorder="1" applyAlignment="1">
      <alignment horizontal="center" vertical="center"/>
    </xf>
    <xf numFmtId="9" fontId="4" fillId="3" borderId="497" xfId="53" applyNumberFormat="1" applyFill="1" applyBorder="1" applyAlignment="1">
      <alignment horizontal="center" vertical="center"/>
    </xf>
    <xf numFmtId="0" fontId="4" fillId="3" borderId="497" xfId="53" applyFill="1" applyBorder="1"/>
    <xf numFmtId="166" fontId="4" fillId="0" borderId="497" xfId="53" applyNumberFormat="1" applyBorder="1" applyAlignment="1">
      <alignment horizontal="center"/>
    </xf>
    <xf numFmtId="166" fontId="4" fillId="0" borderId="383" xfId="53" applyNumberFormat="1" applyBorder="1" applyAlignment="1">
      <alignment horizontal="center"/>
    </xf>
    <xf numFmtId="0" fontId="34" fillId="22" borderId="5" xfId="53" applyFont="1" applyFill="1" applyBorder="1" applyAlignment="1">
      <alignment horizontal="center" vertical="center"/>
    </xf>
    <xf numFmtId="0" fontId="44" fillId="3" borderId="0" xfId="53" applyFont="1" applyFill="1" applyAlignment="1">
      <alignment horizontal="center" vertical="center"/>
    </xf>
    <xf numFmtId="0" fontId="44" fillId="3" borderId="4" xfId="53" applyFont="1" applyFill="1" applyBorder="1" applyAlignment="1">
      <alignment horizontal="left" vertical="center"/>
    </xf>
    <xf numFmtId="0" fontId="14" fillId="3" borderId="5" xfId="53" applyFont="1" applyFill="1" applyBorder="1" applyAlignment="1">
      <alignment horizontal="center" vertical="center"/>
    </xf>
    <xf numFmtId="0" fontId="14" fillId="3" borderId="0" xfId="53" applyFont="1" applyFill="1" applyAlignment="1">
      <alignment horizontal="center" vertical="center"/>
    </xf>
    <xf numFmtId="0" fontId="14" fillId="3" borderId="4" xfId="53" applyFont="1" applyFill="1" applyBorder="1" applyAlignment="1">
      <alignment horizontal="center" vertical="center"/>
    </xf>
    <xf numFmtId="205" fontId="6" fillId="3" borderId="5" xfId="53" applyNumberFormat="1" applyFont="1" applyFill="1" applyBorder="1" applyAlignment="1">
      <alignment horizontal="center" vertical="center"/>
    </xf>
    <xf numFmtId="206" fontId="311" fillId="3" borderId="0" xfId="53" applyNumberFormat="1" applyFont="1" applyFill="1" applyAlignment="1">
      <alignment horizontal="center" vertical="center"/>
    </xf>
    <xf numFmtId="206" fontId="6" fillId="3" borderId="0" xfId="53" applyNumberFormat="1" applyFont="1" applyFill="1" applyAlignment="1">
      <alignment horizontal="center" vertical="center"/>
    </xf>
    <xf numFmtId="206" fontId="311" fillId="3" borderId="4" xfId="53" applyNumberFormat="1" applyFont="1" applyFill="1" applyBorder="1" applyAlignment="1">
      <alignment horizontal="center" vertical="center"/>
    </xf>
    <xf numFmtId="166" fontId="315" fillId="6" borderId="5" xfId="53" applyNumberFormat="1" applyFont="1" applyFill="1" applyBorder="1" applyAlignment="1">
      <alignment horizontal="center" vertical="center"/>
    </xf>
    <xf numFmtId="166" fontId="315" fillId="6" borderId="0" xfId="53" applyNumberFormat="1" applyFont="1" applyFill="1" applyAlignment="1">
      <alignment horizontal="center" vertical="center"/>
    </xf>
    <xf numFmtId="166" fontId="315" fillId="3" borderId="0" xfId="53" applyNumberFormat="1" applyFont="1" applyFill="1" applyAlignment="1">
      <alignment horizontal="center" vertical="center"/>
    </xf>
    <xf numFmtId="166" fontId="315" fillId="6" borderId="4" xfId="53" applyNumberFormat="1" applyFont="1" applyFill="1" applyBorder="1" applyAlignment="1">
      <alignment horizontal="center" vertical="center"/>
    </xf>
    <xf numFmtId="166" fontId="315" fillId="3" borderId="496" xfId="53" applyNumberFormat="1" applyFont="1" applyFill="1" applyBorder="1" applyAlignment="1">
      <alignment horizontal="center" vertical="center"/>
    </xf>
    <xf numFmtId="0" fontId="4" fillId="3" borderId="444" xfId="53" applyFill="1" applyBorder="1"/>
    <xf numFmtId="166" fontId="315" fillId="3" borderId="444" xfId="53" applyNumberFormat="1" applyFont="1" applyFill="1" applyBorder="1" applyAlignment="1">
      <alignment horizontal="center" vertical="center"/>
    </xf>
    <xf numFmtId="0" fontId="315" fillId="3" borderId="445" xfId="48" applyFont="1" applyFill="1" applyBorder="1" applyAlignment="1">
      <alignment horizontal="center" vertical="center"/>
    </xf>
    <xf numFmtId="0" fontId="315" fillId="3" borderId="5" xfId="48" applyFont="1" applyFill="1" applyBorder="1" applyAlignment="1">
      <alignment horizontal="center" vertical="center"/>
    </xf>
    <xf numFmtId="0" fontId="321" fillId="3" borderId="0" xfId="48" applyFont="1" applyFill="1" applyAlignment="1" applyProtection="1">
      <alignment horizontal="left"/>
      <protection hidden="1"/>
    </xf>
    <xf numFmtId="0" fontId="174" fillId="3" borderId="0" xfId="48" applyFont="1" applyFill="1" applyAlignment="1">
      <alignment vertical="center"/>
    </xf>
    <xf numFmtId="0" fontId="174" fillId="3" borderId="4" xfId="48" applyFont="1" applyFill="1" applyBorder="1" applyAlignment="1">
      <alignment vertical="center"/>
    </xf>
    <xf numFmtId="0" fontId="316" fillId="22" borderId="5" xfId="48" applyFont="1" applyFill="1" applyBorder="1" applyAlignment="1">
      <alignment horizontal="center" vertical="center"/>
    </xf>
    <xf numFmtId="0" fontId="322" fillId="3" borderId="0" xfId="48" applyFont="1" applyFill="1" applyAlignment="1" applyProtection="1">
      <alignment horizontal="left"/>
      <protection hidden="1"/>
    </xf>
    <xf numFmtId="0" fontId="314" fillId="3" borderId="4" xfId="48" applyFont="1" applyFill="1" applyBorder="1" applyAlignment="1" applyProtection="1">
      <alignment horizontal="right" vertical="center"/>
      <protection hidden="1"/>
    </xf>
    <xf numFmtId="166" fontId="315" fillId="3" borderId="5" xfId="53" applyNumberFormat="1" applyFont="1" applyFill="1" applyBorder="1" applyAlignment="1">
      <alignment horizontal="center" vertical="center"/>
    </xf>
    <xf numFmtId="0" fontId="4" fillId="0" borderId="0" xfId="53" applyAlignment="1">
      <alignment horizontal="right"/>
    </xf>
    <xf numFmtId="171" fontId="76" fillId="25" borderId="0" xfId="53" applyNumberFormat="1" applyFont="1" applyFill="1" applyAlignment="1" applyProtection="1">
      <alignment horizontal="center" vertical="center"/>
      <protection locked="0"/>
    </xf>
    <xf numFmtId="171" fontId="92" fillId="3" borderId="0" xfId="53" applyNumberFormat="1" applyFont="1" applyFill="1" applyAlignment="1">
      <alignment vertical="center"/>
    </xf>
    <xf numFmtId="171" fontId="47" fillId="0" borderId="0" xfId="53" applyNumberFormat="1" applyFont="1" applyAlignment="1" applyProtection="1">
      <alignment horizontal="center" vertical="center" wrapText="1"/>
      <protection locked="0"/>
    </xf>
    <xf numFmtId="172" fontId="93" fillId="15" borderId="0" xfId="53" applyNumberFormat="1" applyFont="1" applyFill="1" applyAlignment="1" applyProtection="1">
      <alignment horizontal="center" vertical="center"/>
      <protection locked="0"/>
    </xf>
    <xf numFmtId="172" fontId="77" fillId="15" borderId="0" xfId="53" applyNumberFormat="1" applyFont="1" applyFill="1" applyAlignment="1" applyProtection="1">
      <alignment horizontal="center" vertical="center"/>
      <protection locked="0"/>
    </xf>
    <xf numFmtId="172" fontId="94" fillId="3" borderId="0" xfId="53" applyNumberFormat="1" applyFont="1" applyFill="1" applyAlignment="1" applyProtection="1">
      <alignment horizontal="center" vertical="center"/>
      <protection locked="0"/>
    </xf>
    <xf numFmtId="0" fontId="73" fillId="3" borderId="0" xfId="53" applyFont="1" applyFill="1" applyAlignment="1">
      <alignment vertical="center"/>
    </xf>
    <xf numFmtId="0" fontId="7" fillId="3" borderId="4" xfId="48" applyFill="1" applyBorder="1" applyProtection="1">
      <protection hidden="1"/>
    </xf>
    <xf numFmtId="0" fontId="4" fillId="3" borderId="496" xfId="53" applyFill="1" applyBorder="1" applyAlignment="1">
      <alignment vertical="center"/>
    </xf>
    <xf numFmtId="9" fontId="4" fillId="3" borderId="444" xfId="53" applyNumberFormat="1" applyFill="1" applyBorder="1" applyAlignment="1">
      <alignment vertical="center"/>
    </xf>
    <xf numFmtId="0" fontId="91" fillId="26" borderId="444" xfId="48" applyFont="1" applyFill="1" applyBorder="1" applyAlignment="1" applyProtection="1">
      <alignment horizontal="center" vertical="center" wrapText="1"/>
      <protection hidden="1"/>
    </xf>
    <xf numFmtId="0" fontId="7" fillId="3" borderId="444" xfId="48" applyFill="1" applyBorder="1" applyProtection="1">
      <protection hidden="1"/>
    </xf>
    <xf numFmtId="0" fontId="4" fillId="3" borderId="444" xfId="53" applyFill="1" applyBorder="1" applyAlignment="1">
      <alignment vertical="center"/>
    </xf>
    <xf numFmtId="0" fontId="7" fillId="3" borderId="445" xfId="48" applyFill="1" applyBorder="1" applyProtection="1">
      <protection hidden="1"/>
    </xf>
    <xf numFmtId="0" fontId="768" fillId="8" borderId="5" xfId="48" applyFont="1" applyFill="1" applyBorder="1" applyAlignment="1">
      <alignment horizontal="center" vertical="center"/>
    </xf>
    <xf numFmtId="174" fontId="412" fillId="3" borderId="0" xfId="52" applyNumberFormat="1" applyFont="1" applyFill="1" applyAlignment="1">
      <alignment vertical="center"/>
    </xf>
    <xf numFmtId="174" fontId="13" fillId="3" borderId="0" xfId="52" applyNumberFormat="1" applyFont="1" applyFill="1" applyAlignment="1">
      <alignment vertical="center"/>
    </xf>
    <xf numFmtId="174" fontId="13" fillId="3" borderId="4" xfId="52" applyNumberFormat="1" applyFont="1" applyFill="1" applyBorder="1" applyAlignment="1">
      <alignment vertical="center"/>
    </xf>
    <xf numFmtId="2" fontId="70" fillId="3" borderId="0" xfId="52" applyNumberFormat="1" applyFont="1" applyFill="1" applyAlignment="1">
      <alignment horizontal="center" vertical="center"/>
    </xf>
    <xf numFmtId="171" fontId="70" fillId="3" borderId="0" xfId="52" applyNumberFormat="1" applyFont="1" applyFill="1" applyAlignment="1">
      <alignment horizontal="center" vertical="center"/>
    </xf>
    <xf numFmtId="175" fontId="70" fillId="3" borderId="0" xfId="12" applyNumberFormat="1" applyFont="1" applyFill="1" applyAlignment="1" applyProtection="1">
      <alignment horizontal="center" vertical="center"/>
      <protection locked="0"/>
    </xf>
    <xf numFmtId="0" fontId="1" fillId="0" borderId="4" xfId="60" applyBorder="1"/>
    <xf numFmtId="0" fontId="76" fillId="15" borderId="39" xfId="52" applyFont="1" applyFill="1" applyBorder="1" applyAlignment="1">
      <alignment horizontal="center" vertical="center"/>
    </xf>
    <xf numFmtId="174" fontId="70" fillId="3" borderId="0" xfId="52" applyNumberFormat="1" applyFont="1" applyFill="1" applyAlignment="1">
      <alignment horizontal="right" vertical="center" wrapText="1"/>
    </xf>
    <xf numFmtId="0" fontId="13" fillId="3" borderId="4" xfId="12" applyFont="1" applyFill="1" applyBorder="1" applyAlignment="1">
      <alignment horizontal="center" vertical="center"/>
    </xf>
    <xf numFmtId="0" fontId="35" fillId="3" borderId="5" xfId="53" applyFont="1" applyFill="1" applyBorder="1" applyAlignment="1">
      <alignment horizontal="center" vertical="center"/>
    </xf>
    <xf numFmtId="0" fontId="76" fillId="3" borderId="0" xfId="52" applyFont="1" applyFill="1" applyAlignment="1">
      <alignment horizontal="center" vertical="center"/>
    </xf>
    <xf numFmtId="174" fontId="70" fillId="3" borderId="4" xfId="52" applyNumberFormat="1" applyFont="1" applyFill="1" applyBorder="1" applyAlignment="1">
      <alignment horizontal="right" vertical="center" wrapText="1"/>
    </xf>
    <xf numFmtId="174" fontId="98" fillId="3" borderId="0" xfId="52" applyNumberFormat="1" applyFont="1" applyFill="1" applyAlignment="1">
      <alignment vertical="center"/>
    </xf>
    <xf numFmtId="1" fontId="85" fillId="15" borderId="0" xfId="52" applyNumberFormat="1" applyFont="1" applyFill="1" applyAlignment="1">
      <alignment horizontal="center" vertical="center"/>
    </xf>
    <xf numFmtId="0" fontId="8" fillId="3" borderId="4" xfId="53" applyFont="1" applyFill="1" applyBorder="1" applyAlignment="1">
      <alignment horizontal="center" vertical="center"/>
    </xf>
    <xf numFmtId="170" fontId="85" fillId="15" borderId="0" xfId="52" applyNumberFormat="1" applyFont="1" applyFill="1" applyAlignment="1">
      <alignment horizontal="center" vertical="center"/>
    </xf>
    <xf numFmtId="0" fontId="70" fillId="3" borderId="0" xfId="53" applyFont="1" applyFill="1" applyAlignment="1">
      <alignment horizontal="right" vertical="center"/>
    </xf>
    <xf numFmtId="170" fontId="8" fillId="3" borderId="0" xfId="52" applyNumberFormat="1" applyFont="1" applyFill="1" applyAlignment="1">
      <alignment horizontal="center" vertical="center"/>
    </xf>
    <xf numFmtId="0" fontId="70" fillId="3" borderId="0" xfId="53" applyFont="1" applyFill="1" applyAlignment="1">
      <alignment horizontal="left" vertical="center"/>
    </xf>
    <xf numFmtId="0" fontId="13" fillId="3" borderId="4" xfId="53" applyFont="1" applyFill="1" applyBorder="1" applyAlignment="1">
      <alignment horizontal="right" vertical="center"/>
    </xf>
    <xf numFmtId="171" fontId="92" fillId="3" borderId="5" xfId="53" applyNumberFormat="1" applyFont="1" applyFill="1" applyBorder="1" applyAlignment="1">
      <alignment vertical="center"/>
    </xf>
    <xf numFmtId="170" fontId="85" fillId="3" borderId="0" xfId="52" applyNumberFormat="1" applyFont="1" applyFill="1" applyAlignment="1">
      <alignment horizontal="center" vertical="center"/>
    </xf>
    <xf numFmtId="0" fontId="70" fillId="3" borderId="4" xfId="53" applyFont="1" applyFill="1" applyBorder="1" applyAlignment="1">
      <alignment horizontal="center" vertical="center"/>
    </xf>
    <xf numFmtId="171" fontId="85" fillId="15" borderId="0" xfId="52" applyNumberFormat="1" applyFont="1" applyFill="1" applyAlignment="1">
      <alignment horizontal="center" vertical="center"/>
    </xf>
    <xf numFmtId="179" fontId="8" fillId="3" borderId="4" xfId="52" applyNumberFormat="1" applyFont="1" applyFill="1" applyBorder="1" applyAlignment="1">
      <alignment horizontal="center" vertical="center"/>
    </xf>
    <xf numFmtId="0" fontId="100" fillId="3" borderId="0" xfId="53" applyFont="1" applyFill="1" applyAlignment="1">
      <alignment horizontal="center" vertical="center"/>
    </xf>
    <xf numFmtId="0" fontId="101" fillId="3" borderId="0" xfId="53" applyFont="1" applyFill="1" applyAlignment="1">
      <alignment horizontal="center"/>
    </xf>
    <xf numFmtId="0" fontId="102" fillId="3" borderId="0" xfId="48" applyFont="1" applyFill="1" applyAlignment="1" applyProtection="1">
      <alignment horizontal="center"/>
      <protection hidden="1"/>
    </xf>
    <xf numFmtId="171" fontId="92" fillId="3" borderId="358" xfId="53" applyNumberFormat="1" applyFont="1" applyFill="1" applyBorder="1" applyAlignment="1">
      <alignment vertical="center"/>
    </xf>
    <xf numFmtId="171" fontId="92" fillId="3" borderId="1" xfId="53" applyNumberFormat="1" applyFont="1" applyFill="1" applyBorder="1" applyAlignment="1">
      <alignment vertical="center"/>
    </xf>
    <xf numFmtId="0" fontId="7" fillId="3" borderId="1" xfId="48" applyFill="1" applyBorder="1" applyProtection="1">
      <protection hidden="1"/>
    </xf>
    <xf numFmtId="0" fontId="70" fillId="3" borderId="1" xfId="53" applyFont="1" applyFill="1" applyBorder="1" applyAlignment="1">
      <alignment horizontal="center" vertical="center"/>
    </xf>
    <xf numFmtId="171" fontId="73" fillId="3" borderId="1" xfId="53" applyNumberFormat="1" applyFont="1" applyFill="1" applyBorder="1" applyAlignment="1" applyProtection="1">
      <alignment horizontal="center" vertical="center" wrapText="1"/>
      <protection locked="0"/>
    </xf>
    <xf numFmtId="0" fontId="4" fillId="31" borderId="0" xfId="53" applyFill="1"/>
    <xf numFmtId="0" fontId="7" fillId="31" borderId="0" xfId="48" applyFill="1" applyProtection="1">
      <protection hidden="1"/>
    </xf>
    <xf numFmtId="0" fontId="61" fillId="31" borderId="0" xfId="48" applyFont="1" applyFill="1" applyAlignment="1" applyProtection="1">
      <alignment vertical="center"/>
      <protection hidden="1"/>
    </xf>
    <xf numFmtId="171" fontId="38" fillId="3" borderId="0" xfId="52" applyNumberFormat="1" applyFont="1" applyFill="1" applyAlignment="1">
      <alignment vertical="center"/>
    </xf>
    <xf numFmtId="0" fontId="13" fillId="3" borderId="541" xfId="53" applyFont="1" applyFill="1" applyBorder="1" applyAlignment="1">
      <alignment vertical="center"/>
    </xf>
    <xf numFmtId="0" fontId="1" fillId="3" borderId="101" xfId="60" applyFill="1" applyBorder="1"/>
    <xf numFmtId="0" fontId="677" fillId="3" borderId="101" xfId="64" applyFill="1" applyBorder="1" applyAlignment="1">
      <alignment vertical="center"/>
    </xf>
    <xf numFmtId="0" fontId="677" fillId="3" borderId="533" xfId="64" applyFill="1" applyBorder="1" applyAlignment="1">
      <alignment vertical="center"/>
    </xf>
    <xf numFmtId="0" fontId="13" fillId="3" borderId="131" xfId="53" applyFont="1" applyFill="1" applyBorder="1" applyAlignment="1">
      <alignment vertical="center"/>
    </xf>
    <xf numFmtId="0" fontId="1" fillId="3" borderId="567" xfId="60" applyFill="1" applyBorder="1"/>
    <xf numFmtId="0" fontId="13" fillId="3" borderId="5" xfId="53" applyFont="1" applyFill="1" applyBorder="1" applyAlignment="1">
      <alignment horizontal="right" vertical="center"/>
    </xf>
    <xf numFmtId="0" fontId="36" fillId="3" borderId="0" xfId="53" applyFont="1" applyFill="1" applyAlignment="1">
      <alignment horizontal="center" vertical="center"/>
    </xf>
    <xf numFmtId="171" fontId="36" fillId="3" borderId="0" xfId="52" applyNumberFormat="1" applyFont="1" applyFill="1" applyAlignment="1">
      <alignment horizontal="left" vertical="center"/>
    </xf>
    <xf numFmtId="171" fontId="36" fillId="3" borderId="4" xfId="52" applyNumberFormat="1" applyFont="1" applyFill="1" applyBorder="1" applyAlignment="1">
      <alignment vertical="center"/>
    </xf>
    <xf numFmtId="171" fontId="13" fillId="3" borderId="4" xfId="52" applyNumberFormat="1" applyFont="1" applyFill="1" applyBorder="1" applyAlignment="1">
      <alignment horizontal="center" vertical="center"/>
    </xf>
    <xf numFmtId="1" fontId="13" fillId="3" borderId="0" xfId="53" applyNumberFormat="1" applyFont="1" applyFill="1" applyAlignment="1">
      <alignment horizontal="right" vertical="center"/>
    </xf>
    <xf numFmtId="1" fontId="13" fillId="3" borderId="0" xfId="53" applyNumberFormat="1" applyFont="1" applyFill="1" applyAlignment="1">
      <alignment horizontal="center" vertical="center"/>
    </xf>
    <xf numFmtId="0" fontId="73" fillId="3" borderId="0" xfId="53" applyFont="1" applyFill="1" applyAlignment="1">
      <alignment horizontal="centerContinuous" vertical="center"/>
    </xf>
    <xf numFmtId="0" fontId="61" fillId="3" borderId="0" xfId="53" applyFont="1" applyFill="1" applyAlignment="1">
      <alignment horizontal="center" vertical="center"/>
    </xf>
    <xf numFmtId="174" fontId="105" fillId="5" borderId="5" xfId="52" applyNumberFormat="1" applyFont="1" applyFill="1" applyBorder="1" applyAlignment="1">
      <alignment horizontal="center" vertical="center" wrapText="1"/>
    </xf>
    <xf numFmtId="174" fontId="105" fillId="5" borderId="0" xfId="52" applyNumberFormat="1" applyFont="1" applyFill="1" applyAlignment="1">
      <alignment horizontal="center" vertical="center" wrapText="1"/>
    </xf>
    <xf numFmtId="1" fontId="105" fillId="5" borderId="0" xfId="52" applyNumberFormat="1" applyFont="1" applyFill="1" applyAlignment="1">
      <alignment horizontal="centerContinuous" vertical="center"/>
    </xf>
    <xf numFmtId="0" fontId="105" fillId="5" borderId="0" xfId="53" applyFont="1" applyFill="1" applyAlignment="1">
      <alignment horizontal="center" vertical="center" wrapText="1"/>
    </xf>
    <xf numFmtId="0" fontId="105" fillId="5" borderId="0" xfId="53" applyFont="1" applyFill="1" applyAlignment="1">
      <alignment horizontal="centerContinuous" vertical="center"/>
    </xf>
    <xf numFmtId="0" fontId="105" fillId="5" borderId="0" xfId="53" applyFont="1" applyFill="1" applyAlignment="1">
      <alignment horizontal="center" vertical="center"/>
    </xf>
    <xf numFmtId="171" fontId="105" fillId="5" borderId="4" xfId="52" applyNumberFormat="1" applyFont="1" applyFill="1" applyBorder="1" applyAlignment="1">
      <alignment horizontal="center" vertical="center"/>
    </xf>
    <xf numFmtId="171" fontId="105" fillId="5" borderId="5" xfId="52" applyNumberFormat="1" applyFont="1" applyFill="1" applyBorder="1" applyAlignment="1">
      <alignment horizontal="center" vertical="center"/>
    </xf>
    <xf numFmtId="171" fontId="105" fillId="5" borderId="0" xfId="52" applyNumberFormat="1" applyFont="1" applyFill="1" applyAlignment="1">
      <alignment horizontal="center" vertical="center"/>
    </xf>
    <xf numFmtId="1" fontId="105" fillId="5" borderId="0" xfId="52" applyNumberFormat="1" applyFont="1" applyFill="1" applyAlignment="1">
      <alignment horizontal="center" vertical="center"/>
    </xf>
    <xf numFmtId="2" fontId="105" fillId="5" borderId="0" xfId="52" applyNumberFormat="1" applyFont="1" applyFill="1" applyAlignment="1">
      <alignment horizontal="center" vertical="center"/>
    </xf>
    <xf numFmtId="0" fontId="105" fillId="5" borderId="4" xfId="53" applyFont="1" applyFill="1" applyBorder="1" applyAlignment="1">
      <alignment horizontal="center" vertical="center"/>
    </xf>
    <xf numFmtId="171" fontId="105" fillId="5" borderId="496" xfId="52" applyNumberFormat="1" applyFont="1" applyFill="1" applyBorder="1" applyAlignment="1">
      <alignment horizontal="center" vertical="center"/>
    </xf>
    <xf numFmtId="171" fontId="105" fillId="5" borderId="444" xfId="52" applyNumberFormat="1" applyFont="1" applyFill="1" applyBorder="1" applyAlignment="1">
      <alignment horizontal="center" vertical="center"/>
    </xf>
    <xf numFmtId="1" fontId="105" fillId="5" borderId="444" xfId="52" applyNumberFormat="1" applyFont="1" applyFill="1" applyBorder="1" applyAlignment="1">
      <alignment horizontal="center" vertical="center"/>
    </xf>
    <xf numFmtId="0" fontId="105" fillId="5" borderId="444" xfId="53" applyFont="1" applyFill="1" applyBorder="1" applyAlignment="1">
      <alignment horizontal="center" vertical="center"/>
    </xf>
    <xf numFmtId="2" fontId="105" fillId="5" borderId="444" xfId="52" applyNumberFormat="1" applyFont="1" applyFill="1" applyBorder="1" applyAlignment="1">
      <alignment horizontal="center" vertical="center"/>
    </xf>
    <xf numFmtId="0" fontId="105" fillId="5" borderId="445" xfId="53" applyFont="1" applyFill="1" applyBorder="1" applyAlignment="1">
      <alignment horizontal="center" vertical="center"/>
    </xf>
    <xf numFmtId="0" fontId="24" fillId="3" borderId="358" xfId="53" applyFont="1" applyFill="1" applyBorder="1" applyAlignment="1">
      <alignment vertical="center" wrapText="1"/>
    </xf>
    <xf numFmtId="0" fontId="24" fillId="3" borderId="1" xfId="53" applyFont="1" applyFill="1" applyBorder="1" applyAlignment="1">
      <alignment vertical="center" wrapText="1"/>
    </xf>
    <xf numFmtId="0" fontId="24" fillId="3" borderId="60" xfId="53" applyFont="1" applyFill="1" applyBorder="1" applyAlignment="1">
      <alignment vertical="center" wrapText="1"/>
    </xf>
    <xf numFmtId="0" fontId="7" fillId="3" borderId="57" xfId="48" applyFill="1" applyBorder="1" applyProtection="1">
      <protection hidden="1"/>
    </xf>
    <xf numFmtId="0" fontId="7" fillId="3" borderId="301" xfId="48" applyFill="1" applyBorder="1" applyProtection="1">
      <protection hidden="1"/>
    </xf>
    <xf numFmtId="0" fontId="27" fillId="3" borderId="57" xfId="52" applyFont="1" applyFill="1" applyBorder="1" applyAlignment="1" applyProtection="1">
      <alignment horizontal="center" vertical="center"/>
      <protection locked="0"/>
    </xf>
    <xf numFmtId="0" fontId="27" fillId="3" borderId="0" xfId="52" applyFont="1" applyFill="1" applyAlignment="1" applyProtection="1">
      <alignment horizontal="center" vertical="center"/>
      <protection locked="0"/>
    </xf>
    <xf numFmtId="0" fontId="27" fillId="3" borderId="301" xfId="52" applyFont="1" applyFill="1" applyBorder="1" applyAlignment="1" applyProtection="1">
      <alignment horizontal="center" vertical="center"/>
      <protection locked="0"/>
    </xf>
    <xf numFmtId="0" fontId="83" fillId="3" borderId="57" xfId="53" applyFont="1" applyFill="1" applyBorder="1" applyAlignment="1">
      <alignment horizontal="left" vertical="center"/>
    </xf>
    <xf numFmtId="0" fontId="83" fillId="3" borderId="0" xfId="53" applyFont="1" applyFill="1" applyAlignment="1">
      <alignment horizontal="left" vertical="center"/>
    </xf>
    <xf numFmtId="0" fontId="770" fillId="3" borderId="0" xfId="53" applyFont="1" applyFill="1" applyAlignment="1">
      <alignment horizontal="right" vertical="center"/>
    </xf>
    <xf numFmtId="0" fontId="38" fillId="15" borderId="572" xfId="52" applyFont="1" applyFill="1" applyBorder="1" applyAlignment="1">
      <alignment horizontal="center" vertical="center"/>
    </xf>
    <xf numFmtId="2" fontId="36" fillId="3" borderId="0" xfId="53" applyNumberFormat="1" applyFont="1" applyFill="1" applyAlignment="1">
      <alignment horizontal="left" vertical="center"/>
    </xf>
    <xf numFmtId="0" fontId="4" fillId="0" borderId="36" xfId="53" applyBorder="1"/>
    <xf numFmtId="0" fontId="83" fillId="3" borderId="301" xfId="53" applyFont="1" applyFill="1" applyBorder="1" applyAlignment="1">
      <alignment horizontal="left" vertical="center"/>
    </xf>
    <xf numFmtId="0" fontId="39" fillId="3" borderId="0" xfId="53" applyFont="1" applyFill="1" applyAlignment="1">
      <alignment horizontal="right" vertical="center"/>
    </xf>
    <xf numFmtId="168" fontId="39" fillId="15" borderId="572" xfId="52" applyNumberFormat="1" applyFont="1" applyFill="1" applyBorder="1" applyAlignment="1">
      <alignment horizontal="center" vertical="center"/>
    </xf>
    <xf numFmtId="168" fontId="84" fillId="15" borderId="572" xfId="52" applyNumberFormat="1" applyFont="1" applyFill="1" applyBorder="1" applyAlignment="1">
      <alignment horizontal="center" vertical="center"/>
    </xf>
    <xf numFmtId="0" fontId="85" fillId="3" borderId="0" xfId="53" applyFont="1" applyFill="1" applyAlignment="1">
      <alignment horizontal="center" vertical="center"/>
    </xf>
    <xf numFmtId="175" fontId="39" fillId="15" borderId="37" xfId="53" applyNumberFormat="1" applyFont="1" applyFill="1" applyBorder="1" applyAlignment="1" applyProtection="1">
      <alignment horizontal="center" vertical="center"/>
      <protection locked="0"/>
    </xf>
    <xf numFmtId="0" fontId="86" fillId="3" borderId="0" xfId="48" applyFont="1" applyFill="1" applyAlignment="1">
      <alignment horizontal="left" vertical="center"/>
    </xf>
    <xf numFmtId="0" fontId="13" fillId="3" borderId="0" xfId="52" applyFont="1" applyFill="1" applyAlignment="1">
      <alignment horizontal="right" vertical="center"/>
    </xf>
    <xf numFmtId="0" fontId="13" fillId="3" borderId="0" xfId="52" applyFont="1" applyFill="1" applyAlignment="1">
      <alignment horizontal="center" vertical="center"/>
    </xf>
    <xf numFmtId="0" fontId="13" fillId="3" borderId="553" xfId="52" applyFont="1" applyFill="1" applyBorder="1" applyAlignment="1">
      <alignment horizontal="center" vertical="center"/>
    </xf>
    <xf numFmtId="0" fontId="13" fillId="3" borderId="553" xfId="53" applyFont="1" applyFill="1" applyBorder="1" applyAlignment="1" applyProtection="1">
      <alignment horizontal="center" vertical="center"/>
      <protection locked="0"/>
    </xf>
    <xf numFmtId="0" fontId="36" fillId="3" borderId="0" xfId="53" applyFont="1" applyFill="1" applyAlignment="1">
      <alignment horizontal="right" vertical="center"/>
    </xf>
    <xf numFmtId="168" fontId="36" fillId="3" borderId="393" xfId="52" applyNumberFormat="1" applyFont="1" applyFill="1" applyBorder="1" applyAlignment="1">
      <alignment horizontal="center" vertical="center"/>
    </xf>
    <xf numFmtId="168" fontId="36" fillId="3" borderId="38" xfId="52" applyNumberFormat="1" applyFont="1" applyFill="1" applyBorder="1" applyAlignment="1">
      <alignment horizontal="center" vertical="center"/>
    </xf>
    <xf numFmtId="176" fontId="36" fillId="3" borderId="0" xfId="52" applyNumberFormat="1" applyFont="1" applyFill="1" applyAlignment="1">
      <alignment horizontal="centerContinuous" vertical="center"/>
    </xf>
    <xf numFmtId="0" fontId="36" fillId="3" borderId="0" xfId="53" applyFont="1" applyFill="1" applyAlignment="1">
      <alignment horizontal="left" vertical="center"/>
    </xf>
    <xf numFmtId="0" fontId="4" fillId="3" borderId="301" xfId="53" applyFill="1" applyBorder="1"/>
    <xf numFmtId="0" fontId="13" fillId="3" borderId="0" xfId="53" applyFont="1" applyFill="1" applyAlignment="1">
      <alignment horizontal="right" vertical="center"/>
    </xf>
    <xf numFmtId="168" fontId="13" fillId="3" borderId="393" xfId="52" applyNumberFormat="1" applyFont="1" applyFill="1" applyBorder="1" applyAlignment="1">
      <alignment horizontal="center" vertical="center"/>
    </xf>
    <xf numFmtId="168" fontId="13" fillId="3" borderId="38" xfId="52" applyNumberFormat="1" applyFont="1" applyFill="1" applyBorder="1" applyAlignment="1">
      <alignment horizontal="center" vertical="center"/>
    </xf>
    <xf numFmtId="176" fontId="43" fillId="3" borderId="0" xfId="52" applyNumberFormat="1" applyFont="1" applyFill="1" applyAlignment="1">
      <alignment horizontal="centerContinuous" vertical="center"/>
    </xf>
    <xf numFmtId="176" fontId="13" fillId="3" borderId="0" xfId="52" applyNumberFormat="1" applyFont="1" applyFill="1" applyAlignment="1">
      <alignment horizontal="centerContinuous" vertical="center"/>
    </xf>
    <xf numFmtId="176" fontId="87" fillId="3" borderId="0" xfId="52" applyNumberFormat="1" applyFont="1" applyFill="1" applyAlignment="1">
      <alignment horizontal="centerContinuous" vertical="center"/>
    </xf>
    <xf numFmtId="0" fontId="87" fillId="3" borderId="0" xfId="53" applyFont="1" applyFill="1" applyAlignment="1">
      <alignment horizontal="left" vertical="center"/>
    </xf>
    <xf numFmtId="0" fontId="88" fillId="3" borderId="0" xfId="53" applyFont="1" applyFill="1" applyAlignment="1">
      <alignment horizontal="left" vertical="center"/>
    </xf>
    <xf numFmtId="169" fontId="87" fillId="3" borderId="0" xfId="52" applyNumberFormat="1" applyFont="1" applyFill="1" applyAlignment="1">
      <alignment horizontal="centerContinuous" vertical="center"/>
    </xf>
    <xf numFmtId="0" fontId="86" fillId="3" borderId="0" xfId="48" applyFont="1" applyFill="1" applyAlignment="1">
      <alignment horizontal="center" vertical="center"/>
    </xf>
    <xf numFmtId="0" fontId="89" fillId="3" borderId="0" xfId="53" applyFont="1" applyFill="1" applyAlignment="1">
      <alignment horizontal="left" vertical="center"/>
    </xf>
    <xf numFmtId="0" fontId="90" fillId="3" borderId="0" xfId="53" applyFont="1" applyFill="1" applyAlignment="1">
      <alignment horizontal="left" vertical="center"/>
    </xf>
    <xf numFmtId="0" fontId="7" fillId="3" borderId="460" xfId="48" applyFill="1" applyBorder="1" applyProtection="1">
      <protection hidden="1"/>
    </xf>
    <xf numFmtId="0" fontId="7" fillId="3" borderId="470" xfId="48" applyFill="1" applyBorder="1" applyProtection="1">
      <protection hidden="1"/>
    </xf>
    <xf numFmtId="0" fontId="725" fillId="31" borderId="0" xfId="48" applyFont="1" applyFill="1" applyProtection="1">
      <protection hidden="1"/>
    </xf>
    <xf numFmtId="0" fontId="394" fillId="5" borderId="573" xfId="48" applyFont="1" applyFill="1" applyBorder="1" applyAlignment="1" applyProtection="1">
      <alignment horizontal="left" vertical="center"/>
      <protection hidden="1"/>
    </xf>
    <xf numFmtId="0" fontId="394" fillId="5" borderId="573" xfId="48" applyFont="1" applyFill="1" applyBorder="1" applyAlignment="1" applyProtection="1">
      <alignment horizontal="center" vertical="center"/>
      <protection hidden="1"/>
    </xf>
    <xf numFmtId="0" fontId="40" fillId="3" borderId="573" xfId="48" applyFont="1" applyFill="1" applyBorder="1" applyAlignment="1" applyProtection="1">
      <alignment horizontal="center" vertical="center"/>
      <protection hidden="1"/>
    </xf>
    <xf numFmtId="0" fontId="594" fillId="3" borderId="0" xfId="48" applyFont="1" applyFill="1" applyAlignment="1" applyProtection="1">
      <alignment vertical="center"/>
      <protection hidden="1"/>
    </xf>
    <xf numFmtId="0" fontId="431" fillId="1998" borderId="573" xfId="48" applyFont="1" applyFill="1" applyBorder="1" applyAlignment="1" applyProtection="1">
      <alignment horizontal="center" vertical="center"/>
      <protection hidden="1"/>
    </xf>
    <xf numFmtId="0" fontId="40" fillId="1998" borderId="573" xfId="48" applyFont="1" applyFill="1" applyBorder="1" applyAlignment="1" applyProtection="1">
      <alignment horizontal="left" vertical="center"/>
      <protection hidden="1"/>
    </xf>
    <xf numFmtId="0" fontId="0" fillId="1998" borderId="0" xfId="0" applyFill="1"/>
    <xf numFmtId="0" fontId="40" fillId="3" borderId="573" xfId="48" applyFont="1" applyFill="1" applyBorder="1" applyAlignment="1" applyProtection="1">
      <alignment horizontal="left" vertical="center"/>
      <protection hidden="1"/>
    </xf>
    <xf numFmtId="0" fontId="394" fillId="3" borderId="573" xfId="48" applyFont="1" applyFill="1" applyBorder="1" applyAlignment="1" applyProtection="1">
      <alignment horizontal="left" vertical="center"/>
      <protection hidden="1"/>
    </xf>
    <xf numFmtId="0" fontId="107" fillId="3" borderId="573" xfId="48" applyFont="1" applyFill="1" applyBorder="1" applyAlignment="1" applyProtection="1">
      <alignment horizontal="center" vertical="center"/>
      <protection hidden="1"/>
    </xf>
    <xf numFmtId="0" fontId="391" fillId="3" borderId="573" xfId="48" applyFont="1" applyFill="1" applyBorder="1" applyAlignment="1" applyProtection="1">
      <alignment horizontal="center" vertical="center"/>
      <protection hidden="1"/>
    </xf>
    <xf numFmtId="0" fontId="90" fillId="3" borderId="573" xfId="48" applyFont="1" applyFill="1" applyBorder="1" applyAlignment="1" applyProtection="1">
      <alignment horizontal="left" vertical="center"/>
      <protection hidden="1"/>
    </xf>
    <xf numFmtId="0" fontId="368" fillId="5" borderId="0" xfId="48" applyFont="1" applyFill="1" applyAlignment="1" applyProtection="1">
      <alignment horizontal="left" vertical="center"/>
      <protection hidden="1"/>
    </xf>
    <xf numFmtId="0" fontId="350" fillId="0" borderId="0" xfId="0" applyFont="1"/>
    <xf numFmtId="0" fontId="0" fillId="0" borderId="0" xfId="0" applyAlignment="1">
      <alignment horizontal="right" vertical="center"/>
    </xf>
    <xf numFmtId="0" fontId="710" fillId="0" borderId="0" xfId="0" applyFont="1" applyAlignment="1">
      <alignment vertical="center"/>
    </xf>
    <xf numFmtId="0" fontId="710" fillId="0" borderId="0" xfId="0" applyFont="1" applyAlignment="1">
      <alignment horizontal="center" vertical="center"/>
    </xf>
    <xf numFmtId="0" fontId="6" fillId="0" borderId="0" xfId="0" applyFont="1" applyAlignment="1">
      <alignment horizontal="left" vertical="center"/>
    </xf>
    <xf numFmtId="0" fontId="678" fillId="3" borderId="0" xfId="49" applyFont="1" applyFill="1" applyAlignment="1">
      <alignment horizontal="center" vertical="center"/>
    </xf>
    <xf numFmtId="0" fontId="716" fillId="3" borderId="0" xfId="49" applyFont="1" applyFill="1" applyAlignment="1">
      <alignment horizontal="center" vertical="center"/>
    </xf>
    <xf numFmtId="0" fontId="4" fillId="0" borderId="0" xfId="0" applyFont="1"/>
    <xf numFmtId="0" fontId="147" fillId="3" borderId="0" xfId="49" applyFont="1" applyFill="1" applyAlignment="1">
      <alignment horizontal="right" vertical="center"/>
    </xf>
    <xf numFmtId="0" fontId="771" fillId="3" borderId="0" xfId="49" applyFont="1" applyFill="1" applyAlignment="1">
      <alignment horizontal="left" vertical="center"/>
    </xf>
    <xf numFmtId="0" fontId="24" fillId="3" borderId="0" xfId="49" applyFont="1" applyFill="1" applyAlignment="1">
      <alignment horizontal="left" vertical="center"/>
    </xf>
    <xf numFmtId="0" fontId="30" fillId="3" borderId="0" xfId="49" applyFont="1" applyFill="1" applyAlignment="1">
      <alignment horizontal="left" vertical="center"/>
    </xf>
    <xf numFmtId="0" fontId="353" fillId="68" borderId="0" xfId="32" applyFont="1" applyFill="1" applyAlignment="1">
      <alignment horizontal="right" vertical="center"/>
    </xf>
    <xf numFmtId="165" fontId="353" fillId="3" borderId="0" xfId="32" applyNumberFormat="1" applyFont="1" applyFill="1" applyAlignment="1">
      <alignment vertical="center"/>
    </xf>
    <xf numFmtId="0" fontId="772" fillId="3" borderId="0" xfId="49" applyFont="1" applyFill="1" applyAlignment="1">
      <alignment horizontal="left" vertical="center"/>
    </xf>
    <xf numFmtId="165" fontId="755" fillId="3" borderId="0" xfId="32" applyNumberFormat="1" applyFont="1" applyFill="1" applyAlignment="1">
      <alignment horizontal="left" vertical="center"/>
    </xf>
    <xf numFmtId="165" fontId="755" fillId="3" borderId="0" xfId="32" applyNumberFormat="1" applyFont="1" applyFill="1" applyAlignment="1">
      <alignment horizontal="right" vertical="center"/>
    </xf>
    <xf numFmtId="0" fontId="773" fillId="0" borderId="0" xfId="0" applyFont="1"/>
    <xf numFmtId="0" fontId="493" fillId="13" borderId="424" xfId="48" applyFont="1" applyFill="1" applyBorder="1" applyAlignment="1">
      <alignment horizontal="center" vertical="center"/>
    </xf>
    <xf numFmtId="0" fontId="147" fillId="3" borderId="0" xfId="49" applyFont="1" applyFill="1" applyAlignment="1">
      <alignment horizontal="left" vertical="center"/>
    </xf>
    <xf numFmtId="0" fontId="168" fillId="41" borderId="0" xfId="48" applyFont="1" applyFill="1" applyAlignment="1">
      <alignment horizontal="center" vertical="center"/>
    </xf>
    <xf numFmtId="0" fontId="774" fillId="3" borderId="0" xfId="60" applyFont="1" applyFill="1" applyAlignment="1">
      <alignment horizontal="center" vertical="center"/>
    </xf>
    <xf numFmtId="0" fontId="147" fillId="3" borderId="0" xfId="49" applyFont="1" applyFill="1" applyAlignment="1">
      <alignment horizontal="center" vertical="center"/>
    </xf>
    <xf numFmtId="0" fontId="40" fillId="3" borderId="0" xfId="60" applyFont="1" applyFill="1" applyAlignment="1">
      <alignment vertical="center"/>
    </xf>
    <xf numFmtId="0" fontId="1" fillId="3" borderId="0" xfId="60" applyFill="1" applyAlignment="1">
      <alignment vertical="center"/>
    </xf>
    <xf numFmtId="0" fontId="107" fillId="3" borderId="0" xfId="60" applyFont="1" applyFill="1" applyAlignment="1">
      <alignment vertical="center"/>
    </xf>
    <xf numFmtId="0" fontId="1" fillId="0" borderId="0" xfId="60" applyAlignment="1">
      <alignment horizontal="center"/>
    </xf>
    <xf numFmtId="0" fontId="44" fillId="3" borderId="0" xfId="60" applyFont="1" applyFill="1" applyAlignment="1">
      <alignment vertical="center"/>
    </xf>
    <xf numFmtId="0" fontId="57" fillId="6" borderId="0" xfId="8" applyNumberFormat="1" applyFill="1" applyBorder="1" applyAlignment="1">
      <alignment horizontal="center" vertical="center"/>
    </xf>
    <xf numFmtId="0" fontId="4" fillId="3" borderId="0" xfId="60" applyFont="1" applyFill="1" applyAlignment="1">
      <alignment vertical="top"/>
    </xf>
    <xf numFmtId="0" fontId="4" fillId="3" borderId="4" xfId="60" applyFont="1" applyFill="1" applyBorder="1" applyAlignment="1">
      <alignment vertical="top"/>
    </xf>
    <xf numFmtId="0" fontId="1" fillId="12" borderId="0" xfId="60" applyFill="1" applyAlignment="1">
      <alignment vertical="center"/>
    </xf>
    <xf numFmtId="0" fontId="4" fillId="3" borderId="0" xfId="60" applyFont="1" applyFill="1" applyAlignment="1">
      <alignment horizontal="left" vertical="center"/>
    </xf>
    <xf numFmtId="0" fontId="1" fillId="3" borderId="0" xfId="60" applyFill="1" applyAlignment="1">
      <alignment horizontal="center"/>
    </xf>
    <xf numFmtId="0" fontId="57" fillId="6" borderId="0" xfId="28" applyNumberFormat="1" applyFill="1" applyBorder="1" applyAlignment="1">
      <alignment horizontal="center" vertical="center"/>
    </xf>
    <xf numFmtId="0" fontId="1" fillId="0" borderId="0" xfId="60" applyAlignment="1">
      <alignment vertical="center"/>
    </xf>
    <xf numFmtId="0" fontId="1" fillId="12" borderId="0" xfId="60" applyFill="1" applyAlignment="1">
      <alignment horizontal="center" vertical="center"/>
    </xf>
    <xf numFmtId="0" fontId="1" fillId="3" borderId="0" xfId="60" applyFill="1" applyAlignment="1">
      <alignment horizontal="center" vertical="center" wrapText="1"/>
    </xf>
    <xf numFmtId="0" fontId="1" fillId="3" borderId="4" xfId="60" applyFill="1" applyBorder="1" applyAlignment="1">
      <alignment horizontal="center" vertical="center" wrapText="1"/>
    </xf>
    <xf numFmtId="0" fontId="34" fillId="3" borderId="0" xfId="60" applyFont="1" applyFill="1" applyAlignment="1">
      <alignment vertical="center"/>
    </xf>
    <xf numFmtId="0" fontId="1" fillId="5" borderId="0" xfId="60" applyFill="1" applyAlignment="1">
      <alignment horizontal="center" vertical="center"/>
    </xf>
    <xf numFmtId="0" fontId="4" fillId="3" borderId="4" xfId="60" applyFont="1" applyFill="1" applyBorder="1" applyAlignment="1">
      <alignment horizontal="left" vertical="center"/>
    </xf>
    <xf numFmtId="0" fontId="57" fillId="19" borderId="0" xfId="28" applyNumberFormat="1" applyFill="1" applyBorder="1" applyAlignment="1">
      <alignment horizontal="center"/>
    </xf>
    <xf numFmtId="0" fontId="44" fillId="0" borderId="0" xfId="60" applyFont="1" applyAlignment="1">
      <alignment vertical="center"/>
    </xf>
    <xf numFmtId="0" fontId="40" fillId="0" borderId="0" xfId="60" applyFont="1" applyAlignment="1">
      <alignment horizontal="right" vertical="center"/>
    </xf>
    <xf numFmtId="0" fontId="677" fillId="0" borderId="0" xfId="68" applyAlignment="1">
      <alignment vertical="center"/>
    </xf>
    <xf numFmtId="0" fontId="389" fillId="3" borderId="424" xfId="69" applyFont="1" applyFill="1" applyBorder="1" applyAlignment="1">
      <alignment vertical="center"/>
    </xf>
    <xf numFmtId="0" fontId="389" fillId="3" borderId="7" xfId="60" applyFont="1" applyFill="1" applyBorder="1"/>
    <xf numFmtId="0" fontId="391" fillId="3" borderId="419" xfId="60" applyFont="1" applyFill="1" applyBorder="1"/>
    <xf numFmtId="0" fontId="389" fillId="3" borderId="5" xfId="69" applyFont="1" applyFill="1" applyBorder="1" applyAlignment="1">
      <alignment vertical="center"/>
    </xf>
    <xf numFmtId="0" fontId="389" fillId="3" borderId="0" xfId="60" applyFont="1" applyFill="1"/>
    <xf numFmtId="0" fontId="391" fillId="3" borderId="4" xfId="60" applyFont="1" applyFill="1" applyBorder="1"/>
    <xf numFmtId="0" fontId="4" fillId="3" borderId="0" xfId="60" applyFont="1" applyFill="1" applyAlignment="1">
      <alignment horizontal="center" vertical="top" wrapText="1"/>
    </xf>
    <xf numFmtId="0" fontId="4" fillId="3" borderId="4" xfId="60" applyFont="1" applyFill="1" applyBorder="1" applyAlignment="1">
      <alignment horizontal="center" vertical="top" wrapText="1"/>
    </xf>
    <xf numFmtId="0" fontId="157" fillId="3" borderId="0" xfId="48" applyFont="1" applyFill="1"/>
    <xf numFmtId="0" fontId="157" fillId="3" borderId="4" xfId="48" applyFont="1" applyFill="1" applyBorder="1"/>
    <xf numFmtId="0" fontId="349" fillId="4" borderId="5" xfId="48" applyFont="1" applyFill="1" applyBorder="1" applyAlignment="1">
      <alignment horizontal="center" vertical="center"/>
    </xf>
    <xf numFmtId="0" fontId="349" fillId="4" borderId="0" xfId="48" applyFont="1" applyFill="1" applyAlignment="1">
      <alignment horizontal="center" vertical="center"/>
    </xf>
    <xf numFmtId="0" fontId="349" fillId="4" borderId="4" xfId="48" applyFont="1" applyFill="1" applyBorder="1" applyAlignment="1">
      <alignment horizontal="center" vertical="center"/>
    </xf>
    <xf numFmtId="0" fontId="670" fillId="0" borderId="0" xfId="69" applyFont="1" applyAlignment="1">
      <alignment vertical="center"/>
    </xf>
    <xf numFmtId="0" fontId="1" fillId="3" borderId="0" xfId="60" applyFill="1" applyAlignment="1">
      <alignment horizontal="left" vertical="center"/>
    </xf>
    <xf numFmtId="0" fontId="1" fillId="3" borderId="0" xfId="60" applyFill="1" applyAlignment="1">
      <alignment horizontal="right" vertical="center"/>
    </xf>
    <xf numFmtId="0" fontId="4" fillId="3" borderId="0" xfId="60" applyFont="1" applyFill="1" applyAlignment="1">
      <alignment horizontal="left" vertical="top"/>
    </xf>
    <xf numFmtId="0" fontId="349" fillId="12" borderId="358" xfId="48" applyFont="1" applyFill="1" applyBorder="1" applyAlignment="1">
      <alignment horizontal="center" vertical="center"/>
    </xf>
    <xf numFmtId="0" fontId="349" fillId="12" borderId="1" xfId="48" applyFont="1" applyFill="1" applyBorder="1" applyAlignment="1">
      <alignment horizontal="center" vertical="center"/>
    </xf>
    <xf numFmtId="0" fontId="349" fillId="12" borderId="60" xfId="48" applyFont="1" applyFill="1" applyBorder="1" applyAlignment="1">
      <alignment horizontal="center" vertical="center"/>
    </xf>
    <xf numFmtId="0" fontId="4" fillId="0" borderId="0" xfId="60" applyFont="1"/>
    <xf numFmtId="0" fontId="4" fillId="3" borderId="0" xfId="60" applyFont="1" applyFill="1" applyAlignment="1">
      <alignment horizontal="center" vertical="center" wrapText="1"/>
    </xf>
    <xf numFmtId="0" fontId="4" fillId="3" borderId="4" xfId="60" applyFont="1" applyFill="1" applyBorder="1" applyAlignment="1">
      <alignment horizontal="center" vertical="center" wrapText="1"/>
    </xf>
    <xf numFmtId="230" fontId="4" fillId="0" borderId="0" xfId="60" applyNumberFormat="1" applyFont="1"/>
    <xf numFmtId="0" fontId="6" fillId="0" borderId="0" xfId="60" applyFont="1" applyAlignment="1">
      <alignment vertical="center"/>
    </xf>
    <xf numFmtId="0" fontId="6" fillId="0" borderId="0" xfId="60" applyFont="1" applyAlignment="1">
      <alignment horizontal="right" vertical="center"/>
    </xf>
    <xf numFmtId="0" fontId="44" fillId="3" borderId="0" xfId="60" applyFont="1" applyFill="1" applyAlignment="1">
      <alignment horizontal="left"/>
    </xf>
    <xf numFmtId="229" fontId="4" fillId="0" borderId="0" xfId="60" applyNumberFormat="1" applyFont="1"/>
    <xf numFmtId="0" fontId="1" fillId="3" borderId="0" xfId="60" applyFill="1" applyAlignment="1">
      <alignment horizontal="left"/>
    </xf>
    <xf numFmtId="198" fontId="4" fillId="0" borderId="0" xfId="60" applyNumberFormat="1" applyFont="1"/>
    <xf numFmtId="0" fontId="561" fillId="13" borderId="424" xfId="0" applyFont="1" applyFill="1" applyBorder="1" applyAlignment="1">
      <alignment horizontal="center" vertical="center"/>
    </xf>
    <xf numFmtId="227" fontId="7" fillId="0" borderId="0" xfId="48" applyNumberFormat="1"/>
    <xf numFmtId="0" fontId="700" fillId="11" borderId="0" xfId="0" applyFont="1" applyFill="1" applyAlignment="1">
      <alignment horizontal="left"/>
    </xf>
    <xf numFmtId="0" fontId="700" fillId="3" borderId="0" xfId="0" applyFont="1" applyFill="1"/>
    <xf numFmtId="0" fontId="700" fillId="3" borderId="4" xfId="0" applyFont="1" applyFill="1" applyBorder="1"/>
    <xf numFmtId="231" fontId="4" fillId="0" borderId="0" xfId="60" applyNumberFormat="1" applyFont="1"/>
    <xf numFmtId="0" fontId="0" fillId="3" borderId="4" xfId="0" applyFill="1" applyBorder="1" applyAlignment="1">
      <alignment vertical="center"/>
    </xf>
    <xf numFmtId="165" fontId="4" fillId="0" borderId="0" xfId="60" applyNumberFormat="1" applyFont="1"/>
    <xf numFmtId="0" fontId="56" fillId="3" borderId="0" xfId="0" applyFont="1" applyFill="1" applyAlignment="1">
      <alignment horizontal="right" vertical="center"/>
    </xf>
    <xf numFmtId="0" fontId="346" fillId="11" borderId="574" xfId="0" applyFont="1" applyFill="1" applyBorder="1" applyAlignment="1">
      <alignment horizontal="center" vertical="center"/>
    </xf>
    <xf numFmtId="0" fontId="57" fillId="1999" borderId="0" xfId="28" applyFill="1" applyBorder="1" applyAlignment="1">
      <alignment horizontal="center" vertical="center"/>
    </xf>
    <xf numFmtId="0" fontId="4" fillId="3" borderId="0" xfId="60" applyFont="1" applyFill="1" applyAlignment="1">
      <alignment vertical="center"/>
    </xf>
    <xf numFmtId="204" fontId="4" fillId="0" borderId="0" xfId="60" applyNumberFormat="1" applyFont="1"/>
    <xf numFmtId="0" fontId="57" fillId="3" borderId="0" xfId="28" applyFill="1" applyBorder="1" applyAlignment="1">
      <alignment horizontal="center" vertical="center"/>
    </xf>
    <xf numFmtId="174" fontId="7" fillId="0" borderId="0" xfId="48" applyNumberFormat="1"/>
    <xf numFmtId="190" fontId="4" fillId="0" borderId="0" xfId="60" applyNumberFormat="1" applyFont="1"/>
    <xf numFmtId="194" fontId="4" fillId="0" borderId="0" xfId="60" applyNumberFormat="1" applyFont="1"/>
    <xf numFmtId="0" fontId="677" fillId="1999" borderId="0" xfId="68" applyFill="1" applyBorder="1" applyAlignment="1">
      <alignment horizontal="center" vertical="center"/>
    </xf>
    <xf numFmtId="232" fontId="7" fillId="0" borderId="0" xfId="48" applyNumberFormat="1"/>
    <xf numFmtId="182" fontId="4" fillId="0" borderId="0" xfId="60" applyNumberFormat="1" applyFont="1"/>
    <xf numFmtId="0" fontId="670" fillId="4" borderId="0" xfId="0" applyFont="1" applyFill="1" applyAlignment="1">
      <alignment horizontal="center" vertical="center"/>
    </xf>
    <xf numFmtId="0" fontId="670" fillId="4" borderId="4" xfId="0" applyFont="1" applyFill="1" applyBorder="1" applyAlignment="1">
      <alignment horizontal="center" vertical="center"/>
    </xf>
    <xf numFmtId="221" fontId="4" fillId="0" borderId="0" xfId="60" applyNumberFormat="1" applyFont="1"/>
    <xf numFmtId="0" fontId="169" fillId="3" borderId="0" xfId="60" applyFont="1" applyFill="1"/>
    <xf numFmtId="233" fontId="7" fillId="0" borderId="0" xfId="48" applyNumberFormat="1"/>
    <xf numFmtId="0" fontId="56" fillId="3" borderId="0" xfId="60" applyFont="1" applyFill="1"/>
    <xf numFmtId="234" fontId="7" fillId="0" borderId="0" xfId="48" applyNumberFormat="1"/>
    <xf numFmtId="0" fontId="147" fillId="3" borderId="0" xfId="54" applyFont="1" applyFill="1"/>
    <xf numFmtId="0" fontId="7" fillId="0" borderId="0" xfId="48"/>
    <xf numFmtId="0" fontId="345" fillId="3" borderId="0" xfId="48" applyFont="1" applyFill="1" applyAlignment="1" applyProtection="1">
      <alignment horizontal="right" vertical="center"/>
      <protection hidden="1"/>
    </xf>
    <xf numFmtId="184" fontId="4" fillId="0" borderId="0" xfId="60" applyNumberFormat="1" applyFont="1"/>
    <xf numFmtId="235" fontId="7" fillId="0" borderId="0" xfId="48" applyNumberFormat="1"/>
    <xf numFmtId="195" fontId="7" fillId="0" borderId="0" xfId="48" applyNumberFormat="1"/>
    <xf numFmtId="211" fontId="7" fillId="0" borderId="0" xfId="48" applyNumberFormat="1"/>
    <xf numFmtId="0" fontId="677" fillId="3" borderId="0" xfId="68" applyFill="1"/>
    <xf numFmtId="212" fontId="7" fillId="0" borderId="0" xfId="48" applyNumberFormat="1"/>
    <xf numFmtId="209" fontId="7" fillId="0" borderId="0" xfId="48" applyNumberFormat="1"/>
    <xf numFmtId="236" fontId="4" fillId="0" borderId="0" xfId="60" applyNumberFormat="1" applyFont="1"/>
    <xf numFmtId="237" fontId="4" fillId="0" borderId="0" xfId="60" applyNumberFormat="1" applyFont="1"/>
    <xf numFmtId="0" fontId="24" fillId="0" borderId="0" xfId="49" applyFont="1" applyAlignment="1">
      <alignment horizontal="left" vertical="center"/>
    </xf>
    <xf numFmtId="0" fontId="775" fillId="3" borderId="0" xfId="49" applyFont="1" applyFill="1" applyAlignment="1">
      <alignment horizontal="left" vertical="center"/>
    </xf>
    <xf numFmtId="0" fontId="776" fillId="0" borderId="0" xfId="60" applyFont="1"/>
    <xf numFmtId="0" fontId="11" fillId="3" borderId="0" xfId="49" applyFont="1" applyFill="1" applyAlignment="1">
      <alignment horizontal="left" vertical="center"/>
    </xf>
    <xf numFmtId="0" fontId="756" fillId="14" borderId="0" xfId="13" applyFont="1" applyFill="1" applyAlignment="1" applyProtection="1">
      <alignment horizontal="left" vertical="center"/>
      <protection locked="0"/>
    </xf>
    <xf numFmtId="165" fontId="779" fillId="14" borderId="0" xfId="13" applyNumberFormat="1" applyFont="1" applyFill="1" applyAlignment="1" applyProtection="1">
      <alignment horizontal="center" vertical="center"/>
      <protection locked="0"/>
    </xf>
    <xf numFmtId="0" fontId="780" fillId="14" borderId="0" xfId="13" applyFont="1" applyFill="1" applyAlignment="1" applyProtection="1">
      <alignment horizontal="left" vertical="center"/>
      <protection locked="0"/>
    </xf>
    <xf numFmtId="0" fontId="4" fillId="3" borderId="0" xfId="60" applyFont="1" applyFill="1" applyAlignment="1">
      <alignment horizontal="center"/>
    </xf>
    <xf numFmtId="0" fontId="553" fillId="2000" borderId="7" xfId="47" applyFont="1" applyFill="1" applyBorder="1" applyAlignment="1">
      <alignment vertical="center"/>
    </xf>
    <xf numFmtId="0" fontId="14" fillId="2000" borderId="419" xfId="47" applyFont="1" applyFill="1" applyBorder="1" applyAlignment="1">
      <alignment horizontal="right" vertical="center"/>
    </xf>
    <xf numFmtId="0" fontId="775" fillId="3" borderId="0" xfId="60" applyFont="1" applyFill="1" applyAlignment="1">
      <alignment horizontal="left" vertical="center"/>
    </xf>
    <xf numFmtId="0" fontId="6" fillId="3" borderId="0" xfId="60" applyFont="1" applyFill="1"/>
    <xf numFmtId="0" fontId="4" fillId="2000" borderId="0" xfId="60" applyFont="1" applyFill="1"/>
    <xf numFmtId="0" fontId="4" fillId="2000" borderId="0" xfId="60" applyFont="1" applyFill="1" applyAlignment="1">
      <alignment horizontal="right" vertical="center"/>
    </xf>
    <xf numFmtId="0" fontId="44" fillId="2000" borderId="0" xfId="60" applyFont="1" applyFill="1" applyAlignment="1">
      <alignment horizontal="right" vertical="center"/>
    </xf>
    <xf numFmtId="0" fontId="44" fillId="2000" borderId="0" xfId="60" applyFont="1" applyFill="1" applyAlignment="1">
      <alignment horizontal="left" vertical="center"/>
    </xf>
    <xf numFmtId="0" fontId="44" fillId="2000" borderId="4" xfId="60" applyFont="1" applyFill="1" applyBorder="1"/>
    <xf numFmtId="0" fontId="674" fillId="3" borderId="0" xfId="28" applyFont="1" applyFill="1" applyAlignment="1">
      <alignment horizontal="left" vertical="center"/>
    </xf>
    <xf numFmtId="0" fontId="6" fillId="2000" borderId="0" xfId="60" applyFont="1" applyFill="1" applyAlignment="1">
      <alignment horizontal="center" vertical="center"/>
    </xf>
    <xf numFmtId="1" fontId="24" fillId="2001" borderId="0" xfId="52" applyNumberFormat="1" applyFont="1" applyFill="1" applyAlignment="1">
      <alignment horizontal="center" vertical="center"/>
    </xf>
    <xf numFmtId="0" fontId="24" fillId="2001" borderId="567" xfId="32" applyFont="1" applyFill="1" applyBorder="1" applyAlignment="1">
      <alignment horizontal="left" vertical="center"/>
    </xf>
    <xf numFmtId="0" fontId="24" fillId="2001" borderId="567" xfId="32" applyFont="1" applyFill="1" applyBorder="1" applyAlignment="1">
      <alignment horizontal="right" vertical="center"/>
    </xf>
    <xf numFmtId="1" fontId="24" fillId="2001" borderId="567" xfId="52" applyNumberFormat="1" applyFont="1" applyFill="1" applyBorder="1" applyAlignment="1">
      <alignment horizontal="right" vertical="center"/>
    </xf>
    <xf numFmtId="231" fontId="1" fillId="2001" borderId="567" xfId="60" applyNumberFormat="1" applyFill="1" applyBorder="1" applyAlignment="1">
      <alignment horizontal="center" vertical="center"/>
    </xf>
    <xf numFmtId="0" fontId="1" fillId="2001" borderId="567" xfId="60" applyFill="1" applyBorder="1" applyAlignment="1">
      <alignment horizontal="right" vertical="center"/>
    </xf>
    <xf numFmtId="165" fontId="1" fillId="2001" borderId="568" xfId="60" applyNumberFormat="1" applyFill="1" applyBorder="1" applyAlignment="1">
      <alignment horizontal="left" vertical="center"/>
    </xf>
    <xf numFmtId="231" fontId="1" fillId="2001" borderId="0" xfId="60" applyNumberFormat="1" applyFill="1" applyAlignment="1">
      <alignment horizontal="center" vertical="center"/>
    </xf>
    <xf numFmtId="2" fontId="587" fillId="17" borderId="0" xfId="48" applyNumberFormat="1" applyFont="1" applyFill="1" applyAlignment="1" applyProtection="1">
      <alignment horizontal="center" vertical="center"/>
      <protection locked="0"/>
    </xf>
    <xf numFmtId="0" fontId="40" fillId="14" borderId="0" xfId="13" applyFont="1" applyFill="1" applyAlignment="1" applyProtection="1">
      <alignment vertical="center"/>
      <protection locked="0"/>
    </xf>
    <xf numFmtId="0" fontId="594" fillId="14" borderId="0" xfId="13" applyFont="1" applyFill="1" applyAlignment="1" applyProtection="1">
      <alignment vertical="center"/>
      <protection locked="0"/>
    </xf>
    <xf numFmtId="0" fontId="1" fillId="2001" borderId="0" xfId="60" applyFill="1" applyAlignment="1">
      <alignment horizontal="center" vertical="center"/>
    </xf>
    <xf numFmtId="0" fontId="750" fillId="14" borderId="0" xfId="13" applyFont="1" applyFill="1" applyAlignment="1" applyProtection="1">
      <alignment horizontal="right" vertical="center"/>
      <protection locked="0"/>
    </xf>
    <xf numFmtId="165" fontId="1" fillId="2001" borderId="0" xfId="60" applyNumberFormat="1" applyFill="1" applyAlignment="1">
      <alignment horizontal="center" vertical="center"/>
    </xf>
    <xf numFmtId="0" fontId="157" fillId="3" borderId="0" xfId="60" applyFont="1" applyFill="1"/>
    <xf numFmtId="0" fontId="148" fillId="3" borderId="0" xfId="32" applyFont="1" applyFill="1" applyAlignment="1">
      <alignment horizontal="left" vertical="center"/>
    </xf>
    <xf numFmtId="0" fontId="784" fillId="3" borderId="0" xfId="60" applyFont="1" applyFill="1" applyAlignment="1">
      <alignment vertical="center"/>
    </xf>
    <xf numFmtId="0" fontId="775" fillId="3" borderId="0" xfId="28" applyFont="1" applyFill="1" applyBorder="1" applyAlignment="1">
      <alignment horizontal="center" vertical="center"/>
    </xf>
    <xf numFmtId="189" fontId="716" fillId="3" borderId="0" xfId="47" applyNumberFormat="1" applyFont="1" applyFill="1" applyAlignment="1" applyProtection="1">
      <alignment horizontal="center" vertical="center"/>
      <protection locked="0"/>
    </xf>
    <xf numFmtId="0" fontId="502" fillId="3" borderId="0" xfId="32" applyFont="1" applyFill="1" applyAlignment="1">
      <alignment horizontal="right" vertical="center"/>
    </xf>
    <xf numFmtId="165" fontId="158" fillId="2002" borderId="0" xfId="13" applyNumberFormat="1" applyFont="1" applyFill="1" applyAlignment="1" applyProtection="1">
      <alignment horizontal="center" vertical="center"/>
      <protection locked="0"/>
    </xf>
    <xf numFmtId="0" fontId="756" fillId="58" borderId="0" xfId="13" applyFont="1" applyFill="1" applyAlignment="1" applyProtection="1">
      <alignment horizontal="left" vertical="center"/>
      <protection locked="0"/>
    </xf>
    <xf numFmtId="165" fontId="779" fillId="14" borderId="0" xfId="13" applyNumberFormat="1" applyFont="1" applyFill="1" applyAlignment="1" applyProtection="1">
      <alignment horizontal="right" vertical="center"/>
      <protection locked="0"/>
    </xf>
    <xf numFmtId="0" fontId="785" fillId="3" borderId="4" xfId="60" applyFont="1" applyFill="1" applyBorder="1" applyAlignment="1">
      <alignment horizontal="left" vertical="center"/>
    </xf>
    <xf numFmtId="0" fontId="756" fillId="14" borderId="0" xfId="13" applyFont="1" applyFill="1" applyAlignment="1" applyProtection="1">
      <alignment horizontal="right" vertical="center"/>
      <protection locked="0"/>
    </xf>
    <xf numFmtId="172" fontId="672" fillId="2003" borderId="0" xfId="47" applyNumberFormat="1" applyFont="1" applyFill="1" applyAlignment="1" applyProtection="1">
      <alignment horizontal="center" vertical="center"/>
      <protection locked="0"/>
    </xf>
    <xf numFmtId="0" fontId="756" fillId="14" borderId="0" xfId="13" applyFont="1" applyFill="1" applyAlignment="1" applyProtection="1">
      <alignment horizontal="center" vertical="center"/>
      <protection locked="0"/>
    </xf>
    <xf numFmtId="0" fontId="786" fillId="3" borderId="0" xfId="13" applyFont="1" applyFill="1" applyAlignment="1" applyProtection="1">
      <alignment horizontal="right" vertical="center"/>
      <protection locked="0"/>
    </xf>
    <xf numFmtId="165" fontId="672" fillId="58" borderId="0" xfId="13" applyNumberFormat="1" applyFont="1" applyFill="1" applyAlignment="1" applyProtection="1">
      <alignment horizontal="center" vertical="center"/>
      <protection locked="0"/>
    </xf>
    <xf numFmtId="0" fontId="787" fillId="0" borderId="0" xfId="60" applyFont="1" applyAlignment="1">
      <alignment vertical="center"/>
    </xf>
    <xf numFmtId="0" fontId="785" fillId="3" borderId="4" xfId="48" applyFont="1" applyFill="1" applyBorder="1" applyAlignment="1">
      <alignment horizontal="left" vertical="center"/>
    </xf>
    <xf numFmtId="0" fontId="502" fillId="3" borderId="0" xfId="13" applyFont="1" applyFill="1" applyAlignment="1" applyProtection="1">
      <alignment horizontal="right" vertical="center"/>
      <protection locked="0"/>
    </xf>
    <xf numFmtId="1" fontId="158" fillId="2004" borderId="0" xfId="48" applyNumberFormat="1" applyFont="1" applyFill="1" applyAlignment="1">
      <alignment horizontal="center" vertical="center"/>
    </xf>
    <xf numFmtId="0" fontId="4" fillId="0" borderId="4" xfId="60" applyFont="1" applyBorder="1"/>
    <xf numFmtId="0" fontId="147" fillId="3" borderId="0" xfId="32" applyFont="1" applyFill="1" applyAlignment="1">
      <alignment horizontal="right" vertical="center"/>
    </xf>
    <xf numFmtId="238" fontId="147" fillId="14" borderId="0" xfId="13" applyNumberFormat="1" applyFont="1" applyFill="1" applyAlignment="1" applyProtection="1">
      <alignment horizontal="center" vertical="center"/>
      <protection locked="0"/>
    </xf>
    <xf numFmtId="0" fontId="788" fillId="3" borderId="0" xfId="60" applyFont="1" applyFill="1" applyAlignment="1">
      <alignment vertical="center"/>
    </xf>
    <xf numFmtId="238" fontId="693" fillId="14" borderId="0" xfId="13" applyNumberFormat="1" applyFont="1" applyFill="1" applyAlignment="1" applyProtection="1">
      <alignment horizontal="right" vertical="center"/>
      <protection locked="0"/>
    </xf>
    <xf numFmtId="0" fontId="789" fillId="3" borderId="4" xfId="48" applyFont="1" applyFill="1" applyBorder="1" applyAlignment="1">
      <alignment horizontal="left" vertical="center"/>
    </xf>
    <xf numFmtId="0" fontId="157" fillId="3" borderId="0" xfId="32" applyFont="1" applyFill="1" applyAlignment="1">
      <alignment horizontal="right" vertical="center"/>
    </xf>
    <xf numFmtId="0" fontId="46" fillId="3" borderId="0" xfId="52" applyFont="1" applyFill="1" applyAlignment="1">
      <alignment horizontal="center" vertical="center"/>
    </xf>
    <xf numFmtId="0" fontId="157" fillId="5" borderId="0" xfId="48" applyFont="1" applyFill="1" applyAlignment="1">
      <alignment horizontal="right" vertical="center"/>
    </xf>
    <xf numFmtId="170" fontId="157" fillId="14" borderId="0" xfId="13" applyNumberFormat="1" applyFont="1" applyFill="1" applyAlignment="1" applyProtection="1">
      <alignment horizontal="center" vertical="center"/>
      <protection locked="0"/>
    </xf>
    <xf numFmtId="0" fontId="157" fillId="3" borderId="0" xfId="48" applyFont="1" applyFill="1" applyAlignment="1">
      <alignment horizontal="right" vertical="center"/>
    </xf>
    <xf numFmtId="0" fontId="147" fillId="2003" borderId="0" xfId="48" applyFont="1" applyFill="1" applyAlignment="1">
      <alignment vertical="center"/>
    </xf>
    <xf numFmtId="0" fontId="158" fillId="2003" borderId="0" xfId="48" applyFont="1" applyFill="1" applyAlignment="1">
      <alignment vertical="center"/>
    </xf>
    <xf numFmtId="0" fontId="158" fillId="2003" borderId="4" xfId="48" applyFont="1" applyFill="1" applyBorder="1" applyAlignment="1">
      <alignment vertical="center"/>
    </xf>
    <xf numFmtId="0" fontId="790" fillId="3" borderId="0" xfId="69" applyFont="1" applyFill="1" applyAlignment="1">
      <alignment horizontal="left" vertical="center"/>
    </xf>
    <xf numFmtId="0" fontId="750" fillId="14" borderId="0" xfId="13" applyFont="1" applyFill="1" applyAlignment="1" applyProtection="1">
      <alignment horizontal="left" vertical="center"/>
      <protection locked="0"/>
    </xf>
    <xf numFmtId="0" fontId="337" fillId="14" borderId="0" xfId="13" applyFont="1" applyFill="1" applyAlignment="1" applyProtection="1">
      <alignment horizontal="left" vertical="center"/>
      <protection locked="0"/>
    </xf>
    <xf numFmtId="0" fontId="791" fillId="3" borderId="0" xfId="32" applyFont="1" applyFill="1" applyAlignment="1">
      <alignment horizontal="left" vertical="center"/>
    </xf>
    <xf numFmtId="0" fontId="791" fillId="14" borderId="0" xfId="13" applyFont="1" applyFill="1" applyAlignment="1" applyProtection="1">
      <alignment horizontal="left" vertical="center"/>
      <protection locked="0"/>
    </xf>
    <xf numFmtId="0" fontId="334" fillId="3" borderId="0" xfId="13" applyFont="1" applyFill="1" applyAlignment="1" applyProtection="1">
      <alignment horizontal="left" vertical="center"/>
      <protection locked="0"/>
    </xf>
    <xf numFmtId="0" fontId="716" fillId="0" borderId="0" xfId="49" applyFont="1" applyAlignment="1">
      <alignment horizontal="center" vertical="center"/>
    </xf>
    <xf numFmtId="0" fontId="780" fillId="58" borderId="0" xfId="13" applyFont="1" applyFill="1" applyAlignment="1" applyProtection="1">
      <alignment horizontal="left" vertical="center"/>
      <protection locked="0"/>
    </xf>
    <xf numFmtId="0" fontId="502" fillId="3" borderId="0" xfId="13" applyFont="1" applyFill="1" applyAlignment="1" applyProtection="1">
      <alignment horizontal="left" vertical="center"/>
      <protection locked="0"/>
    </xf>
    <xf numFmtId="0" fontId="148" fillId="14" borderId="0" xfId="13" applyFont="1" applyFill="1" applyAlignment="1" applyProtection="1">
      <alignment horizontal="right" vertical="center"/>
      <protection locked="0"/>
    </xf>
    <xf numFmtId="0" fontId="56" fillId="3" borderId="0" xfId="60" applyFont="1" applyFill="1" applyAlignment="1">
      <alignment horizontal="left" vertical="center"/>
    </xf>
    <xf numFmtId="0" fontId="672" fillId="3" borderId="4" xfId="48" applyFont="1" applyFill="1" applyBorder="1" applyAlignment="1">
      <alignment horizontal="center" vertical="center"/>
    </xf>
    <xf numFmtId="0" fontId="46" fillId="3" borderId="0" xfId="48" applyFont="1" applyFill="1" applyAlignment="1">
      <alignment horizontal="center" vertical="center"/>
    </xf>
    <xf numFmtId="0" fontId="391" fillId="3" borderId="0" xfId="49" applyFont="1" applyFill="1" applyAlignment="1">
      <alignment horizontal="left" vertical="center"/>
    </xf>
    <xf numFmtId="0" fontId="389" fillId="3" borderId="0" xfId="60" applyFont="1" applyFill="1" applyAlignment="1">
      <alignment horizontal="left" vertical="center"/>
    </xf>
    <xf numFmtId="0" fontId="554" fillId="2005" borderId="7" xfId="47" applyFont="1" applyFill="1" applyBorder="1" applyAlignment="1">
      <alignment vertical="center"/>
    </xf>
    <xf numFmtId="0" fontId="587" fillId="2005" borderId="419" xfId="47" applyFont="1" applyFill="1" applyBorder="1" applyAlignment="1">
      <alignment horizontal="right" vertical="center"/>
    </xf>
    <xf numFmtId="0" fontId="389" fillId="3" borderId="0" xfId="60" applyFont="1" applyFill="1" applyAlignment="1">
      <alignment horizontal="center"/>
    </xf>
    <xf numFmtId="0" fontId="561" fillId="2005" borderId="0" xfId="60" applyFont="1" applyFill="1"/>
    <xf numFmtId="0" fontId="561" fillId="2005" borderId="0" xfId="60" applyFont="1" applyFill="1" applyAlignment="1">
      <alignment horizontal="right" vertical="center"/>
    </xf>
    <xf numFmtId="0" fontId="168" fillId="2005" borderId="0" xfId="60" applyFont="1" applyFill="1" applyAlignment="1">
      <alignment horizontal="right" vertical="center"/>
    </xf>
    <xf numFmtId="0" fontId="168" fillId="2005" borderId="0" xfId="60" applyFont="1" applyFill="1" applyAlignment="1">
      <alignment horizontal="left" vertical="center"/>
    </xf>
    <xf numFmtId="0" fontId="561" fillId="2005" borderId="4" xfId="60" applyFont="1" applyFill="1" applyBorder="1"/>
    <xf numFmtId="0" fontId="792" fillId="3" borderId="0" xfId="48" applyFont="1" applyFill="1" applyAlignment="1">
      <alignment horizontal="center" vertical="center"/>
    </xf>
    <xf numFmtId="0" fontId="587" fillId="2005" borderId="0" xfId="60" applyFont="1" applyFill="1" applyAlignment="1">
      <alignment horizontal="center" vertical="center"/>
    </xf>
    <xf numFmtId="1" fontId="587" fillId="159" borderId="0" xfId="52" applyNumberFormat="1" applyFont="1" applyFill="1" applyAlignment="1">
      <alignment horizontal="center" vertical="center"/>
    </xf>
    <xf numFmtId="0" fontId="550" fillId="159" borderId="567" xfId="32" applyFont="1" applyFill="1" applyBorder="1" applyAlignment="1">
      <alignment horizontal="left" vertical="center"/>
    </xf>
    <xf numFmtId="0" fontId="168" fillId="159" borderId="567" xfId="32" applyFont="1" applyFill="1" applyBorder="1" applyAlignment="1">
      <alignment horizontal="right" vertical="center"/>
    </xf>
    <xf numFmtId="1" fontId="168" fillId="159" borderId="567" xfId="52" applyNumberFormat="1" applyFont="1" applyFill="1" applyBorder="1" applyAlignment="1">
      <alignment horizontal="right" vertical="center"/>
    </xf>
    <xf numFmtId="231" fontId="168" fillId="159" borderId="567" xfId="60" applyNumberFormat="1" applyFont="1" applyFill="1" applyBorder="1" applyAlignment="1">
      <alignment horizontal="center" vertical="center"/>
    </xf>
    <xf numFmtId="0" fontId="550" fillId="159" borderId="567" xfId="60" applyFont="1" applyFill="1" applyBorder="1" applyAlignment="1">
      <alignment horizontal="right" vertical="center"/>
    </xf>
    <xf numFmtId="165" fontId="550" fillId="159" borderId="568" xfId="60" applyNumberFormat="1" applyFont="1" applyFill="1" applyBorder="1" applyAlignment="1">
      <alignment horizontal="left" vertical="center"/>
    </xf>
    <xf numFmtId="231" fontId="587" fillId="159" borderId="0" xfId="60" applyNumberFormat="1" applyFont="1" applyFill="1" applyAlignment="1">
      <alignment horizontal="center" vertical="center"/>
    </xf>
    <xf numFmtId="0" fontId="168" fillId="159" borderId="575" xfId="48" applyFont="1" applyFill="1" applyBorder="1" applyAlignment="1">
      <alignment horizontal="center" vertical="center" wrapText="1"/>
    </xf>
    <xf numFmtId="0" fontId="793" fillId="14" borderId="0" xfId="13" applyFont="1" applyFill="1" applyAlignment="1" applyProtection="1">
      <alignment vertical="center"/>
      <protection locked="0"/>
    </xf>
    <xf numFmtId="0" fontId="561" fillId="159" borderId="0" xfId="60" applyFont="1" applyFill="1" applyAlignment="1">
      <alignment horizontal="center" vertical="center"/>
    </xf>
    <xf numFmtId="165" fontId="561" fillId="159" borderId="0" xfId="60" applyNumberFormat="1" applyFont="1" applyFill="1" applyAlignment="1">
      <alignment horizontal="center" vertical="center"/>
    </xf>
    <xf numFmtId="0" fontId="4" fillId="0" borderId="0" xfId="60" applyFont="1" applyAlignment="1">
      <alignment horizontal="center"/>
    </xf>
    <xf numFmtId="165" fontId="158" fillId="58" borderId="0" xfId="13" applyNumberFormat="1" applyFont="1" applyFill="1" applyAlignment="1" applyProtection="1">
      <alignment horizontal="center" vertical="center"/>
      <protection locked="0"/>
    </xf>
    <xf numFmtId="0" fontId="57" fillId="3" borderId="0" xfId="8" applyFill="1" applyAlignment="1">
      <alignment horizontal="center" vertical="center"/>
    </xf>
    <xf numFmtId="0" fontId="791" fillId="14" borderId="0" xfId="13" applyFont="1" applyFill="1" applyAlignment="1" applyProtection="1">
      <alignment horizontal="right" vertical="center"/>
      <protection locked="0"/>
    </xf>
    <xf numFmtId="0" fontId="71" fillId="58" borderId="0" xfId="13" applyFont="1" applyFill="1" applyAlignment="1" applyProtection="1">
      <alignment horizontal="center" vertical="center"/>
      <protection locked="0"/>
    </xf>
    <xf numFmtId="0" fontId="789" fillId="3" borderId="0" xfId="60" applyFont="1" applyFill="1" applyAlignment="1">
      <alignment horizontal="right" vertical="top"/>
    </xf>
    <xf numFmtId="0" fontId="789" fillId="3" borderId="4" xfId="60" applyFont="1" applyFill="1" applyBorder="1" applyAlignment="1">
      <alignment horizontal="left" vertical="top"/>
    </xf>
    <xf numFmtId="0" fontId="789" fillId="3" borderId="0" xfId="60" applyFont="1" applyFill="1" applyAlignment="1">
      <alignment horizontal="center" vertical="top"/>
    </xf>
    <xf numFmtId="165" fontId="422" fillId="58" borderId="0" xfId="13" applyNumberFormat="1" applyFont="1" applyFill="1" applyAlignment="1" applyProtection="1">
      <alignment horizontal="center" vertical="center"/>
      <protection locked="0"/>
    </xf>
    <xf numFmtId="0" fontId="4" fillId="3" borderId="0" xfId="60" quotePrefix="1" applyFont="1" applyFill="1" applyAlignment="1">
      <alignment vertical="center"/>
    </xf>
    <xf numFmtId="1" fontId="158" fillId="1996" borderId="0" xfId="48" applyNumberFormat="1" applyFont="1" applyFill="1" applyAlignment="1">
      <alignment horizontal="center" vertical="center"/>
    </xf>
    <xf numFmtId="198" fontId="789" fillId="1995" borderId="0" xfId="48" applyNumberFormat="1" applyFont="1" applyFill="1" applyAlignment="1">
      <alignment vertical="center"/>
    </xf>
    <xf numFmtId="0" fontId="785" fillId="3" borderId="0" xfId="48" applyFont="1" applyFill="1" applyAlignment="1">
      <alignment horizontal="center" vertical="center"/>
    </xf>
    <xf numFmtId="0" fontId="672" fillId="3" borderId="0" xfId="48" applyFont="1" applyFill="1" applyAlignment="1">
      <alignment horizontal="right" vertical="center"/>
    </xf>
    <xf numFmtId="0" fontId="553" fillId="2006" borderId="7" xfId="47" applyFont="1" applyFill="1" applyBorder="1" applyAlignment="1">
      <alignment vertical="center"/>
    </xf>
    <xf numFmtId="0" fontId="169" fillId="2006" borderId="419" xfId="47" applyFont="1" applyFill="1" applyBorder="1" applyAlignment="1">
      <alignment horizontal="right" vertical="center"/>
    </xf>
    <xf numFmtId="0" fontId="4" fillId="2006" borderId="0" xfId="60" applyFont="1" applyFill="1"/>
    <xf numFmtId="0" fontId="4" fillId="2006" borderId="0" xfId="60" applyFont="1" applyFill="1" applyAlignment="1">
      <alignment horizontal="right" vertical="center"/>
    </xf>
    <xf numFmtId="0" fontId="44" fillId="2006" borderId="0" xfId="60" applyFont="1" applyFill="1" applyAlignment="1">
      <alignment horizontal="right" vertical="center"/>
    </xf>
    <xf numFmtId="0" fontId="44" fillId="2006" borderId="0" xfId="60" applyFont="1" applyFill="1" applyAlignment="1">
      <alignment horizontal="left" vertical="center"/>
    </xf>
    <xf numFmtId="0" fontId="44" fillId="2006" borderId="4" xfId="60" applyFont="1" applyFill="1" applyBorder="1"/>
    <xf numFmtId="0" fontId="24" fillId="2001" borderId="0" xfId="32" applyFont="1" applyFill="1" applyAlignment="1">
      <alignment horizontal="left" vertical="center"/>
    </xf>
    <xf numFmtId="0" fontId="24" fillId="2001" borderId="0" xfId="32" applyFont="1" applyFill="1" applyAlignment="1">
      <alignment horizontal="right" vertical="center"/>
    </xf>
    <xf numFmtId="0" fontId="46" fillId="2001" borderId="0" xfId="52" applyFont="1" applyFill="1" applyAlignment="1">
      <alignment horizontal="center" vertical="center"/>
    </xf>
    <xf numFmtId="0" fontId="46" fillId="2001" borderId="0" xfId="13" applyFont="1" applyFill="1" applyAlignment="1" applyProtection="1">
      <alignment horizontal="left" vertical="center"/>
      <protection locked="0"/>
    </xf>
    <xf numFmtId="0" fontId="0" fillId="2001" borderId="0" xfId="0" applyFill="1"/>
    <xf numFmtId="0" fontId="0" fillId="2001" borderId="4" xfId="0" applyFill="1" applyBorder="1"/>
    <xf numFmtId="0" fontId="46" fillId="2001" borderId="0" xfId="48" applyFont="1" applyFill="1" applyAlignment="1">
      <alignment horizontal="right" vertical="center"/>
    </xf>
    <xf numFmtId="239" fontId="46" fillId="2001" borderId="0" xfId="52" applyNumberFormat="1" applyFont="1" applyFill="1" applyAlignment="1">
      <alignment horizontal="center" vertical="center"/>
    </xf>
    <xf numFmtId="0" fontId="6" fillId="2001" borderId="0" xfId="0" applyFont="1" applyFill="1" applyAlignment="1">
      <alignment vertical="center"/>
    </xf>
    <xf numFmtId="0" fontId="6" fillId="2001" borderId="4" xfId="0" applyFont="1" applyFill="1" applyBorder="1" applyAlignment="1">
      <alignment vertical="center"/>
    </xf>
    <xf numFmtId="0" fontId="0" fillId="2001" borderId="567" xfId="0" applyFill="1" applyBorder="1" applyAlignment="1">
      <alignment horizontal="right" vertical="center"/>
    </xf>
    <xf numFmtId="0" fontId="0" fillId="2001" borderId="567" xfId="0" applyFill="1" applyBorder="1" applyAlignment="1">
      <alignment horizontal="center" vertical="center"/>
    </xf>
    <xf numFmtId="0" fontId="794" fillId="2001" borderId="567" xfId="0" applyFont="1" applyFill="1" applyBorder="1" applyAlignment="1">
      <alignment horizontal="right" vertical="center"/>
    </xf>
    <xf numFmtId="189" fontId="157" fillId="2007" borderId="567" xfId="13" applyNumberFormat="1" applyFont="1" applyFill="1" applyBorder="1" applyAlignment="1" applyProtection="1">
      <alignment horizontal="center" vertical="center"/>
      <protection locked="0"/>
    </xf>
    <xf numFmtId="189" fontId="157" fillId="2007" borderId="568" xfId="13" applyNumberFormat="1" applyFont="1" applyFill="1" applyBorder="1" applyAlignment="1" applyProtection="1">
      <alignment horizontal="center" vertical="center"/>
      <protection locked="0"/>
    </xf>
    <xf numFmtId="0" fontId="783" fillId="2" borderId="0" xfId="13" applyFont="1" applyFill="1" applyAlignment="1" applyProtection="1">
      <alignment vertical="center"/>
      <protection locked="0"/>
    </xf>
    <xf numFmtId="0" fontId="783" fillId="3" borderId="4" xfId="13" applyFont="1" applyFill="1" applyBorder="1" applyAlignment="1" applyProtection="1">
      <alignment vertical="center"/>
      <protection locked="0"/>
    </xf>
    <xf numFmtId="0" fontId="795" fillId="3" borderId="0" xfId="0" applyFont="1" applyFill="1" applyAlignment="1">
      <alignment horizontal="right" vertical="center"/>
    </xf>
    <xf numFmtId="0" fontId="749" fillId="58" borderId="0" xfId="13" applyFont="1" applyFill="1" applyAlignment="1" applyProtection="1">
      <alignment horizontal="center" vertical="center" wrapText="1"/>
      <protection locked="0"/>
    </xf>
    <xf numFmtId="0" fontId="796" fillId="3" borderId="0" xfId="13" applyFont="1" applyFill="1" applyAlignment="1" applyProtection="1">
      <alignment horizontal="left" vertical="center"/>
      <protection locked="0"/>
    </xf>
    <xf numFmtId="0" fontId="783" fillId="3" borderId="4" xfId="13" applyFont="1" applyFill="1" applyBorder="1" applyAlignment="1" applyProtection="1">
      <alignment horizontal="center" vertical="center"/>
      <protection locked="0"/>
    </xf>
    <xf numFmtId="1" fontId="158" fillId="58" borderId="0" xfId="13" applyNumberFormat="1" applyFont="1" applyFill="1" applyAlignment="1" applyProtection="1">
      <alignment horizontal="center" vertical="center"/>
      <protection locked="0"/>
    </xf>
    <xf numFmtId="0" fontId="325" fillId="3" borderId="0" xfId="0" applyFont="1" applyFill="1" applyAlignment="1">
      <alignment horizontal="right" vertical="center"/>
    </xf>
    <xf numFmtId="0" fontId="785" fillId="3" borderId="0" xfId="48" applyFont="1" applyFill="1" applyAlignment="1">
      <alignment horizontal="left" vertical="center"/>
    </xf>
    <xf numFmtId="0" fontId="732" fillId="14" borderId="0" xfId="13" applyFont="1" applyFill="1" applyAlignment="1" applyProtection="1">
      <alignment horizontal="right" vertical="center"/>
      <protection locked="0"/>
    </xf>
    <xf numFmtId="0" fontId="797" fillId="3" borderId="0" xfId="13" applyFont="1" applyFill="1" applyAlignment="1" applyProtection="1">
      <alignment horizontal="right" vertical="center"/>
      <protection locked="0"/>
    </xf>
    <xf numFmtId="0" fontId="346" fillId="2008" borderId="0" xfId="52" applyFont="1" applyFill="1" applyAlignment="1">
      <alignment horizontal="center" vertical="center"/>
    </xf>
    <xf numFmtId="198" fontId="798" fillId="1995" borderId="0" xfId="48" applyNumberFormat="1" applyFont="1" applyFill="1" applyAlignment="1">
      <alignment vertical="center"/>
    </xf>
    <xf numFmtId="170" fontId="158" fillId="58" borderId="0" xfId="13" applyNumberFormat="1" applyFont="1" applyFill="1" applyAlignment="1" applyProtection="1">
      <alignment horizontal="center" vertical="center"/>
      <protection locked="0"/>
    </xf>
    <xf numFmtId="165" fontId="157" fillId="14" borderId="0" xfId="13" applyNumberFormat="1" applyFont="1" applyFill="1" applyAlignment="1" applyProtection="1">
      <alignment horizontal="center" vertical="center"/>
      <protection locked="0"/>
    </xf>
    <xf numFmtId="170" fontId="158" fillId="14" borderId="0" xfId="13" applyNumberFormat="1" applyFont="1" applyFill="1" applyAlignment="1" applyProtection="1">
      <alignment horizontal="center" vertical="center"/>
      <protection locked="0"/>
    </xf>
    <xf numFmtId="0" fontId="56" fillId="3" borderId="0" xfId="0" applyFont="1" applyFill="1" applyAlignment="1">
      <alignment horizontal="left" vertical="center"/>
    </xf>
    <xf numFmtId="189" fontId="157" fillId="14" borderId="0" xfId="13" applyNumberFormat="1" applyFont="1" applyFill="1" applyAlignment="1" applyProtection="1">
      <alignment horizontal="center" vertical="center"/>
      <protection locked="0"/>
    </xf>
    <xf numFmtId="0" fontId="794" fillId="3" borderId="0" xfId="48" applyFont="1" applyFill="1" applyAlignment="1">
      <alignment horizontal="left" vertical="center"/>
    </xf>
    <xf numFmtId="0" fontId="797" fillId="3" borderId="0" xfId="13" applyFont="1" applyFill="1" applyAlignment="1" applyProtection="1">
      <alignment horizontal="left" vertical="center"/>
      <protection locked="0"/>
    </xf>
    <xf numFmtId="0" fontId="56" fillId="3" borderId="0" xfId="60" applyFont="1" applyFill="1" applyAlignment="1">
      <alignment horizontal="right" vertical="center"/>
    </xf>
    <xf numFmtId="0" fontId="672" fillId="3" borderId="0" xfId="48" applyFont="1" applyFill="1" applyAlignment="1">
      <alignment horizontal="left" vertical="center"/>
    </xf>
    <xf numFmtId="0" fontId="157" fillId="3" borderId="0" xfId="49" applyFont="1" applyFill="1" applyAlignment="1">
      <alignment vertical="center"/>
    </xf>
    <xf numFmtId="0" fontId="4" fillId="12" borderId="83" xfId="50" applyFill="1" applyBorder="1" applyAlignment="1">
      <alignment horizontal="center" vertical="center"/>
    </xf>
    <xf numFmtId="0" fontId="57" fillId="3" borderId="575" xfId="8" applyFill="1" applyBorder="1" applyAlignment="1">
      <alignment vertical="center"/>
    </xf>
    <xf numFmtId="0" fontId="57" fillId="3" borderId="576" xfId="8" applyFill="1" applyBorder="1" applyAlignment="1">
      <alignment vertical="center"/>
    </xf>
    <xf numFmtId="0" fontId="726" fillId="3" borderId="0" xfId="50" applyFont="1" applyFill="1" applyAlignment="1" applyProtection="1">
      <alignment horizontal="left" vertical="center"/>
      <protection locked="0"/>
    </xf>
    <xf numFmtId="0" fontId="726" fillId="3" borderId="101" xfId="50" applyFont="1" applyFill="1" applyBorder="1" applyAlignment="1" applyProtection="1">
      <alignment horizontal="right" vertical="center"/>
      <protection locked="0"/>
    </xf>
    <xf numFmtId="183" fontId="728" fillId="15" borderId="301" xfId="50" applyNumberFormat="1" applyFont="1" applyFill="1" applyBorder="1" applyAlignment="1" applyProtection="1">
      <alignment horizontal="center" vertical="center"/>
      <protection locked="0"/>
    </xf>
    <xf numFmtId="0" fontId="726" fillId="3" borderId="0" xfId="50" applyFont="1" applyFill="1" applyAlignment="1" applyProtection="1">
      <alignment horizontal="right" vertical="center"/>
      <protection locked="0"/>
    </xf>
    <xf numFmtId="0" fontId="185" fillId="3" borderId="0" xfId="50" applyFont="1" applyFill="1" applyAlignment="1" applyProtection="1">
      <alignment horizontal="right" vertical="center"/>
      <protection locked="0"/>
    </xf>
    <xf numFmtId="183" fontId="188" fillId="15" borderId="4" xfId="50" applyNumberFormat="1" applyFont="1" applyFill="1" applyBorder="1" applyAlignment="1" applyProtection="1">
      <alignment horizontal="center" vertical="center"/>
      <protection locked="0"/>
    </xf>
    <xf numFmtId="0" fontId="729" fillId="3" borderId="0" xfId="50" applyFont="1" applyFill="1" applyAlignment="1" applyProtection="1">
      <alignment horizontal="left" vertical="center"/>
      <protection locked="0"/>
    </xf>
    <xf numFmtId="0" fontId="729" fillId="3" borderId="0" xfId="50" applyFont="1" applyFill="1" applyAlignment="1" applyProtection="1">
      <alignment horizontal="right" vertical="center"/>
      <protection locked="0"/>
    </xf>
    <xf numFmtId="184" fontId="188" fillId="15" borderId="301" xfId="50" applyNumberFormat="1" applyFont="1" applyFill="1" applyBorder="1" applyAlignment="1" applyProtection="1">
      <alignment horizontal="center" vertical="center"/>
      <protection locked="0"/>
    </xf>
    <xf numFmtId="183" fontId="188" fillId="15" borderId="301" xfId="50" applyNumberFormat="1" applyFont="1" applyFill="1" applyBorder="1" applyAlignment="1" applyProtection="1">
      <alignment horizontal="center" vertical="center"/>
      <protection locked="0"/>
    </xf>
    <xf numFmtId="183" fontId="728" fillId="2" borderId="4" xfId="50" applyNumberFormat="1" applyFont="1" applyFill="1" applyBorder="1" applyAlignment="1" applyProtection="1">
      <alignment horizontal="center" vertical="center"/>
      <protection locked="0"/>
    </xf>
    <xf numFmtId="0" fontId="24" fillId="3" borderId="0" xfId="50" applyFont="1" applyFill="1" applyAlignment="1" applyProtection="1">
      <alignment horizontal="left" vertical="center"/>
      <protection locked="0"/>
    </xf>
    <xf numFmtId="0" fontId="24" fillId="3" borderId="0" xfId="50" applyFont="1" applyFill="1" applyAlignment="1" applyProtection="1">
      <alignment horizontal="right" vertical="center"/>
      <protection locked="0"/>
    </xf>
    <xf numFmtId="183" fontId="147" fillId="3" borderId="301" xfId="50" applyNumberFormat="1" applyFont="1" applyFill="1" applyBorder="1" applyAlignment="1" applyProtection="1">
      <alignment horizontal="center" vertical="center"/>
      <protection locked="0"/>
    </xf>
    <xf numFmtId="0" fontId="157" fillId="3" borderId="0" xfId="50" applyFont="1" applyFill="1" applyAlignment="1" applyProtection="1">
      <alignment horizontal="right" vertical="center"/>
      <protection locked="0"/>
    </xf>
    <xf numFmtId="183" fontId="147" fillId="3" borderId="4" xfId="50" applyNumberFormat="1" applyFont="1" applyFill="1" applyBorder="1" applyAlignment="1" applyProtection="1">
      <alignment horizontal="center" vertical="center"/>
      <protection locked="0"/>
    </xf>
    <xf numFmtId="0" fontId="157" fillId="3" borderId="567" xfId="50" applyFont="1" applyFill="1" applyBorder="1" applyAlignment="1" applyProtection="1">
      <alignment horizontal="left" vertical="center"/>
      <protection locked="0"/>
    </xf>
    <xf numFmtId="0" fontId="147" fillId="3" borderId="0" xfId="50" applyFont="1" applyFill="1" applyAlignment="1" applyProtection="1">
      <alignment horizontal="right" vertical="center"/>
      <protection locked="0"/>
    </xf>
    <xf numFmtId="184" fontId="147" fillId="3" borderId="301" xfId="50" applyNumberFormat="1" applyFont="1" applyFill="1" applyBorder="1" applyAlignment="1" applyProtection="1">
      <alignment horizontal="center" vertical="center"/>
      <protection locked="0"/>
    </xf>
    <xf numFmtId="184" fontId="147" fillId="3" borderId="4" xfId="50" applyNumberFormat="1" applyFont="1" applyFill="1" applyBorder="1" applyAlignment="1" applyProtection="1">
      <alignment horizontal="center" vertical="center"/>
      <protection locked="0"/>
    </xf>
    <xf numFmtId="0" fontId="157" fillId="12" borderId="575" xfId="50" applyFont="1" applyFill="1" applyBorder="1" applyAlignment="1" applyProtection="1">
      <alignment horizontal="left" vertical="center"/>
      <protection locked="0"/>
    </xf>
    <xf numFmtId="0" fontId="157" fillId="12" borderId="575" xfId="50" applyFont="1" applyFill="1" applyBorder="1" applyAlignment="1" applyProtection="1">
      <alignment horizontal="right" vertical="center"/>
      <protection locked="0"/>
    </xf>
    <xf numFmtId="183" fontId="147" fillId="12" borderId="575" xfId="50" applyNumberFormat="1" applyFont="1" applyFill="1" applyBorder="1" applyAlignment="1" applyProtection="1">
      <alignment horizontal="center" vertical="center"/>
      <protection locked="0"/>
    </xf>
    <xf numFmtId="0" fontId="157" fillId="12" borderId="575" xfId="48" applyFont="1" applyFill="1" applyBorder="1" applyProtection="1">
      <protection hidden="1"/>
    </xf>
    <xf numFmtId="0" fontId="147" fillId="12" borderId="575" xfId="50" applyFont="1" applyFill="1" applyBorder="1" applyAlignment="1" applyProtection="1">
      <alignment horizontal="right" vertical="center"/>
      <protection locked="0"/>
    </xf>
    <xf numFmtId="184" fontId="147" fillId="12" borderId="575" xfId="50" applyNumberFormat="1" applyFont="1" applyFill="1" applyBorder="1" applyAlignment="1" applyProtection="1">
      <alignment horizontal="center" vertical="center"/>
      <protection locked="0"/>
    </xf>
    <xf numFmtId="184" fontId="147" fillId="12" borderId="576" xfId="50" applyNumberFormat="1" applyFont="1" applyFill="1" applyBorder="1" applyAlignment="1" applyProtection="1">
      <alignment horizontal="center" vertical="center"/>
      <protection locked="0"/>
    </xf>
    <xf numFmtId="0" fontId="185" fillId="3" borderId="0" xfId="50" applyFont="1" applyFill="1" applyAlignment="1" applyProtection="1">
      <alignment horizontal="left" vertical="center"/>
      <protection locked="0"/>
    </xf>
    <xf numFmtId="172" fontId="730" fillId="15" borderId="301" xfId="50" applyNumberFormat="1" applyFont="1" applyFill="1" applyBorder="1" applyAlignment="1" applyProtection="1">
      <alignment horizontal="center" vertical="center"/>
      <protection locked="0"/>
    </xf>
    <xf numFmtId="0" fontId="147" fillId="3" borderId="444" xfId="50" applyFont="1" applyFill="1" applyBorder="1" applyAlignment="1" applyProtection="1">
      <alignment horizontal="left" vertical="center"/>
      <protection locked="0"/>
    </xf>
    <xf numFmtId="0" fontId="147" fillId="3" borderId="444" xfId="50" applyFont="1" applyFill="1" applyBorder="1" applyAlignment="1" applyProtection="1">
      <alignment horizontal="right" vertical="center"/>
      <protection locked="0"/>
    </xf>
    <xf numFmtId="184" fontId="147" fillId="3" borderId="470" xfId="50" applyNumberFormat="1" applyFont="1" applyFill="1" applyBorder="1" applyAlignment="1" applyProtection="1">
      <alignment horizontal="center" vertical="center"/>
      <protection locked="0"/>
    </xf>
    <xf numFmtId="0" fontId="157" fillId="3" borderId="444" xfId="50" applyFont="1" applyFill="1" applyBorder="1" applyAlignment="1" applyProtection="1">
      <alignment horizontal="right" vertical="center"/>
      <protection locked="0"/>
    </xf>
    <xf numFmtId="183" fontId="147" fillId="3" borderId="470" xfId="50" applyNumberFormat="1" applyFont="1" applyFill="1" applyBorder="1" applyAlignment="1" applyProtection="1">
      <alignment horizontal="center" vertical="center"/>
      <protection locked="0"/>
    </xf>
    <xf numFmtId="184" fontId="147" fillId="3" borderId="445" xfId="50" applyNumberFormat="1" applyFont="1" applyFill="1" applyBorder="1" applyAlignment="1" applyProtection="1">
      <alignment horizontal="center" vertical="center"/>
      <protection locked="0"/>
    </xf>
    <xf numFmtId="0" fontId="15" fillId="4" borderId="577" xfId="52" applyFont="1" applyFill="1" applyBorder="1" applyAlignment="1" applyProtection="1">
      <alignment horizontal="left" vertical="center"/>
      <protection locked="0"/>
    </xf>
    <xf numFmtId="0" fontId="15" fillId="4" borderId="570" xfId="52" applyFont="1" applyFill="1" applyBorder="1" applyAlignment="1" applyProtection="1">
      <alignment horizontal="centerContinuous" vertical="center"/>
      <protection locked="0"/>
    </xf>
    <xf numFmtId="0" fontId="15" fillId="4" borderId="571" xfId="52" applyFont="1" applyFill="1" applyBorder="1" applyAlignment="1" applyProtection="1">
      <alignment horizontal="right" vertical="center"/>
      <protection locked="0"/>
    </xf>
    <xf numFmtId="0" fontId="4" fillId="12" borderId="497" xfId="50" applyFill="1" applyBorder="1" applyAlignment="1">
      <alignment horizontal="center" vertical="center"/>
    </xf>
    <xf numFmtId="0" fontId="4" fillId="0" borderId="497" xfId="0" applyFont="1" applyBorder="1"/>
    <xf numFmtId="0" fontId="4" fillId="3" borderId="497" xfId="0" applyFont="1" applyFill="1" applyBorder="1"/>
    <xf numFmtId="0" fontId="349" fillId="3" borderId="497" xfId="48" applyFont="1" applyFill="1" applyBorder="1" applyAlignment="1">
      <alignment horizontal="center" vertical="center"/>
    </xf>
    <xf numFmtId="0" fontId="349" fillId="3" borderId="383" xfId="48" applyFont="1" applyFill="1" applyBorder="1" applyAlignment="1">
      <alignment horizontal="center" vertical="center"/>
    </xf>
    <xf numFmtId="0" fontId="4" fillId="12" borderId="567" xfId="50" applyFill="1" applyBorder="1" applyAlignment="1">
      <alignment horizontal="center" vertical="center"/>
    </xf>
    <xf numFmtId="0" fontId="42" fillId="8" borderId="497" xfId="50" applyFont="1" applyFill="1" applyBorder="1" applyAlignment="1" applyProtection="1">
      <alignment horizontal="right" vertical="center"/>
      <protection locked="0"/>
    </xf>
    <xf numFmtId="176" fontId="42" fillId="15" borderId="401" xfId="50" applyNumberFormat="1" applyFont="1" applyFill="1" applyBorder="1" applyAlignment="1" applyProtection="1">
      <alignment horizontal="center" vertical="center"/>
      <protection locked="0"/>
    </xf>
    <xf numFmtId="0" fontId="4" fillId="3" borderId="398" xfId="0" applyFont="1" applyFill="1" applyBorder="1"/>
    <xf numFmtId="0" fontId="42" fillId="3" borderId="497" xfId="50" applyFont="1" applyFill="1" applyBorder="1" applyAlignment="1" applyProtection="1">
      <alignment horizontal="right" vertical="center"/>
      <protection locked="0"/>
    </xf>
    <xf numFmtId="0" fontId="349" fillId="3" borderId="398" xfId="48" applyFont="1" applyFill="1" applyBorder="1" applyAlignment="1">
      <alignment horizontal="center" vertical="center"/>
    </xf>
    <xf numFmtId="176" fontId="42" fillId="15" borderId="383" xfId="50" applyNumberFormat="1" applyFont="1" applyFill="1" applyBorder="1" applyAlignment="1" applyProtection="1">
      <alignment horizontal="center" vertical="center"/>
      <protection locked="0"/>
    </xf>
    <xf numFmtId="0" fontId="41" fillId="8" borderId="0" xfId="50" applyFont="1" applyFill="1" applyAlignment="1" applyProtection="1">
      <alignment horizontal="right" vertical="center"/>
      <protection locked="0"/>
    </xf>
    <xf numFmtId="176" fontId="41" fillId="15" borderId="301" xfId="50" applyNumberFormat="1" applyFont="1" applyFill="1" applyBorder="1" applyAlignment="1" applyProtection="1">
      <alignment horizontal="center" vertical="center"/>
      <protection locked="0"/>
    </xf>
    <xf numFmtId="0" fontId="4" fillId="3" borderId="57" xfId="0" applyFont="1" applyFill="1" applyBorder="1"/>
    <xf numFmtId="0" fontId="41" fillId="3" borderId="0" xfId="50" applyFont="1" applyFill="1" applyAlignment="1" applyProtection="1">
      <alignment horizontal="right" vertical="center"/>
      <protection locked="0"/>
    </xf>
    <xf numFmtId="0" fontId="349" fillId="3" borderId="57" xfId="48" applyFont="1" applyFill="1" applyBorder="1" applyAlignment="1">
      <alignment horizontal="center" vertical="center"/>
    </xf>
    <xf numFmtId="172" fontId="41" fillId="15" borderId="4" xfId="50" applyNumberFormat="1" applyFont="1" applyFill="1" applyBorder="1" applyAlignment="1" applyProtection="1">
      <alignment horizontal="center" vertical="center"/>
      <protection locked="0"/>
    </xf>
    <xf numFmtId="0" fontId="24" fillId="8" borderId="0" xfId="50" applyFont="1" applyFill="1" applyAlignment="1" applyProtection="1">
      <alignment horizontal="right" vertical="center"/>
      <protection locked="0"/>
    </xf>
    <xf numFmtId="176" fontId="24" fillId="8" borderId="301" xfId="50" applyNumberFormat="1" applyFont="1" applyFill="1" applyBorder="1" applyAlignment="1" applyProtection="1">
      <alignment horizontal="center" vertical="center"/>
      <protection locked="0"/>
    </xf>
    <xf numFmtId="176" fontId="24" fillId="8" borderId="4" xfId="50" applyNumberFormat="1" applyFont="1" applyFill="1" applyBorder="1" applyAlignment="1" applyProtection="1">
      <alignment horizontal="center" vertical="center"/>
      <protection locked="0"/>
    </xf>
    <xf numFmtId="0" fontId="4" fillId="3" borderId="444" xfId="0" applyFont="1" applyFill="1" applyBorder="1"/>
    <xf numFmtId="0" fontId="24" fillId="8" borderId="444" xfId="50" applyFont="1" applyFill="1" applyBorder="1" applyAlignment="1" applyProtection="1">
      <alignment horizontal="right" vertical="center"/>
      <protection locked="0"/>
    </xf>
    <xf numFmtId="166" fontId="24" fillId="8" borderId="470" xfId="50" applyNumberFormat="1" applyFont="1" applyFill="1" applyBorder="1" applyAlignment="1" applyProtection="1">
      <alignment horizontal="center" vertical="center"/>
      <protection locked="0"/>
    </xf>
    <xf numFmtId="0" fontId="4" fillId="3" borderId="460" xfId="0" applyFont="1" applyFill="1" applyBorder="1"/>
    <xf numFmtId="0" fontId="349" fillId="3" borderId="460" xfId="48" applyFont="1" applyFill="1" applyBorder="1" applyAlignment="1">
      <alignment horizontal="center" vertical="center"/>
    </xf>
    <xf numFmtId="171" fontId="24" fillId="8" borderId="445" xfId="50" applyNumberFormat="1" applyFont="1" applyFill="1" applyBorder="1" applyAlignment="1" applyProtection="1">
      <alignment horizontal="center" vertical="center"/>
      <protection locked="0"/>
    </xf>
    <xf numFmtId="0" fontId="40" fillId="8" borderId="497" xfId="50" applyFont="1" applyFill="1" applyBorder="1" applyAlignment="1" applyProtection="1">
      <alignment horizontal="right" vertical="center"/>
      <protection locked="0"/>
    </xf>
    <xf numFmtId="176" fontId="40" fillId="15" borderId="401" xfId="50" applyNumberFormat="1" applyFont="1" applyFill="1" applyBorder="1" applyAlignment="1" applyProtection="1">
      <alignment horizontal="center" vertical="center"/>
      <protection locked="0"/>
    </xf>
    <xf numFmtId="176" fontId="40" fillId="15" borderId="383" xfId="50" applyNumberFormat="1" applyFont="1" applyFill="1" applyBorder="1" applyAlignment="1" applyProtection="1">
      <alignment horizontal="center" vertical="center"/>
      <protection locked="0"/>
    </xf>
    <xf numFmtId="2" fontId="147" fillId="54" borderId="532" xfId="50" applyNumberFormat="1" applyFont="1" applyFill="1" applyBorder="1" applyAlignment="1" applyProtection="1">
      <alignment horizontal="center" vertical="center" wrapText="1"/>
      <protection locked="0"/>
    </xf>
    <xf numFmtId="0" fontId="4" fillId="12" borderId="0" xfId="50" applyFill="1"/>
    <xf numFmtId="168" fontId="148" fillId="12" borderId="499" xfId="50" applyNumberFormat="1" applyFont="1" applyFill="1" applyBorder="1" applyAlignment="1">
      <alignment horizontal="center" vertical="center"/>
    </xf>
    <xf numFmtId="0" fontId="157" fillId="12" borderId="46" xfId="50" applyFont="1" applyFill="1" applyBorder="1" applyAlignment="1">
      <alignment horizontal="center" vertical="center"/>
    </xf>
    <xf numFmtId="2" fontId="148" fillId="12" borderId="578" xfId="50" applyNumberFormat="1" applyFont="1" applyFill="1" applyBorder="1" applyAlignment="1">
      <alignment horizontal="center" vertical="center"/>
    </xf>
    <xf numFmtId="0" fontId="34" fillId="8" borderId="0" xfId="50" applyFont="1" applyFill="1" applyAlignment="1" applyProtection="1">
      <alignment horizontal="right" vertical="center"/>
      <protection locked="0"/>
    </xf>
    <xf numFmtId="176" fontId="34" fillId="15" borderId="301" xfId="50" applyNumberFormat="1" applyFont="1" applyFill="1" applyBorder="1" applyAlignment="1" applyProtection="1">
      <alignment horizontal="center" vertical="center"/>
      <protection locked="0"/>
    </xf>
    <xf numFmtId="172" fontId="34" fillId="15" borderId="4" xfId="50" applyNumberFormat="1" applyFont="1" applyFill="1" applyBorder="1" applyAlignment="1" applyProtection="1">
      <alignment horizontal="center" vertical="center"/>
      <protection locked="0"/>
    </xf>
    <xf numFmtId="9" fontId="148" fillId="28" borderId="356" xfId="50" applyNumberFormat="1" applyFont="1" applyFill="1" applyBorder="1" applyAlignment="1">
      <alignment horizontal="center" vertical="center"/>
    </xf>
    <xf numFmtId="0" fontId="4" fillId="28" borderId="0" xfId="50" applyFill="1" applyAlignment="1">
      <alignment horizontal="centerContinuous" vertical="center" wrapText="1"/>
    </xf>
    <xf numFmtId="9" fontId="279" fillId="28" borderId="356" xfId="50" applyNumberFormat="1" applyFont="1" applyFill="1" applyBorder="1" applyAlignment="1">
      <alignment horizontal="center" vertical="center"/>
    </xf>
    <xf numFmtId="204" fontId="157" fillId="55" borderId="4" xfId="50" applyNumberFormat="1" applyFont="1" applyFill="1" applyBorder="1" applyAlignment="1">
      <alignment horizontal="centerContinuous" vertical="center" wrapText="1"/>
    </xf>
    <xf numFmtId="166" fontId="185" fillId="15" borderId="356" xfId="50" applyNumberFormat="1" applyFont="1" applyFill="1" applyBorder="1" applyAlignment="1">
      <alignment horizontal="center" vertical="center"/>
    </xf>
    <xf numFmtId="189" fontId="15" fillId="12" borderId="392" xfId="50" applyNumberFormat="1" applyFont="1" applyFill="1" applyBorder="1" applyAlignment="1" applyProtection="1">
      <alignment horizontal="center" vertical="center"/>
      <protection locked="0"/>
    </xf>
    <xf numFmtId="172" fontId="732" fillId="2" borderId="0" xfId="50" applyNumberFormat="1" applyFont="1" applyFill="1" applyAlignment="1" applyProtection="1">
      <alignment horizontal="center" vertical="center"/>
      <protection locked="0"/>
    </xf>
    <xf numFmtId="189" fontId="15" fillId="12" borderId="4" xfId="50" applyNumberFormat="1" applyFont="1" applyFill="1" applyBorder="1" applyAlignment="1" applyProtection="1">
      <alignment horizontal="center" vertical="center"/>
      <protection locked="0"/>
    </xf>
    <xf numFmtId="176" fontId="24" fillId="8" borderId="445" xfId="50" applyNumberFormat="1" applyFont="1" applyFill="1" applyBorder="1" applyAlignment="1" applyProtection="1">
      <alignment horizontal="center" vertical="center"/>
      <protection locked="0"/>
    </xf>
    <xf numFmtId="189" fontId="15" fillId="12" borderId="0" xfId="50" applyNumberFormat="1" applyFont="1" applyFill="1" applyAlignment="1" applyProtection="1">
      <alignment horizontal="center" vertical="center"/>
      <protection locked="0"/>
    </xf>
    <xf numFmtId="172" fontId="732" fillId="15" borderId="0" xfId="50" applyNumberFormat="1" applyFont="1" applyFill="1" applyAlignment="1" applyProtection="1">
      <alignment horizontal="center" vertical="center"/>
      <protection locked="0"/>
    </xf>
    <xf numFmtId="0" fontId="57" fillId="3" borderId="567" xfId="8" applyFill="1" applyBorder="1" applyAlignment="1">
      <alignment vertical="center"/>
    </xf>
    <xf numFmtId="0" fontId="54" fillId="3" borderId="567" xfId="32" applyFont="1" applyFill="1" applyBorder="1" applyAlignment="1">
      <alignment horizontal="center" vertical="center"/>
    </xf>
    <xf numFmtId="0" fontId="4" fillId="0" borderId="567" xfId="0" applyFont="1" applyBorder="1"/>
    <xf numFmtId="0" fontId="4" fillId="0" borderId="568" xfId="0" applyFont="1" applyBorder="1"/>
    <xf numFmtId="0" fontId="147" fillId="3" borderId="567" xfId="48" applyFont="1" applyFill="1" applyBorder="1" applyAlignment="1" applyProtection="1">
      <alignment horizontal="center" vertical="center"/>
      <protection hidden="1"/>
    </xf>
    <xf numFmtId="0" fontId="6" fillId="3" borderId="567" xfId="50" applyFont="1" applyFill="1" applyBorder="1" applyAlignment="1">
      <alignment horizontal="center"/>
    </xf>
    <xf numFmtId="0" fontId="6" fillId="3" borderId="0" xfId="50" applyFont="1" applyFill="1" applyAlignment="1">
      <alignment horizontal="left"/>
    </xf>
    <xf numFmtId="191" fontId="174" fillId="3" borderId="0" xfId="48" applyNumberFormat="1" applyFont="1" applyFill="1" applyAlignment="1" applyProtection="1">
      <alignment horizontal="center" vertical="center"/>
      <protection hidden="1"/>
    </xf>
    <xf numFmtId="229" fontId="46" fillId="3" borderId="0" xfId="48" applyNumberFormat="1" applyFont="1" applyFill="1" applyAlignment="1" applyProtection="1">
      <alignment horizontal="center" vertical="center"/>
      <protection hidden="1"/>
    </xf>
    <xf numFmtId="165" fontId="147" fillId="5" borderId="4" xfId="32" applyNumberFormat="1" applyFont="1" applyFill="1" applyBorder="1" applyAlignment="1">
      <alignment horizontal="center" vertical="center"/>
    </xf>
    <xf numFmtId="166" fontId="185" fillId="15" borderId="546" xfId="50" applyNumberFormat="1" applyFont="1" applyFill="1" applyBorder="1" applyAlignment="1">
      <alignment horizontal="center" vertical="center"/>
    </xf>
    <xf numFmtId="189" fontId="15" fillId="12" borderId="444" xfId="50" applyNumberFormat="1" applyFont="1" applyFill="1" applyBorder="1" applyAlignment="1" applyProtection="1">
      <alignment horizontal="center" vertical="center"/>
      <protection locked="0"/>
    </xf>
    <xf numFmtId="172" fontId="732" fillId="15" borderId="444" xfId="50" applyNumberFormat="1" applyFont="1" applyFill="1" applyBorder="1" applyAlignment="1" applyProtection="1">
      <alignment horizontal="center" vertical="center"/>
      <protection locked="0"/>
    </xf>
    <xf numFmtId="189" fontId="15" fillId="12" borderId="445" xfId="50" applyNumberFormat="1" applyFont="1" applyFill="1" applyBorder="1" applyAlignment="1" applyProtection="1">
      <alignment horizontal="center" vertical="center"/>
      <protection locked="0"/>
    </xf>
    <xf numFmtId="0" fontId="4" fillId="3" borderId="0" xfId="50" applyFill="1"/>
    <xf numFmtId="0" fontId="5" fillId="3" borderId="0" xfId="50" applyFont="1" applyFill="1"/>
    <xf numFmtId="0" fontId="349" fillId="4" borderId="301" xfId="48" applyFont="1" applyFill="1" applyBorder="1" applyAlignment="1">
      <alignment horizontal="center" vertical="center"/>
    </xf>
    <xf numFmtId="0" fontId="349" fillId="12" borderId="474" xfId="48" applyFont="1" applyFill="1" applyBorder="1" applyAlignment="1">
      <alignment horizontal="center" vertical="center"/>
    </xf>
    <xf numFmtId="0" fontId="15" fillId="31" borderId="301" xfId="48" applyFont="1" applyFill="1" applyBorder="1" applyAlignment="1" applyProtection="1">
      <alignment horizontal="center" vertical="center"/>
      <protection locked="0"/>
    </xf>
    <xf numFmtId="0" fontId="587" fillId="41" borderId="470" xfId="48" applyFont="1" applyFill="1" applyBorder="1" applyAlignment="1">
      <alignment horizontal="center" vertical="center"/>
    </xf>
    <xf numFmtId="0" fontId="349" fillId="2009" borderId="414" xfId="47" applyFont="1" applyFill="1" applyBorder="1" applyAlignment="1">
      <alignment horizontal="center" vertical="center"/>
    </xf>
    <xf numFmtId="0" fontId="670" fillId="0" borderId="0" xfId="0" applyFont="1"/>
    <xf numFmtId="0" fontId="148" fillId="12" borderId="1" xfId="48" quotePrefix="1" applyFont="1" applyFill="1" applyBorder="1" applyAlignment="1">
      <alignment horizontal="center" vertical="center"/>
    </xf>
    <xf numFmtId="0" fontId="670" fillId="0" borderId="0" xfId="0" applyFont="1" applyAlignment="1">
      <alignment horizontal="left" vertical="center" wrapText="1"/>
    </xf>
    <xf numFmtId="0" fontId="587" fillId="2010" borderId="5" xfId="52" applyFont="1" applyFill="1" applyBorder="1" applyAlignment="1">
      <alignment horizontal="center" vertical="center"/>
    </xf>
    <xf numFmtId="0" fontId="0" fillId="2009" borderId="7" xfId="0" applyFill="1" applyBorder="1"/>
    <xf numFmtId="0" fontId="228" fillId="2009" borderId="7" xfId="32" applyFont="1" applyFill="1" applyBorder="1" applyAlignment="1" applyProtection="1">
      <alignment vertical="center"/>
      <protection locked="0"/>
    </xf>
    <xf numFmtId="0" fontId="228" fillId="2009" borderId="419" xfId="32" applyFont="1" applyFill="1" applyBorder="1" applyAlignment="1" applyProtection="1">
      <alignment vertical="center"/>
      <protection locked="0"/>
    </xf>
    <xf numFmtId="0" fontId="0" fillId="2009" borderId="0" xfId="0" applyFill="1"/>
    <xf numFmtId="0" fontId="800" fillId="2009" borderId="0" xfId="32" applyFont="1" applyFill="1" applyAlignment="1" applyProtection="1">
      <alignment vertical="center"/>
      <protection locked="0"/>
    </xf>
    <xf numFmtId="0" fontId="800" fillId="2009" borderId="4" xfId="32" applyFont="1" applyFill="1" applyBorder="1" applyAlignment="1" applyProtection="1">
      <alignment vertical="center"/>
      <protection locked="0"/>
    </xf>
    <xf numFmtId="0" fontId="801" fillId="2009" borderId="0" xfId="48" applyFont="1" applyFill="1" applyAlignment="1" applyProtection="1">
      <alignment horizontal="left" vertical="center"/>
      <protection locked="0"/>
    </xf>
    <xf numFmtId="0" fontId="147" fillId="2009" borderId="0" xfId="70" applyFont="1" applyFill="1" applyAlignment="1">
      <alignment horizontal="center" vertical="center"/>
    </xf>
    <xf numFmtId="0" fontId="147" fillId="2011" borderId="4" xfId="49" applyFont="1" applyFill="1" applyBorder="1" applyAlignment="1">
      <alignment vertical="center"/>
    </xf>
    <xf numFmtId="0" fontId="757" fillId="2009" borderId="0" xfId="32" applyFont="1" applyFill="1" applyAlignment="1" applyProtection="1">
      <alignment vertical="center"/>
      <protection locked="0"/>
    </xf>
    <xf numFmtId="0" fontId="800" fillId="2009" borderId="0" xfId="32" applyFont="1" applyFill="1" applyAlignment="1" applyProtection="1">
      <alignment vertical="center" wrapText="1"/>
      <protection locked="0"/>
    </xf>
    <xf numFmtId="0" fontId="800" fillId="3" borderId="0" xfId="32" applyFont="1" applyFill="1" applyAlignment="1" applyProtection="1">
      <alignment vertical="center" wrapText="1"/>
      <protection locked="0"/>
    </xf>
    <xf numFmtId="0" fontId="801" fillId="3" borderId="0" xfId="48" applyFont="1" applyFill="1" applyAlignment="1" applyProtection="1">
      <alignment horizontal="left" vertical="center"/>
      <protection locked="0"/>
    </xf>
    <xf numFmtId="0" fontId="40" fillId="3" borderId="0" xfId="48" applyFont="1" applyFill="1" applyAlignment="1">
      <alignment horizontal="right" vertical="center"/>
    </xf>
    <xf numFmtId="0" fontId="34" fillId="3" borderId="0" xfId="48" applyFont="1" applyFill="1" applyAlignment="1">
      <alignment horizontal="center" vertical="center"/>
    </xf>
    <xf numFmtId="0" fontId="71" fillId="3" borderId="0" xfId="48" applyFont="1" applyFill="1" applyAlignment="1">
      <alignment horizontal="right" vertical="center"/>
    </xf>
    <xf numFmtId="0" fontId="587" fillId="41" borderId="4" xfId="48" applyFont="1" applyFill="1" applyBorder="1" applyAlignment="1">
      <alignment horizontal="center" vertical="center"/>
    </xf>
    <xf numFmtId="0" fontId="803" fillId="3" borderId="0" xfId="48" applyFont="1" applyFill="1" applyAlignment="1" applyProtection="1">
      <alignment horizontal="left" vertical="center"/>
      <protection locked="0"/>
    </xf>
    <xf numFmtId="0" fontId="147" fillId="3" borderId="0" xfId="70" applyFont="1" applyFill="1" applyAlignment="1">
      <alignment horizontal="center" vertical="center"/>
    </xf>
    <xf numFmtId="0" fontId="147" fillId="2012" borderId="4" xfId="49" applyFont="1" applyFill="1" applyBorder="1" applyAlignment="1">
      <alignment vertical="center"/>
    </xf>
    <xf numFmtId="0" fontId="803" fillId="3" borderId="0" xfId="48" applyFont="1" applyFill="1" applyAlignment="1" applyProtection="1">
      <alignment horizontal="right" vertical="center"/>
      <protection locked="0"/>
    </xf>
    <xf numFmtId="0" fontId="4" fillId="3" borderId="0" xfId="55" applyFont="1" applyFill="1"/>
    <xf numFmtId="0" fontId="23" fillId="3" borderId="0" xfId="32" applyFont="1" applyFill="1" applyAlignment="1" applyProtection="1">
      <alignment horizontal="center" vertical="center"/>
      <protection locked="0"/>
    </xf>
    <xf numFmtId="0" fontId="54" fillId="45" borderId="0" xfId="48" applyFont="1" applyFill="1" applyAlignment="1" applyProtection="1">
      <alignment horizontal="center" vertical="center"/>
      <protection hidden="1"/>
    </xf>
    <xf numFmtId="0" fontId="804" fillId="3" borderId="0" xfId="32" applyFont="1" applyFill="1" applyAlignment="1" applyProtection="1">
      <alignment horizontal="center" vertical="center"/>
      <protection locked="0"/>
    </xf>
    <xf numFmtId="0" fontId="11" fillId="3" borderId="0" xfId="48" applyFont="1" applyFill="1" applyAlignment="1" applyProtection="1">
      <alignment horizontal="center" vertical="center"/>
      <protection hidden="1"/>
    </xf>
    <xf numFmtId="0" fontId="147" fillId="2012" borderId="0" xfId="49" applyFont="1" applyFill="1" applyAlignment="1">
      <alignment vertical="center"/>
    </xf>
    <xf numFmtId="0" fontId="0" fillId="5" borderId="0" xfId="0" applyFill="1" applyAlignment="1">
      <alignment vertical="center"/>
    </xf>
    <xf numFmtId="0" fontId="11" fillId="12" borderId="0" xfId="0" applyFont="1" applyFill="1" applyAlignment="1">
      <alignment horizontal="center" vertical="center"/>
    </xf>
    <xf numFmtId="0" fontId="147" fillId="2012" borderId="0" xfId="49" applyFont="1" applyFill="1" applyAlignment="1">
      <alignment horizontal="center" vertical="center"/>
    </xf>
    <xf numFmtId="0" fontId="147" fillId="3" borderId="0" xfId="48" applyFont="1" applyFill="1" applyAlignment="1" applyProtection="1">
      <alignment vertical="center"/>
      <protection hidden="1"/>
    </xf>
    <xf numFmtId="0" fontId="144" fillId="3" borderId="0" xfId="48" applyFont="1" applyFill="1" applyAlignment="1">
      <alignment horizontal="center" vertical="center" wrapText="1"/>
    </xf>
    <xf numFmtId="0" fontId="32" fillId="2012" borderId="0" xfId="49" applyFont="1" applyFill="1" applyAlignment="1">
      <alignment horizontal="center" vertical="center" wrapText="1"/>
    </xf>
    <xf numFmtId="0" fontId="44" fillId="0" borderId="0" xfId="0" applyFont="1" applyAlignment="1">
      <alignment horizontal="center" vertical="center"/>
    </xf>
    <xf numFmtId="0" fontId="805" fillId="3" borderId="0" xfId="0" applyFont="1" applyFill="1" applyAlignment="1">
      <alignment vertical="center"/>
    </xf>
    <xf numFmtId="0" fontId="147" fillId="12" borderId="0" xfId="49" applyFont="1" applyFill="1" applyAlignment="1">
      <alignment horizontal="center"/>
    </xf>
    <xf numFmtId="0" fontId="11" fillId="2009" borderId="4" xfId="48" applyFont="1" applyFill="1" applyBorder="1" applyAlignment="1" applyProtection="1">
      <alignment horizontal="center" vertical="center"/>
      <protection hidden="1"/>
    </xf>
    <xf numFmtId="0" fontId="147" fillId="12" borderId="0" xfId="49" applyFont="1" applyFill="1"/>
    <xf numFmtId="0" fontId="15" fillId="2009" borderId="4" xfId="48" applyFont="1" applyFill="1" applyBorder="1" applyAlignment="1" applyProtection="1">
      <alignment horizontal="center" vertical="center"/>
      <protection hidden="1"/>
    </xf>
    <xf numFmtId="0" fontId="805" fillId="12" borderId="0" xfId="0" applyFont="1" applyFill="1" applyAlignment="1">
      <alignment vertical="center"/>
    </xf>
    <xf numFmtId="0" fontId="15" fillId="2016" borderId="0" xfId="70" applyFont="1" applyFill="1" applyAlignment="1">
      <alignment horizontal="center" vertical="center"/>
    </xf>
    <xf numFmtId="0" fontId="805" fillId="3" borderId="5" xfId="0" applyFont="1" applyFill="1" applyBorder="1" applyAlignment="1">
      <alignment vertical="center"/>
    </xf>
    <xf numFmtId="0" fontId="157" fillId="12" borderId="0" xfId="49" applyFont="1" applyFill="1" applyAlignment="1">
      <alignment horizontal="right" vertical="center"/>
    </xf>
    <xf numFmtId="0" fontId="157" fillId="12" borderId="0" xfId="0" applyFont="1" applyFill="1" applyAlignment="1">
      <alignment horizontal="center" vertical="center"/>
    </xf>
    <xf numFmtId="0" fontId="701" fillId="3" borderId="4" xfId="48" applyFont="1" applyFill="1" applyBorder="1" applyAlignment="1" applyProtection="1">
      <alignment horizontal="left" vertical="center"/>
      <protection locked="0"/>
    </xf>
    <xf numFmtId="0" fontId="787" fillId="19" borderId="0" xfId="0" applyFont="1" applyFill="1" applyAlignment="1">
      <alignment horizontal="left" vertical="center"/>
    </xf>
    <xf numFmtId="0" fontId="157" fillId="12" borderId="0" xfId="0" applyFont="1" applyFill="1" applyAlignment="1">
      <alignment horizontal="right" vertical="center"/>
    </xf>
    <xf numFmtId="0" fontId="784" fillId="12" borderId="0" xfId="0" applyFont="1" applyFill="1" applyAlignment="1">
      <alignment vertical="center"/>
    </xf>
    <xf numFmtId="0" fontId="587" fillId="41" borderId="0" xfId="48" applyFont="1" applyFill="1" applyAlignment="1">
      <alignment horizontal="left" vertical="center"/>
    </xf>
    <xf numFmtId="0" fontId="279" fillId="19" borderId="0" xfId="0" applyFont="1" applyFill="1" applyAlignment="1">
      <alignment horizontal="left" vertical="center"/>
    </xf>
    <xf numFmtId="0" fontId="279" fillId="19" borderId="0" xfId="0" applyFont="1" applyFill="1" applyAlignment="1">
      <alignment horizontal="right" vertical="center"/>
    </xf>
    <xf numFmtId="0" fontId="587" fillId="41" borderId="0" xfId="0" applyFont="1" applyFill="1" applyAlignment="1">
      <alignment horizontal="left" vertical="center"/>
    </xf>
    <xf numFmtId="0" fontId="787" fillId="54" borderId="0" xfId="48" applyFont="1" applyFill="1" applyAlignment="1" applyProtection="1">
      <alignment horizontal="right" vertical="center"/>
      <protection locked="0"/>
    </xf>
    <xf numFmtId="1" fontId="157" fillId="54" borderId="4" xfId="48" applyNumberFormat="1" applyFont="1" applyFill="1" applyBorder="1" applyAlignment="1" applyProtection="1">
      <alignment horizontal="center" vertical="center"/>
      <protection locked="0"/>
    </xf>
    <xf numFmtId="0" fontId="354" fillId="148" borderId="5" xfId="50" applyFont="1" applyFill="1" applyBorder="1" applyAlignment="1">
      <alignment horizontal="center" vertical="center"/>
    </xf>
    <xf numFmtId="0" fontId="787" fillId="155" borderId="0" xfId="0" applyFont="1" applyFill="1" applyAlignment="1">
      <alignment horizontal="left" vertical="center"/>
    </xf>
    <xf numFmtId="0" fontId="788" fillId="19" borderId="0" xfId="0" applyFont="1" applyFill="1" applyAlignment="1">
      <alignment horizontal="right" vertical="center"/>
    </xf>
    <xf numFmtId="240" fontId="15" fillId="2014" borderId="0" xfId="70" applyNumberFormat="1" applyFont="1" applyFill="1" applyAlignment="1">
      <alignment horizontal="center" vertical="center"/>
    </xf>
    <xf numFmtId="0" fontId="573" fillId="3" borderId="4" xfId="48" applyFont="1" applyFill="1" applyBorder="1" applyAlignment="1" applyProtection="1">
      <alignment horizontal="left" vertical="center"/>
      <protection locked="0"/>
    </xf>
    <xf numFmtId="0" fontId="349" fillId="2017" borderId="0" xfId="49" applyFont="1" applyFill="1" applyAlignment="1">
      <alignment horizontal="left"/>
    </xf>
    <xf numFmtId="0" fontId="279" fillId="19" borderId="0" xfId="0" applyFont="1" applyFill="1" applyAlignment="1">
      <alignment vertical="center"/>
    </xf>
    <xf numFmtId="0" fontId="279" fillId="155" borderId="0" xfId="0" applyFont="1" applyFill="1" applyAlignment="1">
      <alignment horizontal="left" vertical="center"/>
    </xf>
    <xf numFmtId="0" fontId="279" fillId="155" borderId="0" xfId="0" applyFont="1" applyFill="1" applyAlignment="1">
      <alignment horizontal="right" vertical="center"/>
    </xf>
    <xf numFmtId="0" fontId="788" fillId="155" borderId="0" xfId="0" applyFont="1" applyFill="1" applyAlignment="1">
      <alignment horizontal="right" vertical="center"/>
    </xf>
    <xf numFmtId="0" fontId="349" fillId="2018" borderId="0" xfId="49" applyFont="1" applyFill="1" applyAlignment="1">
      <alignment horizontal="left"/>
    </xf>
    <xf numFmtId="0" fontId="279" fillId="155" borderId="0" xfId="0" applyFont="1" applyFill="1" applyAlignment="1">
      <alignment vertical="center"/>
    </xf>
    <xf numFmtId="0" fontId="676" fillId="140" borderId="5" xfId="54" applyFont="1" applyFill="1" applyBorder="1" applyAlignment="1">
      <alignment horizontal="center" vertical="center"/>
    </xf>
    <xf numFmtId="0" fontId="676" fillId="140" borderId="0" xfId="54" applyFont="1" applyFill="1" applyAlignment="1">
      <alignment horizontal="center" vertical="center"/>
    </xf>
    <xf numFmtId="0" fontId="676" fillId="140" borderId="4" xfId="54" applyFont="1" applyFill="1" applyBorder="1" applyAlignment="1">
      <alignment horizontal="center" vertical="center"/>
    </xf>
    <xf numFmtId="0" fontId="787" fillId="0" borderId="0" xfId="48" applyFont="1" applyAlignment="1" applyProtection="1">
      <alignment horizontal="right" vertical="center"/>
      <protection locked="0"/>
    </xf>
    <xf numFmtId="0" fontId="147" fillId="0" borderId="0" xfId="48" applyFont="1" applyAlignment="1" applyProtection="1">
      <alignment horizontal="left" vertical="center"/>
      <protection locked="0"/>
    </xf>
    <xf numFmtId="0" fontId="0" fillId="0" borderId="5" xfId="0" applyBorder="1" applyAlignment="1">
      <alignment vertical="center"/>
    </xf>
    <xf numFmtId="0" fontId="788" fillId="19" borderId="0" xfId="0" applyFont="1" applyFill="1" applyAlignment="1">
      <alignment horizontal="left" vertical="center"/>
    </xf>
    <xf numFmtId="0" fontId="788" fillId="155" borderId="0" xfId="0" applyFont="1" applyFill="1" applyAlignment="1">
      <alignment horizontal="left" vertical="center"/>
    </xf>
    <xf numFmtId="0" fontId="170" fillId="3" borderId="0" xfId="0" applyFont="1" applyFill="1" applyAlignment="1">
      <alignment vertical="center"/>
    </xf>
    <xf numFmtId="0" fontId="806" fillId="3" borderId="0" xfId="0" applyFont="1" applyFill="1" applyAlignment="1">
      <alignment horizontal="left" vertical="center"/>
    </xf>
    <xf numFmtId="0" fontId="170" fillId="3" borderId="0" xfId="0" applyFont="1" applyFill="1" applyAlignment="1">
      <alignment horizontal="right" vertical="center"/>
    </xf>
    <xf numFmtId="0" fontId="170" fillId="3" borderId="0" xfId="0" applyFont="1" applyFill="1" applyAlignment="1">
      <alignment horizontal="left" vertical="center"/>
    </xf>
    <xf numFmtId="0" fontId="169" fillId="3" borderId="0" xfId="0" applyFont="1" applyFill="1" applyAlignment="1">
      <alignment horizontal="left" vertical="center"/>
    </xf>
    <xf numFmtId="0" fontId="670" fillId="3" borderId="0" xfId="0" applyFont="1" applyFill="1" applyAlignment="1">
      <alignment horizontal="right" vertical="center"/>
    </xf>
    <xf numFmtId="0" fontId="595" fillId="3" borderId="0" xfId="0" applyFont="1" applyFill="1" applyAlignment="1">
      <alignment vertical="center"/>
    </xf>
    <xf numFmtId="0" fontId="32" fillId="3" borderId="0" xfId="0" applyFont="1" applyFill="1" applyAlignment="1">
      <alignment vertical="center"/>
    </xf>
    <xf numFmtId="0" fontId="809" fillId="3" borderId="0" xfId="0" applyFont="1" applyFill="1" applyAlignment="1">
      <alignment vertical="center"/>
    </xf>
    <xf numFmtId="0" fontId="46" fillId="3" borderId="0" xfId="48" applyFont="1" applyFill="1" applyAlignment="1">
      <alignment horizontal="left" vertical="center"/>
    </xf>
    <xf numFmtId="0" fontId="11" fillId="3" borderId="0" xfId="0" applyFont="1" applyFill="1" applyAlignment="1">
      <alignment horizontal="right" vertical="center"/>
    </xf>
    <xf numFmtId="49" fontId="0" fillId="73" borderId="579" xfId="0" applyNumberFormat="1" applyFill="1" applyBorder="1" applyAlignment="1">
      <alignment horizontal="left" vertical="center"/>
    </xf>
    <xf numFmtId="0" fontId="169" fillId="3" borderId="0" xfId="0" applyFont="1" applyFill="1" applyAlignment="1">
      <alignment horizontal="right" vertical="center"/>
    </xf>
    <xf numFmtId="0" fontId="12" fillId="73" borderId="579" xfId="0" applyFont="1" applyFill="1" applyBorder="1" applyAlignment="1">
      <alignment horizontal="center" vertical="center"/>
    </xf>
    <xf numFmtId="0" fontId="595" fillId="3" borderId="0" xfId="0" applyFont="1" applyFill="1" applyAlignment="1">
      <alignment horizontal="right" vertical="center"/>
    </xf>
    <xf numFmtId="0" fontId="692" fillId="3" borderId="0" xfId="0" applyFont="1" applyFill="1" applyAlignment="1">
      <alignment vertical="center"/>
    </xf>
    <xf numFmtId="0" fontId="0" fillId="12" borderId="0" xfId="0" applyFill="1" applyAlignment="1">
      <alignment vertical="center"/>
    </xf>
    <xf numFmtId="0" fontId="201" fillId="3" borderId="0" xfId="0" applyFont="1" applyFill="1" applyAlignment="1">
      <alignment horizontal="left" vertical="center"/>
    </xf>
    <xf numFmtId="0" fontId="310" fillId="3" borderId="0" xfId="0" applyFont="1" applyFill="1" applyAlignment="1">
      <alignment vertical="center"/>
    </xf>
    <xf numFmtId="0" fontId="810" fillId="3" borderId="0" xfId="0" applyFont="1" applyFill="1" applyAlignment="1">
      <alignment horizontal="left" vertical="center"/>
    </xf>
    <xf numFmtId="0" fontId="691" fillId="3" borderId="0" xfId="0" applyFont="1" applyFill="1" applyAlignment="1">
      <alignment vertical="center"/>
    </xf>
    <xf numFmtId="0" fontId="594" fillId="3" borderId="0" xfId="0" applyFont="1" applyFill="1" applyAlignment="1">
      <alignment vertical="center"/>
    </xf>
    <xf numFmtId="0" fontId="170" fillId="3" borderId="0" xfId="0" applyFont="1" applyFill="1"/>
    <xf numFmtId="0" fontId="170" fillId="3" borderId="0" xfId="0" applyFont="1" applyFill="1" applyAlignment="1">
      <alignment horizontal="left" vertical="center" indent="1"/>
    </xf>
    <xf numFmtId="0" fontId="170" fillId="3" borderId="0" xfId="0" applyFont="1" applyFill="1" applyAlignment="1">
      <alignment horizontal="left" vertical="center" indent="2"/>
    </xf>
    <xf numFmtId="0" fontId="806" fillId="3" borderId="0" xfId="0" applyFont="1" applyFill="1" applyAlignment="1">
      <alignment horizontal="left" vertical="center" indent="2"/>
    </xf>
    <xf numFmtId="0" fontId="40" fillId="58" borderId="0" xfId="13" applyFont="1" applyFill="1" applyAlignment="1" applyProtection="1">
      <alignment horizontal="center" vertical="center"/>
      <protection locked="0"/>
    </xf>
    <xf numFmtId="0" fontId="145" fillId="3" borderId="0" xfId="8" applyFont="1" applyFill="1" applyAlignment="1">
      <alignment horizontal="left" vertical="center"/>
    </xf>
    <xf numFmtId="0" fontId="148" fillId="123" borderId="409" xfId="48" quotePrefix="1" applyFont="1" applyFill="1" applyBorder="1" applyAlignment="1">
      <alignment horizontal="center" vertical="center"/>
    </xf>
    <xf numFmtId="0" fontId="756" fillId="2019" borderId="83" xfId="49" applyFont="1" applyFill="1" applyBorder="1" applyAlignment="1">
      <alignment horizontal="center" vertical="center"/>
    </xf>
    <xf numFmtId="0" fontId="756" fillId="2019" borderId="299" xfId="49" applyFont="1" applyFill="1" applyBorder="1" applyAlignment="1">
      <alignment horizontal="center" vertical="center"/>
    </xf>
    <xf numFmtId="0" fontId="4" fillId="150" borderId="0" xfId="51" applyFill="1"/>
    <xf numFmtId="0" fontId="350" fillId="150" borderId="0" xfId="51" applyFont="1" applyFill="1"/>
    <xf numFmtId="0" fontId="71" fillId="150" borderId="0" xfId="51" applyFont="1" applyFill="1"/>
    <xf numFmtId="0" fontId="594" fillId="150" borderId="0" xfId="51" applyFont="1" applyFill="1" applyAlignment="1">
      <alignment horizontal="left" vertical="center"/>
    </xf>
    <xf numFmtId="0" fontId="587" fillId="2020" borderId="0" xfId="52" applyFont="1" applyFill="1" applyAlignment="1">
      <alignment horizontal="center" vertical="center"/>
    </xf>
    <xf numFmtId="0" fontId="554" fillId="150" borderId="0" xfId="48" applyFont="1" applyFill="1" applyAlignment="1">
      <alignment horizontal="center" vertical="center" wrapText="1"/>
    </xf>
    <xf numFmtId="0" fontId="813" fillId="150" borderId="0" xfId="48" applyFont="1" applyFill="1" applyAlignment="1">
      <alignment horizontal="left" vertical="center"/>
    </xf>
    <xf numFmtId="0" fontId="32" fillId="150" borderId="0" xfId="0" applyFont="1" applyFill="1" applyAlignment="1">
      <alignment horizontal="left" vertical="center"/>
    </xf>
    <xf numFmtId="0" fontId="46" fillId="150" borderId="0" xfId="51" applyFont="1" applyFill="1" applyAlignment="1">
      <alignment horizontal="left" vertical="center"/>
    </xf>
    <xf numFmtId="0" fontId="4" fillId="3" borderId="0" xfId="51" applyFill="1"/>
    <xf numFmtId="0" fontId="168" fillId="17" borderId="424" xfId="48" applyFont="1" applyFill="1" applyBorder="1" applyAlignment="1" applyProtection="1">
      <alignment horizontal="center" vertical="center" textRotation="90"/>
      <protection locked="0"/>
    </xf>
    <xf numFmtId="0" fontId="814" fillId="123" borderId="7" xfId="54" applyFont="1" applyFill="1" applyBorder="1" applyAlignment="1">
      <alignment horizontal="left" vertical="center"/>
    </xf>
    <xf numFmtId="0" fontId="814" fillId="123" borderId="7" xfId="54" applyFont="1" applyFill="1" applyBorder="1" applyAlignment="1">
      <alignment horizontal="center" vertical="center"/>
    </xf>
    <xf numFmtId="1" fontId="814" fillId="123" borderId="7" xfId="54" applyNumberFormat="1" applyFont="1" applyFill="1" applyBorder="1" applyAlignment="1">
      <alignment horizontal="center" vertical="center"/>
    </xf>
    <xf numFmtId="0" fontId="815" fillId="123" borderId="7" xfId="48" applyFont="1" applyFill="1" applyBorder="1" applyAlignment="1">
      <alignment horizontal="left" vertical="center" wrapText="1"/>
    </xf>
    <xf numFmtId="0" fontId="157" fillId="123" borderId="7" xfId="48" applyFont="1" applyFill="1" applyBorder="1" applyAlignment="1">
      <alignment horizontal="center" vertical="center" wrapText="1"/>
    </xf>
    <xf numFmtId="0" fontId="550" fillId="123" borderId="5" xfId="53" applyFont="1" applyFill="1" applyBorder="1" applyAlignment="1">
      <alignment horizontal="center" vertical="center"/>
    </xf>
    <xf numFmtId="0" fontId="814" fillId="123" borderId="0" xfId="54" applyFont="1" applyFill="1" applyAlignment="1">
      <alignment horizontal="right" vertical="center"/>
    </xf>
    <xf numFmtId="0" fontId="814" fillId="123" borderId="0" xfId="54" applyFont="1" applyFill="1" applyAlignment="1">
      <alignment horizontal="center" vertical="center"/>
    </xf>
    <xf numFmtId="1" fontId="814" fillId="123" borderId="0" xfId="54" applyNumberFormat="1" applyFont="1" applyFill="1" applyAlignment="1">
      <alignment horizontal="center" vertical="center"/>
    </xf>
    <xf numFmtId="0" fontId="817" fillId="123" borderId="0" xfId="0" applyFont="1" applyFill="1" applyAlignment="1">
      <alignment horizontal="center" vertical="center" wrapText="1"/>
    </xf>
    <xf numFmtId="0" fontId="174" fillId="123" borderId="0" xfId="48" applyFont="1" applyFill="1" applyAlignment="1">
      <alignment horizontal="center" vertical="center" wrapText="1"/>
    </xf>
    <xf numFmtId="0" fontId="814" fillId="158" borderId="0" xfId="53" applyFont="1" applyFill="1" applyAlignment="1">
      <alignment horizontal="left" vertical="center"/>
    </xf>
    <xf numFmtId="0" fontId="814" fillId="158" borderId="0" xfId="53" applyFont="1" applyFill="1" applyAlignment="1">
      <alignment horizontal="right" vertical="center"/>
    </xf>
    <xf numFmtId="1" fontId="814" fillId="158" borderId="0" xfId="53" applyNumberFormat="1" applyFont="1" applyFill="1" applyAlignment="1">
      <alignment horizontal="right" vertical="center"/>
    </xf>
    <xf numFmtId="0" fontId="168" fillId="3" borderId="0" xfId="48" applyFont="1" applyFill="1" applyAlignment="1">
      <alignment horizontal="left" vertical="center"/>
    </xf>
    <xf numFmtId="0" fontId="587" fillId="3" borderId="0" xfId="48" applyFont="1" applyFill="1" applyAlignment="1">
      <alignment horizontal="right" vertical="center"/>
    </xf>
    <xf numFmtId="0" fontId="54" fillId="3" borderId="0" xfId="48" applyFont="1" applyFill="1" applyAlignment="1">
      <alignment vertical="center"/>
    </xf>
    <xf numFmtId="0" fontId="147" fillId="3" borderId="0" xfId="52" applyFont="1" applyFill="1" applyAlignment="1">
      <alignment horizontal="right" vertical="center"/>
    </xf>
    <xf numFmtId="0" fontId="793" fillId="3" borderId="0" xfId="52" applyFont="1" applyFill="1" applyAlignment="1">
      <alignment vertical="center"/>
    </xf>
    <xf numFmtId="0" fontId="174" fillId="3" borderId="0" xfId="36" applyFont="1" applyFill="1" applyAlignment="1">
      <alignment horizontal="left" vertical="center"/>
    </xf>
    <xf numFmtId="0" fontId="675" fillId="3" borderId="294" xfId="0" applyFont="1" applyFill="1" applyBorder="1" applyAlignment="1">
      <alignment horizontal="right" vertical="center"/>
    </xf>
    <xf numFmtId="0" fontId="389" fillId="3" borderId="0" xfId="55" applyFont="1" applyFill="1" applyAlignment="1">
      <alignment horizontal="left" vertical="center"/>
    </xf>
    <xf numFmtId="0" fontId="40" fillId="3" borderId="0" xfId="52" applyFont="1" applyFill="1" applyAlignment="1">
      <alignment vertical="center"/>
    </xf>
    <xf numFmtId="0" fontId="174" fillId="3" borderId="0" xfId="51" applyFont="1" applyFill="1" applyAlignment="1">
      <alignment horizontal="right" vertical="top"/>
    </xf>
    <xf numFmtId="0" fontId="368" fillId="3" borderId="0" xfId="55" applyFont="1" applyFill="1" applyAlignment="1">
      <alignment horizontal="right" vertical="center"/>
    </xf>
    <xf numFmtId="1" fontId="32" fillId="11" borderId="0" xfId="48" applyNumberFormat="1" applyFont="1" applyFill="1" applyAlignment="1" applyProtection="1">
      <alignment horizontal="center" vertical="center"/>
      <protection hidden="1"/>
    </xf>
    <xf numFmtId="0" fontId="147" fillId="3" borderId="294" xfId="55" applyFont="1" applyFill="1" applyBorder="1" applyAlignment="1">
      <alignment vertical="center" wrapText="1"/>
    </xf>
    <xf numFmtId="0" fontId="107" fillId="2" borderId="0" xfId="48" applyFont="1" applyFill="1" applyAlignment="1">
      <alignment horizontal="center" vertical="center"/>
    </xf>
    <xf numFmtId="0" fontId="389" fillId="2" borderId="0" xfId="48" applyFont="1" applyFill="1" applyAlignment="1">
      <alignment horizontal="left" vertical="center"/>
    </xf>
    <xf numFmtId="0" fontId="56" fillId="3" borderId="0" xfId="0" applyFont="1" applyFill="1" applyAlignment="1">
      <alignment horizontal="center"/>
    </xf>
    <xf numFmtId="0" fontId="56" fillId="3" borderId="294" xfId="0" applyFont="1" applyFill="1" applyBorder="1" applyAlignment="1">
      <alignment horizontal="center"/>
    </xf>
    <xf numFmtId="200" fontId="818" fillId="3" borderId="0" xfId="0" applyNumberFormat="1" applyFont="1" applyFill="1" applyAlignment="1">
      <alignment horizontal="right" vertical="center"/>
    </xf>
    <xf numFmtId="200" fontId="5" fillId="3" borderId="0" xfId="0" applyNumberFormat="1" applyFont="1" applyFill="1" applyAlignment="1">
      <alignment horizontal="right" vertical="center"/>
    </xf>
    <xf numFmtId="4" fontId="0" fillId="5" borderId="0" xfId="0" applyNumberFormat="1" applyFill="1" applyAlignment="1">
      <alignment horizontal="left" vertical="center"/>
    </xf>
    <xf numFmtId="170" fontId="784" fillId="134" borderId="0" xfId="55" applyNumberFormat="1" applyFont="1" applyFill="1" applyAlignment="1">
      <alignment horizontal="center" vertical="center"/>
    </xf>
    <xf numFmtId="0" fontId="90" fillId="3" borderId="0" xfId="51" applyFont="1" applyFill="1" applyAlignment="1">
      <alignment horizontal="left" vertical="center"/>
    </xf>
    <xf numFmtId="0" fontId="4" fillId="3" borderId="0" xfId="51" applyFill="1" applyAlignment="1">
      <alignment vertical="top" wrapText="1"/>
    </xf>
    <xf numFmtId="0" fontId="394" fillId="3" borderId="0" xfId="48" applyFont="1" applyFill="1" applyAlignment="1">
      <alignment horizontal="right" vertical="center"/>
    </xf>
    <xf numFmtId="170" fontId="594" fillId="11" borderId="0" xfId="48" applyNumberFormat="1" applyFont="1" applyFill="1" applyAlignment="1">
      <alignment horizontal="center" vertical="center"/>
    </xf>
    <xf numFmtId="0" fontId="89" fillId="11" borderId="294" xfId="48" applyFont="1" applyFill="1" applyBorder="1" applyAlignment="1">
      <alignment horizontal="left" vertical="center"/>
    </xf>
    <xf numFmtId="0" fontId="716" fillId="22" borderId="580" xfId="53" applyFont="1" applyFill="1" applyBorder="1" applyAlignment="1">
      <alignment horizontal="left" vertical="center"/>
    </xf>
    <xf numFmtId="0" fontId="716" fillId="22" borderId="580" xfId="53" applyFont="1" applyFill="1" applyBorder="1" applyAlignment="1">
      <alignment horizontal="right" vertical="center"/>
    </xf>
    <xf numFmtId="1" fontId="716" fillId="22" borderId="580" xfId="53" applyNumberFormat="1" applyFont="1" applyFill="1" applyBorder="1" applyAlignment="1">
      <alignment horizontal="right" vertical="center"/>
    </xf>
    <xf numFmtId="0" fontId="819" fillId="12" borderId="580" xfId="0" applyFont="1" applyFill="1" applyBorder="1" applyAlignment="1">
      <alignment horizontal="left" vertical="center"/>
    </xf>
    <xf numFmtId="0" fontId="819" fillId="12" borderId="580" xfId="49" applyFont="1" applyFill="1" applyBorder="1" applyAlignment="1">
      <alignment horizontal="right" vertical="center"/>
    </xf>
    <xf numFmtId="0" fontId="820" fillId="12" borderId="580" xfId="0" applyFont="1" applyFill="1" applyBorder="1" applyAlignment="1">
      <alignment horizontal="right" vertical="center"/>
    </xf>
    <xf numFmtId="0" fontId="790" fillId="2" borderId="580" xfId="0" applyFont="1" applyFill="1" applyBorder="1" applyAlignment="1">
      <alignment horizontal="left" vertical="center"/>
    </xf>
    <xf numFmtId="0" fontId="670" fillId="3" borderId="580" xfId="0" applyFont="1" applyFill="1" applyBorder="1" applyAlignment="1">
      <alignment vertical="center"/>
    </xf>
    <xf numFmtId="0" fontId="0" fillId="3" borderId="580" xfId="0" applyFill="1" applyBorder="1"/>
    <xf numFmtId="0" fontId="791" fillId="3" borderId="581" xfId="0" applyFont="1" applyFill="1" applyBorder="1" applyAlignment="1">
      <alignment horizontal="right" vertical="center"/>
    </xf>
    <xf numFmtId="0" fontId="821" fillId="123" borderId="83" xfId="53" applyFont="1" applyFill="1" applyBorder="1" applyAlignment="1">
      <alignment horizontal="left" vertical="center"/>
    </xf>
    <xf numFmtId="1" fontId="821" fillId="123" borderId="83" xfId="53" applyNumberFormat="1" applyFont="1" applyFill="1" applyBorder="1" applyAlignment="1">
      <alignment horizontal="left" vertical="center"/>
    </xf>
    <xf numFmtId="0" fontId="46" fillId="2017" borderId="83" xfId="49" applyFont="1" applyFill="1" applyBorder="1" applyAlignment="1">
      <alignment horizontal="center" vertical="center"/>
    </xf>
    <xf numFmtId="0" fontId="158" fillId="2012" borderId="567" xfId="49" applyFont="1" applyFill="1" applyBorder="1" applyAlignment="1">
      <alignment horizontal="center" vertical="center"/>
    </xf>
    <xf numFmtId="0" fontId="756" fillId="2019" borderId="582" xfId="49" applyFont="1" applyFill="1" applyBorder="1" applyAlignment="1">
      <alignment horizontal="center" vertical="center"/>
    </xf>
    <xf numFmtId="0" fontId="157" fillId="158" borderId="464" xfId="48" applyFont="1" applyFill="1" applyBorder="1" applyAlignment="1" applyProtection="1">
      <alignment horizontal="center"/>
      <protection locked="0"/>
    </xf>
    <xf numFmtId="0" fontId="790" fillId="158" borderId="0" xfId="48" applyFont="1" applyFill="1" applyAlignment="1" applyProtection="1">
      <alignment horizontal="center"/>
      <protection locked="0"/>
    </xf>
    <xf numFmtId="0" fontId="349" fillId="12" borderId="0" xfId="48" applyFont="1" applyFill="1" applyAlignment="1" applyProtection="1">
      <alignment horizontal="center" vertical="center"/>
      <protection hidden="1"/>
    </xf>
    <xf numFmtId="0" fontId="46" fillId="3" borderId="356" xfId="48" applyFont="1" applyFill="1" applyBorder="1" applyAlignment="1">
      <alignment horizontal="center"/>
    </xf>
    <xf numFmtId="199" fontId="157" fillId="2022" borderId="0" xfId="48" applyNumberFormat="1" applyFont="1" applyFill="1" applyAlignment="1">
      <alignment horizontal="center" vertical="center"/>
    </xf>
    <xf numFmtId="199" fontId="157" fillId="2022" borderId="356" xfId="48" applyNumberFormat="1" applyFont="1" applyFill="1" applyBorder="1" applyAlignment="1">
      <alignment horizontal="center" vertical="center"/>
    </xf>
    <xf numFmtId="0" fontId="157" fillId="158" borderId="127" xfId="48" applyFont="1" applyFill="1" applyBorder="1" applyAlignment="1" applyProtection="1">
      <alignment horizontal="center" vertical="center"/>
      <protection hidden="1"/>
    </xf>
    <xf numFmtId="0" fontId="157" fillId="158" borderId="567" xfId="36" applyFont="1" applyFill="1" applyBorder="1" applyAlignment="1">
      <alignment horizontal="center" vertical="center"/>
    </xf>
    <xf numFmtId="0" fontId="174" fillId="12" borderId="567" xfId="71" applyFont="1" applyFill="1" applyBorder="1" applyAlignment="1">
      <alignment horizontal="center" vertical="center"/>
    </xf>
    <xf numFmtId="0" fontId="46" fillId="3" borderId="132" xfId="55" applyFont="1" applyFill="1" applyBorder="1" applyAlignment="1">
      <alignment horizontal="center" vertical="center"/>
    </xf>
    <xf numFmtId="0" fontId="24" fillId="3" borderId="567" xfId="72" applyFont="1" applyFill="1" applyBorder="1" applyAlignment="1">
      <alignment horizontal="right" vertical="center"/>
    </xf>
    <xf numFmtId="188" fontId="34" fillId="3" borderId="132" xfId="48" applyNumberFormat="1" applyFont="1" applyFill="1" applyBorder="1" applyAlignment="1">
      <alignment horizontal="left" vertical="center"/>
    </xf>
    <xf numFmtId="170" fontId="693" fillId="2023" borderId="585" xfId="48" applyNumberFormat="1" applyFont="1" applyFill="1" applyBorder="1" applyAlignment="1">
      <alignment horizontal="center" vertical="center"/>
    </xf>
    <xf numFmtId="1" fontId="693" fillId="2" borderId="586" xfId="48" applyNumberFormat="1" applyFont="1" applyFill="1" applyBorder="1" applyAlignment="1">
      <alignment horizontal="center" vertical="center"/>
    </xf>
    <xf numFmtId="0" fontId="174" fillId="12" borderId="0" xfId="71" applyFont="1" applyFill="1" applyAlignment="1">
      <alignment horizontal="center" vertical="center"/>
    </xf>
    <xf numFmtId="1" fontId="672" fillId="2" borderId="586" xfId="48" applyNumberFormat="1" applyFont="1" applyFill="1" applyBorder="1" applyAlignment="1">
      <alignment horizontal="center" vertical="center"/>
    </xf>
    <xf numFmtId="0" fontId="792" fillId="3" borderId="573" xfId="48" applyFont="1" applyFill="1" applyBorder="1" applyAlignment="1" applyProtection="1">
      <alignment horizontal="center" vertical="center"/>
      <protection hidden="1"/>
    </xf>
    <xf numFmtId="170" fontId="824" fillId="2" borderId="587" xfId="48" applyNumberFormat="1" applyFont="1" applyFill="1" applyBorder="1" applyAlignment="1">
      <alignment horizontal="center" vertical="center"/>
    </xf>
    <xf numFmtId="0" fontId="107" fillId="3" borderId="583" xfId="48" applyFont="1" applyFill="1" applyBorder="1" applyAlignment="1" applyProtection="1">
      <alignment horizontal="right" vertical="center"/>
      <protection hidden="1"/>
    </xf>
    <xf numFmtId="0" fontId="107" fillId="0" borderId="356" xfId="48" applyFont="1" applyBorder="1" applyAlignment="1">
      <alignment horizontal="right" vertical="center"/>
    </xf>
    <xf numFmtId="167" fontId="147" fillId="2024" borderId="0" xfId="48" applyNumberFormat="1" applyFont="1" applyFill="1" applyAlignment="1">
      <alignment horizontal="center" vertical="center"/>
    </xf>
    <xf numFmtId="2" fontId="4" fillId="2025" borderId="532" xfId="73" applyNumberFormat="1" applyFill="1" applyBorder="1" applyAlignment="1" applyProtection="1">
      <alignment horizontal="center" vertical="center"/>
      <protection locked="0"/>
    </xf>
    <xf numFmtId="165" fontId="825" fillId="12" borderId="0" xfId="48" applyNumberFormat="1" applyFont="1" applyFill="1" applyAlignment="1">
      <alignment horizontal="center" vertical="center"/>
    </xf>
    <xf numFmtId="241" fontId="147" fillId="2026" borderId="588" xfId="48" applyNumberFormat="1" applyFont="1" applyFill="1" applyBorder="1" applyAlignment="1">
      <alignment horizontal="center" vertical="center"/>
    </xf>
    <xf numFmtId="1" fontId="157" fillId="2026" borderId="589" xfId="48" applyNumberFormat="1" applyFont="1" applyFill="1" applyBorder="1" applyAlignment="1">
      <alignment horizontal="left" vertical="center"/>
    </xf>
    <xf numFmtId="165" fontId="147" fillId="130" borderId="0" xfId="48" applyNumberFormat="1" applyFont="1" applyFill="1" applyAlignment="1">
      <alignment horizontal="center" vertical="center"/>
    </xf>
    <xf numFmtId="1" fontId="15" fillId="2027" borderId="590" xfId="48" applyNumberFormat="1" applyFont="1" applyFill="1" applyBorder="1" applyAlignment="1">
      <alignment horizontal="center" vertical="center"/>
    </xf>
    <xf numFmtId="1" fontId="693" fillId="2" borderId="591" xfId="48" applyNumberFormat="1" applyFont="1" applyFill="1" applyBorder="1" applyAlignment="1">
      <alignment horizontal="center" vertical="center"/>
    </xf>
    <xf numFmtId="0" fontId="107" fillId="3" borderId="464" xfId="48" applyFont="1" applyFill="1" applyBorder="1" applyAlignment="1" applyProtection="1">
      <alignment horizontal="right" vertical="center"/>
      <protection hidden="1"/>
    </xf>
    <xf numFmtId="2" fontId="4" fillId="2025" borderId="356" xfId="73" applyNumberFormat="1" applyFill="1" applyBorder="1" applyAlignment="1" applyProtection="1">
      <alignment horizontal="center" vertical="center"/>
      <protection locked="0"/>
    </xf>
    <xf numFmtId="241" fontId="147" fillId="2026" borderId="592" xfId="48" applyNumberFormat="1" applyFont="1" applyFill="1" applyBorder="1" applyAlignment="1">
      <alignment horizontal="center" vertical="center"/>
    </xf>
    <xf numFmtId="0" fontId="157" fillId="2026" borderId="593" xfId="48" applyFont="1" applyFill="1" applyBorder="1" applyAlignment="1">
      <alignment horizontal="left" vertical="center"/>
    </xf>
    <xf numFmtId="1" fontId="15" fillId="2027" borderId="594" xfId="48" applyNumberFormat="1" applyFont="1" applyFill="1" applyBorder="1" applyAlignment="1">
      <alignment horizontal="center" vertical="center"/>
    </xf>
    <xf numFmtId="241" fontId="147" fillId="3" borderId="592" xfId="48" applyNumberFormat="1" applyFont="1" applyFill="1" applyBorder="1" applyAlignment="1">
      <alignment horizontal="center" vertical="center"/>
    </xf>
    <xf numFmtId="0" fontId="157" fillId="3" borderId="593" xfId="48" applyFont="1" applyFill="1" applyBorder="1" applyAlignment="1">
      <alignment horizontal="left" vertical="center"/>
    </xf>
    <xf numFmtId="1" fontId="15" fillId="2028" borderId="294" xfId="48" applyNumberFormat="1" applyFont="1" applyFill="1" applyBorder="1" applyAlignment="1">
      <alignment horizontal="center" vertical="center"/>
    </xf>
    <xf numFmtId="170" fontId="693" fillId="2023" borderId="127" xfId="48" applyNumberFormat="1" applyFont="1" applyFill="1" applyBorder="1" applyAlignment="1">
      <alignment horizontal="center" vertical="center"/>
    </xf>
    <xf numFmtId="1" fontId="693" fillId="2" borderId="595" xfId="48" applyNumberFormat="1" applyFont="1" applyFill="1" applyBorder="1" applyAlignment="1">
      <alignment horizontal="center" vertical="center"/>
    </xf>
    <xf numFmtId="1" fontId="672" fillId="2" borderId="567" xfId="48" applyNumberFormat="1" applyFont="1" applyFill="1" applyBorder="1" applyAlignment="1">
      <alignment horizontal="center" vertical="center"/>
    </xf>
    <xf numFmtId="170" fontId="824" fillId="2" borderId="132" xfId="48" applyNumberFormat="1" applyFont="1" applyFill="1" applyBorder="1" applyAlignment="1">
      <alignment horizontal="center" vertical="center"/>
    </xf>
    <xf numFmtId="1" fontId="15" fillId="2027" borderId="596" xfId="48" applyNumberFormat="1" applyFont="1" applyFill="1" applyBorder="1" applyAlignment="1">
      <alignment horizontal="center" vertical="center"/>
    </xf>
    <xf numFmtId="0" fontId="56" fillId="12" borderId="0" xfId="0" applyFont="1" applyFill="1" applyAlignment="1">
      <alignment vertical="center"/>
    </xf>
    <xf numFmtId="0" fontId="1" fillId="12" borderId="0" xfId="0" applyFont="1" applyFill="1" applyAlignment="1">
      <alignment horizontal="right" vertical="center"/>
    </xf>
    <xf numFmtId="0" fontId="44" fillId="12" borderId="0" xfId="0" applyFont="1" applyFill="1" applyAlignment="1">
      <alignment horizontal="center" vertical="center"/>
    </xf>
    <xf numFmtId="200" fontId="46" fillId="12" borderId="0" xfId="48" applyNumberFormat="1" applyFont="1" applyFill="1" applyAlignment="1">
      <alignment horizontal="center" vertical="center"/>
    </xf>
    <xf numFmtId="0" fontId="46" fillId="12" borderId="0" xfId="55" applyFont="1" applyFill="1" applyAlignment="1">
      <alignment horizontal="right" vertical="center"/>
    </xf>
    <xf numFmtId="200" fontId="46" fillId="12" borderId="567" xfId="48" applyNumberFormat="1" applyFont="1" applyFill="1" applyBorder="1" applyAlignment="1">
      <alignment horizontal="center" vertical="center"/>
    </xf>
    <xf numFmtId="200" fontId="46" fillId="12" borderId="294" xfId="48" applyNumberFormat="1" applyFont="1" applyFill="1" applyBorder="1" applyAlignment="1">
      <alignment horizontal="center" vertical="center"/>
    </xf>
    <xf numFmtId="0" fontId="792" fillId="44" borderId="573" xfId="48" applyFont="1" applyFill="1" applyBorder="1" applyAlignment="1" applyProtection="1">
      <alignment horizontal="center" vertical="center"/>
      <protection hidden="1"/>
    </xf>
    <xf numFmtId="0" fontId="792" fillId="130" borderId="573" xfId="48" applyFont="1" applyFill="1" applyBorder="1" applyAlignment="1" applyProtection="1">
      <alignment horizontal="center" vertical="center"/>
      <protection hidden="1"/>
    </xf>
    <xf numFmtId="0" fontId="826" fillId="12" borderId="573" xfId="48" applyFont="1" applyFill="1" applyBorder="1" applyAlignment="1" applyProtection="1">
      <alignment horizontal="center" vertical="center"/>
      <protection hidden="1"/>
    </xf>
    <xf numFmtId="0" fontId="24" fillId="139" borderId="573" xfId="48" applyFont="1" applyFill="1" applyBorder="1" applyAlignment="1" applyProtection="1">
      <alignment horizontal="center" vertical="center"/>
      <protection hidden="1"/>
    </xf>
    <xf numFmtId="0" fontId="24" fillId="44" borderId="573" xfId="48" applyFont="1" applyFill="1" applyBorder="1" applyAlignment="1" applyProtection="1">
      <alignment horizontal="center" vertical="center"/>
      <protection hidden="1"/>
    </xf>
    <xf numFmtId="0" fontId="792" fillId="7" borderId="573" xfId="48" applyFont="1" applyFill="1" applyBorder="1" applyAlignment="1" applyProtection="1">
      <alignment horizontal="center" vertical="center"/>
      <protection hidden="1"/>
    </xf>
    <xf numFmtId="0" fontId="390" fillId="2029" borderId="573" xfId="48" applyFont="1" applyFill="1" applyBorder="1" applyAlignment="1" applyProtection="1">
      <alignment horizontal="center" vertical="center"/>
      <protection hidden="1"/>
    </xf>
    <xf numFmtId="0" fontId="390" fillId="2029" borderId="597" xfId="48" applyFont="1" applyFill="1" applyBorder="1" applyAlignment="1" applyProtection="1">
      <alignment horizontal="center" vertical="center"/>
      <protection hidden="1"/>
    </xf>
    <xf numFmtId="0" fontId="24" fillId="2030" borderId="573" xfId="48" applyFont="1" applyFill="1" applyBorder="1" applyAlignment="1" applyProtection="1">
      <alignment horizontal="center" vertical="center"/>
      <protection hidden="1"/>
    </xf>
    <xf numFmtId="171" fontId="827" fillId="5" borderId="597" xfId="0" applyNumberFormat="1" applyFont="1" applyFill="1" applyBorder="1" applyAlignment="1">
      <alignment horizontal="center" vertical="center"/>
    </xf>
    <xf numFmtId="171" fontId="827" fillId="5" borderId="575" xfId="0" applyNumberFormat="1" applyFont="1" applyFill="1" applyBorder="1" applyAlignment="1">
      <alignment horizontal="center" vertical="center"/>
    </xf>
    <xf numFmtId="0" fontId="827" fillId="5" borderId="575" xfId="0" applyFont="1" applyFill="1" applyBorder="1" applyAlignment="1">
      <alignment horizontal="center" vertical="center"/>
    </xf>
    <xf numFmtId="182" fontId="827" fillId="5" borderId="575" xfId="0" applyNumberFormat="1" applyFont="1" applyFill="1" applyBorder="1" applyAlignment="1">
      <alignment horizontal="center" vertical="center"/>
    </xf>
    <xf numFmtId="182" fontId="827" fillId="5" borderId="573" xfId="0" applyNumberFormat="1" applyFont="1" applyFill="1" applyBorder="1" applyAlignment="1">
      <alignment horizontal="center" vertical="center"/>
    </xf>
    <xf numFmtId="182" fontId="827" fillId="5" borderId="101" xfId="0" applyNumberFormat="1" applyFont="1" applyFill="1" applyBorder="1" applyAlignment="1">
      <alignment horizontal="center" vertical="center"/>
    </xf>
    <xf numFmtId="0" fontId="693" fillId="2" borderId="573" xfId="48" applyFont="1" applyFill="1" applyBorder="1" applyAlignment="1">
      <alignment horizontal="left" vertical="center"/>
    </xf>
    <xf numFmtId="1" fontId="90" fillId="6" borderId="573" xfId="48" applyNumberFormat="1" applyFont="1" applyFill="1" applyBorder="1" applyAlignment="1" applyProtection="1">
      <alignment horizontal="center" vertical="center"/>
      <protection hidden="1"/>
    </xf>
    <xf numFmtId="1" fontId="90" fillId="6" borderId="573" xfId="48" applyNumberFormat="1" applyFont="1" applyFill="1" applyBorder="1" applyAlignment="1" applyProtection="1">
      <alignment horizontal="left" vertical="center"/>
      <protection hidden="1"/>
    </xf>
    <xf numFmtId="1" fontId="828" fillId="2031" borderId="597" xfId="48" applyNumberFormat="1" applyFont="1" applyFill="1" applyBorder="1" applyAlignment="1" applyProtection="1">
      <alignment horizontal="left" vertical="center"/>
      <protection hidden="1"/>
    </xf>
    <xf numFmtId="1" fontId="828" fillId="2031" borderId="573" xfId="48" applyNumberFormat="1" applyFont="1" applyFill="1" applyBorder="1" applyAlignment="1" applyProtection="1">
      <alignment horizontal="left" vertical="center"/>
      <protection hidden="1"/>
    </xf>
    <xf numFmtId="182" fontId="827" fillId="5" borderId="598" xfId="0" applyNumberFormat="1" applyFont="1" applyFill="1" applyBorder="1" applyAlignment="1">
      <alignment horizontal="center" vertical="center"/>
    </xf>
    <xf numFmtId="0" fontId="829" fillId="123" borderId="101" xfId="47" applyFont="1" applyFill="1" applyBorder="1" applyAlignment="1">
      <alignment horizontal="center" vertical="center"/>
    </xf>
    <xf numFmtId="0" fontId="829" fillId="123" borderId="533" xfId="47" applyFont="1" applyFill="1" applyBorder="1" applyAlignment="1">
      <alignment horizontal="center" vertical="center"/>
    </xf>
    <xf numFmtId="0" fontId="830" fillId="123" borderId="567" xfId="48" quotePrefix="1" applyFont="1" applyFill="1" applyBorder="1" applyAlignment="1">
      <alignment horizontal="center" vertical="center"/>
    </xf>
    <xf numFmtId="0" fontId="830" fillId="123" borderId="568" xfId="48" quotePrefix="1" applyFont="1" applyFill="1" applyBorder="1" applyAlignment="1">
      <alignment horizontal="center" vertical="center"/>
    </xf>
    <xf numFmtId="0" fontId="147" fillId="68" borderId="5" xfId="53" applyFont="1" applyFill="1" applyBorder="1" applyAlignment="1">
      <alignment horizontal="center" vertical="center"/>
    </xf>
    <xf numFmtId="0" fontId="831" fillId="2032" borderId="599" xfId="53" applyFont="1" applyFill="1" applyBorder="1" applyAlignment="1">
      <alignment horizontal="right" vertical="center"/>
    </xf>
    <xf numFmtId="0" fontId="831" fillId="2032" borderId="600" xfId="53" applyFont="1" applyFill="1" applyBorder="1" applyAlignment="1">
      <alignment horizontal="right" vertical="center"/>
    </xf>
    <xf numFmtId="0" fontId="831" fillId="2032" borderId="600" xfId="53" applyFont="1" applyFill="1" applyBorder="1" applyAlignment="1">
      <alignment horizontal="left" vertical="center"/>
    </xf>
    <xf numFmtId="1" fontId="831" fillId="2032" borderId="600" xfId="53" applyNumberFormat="1" applyFont="1" applyFill="1" applyBorder="1" applyAlignment="1">
      <alignment horizontal="right" vertical="center"/>
    </xf>
    <xf numFmtId="0" fontId="0" fillId="2032" borderId="601" xfId="0" applyFill="1" applyBorder="1"/>
    <xf numFmtId="0" fontId="561" fillId="890" borderId="356" xfId="0" applyFont="1" applyFill="1" applyBorder="1" applyAlignment="1">
      <alignment horizontal="right" vertical="center"/>
    </xf>
    <xf numFmtId="0" fontId="15" fillId="2033" borderId="464" xfId="48" applyFont="1" applyFill="1" applyBorder="1" applyAlignment="1" applyProtection="1">
      <alignment vertical="center"/>
      <protection hidden="1"/>
    </xf>
    <xf numFmtId="0" fontId="4" fillId="2033" borderId="0" xfId="51" applyFill="1"/>
    <xf numFmtId="0" fontId="170" fillId="2033" borderId="0" xfId="55" applyFont="1" applyFill="1" applyAlignment="1">
      <alignment vertical="center"/>
    </xf>
    <xf numFmtId="0" fontId="0" fillId="2033" borderId="0" xfId="0" applyFill="1"/>
    <xf numFmtId="0" fontId="15" fillId="2034" borderId="0" xfId="49" applyFont="1" applyFill="1" applyAlignment="1">
      <alignment horizontal="right" vertical="center"/>
    </xf>
    <xf numFmtId="0" fontId="15" fillId="2033" borderId="294" xfId="48" applyFont="1" applyFill="1" applyBorder="1" applyAlignment="1" applyProtection="1">
      <alignment horizontal="right" vertical="center"/>
      <protection hidden="1"/>
    </xf>
    <xf numFmtId="0" fontId="15" fillId="2034" borderId="299" xfId="49" applyFont="1" applyFill="1" applyBorder="1" applyAlignment="1">
      <alignment horizontal="left" vertical="center"/>
    </xf>
    <xf numFmtId="0" fontId="716" fillId="2033" borderId="0" xfId="53" applyFont="1" applyFill="1" applyAlignment="1">
      <alignment horizontal="right" vertical="center"/>
    </xf>
    <xf numFmtId="0" fontId="716" fillId="2033" borderId="0" xfId="53" applyFont="1" applyFill="1" applyAlignment="1">
      <alignment horizontal="left" vertical="center"/>
    </xf>
    <xf numFmtId="1" fontId="716" fillId="2033" borderId="0" xfId="53" applyNumberFormat="1" applyFont="1" applyFill="1" applyAlignment="1">
      <alignment horizontal="right" vertical="center"/>
    </xf>
    <xf numFmtId="0" fontId="391" fillId="158" borderId="0" xfId="0" applyFont="1" applyFill="1" applyAlignment="1">
      <alignment horizontal="right"/>
    </xf>
    <xf numFmtId="0" fontId="820" fillId="2035" borderId="0" xfId="49" applyFont="1" applyFill="1" applyAlignment="1">
      <alignment horizontal="right" vertical="center"/>
    </xf>
    <xf numFmtId="0" fontId="148" fillId="2035" borderId="0" xfId="49" applyFont="1" applyFill="1" applyAlignment="1">
      <alignment horizontal="left" vertical="center"/>
    </xf>
    <xf numFmtId="0" fontId="349" fillId="2" borderId="0" xfId="48" applyFont="1" applyFill="1" applyAlignment="1" applyProtection="1">
      <alignment horizontal="center" vertical="center"/>
      <protection hidden="1"/>
    </xf>
    <xf numFmtId="0" fontId="169" fillId="5" borderId="0" xfId="55" applyFont="1" applyFill="1" applyAlignment="1">
      <alignment vertical="center"/>
    </xf>
    <xf numFmtId="0" fontId="573" fillId="3" borderId="0" xfId="55" applyFont="1" applyFill="1" applyAlignment="1">
      <alignment horizontal="left" vertical="center"/>
    </xf>
    <xf numFmtId="0" fontId="24" fillId="3" borderId="0" xfId="54" applyFont="1" applyFill="1" applyAlignment="1">
      <alignment horizontal="right" vertical="center"/>
    </xf>
    <xf numFmtId="0" fontId="228" fillId="2" borderId="294" xfId="57" applyFont="1" applyFill="1" applyBorder="1" applyAlignment="1">
      <alignment horizontal="center" vertical="center"/>
    </xf>
    <xf numFmtId="0" fontId="0" fillId="5" borderId="0" xfId="0" applyFill="1"/>
    <xf numFmtId="0" fontId="391" fillId="5" borderId="0" xfId="0" applyFont="1" applyFill="1" applyAlignment="1">
      <alignment horizontal="right" vertical="center"/>
    </xf>
    <xf numFmtId="0" fontId="107" fillId="5" borderId="0" xfId="48" applyFont="1" applyFill="1" applyAlignment="1" applyProtection="1">
      <alignment horizontal="center" vertical="center"/>
      <protection hidden="1"/>
    </xf>
    <xf numFmtId="0" fontId="157" fillId="5" borderId="356" xfId="0" applyFont="1" applyFill="1" applyBorder="1" applyAlignment="1">
      <alignment horizontal="right" vertical="center"/>
    </xf>
    <xf numFmtId="0" fontId="147" fillId="3" borderId="0" xfId="54" applyFont="1" applyFill="1" applyAlignment="1">
      <alignment horizontal="right" vertical="center"/>
    </xf>
    <xf numFmtId="0" fontId="573" fillId="3" borderId="294" xfId="55" applyFont="1" applyFill="1" applyBorder="1" applyAlignment="1">
      <alignment horizontal="left" vertical="center"/>
    </xf>
    <xf numFmtId="0" fontId="573" fillId="3" borderId="602" xfId="55" applyFont="1" applyFill="1" applyBorder="1" applyAlignment="1">
      <alignment horizontal="left" vertical="center"/>
    </xf>
    <xf numFmtId="0" fontId="716" fillId="2033" borderId="0" xfId="53" applyFont="1" applyFill="1" applyAlignment="1">
      <alignment horizontal="center" vertical="center"/>
    </xf>
    <xf numFmtId="0" fontId="573" fillId="3" borderId="464" xfId="48" applyFont="1" applyFill="1" applyBorder="1" applyAlignment="1" applyProtection="1">
      <alignment horizontal="left" vertical="center"/>
      <protection locked="0"/>
    </xf>
    <xf numFmtId="0" fontId="676" fillId="4" borderId="409" xfId="48" applyFont="1" applyFill="1" applyBorder="1" applyAlignment="1" applyProtection="1">
      <alignment vertical="center"/>
      <protection hidden="1"/>
    </xf>
    <xf numFmtId="0" fontId="573" fillId="12" borderId="0" xfId="48" applyFont="1" applyFill="1" applyAlignment="1" applyProtection="1">
      <alignment horizontal="left" vertical="center"/>
      <protection locked="0"/>
    </xf>
    <xf numFmtId="0" fontId="573" fillId="3" borderId="294" xfId="48" applyFont="1" applyFill="1" applyBorder="1" applyAlignment="1" applyProtection="1">
      <alignment horizontal="right" vertical="center"/>
      <protection locked="0"/>
    </xf>
    <xf numFmtId="0" fontId="24" fillId="12" borderId="567" xfId="48" applyFont="1" applyFill="1" applyBorder="1" applyAlignment="1" applyProtection="1">
      <alignment horizontal="left" vertical="center"/>
      <protection locked="0"/>
    </xf>
    <xf numFmtId="0" fontId="573" fillId="12" borderId="567" xfId="48" applyFont="1" applyFill="1" applyBorder="1" applyAlignment="1" applyProtection="1">
      <alignment horizontal="left" vertical="center"/>
      <protection locked="0"/>
    </xf>
    <xf numFmtId="0" fontId="24" fillId="3" borderId="567" xfId="48" applyFont="1" applyFill="1" applyBorder="1" applyAlignment="1" applyProtection="1">
      <alignment horizontal="left" vertical="center"/>
      <protection locked="0"/>
    </xf>
    <xf numFmtId="0" fontId="573" fillId="3" borderId="567" xfId="48" applyFont="1" applyFill="1" applyBorder="1" applyAlignment="1" applyProtection="1">
      <alignment horizontal="left" vertical="center"/>
      <protection locked="0"/>
    </xf>
    <xf numFmtId="0" fontId="573" fillId="3" borderId="568" xfId="48" applyFont="1" applyFill="1" applyBorder="1" applyAlignment="1" applyProtection="1">
      <alignment horizontal="right" vertical="center"/>
      <protection locked="0"/>
    </xf>
    <xf numFmtId="0" fontId="56" fillId="158" borderId="0" xfId="0" applyFont="1" applyFill="1" applyAlignment="1">
      <alignment horizontal="left" vertical="center"/>
    </xf>
    <xf numFmtId="0" fontId="0" fillId="158" borderId="0" xfId="0" applyFill="1" applyAlignment="1">
      <alignment horizontal="left" vertical="center"/>
    </xf>
    <xf numFmtId="0" fontId="391" fillId="158" borderId="0" xfId="0" applyFont="1" applyFill="1" applyAlignment="1">
      <alignment horizontal="left" vertical="center"/>
    </xf>
    <xf numFmtId="0" fontId="24" fillId="130" borderId="0" xfId="36" applyFont="1" applyFill="1" applyAlignment="1">
      <alignment horizontal="right" vertical="center"/>
    </xf>
    <xf numFmtId="0" fontId="701" fillId="3" borderId="101" xfId="0" applyFont="1" applyFill="1" applyBorder="1" applyAlignment="1">
      <alignment horizontal="left" vertical="center"/>
    </xf>
    <xf numFmtId="0" fontId="701" fillId="5" borderId="0" xfId="49" applyFont="1" applyFill="1" applyAlignment="1">
      <alignment horizontal="right" vertical="center"/>
    </xf>
    <xf numFmtId="0" fontId="701" fillId="5" borderId="101" xfId="0" applyFont="1" applyFill="1" applyBorder="1" applyAlignment="1">
      <alignment horizontal="center" vertical="center"/>
    </xf>
    <xf numFmtId="0" fontId="701" fillId="5" borderId="533" xfId="0" applyFont="1" applyFill="1" applyBorder="1" applyAlignment="1">
      <alignment horizontal="left" vertical="center"/>
    </xf>
    <xf numFmtId="0" fontId="147" fillId="68" borderId="131" xfId="53" applyFont="1" applyFill="1" applyBorder="1" applyAlignment="1">
      <alignment horizontal="center" vertical="center"/>
    </xf>
    <xf numFmtId="0" fontId="671" fillId="68" borderId="0" xfId="53" applyFont="1" applyFill="1" applyAlignment="1">
      <alignment horizontal="right" vertical="center"/>
    </xf>
    <xf numFmtId="0" fontId="671" fillId="68" borderId="0" xfId="53" applyFont="1" applyFill="1" applyAlignment="1">
      <alignment horizontal="left" vertical="center"/>
    </xf>
    <xf numFmtId="1" fontId="671" fillId="68" borderId="0" xfId="53" applyNumberFormat="1" applyFont="1" applyFill="1" applyAlignment="1">
      <alignment horizontal="right" vertical="center"/>
    </xf>
    <xf numFmtId="0" fontId="832" fillId="5" borderId="0" xfId="48" applyFont="1" applyFill="1" applyAlignment="1" applyProtection="1">
      <alignment vertical="center"/>
      <protection hidden="1"/>
    </xf>
    <xf numFmtId="0" fontId="168" fillId="5" borderId="0" xfId="48" applyFont="1" applyFill="1" applyAlignment="1" applyProtection="1">
      <alignment vertical="center"/>
      <protection hidden="1"/>
    </xf>
    <xf numFmtId="0" fontId="15" fillId="5" borderId="0" xfId="48" applyFont="1" applyFill="1" applyAlignment="1" applyProtection="1">
      <alignment vertical="center"/>
      <protection hidden="1"/>
    </xf>
    <xf numFmtId="0" fontId="24" fillId="5" borderId="0" xfId="48" applyFont="1" applyFill="1" applyAlignment="1" applyProtection="1">
      <alignment vertical="center"/>
      <protection hidden="1"/>
    </xf>
    <xf numFmtId="0" fontId="675" fillId="5" borderId="0" xfId="48" applyFont="1" applyFill="1" applyAlignment="1" applyProtection="1">
      <alignment horizontal="right" vertical="center"/>
      <protection hidden="1"/>
    </xf>
    <xf numFmtId="0" fontId="390" fillId="2" borderId="603" xfId="48" applyFont="1" applyFill="1" applyBorder="1" applyAlignment="1" applyProtection="1">
      <alignment vertical="center"/>
      <protection hidden="1"/>
    </xf>
    <xf numFmtId="0" fontId="34" fillId="2036" borderId="0" xfId="48" applyFont="1" applyFill="1" applyAlignment="1" applyProtection="1">
      <alignment vertical="center"/>
      <protection hidden="1"/>
    </xf>
    <xf numFmtId="0" fontId="34" fillId="3" borderId="0" xfId="48" applyFont="1" applyFill="1" applyAlignment="1" applyProtection="1">
      <alignment vertical="center"/>
      <protection hidden="1"/>
    </xf>
    <xf numFmtId="0" fontId="34" fillId="3" borderId="294" xfId="48" applyFont="1" applyFill="1" applyBorder="1" applyAlignment="1" applyProtection="1">
      <alignment vertical="center"/>
      <protection hidden="1"/>
    </xf>
    <xf numFmtId="0" fontId="550" fillId="2037" borderId="408" xfId="53" applyFont="1" applyFill="1" applyBorder="1" applyAlignment="1">
      <alignment horizontal="center" vertical="center"/>
    </xf>
    <xf numFmtId="0" fontId="671" fillId="2037" borderId="409" xfId="53" applyFont="1" applyFill="1" applyBorder="1" applyAlignment="1">
      <alignment vertical="center"/>
    </xf>
    <xf numFmtId="1" fontId="671" fillId="2037" borderId="409" xfId="53" applyNumberFormat="1" applyFont="1" applyFill="1" applyBorder="1" applyAlignment="1">
      <alignment horizontal="left" vertical="center"/>
    </xf>
    <xf numFmtId="0" fontId="676" fillId="2037" borderId="409" xfId="48" applyFont="1" applyFill="1" applyBorder="1" applyAlignment="1" applyProtection="1">
      <alignment vertical="center"/>
      <protection hidden="1"/>
    </xf>
    <xf numFmtId="0" fontId="168" fillId="2037" borderId="409" xfId="48" applyFont="1" applyFill="1" applyBorder="1" applyAlignment="1" applyProtection="1">
      <alignment vertical="center"/>
      <protection hidden="1"/>
    </xf>
    <xf numFmtId="0" fontId="15" fillId="2037" borderId="409" xfId="48" applyFont="1" applyFill="1" applyBorder="1" applyAlignment="1" applyProtection="1">
      <alignment vertical="center"/>
      <protection hidden="1"/>
    </xf>
    <xf numFmtId="0" fontId="15" fillId="2037" borderId="410" xfId="48" applyFont="1" applyFill="1" applyBorder="1" applyAlignment="1" applyProtection="1">
      <alignment vertical="center"/>
      <protection hidden="1"/>
    </xf>
    <xf numFmtId="0" fontId="743" fillId="2038" borderId="24" xfId="50" applyFont="1" applyFill="1" applyBorder="1" applyAlignment="1">
      <alignment horizontal="center" vertical="center"/>
    </xf>
    <xf numFmtId="0" fontId="822" fillId="2038" borderId="24" xfId="50" applyFont="1" applyFill="1" applyBorder="1" applyAlignment="1">
      <alignment horizontal="center" vertical="center"/>
    </xf>
    <xf numFmtId="0" fontId="833" fillId="2038" borderId="24" xfId="48" applyFont="1" applyFill="1" applyBorder="1" applyAlignment="1">
      <alignment vertical="center"/>
    </xf>
    <xf numFmtId="0" fontId="834" fillId="2038" borderId="24" xfId="48" applyFont="1" applyFill="1" applyBorder="1" applyAlignment="1">
      <alignment vertical="center"/>
    </xf>
    <xf numFmtId="0" fontId="834" fillId="2038" borderId="24" xfId="71" applyFont="1" applyFill="1" applyBorder="1" applyAlignment="1">
      <alignment vertical="center"/>
    </xf>
    <xf numFmtId="0" fontId="743" fillId="2038" borderId="24" xfId="48" applyFont="1" applyFill="1" applyBorder="1" applyAlignment="1">
      <alignment vertical="center"/>
    </xf>
    <xf numFmtId="0" fontId="834" fillId="2038" borderId="24" xfId="48" applyFont="1" applyFill="1" applyBorder="1" applyAlignment="1" applyProtection="1">
      <alignment vertical="center"/>
      <protection hidden="1"/>
    </xf>
    <xf numFmtId="0" fontId="834" fillId="2038" borderId="24" xfId="51" applyFont="1" applyFill="1" applyBorder="1" applyAlignment="1">
      <alignment vertical="center"/>
    </xf>
    <xf numFmtId="0" fontId="834" fillId="2038" borderId="24" xfId="48" applyFont="1" applyFill="1" applyBorder="1" applyAlignment="1">
      <alignment horizontal="right" vertical="center"/>
    </xf>
    <xf numFmtId="0" fontId="170" fillId="3" borderId="0" xfId="55" applyFont="1" applyFill="1" applyAlignment="1">
      <alignment vertical="center"/>
    </xf>
    <xf numFmtId="0" fontId="15" fillId="2034" borderId="101" xfId="49" applyFont="1" applyFill="1" applyBorder="1" applyAlignment="1">
      <alignment horizontal="right" vertical="center"/>
    </xf>
    <xf numFmtId="0" fontId="15" fillId="2" borderId="464" xfId="48" applyFont="1" applyFill="1" applyBorder="1" applyAlignment="1" applyProtection="1">
      <alignment horizontal="center" vertical="center"/>
      <protection hidden="1"/>
    </xf>
    <xf numFmtId="0" fontId="15" fillId="2" borderId="604" xfId="48" applyFont="1" applyFill="1" applyBorder="1" applyAlignment="1" applyProtection="1">
      <alignment horizontal="center" vertical="center"/>
      <protection hidden="1"/>
    </xf>
    <xf numFmtId="0" fontId="56" fillId="158" borderId="0" xfId="0" applyFont="1" applyFill="1" applyAlignment="1">
      <alignment horizontal="right" vertical="center"/>
    </xf>
    <xf numFmtId="0" fontId="561" fillId="890" borderId="532" xfId="0" applyFont="1" applyFill="1" applyBorder="1" applyAlignment="1">
      <alignment horizontal="right" vertical="center"/>
    </xf>
    <xf numFmtId="0" fontId="587" fillId="890" borderId="0" xfId="55" applyFont="1" applyFill="1" applyAlignment="1">
      <alignment horizontal="right" vertical="center"/>
    </xf>
    <xf numFmtId="0" fontId="594" fillId="0" borderId="0" xfId="55" applyFont="1" applyAlignment="1">
      <alignment vertical="center"/>
    </xf>
    <xf numFmtId="0" fontId="4" fillId="0" borderId="0" xfId="51"/>
    <xf numFmtId="0" fontId="4" fillId="2033" borderId="299" xfId="51" applyFill="1" applyBorder="1"/>
    <xf numFmtId="0" fontId="170" fillId="2033" borderId="299" xfId="55" applyFont="1" applyFill="1" applyBorder="1" applyAlignment="1">
      <alignment vertical="center"/>
    </xf>
    <xf numFmtId="0" fontId="0" fillId="2033" borderId="299" xfId="0" applyFill="1" applyBorder="1"/>
    <xf numFmtId="0" fontId="228" fillId="2" borderId="440" xfId="57" applyFont="1" applyFill="1" applyBorder="1" applyAlignment="1">
      <alignment horizontal="center" vertical="center"/>
    </xf>
    <xf numFmtId="0" fontId="24" fillId="3" borderId="30" xfId="54" applyFont="1" applyFill="1" applyBorder="1" applyAlignment="1">
      <alignment horizontal="right" vertical="center"/>
    </xf>
    <xf numFmtId="0" fontId="349" fillId="2" borderId="464" xfId="48" applyFont="1" applyFill="1" applyBorder="1" applyAlignment="1" applyProtection="1">
      <alignment horizontal="center" vertical="center"/>
      <protection hidden="1"/>
    </xf>
    <xf numFmtId="0" fontId="700" fillId="3" borderId="0" xfId="55" applyFont="1" applyFill="1" applyAlignment="1">
      <alignment horizontal="left" vertical="center"/>
    </xf>
    <xf numFmtId="0" fontId="700" fillId="3" borderId="294" xfId="55" applyFont="1" applyFill="1" applyBorder="1" applyAlignment="1">
      <alignment horizontal="left" vertical="center"/>
    </xf>
    <xf numFmtId="0" fontId="15" fillId="2039" borderId="0" xfId="48" applyFont="1" applyFill="1" applyAlignment="1" applyProtection="1">
      <alignment vertical="center"/>
      <protection hidden="1"/>
    </xf>
    <xf numFmtId="0" fontId="834" fillId="2039" borderId="0" xfId="48" applyFont="1" applyFill="1" applyAlignment="1" applyProtection="1">
      <alignment vertical="center"/>
      <protection hidden="1"/>
    </xf>
    <xf numFmtId="0" fontId="15" fillId="2039" borderId="0" xfId="48" applyFont="1" applyFill="1" applyAlignment="1" applyProtection="1">
      <alignment horizontal="right" vertical="center"/>
      <protection hidden="1"/>
    </xf>
    <xf numFmtId="0" fontId="561" fillId="890" borderId="101" xfId="0" applyFont="1" applyFill="1" applyBorder="1" applyAlignment="1">
      <alignment horizontal="right" vertical="center"/>
    </xf>
    <xf numFmtId="0" fontId="15" fillId="2034" borderId="548" xfId="49" applyFont="1" applyFill="1" applyBorder="1" applyAlignment="1">
      <alignment horizontal="left" vertical="center"/>
    </xf>
    <xf numFmtId="0" fontId="0" fillId="3" borderId="605" xfId="0" applyFill="1" applyBorder="1"/>
    <xf numFmtId="0" fontId="0" fillId="3" borderId="30" xfId="0" applyFill="1" applyBorder="1"/>
    <xf numFmtId="0" fontId="228" fillId="2" borderId="31" xfId="57" applyFont="1" applyFill="1" applyBorder="1" applyAlignment="1">
      <alignment horizontal="center" vertical="center"/>
    </xf>
    <xf numFmtId="0" fontId="169" fillId="5" borderId="464" xfId="55" applyFont="1" applyFill="1" applyBorder="1" applyAlignment="1">
      <alignment vertical="center"/>
    </xf>
    <xf numFmtId="0" fontId="0" fillId="3" borderId="606" xfId="0" applyFill="1" applyBorder="1"/>
    <xf numFmtId="0" fontId="0" fillId="3" borderId="567" xfId="0" applyFill="1" applyBorder="1"/>
    <xf numFmtId="0" fontId="147" fillId="3" borderId="567" xfId="54" applyFont="1" applyFill="1" applyBorder="1" applyAlignment="1">
      <alignment horizontal="right" vertical="center"/>
    </xf>
    <xf numFmtId="0" fontId="228" fillId="2" borderId="568" xfId="57" applyFont="1" applyFill="1" applyBorder="1" applyAlignment="1">
      <alignment horizontal="center" vertical="center"/>
    </xf>
    <xf numFmtId="0" fontId="573" fillId="3" borderId="464" xfId="55" applyFont="1" applyFill="1" applyBorder="1" applyAlignment="1">
      <alignment horizontal="left" vertical="center"/>
    </xf>
    <xf numFmtId="0" fontId="0" fillId="3" borderId="607" xfId="0" applyFill="1" applyBorder="1"/>
    <xf numFmtId="203" fontId="41" fillId="22" borderId="294" xfId="48" applyNumberFormat="1" applyFont="1" applyFill="1" applyBorder="1" applyAlignment="1">
      <alignment horizontal="center" vertical="center"/>
    </xf>
    <xf numFmtId="203" fontId="34" fillId="22" borderId="294" xfId="48" applyNumberFormat="1" applyFont="1" applyFill="1" applyBorder="1" applyAlignment="1">
      <alignment horizontal="center" vertical="center"/>
    </xf>
    <xf numFmtId="203" fontId="40" fillId="6" borderId="294" xfId="48" applyNumberFormat="1" applyFont="1" applyFill="1" applyBorder="1" applyAlignment="1">
      <alignment horizontal="center" vertical="center"/>
    </xf>
    <xf numFmtId="203" fontId="15" fillId="5" borderId="294" xfId="48" applyNumberFormat="1" applyFont="1" applyFill="1" applyBorder="1" applyAlignment="1">
      <alignment horizontal="center" vertical="center"/>
    </xf>
    <xf numFmtId="0" fontId="15" fillId="12" borderId="608" xfId="48" applyFont="1" applyFill="1" applyBorder="1" applyAlignment="1">
      <alignment vertical="center"/>
    </xf>
    <xf numFmtId="0" fontId="15" fillId="12" borderId="299" xfId="48" applyFont="1" applyFill="1" applyBorder="1" applyAlignment="1">
      <alignment vertical="center"/>
    </xf>
    <xf numFmtId="0" fontId="15" fillId="12" borderId="440" xfId="48" applyFont="1" applyFill="1" applyBorder="1" applyAlignment="1">
      <alignment vertical="center"/>
    </xf>
    <xf numFmtId="0" fontId="368" fillId="14" borderId="607" xfId="13" applyFont="1" applyFill="1" applyBorder="1" applyAlignment="1" applyProtection="1">
      <alignment horizontal="center" vertical="center"/>
      <protection locked="0"/>
    </xf>
    <xf numFmtId="1" fontId="71" fillId="2" borderId="607" xfId="52" applyNumberFormat="1" applyFont="1" applyFill="1" applyBorder="1" applyAlignment="1">
      <alignment horizontal="center" vertical="center"/>
    </xf>
    <xf numFmtId="0" fontId="40" fillId="58" borderId="0" xfId="13" applyFont="1" applyFill="1" applyAlignment="1" applyProtection="1">
      <alignment vertical="center"/>
      <protection locked="0"/>
    </xf>
    <xf numFmtId="0" fontId="40" fillId="58" borderId="294" xfId="13" applyFont="1" applyFill="1" applyBorder="1" applyAlignment="1" applyProtection="1">
      <alignment vertical="center"/>
      <protection locked="0"/>
    </xf>
    <xf numFmtId="0" fontId="40" fillId="58" borderId="607" xfId="13" applyFont="1" applyFill="1" applyBorder="1" applyAlignment="1" applyProtection="1">
      <alignment vertical="center"/>
      <protection locked="0"/>
    </xf>
    <xf numFmtId="0" fontId="40" fillId="153" borderId="607" xfId="48" applyFont="1" applyFill="1" applyBorder="1" applyAlignment="1">
      <alignment horizontal="center" vertical="center"/>
    </xf>
    <xf numFmtId="170" fontId="41" fillId="58" borderId="607" xfId="13" applyNumberFormat="1" applyFont="1" applyFill="1" applyBorder="1" applyAlignment="1" applyProtection="1">
      <alignment horizontal="center" vertical="center"/>
      <protection locked="0"/>
    </xf>
    <xf numFmtId="167" fontId="40" fillId="58" borderId="607" xfId="48" applyNumberFormat="1" applyFont="1" applyFill="1" applyBorder="1" applyAlignment="1">
      <alignment horizontal="center" vertical="center"/>
    </xf>
    <xf numFmtId="165" fontId="41" fillId="58" borderId="607" xfId="13" applyNumberFormat="1" applyFont="1" applyFill="1" applyBorder="1" applyAlignment="1" applyProtection="1">
      <alignment horizontal="center" vertical="center"/>
      <protection locked="0"/>
    </xf>
    <xf numFmtId="0" fontId="573" fillId="3" borderId="30" xfId="55" applyFont="1" applyFill="1" applyBorder="1" applyAlignment="1">
      <alignment horizontal="left" vertical="center"/>
    </xf>
    <xf numFmtId="0" fontId="573" fillId="3" borderId="31" xfId="55" applyFont="1" applyFill="1" applyBorder="1" applyAlignment="1">
      <alignment horizontal="left" vertical="center"/>
    </xf>
    <xf numFmtId="0" fontId="15" fillId="2034" borderId="83" xfId="49" applyFont="1" applyFill="1" applyBorder="1" applyAlignment="1">
      <alignment horizontal="left" vertical="center"/>
    </xf>
    <xf numFmtId="0" fontId="15" fillId="2034" borderId="83" xfId="49" applyFont="1" applyFill="1" applyBorder="1" applyAlignment="1">
      <alignment horizontal="right" vertical="center"/>
    </xf>
    <xf numFmtId="0" fontId="15" fillId="2033" borderId="552" xfId="48" applyFont="1" applyFill="1" applyBorder="1" applyAlignment="1" applyProtection="1">
      <alignment horizontal="right" vertical="center"/>
      <protection hidden="1"/>
    </xf>
    <xf numFmtId="0" fontId="835" fillId="3" borderId="464" xfId="74" applyFont="1" applyFill="1" applyBorder="1" applyAlignment="1">
      <alignment horizontal="right" vertical="center"/>
    </xf>
    <xf numFmtId="0" fontId="836" fillId="3" borderId="611" xfId="0" applyFont="1" applyFill="1" applyBorder="1" applyAlignment="1">
      <alignment horizontal="center" vertical="center"/>
    </xf>
    <xf numFmtId="0" fontId="835" fillId="3" borderId="101" xfId="74" applyFont="1" applyFill="1" applyBorder="1" applyAlignment="1">
      <alignment horizontal="left" vertical="center"/>
    </xf>
    <xf numFmtId="0" fontId="835" fillId="3" borderId="612" xfId="74" applyFont="1" applyFill="1" applyBorder="1" applyAlignment="1">
      <alignment horizontal="right" vertical="center"/>
    </xf>
    <xf numFmtId="0" fontId="836" fillId="3" borderId="613" xfId="0" applyFont="1" applyFill="1" applyBorder="1" applyAlignment="1">
      <alignment horizontal="center" vertical="center"/>
    </xf>
    <xf numFmtId="0" fontId="835" fillId="3" borderId="0" xfId="74" applyFont="1" applyFill="1" applyAlignment="1">
      <alignment horizontal="left" vertical="center"/>
    </xf>
    <xf numFmtId="0" fontId="835" fillId="3" borderId="614" xfId="74" applyFont="1" applyFill="1" applyBorder="1" applyAlignment="1">
      <alignment horizontal="right" vertical="center"/>
    </xf>
    <xf numFmtId="0" fontId="835" fillId="3" borderId="615" xfId="74" applyFont="1" applyFill="1" applyBorder="1" applyAlignment="1">
      <alignment horizontal="right" vertical="center"/>
    </xf>
    <xf numFmtId="0" fontId="158" fillId="3" borderId="611" xfId="0" applyFont="1" applyFill="1" applyBorder="1" applyAlignment="1">
      <alignment horizontal="center" vertical="center"/>
    </xf>
    <xf numFmtId="0" fontId="147" fillId="3" borderId="614" xfId="48" applyFont="1" applyFill="1" applyBorder="1" applyAlignment="1" applyProtection="1">
      <alignment horizontal="right" vertical="center"/>
      <protection locked="0"/>
    </xf>
    <xf numFmtId="0" fontId="158" fillId="3" borderId="613" xfId="0" applyFont="1" applyFill="1" applyBorder="1" applyAlignment="1">
      <alignment horizontal="center" vertical="center"/>
    </xf>
    <xf numFmtId="0" fontId="700" fillId="3" borderId="0" xfId="48" applyFont="1" applyFill="1" applyAlignment="1" applyProtection="1">
      <alignment horizontal="left" vertical="center"/>
      <protection locked="0"/>
    </xf>
    <xf numFmtId="0" fontId="157" fillId="3" borderId="0" xfId="48" applyFont="1" applyFill="1" applyAlignment="1" applyProtection="1">
      <alignment horizontal="right" vertical="center"/>
      <protection locked="0"/>
    </xf>
    <xf numFmtId="0" fontId="157" fillId="3" borderId="294" xfId="48" applyFont="1" applyFill="1" applyBorder="1" applyAlignment="1" applyProtection="1">
      <alignment horizontal="right" vertical="center"/>
      <protection locked="0"/>
    </xf>
    <xf numFmtId="0" fontId="15" fillId="2034" borderId="101" xfId="49" applyFont="1" applyFill="1" applyBorder="1" applyAlignment="1">
      <alignment horizontal="left" vertical="center"/>
    </xf>
    <xf numFmtId="0" fontId="4" fillId="2033" borderId="101" xfId="51" applyFill="1" applyBorder="1"/>
    <xf numFmtId="0" fontId="573" fillId="3" borderId="101" xfId="55" applyFont="1" applyFill="1" applyBorder="1" applyAlignment="1">
      <alignment horizontal="left" vertical="center"/>
    </xf>
    <xf numFmtId="0" fontId="573" fillId="3" borderId="533" xfId="55" applyFont="1" applyFill="1" applyBorder="1" applyAlignment="1">
      <alignment horizontal="left" vertical="center"/>
    </xf>
    <xf numFmtId="0" fontId="169" fillId="3" borderId="0" xfId="55" applyFont="1" applyFill="1" applyAlignment="1">
      <alignment vertical="center"/>
    </xf>
    <xf numFmtId="0" fontId="15" fillId="2034" borderId="299" xfId="49" applyFont="1" applyFill="1" applyBorder="1" applyAlignment="1">
      <alignment horizontal="right" vertical="center"/>
    </xf>
    <xf numFmtId="0" fontId="15" fillId="2033" borderId="440" xfId="48" applyFont="1" applyFill="1" applyBorder="1" applyAlignment="1" applyProtection="1">
      <alignment horizontal="right" vertical="center"/>
      <protection hidden="1"/>
    </xf>
    <xf numFmtId="0" fontId="169" fillId="3" borderId="464" xfId="55" applyFont="1" applyFill="1" applyBorder="1" applyAlignment="1">
      <alignment vertical="center"/>
    </xf>
    <xf numFmtId="0" fontId="15" fillId="3" borderId="0" xfId="52" applyFont="1" applyFill="1" applyAlignment="1" applyProtection="1">
      <alignment vertical="center"/>
      <protection locked="0"/>
    </xf>
    <xf numFmtId="0" fontId="4" fillId="3" borderId="294" xfId="51" applyFill="1" applyBorder="1"/>
    <xf numFmtId="0" fontId="107" fillId="3" borderId="0" xfId="52" applyFont="1" applyFill="1" applyAlignment="1" applyProtection="1">
      <alignment vertical="center"/>
      <protection locked="0"/>
    </xf>
    <xf numFmtId="0" fontId="24" fillId="3" borderId="0" xfId="48" applyFont="1" applyFill="1" applyAlignment="1" applyProtection="1">
      <alignment horizontal="left" vertical="center"/>
      <protection locked="0"/>
    </xf>
    <xf numFmtId="0" fontId="15" fillId="3" borderId="0" xfId="48" applyFont="1" applyFill="1" applyAlignment="1" applyProtection="1">
      <alignment vertical="center"/>
      <protection hidden="1"/>
    </xf>
    <xf numFmtId="0" fontId="837" fillId="3" borderId="0" xfId="52" applyFont="1" applyFill="1" applyAlignment="1">
      <alignment horizontal="left" vertical="center"/>
    </xf>
    <xf numFmtId="0" fontId="15" fillId="2034" borderId="583" xfId="49" applyFont="1" applyFill="1" applyBorder="1" applyAlignment="1">
      <alignment horizontal="left" vertical="center"/>
    </xf>
    <xf numFmtId="0" fontId="573" fillId="2033" borderId="101" xfId="55" applyFont="1" applyFill="1" applyBorder="1" applyAlignment="1">
      <alignment horizontal="left" vertical="center"/>
    </xf>
    <xf numFmtId="0" fontId="157" fillId="2033" borderId="533" xfId="48" applyFont="1" applyFill="1" applyBorder="1" applyAlignment="1" applyProtection="1">
      <alignment horizontal="right" vertical="center"/>
      <protection locked="0"/>
    </xf>
    <xf numFmtId="0" fontId="700" fillId="3" borderId="0" xfId="51" applyFont="1" applyFill="1" applyAlignment="1">
      <alignment horizontal="left" vertical="center"/>
    </xf>
    <xf numFmtId="0" fontId="700" fillId="3" borderId="464" xfId="55" applyFont="1" applyFill="1" applyBorder="1" applyAlignment="1">
      <alignment horizontal="left" vertical="center"/>
    </xf>
    <xf numFmtId="0" fontId="700" fillId="3" borderId="0" xfId="55" applyFont="1" applyFill="1" applyAlignment="1">
      <alignment vertical="center"/>
    </xf>
    <xf numFmtId="0" fontId="700" fillId="3" borderId="602" xfId="55" applyFont="1" applyFill="1" applyBorder="1" applyAlignment="1">
      <alignment vertical="center"/>
    </xf>
    <xf numFmtId="0" fontId="700" fillId="3" borderId="616" xfId="55" applyFont="1" applyFill="1" applyBorder="1" applyAlignment="1">
      <alignment vertical="center"/>
    </xf>
    <xf numFmtId="0" fontId="15" fillId="2034" borderId="617" xfId="49" applyFont="1" applyFill="1" applyBorder="1" applyAlignment="1">
      <alignment horizontal="left" vertical="center"/>
    </xf>
    <xf numFmtId="0" fontId="701" fillId="3" borderId="0" xfId="48" applyFont="1" applyFill="1" applyAlignment="1" applyProtection="1">
      <alignment vertical="center"/>
      <protection hidden="1"/>
    </xf>
    <xf numFmtId="0" fontId="56" fillId="3" borderId="0" xfId="49" applyFont="1" applyFill="1" applyAlignment="1">
      <alignment horizontal="right" vertical="center"/>
    </xf>
    <xf numFmtId="0" fontId="730" fillId="0" borderId="573" xfId="75" applyFont="1" applyBorder="1" applyAlignment="1">
      <alignment horizontal="center" vertical="center"/>
    </xf>
    <xf numFmtId="0" fontId="15" fillId="3" borderId="101" xfId="76" applyFont="1" applyFill="1" applyBorder="1" applyAlignment="1">
      <alignment horizontal="left" vertical="center"/>
    </xf>
    <xf numFmtId="0" fontId="15" fillId="3" borderId="0" xfId="76" applyFont="1" applyFill="1" applyAlignment="1">
      <alignment horizontal="left" vertical="center"/>
    </xf>
    <xf numFmtId="0" fontId="15" fillId="3" borderId="618" xfId="76" applyFont="1" applyFill="1" applyBorder="1" applyAlignment="1">
      <alignment horizontal="right" vertical="center"/>
    </xf>
    <xf numFmtId="0" fontId="157" fillId="3" borderId="0" xfId="48" applyFont="1" applyFill="1" applyAlignment="1" applyProtection="1">
      <alignment horizontal="right" vertical="center"/>
      <protection hidden="1"/>
    </xf>
    <xf numFmtId="0" fontId="24" fillId="3" borderId="0" xfId="76" applyFont="1" applyFill="1" applyAlignment="1">
      <alignment horizontal="right" vertical="center"/>
    </xf>
    <xf numFmtId="0" fontId="838" fillId="3" borderId="613" xfId="76" applyFont="1" applyFill="1" applyBorder="1" applyAlignment="1">
      <alignment horizontal="center" vertical="center"/>
    </xf>
    <xf numFmtId="0" fontId="41" fillId="3" borderId="0" xfId="76" applyFont="1" applyFill="1" applyAlignment="1">
      <alignment horizontal="right"/>
    </xf>
    <xf numFmtId="0" fontId="15" fillId="3" borderId="294" xfId="76" applyFont="1" applyFill="1" applyBorder="1" applyAlignment="1">
      <alignment horizontal="center" vertical="center"/>
    </xf>
    <xf numFmtId="0" fontId="390" fillId="3" borderId="613" xfId="0" applyFont="1" applyFill="1" applyBorder="1" applyAlignment="1">
      <alignment horizontal="center" vertical="center"/>
    </xf>
    <xf numFmtId="0" fontId="730" fillId="0" borderId="554" xfId="75" applyFont="1" applyBorder="1" applyAlignment="1">
      <alignment horizontal="center" vertical="center"/>
    </xf>
    <xf numFmtId="0" fontId="41" fillId="3" borderId="0" xfId="76" applyFont="1" applyFill="1" applyAlignment="1">
      <alignment horizontal="right" vertical="center"/>
    </xf>
    <xf numFmtId="0" fontId="24" fillId="3" borderId="0" xfId="48" applyFont="1" applyFill="1" applyAlignment="1" applyProtection="1">
      <alignment horizontal="right" vertical="center"/>
      <protection locked="0"/>
    </xf>
    <xf numFmtId="0" fontId="46" fillId="5" borderId="619" xfId="75" applyFont="1" applyFill="1" applyBorder="1" applyAlignment="1">
      <alignment horizontal="center"/>
    </xf>
    <xf numFmtId="0" fontId="839" fillId="3" borderId="613" xfId="0" applyFont="1" applyFill="1" applyBorder="1" applyAlignment="1">
      <alignment horizontal="center" vertical="center"/>
    </xf>
    <xf numFmtId="0" fontId="24" fillId="3" borderId="0" xfId="48" applyFont="1" applyFill="1" applyAlignment="1" applyProtection="1">
      <alignment horizontal="right" vertical="center"/>
      <protection hidden="1"/>
    </xf>
    <xf numFmtId="242" fontId="147" fillId="5" borderId="620" xfId="75" applyNumberFormat="1" applyFont="1" applyFill="1" applyBorder="1" applyAlignment="1">
      <alignment horizontal="center" vertical="top"/>
    </xf>
    <xf numFmtId="0" fontId="394" fillId="3" borderId="0" xfId="48" applyFont="1" applyFill="1" applyAlignment="1" applyProtection="1">
      <alignment horizontal="right" vertical="center"/>
      <protection hidden="1"/>
    </xf>
    <xf numFmtId="0" fontId="840" fillId="2" borderId="621" xfId="75" applyFont="1" applyFill="1" applyBorder="1" applyAlignment="1">
      <alignment horizontal="center" vertical="center"/>
    </xf>
    <xf numFmtId="0" fontId="11" fillId="3" borderId="294" xfId="76" applyFont="1" applyFill="1" applyBorder="1" applyAlignment="1">
      <alignment horizontal="center" vertical="center"/>
    </xf>
    <xf numFmtId="0" fontId="700" fillId="3" borderId="0" xfId="0" applyFont="1" applyFill="1" applyAlignment="1">
      <alignment horizontal="left" vertical="center"/>
    </xf>
    <xf numFmtId="0" fontId="24" fillId="3" borderId="45" xfId="48" applyFont="1" applyFill="1" applyBorder="1" applyAlignment="1" applyProtection="1">
      <alignment horizontal="right" vertical="center"/>
      <protection locked="0"/>
    </xf>
    <xf numFmtId="0" fontId="573" fillId="3" borderId="0" xfId="76" applyFont="1" applyFill="1" applyAlignment="1">
      <alignment horizontal="left" vertical="center"/>
    </xf>
    <xf numFmtId="0" fontId="573" fillId="3" borderId="0" xfId="76" applyFont="1" applyFill="1" applyAlignment="1">
      <alignment horizontal="right" vertical="center"/>
    </xf>
    <xf numFmtId="0" fontId="368" fillId="3" borderId="0" xfId="76" applyFont="1" applyFill="1" applyAlignment="1">
      <alignment horizontal="right" vertical="center"/>
    </xf>
    <xf numFmtId="0" fontId="700" fillId="3" borderId="0" xfId="48" applyFont="1" applyFill="1" applyAlignment="1" applyProtection="1">
      <alignment horizontal="right" vertical="center"/>
      <protection locked="0"/>
    </xf>
    <xf numFmtId="0" fontId="700" fillId="3" borderId="127" xfId="55" applyFont="1" applyFill="1" applyBorder="1" applyAlignment="1">
      <alignment horizontal="left" vertical="center"/>
    </xf>
    <xf numFmtId="0" fontId="700" fillId="3" borderId="567" xfId="48" applyFont="1" applyFill="1" applyBorder="1" applyAlignment="1" applyProtection="1">
      <alignment horizontal="left" vertical="center"/>
      <protection locked="0"/>
    </xf>
    <xf numFmtId="0" fontId="157" fillId="3" borderId="567" xfId="48" applyFont="1" applyFill="1" applyBorder="1" applyAlignment="1" applyProtection="1">
      <alignment horizontal="right" vertical="center"/>
      <protection locked="0"/>
    </xf>
    <xf numFmtId="0" fontId="157" fillId="3" borderId="568" xfId="48" applyFont="1" applyFill="1" applyBorder="1" applyAlignment="1" applyProtection="1">
      <alignment horizontal="right" vertical="center"/>
      <protection locked="0"/>
    </xf>
    <xf numFmtId="243" fontId="147" fillId="3" borderId="127" xfId="48" applyNumberFormat="1" applyFont="1" applyFill="1" applyBorder="1" applyAlignment="1">
      <alignment horizontal="right" vertical="center" wrapText="1"/>
    </xf>
    <xf numFmtId="243" fontId="147" fillId="3" borderId="567" xfId="48" applyNumberFormat="1" applyFont="1" applyFill="1" applyBorder="1" applyAlignment="1">
      <alignment horizontal="right" vertical="center" wrapText="1"/>
    </xf>
    <xf numFmtId="243" fontId="147" fillId="0" borderId="127" xfId="48" applyNumberFormat="1" applyFont="1" applyBorder="1" applyAlignment="1">
      <alignment horizontal="center" vertical="center" wrapText="1"/>
    </xf>
    <xf numFmtId="0" fontId="4" fillId="0" borderId="567" xfId="0" applyFont="1" applyBorder="1" applyAlignment="1">
      <alignment horizontal="right" vertical="center"/>
    </xf>
    <xf numFmtId="0" fontId="4" fillId="0" borderId="567" xfId="0" applyFont="1" applyBorder="1" applyAlignment="1">
      <alignment horizontal="center" vertical="center"/>
    </xf>
    <xf numFmtId="0" fontId="56" fillId="3" borderId="567" xfId="0" applyFont="1" applyFill="1" applyBorder="1" applyAlignment="1">
      <alignment horizontal="left" vertical="center"/>
    </xf>
    <xf numFmtId="0" fontId="56" fillId="3" borderId="568" xfId="0" applyFont="1" applyFill="1" applyBorder="1" applyAlignment="1">
      <alignment horizontal="left" vertical="center"/>
    </xf>
    <xf numFmtId="0" fontId="841" fillId="3" borderId="464" xfId="0" applyFont="1" applyFill="1" applyBorder="1" applyAlignment="1">
      <alignment horizontal="right" vertical="center"/>
    </xf>
    <xf numFmtId="0" fontId="841" fillId="3" borderId="0" xfId="0" applyFont="1" applyFill="1" applyAlignment="1">
      <alignment horizontal="right" vertical="center"/>
    </xf>
    <xf numFmtId="203" fontId="675" fillId="3" borderId="464" xfId="48" applyNumberFormat="1" applyFont="1" applyFill="1" applyBorder="1" applyAlignment="1">
      <alignment horizontal="center" vertical="center"/>
    </xf>
    <xf numFmtId="244" fontId="71" fillId="2" borderId="0" xfId="48" applyNumberFormat="1" applyFont="1" applyFill="1" applyAlignment="1">
      <alignment horizontal="center" vertical="center"/>
    </xf>
    <xf numFmtId="9" fontId="693" fillId="0" borderId="0" xfId="0" applyNumberFormat="1" applyFont="1" applyAlignment="1">
      <alignment horizontal="center" vertical="center"/>
    </xf>
    <xf numFmtId="0" fontId="729" fillId="0" borderId="0" xfId="48" applyFont="1" applyAlignment="1">
      <alignment vertical="center"/>
    </xf>
    <xf numFmtId="0" fontId="842" fillId="3" borderId="0" xfId="48" applyFont="1" applyFill="1" applyAlignment="1">
      <alignment vertical="center"/>
    </xf>
    <xf numFmtId="0" fontId="842" fillId="3" borderId="294" xfId="48" applyFont="1" applyFill="1" applyBorder="1" applyAlignment="1">
      <alignment vertical="center"/>
    </xf>
    <xf numFmtId="0" fontId="24" fillId="3" borderId="464" xfId="52" applyFont="1" applyFill="1" applyBorder="1" applyAlignment="1">
      <alignment horizontal="left" vertical="center"/>
    </xf>
    <xf numFmtId="0" fontId="24" fillId="3" borderId="0" xfId="52" applyFont="1" applyFill="1" applyAlignment="1">
      <alignment horizontal="left" vertical="center"/>
    </xf>
    <xf numFmtId="203" fontId="15" fillId="68" borderId="464" xfId="48" applyNumberFormat="1" applyFont="1" applyFill="1" applyBorder="1" applyAlignment="1" applyProtection="1">
      <alignment horizontal="center" vertical="center"/>
      <protection hidden="1"/>
    </xf>
    <xf numFmtId="0" fontId="24" fillId="3" borderId="294" xfId="52" applyFont="1" applyFill="1" applyBorder="1" applyAlignment="1">
      <alignment horizontal="left" vertical="center"/>
    </xf>
    <xf numFmtId="0" fontId="15" fillId="2034" borderId="622" xfId="49" applyFont="1" applyFill="1" applyBorder="1" applyAlignment="1">
      <alignment horizontal="left" vertical="center"/>
    </xf>
    <xf numFmtId="0" fontId="15" fillId="2034" borderId="30" xfId="49" applyFont="1" applyFill="1" applyBorder="1" applyAlignment="1">
      <alignment horizontal="left" vertical="center"/>
    </xf>
    <xf numFmtId="0" fontId="837" fillId="2033" borderId="30" xfId="52" applyFont="1" applyFill="1" applyBorder="1" applyAlignment="1">
      <alignment horizontal="left" vertical="center"/>
    </xf>
    <xf numFmtId="0" fontId="837" fillId="2033" borderId="30" xfId="52" applyFont="1" applyFill="1" applyBorder="1" applyAlignment="1">
      <alignment horizontal="right" vertical="center"/>
    </xf>
    <xf numFmtId="0" fontId="157" fillId="2033" borderId="31" xfId="52" applyFont="1" applyFill="1" applyBorder="1" applyAlignment="1">
      <alignment horizontal="right" vertical="center"/>
    </xf>
    <xf numFmtId="0" fontId="1" fillId="3" borderId="0" xfId="55" applyFont="1" applyFill="1" applyAlignment="1">
      <alignment vertical="center"/>
    </xf>
    <xf numFmtId="0" fontId="1" fillId="3" borderId="602" xfId="55" applyFont="1" applyFill="1" applyBorder="1" applyAlignment="1">
      <alignment vertical="center"/>
    </xf>
    <xf numFmtId="0" fontId="1" fillId="3" borderId="616" xfId="55" applyFont="1" applyFill="1" applyBorder="1" applyAlignment="1">
      <alignment vertical="center"/>
    </xf>
    <xf numFmtId="203" fontId="41" fillId="22" borderId="0" xfId="48" applyNumberFormat="1" applyFont="1" applyFill="1" applyAlignment="1">
      <alignment horizontal="center" vertical="center"/>
    </xf>
    <xf numFmtId="244" fontId="675" fillId="2" borderId="0" xfId="48" applyNumberFormat="1" applyFont="1" applyFill="1" applyAlignment="1">
      <alignment horizontal="center" vertical="center"/>
    </xf>
    <xf numFmtId="0" fontId="41" fillId="3" borderId="0" xfId="48" applyFont="1" applyFill="1" applyAlignment="1">
      <alignment horizontal="left" vertical="center"/>
    </xf>
    <xf numFmtId="0" fontId="41" fillId="3" borderId="294" xfId="48" applyFont="1" applyFill="1" applyBorder="1" applyAlignment="1">
      <alignment horizontal="left" vertical="center"/>
    </xf>
    <xf numFmtId="203" fontId="34" fillId="22" borderId="0" xfId="48" applyNumberFormat="1" applyFont="1" applyFill="1" applyAlignment="1">
      <alignment horizontal="center" vertical="center"/>
    </xf>
    <xf numFmtId="0" fontId="71" fillId="3" borderId="0" xfId="48" applyFont="1" applyFill="1" applyAlignment="1">
      <alignment horizontal="left" vertical="center"/>
    </xf>
    <xf numFmtId="0" fontId="71" fillId="3" borderId="294" xfId="48" applyFont="1" applyFill="1" applyBorder="1" applyAlignment="1">
      <alignment horizontal="left" vertical="center"/>
    </xf>
    <xf numFmtId="203" fontId="40" fillId="6" borderId="0" xfId="48" applyNumberFormat="1" applyFont="1" applyFill="1" applyAlignment="1">
      <alignment horizontal="center" vertical="center"/>
    </xf>
    <xf numFmtId="0" fontId="11" fillId="2" borderId="0" xfId="57" applyFont="1" applyFill="1" applyAlignment="1">
      <alignment horizontal="center" vertical="center"/>
    </xf>
    <xf numFmtId="0" fontId="157" fillId="3" borderId="0" xfId="54" applyFont="1" applyFill="1" applyAlignment="1">
      <alignment horizontal="left" vertical="center"/>
    </xf>
    <xf numFmtId="0" fontId="24" fillId="3" borderId="294" xfId="54" applyFont="1" applyFill="1" applyBorder="1" applyAlignment="1">
      <alignment horizontal="left" vertical="center"/>
    </xf>
    <xf numFmtId="203" fontId="15" fillId="5" borderId="0" xfId="48" applyNumberFormat="1" applyFont="1" applyFill="1" applyAlignment="1">
      <alignment horizontal="center" vertical="center"/>
    </xf>
    <xf numFmtId="0" fontId="147" fillId="3" borderId="294" xfId="54" applyFont="1" applyFill="1" applyBorder="1" applyAlignment="1">
      <alignment horizontal="left" vertical="center"/>
    </xf>
    <xf numFmtId="0" fontId="15" fillId="2034" borderId="0" xfId="49" applyFont="1" applyFill="1" applyAlignment="1">
      <alignment horizontal="left" vertical="center"/>
    </xf>
    <xf numFmtId="0" fontId="837" fillId="2033" borderId="0" xfId="52" applyFont="1" applyFill="1" applyAlignment="1">
      <alignment horizontal="left" vertical="center"/>
    </xf>
    <xf numFmtId="0" fontId="837" fillId="2033" borderId="0" xfId="52" applyFont="1" applyFill="1" applyAlignment="1">
      <alignment horizontal="right" vertical="center"/>
    </xf>
    <xf numFmtId="0" fontId="157" fillId="2033" borderId="294" xfId="52" applyFont="1" applyFill="1" applyBorder="1" applyAlignment="1">
      <alignment horizontal="right" vertical="center"/>
    </xf>
    <xf numFmtId="0" fontId="843" fillId="3" borderId="0" xfId="51" applyFont="1" applyFill="1" applyAlignment="1">
      <alignment horizontal="left" vertical="center"/>
    </xf>
    <xf numFmtId="0" fontId="843" fillId="3" borderId="294" xfId="0" applyFont="1" applyFill="1" applyBorder="1" applyAlignment="1">
      <alignment horizontal="left" vertical="center"/>
    </xf>
    <xf numFmtId="0" fontId="354" fillId="2040" borderId="623" xfId="71" applyFont="1" applyFill="1" applyBorder="1" applyAlignment="1">
      <alignment horizontal="right" vertical="center"/>
    </xf>
    <xf numFmtId="0" fontId="354" fillId="2040" borderId="624" xfId="71" applyFont="1" applyFill="1" applyBorder="1" applyAlignment="1">
      <alignment horizontal="right" vertical="center"/>
    </xf>
    <xf numFmtId="1" fontId="693" fillId="2" borderId="625" xfId="48" applyNumberFormat="1" applyFont="1" applyFill="1" applyBorder="1" applyAlignment="1">
      <alignment horizontal="center" vertical="center"/>
    </xf>
    <xf numFmtId="1" fontId="672" fillId="2" borderId="626" xfId="48" applyNumberFormat="1" applyFont="1" applyFill="1" applyBorder="1" applyAlignment="1">
      <alignment horizontal="center" vertical="center"/>
    </xf>
    <xf numFmtId="0" fontId="792" fillId="130" borderId="584" xfId="48" applyFont="1" applyFill="1" applyBorder="1" applyAlignment="1" applyProtection="1">
      <alignment horizontal="center" vertical="center"/>
      <protection hidden="1"/>
    </xf>
    <xf numFmtId="165" fontId="147" fillId="1997" borderId="0" xfId="48" applyNumberFormat="1" applyFont="1" applyFill="1" applyAlignment="1">
      <alignment horizontal="center" vertical="center"/>
    </xf>
    <xf numFmtId="1" fontId="15" fillId="2027" borderId="627" xfId="48" applyNumberFormat="1" applyFont="1" applyFill="1" applyBorder="1" applyAlignment="1">
      <alignment horizontal="center" vertical="center"/>
    </xf>
    <xf numFmtId="0" fontId="354" fillId="3" borderId="628" xfId="71" applyFont="1" applyFill="1" applyBorder="1" applyAlignment="1">
      <alignment horizontal="right" vertical="center"/>
    </xf>
    <xf numFmtId="0" fontId="354" fillId="3" borderId="629" xfId="71" applyFont="1" applyFill="1" applyBorder="1" applyAlignment="1">
      <alignment horizontal="right" vertical="center"/>
    </xf>
    <xf numFmtId="1" fontId="693" fillId="2" borderId="630" xfId="48" applyNumberFormat="1" applyFont="1" applyFill="1" applyBorder="1" applyAlignment="1">
      <alignment horizontal="center" vertical="center"/>
    </xf>
    <xf numFmtId="168" fontId="672" fillId="2" borderId="587" xfId="48" applyNumberFormat="1" applyFont="1" applyFill="1" applyBorder="1" applyAlignment="1">
      <alignment horizontal="center" vertical="center"/>
    </xf>
    <xf numFmtId="0" fontId="354" fillId="2040" borderId="628" xfId="71" applyFont="1" applyFill="1" applyBorder="1" applyAlignment="1">
      <alignment horizontal="right" vertical="center"/>
    </xf>
    <xf numFmtId="0" fontId="354" fillId="2040" borderId="629" xfId="71" applyFont="1" applyFill="1" applyBorder="1" applyAlignment="1">
      <alignment horizontal="right" vertical="center"/>
    </xf>
    <xf numFmtId="1" fontId="672" fillId="2" borderId="587" xfId="48" applyNumberFormat="1" applyFont="1" applyFill="1" applyBorder="1" applyAlignment="1">
      <alignment horizontal="center" vertical="center"/>
    </xf>
    <xf numFmtId="0" fontId="354" fillId="3" borderId="127" xfId="48" applyFont="1" applyFill="1" applyBorder="1" applyAlignment="1" applyProtection="1">
      <alignment horizontal="right" vertical="center"/>
      <protection locked="0"/>
    </xf>
    <xf numFmtId="0" fontId="354" fillId="3" borderId="567" xfId="48" applyFont="1" applyFill="1" applyBorder="1" applyAlignment="1" applyProtection="1">
      <alignment horizontal="right" vertical="center"/>
      <protection locked="0"/>
    </xf>
    <xf numFmtId="0" fontId="354" fillId="3" borderId="595" xfId="48" applyFont="1" applyFill="1" applyBorder="1" applyAlignment="1" applyProtection="1">
      <alignment horizontal="right" vertical="center"/>
      <protection locked="0"/>
    </xf>
    <xf numFmtId="0" fontId="24" fillId="3" borderId="595" xfId="48" applyFont="1" applyFill="1" applyBorder="1" applyAlignment="1" applyProtection="1">
      <alignment horizontal="left" vertical="center"/>
      <protection locked="0"/>
    </xf>
    <xf numFmtId="0" fontId="843" fillId="3" borderId="0" xfId="0" applyFont="1" applyFill="1" applyAlignment="1">
      <alignment horizontal="left" vertical="center"/>
    </xf>
    <xf numFmtId="0" fontId="843" fillId="3" borderId="568" xfId="0" applyFont="1" applyFill="1" applyBorder="1" applyAlignment="1">
      <alignment horizontal="left" vertical="center"/>
    </xf>
    <xf numFmtId="0" fontId="0" fillId="3" borderId="464" xfId="0" applyFill="1" applyBorder="1" applyAlignment="1">
      <alignment horizontal="right" vertical="center"/>
    </xf>
    <xf numFmtId="0" fontId="792" fillId="43" borderId="573" xfId="48" applyFont="1" applyFill="1" applyBorder="1" applyAlignment="1" applyProtection="1">
      <alignment horizontal="center" vertical="center"/>
      <protection hidden="1"/>
    </xf>
    <xf numFmtId="0" fontId="0" fillId="3" borderId="464" xfId="0" applyFill="1" applyBorder="1"/>
    <xf numFmtId="0" fontId="827" fillId="5" borderId="464" xfId="48" applyFont="1" applyFill="1" applyBorder="1" applyAlignment="1">
      <alignment horizontal="center" vertical="center"/>
    </xf>
    <xf numFmtId="0" fontId="827" fillId="5" borderId="0" xfId="48" applyFont="1" applyFill="1" applyAlignment="1">
      <alignment horizontal="center" vertical="center"/>
    </xf>
    <xf numFmtId="182" fontId="827" fillId="5" borderId="533" xfId="0" applyNumberFormat="1" applyFont="1" applyFill="1" applyBorder="1" applyAlignment="1">
      <alignment horizontal="center" vertical="center"/>
    </xf>
    <xf numFmtId="0" fontId="1" fillId="2033" borderId="30" xfId="55" applyFont="1" applyFill="1" applyBorder="1" applyAlignment="1">
      <alignment vertical="center"/>
    </xf>
    <xf numFmtId="0" fontId="157" fillId="2033" borderId="31" xfId="48" applyFont="1" applyFill="1" applyBorder="1" applyAlignment="1" applyProtection="1">
      <alignment horizontal="right" vertical="center"/>
      <protection locked="0"/>
    </xf>
    <xf numFmtId="0" fontId="169" fillId="3" borderId="631" xfId="55" applyFont="1" applyFill="1" applyBorder="1" applyAlignment="1">
      <alignment vertical="center"/>
    </xf>
    <xf numFmtId="0" fontId="841" fillId="3" borderId="0" xfId="48" applyFont="1" applyFill="1" applyAlignment="1" applyProtection="1">
      <alignment horizontal="left" vertical="center"/>
      <protection locked="0"/>
    </xf>
    <xf numFmtId="0" fontId="841" fillId="3" borderId="356" xfId="48" applyFont="1" applyFill="1" applyBorder="1" applyAlignment="1" applyProtection="1">
      <alignment horizontal="left" vertical="center"/>
      <protection locked="0"/>
    </xf>
    <xf numFmtId="0" fontId="15" fillId="3" borderId="464" xfId="48" applyFont="1" applyFill="1" applyBorder="1" applyAlignment="1">
      <alignment horizontal="right" vertical="center"/>
    </xf>
    <xf numFmtId="0" fontId="15" fillId="3" borderId="0" xfId="48" applyFont="1" applyFill="1" applyAlignment="1">
      <alignment horizontal="center" vertical="center"/>
    </xf>
    <xf numFmtId="0" fontId="15" fillId="3" borderId="294" xfId="48" applyFont="1" applyFill="1" applyBorder="1" applyAlignment="1">
      <alignment horizontal="center" vertical="center"/>
    </xf>
    <xf numFmtId="0" fontId="700" fillId="3" borderId="464" xfId="55" applyFont="1" applyFill="1" applyBorder="1" applyAlignment="1">
      <alignment vertical="center"/>
    </xf>
    <xf numFmtId="0" fontId="40" fillId="3" borderId="464" xfId="48" applyFont="1" applyFill="1" applyBorder="1" applyAlignment="1">
      <alignment horizontal="right" vertical="center"/>
    </xf>
    <xf numFmtId="203" fontId="71" fillId="3" borderId="0" xfId="48" applyNumberFormat="1" applyFont="1" applyFill="1" applyAlignment="1">
      <alignment horizontal="center" vertical="center"/>
    </xf>
    <xf numFmtId="244" fontId="71" fillId="3" borderId="0" xfId="48" applyNumberFormat="1" applyFont="1" applyFill="1" applyAlignment="1">
      <alignment horizontal="center" vertical="center"/>
    </xf>
    <xf numFmtId="0" fontId="394" fillId="3" borderId="0" xfId="48" applyFont="1" applyFill="1" applyAlignment="1">
      <alignment horizontal="left" vertical="center"/>
    </xf>
    <xf numFmtId="0" fontId="394" fillId="3" borderId="294" xfId="48" applyFont="1" applyFill="1" applyBorder="1" applyAlignment="1">
      <alignment horizontal="left" vertical="center"/>
    </xf>
    <xf numFmtId="0" fontId="15" fillId="3" borderId="622" xfId="48" applyFont="1" applyFill="1" applyBorder="1" applyAlignment="1">
      <alignment horizontal="right" vertical="center"/>
    </xf>
    <xf numFmtId="0" fontId="15" fillId="3" borderId="30" xfId="48" applyFont="1" applyFill="1" applyBorder="1" applyAlignment="1">
      <alignment horizontal="right" vertical="center"/>
    </xf>
    <xf numFmtId="0" fontId="40" fillId="3" borderId="30" xfId="48" applyFont="1" applyFill="1" applyBorder="1" applyAlignment="1">
      <alignment horizontal="left" vertical="center"/>
    </xf>
    <xf numFmtId="0" fontId="40" fillId="3" borderId="31" xfId="48" applyFont="1" applyFill="1" applyBorder="1" applyAlignment="1">
      <alignment horizontal="left" vertical="center"/>
    </xf>
    <xf numFmtId="0" fontId="40" fillId="3" borderId="610" xfId="48" applyFont="1" applyFill="1" applyBorder="1" applyAlignment="1">
      <alignment horizontal="right" vertical="center"/>
    </xf>
    <xf numFmtId="203" fontId="71" fillId="3" borderId="20" xfId="48" applyNumberFormat="1" applyFont="1" applyFill="1" applyBorder="1" applyAlignment="1">
      <alignment horizontal="center" vertical="center"/>
    </xf>
    <xf numFmtId="244" fontId="71" fillId="3" borderId="20" xfId="48" applyNumberFormat="1" applyFont="1" applyFill="1" applyBorder="1" applyAlignment="1">
      <alignment horizontal="center" vertical="center"/>
    </xf>
    <xf numFmtId="0" fontId="394" fillId="3" borderId="20" xfId="48" applyFont="1" applyFill="1" applyBorder="1" applyAlignment="1">
      <alignment horizontal="left" vertical="center"/>
    </xf>
    <xf numFmtId="0" fontId="394" fillId="3" borderId="45" xfId="48" applyFont="1" applyFill="1" applyBorder="1" applyAlignment="1">
      <alignment horizontal="left" vertical="center"/>
    </xf>
    <xf numFmtId="0" fontId="790" fillId="3" borderId="20" xfId="48" applyFont="1" applyFill="1" applyBorder="1" applyAlignment="1">
      <alignment horizontal="left" vertical="center"/>
    </xf>
    <xf numFmtId="0" fontId="790" fillId="3" borderId="45" xfId="48" applyFont="1" applyFill="1" applyBorder="1" applyAlignment="1">
      <alignment horizontal="left" vertical="center"/>
    </xf>
    <xf numFmtId="0" fontId="157" fillId="3" borderId="31" xfId="48" applyFont="1" applyFill="1" applyBorder="1" applyAlignment="1" applyProtection="1">
      <alignment horizontal="right" vertical="center"/>
      <protection locked="0"/>
    </xf>
    <xf numFmtId="0" fontId="15" fillId="3" borderId="0" xfId="48" applyFont="1" applyFill="1" applyAlignment="1">
      <alignment horizontal="right" vertical="center"/>
    </xf>
    <xf numFmtId="203" fontId="41" fillId="3" borderId="0" xfId="48" applyNumberFormat="1" applyFont="1" applyFill="1" applyAlignment="1">
      <alignment horizontal="center" vertical="center"/>
    </xf>
    <xf numFmtId="244" fontId="41" fillId="3" borderId="0" xfId="48" applyNumberFormat="1" applyFont="1" applyFill="1" applyAlignment="1">
      <alignment horizontal="center" vertical="center"/>
    </xf>
    <xf numFmtId="0" fontId="839" fillId="3" borderId="632" xfId="0" applyFont="1" applyFill="1" applyBorder="1" applyAlignment="1">
      <alignment horizontal="center" vertical="center"/>
    </xf>
    <xf numFmtId="244" fontId="71" fillId="3" borderId="0" xfId="48" quotePrefix="1" applyNumberFormat="1" applyFont="1" applyFill="1" applyAlignment="1">
      <alignment horizontal="center" vertical="center"/>
    </xf>
    <xf numFmtId="0" fontId="675" fillId="3" borderId="0" xfId="48" applyFont="1" applyFill="1" applyAlignment="1">
      <alignment horizontal="right" vertical="center"/>
    </xf>
    <xf numFmtId="0" fontId="24" fillId="68" borderId="607" xfId="48" applyFont="1" applyFill="1" applyBorder="1" applyAlignment="1" applyProtection="1">
      <alignment horizontal="right" vertical="center"/>
      <protection hidden="1"/>
    </xf>
    <xf numFmtId="203" fontId="15" fillId="68" borderId="0" xfId="48" applyNumberFormat="1" applyFont="1" applyFill="1" applyAlignment="1" applyProtection="1">
      <alignment horizontal="center" vertical="center"/>
      <protection hidden="1"/>
    </xf>
    <xf numFmtId="0" fontId="40" fillId="3" borderId="0" xfId="48" applyFont="1" applyFill="1" applyAlignment="1">
      <alignment horizontal="left" vertical="center"/>
    </xf>
    <xf numFmtId="0" fontId="700" fillId="3" borderId="31" xfId="55" applyFont="1" applyFill="1" applyBorder="1" applyAlignment="1">
      <alignment vertical="center"/>
    </xf>
    <xf numFmtId="0" fontId="700" fillId="3" borderId="294" xfId="55" applyFont="1" applyFill="1" applyBorder="1" applyAlignment="1">
      <alignment vertical="center"/>
    </xf>
    <xf numFmtId="0" fontId="174" fillId="3" borderId="0" xfId="48" applyFont="1" applyFill="1" applyAlignment="1">
      <alignment horizontal="center" vertical="center"/>
    </xf>
    <xf numFmtId="0" fontId="4" fillId="0" borderId="294" xfId="51" applyBorder="1"/>
    <xf numFmtId="0" fontId="502" fillId="14" borderId="0" xfId="13" applyFont="1" applyFill="1" applyAlignment="1" applyProtection="1">
      <alignment horizontal="center" vertical="center" wrapText="1"/>
      <protection locked="0"/>
    </xf>
    <xf numFmtId="0" fontId="844" fillId="14" borderId="0" xfId="13" applyFont="1" applyFill="1" applyAlignment="1" applyProtection="1">
      <alignment horizontal="center" vertical="center"/>
      <protection locked="0"/>
    </xf>
    <xf numFmtId="0" fontId="790" fillId="14" borderId="0" xfId="13" applyFont="1" applyFill="1" applyAlignment="1" applyProtection="1">
      <alignment vertical="center"/>
      <protection locked="0"/>
    </xf>
    <xf numFmtId="0" fontId="157" fillId="14" borderId="0" xfId="13" applyFont="1" applyFill="1" applyAlignment="1" applyProtection="1">
      <alignment horizontal="left" vertical="center"/>
      <protection locked="0"/>
    </xf>
    <xf numFmtId="0" fontId="174" fillId="3" borderId="294" xfId="48" applyFont="1" applyFill="1" applyBorder="1" applyAlignment="1">
      <alignment horizontal="center" vertical="center"/>
    </xf>
    <xf numFmtId="0" fontId="40" fillId="153" borderId="0" xfId="48" applyFont="1" applyFill="1" applyAlignment="1">
      <alignment horizontal="center" vertical="center"/>
    </xf>
    <xf numFmtId="170" fontId="41" fillId="58" borderId="0" xfId="13" applyNumberFormat="1" applyFont="1" applyFill="1" applyAlignment="1" applyProtection="1">
      <alignment horizontal="center" vertical="center"/>
      <protection locked="0"/>
    </xf>
    <xf numFmtId="0" fontId="670" fillId="3" borderId="0" xfId="49" applyFont="1" applyFill="1" applyAlignment="1">
      <alignment horizontal="right" vertical="center"/>
    </xf>
    <xf numFmtId="0" fontId="40" fillId="14" borderId="294" xfId="13" applyFont="1" applyFill="1" applyBorder="1" applyAlignment="1" applyProtection="1">
      <alignment horizontal="center" vertical="center"/>
      <protection locked="0"/>
    </xf>
    <xf numFmtId="167" fontId="107" fillId="58" borderId="0" xfId="48" applyNumberFormat="1" applyFont="1" applyFill="1" applyAlignment="1">
      <alignment horizontal="center" vertical="center"/>
    </xf>
    <xf numFmtId="0" fontId="147" fillId="3" borderId="0" xfId="49" applyFont="1" applyFill="1" applyAlignment="1">
      <alignment vertical="center"/>
    </xf>
    <xf numFmtId="189" fontId="107" fillId="58" borderId="0" xfId="13" applyNumberFormat="1" applyFont="1" applyFill="1" applyAlignment="1" applyProtection="1">
      <alignment horizontal="center" vertical="center"/>
      <protection locked="0"/>
    </xf>
    <xf numFmtId="189" fontId="279" fillId="154" borderId="0" xfId="48" applyNumberFormat="1" applyFont="1" applyFill="1" applyAlignment="1">
      <alignment horizontal="right" vertical="center"/>
    </xf>
    <xf numFmtId="0" fontId="840" fillId="3" borderId="294" xfId="48" applyFont="1" applyFill="1" applyBorder="1" applyAlignment="1">
      <alignment vertical="top" wrapText="1"/>
    </xf>
    <xf numFmtId="0" fontId="24" fillId="3" borderId="464" xfId="48" applyFont="1" applyFill="1" applyBorder="1" applyAlignment="1" applyProtection="1">
      <alignment horizontal="left" vertical="center"/>
      <protection locked="0"/>
    </xf>
    <xf numFmtId="0" fontId="24" fillId="3" borderId="294" xfId="48" applyFont="1" applyFill="1" applyBorder="1" applyAlignment="1" applyProtection="1">
      <alignment horizontal="left" vertical="center"/>
      <protection locked="0"/>
    </xf>
    <xf numFmtId="0" fontId="56" fillId="2033" borderId="533" xfId="51" applyFont="1" applyFill="1" applyBorder="1" applyAlignment="1">
      <alignment horizontal="right" vertical="center"/>
    </xf>
    <xf numFmtId="0" fontId="845" fillId="3" borderId="0" xfId="48" applyFont="1" applyFill="1" applyAlignment="1" applyProtection="1">
      <alignment horizontal="right" vertical="center"/>
      <protection locked="0"/>
    </xf>
    <xf numFmtId="183" fontId="846" fillId="15" borderId="0" xfId="53" applyNumberFormat="1" applyFont="1" applyFill="1" applyAlignment="1" applyProtection="1">
      <alignment horizontal="center" vertical="center"/>
      <protection locked="0"/>
    </xf>
    <xf numFmtId="0" fontId="846" fillId="3" borderId="294" xfId="53" applyFont="1" applyFill="1" applyBorder="1" applyAlignment="1" applyProtection="1">
      <alignment horizontal="left" vertical="center"/>
      <protection locked="0"/>
    </xf>
    <xf numFmtId="183" fontId="730" fillId="15" borderId="0" xfId="53" applyNumberFormat="1" applyFont="1" applyFill="1" applyAlignment="1" applyProtection="1">
      <alignment horizontal="center" vertical="center"/>
      <protection locked="0"/>
    </xf>
    <xf numFmtId="0" fontId="730" fillId="3" borderId="294" xfId="53" applyFont="1" applyFill="1" applyBorder="1" applyAlignment="1" applyProtection="1">
      <alignment horizontal="left" vertical="center"/>
      <protection locked="0"/>
    </xf>
    <xf numFmtId="183" fontId="147" fillId="5" borderId="0" xfId="53" applyNumberFormat="1" applyFont="1" applyFill="1" applyAlignment="1" applyProtection="1">
      <alignment horizontal="center" vertical="center"/>
      <protection locked="0"/>
    </xf>
    <xf numFmtId="0" fontId="147" fillId="5" borderId="294" xfId="53" applyFont="1" applyFill="1" applyBorder="1" applyAlignment="1" applyProtection="1">
      <alignment horizontal="left" vertical="center"/>
      <protection locked="0"/>
    </xf>
    <xf numFmtId="184" fontId="147" fillId="5" borderId="0" xfId="53" applyNumberFormat="1" applyFont="1" applyFill="1" applyAlignment="1" applyProtection="1">
      <alignment horizontal="center" vertical="center"/>
      <protection locked="0"/>
    </xf>
    <xf numFmtId="184" fontId="730" fillId="5" borderId="0" xfId="53" applyNumberFormat="1" applyFont="1" applyFill="1" applyAlignment="1" applyProtection="1">
      <alignment horizontal="center" vertical="center"/>
      <protection locked="0"/>
    </xf>
    <xf numFmtId="0" fontId="188" fillId="5" borderId="294" xfId="53" applyFont="1" applyFill="1" applyBorder="1" applyAlignment="1" applyProtection="1">
      <alignment horizontal="left" vertical="center"/>
      <protection locked="0"/>
    </xf>
    <xf numFmtId="183" fontId="147" fillId="3" borderId="0" xfId="53" applyNumberFormat="1" applyFont="1" applyFill="1" applyAlignment="1" applyProtection="1">
      <alignment horizontal="center" vertical="center"/>
      <protection locked="0"/>
    </xf>
    <xf numFmtId="0" fontId="147" fillId="3" borderId="294" xfId="53" applyFont="1" applyFill="1" applyBorder="1" applyAlignment="1" applyProtection="1">
      <alignment horizontal="left" vertical="center"/>
      <protection locked="0"/>
    </xf>
    <xf numFmtId="0" fontId="837" fillId="12" borderId="0" xfId="52" applyFont="1" applyFill="1" applyAlignment="1">
      <alignment horizontal="right" vertical="center"/>
    </xf>
    <xf numFmtId="0" fontId="837" fillId="12" borderId="294" xfId="52" applyFont="1" applyFill="1" applyBorder="1" applyAlignment="1">
      <alignment horizontal="right" vertical="center"/>
    </xf>
    <xf numFmtId="176" fontId="89" fillId="15" borderId="0" xfId="53" applyNumberFormat="1" applyFont="1" applyFill="1" applyAlignment="1" applyProtection="1">
      <alignment horizontal="center" vertical="center"/>
      <protection locked="0"/>
    </xf>
    <xf numFmtId="0" fontId="89" fillId="8" borderId="294" xfId="53" applyFont="1" applyFill="1" applyBorder="1" applyAlignment="1" applyProtection="1">
      <alignment horizontal="left" vertical="center"/>
      <protection locked="0"/>
    </xf>
    <xf numFmtId="176" fontId="10" fillId="15" borderId="0" xfId="53" applyNumberFormat="1" applyFont="1" applyFill="1" applyAlignment="1" applyProtection="1">
      <alignment horizontal="center" vertical="center"/>
      <protection locked="0"/>
    </xf>
    <xf numFmtId="0" fontId="10" fillId="8" borderId="294" xfId="53" applyFont="1" applyFill="1" applyBorder="1" applyAlignment="1" applyProtection="1">
      <alignment horizontal="left" vertical="center"/>
      <protection locked="0"/>
    </xf>
    <xf numFmtId="176" fontId="147" fillId="5" borderId="0" xfId="53" applyNumberFormat="1" applyFont="1" applyFill="1" applyAlignment="1" applyProtection="1">
      <alignment horizontal="center" vertical="center"/>
      <protection locked="0"/>
    </xf>
    <xf numFmtId="166" fontId="147" fillId="5" borderId="0" xfId="53" applyNumberFormat="1" applyFont="1" applyFill="1" applyAlignment="1" applyProtection="1">
      <alignment horizontal="center" vertical="center"/>
      <protection locked="0"/>
    </xf>
    <xf numFmtId="172" fontId="10" fillId="15" borderId="0" xfId="53" applyNumberFormat="1" applyFont="1" applyFill="1" applyAlignment="1" applyProtection="1">
      <alignment horizontal="center" vertical="center"/>
      <protection locked="0"/>
    </xf>
    <xf numFmtId="0" fontId="573" fillId="12" borderId="0" xfId="55" applyFont="1" applyFill="1" applyAlignment="1">
      <alignment horizontal="left" vertical="center"/>
    </xf>
    <xf numFmtId="0" fontId="573" fillId="12" borderId="294" xfId="55" applyFont="1" applyFill="1" applyBorder="1" applyAlignment="1">
      <alignment horizontal="left" vertical="center"/>
    </xf>
    <xf numFmtId="0" fontId="561" fillId="890" borderId="554" xfId="0" applyFont="1" applyFill="1" applyBorder="1" applyAlignment="1">
      <alignment horizontal="right" vertical="center"/>
    </xf>
    <xf numFmtId="0" fontId="157" fillId="3" borderId="464" xfId="48" applyFont="1" applyFill="1" applyBorder="1" applyAlignment="1" applyProtection="1">
      <alignment horizontal="left" vertical="center"/>
      <protection locked="0"/>
    </xf>
    <xf numFmtId="0" fontId="158" fillId="3" borderId="0" xfId="48" applyFont="1" applyFill="1" applyAlignment="1">
      <alignment horizontal="right" vertical="center"/>
    </xf>
    <xf numFmtId="0" fontId="71" fillId="11" borderId="0" xfId="48" applyFont="1" applyFill="1" applyAlignment="1" applyProtection="1">
      <alignment horizontal="center" vertical="center"/>
      <protection locked="0"/>
    </xf>
    <xf numFmtId="1" fontId="147" fillId="3" borderId="0" xfId="48" applyNumberFormat="1" applyFont="1" applyFill="1" applyAlignment="1">
      <alignment horizontal="left" vertical="center"/>
    </xf>
    <xf numFmtId="0" fontId="573" fillId="3" borderId="0" xfId="55" applyFont="1" applyFill="1" applyAlignment="1">
      <alignment horizontal="right" vertical="center"/>
    </xf>
    <xf numFmtId="0" fontId="0" fillId="3" borderId="464" xfId="0" applyFill="1" applyBorder="1" applyAlignment="1">
      <alignment horizontal="left" vertical="center"/>
    </xf>
    <xf numFmtId="0" fontId="790" fillId="3" borderId="0" xfId="0" applyFont="1" applyFill="1" applyAlignment="1">
      <alignment horizontal="right" vertical="center"/>
    </xf>
    <xf numFmtId="1" fontId="502" fillId="3" borderId="0" xfId="48" applyNumberFormat="1" applyFont="1" applyFill="1" applyAlignment="1" applyProtection="1">
      <alignment horizontal="left" vertical="center"/>
      <protection hidden="1"/>
    </xf>
    <xf numFmtId="0" fontId="779" fillId="3" borderId="0" xfId="48" applyFont="1" applyFill="1" applyAlignment="1">
      <alignment horizontal="left" vertical="center"/>
    </xf>
    <xf numFmtId="0" fontId="90" fillId="3" borderId="0" xfId="48" applyFont="1" applyFill="1" applyAlignment="1">
      <alignment vertical="center"/>
    </xf>
    <xf numFmtId="0" fontId="40" fillId="3" borderId="294" xfId="48" applyFont="1" applyFill="1" applyBorder="1" applyAlignment="1">
      <alignment vertical="center"/>
    </xf>
    <xf numFmtId="0" fontId="174" fillId="3" borderId="0" xfId="0" applyFont="1" applyFill="1" applyAlignment="1">
      <alignment horizontal="right" vertical="center"/>
    </xf>
    <xf numFmtId="0" fontId="147" fillId="3" borderId="464" xfId="48" applyFont="1" applyFill="1" applyBorder="1" applyAlignment="1" applyProtection="1">
      <alignment horizontal="right" vertical="center"/>
      <protection locked="0"/>
    </xf>
    <xf numFmtId="0" fontId="89" fillId="2029" borderId="0" xfId="48" applyFont="1" applyFill="1" applyAlignment="1">
      <alignment horizontal="center" vertical="center"/>
    </xf>
    <xf numFmtId="0" fontId="158" fillId="153" borderId="0" xfId="48" applyFont="1" applyFill="1" applyAlignment="1">
      <alignment horizontal="center" vertical="center"/>
    </xf>
    <xf numFmtId="0" fontId="756" fillId="2029" borderId="0" xfId="48" applyFont="1" applyFill="1" applyAlignment="1">
      <alignment horizontal="left" vertical="center"/>
    </xf>
    <xf numFmtId="0" fontId="174" fillId="5" borderId="0" xfId="48" applyFont="1" applyFill="1" applyAlignment="1">
      <alignment horizontal="left" vertical="center"/>
    </xf>
    <xf numFmtId="0" fontId="844" fillId="3" borderId="0" xfId="48" applyFont="1" applyFill="1" applyAlignment="1">
      <alignment horizontal="left" vertical="center"/>
    </xf>
    <xf numFmtId="0" fontId="844" fillId="3" borderId="294" xfId="48" applyFont="1" applyFill="1" applyBorder="1" applyAlignment="1">
      <alignment horizontal="right" vertical="center"/>
    </xf>
    <xf numFmtId="0" fontId="24" fillId="2033" borderId="101" xfId="48" applyFont="1" applyFill="1" applyBorder="1" applyAlignment="1" applyProtection="1">
      <alignment horizontal="left" vertical="center"/>
      <protection locked="0"/>
    </xf>
    <xf numFmtId="0" fontId="279" fillId="2033" borderId="101" xfId="48" applyFont="1" applyFill="1" applyBorder="1" applyAlignment="1" applyProtection="1">
      <alignment horizontal="right" vertical="center"/>
      <protection locked="0"/>
    </xf>
    <xf numFmtId="0" fontId="700" fillId="3" borderId="101" xfId="55" applyFont="1" applyFill="1" applyBorder="1" applyAlignment="1">
      <alignment vertical="center"/>
    </xf>
    <xf numFmtId="0" fontId="40" fillId="3" borderId="533" xfId="48" applyFont="1" applyFill="1" applyBorder="1" applyAlignment="1">
      <alignment horizontal="right" vertical="center"/>
    </xf>
    <xf numFmtId="0" fontId="204" fillId="2034" borderId="83" xfId="49" applyFont="1" applyFill="1" applyBorder="1" applyAlignment="1">
      <alignment horizontal="right" vertical="center"/>
    </xf>
    <xf numFmtId="0" fontId="0" fillId="3" borderId="583" xfId="0" applyFill="1" applyBorder="1"/>
    <xf numFmtId="0" fontId="147" fillId="3" borderId="0" xfId="8" applyFont="1" applyFill="1" applyBorder="1" applyAlignment="1">
      <alignment horizontal="right" vertical="center"/>
    </xf>
    <xf numFmtId="0" fontId="46" fillId="2033" borderId="464" xfId="58" applyFont="1" applyFill="1" applyBorder="1" applyAlignment="1">
      <alignment horizontal="center" vertical="center"/>
    </xf>
    <xf numFmtId="0" fontId="46" fillId="2033" borderId="0" xfId="58" applyFont="1" applyFill="1" applyAlignment="1">
      <alignment horizontal="center" vertical="center"/>
    </xf>
    <xf numFmtId="0" fontId="46" fillId="2033" borderId="0" xfId="49" applyFont="1" applyFill="1" applyAlignment="1">
      <alignment horizontal="center" vertical="center"/>
    </xf>
    <xf numFmtId="0" fontId="46" fillId="2033" borderId="533" xfId="58" applyFont="1" applyFill="1" applyBorder="1" applyAlignment="1">
      <alignment horizontal="center" vertical="center"/>
    </xf>
    <xf numFmtId="245" fontId="158" fillId="3" borderId="0" xfId="48" applyNumberFormat="1" applyFont="1" applyFill="1" applyAlignment="1">
      <alignment horizontal="right" vertical="center"/>
    </xf>
    <xf numFmtId="0" fontId="158" fillId="3" borderId="464" xfId="8" applyFont="1" applyFill="1" applyBorder="1" applyAlignment="1">
      <alignment horizontal="left" vertical="center"/>
    </xf>
    <xf numFmtId="0" fontId="4" fillId="3" borderId="0" xfId="58" applyFill="1" applyAlignment="1">
      <alignment horizontal="left" vertical="center"/>
    </xf>
    <xf numFmtId="0" fontId="422" fillId="0" borderId="0" xfId="55" applyFont="1" applyAlignment="1">
      <alignment horizontal="right" vertical="center"/>
    </xf>
    <xf numFmtId="167" fontId="422" fillId="2" borderId="464" xfId="48" applyNumberFormat="1" applyFont="1" applyFill="1" applyBorder="1" applyAlignment="1">
      <alignment horizontal="center" vertical="center"/>
    </xf>
    <xf numFmtId="167" fontId="422" fillId="2" borderId="0" xfId="48" applyNumberFormat="1" applyFont="1" applyFill="1" applyAlignment="1">
      <alignment horizontal="center" vertical="center"/>
    </xf>
    <xf numFmtId="167" fontId="422" fillId="2" borderId="294" xfId="48" applyNumberFormat="1" applyFont="1" applyFill="1" applyBorder="1" applyAlignment="1">
      <alignment horizontal="center" vertical="center"/>
    </xf>
    <xf numFmtId="0" fontId="157" fillId="3" borderId="0" xfId="72" applyFont="1" applyFill="1" applyAlignment="1">
      <alignment horizontal="right" vertical="center"/>
    </xf>
    <xf numFmtId="1" fontId="148" fillId="2033" borderId="464" xfId="55" applyNumberFormat="1" applyFont="1" applyFill="1" applyBorder="1" applyAlignment="1">
      <alignment horizontal="center" vertical="center"/>
    </xf>
    <xf numFmtId="1" fontId="148" fillId="2033" borderId="0" xfId="55" applyNumberFormat="1" applyFont="1" applyFill="1" applyAlignment="1">
      <alignment horizontal="center" vertical="center"/>
    </xf>
    <xf numFmtId="1" fontId="148" fillId="2033" borderId="294" xfId="55" applyNumberFormat="1" applyFont="1" applyFill="1" applyBorder="1" applyAlignment="1">
      <alignment horizontal="center" vertical="center"/>
    </xf>
    <xf numFmtId="238" fontId="71" fillId="3" borderId="0" xfId="48" applyNumberFormat="1" applyFont="1" applyFill="1" applyAlignment="1">
      <alignment horizontal="right" vertical="center"/>
    </xf>
    <xf numFmtId="1" fontId="46" fillId="3" borderId="0" xfId="55" applyNumberFormat="1" applyFont="1" applyFill="1" applyAlignment="1">
      <alignment horizontal="center" vertical="center"/>
    </xf>
    <xf numFmtId="0" fontId="90" fillId="0" borderId="0" xfId="55" applyFont="1" applyAlignment="1">
      <alignment horizontal="right" vertical="center"/>
    </xf>
    <xf numFmtId="0" fontId="89" fillId="2" borderId="464" xfId="48" applyFont="1" applyFill="1" applyBorder="1" applyAlignment="1">
      <alignment horizontal="center" vertical="center"/>
    </xf>
    <xf numFmtId="0" fontId="89" fillId="2" borderId="0" xfId="48" applyFont="1" applyFill="1" applyAlignment="1">
      <alignment horizontal="center" vertical="center"/>
    </xf>
    <xf numFmtId="0" fontId="89" fillId="2" borderId="294" xfId="48" applyFont="1" applyFill="1" applyBorder="1" applyAlignment="1">
      <alignment horizontal="center" vertical="center"/>
    </xf>
    <xf numFmtId="0" fontId="46" fillId="3" borderId="0" xfId="72" applyFont="1" applyFill="1" applyAlignment="1">
      <alignment horizontal="right" vertical="center"/>
    </xf>
    <xf numFmtId="167" fontId="148" fillId="2033" borderId="464" xfId="48" applyNumberFormat="1" applyFont="1" applyFill="1" applyBorder="1" applyAlignment="1">
      <alignment horizontal="center" vertical="center"/>
    </xf>
    <xf numFmtId="167" fontId="148" fillId="2033" borderId="0" xfId="48" applyNumberFormat="1" applyFont="1" applyFill="1" applyAlignment="1">
      <alignment horizontal="center" vertical="center"/>
    </xf>
    <xf numFmtId="167" fontId="148" fillId="2033" borderId="294" xfId="48" applyNumberFormat="1" applyFont="1" applyFill="1" applyBorder="1" applyAlignment="1">
      <alignment horizontal="center" vertical="center"/>
    </xf>
    <xf numFmtId="0" fontId="693" fillId="3" borderId="0" xfId="58" applyFont="1" applyFill="1" applyAlignment="1">
      <alignment horizontal="right" vertical="center"/>
    </xf>
    <xf numFmtId="0" fontId="693" fillId="3" borderId="0" xfId="58" applyFont="1" applyFill="1" applyAlignment="1">
      <alignment horizontal="left" vertical="center"/>
    </xf>
    <xf numFmtId="0" fontId="792" fillId="3" borderId="0" xfId="48" applyFont="1" applyFill="1" applyAlignment="1" applyProtection="1">
      <alignment horizontal="left" vertical="center"/>
      <protection locked="0"/>
    </xf>
    <xf numFmtId="0" fontId="693" fillId="3" borderId="0" xfId="49" applyFont="1" applyFill="1" applyAlignment="1">
      <alignment horizontal="left" vertical="center"/>
    </xf>
    <xf numFmtId="0" fontId="693" fillId="3" borderId="294" xfId="49" applyFont="1" applyFill="1" applyBorder="1" applyAlignment="1">
      <alignment horizontal="center" vertical="center"/>
    </xf>
    <xf numFmtId="0" fontId="693" fillId="3" borderId="464" xfId="58" applyFont="1" applyFill="1" applyBorder="1" applyAlignment="1">
      <alignment horizontal="right" vertical="center"/>
    </xf>
    <xf numFmtId="0" fontId="845" fillId="3" borderId="294" xfId="48" applyFont="1" applyFill="1" applyBorder="1" applyAlignment="1" applyProtection="1">
      <alignment horizontal="right" vertical="center"/>
      <protection locked="0"/>
    </xf>
    <xf numFmtId="0" fontId="279" fillId="2033" borderId="533" xfId="48" applyFont="1" applyFill="1" applyBorder="1" applyAlignment="1" applyProtection="1">
      <alignment horizontal="right" vertical="center"/>
      <protection locked="0"/>
    </xf>
    <xf numFmtId="0" fontId="185" fillId="14" borderId="548" xfId="13" applyFont="1" applyFill="1" applyBorder="1" applyAlignment="1" applyProtection="1">
      <alignment horizontal="right" vertical="center"/>
      <protection locked="0"/>
    </xf>
    <xf numFmtId="0" fontId="185" fillId="14" borderId="299" xfId="13" applyFont="1" applyFill="1" applyBorder="1" applyAlignment="1" applyProtection="1">
      <alignment horizontal="right" vertical="center"/>
      <protection locked="0"/>
    </xf>
    <xf numFmtId="0" fontId="306" fillId="14" borderId="299" xfId="13" applyFont="1" applyFill="1" applyBorder="1" applyAlignment="1" applyProtection="1">
      <alignment vertical="center"/>
      <protection locked="0"/>
    </xf>
    <xf numFmtId="0" fontId="40" fillId="2041" borderId="299" xfId="48" applyFont="1" applyFill="1" applyBorder="1" applyAlignment="1">
      <alignment horizontal="center" vertical="center"/>
    </xf>
    <xf numFmtId="0" fontId="732" fillId="3" borderId="299" xfId="49" applyFont="1" applyFill="1" applyBorder="1" applyAlignment="1">
      <alignment horizontal="left" vertical="center"/>
    </xf>
    <xf numFmtId="0" fontId="0" fillId="3" borderId="440" xfId="0" applyFill="1" applyBorder="1"/>
    <xf numFmtId="0" fontId="185" fillId="14" borderId="464" xfId="13" applyFont="1" applyFill="1" applyBorder="1" applyAlignment="1" applyProtection="1">
      <alignment horizontal="right" vertical="center"/>
      <protection locked="0"/>
    </xf>
    <xf numFmtId="0" fontId="732" fillId="3" borderId="0" xfId="49" applyFont="1" applyFill="1" applyAlignment="1">
      <alignment horizontal="left" vertical="center"/>
    </xf>
    <xf numFmtId="0" fontId="185" fillId="14" borderId="0" xfId="13" applyFont="1" applyFill="1" applyAlignment="1" applyProtection="1">
      <alignment horizontal="right" vertical="center"/>
      <protection locked="0"/>
    </xf>
    <xf numFmtId="0" fontId="394" fillId="3" borderId="0" xfId="48" applyFont="1" applyFill="1" applyAlignment="1">
      <alignment vertical="center"/>
    </xf>
    <xf numFmtId="0" fontId="40" fillId="2" borderId="0" xfId="48" applyFont="1" applyFill="1" applyAlignment="1">
      <alignment horizontal="right" vertical="center"/>
    </xf>
    <xf numFmtId="0" fontId="0" fillId="0" borderId="464" xfId="0" applyBorder="1"/>
    <xf numFmtId="0" fontId="148" fillId="3" borderId="0" xfId="49" applyFont="1" applyFill="1" applyAlignment="1">
      <alignment horizontal="right" vertical="center"/>
    </xf>
    <xf numFmtId="0" fontId="158" fillId="3" borderId="0" xfId="49" applyFont="1" applyFill="1" applyAlignment="1">
      <alignment horizontal="right" vertical="center"/>
    </xf>
    <xf numFmtId="167" fontId="71" fillId="58" borderId="0" xfId="48" applyNumberFormat="1" applyFont="1" applyFill="1" applyAlignment="1">
      <alignment horizontal="center" vertical="center"/>
    </xf>
    <xf numFmtId="165" fontId="71" fillId="58" borderId="0" xfId="13" applyNumberFormat="1" applyFont="1" applyFill="1" applyAlignment="1" applyProtection="1">
      <alignment horizontal="center" vertical="center"/>
      <protection locked="0"/>
    </xf>
    <xf numFmtId="0" fontId="791" fillId="3" borderId="0" xfId="49" applyFont="1" applyFill="1" applyAlignment="1">
      <alignment horizontal="left" vertical="center"/>
    </xf>
    <xf numFmtId="0" fontId="15" fillId="7" borderId="622" xfId="52" applyFont="1" applyFill="1" applyBorder="1" applyAlignment="1">
      <alignment horizontal="center" vertical="center"/>
    </xf>
    <xf numFmtId="0" fontId="15" fillId="7" borderId="633" xfId="52" applyFont="1" applyFill="1" applyBorder="1" applyAlignment="1">
      <alignment horizontal="center" vertical="center"/>
    </xf>
    <xf numFmtId="0" fontId="15" fillId="130" borderId="634" xfId="52" applyFont="1" applyFill="1" applyBorder="1" applyAlignment="1">
      <alignment horizontal="center" vertical="center"/>
    </xf>
    <xf numFmtId="0" fontId="148" fillId="21" borderId="634" xfId="52" applyFont="1" applyFill="1" applyBorder="1" applyAlignment="1">
      <alignment horizontal="center" vertical="center"/>
    </xf>
    <xf numFmtId="0" fontId="15" fillId="2042" borderId="634" xfId="52" applyFont="1" applyFill="1" applyBorder="1" applyAlignment="1">
      <alignment horizontal="center" vertical="center"/>
    </xf>
    <xf numFmtId="0" fontId="15" fillId="46" borderId="30" xfId="52" applyFont="1" applyFill="1" applyBorder="1" applyAlignment="1">
      <alignment horizontal="right" vertical="center"/>
    </xf>
    <xf numFmtId="0" fontId="15" fillId="2043" borderId="30" xfId="48" applyFont="1" applyFill="1" applyBorder="1" applyAlignment="1">
      <alignment vertical="center"/>
    </xf>
    <xf numFmtId="0" fontId="15" fillId="2043" borderId="31" xfId="48" applyFont="1" applyFill="1" applyBorder="1" applyAlignment="1">
      <alignment vertical="center"/>
    </xf>
    <xf numFmtId="0" fontId="32" fillId="15" borderId="464" xfId="52" applyFont="1" applyFill="1" applyBorder="1" applyAlignment="1">
      <alignment horizontal="center" vertical="center"/>
    </xf>
    <xf numFmtId="0" fontId="32" fillId="15" borderId="614" xfId="52" applyFont="1" applyFill="1" applyBorder="1" applyAlignment="1">
      <alignment horizontal="center" vertical="center"/>
    </xf>
    <xf numFmtId="0" fontId="32" fillId="15" borderId="635" xfId="52" applyFont="1" applyFill="1" applyBorder="1" applyAlignment="1">
      <alignment horizontal="center" vertical="center"/>
    </xf>
    <xf numFmtId="0" fontId="32" fillId="2" borderId="635" xfId="52" applyFont="1" applyFill="1" applyBorder="1" applyAlignment="1">
      <alignment horizontal="center" vertical="center"/>
    </xf>
    <xf numFmtId="0" fontId="15" fillId="46" borderId="444" xfId="52" applyFont="1" applyFill="1" applyBorder="1" applyAlignment="1">
      <alignment horizontal="right" vertical="center"/>
    </xf>
    <xf numFmtId="189" fontId="11" fillId="2043" borderId="444" xfId="48" applyNumberFormat="1" applyFont="1" applyFill="1" applyBorder="1" applyAlignment="1">
      <alignment vertical="center"/>
    </xf>
    <xf numFmtId="189" fontId="15" fillId="2043" borderId="445" xfId="48" applyNumberFormat="1" applyFont="1" applyFill="1" applyBorder="1" applyAlignment="1">
      <alignment horizontal="left" vertical="center"/>
    </xf>
    <xf numFmtId="0" fontId="354" fillId="58" borderId="464" xfId="13" applyFont="1" applyFill="1" applyBorder="1" applyAlignment="1" applyProtection="1">
      <alignment horizontal="center" vertical="center"/>
      <protection locked="0"/>
    </xf>
    <xf numFmtId="0" fontId="354" fillId="58" borderId="614" xfId="13" applyFont="1" applyFill="1" applyBorder="1" applyAlignment="1" applyProtection="1">
      <alignment horizontal="center" vertical="center"/>
      <protection locked="0"/>
    </xf>
    <xf numFmtId="0" fontId="354" fillId="58" borderId="635" xfId="13" applyFont="1" applyFill="1" applyBorder="1" applyAlignment="1" applyProtection="1">
      <alignment horizontal="center" vertical="center"/>
      <protection locked="0"/>
    </xf>
    <xf numFmtId="0" fontId="15" fillId="130" borderId="299" xfId="52" applyFont="1" applyFill="1" applyBorder="1" applyAlignment="1">
      <alignment horizontal="right" vertical="center"/>
    </xf>
    <xf numFmtId="0" fontId="15" fillId="2044" borderId="299" xfId="48" applyFont="1" applyFill="1" applyBorder="1" applyAlignment="1">
      <alignment vertical="center"/>
    </xf>
    <xf numFmtId="0" fontId="15" fillId="2044" borderId="440" xfId="48" applyFont="1" applyFill="1" applyBorder="1" applyAlignment="1">
      <alignment vertical="center"/>
    </xf>
    <xf numFmtId="0" fontId="147" fillId="5" borderId="464" xfId="48" applyFont="1" applyFill="1" applyBorder="1" applyAlignment="1">
      <alignment horizontal="center" vertical="center"/>
    </xf>
    <xf numFmtId="0" fontId="147" fillId="5" borderId="614" xfId="48" applyFont="1" applyFill="1" applyBorder="1" applyAlignment="1">
      <alignment horizontal="center" vertical="center"/>
    </xf>
    <xf numFmtId="0" fontId="147" fillId="5" borderId="635" xfId="48" applyFont="1" applyFill="1" applyBorder="1" applyAlignment="1">
      <alignment horizontal="center" vertical="center"/>
    </xf>
    <xf numFmtId="0" fontId="15" fillId="130" borderId="444" xfId="52" applyFont="1" applyFill="1" applyBorder="1" applyAlignment="1">
      <alignment horizontal="right" vertical="center"/>
    </xf>
    <xf numFmtId="0" fontId="11" fillId="2044" borderId="444" xfId="48" applyFont="1" applyFill="1" applyBorder="1" applyAlignment="1">
      <alignment vertical="center"/>
    </xf>
    <xf numFmtId="189" fontId="15" fillId="2044" borderId="445" xfId="48" applyNumberFormat="1" applyFont="1" applyFill="1" applyBorder="1" applyAlignment="1">
      <alignment horizontal="left" vertical="center"/>
    </xf>
    <xf numFmtId="0" fontId="716" fillId="2045" borderId="610" xfId="48" applyFont="1" applyFill="1" applyBorder="1" applyAlignment="1">
      <alignment horizontal="center" vertical="center"/>
    </xf>
    <xf numFmtId="0" fontId="716" fillId="2045" borderId="637" xfId="48" applyFont="1" applyFill="1" applyBorder="1" applyAlignment="1">
      <alignment horizontal="center" vertical="center"/>
    </xf>
    <xf numFmtId="0" fontId="716" fillId="2045" borderId="638" xfId="48" applyFont="1" applyFill="1" applyBorder="1" applyAlignment="1">
      <alignment horizontal="center" vertical="center"/>
    </xf>
    <xf numFmtId="0" fontId="15" fillId="21" borderId="299" xfId="52" applyFont="1" applyFill="1" applyBorder="1" applyAlignment="1">
      <alignment horizontal="right" vertical="center"/>
    </xf>
    <xf numFmtId="0" fontId="15" fillId="2046" borderId="299" xfId="48" applyFont="1" applyFill="1" applyBorder="1" applyAlignment="1">
      <alignment vertical="center"/>
    </xf>
    <xf numFmtId="0" fontId="15" fillId="2046" borderId="440" xfId="48" applyFont="1" applyFill="1" applyBorder="1" applyAlignment="1">
      <alignment vertical="center"/>
    </xf>
    <xf numFmtId="0" fontId="784" fillId="5" borderId="548" xfId="52" applyFont="1" applyFill="1" applyBorder="1" applyAlignment="1">
      <alignment horizontal="center" vertical="center"/>
    </xf>
    <xf numFmtId="0" fontId="784" fillId="5" borderId="299" xfId="52" applyFont="1" applyFill="1" applyBorder="1" applyAlignment="1">
      <alignment horizontal="center" vertical="center"/>
    </xf>
    <xf numFmtId="0" fontId="15" fillId="5" borderId="299" xfId="52" applyFont="1" applyFill="1" applyBorder="1" applyAlignment="1">
      <alignment horizontal="center" vertical="center"/>
    </xf>
    <xf numFmtId="0" fontId="15" fillId="5" borderId="0" xfId="48" applyFont="1" applyFill="1" applyAlignment="1">
      <alignment horizontal="left" vertical="center"/>
    </xf>
    <xf numFmtId="0" fontId="732" fillId="5" borderId="639" xfId="48" applyFont="1" applyFill="1" applyBorder="1" applyAlignment="1">
      <alignment horizontal="right" vertical="center"/>
    </xf>
    <xf numFmtId="0" fontId="15" fillId="21" borderId="444" xfId="52" applyFont="1" applyFill="1" applyBorder="1" applyAlignment="1">
      <alignment horizontal="right" vertical="center"/>
    </xf>
    <xf numFmtId="0" fontId="11" fillId="2046" borderId="444" xfId="48" applyFont="1" applyFill="1" applyBorder="1" applyAlignment="1">
      <alignment vertical="center"/>
    </xf>
    <xf numFmtId="189" fontId="15" fillId="2046" borderId="445" xfId="48" applyNumberFormat="1" applyFont="1" applyFill="1" applyBorder="1" applyAlignment="1">
      <alignment horizontal="left" vertical="center"/>
    </xf>
    <xf numFmtId="189" fontId="6" fillId="5" borderId="464" xfId="49" applyNumberFormat="1" applyFont="1" applyFill="1" applyBorder="1" applyAlignment="1">
      <alignment horizontal="center" vertical="center"/>
    </xf>
    <xf numFmtId="189" fontId="6" fillId="5" borderId="0" xfId="49" applyNumberFormat="1" applyFont="1" applyFill="1" applyAlignment="1">
      <alignment horizontal="center" vertical="center"/>
    </xf>
    <xf numFmtId="0" fontId="15" fillId="1997" borderId="0" xfId="13" applyFont="1" applyFill="1" applyAlignment="1" applyProtection="1">
      <alignment horizontal="center" vertical="center"/>
      <protection locked="0"/>
    </xf>
    <xf numFmtId="0" fontId="4" fillId="5" borderId="0" xfId="49" applyFill="1"/>
    <xf numFmtId="0" fontId="15" fillId="2042" borderId="299" xfId="52" applyFont="1" applyFill="1" applyBorder="1" applyAlignment="1">
      <alignment horizontal="right" vertical="center"/>
    </xf>
    <xf numFmtId="0" fontId="15" fillId="2047" borderId="299" xfId="48" applyFont="1" applyFill="1" applyBorder="1" applyAlignment="1">
      <alignment vertical="center"/>
    </xf>
    <xf numFmtId="0" fontId="15" fillId="2047" borderId="440" xfId="48" applyFont="1" applyFill="1" applyBorder="1" applyAlignment="1">
      <alignment vertical="center"/>
    </xf>
    <xf numFmtId="0" fontId="158" fillId="1997" borderId="464" xfId="13" applyFont="1" applyFill="1" applyBorder="1" applyAlignment="1" applyProtection="1">
      <alignment horizontal="left" vertical="center"/>
      <protection locked="0"/>
    </xf>
    <xf numFmtId="0" fontId="158" fillId="1997" borderId="0" xfId="13" applyFont="1" applyFill="1" applyAlignment="1" applyProtection="1">
      <alignment horizontal="left" vertical="center"/>
      <protection locked="0"/>
    </xf>
    <xf numFmtId="0" fontId="15" fillId="5" borderId="0" xfId="48" applyFont="1" applyFill="1" applyAlignment="1">
      <alignment horizontal="center" vertical="center"/>
    </xf>
    <xf numFmtId="0" fontId="46" fillId="5" borderId="614" xfId="48" applyFont="1" applyFill="1" applyBorder="1" applyAlignment="1">
      <alignment horizontal="left" vertical="center"/>
    </xf>
    <xf numFmtId="0" fontId="15" fillId="2042" borderId="444" xfId="52" applyFont="1" applyFill="1" applyBorder="1" applyAlignment="1">
      <alignment horizontal="right" vertical="center"/>
    </xf>
    <xf numFmtId="0" fontId="11" fillId="2047" borderId="444" xfId="48" applyFont="1" applyFill="1" applyBorder="1" applyAlignment="1">
      <alignment vertical="center"/>
    </xf>
    <xf numFmtId="189" fontId="15" fillId="2047" borderId="445" xfId="48" applyNumberFormat="1" applyFont="1" applyFill="1" applyBorder="1" applyAlignment="1">
      <alignment horizontal="left" vertical="center"/>
    </xf>
    <xf numFmtId="0" fontId="279" fillId="2048" borderId="548" xfId="48" applyFont="1" applyFill="1" applyBorder="1" applyAlignment="1">
      <alignment horizontal="center" vertical="center"/>
    </xf>
    <xf numFmtId="0" fontId="6" fillId="7" borderId="299" xfId="49" applyFont="1" applyFill="1" applyBorder="1" applyAlignment="1">
      <alignment vertical="center"/>
    </xf>
    <xf numFmtId="0" fontId="6" fillId="7" borderId="639" xfId="49" applyFont="1" applyFill="1" applyBorder="1" applyAlignment="1">
      <alignment vertical="center"/>
    </xf>
    <xf numFmtId="189" fontId="279" fillId="2048" borderId="608" xfId="48" applyNumberFormat="1" applyFont="1" applyFill="1" applyBorder="1" applyAlignment="1">
      <alignment horizontal="center" vertical="center"/>
    </xf>
    <xf numFmtId="0" fontId="46" fillId="7" borderId="299" xfId="49" applyFont="1" applyFill="1" applyBorder="1" applyAlignment="1">
      <alignment horizontal="left" vertical="center"/>
    </xf>
    <xf numFmtId="0" fontId="24" fillId="7" borderId="299" xfId="49" applyFont="1" applyFill="1" applyBorder="1" applyAlignment="1">
      <alignment vertical="center"/>
    </xf>
    <xf numFmtId="0" fontId="24" fillId="7" borderId="440" xfId="49" applyFont="1" applyFill="1" applyBorder="1" applyAlignment="1">
      <alignment vertical="center"/>
    </xf>
    <xf numFmtId="0" fontId="279" fillId="2049" borderId="464" xfId="48" applyFont="1" applyFill="1" applyBorder="1" applyAlignment="1">
      <alignment horizontal="center" vertical="center"/>
    </xf>
    <xf numFmtId="0" fontId="6" fillId="2050" borderId="0" xfId="49" applyFont="1" applyFill="1" applyAlignment="1">
      <alignment vertical="center"/>
    </xf>
    <xf numFmtId="0" fontId="6" fillId="2050" borderId="614" xfId="49" applyFont="1" applyFill="1" applyBorder="1" applyAlignment="1">
      <alignment vertical="center"/>
    </xf>
    <xf numFmtId="189" fontId="279" fillId="2049" borderId="607" xfId="48" applyNumberFormat="1" applyFont="1" applyFill="1" applyBorder="1" applyAlignment="1">
      <alignment horizontal="center" vertical="center"/>
    </xf>
    <xf numFmtId="0" fontId="46" fillId="2050" borderId="0" xfId="49" applyFont="1" applyFill="1" applyAlignment="1">
      <alignment horizontal="left" vertical="center"/>
    </xf>
    <xf numFmtId="0" fontId="24" fillId="2050" borderId="0" xfId="49" applyFont="1" applyFill="1" applyAlignment="1">
      <alignment vertical="center"/>
    </xf>
    <xf numFmtId="0" fontId="24" fillId="2050" borderId="294" xfId="49" applyFont="1" applyFill="1" applyBorder="1" applyAlignment="1">
      <alignment vertical="center"/>
    </xf>
    <xf numFmtId="0" fontId="279" fillId="2051" borderId="464" xfId="48" applyFont="1" applyFill="1" applyBorder="1" applyAlignment="1">
      <alignment horizontal="center" vertical="center"/>
    </xf>
    <xf numFmtId="0" fontId="6" fillId="21" borderId="0" xfId="49" applyFont="1" applyFill="1" applyAlignment="1">
      <alignment vertical="center"/>
    </xf>
    <xf numFmtId="0" fontId="6" fillId="21" borderId="614" xfId="49" applyFont="1" applyFill="1" applyBorder="1" applyAlignment="1">
      <alignment vertical="center"/>
    </xf>
    <xf numFmtId="189" fontId="279" fillId="2051" borderId="607" xfId="48" applyNumberFormat="1" applyFont="1" applyFill="1" applyBorder="1" applyAlignment="1">
      <alignment horizontal="center" vertical="center"/>
    </xf>
    <xf numFmtId="0" fontId="46" fillId="21" borderId="0" xfId="49" applyFont="1" applyFill="1" applyAlignment="1">
      <alignment horizontal="left" vertical="center"/>
    </xf>
    <xf numFmtId="0" fontId="24" fillId="21" borderId="0" xfId="49" applyFont="1" applyFill="1" applyAlignment="1">
      <alignment vertical="center"/>
    </xf>
    <xf numFmtId="0" fontId="24" fillId="21" borderId="294" xfId="49" applyFont="1" applyFill="1" applyBorder="1" applyAlignment="1">
      <alignment vertical="center"/>
    </xf>
    <xf numFmtId="0" fontId="279" fillId="2052" borderId="464" xfId="48" applyFont="1" applyFill="1" applyBorder="1" applyAlignment="1">
      <alignment horizontal="center" vertical="center"/>
    </xf>
    <xf numFmtId="0" fontId="6" fillId="2042" borderId="0" xfId="49" applyFont="1" applyFill="1" applyAlignment="1">
      <alignment vertical="center"/>
    </xf>
    <xf numFmtId="0" fontId="6" fillId="2042" borderId="614" xfId="49" applyFont="1" applyFill="1" applyBorder="1" applyAlignment="1">
      <alignment vertical="center"/>
    </xf>
    <xf numFmtId="189" fontId="279" fillId="2052" borderId="607" xfId="48" applyNumberFormat="1" applyFont="1" applyFill="1" applyBorder="1" applyAlignment="1">
      <alignment horizontal="center" vertical="center"/>
    </xf>
    <xf numFmtId="0" fontId="46" fillId="2042" borderId="0" xfId="49" applyFont="1" applyFill="1" applyAlignment="1">
      <alignment horizontal="left" vertical="center"/>
    </xf>
    <xf numFmtId="0" fontId="24" fillId="2042" borderId="0" xfId="49" applyFont="1" applyFill="1" applyAlignment="1">
      <alignment vertical="center"/>
    </xf>
    <xf numFmtId="0" fontId="24" fillId="2042" borderId="294" xfId="49" applyFont="1" applyFill="1" applyBorder="1" applyAlignment="1">
      <alignment vertical="center"/>
    </xf>
    <xf numFmtId="0" fontId="57" fillId="3" borderId="101" xfId="8" applyFill="1" applyBorder="1" applyAlignment="1">
      <alignment horizontal="left" vertical="center"/>
    </xf>
    <xf numFmtId="0" fontId="139" fillId="2021" borderId="0" xfId="0" applyFont="1" applyFill="1" applyAlignment="1">
      <alignment horizontal="right" vertical="center"/>
    </xf>
    <xf numFmtId="0" fontId="139" fillId="3" borderId="0" xfId="0" applyFont="1" applyFill="1" applyAlignment="1">
      <alignment horizontal="left" vertical="center"/>
    </xf>
    <xf numFmtId="0" fontId="57" fillId="3" borderId="299" xfId="8" applyFill="1" applyBorder="1" applyAlignment="1">
      <alignment vertical="center"/>
    </xf>
    <xf numFmtId="168" fontId="672" fillId="2" borderId="586" xfId="48" applyNumberFormat="1" applyFont="1" applyFill="1" applyBorder="1" applyAlignment="1">
      <alignment horizontal="center" vertical="center"/>
    </xf>
    <xf numFmtId="169" fontId="147" fillId="2024" borderId="0" xfId="48" applyNumberFormat="1" applyFont="1" applyFill="1" applyAlignment="1">
      <alignment horizontal="center" vertical="center"/>
    </xf>
    <xf numFmtId="200" fontId="107" fillId="2" borderId="0" xfId="48" applyNumberFormat="1" applyFont="1" applyFill="1" applyAlignment="1">
      <alignment horizontal="center" vertical="center"/>
    </xf>
    <xf numFmtId="0" fontId="349" fillId="2" borderId="395" xfId="48" applyFont="1" applyFill="1" applyBorder="1" applyAlignment="1" applyProtection="1">
      <alignment horizontal="center" vertical="center"/>
      <protection hidden="1"/>
    </xf>
    <xf numFmtId="0" fontId="15" fillId="2" borderId="395" xfId="48" applyFont="1" applyFill="1" applyBorder="1" applyAlignment="1" applyProtection="1">
      <alignment horizontal="center" vertical="center"/>
      <protection hidden="1"/>
    </xf>
    <xf numFmtId="0" fontId="169" fillId="3" borderId="395" xfId="55" applyFont="1" applyFill="1" applyBorder="1" applyAlignment="1">
      <alignment vertical="center"/>
    </xf>
    <xf numFmtId="0" fontId="0" fillId="3" borderId="541" xfId="0" applyFill="1" applyBorder="1"/>
    <xf numFmtId="0" fontId="0" fillId="3" borderId="533" xfId="0" applyFill="1" applyBorder="1"/>
    <xf numFmtId="0" fontId="587" fillId="2010" borderId="0" xfId="52" applyFont="1" applyFill="1" applyAlignment="1">
      <alignment horizontal="center" vertical="center"/>
    </xf>
    <xf numFmtId="0" fontId="0" fillId="3" borderId="5" xfId="0" applyFill="1" applyBorder="1" applyAlignment="1">
      <alignment horizontal="left" vertical="center"/>
    </xf>
    <xf numFmtId="0" fontId="147" fillId="68" borderId="0" xfId="53" applyFont="1" applyFill="1" applyAlignment="1">
      <alignment horizontal="center" vertical="center"/>
    </xf>
    <xf numFmtId="0" fontId="550" fillId="123" borderId="0" xfId="53" applyFont="1" applyFill="1" applyAlignment="1">
      <alignment horizontal="center" vertical="center"/>
    </xf>
    <xf numFmtId="0" fontId="847" fillId="3" borderId="5" xfId="0" applyFont="1" applyFill="1" applyBorder="1" applyAlignment="1">
      <alignment vertical="center"/>
    </xf>
    <xf numFmtId="0" fontId="847" fillId="3" borderId="0" xfId="0" applyFont="1" applyFill="1" applyAlignment="1">
      <alignment vertical="center"/>
    </xf>
    <xf numFmtId="0" fontId="1" fillId="3" borderId="567" xfId="0" applyFont="1" applyFill="1" applyBorder="1" applyAlignment="1">
      <alignment vertical="center"/>
    </xf>
    <xf numFmtId="0" fontId="107" fillId="3" borderId="567" xfId="48" applyFont="1" applyFill="1" applyBorder="1" applyAlignment="1" applyProtection="1">
      <alignment horizontal="center" vertical="center"/>
      <protection hidden="1"/>
    </xf>
    <xf numFmtId="0" fontId="0" fillId="3" borderId="568" xfId="0" applyFill="1" applyBorder="1"/>
    <xf numFmtId="0" fontId="90" fillId="3" borderId="567" xfId="0" applyFont="1" applyFill="1" applyBorder="1" applyAlignment="1">
      <alignment horizontal="left" vertical="center"/>
    </xf>
    <xf numFmtId="0" fontId="157" fillId="123" borderId="424" xfId="48" applyFont="1" applyFill="1" applyBorder="1" applyAlignment="1">
      <alignment horizontal="center" vertical="center" wrapText="1"/>
    </xf>
    <xf numFmtId="0" fontId="288" fillId="123" borderId="7" xfId="48" applyFont="1" applyFill="1" applyBorder="1" applyAlignment="1">
      <alignment vertical="center"/>
    </xf>
    <xf numFmtId="0" fontId="433" fillId="123" borderId="7" xfId="48" applyFont="1" applyFill="1" applyBorder="1" applyAlignment="1">
      <alignment vertical="center"/>
    </xf>
    <xf numFmtId="1" fontId="11" fillId="149" borderId="419" xfId="48" applyNumberFormat="1" applyFont="1" applyFill="1" applyBorder="1" applyAlignment="1" applyProtection="1">
      <alignment vertical="center"/>
      <protection hidden="1"/>
    </xf>
    <xf numFmtId="0" fontId="157" fillId="149" borderId="5" xfId="48" applyFont="1" applyFill="1" applyBorder="1" applyAlignment="1">
      <alignment horizontal="center" vertical="center" wrapText="1"/>
    </xf>
    <xf numFmtId="0" fontId="288" fillId="149" borderId="0" xfId="48" applyFont="1" applyFill="1" applyAlignment="1">
      <alignment vertical="center"/>
    </xf>
    <xf numFmtId="0" fontId="433" fillId="149" borderId="0" xfId="48" applyFont="1" applyFill="1" applyAlignment="1">
      <alignment vertical="center"/>
    </xf>
    <xf numFmtId="1" fontId="11" fillId="149" borderId="294" xfId="48" applyNumberFormat="1" applyFont="1" applyFill="1" applyBorder="1" applyAlignment="1" applyProtection="1">
      <alignment vertical="center"/>
      <protection hidden="1"/>
    </xf>
    <xf numFmtId="0" fontId="147" fillId="149" borderId="5" xfId="52" applyFont="1" applyFill="1" applyBorder="1" applyAlignment="1">
      <alignment horizontal="right" vertical="center"/>
    </xf>
    <xf numFmtId="0" fontId="793" fillId="149" borderId="0" xfId="52" applyFont="1" applyFill="1" applyAlignment="1">
      <alignment vertical="center"/>
    </xf>
    <xf numFmtId="0" fontId="174" fillId="149" borderId="5" xfId="51" applyFont="1" applyFill="1" applyBorder="1" applyAlignment="1">
      <alignment horizontal="right" vertical="top"/>
    </xf>
    <xf numFmtId="0" fontId="56" fillId="149" borderId="0" xfId="51" applyFont="1" applyFill="1" applyAlignment="1">
      <alignment horizontal="left" vertical="top"/>
    </xf>
    <xf numFmtId="0" fontId="56" fillId="149" borderId="0" xfId="51" applyFont="1" applyFill="1" applyAlignment="1">
      <alignment horizontal="center" vertical="top" wrapText="1"/>
    </xf>
    <xf numFmtId="0" fontId="820" fillId="149" borderId="5" xfId="0" applyFont="1" applyFill="1" applyBorder="1" applyAlignment="1">
      <alignment horizontal="right" vertical="center"/>
    </xf>
    <xf numFmtId="0" fontId="790" fillId="149" borderId="0" xfId="0" applyFont="1" applyFill="1" applyAlignment="1">
      <alignment horizontal="left" vertical="center"/>
    </xf>
    <xf numFmtId="0" fontId="793" fillId="149" borderId="5" xfId="48" applyFont="1" applyFill="1" applyBorder="1" applyAlignment="1">
      <alignment horizontal="left" vertical="center"/>
    </xf>
    <xf numFmtId="0" fontId="200" fillId="149" borderId="0" xfId="48" applyFont="1" applyFill="1" applyAlignment="1">
      <alignment horizontal="left" vertical="center"/>
    </xf>
    <xf numFmtId="0" fontId="714" fillId="149" borderId="0" xfId="48" applyFont="1" applyFill="1" applyAlignment="1">
      <alignment horizontal="center" vertical="center"/>
    </xf>
    <xf numFmtId="0" fontId="147" fillId="149" borderId="0" xfId="48" applyFont="1" applyFill="1" applyAlignment="1">
      <alignment horizontal="center" vertical="center"/>
    </xf>
    <xf numFmtId="0" fontId="820" fillId="12" borderId="0" xfId="0" applyFont="1" applyFill="1" applyAlignment="1">
      <alignment horizontal="right" vertical="center"/>
    </xf>
    <xf numFmtId="0" fontId="790" fillId="2" borderId="0" xfId="0" applyFont="1" applyFill="1" applyAlignment="1">
      <alignment horizontal="left" vertical="center"/>
    </xf>
    <xf numFmtId="0" fontId="24" fillId="123" borderId="82" xfId="63" applyFont="1" applyFill="1" applyBorder="1" applyAlignment="1">
      <alignment horizontal="left" vertical="center"/>
    </xf>
    <xf numFmtId="0" fontId="24" fillId="123" borderId="83" xfId="63" applyFont="1" applyFill="1" applyBorder="1" applyAlignment="1">
      <alignment horizontal="left" vertical="center"/>
    </xf>
    <xf numFmtId="0" fontId="24" fillId="123" borderId="84" xfId="63" applyFont="1" applyFill="1" applyBorder="1" applyAlignment="1">
      <alignment horizontal="left" vertical="center"/>
    </xf>
    <xf numFmtId="0" fontId="24" fillId="3" borderId="464" xfId="63" applyFont="1" applyFill="1" applyBorder="1" applyAlignment="1">
      <alignment vertical="center"/>
    </xf>
    <xf numFmtId="0" fontId="30" fillId="3" borderId="301" xfId="63" applyFont="1" applyFill="1" applyBorder="1" applyAlignment="1">
      <alignment vertical="center"/>
    </xf>
    <xf numFmtId="0" fontId="24" fillId="3" borderId="469" xfId="63" applyFont="1" applyFill="1" applyBorder="1" applyAlignment="1">
      <alignment vertical="center"/>
    </xf>
    <xf numFmtId="0" fontId="30" fillId="3" borderId="470" xfId="63" applyFont="1" applyFill="1" applyBorder="1" applyAlignment="1">
      <alignment vertical="center"/>
    </xf>
    <xf numFmtId="0" fontId="24" fillId="149" borderId="5" xfId="63" applyFont="1" applyFill="1" applyBorder="1" applyAlignment="1">
      <alignment horizontal="center" vertical="center" wrapText="1"/>
    </xf>
    <xf numFmtId="0" fontId="24" fillId="149" borderId="0" xfId="63" applyFont="1" applyFill="1" applyAlignment="1">
      <alignment vertical="center"/>
    </xf>
    <xf numFmtId="0" fontId="30" fillId="149" borderId="0" xfId="63" applyFont="1" applyFill="1" applyAlignment="1">
      <alignment vertical="center"/>
    </xf>
    <xf numFmtId="0" fontId="389" fillId="149" borderId="5" xfId="55" applyFont="1" applyFill="1" applyBorder="1" applyAlignment="1">
      <alignment horizontal="left" vertical="center"/>
    </xf>
    <xf numFmtId="0" fontId="174" fillId="149" borderId="0" xfId="51" applyFont="1" applyFill="1" applyAlignment="1">
      <alignment horizontal="right" vertical="top"/>
    </xf>
    <xf numFmtId="0" fontId="56" fillId="149" borderId="0" xfId="51" applyFont="1" applyFill="1" applyAlignment="1">
      <alignment vertical="top"/>
    </xf>
    <xf numFmtId="0" fontId="368" fillId="149" borderId="0" xfId="55" applyFont="1" applyFill="1" applyAlignment="1">
      <alignment horizontal="right" vertical="center"/>
    </xf>
    <xf numFmtId="0" fontId="147" fillId="149" borderId="294" xfId="55" applyFont="1" applyFill="1" applyBorder="1" applyAlignment="1">
      <alignment vertical="center" wrapText="1"/>
    </xf>
    <xf numFmtId="0" fontId="107" fillId="2" borderId="5" xfId="48" applyFont="1" applyFill="1" applyBorder="1" applyAlignment="1">
      <alignment horizontal="center" vertical="center"/>
    </xf>
    <xf numFmtId="0" fontId="389" fillId="149" borderId="0" xfId="48" applyFont="1" applyFill="1" applyAlignment="1">
      <alignment horizontal="left" vertical="center"/>
    </xf>
    <xf numFmtId="0" fontId="56" fillId="149" borderId="0" xfId="0" applyFont="1" applyFill="1" applyAlignment="1">
      <alignment horizontal="center"/>
    </xf>
    <xf numFmtId="0" fontId="56" fillId="149" borderId="294" xfId="0" applyFont="1" applyFill="1" applyBorder="1" applyAlignment="1">
      <alignment horizontal="left"/>
    </xf>
    <xf numFmtId="200" fontId="818" fillId="149" borderId="5" xfId="0" applyNumberFormat="1" applyFont="1" applyFill="1" applyBorder="1" applyAlignment="1">
      <alignment horizontal="right" vertical="center"/>
    </xf>
    <xf numFmtId="200" fontId="0" fillId="149" borderId="0" xfId="0" applyNumberFormat="1" applyFill="1" applyAlignment="1">
      <alignment horizontal="left" vertical="center"/>
    </xf>
    <xf numFmtId="0" fontId="394" fillId="149" borderId="0" xfId="48" applyFont="1" applyFill="1" applyAlignment="1">
      <alignment horizontal="right" vertical="center"/>
    </xf>
    <xf numFmtId="1" fontId="594" fillId="11" borderId="0" xfId="48" applyNumberFormat="1" applyFont="1" applyFill="1" applyAlignment="1">
      <alignment horizontal="center" vertical="center"/>
    </xf>
    <xf numFmtId="0" fontId="848" fillId="149" borderId="5" xfId="48" applyFont="1" applyFill="1" applyBorder="1" applyAlignment="1">
      <alignment horizontal="left" vertical="center"/>
    </xf>
    <xf numFmtId="0" fontId="1" fillId="149" borderId="0" xfId="49" applyFont="1" applyFill="1" applyAlignment="1">
      <alignment horizontal="left" vertical="center"/>
    </xf>
    <xf numFmtId="0" fontId="0" fillId="149" borderId="0" xfId="0" applyFill="1" applyAlignment="1">
      <alignment horizontal="left"/>
    </xf>
    <xf numFmtId="0" fontId="0" fillId="149" borderId="294" xfId="0" applyFill="1" applyBorder="1" applyAlignment="1">
      <alignment horizontal="left" vertical="center"/>
    </xf>
    <xf numFmtId="0" fontId="1" fillId="149" borderId="0" xfId="49" applyFont="1" applyFill="1" applyAlignment="1">
      <alignment horizontal="left"/>
    </xf>
    <xf numFmtId="0" fontId="431" fillId="149" borderId="5" xfId="48" applyFont="1" applyFill="1" applyBorder="1" applyAlignment="1">
      <alignment horizontal="left" vertical="center"/>
    </xf>
    <xf numFmtId="0" fontId="849" fillId="149" borderId="5" xfId="48" applyFont="1" applyFill="1" applyBorder="1" applyAlignment="1" applyProtection="1">
      <alignment horizontal="left" vertical="center"/>
      <protection locked="0"/>
    </xf>
    <xf numFmtId="0" fontId="849" fillId="149" borderId="0" xfId="48" applyFont="1" applyFill="1" applyAlignment="1" applyProtection="1">
      <alignment horizontal="left" vertical="center"/>
      <protection locked="0"/>
    </xf>
    <xf numFmtId="0" fontId="1" fillId="149" borderId="5" xfId="0" applyFont="1" applyFill="1" applyBorder="1" applyAlignment="1">
      <alignment vertical="center"/>
    </xf>
    <xf numFmtId="0" fontId="1" fillId="149" borderId="0" xfId="0" applyFont="1" applyFill="1" applyAlignment="1">
      <alignment vertical="center"/>
    </xf>
    <xf numFmtId="0" fontId="40" fillId="149" borderId="5" xfId="0" applyFont="1" applyFill="1" applyBorder="1"/>
    <xf numFmtId="0" fontId="40" fillId="149" borderId="0" xfId="0" applyFont="1" applyFill="1"/>
    <xf numFmtId="0" fontId="157" fillId="158" borderId="641" xfId="48" applyFont="1" applyFill="1" applyBorder="1" applyAlignment="1" applyProtection="1">
      <alignment horizontal="center"/>
      <protection locked="0"/>
    </xf>
    <xf numFmtId="0" fontId="790" fillId="158" borderId="299" xfId="48" applyFont="1" applyFill="1" applyBorder="1" applyAlignment="1" applyProtection="1">
      <alignment horizontal="center"/>
      <protection locked="0"/>
    </xf>
    <xf numFmtId="0" fontId="349" fillId="12" borderId="299" xfId="48" applyFont="1" applyFill="1" applyBorder="1" applyAlignment="1" applyProtection="1">
      <alignment horizontal="center" vertical="center"/>
      <protection hidden="1"/>
    </xf>
    <xf numFmtId="0" fontId="46" fillId="149" borderId="440" xfId="48" applyFont="1" applyFill="1" applyBorder="1" applyAlignment="1">
      <alignment horizontal="center"/>
    </xf>
    <xf numFmtId="0" fontId="157" fillId="158" borderId="131" xfId="48" applyFont="1" applyFill="1" applyBorder="1" applyAlignment="1" applyProtection="1">
      <alignment horizontal="center" vertical="center"/>
      <protection hidden="1"/>
    </xf>
    <xf numFmtId="0" fontId="46" fillId="149" borderId="568" xfId="55" applyFont="1" applyFill="1" applyBorder="1" applyAlignment="1">
      <alignment horizontal="center" vertical="center"/>
    </xf>
    <xf numFmtId="170" fontId="693" fillId="2023" borderId="642" xfId="48" applyNumberFormat="1" applyFont="1" applyFill="1" applyBorder="1" applyAlignment="1">
      <alignment horizontal="center" vertical="center"/>
    </xf>
    <xf numFmtId="170" fontId="422" fillId="2" borderId="587" xfId="48" applyNumberFormat="1" applyFont="1" applyFill="1" applyBorder="1" applyAlignment="1">
      <alignment horizontal="center" vertical="center"/>
    </xf>
    <xf numFmtId="0" fontId="431" fillId="0" borderId="294" xfId="48" applyFont="1" applyBorder="1" applyAlignment="1">
      <alignment horizontal="left" vertical="center"/>
    </xf>
    <xf numFmtId="199" fontId="157" fillId="2022" borderId="5" xfId="48" applyNumberFormat="1" applyFont="1" applyFill="1" applyBorder="1" applyAlignment="1">
      <alignment horizontal="center" vertical="center"/>
    </xf>
    <xf numFmtId="1" fontId="46" fillId="2054" borderId="294" xfId="48" applyNumberFormat="1" applyFont="1" applyFill="1" applyBorder="1" applyAlignment="1">
      <alignment horizontal="right" vertical="center"/>
    </xf>
    <xf numFmtId="0" fontId="24" fillId="3" borderId="131" xfId="72" applyFont="1" applyFill="1" applyBorder="1" applyAlignment="1">
      <alignment horizontal="right" vertical="center"/>
    </xf>
    <xf numFmtId="167" fontId="147" fillId="2024" borderId="5" xfId="48" applyNumberFormat="1" applyFont="1" applyFill="1" applyBorder="1" applyAlignment="1">
      <alignment horizontal="center" vertical="center"/>
    </xf>
    <xf numFmtId="1" fontId="24" fillId="2026" borderId="627" xfId="48" applyNumberFormat="1" applyFont="1" applyFill="1" applyBorder="1" applyAlignment="1">
      <alignment horizontal="center" vertical="center" wrapText="1"/>
    </xf>
    <xf numFmtId="1" fontId="24" fillId="2028" borderId="356" xfId="48" applyNumberFormat="1" applyFont="1" applyFill="1" applyBorder="1" applyAlignment="1">
      <alignment horizontal="center" vertical="center"/>
    </xf>
    <xf numFmtId="2" fontId="4" fillId="2025" borderId="0" xfId="73" applyNumberFormat="1" applyFill="1" applyAlignment="1" applyProtection="1">
      <alignment horizontal="center" vertical="center"/>
      <protection locked="0"/>
    </xf>
    <xf numFmtId="241" fontId="147" fillId="3" borderId="0" xfId="48" applyNumberFormat="1" applyFont="1" applyFill="1" applyAlignment="1">
      <alignment horizontal="center" vertical="center"/>
    </xf>
    <xf numFmtId="1" fontId="24" fillId="2028" borderId="0" xfId="48" applyNumberFormat="1" applyFont="1" applyFill="1" applyAlignment="1">
      <alignment horizontal="center" vertical="center"/>
    </xf>
    <xf numFmtId="0" fontId="691" fillId="149" borderId="5" xfId="55" applyFont="1" applyFill="1" applyBorder="1" applyAlignment="1">
      <alignment horizontal="left" vertical="center"/>
    </xf>
    <xf numFmtId="165" fontId="788" fillId="149" borderId="0" xfId="48" applyNumberFormat="1" applyFont="1" applyFill="1" applyAlignment="1">
      <alignment horizontal="center" vertical="center"/>
    </xf>
    <xf numFmtId="1" fontId="46" fillId="2055" borderId="0" xfId="48" applyNumberFormat="1" applyFont="1" applyFill="1" applyAlignment="1">
      <alignment horizontal="left" vertical="center"/>
    </xf>
    <xf numFmtId="1" fontId="147" fillId="2054" borderId="0" xfId="48" applyNumberFormat="1" applyFont="1" applyFill="1" applyAlignment="1">
      <alignment horizontal="right" vertical="center"/>
    </xf>
    <xf numFmtId="172" fontId="791" fillId="149" borderId="0" xfId="48" applyNumberFormat="1" applyFont="1" applyFill="1" applyAlignment="1">
      <alignment horizontal="center" vertical="center"/>
    </xf>
    <xf numFmtId="165" fontId="174" fillId="12" borderId="0" xfId="48" applyNumberFormat="1" applyFont="1" applyFill="1" applyAlignment="1">
      <alignment horizontal="left" vertical="center"/>
    </xf>
    <xf numFmtId="1" fontId="46" fillId="2054" borderId="0" xfId="48" applyNumberFormat="1" applyFont="1" applyFill="1" applyAlignment="1">
      <alignment horizontal="center" vertical="center"/>
    </xf>
    <xf numFmtId="165" fontId="147" fillId="2040" borderId="0" xfId="48" applyNumberFormat="1" applyFont="1" applyFill="1" applyAlignment="1">
      <alignment horizontal="center" vertical="center"/>
    </xf>
    <xf numFmtId="0" fontId="15" fillId="149" borderId="5" xfId="54" applyFont="1" applyFill="1" applyBorder="1" applyAlignment="1">
      <alignment vertical="center"/>
    </xf>
    <xf numFmtId="0" fontId="174" fillId="12" borderId="643" xfId="71" applyFont="1" applyFill="1" applyBorder="1" applyAlignment="1">
      <alignment horizontal="center" vertical="center"/>
    </xf>
    <xf numFmtId="0" fontId="1" fillId="149" borderId="0" xfId="0" applyFont="1" applyFill="1" applyAlignment="1">
      <alignment vertical="top"/>
    </xf>
    <xf numFmtId="0" fontId="0" fillId="149" borderId="0" xfId="0" applyFill="1" applyAlignment="1">
      <alignment vertical="top"/>
    </xf>
    <xf numFmtId="0" fontId="0" fillId="149" borderId="0" xfId="0" applyFill="1" applyAlignment="1">
      <alignment vertical="center"/>
    </xf>
    <xf numFmtId="165" fontId="832" fillId="149" borderId="0" xfId="48" applyNumberFormat="1" applyFont="1" applyFill="1" applyAlignment="1">
      <alignment horizontal="center" vertical="top" wrapText="1"/>
    </xf>
    <xf numFmtId="165" fontId="832" fillId="149" borderId="294" xfId="48" applyNumberFormat="1" applyFont="1" applyFill="1" applyBorder="1" applyAlignment="1">
      <alignment horizontal="center" vertical="top" wrapText="1"/>
    </xf>
    <xf numFmtId="0" fontId="46" fillId="3" borderId="644" xfId="48" applyFont="1" applyFill="1" applyBorder="1" applyAlignment="1">
      <alignment horizontal="center"/>
    </xf>
    <xf numFmtId="0" fontId="46" fillId="3" borderId="539" xfId="55" applyFont="1" applyFill="1" applyBorder="1" applyAlignment="1">
      <alignment horizontal="center" vertical="center"/>
    </xf>
    <xf numFmtId="0" fontId="691" fillId="3" borderId="647" xfId="55" applyFont="1" applyFill="1" applyBorder="1" applyAlignment="1">
      <alignment horizontal="left" vertical="center"/>
    </xf>
    <xf numFmtId="165" fontId="788" fillId="3" borderId="648" xfId="48" applyNumberFormat="1" applyFont="1" applyFill="1" applyBorder="1" applyAlignment="1">
      <alignment horizontal="center" vertical="center"/>
    </xf>
    <xf numFmtId="1" fontId="46" fillId="2056" borderId="649" xfId="48" applyNumberFormat="1" applyFont="1" applyFill="1" applyBorder="1" applyAlignment="1">
      <alignment horizontal="center" vertical="center"/>
    </xf>
    <xf numFmtId="1" fontId="147" fillId="2024" borderId="0" xfId="48" applyNumberFormat="1" applyFont="1" applyFill="1" applyAlignment="1">
      <alignment horizontal="right" vertical="center"/>
    </xf>
    <xf numFmtId="172" fontId="791" fillId="2" borderId="629" xfId="48" applyNumberFormat="1" applyFont="1" applyFill="1" applyBorder="1" applyAlignment="1">
      <alignment horizontal="center" vertical="center"/>
    </xf>
    <xf numFmtId="165" fontId="788" fillId="3" borderId="650" xfId="48" applyNumberFormat="1" applyFont="1" applyFill="1" applyBorder="1" applyAlignment="1">
      <alignment horizontal="center" vertical="center"/>
    </xf>
    <xf numFmtId="1" fontId="46" fillId="2028" borderId="651" xfId="48" applyNumberFormat="1" applyFont="1" applyFill="1" applyBorder="1" applyAlignment="1">
      <alignment horizontal="center" vertical="center"/>
    </xf>
    <xf numFmtId="165" fontId="788" fillId="1998" borderId="648" xfId="48" applyNumberFormat="1" applyFont="1" applyFill="1" applyBorder="1" applyAlignment="1">
      <alignment horizontal="center" vertical="center"/>
    </xf>
    <xf numFmtId="165" fontId="788" fillId="2040" borderId="649" xfId="48" applyNumberFormat="1" applyFont="1" applyFill="1" applyBorder="1" applyAlignment="1">
      <alignment horizontal="center" vertical="center"/>
    </xf>
    <xf numFmtId="1" fontId="46" fillId="2027" borderId="596" xfId="48" applyNumberFormat="1" applyFont="1" applyFill="1" applyBorder="1" applyAlignment="1">
      <alignment horizontal="center" vertical="center"/>
    </xf>
    <xf numFmtId="0" fontId="691" fillId="3" borderId="5" xfId="55" applyFont="1" applyFill="1" applyBorder="1" applyAlignment="1">
      <alignment horizontal="left" vertical="center"/>
    </xf>
    <xf numFmtId="165" fontId="788" fillId="1998" borderId="0" xfId="48" applyNumberFormat="1" applyFont="1" applyFill="1" applyAlignment="1">
      <alignment horizontal="center" vertical="center"/>
    </xf>
    <xf numFmtId="1" fontId="46" fillId="2056" borderId="0" xfId="48" applyNumberFormat="1" applyFont="1" applyFill="1" applyAlignment="1">
      <alignment horizontal="center" vertical="center"/>
    </xf>
    <xf numFmtId="172" fontId="791" fillId="2" borderId="0" xfId="48" applyNumberFormat="1" applyFont="1" applyFill="1" applyAlignment="1">
      <alignment horizontal="center" vertical="center"/>
    </xf>
    <xf numFmtId="165" fontId="788" fillId="2040" borderId="0" xfId="48" applyNumberFormat="1" applyFont="1" applyFill="1" applyAlignment="1">
      <alignment horizontal="center" vertical="center"/>
    </xf>
    <xf numFmtId="1" fontId="46" fillId="2027" borderId="294" xfId="48" applyNumberFormat="1" applyFont="1" applyFill="1" applyBorder="1" applyAlignment="1">
      <alignment horizontal="right" vertical="center"/>
    </xf>
    <xf numFmtId="0" fontId="15" fillId="149" borderId="0" xfId="54" applyFont="1" applyFill="1" applyAlignment="1">
      <alignment vertical="center"/>
    </xf>
    <xf numFmtId="0" fontId="15" fillId="149" borderId="0" xfId="54" applyFont="1" applyFill="1" applyAlignment="1">
      <alignment horizontal="center" vertical="center"/>
    </xf>
    <xf numFmtId="0" fontId="15" fillId="149" borderId="294" xfId="54" applyFont="1" applyFill="1" applyBorder="1" applyAlignment="1">
      <alignment vertical="center"/>
    </xf>
    <xf numFmtId="0" fontId="11" fillId="133" borderId="0" xfId="54" applyFont="1" applyFill="1" applyAlignment="1">
      <alignment vertical="center"/>
    </xf>
    <xf numFmtId="0" fontId="1" fillId="149" borderId="0" xfId="49" applyFont="1" applyFill="1"/>
    <xf numFmtId="0" fontId="157" fillId="158" borderId="652" xfId="48" applyFont="1" applyFill="1" applyBorder="1" applyAlignment="1" applyProtection="1">
      <alignment horizontal="center"/>
      <protection locked="0"/>
    </xf>
    <xf numFmtId="0" fontId="790" fillId="158" borderId="414" xfId="48" applyFont="1" applyFill="1" applyBorder="1" applyAlignment="1" applyProtection="1">
      <alignment horizontal="center"/>
      <protection locked="0"/>
    </xf>
    <xf numFmtId="0" fontId="349" fillId="12" borderId="101" xfId="48" applyFont="1" applyFill="1" applyBorder="1" applyAlignment="1" applyProtection="1">
      <alignment horizontal="center" vertical="center"/>
      <protection hidden="1"/>
    </xf>
    <xf numFmtId="0" fontId="46" fillId="3" borderId="654" xfId="48" applyFont="1" applyFill="1" applyBorder="1" applyAlignment="1">
      <alignment horizontal="center"/>
    </xf>
    <xf numFmtId="0" fontId="157" fillId="158" borderId="5" xfId="48" applyFont="1" applyFill="1" applyBorder="1" applyAlignment="1" applyProtection="1">
      <alignment horizontal="center" vertical="center"/>
      <protection hidden="1"/>
    </xf>
    <xf numFmtId="0" fontId="157" fillId="158" borderId="0" xfId="36" applyFont="1" applyFill="1" applyAlignment="1">
      <alignment horizontal="center" vertical="center"/>
    </xf>
    <xf numFmtId="0" fontId="46" fillId="3" borderId="395" xfId="55" applyFont="1" applyFill="1" applyBorder="1" applyAlignment="1">
      <alignment horizontal="center" vertical="center"/>
    </xf>
    <xf numFmtId="2" fontId="693" fillId="2023" borderId="657" xfId="48" applyNumberFormat="1" applyFont="1" applyFill="1" applyBorder="1" applyAlignment="1">
      <alignment horizontal="center" vertical="center"/>
    </xf>
    <xf numFmtId="1" fontId="693" fillId="2" borderId="658" xfId="48" applyNumberFormat="1" applyFont="1" applyFill="1" applyBorder="1" applyAlignment="1">
      <alignment horizontal="center" vertical="center"/>
    </xf>
    <xf numFmtId="0" fontId="174" fillId="12" borderId="659" xfId="71" applyFont="1" applyFill="1" applyBorder="1" applyAlignment="1">
      <alignment horizontal="center" vertical="center"/>
    </xf>
    <xf numFmtId="1" fontId="672" fillId="2" borderId="649" xfId="48" applyNumberFormat="1" applyFont="1" applyFill="1" applyBorder="1" applyAlignment="1">
      <alignment horizontal="center" vertical="center"/>
    </xf>
    <xf numFmtId="0" fontId="186" fillId="3" borderId="660" xfId="48" applyFont="1" applyFill="1" applyBorder="1" applyAlignment="1" applyProtection="1">
      <alignment vertical="center"/>
      <protection hidden="1"/>
    </xf>
    <xf numFmtId="0" fontId="691" fillId="3" borderId="661" xfId="55" applyFont="1" applyFill="1" applyBorder="1" applyAlignment="1">
      <alignment horizontal="left" vertical="center"/>
    </xf>
    <xf numFmtId="1" fontId="693" fillId="2023" borderId="642" xfId="48" applyNumberFormat="1" applyFont="1" applyFill="1" applyBorder="1" applyAlignment="1">
      <alignment horizontal="center" vertical="center"/>
    </xf>
    <xf numFmtId="1" fontId="693" fillId="2" borderId="662" xfId="48" applyNumberFormat="1" applyFont="1" applyFill="1" applyBorder="1" applyAlignment="1">
      <alignment horizontal="center" vertical="center"/>
    </xf>
    <xf numFmtId="1" fontId="693" fillId="149" borderId="5" xfId="48" applyNumberFormat="1" applyFont="1" applyFill="1" applyBorder="1" applyAlignment="1">
      <alignment horizontal="center" vertical="center"/>
    </xf>
    <xf numFmtId="1" fontId="693" fillId="149" borderId="0" xfId="48" applyNumberFormat="1" applyFont="1" applyFill="1" applyAlignment="1">
      <alignment horizontal="center" vertical="center"/>
    </xf>
    <xf numFmtId="0" fontId="174" fillId="149" borderId="0" xfId="71" applyFont="1" applyFill="1" applyAlignment="1">
      <alignment horizontal="center" vertical="center"/>
    </xf>
    <xf numFmtId="1" fontId="672" fillId="149" borderId="0" xfId="48" applyNumberFormat="1" applyFont="1" applyFill="1" applyAlignment="1">
      <alignment horizontal="center" vertical="center"/>
    </xf>
    <xf numFmtId="0" fontId="186" fillId="149" borderId="0" xfId="48" applyFont="1" applyFill="1" applyAlignment="1" applyProtection="1">
      <alignment vertical="center"/>
      <protection hidden="1"/>
    </xf>
    <xf numFmtId="0" fontId="691" fillId="149" borderId="0" xfId="55" applyFont="1" applyFill="1" applyAlignment="1">
      <alignment horizontal="left" vertical="center"/>
    </xf>
    <xf numFmtId="0" fontId="40" fillId="149" borderId="5" xfId="0" applyFont="1" applyFill="1" applyBorder="1" applyAlignment="1">
      <alignment vertical="center"/>
    </xf>
    <xf numFmtId="0" fontId="1" fillId="149" borderId="5" xfId="0" applyFont="1" applyFill="1" applyBorder="1"/>
    <xf numFmtId="0" fontId="107" fillId="149" borderId="0" xfId="48" applyFont="1" applyFill="1" applyAlignment="1">
      <alignment horizontal="left" vertical="center"/>
    </xf>
    <xf numFmtId="1" fontId="693" fillId="2057" borderId="663" xfId="48" applyNumberFormat="1" applyFont="1" applyFill="1" applyBorder="1" applyAlignment="1">
      <alignment horizontal="left" vertical="center"/>
    </xf>
    <xf numFmtId="0" fontId="390" fillId="2029" borderId="575" xfId="48" applyFont="1" applyFill="1" applyBorder="1" applyAlignment="1" applyProtection="1">
      <alignment horizontal="center" vertical="center"/>
      <protection hidden="1"/>
    </xf>
    <xf numFmtId="1" fontId="147" fillId="2027" borderId="666" xfId="48" applyNumberFormat="1" applyFont="1" applyFill="1" applyBorder="1" applyAlignment="1">
      <alignment horizontal="center" vertical="center"/>
    </xf>
    <xf numFmtId="1" fontId="174" fillId="2027" borderId="667" xfId="48" applyNumberFormat="1" applyFont="1" applyFill="1" applyBorder="1" applyAlignment="1">
      <alignment horizontal="left" vertical="center"/>
    </xf>
    <xf numFmtId="0" fontId="4" fillId="12" borderId="464" xfId="49" applyFill="1" applyBorder="1" applyAlignment="1">
      <alignment horizontal="center" vertical="center"/>
    </xf>
    <xf numFmtId="0" fontId="4" fillId="12" borderId="0" xfId="49" applyFill="1" applyAlignment="1">
      <alignment horizontal="center" vertical="center"/>
    </xf>
    <xf numFmtId="1" fontId="147" fillId="2028" borderId="649" xfId="48" applyNumberFormat="1" applyFont="1" applyFill="1" applyBorder="1" applyAlignment="1">
      <alignment horizontal="left" vertical="center"/>
    </xf>
    <xf numFmtId="1" fontId="174" fillId="2028" borderId="668" xfId="48" applyNumberFormat="1" applyFont="1" applyFill="1" applyBorder="1" applyAlignment="1">
      <alignment horizontal="left" vertical="center"/>
    </xf>
    <xf numFmtId="0" fontId="24" fillId="44" borderId="597" xfId="48" applyFont="1" applyFill="1" applyBorder="1" applyAlignment="1" applyProtection="1">
      <alignment horizontal="center" vertical="center"/>
      <protection hidden="1"/>
    </xf>
    <xf numFmtId="0" fontId="24" fillId="2030" borderId="575" xfId="48" applyFont="1" applyFill="1" applyBorder="1" applyAlignment="1" applyProtection="1">
      <alignment horizontal="center" vertical="center"/>
      <protection hidden="1"/>
    </xf>
    <xf numFmtId="1" fontId="174" fillId="2027" borderId="669" xfId="48" applyNumberFormat="1" applyFont="1" applyFill="1" applyBorder="1" applyAlignment="1">
      <alignment horizontal="left" vertical="center"/>
    </xf>
    <xf numFmtId="0" fontId="4" fillId="149" borderId="464" xfId="49" applyFill="1" applyBorder="1" applyAlignment="1">
      <alignment vertical="center"/>
    </xf>
    <xf numFmtId="0" fontId="24" fillId="149" borderId="464" xfId="48" quotePrefix="1" applyFont="1" applyFill="1" applyBorder="1" applyAlignment="1" applyProtection="1">
      <alignment vertical="center"/>
      <protection hidden="1"/>
    </xf>
    <xf numFmtId="0" fontId="157" fillId="149" borderId="0" xfId="48" applyFont="1" applyFill="1" applyAlignment="1">
      <alignment vertical="center" wrapText="1"/>
    </xf>
    <xf numFmtId="0" fontId="46" fillId="2017" borderId="5" xfId="49" applyFont="1" applyFill="1" applyBorder="1" applyAlignment="1">
      <alignment horizontal="center" vertical="center"/>
    </xf>
    <xf numFmtId="0" fontId="169" fillId="149" borderId="0" xfId="49" applyFont="1" applyFill="1" applyAlignment="1">
      <alignment vertical="center"/>
    </xf>
    <xf numFmtId="170" fontId="422" fillId="2" borderId="670" xfId="48" applyNumberFormat="1" applyFont="1" applyFill="1" applyBorder="1" applyAlignment="1">
      <alignment horizontal="center" vertical="center"/>
    </xf>
    <xf numFmtId="0" fontId="850" fillId="149" borderId="0" xfId="48" applyFont="1" applyFill="1" applyAlignment="1">
      <alignment horizontal="left" vertical="center"/>
    </xf>
    <xf numFmtId="0" fontId="697" fillId="149" borderId="0" xfId="49" applyFont="1" applyFill="1" applyAlignment="1">
      <alignment vertical="center"/>
    </xf>
    <xf numFmtId="0" fontId="170" fillId="149" borderId="0" xfId="53" applyFont="1" applyFill="1" applyAlignment="1">
      <alignment vertical="center"/>
    </xf>
    <xf numFmtId="0" fontId="697" fillId="149" borderId="0" xfId="49" applyFont="1" applyFill="1" applyAlignment="1">
      <alignment horizontal="left" vertical="center"/>
    </xf>
    <xf numFmtId="0" fontId="170" fillId="149" borderId="0" xfId="49" applyFont="1" applyFill="1" applyAlignment="1">
      <alignment horizontal="left" vertical="center"/>
    </xf>
    <xf numFmtId="0" fontId="697" fillId="149" borderId="0" xfId="0" applyFont="1" applyFill="1" applyAlignment="1">
      <alignment vertical="center"/>
    </xf>
    <xf numFmtId="0" fontId="30" fillId="149" borderId="0" xfId="48" applyFont="1" applyFill="1" applyAlignment="1" applyProtection="1">
      <alignment vertical="center"/>
      <protection hidden="1"/>
    </xf>
    <xf numFmtId="0" fontId="71" fillId="2012" borderId="0" xfId="49" applyFont="1" applyFill="1" applyAlignment="1">
      <alignment horizontal="center" vertical="center"/>
    </xf>
    <xf numFmtId="0" fontId="851" fillId="2" borderId="671" xfId="0" applyFont="1" applyFill="1" applyBorder="1" applyAlignment="1">
      <alignment horizontal="center" vertical="center"/>
    </xf>
    <xf numFmtId="0" fontId="71" fillId="149" borderId="0" xfId="0" applyFont="1" applyFill="1" applyAlignment="1">
      <alignment horizontal="left" vertical="center"/>
    </xf>
    <xf numFmtId="0" fontId="852" fillId="2" borderId="0" xfId="0" applyFont="1" applyFill="1" applyAlignment="1">
      <alignment horizontal="center" vertical="center"/>
    </xf>
    <xf numFmtId="0" fontId="15" fillId="3" borderId="5" xfId="54" applyFont="1" applyFill="1" applyBorder="1" applyAlignment="1">
      <alignment vertical="center"/>
    </xf>
    <xf numFmtId="0" fontId="15" fillId="3" borderId="0" xfId="54" applyFont="1" applyFill="1" applyAlignment="1">
      <alignment vertical="center"/>
    </xf>
    <xf numFmtId="0" fontId="15" fillId="3" borderId="0" xfId="54" applyFont="1" applyFill="1" applyAlignment="1">
      <alignment horizontal="center" vertical="center"/>
    </xf>
    <xf numFmtId="0" fontId="15" fillId="3" borderId="294" xfId="54" applyFont="1" applyFill="1" applyBorder="1" applyAlignment="1">
      <alignment vertical="center"/>
    </xf>
    <xf numFmtId="199" fontId="157" fillId="2022" borderId="645" xfId="48" applyNumberFormat="1" applyFont="1" applyFill="1" applyBorder="1" applyAlignment="1">
      <alignment horizontal="center" vertical="center"/>
    </xf>
    <xf numFmtId="199" fontId="157" fillId="2022" borderId="653" xfId="48" applyNumberFormat="1" applyFont="1" applyFill="1" applyBorder="1" applyAlignment="1">
      <alignment horizontal="center" vertical="center"/>
    </xf>
    <xf numFmtId="0" fontId="24" fillId="3" borderId="127" xfId="72" applyFont="1" applyFill="1" applyBorder="1" applyAlignment="1">
      <alignment horizontal="right" vertical="center"/>
    </xf>
    <xf numFmtId="0" fontId="169" fillId="3" borderId="0" xfId="49" applyFont="1" applyFill="1" applyAlignment="1">
      <alignment vertical="center"/>
    </xf>
    <xf numFmtId="0" fontId="853" fillId="3" borderId="5" xfId="48" applyFont="1" applyFill="1" applyBorder="1" applyAlignment="1">
      <alignment vertical="center"/>
    </xf>
    <xf numFmtId="0" fontId="170" fillId="3" borderId="0" xfId="56" applyFont="1" applyFill="1" applyAlignment="1">
      <alignment vertical="center"/>
    </xf>
    <xf numFmtId="0" fontId="1" fillId="3" borderId="0" xfId="56" applyFont="1" applyFill="1" applyAlignment="1">
      <alignment vertical="center"/>
    </xf>
    <xf numFmtId="0" fontId="849" fillId="5" borderId="0" xfId="48" applyFont="1" applyFill="1" applyAlignment="1">
      <alignment horizontal="left" vertical="center"/>
    </xf>
    <xf numFmtId="0" fontId="354" fillId="130" borderId="0" xfId="48" applyFont="1" applyFill="1" applyAlignment="1">
      <alignment horizontal="center" vertical="center"/>
    </xf>
    <xf numFmtId="0" fontId="107" fillId="130" borderId="0" xfId="48" applyFont="1" applyFill="1" applyAlignment="1">
      <alignment horizontal="left" vertical="center"/>
    </xf>
    <xf numFmtId="0" fontId="853" fillId="3" borderId="5" xfId="48" applyFont="1" applyFill="1" applyBorder="1" applyAlignment="1">
      <alignment horizontal="center" vertical="center"/>
    </xf>
    <xf numFmtId="0" fontId="170" fillId="3" borderId="294" xfId="0" applyFont="1" applyFill="1" applyBorder="1" applyAlignment="1">
      <alignment vertical="center"/>
    </xf>
    <xf numFmtId="0" fontId="11" fillId="3" borderId="0" xfId="48" applyFont="1" applyFill="1" applyAlignment="1" applyProtection="1">
      <alignment vertical="center"/>
      <protection locked="0"/>
    </xf>
    <xf numFmtId="0" fontId="11" fillId="3" borderId="294" xfId="48" applyFont="1" applyFill="1" applyBorder="1" applyAlignment="1" applyProtection="1">
      <alignment vertical="center"/>
      <protection locked="0"/>
    </xf>
    <xf numFmtId="0" fontId="1" fillId="3" borderId="5" xfId="49" applyFont="1" applyFill="1" applyBorder="1" applyAlignment="1">
      <alignment horizontal="left" vertical="center"/>
    </xf>
    <xf numFmtId="0" fontId="691" fillId="3" borderId="0" xfId="48" applyFont="1" applyFill="1" applyAlignment="1">
      <alignment horizontal="left" vertical="center"/>
    </xf>
    <xf numFmtId="0" fontId="40" fillId="46" borderId="0" xfId="69" applyFont="1" applyFill="1" applyAlignment="1">
      <alignment horizontal="center" vertical="center"/>
    </xf>
    <xf numFmtId="0" fontId="40" fillId="3" borderId="0" xfId="56" applyFont="1" applyFill="1" applyAlignment="1">
      <alignment vertical="center"/>
    </xf>
    <xf numFmtId="0" fontId="353" fillId="3" borderId="5" xfId="52" applyFont="1" applyFill="1" applyBorder="1" applyAlignment="1">
      <alignment horizontal="right" vertical="center"/>
    </xf>
    <xf numFmtId="0" fontId="197" fillId="3" borderId="0" xfId="52" applyFont="1" applyFill="1" applyAlignment="1">
      <alignment horizontal="right" vertical="center"/>
    </xf>
    <xf numFmtId="0" fontId="854" fillId="7" borderId="0" xfId="48" applyFont="1" applyFill="1" applyAlignment="1" applyProtection="1">
      <alignment vertical="center"/>
      <protection hidden="1"/>
    </xf>
    <xf numFmtId="0" fontId="368" fillId="3" borderId="5" xfId="49" applyFont="1" applyFill="1" applyBorder="1" applyAlignment="1">
      <alignment horizontal="center" vertical="center"/>
    </xf>
    <xf numFmtId="0" fontId="32" fillId="3" borderId="0" xfId="48" applyFont="1" applyFill="1" applyAlignment="1">
      <alignment vertical="center"/>
    </xf>
    <xf numFmtId="0" fontId="71" fillId="3" borderId="0" xfId="48" applyFont="1" applyFill="1" applyAlignment="1">
      <alignment vertical="center"/>
    </xf>
    <xf numFmtId="0" fontId="71" fillId="3" borderId="0" xfId="48" applyFont="1" applyFill="1" applyAlignment="1">
      <alignment vertical="center" wrapText="1"/>
    </xf>
    <xf numFmtId="0" fontId="32" fillId="3" borderId="0" xfId="48" applyFont="1" applyFill="1" applyAlignment="1" applyProtection="1">
      <alignment horizontal="left" vertical="center"/>
      <protection locked="0"/>
    </xf>
    <xf numFmtId="0" fontId="24" fillId="3" borderId="0" xfId="48" applyFont="1" applyFill="1" applyProtection="1">
      <protection locked="0"/>
    </xf>
    <xf numFmtId="1" fontId="71" fillId="11" borderId="0" xfId="48" applyNumberFormat="1" applyFont="1" applyFill="1" applyAlignment="1" applyProtection="1">
      <alignment horizontal="center" vertical="center"/>
      <protection hidden="1"/>
    </xf>
    <xf numFmtId="1" fontId="24" fillId="3" borderId="0" xfId="48" applyNumberFormat="1" applyFont="1" applyFill="1" applyAlignment="1" applyProtection="1">
      <alignment vertical="center" wrapText="1"/>
      <protection hidden="1"/>
    </xf>
    <xf numFmtId="0" fontId="32" fillId="3" borderId="0" xfId="56" applyFont="1" applyFill="1" applyAlignment="1">
      <alignment vertical="center"/>
    </xf>
    <xf numFmtId="0" fontId="32" fillId="3" borderId="0" xfId="48" applyFont="1" applyFill="1" applyAlignment="1" applyProtection="1">
      <alignment horizontal="center" vertical="center"/>
      <protection locked="0"/>
    </xf>
    <xf numFmtId="183" fontId="168" fillId="27" borderId="301" xfId="48" applyNumberFormat="1" applyFont="1" applyFill="1" applyBorder="1" applyAlignment="1" applyProtection="1">
      <alignment horizontal="center" vertical="center" wrapText="1"/>
      <protection hidden="1"/>
    </xf>
    <xf numFmtId="0" fontId="71" fillId="3" borderId="567" xfId="48" applyFont="1" applyFill="1" applyBorder="1" applyAlignment="1" applyProtection="1">
      <alignment horizontal="center"/>
      <protection locked="0"/>
    </xf>
    <xf numFmtId="0" fontId="32" fillId="2" borderId="0" xfId="48" applyFont="1" applyFill="1" applyAlignment="1">
      <alignment horizontal="center" vertical="center" wrapText="1"/>
    </xf>
    <xf numFmtId="0" fontId="170" fillId="3" borderId="0" xfId="49" applyFont="1" applyFill="1" applyAlignment="1">
      <alignment vertical="center"/>
    </xf>
    <xf numFmtId="0" fontId="147" fillId="3" borderId="672" xfId="48" applyFont="1" applyFill="1" applyBorder="1" applyAlignment="1">
      <alignment horizontal="center" vertical="center" wrapText="1"/>
    </xf>
    <xf numFmtId="0" fontId="147" fillId="3" borderId="414" xfId="48" applyFont="1" applyFill="1" applyBorder="1" applyAlignment="1">
      <alignment horizontal="center" vertical="center" wrapText="1"/>
    </xf>
    <xf numFmtId="0" fontId="158" fillId="2" borderId="674" xfId="48" applyFont="1" applyFill="1" applyBorder="1" applyAlignment="1" applyProtection="1">
      <alignment horizontal="center" vertical="center"/>
      <protection locked="0"/>
    </xf>
    <xf numFmtId="0" fontId="147" fillId="3" borderId="567" xfId="48" applyFont="1" applyFill="1" applyBorder="1" applyAlignment="1">
      <alignment horizontal="center" vertical="center"/>
    </xf>
    <xf numFmtId="172" fontId="158" fillId="2" borderId="675" xfId="48" applyNumberFormat="1" applyFont="1" applyFill="1" applyBorder="1" applyAlignment="1">
      <alignment horizontal="center" vertical="center"/>
    </xf>
    <xf numFmtId="1" fontId="147" fillId="2027" borderId="676" xfId="48" applyNumberFormat="1" applyFont="1" applyFill="1" applyBorder="1" applyAlignment="1">
      <alignment horizontal="center" vertical="center"/>
    </xf>
    <xf numFmtId="0" fontId="44" fillId="12" borderId="5" xfId="0" applyFont="1" applyFill="1" applyBorder="1" applyAlignment="1">
      <alignment horizontal="left" vertical="center"/>
    </xf>
    <xf numFmtId="0" fontId="169" fillId="149" borderId="5" xfId="49" applyFont="1" applyFill="1" applyBorder="1" applyAlignment="1">
      <alignment vertical="center"/>
    </xf>
    <xf numFmtId="0" fontId="756" fillId="2019" borderId="677" xfId="49" applyFont="1" applyFill="1" applyBorder="1" applyAlignment="1">
      <alignment horizontal="center" vertical="center"/>
    </xf>
    <xf numFmtId="0" fontId="756" fillId="2019" borderId="575" xfId="49" applyFont="1" applyFill="1" applyBorder="1" applyAlignment="1">
      <alignment horizontal="center" vertical="center"/>
    </xf>
    <xf numFmtId="0" fontId="148" fillId="2012" borderId="678" xfId="49" applyFont="1" applyFill="1" applyBorder="1" applyAlignment="1">
      <alignment horizontal="left" vertical="center"/>
    </xf>
    <xf numFmtId="0" fontId="792" fillId="44" borderId="679" xfId="48" applyFont="1" applyFill="1" applyBorder="1" applyAlignment="1" applyProtection="1">
      <alignment horizontal="center" vertical="center"/>
      <protection hidden="1"/>
    </xf>
    <xf numFmtId="0" fontId="792" fillId="7" borderId="578" xfId="48" applyFont="1" applyFill="1" applyBorder="1" applyAlignment="1" applyProtection="1">
      <alignment horizontal="center" vertical="center"/>
      <protection hidden="1"/>
    </xf>
    <xf numFmtId="171" fontId="827" fillId="5" borderId="677" xfId="0" applyNumberFormat="1" applyFont="1" applyFill="1" applyBorder="1" applyAlignment="1">
      <alignment horizontal="center" vertical="center"/>
    </xf>
    <xf numFmtId="182" fontId="827" fillId="5" borderId="576" xfId="0" applyNumberFormat="1" applyFont="1" applyFill="1" applyBorder="1" applyAlignment="1">
      <alignment horizontal="center" vertical="center"/>
    </xf>
    <xf numFmtId="0" fontId="390" fillId="2029" borderId="578" xfId="48" applyFont="1" applyFill="1" applyBorder="1" applyAlignment="1" applyProtection="1">
      <alignment horizontal="center" vertical="center"/>
      <protection hidden="1"/>
    </xf>
    <xf numFmtId="0" fontId="169" fillId="149" borderId="101" xfId="49" applyFont="1" applyFill="1" applyBorder="1" applyAlignment="1">
      <alignment vertical="center"/>
    </xf>
    <xf numFmtId="0" fontId="709" fillId="149" borderId="0" xfId="0" applyFont="1" applyFill="1" applyAlignment="1">
      <alignment horizontal="left" vertical="center"/>
    </xf>
    <xf numFmtId="1" fontId="790" fillId="6" borderId="578" xfId="48" applyNumberFormat="1" applyFont="1" applyFill="1" applyBorder="1" applyAlignment="1" applyProtection="1">
      <alignment horizontal="center" vertical="center"/>
      <protection hidden="1"/>
    </xf>
    <xf numFmtId="0" fontId="709" fillId="149" borderId="5" xfId="0" applyFont="1" applyFill="1" applyBorder="1" applyAlignment="1">
      <alignment horizontal="left" vertical="center"/>
    </xf>
    <xf numFmtId="0" fontId="158" fillId="149" borderId="5" xfId="0" applyFont="1" applyFill="1" applyBorder="1" applyAlignment="1">
      <alignment horizontal="left" vertical="center"/>
    </xf>
    <xf numFmtId="0" fontId="502" fillId="149" borderId="5" xfId="0" applyFont="1" applyFill="1" applyBorder="1" applyAlignment="1">
      <alignment horizontal="center" vertical="center"/>
    </xf>
    <xf numFmtId="0" fontId="756" fillId="2019" borderId="680" xfId="49" applyFont="1" applyFill="1" applyBorder="1" applyAlignment="1">
      <alignment horizontal="center" vertical="center"/>
    </xf>
    <xf numFmtId="0" fontId="855" fillId="12" borderId="580" xfId="0" applyFont="1" applyFill="1" applyBorder="1" applyAlignment="1">
      <alignment horizontal="left" vertical="center"/>
    </xf>
    <xf numFmtId="0" fontId="46" fillId="149" borderId="5" xfId="0" applyFont="1" applyFill="1" applyBorder="1" applyAlignment="1">
      <alignment horizontal="left" vertical="center"/>
    </xf>
    <xf numFmtId="0" fontId="46" fillId="149" borderId="101" xfId="0" applyFont="1" applyFill="1" applyBorder="1" applyAlignment="1">
      <alignment horizontal="left" vertical="center"/>
    </xf>
    <xf numFmtId="0" fontId="158" fillId="149" borderId="0" xfId="0" applyFont="1" applyFill="1"/>
    <xf numFmtId="0" fontId="793" fillId="149" borderId="5" xfId="49" applyFont="1" applyFill="1" applyBorder="1"/>
    <xf numFmtId="0" fontId="704" fillId="149" borderId="0" xfId="0" applyFont="1" applyFill="1" applyAlignment="1">
      <alignment vertical="center"/>
    </xf>
    <xf numFmtId="0" fontId="6" fillId="149" borderId="0" xfId="0" applyFont="1" applyFill="1" applyAlignment="1">
      <alignment vertical="center"/>
    </xf>
    <xf numFmtId="0" fontId="68" fillId="149" borderId="0" xfId="8" applyFont="1" applyFill="1" applyAlignment="1">
      <alignment vertical="center"/>
    </xf>
    <xf numFmtId="0" fontId="793" fillId="149" borderId="5" xfId="0" applyFont="1" applyFill="1" applyBorder="1"/>
    <xf numFmtId="0" fontId="0" fillId="149" borderId="0" xfId="0" applyFill="1" applyAlignment="1">
      <alignment horizontal="right"/>
    </xf>
    <xf numFmtId="0" fontId="148" fillId="2058" borderId="680" xfId="49" applyFont="1" applyFill="1" applyBorder="1" applyAlignment="1">
      <alignment horizontal="center" vertical="center"/>
    </xf>
    <xf numFmtId="0" fontId="148" fillId="2058" borderId="83" xfId="49" applyFont="1" applyFill="1" applyBorder="1" applyAlignment="1">
      <alignment horizontal="center" vertical="center"/>
    </xf>
    <xf numFmtId="0" fontId="856" fillId="2058" borderId="83" xfId="49" applyFont="1" applyFill="1" applyBorder="1" applyAlignment="1">
      <alignment horizontal="left" vertical="center"/>
    </xf>
    <xf numFmtId="0" fontId="857" fillId="2058" borderId="83" xfId="49" applyFont="1" applyFill="1" applyBorder="1" applyAlignment="1">
      <alignment horizontal="center" vertical="center"/>
    </xf>
    <xf numFmtId="0" fontId="858" fillId="2058" borderId="83" xfId="49" applyFont="1" applyFill="1" applyBorder="1" applyAlignment="1">
      <alignment vertical="center"/>
    </xf>
    <xf numFmtId="0" fontId="15" fillId="130" borderId="681" xfId="48" applyFont="1" applyFill="1" applyBorder="1" applyAlignment="1" applyProtection="1">
      <alignment vertical="center"/>
      <protection hidden="1"/>
    </xf>
    <xf numFmtId="0" fontId="587" fillId="2059" borderId="682" xfId="49" applyFont="1" applyFill="1" applyBorder="1" applyAlignment="1">
      <alignment horizontal="left" vertical="center"/>
    </xf>
    <xf numFmtId="0" fontId="493" fillId="2059" borderId="678" xfId="49" applyFont="1" applyFill="1" applyBorder="1" applyAlignment="1">
      <alignment horizontal="left" vertical="center"/>
    </xf>
    <xf numFmtId="0" fontId="837" fillId="3" borderId="30" xfId="52" applyFont="1" applyFill="1" applyBorder="1" applyAlignment="1">
      <alignment horizontal="left" vertical="center"/>
    </xf>
    <xf numFmtId="0" fontId="837" fillId="3" borderId="31" xfId="52" applyFont="1" applyFill="1" applyBorder="1" applyAlignment="1">
      <alignment horizontal="left" vertical="center"/>
    </xf>
    <xf numFmtId="0" fontId="837" fillId="3" borderId="294" xfId="52" applyFont="1" applyFill="1" applyBorder="1" applyAlignment="1">
      <alignment horizontal="right" vertical="center"/>
    </xf>
    <xf numFmtId="0" fontId="24" fillId="130" borderId="541" xfId="36" applyFont="1" applyFill="1" applyBorder="1" applyAlignment="1">
      <alignment horizontal="right" vertical="center"/>
    </xf>
    <xf numFmtId="0" fontId="4" fillId="3" borderId="533" xfId="49" applyFill="1" applyBorder="1"/>
    <xf numFmtId="0" fontId="832" fillId="68" borderId="5" xfId="48" applyFont="1" applyFill="1" applyBorder="1" applyAlignment="1" applyProtection="1">
      <alignment vertical="center"/>
      <protection hidden="1"/>
    </xf>
    <xf numFmtId="0" fontId="168" fillId="68" borderId="0" xfId="48" applyFont="1" applyFill="1" applyAlignment="1" applyProtection="1">
      <alignment vertical="center"/>
      <protection hidden="1"/>
    </xf>
    <xf numFmtId="0" fontId="15" fillId="68" borderId="0" xfId="48" applyFont="1" applyFill="1" applyAlignment="1" applyProtection="1">
      <alignment vertical="center"/>
      <protection hidden="1"/>
    </xf>
    <xf numFmtId="0" fontId="24" fillId="68" borderId="0" xfId="48" applyFont="1" applyFill="1" applyAlignment="1" applyProtection="1">
      <alignment vertical="center"/>
      <protection hidden="1"/>
    </xf>
    <xf numFmtId="0" fontId="15" fillId="68" borderId="294" xfId="48" applyFont="1" applyFill="1" applyBorder="1" applyAlignment="1" applyProtection="1">
      <alignment vertical="center"/>
      <protection hidden="1"/>
    </xf>
    <xf numFmtId="0" fontId="0" fillId="3" borderId="683" xfId="0" applyFill="1" applyBorder="1"/>
    <xf numFmtId="203" fontId="41" fillId="22" borderId="301" xfId="48" applyNumberFormat="1" applyFont="1" applyFill="1" applyBorder="1" applyAlignment="1">
      <alignment horizontal="center" vertical="center"/>
    </xf>
    <xf numFmtId="203" fontId="34" fillId="22" borderId="301" xfId="48" applyNumberFormat="1" applyFont="1" applyFill="1" applyBorder="1" applyAlignment="1">
      <alignment horizontal="center" vertical="center"/>
    </xf>
    <xf numFmtId="203" fontId="40" fillId="6" borderId="301" xfId="48" applyNumberFormat="1" applyFont="1" applyFill="1" applyBorder="1" applyAlignment="1">
      <alignment horizontal="center" vertical="center"/>
    </xf>
    <xf numFmtId="203" fontId="15" fillId="5" borderId="301" xfId="48" applyNumberFormat="1" applyFont="1" applyFill="1" applyBorder="1" applyAlignment="1">
      <alignment horizontal="center" vertical="center"/>
    </xf>
    <xf numFmtId="0" fontId="368" fillId="14" borderId="683" xfId="13" applyFont="1" applyFill="1" applyBorder="1" applyAlignment="1" applyProtection="1">
      <alignment horizontal="center" vertical="center"/>
      <protection locked="0"/>
    </xf>
    <xf numFmtId="1" fontId="32" fillId="2" borderId="683" xfId="52" applyNumberFormat="1" applyFont="1" applyFill="1" applyBorder="1" applyAlignment="1">
      <alignment horizontal="center" vertical="center"/>
    </xf>
    <xf numFmtId="0" fontId="40" fillId="153" borderId="683" xfId="48" applyFont="1" applyFill="1" applyBorder="1" applyAlignment="1">
      <alignment horizontal="center" vertical="center"/>
    </xf>
    <xf numFmtId="170" fontId="41" fillId="58" borderId="683" xfId="13" applyNumberFormat="1" applyFont="1" applyFill="1" applyBorder="1" applyAlignment="1" applyProtection="1">
      <alignment horizontal="center" vertical="center"/>
      <protection locked="0"/>
    </xf>
    <xf numFmtId="167" fontId="40" fillId="58" borderId="683" xfId="48" applyNumberFormat="1" applyFont="1" applyFill="1" applyBorder="1" applyAlignment="1">
      <alignment horizontal="center" vertical="center"/>
    </xf>
    <xf numFmtId="165" fontId="41" fillId="58" borderId="683" xfId="13" applyNumberFormat="1" applyFont="1" applyFill="1" applyBorder="1" applyAlignment="1" applyProtection="1">
      <alignment horizontal="center" vertical="center"/>
      <protection locked="0"/>
    </xf>
    <xf numFmtId="0" fontId="676" fillId="3" borderId="5" xfId="48" applyFont="1" applyFill="1" applyBorder="1" applyAlignment="1" applyProtection="1">
      <alignment vertical="center"/>
      <protection hidden="1"/>
    </xf>
    <xf numFmtId="0" fontId="676" fillId="2037" borderId="0" xfId="48" applyFont="1" applyFill="1" applyAlignment="1" applyProtection="1">
      <alignment vertical="center"/>
      <protection hidden="1"/>
    </xf>
    <xf numFmtId="0" fontId="0" fillId="2037" borderId="0" xfId="0" applyFill="1"/>
    <xf numFmtId="0" fontId="6" fillId="3" borderId="0" xfId="58" applyFont="1" applyFill="1"/>
    <xf numFmtId="0" fontId="148" fillId="5" borderId="0" xfId="63" applyFont="1" applyFill="1" applyAlignment="1">
      <alignment horizontal="left"/>
    </xf>
    <xf numFmtId="0" fontId="157" fillId="5" borderId="0" xfId="48" applyFont="1" applyFill="1" applyAlignment="1">
      <alignment horizontal="left"/>
    </xf>
    <xf numFmtId="0" fontId="859" fillId="3" borderId="0" xfId="48" applyFont="1" applyFill="1" applyAlignment="1">
      <alignment horizontal="center" vertical="center"/>
    </xf>
    <xf numFmtId="0" fontId="148" fillId="5" borderId="0" xfId="48" applyFont="1" applyFill="1" applyAlignment="1">
      <alignment horizontal="left"/>
    </xf>
    <xf numFmtId="0" fontId="148" fillId="5" borderId="0" xfId="48" applyFont="1" applyFill="1" applyAlignment="1">
      <alignment wrapText="1"/>
    </xf>
    <xf numFmtId="0" fontId="359" fillId="5" borderId="0" xfId="48" applyFont="1" applyFill="1" applyAlignment="1">
      <alignment horizontal="left"/>
    </xf>
    <xf numFmtId="0" fontId="359" fillId="5" borderId="0" xfId="63" applyFont="1" applyFill="1" applyAlignment="1">
      <alignment horizontal="left"/>
    </xf>
    <xf numFmtId="0" fontId="860" fillId="5" borderId="0" xfId="48" applyFont="1" applyFill="1" applyAlignment="1">
      <alignment horizontal="left"/>
    </xf>
    <xf numFmtId="0" fontId="695" fillId="5" borderId="0" xfId="58" applyFont="1" applyFill="1" applyAlignment="1">
      <alignment horizontal="left" vertical="center"/>
    </xf>
    <xf numFmtId="0" fontId="4" fillId="5" borderId="0" xfId="58" applyFill="1"/>
    <xf numFmtId="0" fontId="148" fillId="12" borderId="408" xfId="48" applyFont="1" applyFill="1" applyBorder="1" applyAlignment="1">
      <alignment horizontal="center" vertical="center"/>
    </xf>
    <xf numFmtId="0" fontId="148" fillId="12" borderId="409" xfId="48" applyFont="1" applyFill="1" applyBorder="1" applyAlignment="1">
      <alignment horizontal="center" vertical="center"/>
    </xf>
    <xf numFmtId="0" fontId="148" fillId="12" borderId="410" xfId="48" applyFont="1" applyFill="1" applyBorder="1" applyAlignment="1">
      <alignment horizontal="center" vertical="center"/>
    </xf>
    <xf numFmtId="0" fontId="670" fillId="12" borderId="0" xfId="0" applyFont="1" applyFill="1" applyAlignment="1">
      <alignment vertical="center" wrapText="1"/>
    </xf>
    <xf numFmtId="0" fontId="349" fillId="4" borderId="0" xfId="0" applyFont="1" applyFill="1" applyAlignment="1">
      <alignment horizontal="left" vertical="center" wrapText="1"/>
    </xf>
    <xf numFmtId="0" fontId="11" fillId="3" borderId="0" xfId="48" applyFont="1" applyFill="1" applyAlignment="1">
      <alignment horizontal="right" vertical="center"/>
    </xf>
    <xf numFmtId="0" fontId="54" fillId="121" borderId="0" xfId="48" applyFont="1" applyFill="1" applyAlignment="1">
      <alignment horizontal="center" vertical="center"/>
    </xf>
    <xf numFmtId="229" fontId="389" fillId="65" borderId="212" xfId="1" applyNumberFormat="1" applyFont="1" applyFill="1" applyBorder="1" applyAlignment="1">
      <alignment horizontal="center" vertical="center"/>
    </xf>
    <xf numFmtId="229" fontId="389" fillId="0" borderId="212" xfId="1" applyNumberFormat="1" applyFont="1" applyBorder="1" applyAlignment="1">
      <alignment horizontal="center" vertical="center"/>
    </xf>
    <xf numFmtId="229" fontId="389" fillId="65" borderId="215" xfId="1" applyNumberFormat="1" applyFont="1" applyFill="1" applyBorder="1" applyAlignment="1">
      <alignment horizontal="center" vertical="center"/>
    </xf>
    <xf numFmtId="229" fontId="388" fillId="0" borderId="218" xfId="1" applyNumberFormat="1" applyFont="1" applyBorder="1" applyAlignment="1">
      <alignment horizontal="center" vertical="center"/>
    </xf>
    <xf numFmtId="166" fontId="389" fillId="65" borderId="212" xfId="20" applyNumberFormat="1" applyFont="1" applyFill="1" applyBorder="1" applyAlignment="1">
      <alignment horizontal="center" vertical="center"/>
    </xf>
    <xf numFmtId="166" fontId="389" fillId="0" borderId="212" xfId="20" applyNumberFormat="1" applyFont="1" applyBorder="1" applyAlignment="1">
      <alignment horizontal="center" vertical="center"/>
    </xf>
    <xf numFmtId="166" fontId="389" fillId="65" borderId="215" xfId="20" applyNumberFormat="1" applyFont="1" applyFill="1" applyBorder="1" applyAlignment="1">
      <alignment horizontal="center" vertical="center"/>
    </xf>
    <xf numFmtId="166" fontId="388" fillId="0" borderId="218" xfId="20" applyNumberFormat="1" applyFont="1" applyBorder="1" applyAlignment="1">
      <alignment horizontal="center" vertical="center"/>
    </xf>
    <xf numFmtId="229" fontId="389" fillId="65" borderId="213" xfId="1" applyNumberFormat="1" applyFont="1" applyFill="1" applyBorder="1" applyAlignment="1">
      <alignment horizontal="center" vertical="center"/>
    </xf>
    <xf numFmtId="166" fontId="389" fillId="65" borderId="213" xfId="20" applyNumberFormat="1" applyFont="1" applyFill="1" applyBorder="1" applyAlignment="1">
      <alignment horizontal="center" vertical="center"/>
    </xf>
    <xf numFmtId="0" fontId="388" fillId="0" borderId="684" xfId="1" applyFont="1" applyBorder="1" applyAlignment="1">
      <alignment horizontal="center" vertical="center"/>
    </xf>
    <xf numFmtId="0" fontId="388" fillId="0" borderId="685" xfId="1" applyFont="1" applyBorder="1" applyAlignment="1">
      <alignment horizontal="center" vertical="center"/>
    </xf>
    <xf numFmtId="0" fontId="861" fillId="3" borderId="0" xfId="0" applyFont="1" applyFill="1" applyAlignment="1">
      <alignment vertical="center"/>
    </xf>
    <xf numFmtId="0" fontId="24" fillId="0" borderId="430" xfId="1" applyFont="1" applyBorder="1" applyAlignment="1">
      <alignment horizontal="center"/>
    </xf>
    <xf numFmtId="0" fontId="15" fillId="0" borderId="274" xfId="1" applyFont="1" applyBorder="1" applyAlignment="1">
      <alignment horizontal="center"/>
    </xf>
    <xf numFmtId="0" fontId="24" fillId="3" borderId="532" xfId="48" applyFont="1" applyFill="1" applyBorder="1" applyAlignment="1">
      <alignment horizontal="center" vertical="center" wrapText="1"/>
    </xf>
    <xf numFmtId="0" fontId="24" fillId="3" borderId="132" xfId="48" applyFont="1" applyFill="1" applyBorder="1" applyAlignment="1">
      <alignment horizontal="center" vertical="center" wrapText="1"/>
    </xf>
    <xf numFmtId="199" fontId="157" fillId="2022" borderId="554" xfId="48" applyNumberFormat="1" applyFont="1" applyFill="1" applyBorder="1" applyAlignment="1">
      <alignment horizontal="center" vertical="center"/>
    </xf>
    <xf numFmtId="0" fontId="673" fillId="2060" borderId="356" xfId="48" applyFont="1" applyFill="1" applyBorder="1" applyAlignment="1">
      <alignment horizontal="center" vertical="center"/>
    </xf>
    <xf numFmtId="0" fontId="7" fillId="3" borderId="409" xfId="1" applyFill="1" applyBorder="1"/>
    <xf numFmtId="0" fontId="862" fillId="2061" borderId="0" xfId="48" applyFont="1" applyFill="1" applyAlignment="1">
      <alignment horizontal="center" vertical="center"/>
    </xf>
    <xf numFmtId="0" fontId="863" fillId="2062" borderId="0" xfId="77" applyFont="1" applyFill="1" applyAlignment="1">
      <alignment horizontal="left" vertical="center"/>
    </xf>
    <xf numFmtId="0" fontId="863" fillId="2062" borderId="0" xfId="77" applyFont="1" applyFill="1" applyAlignment="1">
      <alignment vertical="center" wrapText="1"/>
    </xf>
    <xf numFmtId="0" fontId="673" fillId="0" borderId="0" xfId="77" applyAlignment="1">
      <alignment vertical="center"/>
    </xf>
    <xf numFmtId="0" fontId="863" fillId="2062" borderId="0" xfId="77" applyFont="1" applyFill="1" applyAlignment="1">
      <alignment horizontal="center" vertical="center" wrapText="1"/>
    </xf>
    <xf numFmtId="0" fontId="866" fillId="3" borderId="0" xfId="78" applyFont="1" applyFill="1" applyAlignment="1">
      <alignment vertical="center"/>
    </xf>
    <xf numFmtId="0" fontId="867" fillId="2065" borderId="5" xfId="77" applyFont="1" applyFill="1" applyBorder="1" applyAlignment="1">
      <alignment horizontal="left" vertical="center"/>
    </xf>
    <xf numFmtId="0" fontId="868" fillId="2065" borderId="0" xfId="77" applyFont="1" applyFill="1" applyAlignment="1">
      <alignment horizontal="left" vertical="center"/>
    </xf>
    <xf numFmtId="0" fontId="868" fillId="2065" borderId="0" xfId="77" applyFont="1" applyFill="1" applyAlignment="1">
      <alignment horizontal="center" vertical="center" wrapText="1"/>
    </xf>
    <xf numFmtId="0" fontId="22" fillId="2066" borderId="687" xfId="0" applyFont="1" applyFill="1" applyBorder="1" applyAlignment="1">
      <alignment horizontal="center" vertical="center"/>
    </xf>
    <xf numFmtId="0" fontId="22" fillId="2066" borderId="688" xfId="0" applyFont="1" applyFill="1" applyBorder="1" applyAlignment="1">
      <alignment horizontal="center" vertical="center"/>
    </xf>
    <xf numFmtId="0" fontId="673" fillId="2065" borderId="0" xfId="77" applyFill="1" applyAlignment="1">
      <alignment vertical="center"/>
    </xf>
    <xf numFmtId="0" fontId="22" fillId="2068" borderId="0" xfId="0" applyFont="1" applyFill="1" applyAlignment="1">
      <alignment horizontal="left" vertical="center"/>
    </xf>
    <xf numFmtId="0" fontId="865" fillId="2068" borderId="0" xfId="0" applyFont="1" applyFill="1" applyAlignment="1">
      <alignment vertical="center"/>
    </xf>
    <xf numFmtId="0" fontId="0" fillId="2068" borderId="0" xfId="0" applyFill="1" applyAlignment="1">
      <alignment vertical="center"/>
    </xf>
    <xf numFmtId="0" fontId="870" fillId="2069" borderId="0" xfId="55" applyFont="1" applyFill="1" applyAlignment="1">
      <alignment horizontal="left" vertical="center"/>
    </xf>
    <xf numFmtId="0" fontId="673" fillId="2065" borderId="0" xfId="77" applyFill="1" applyAlignment="1">
      <alignment horizontal="right" vertical="center"/>
    </xf>
    <xf numFmtId="0" fontId="871" fillId="2070" borderId="0" xfId="48" applyFont="1" applyFill="1" applyAlignment="1">
      <alignment horizontal="center" vertical="center"/>
    </xf>
    <xf numFmtId="0" fontId="0" fillId="133" borderId="294" xfId="0" applyFill="1" applyBorder="1" applyAlignment="1">
      <alignment horizontal="right" vertical="center"/>
    </xf>
    <xf numFmtId="0" fontId="0" fillId="133" borderId="5" xfId="0" applyFill="1" applyBorder="1" applyAlignment="1">
      <alignment vertical="center"/>
    </xf>
    <xf numFmtId="0" fontId="673" fillId="2071" borderId="0" xfId="77" applyFill="1" applyAlignment="1">
      <alignment vertical="center"/>
    </xf>
    <xf numFmtId="0" fontId="872" fillId="2071" borderId="0" xfId="77" applyFont="1" applyFill="1" applyAlignment="1">
      <alignment horizontal="center" vertical="center"/>
    </xf>
    <xf numFmtId="0" fontId="863" fillId="2071" borderId="0" xfId="77" applyFont="1" applyFill="1" applyAlignment="1">
      <alignment horizontal="center" vertical="center"/>
    </xf>
    <xf numFmtId="0" fontId="34" fillId="3" borderId="0" xfId="61" applyFont="1" applyFill="1" applyAlignment="1">
      <alignment horizontal="left" vertical="center"/>
    </xf>
    <xf numFmtId="0" fontId="873" fillId="2072" borderId="0" xfId="77" applyFont="1" applyFill="1" applyAlignment="1">
      <alignment horizontal="right" vertical="center"/>
    </xf>
    <xf numFmtId="0" fontId="873" fillId="2072" borderId="0" xfId="77" applyFont="1" applyFill="1" applyAlignment="1">
      <alignment vertical="center"/>
    </xf>
    <xf numFmtId="0" fontId="673" fillId="2065" borderId="0" xfId="77" applyFill="1" applyAlignment="1">
      <alignment horizontal="center" vertical="center"/>
    </xf>
    <xf numFmtId="0" fontId="874" fillId="2065" borderId="0" xfId="77" applyFont="1" applyFill="1" applyAlignment="1">
      <alignment horizontal="left" vertical="center"/>
    </xf>
    <xf numFmtId="0" fontId="875" fillId="0" borderId="0" xfId="77" applyFont="1" applyAlignment="1">
      <alignment vertical="center"/>
    </xf>
    <xf numFmtId="0" fontId="875" fillId="2065" borderId="0" xfId="77" applyFont="1" applyFill="1" applyAlignment="1">
      <alignment vertical="center"/>
    </xf>
    <xf numFmtId="0" fontId="871" fillId="2070" borderId="689" xfId="79" applyFont="1" applyFill="1" applyBorder="1" applyAlignment="1">
      <alignment horizontal="right" vertical="center"/>
    </xf>
    <xf numFmtId="0" fontId="876" fillId="2073" borderId="690" xfId="77" applyFont="1" applyFill="1" applyBorder="1" applyAlignment="1">
      <alignment horizontal="center" vertical="center"/>
    </xf>
    <xf numFmtId="0" fontId="877" fillId="2065" borderId="0" xfId="77" applyFont="1" applyFill="1" applyAlignment="1">
      <alignment horizontal="left" vertical="center"/>
    </xf>
    <xf numFmtId="0" fontId="9" fillId="2074" borderId="0" xfId="0" applyFont="1" applyFill="1" applyAlignment="1">
      <alignment horizontal="left" vertical="center"/>
    </xf>
    <xf numFmtId="0" fontId="561" fillId="2074" borderId="0" xfId="0" applyFont="1" applyFill="1" applyAlignment="1">
      <alignment vertical="center"/>
    </xf>
    <xf numFmtId="0" fontId="0" fillId="2074" borderId="0" xfId="0" applyFill="1" applyAlignment="1">
      <alignment vertical="center"/>
    </xf>
    <xf numFmtId="240" fontId="876" fillId="2073" borderId="690" xfId="80" applyNumberFormat="1" applyFont="1" applyFill="1" applyBorder="1" applyAlignment="1">
      <alignment horizontal="center" vertical="center"/>
    </xf>
    <xf numFmtId="0" fontId="15" fillId="2012" borderId="0" xfId="81" applyFont="1" applyFill="1" applyAlignment="1">
      <alignment vertical="center"/>
    </xf>
    <xf numFmtId="0" fontId="879" fillId="2073" borderId="690" xfId="55" applyFont="1" applyFill="1" applyBorder="1" applyAlignment="1">
      <alignment horizontal="center" vertical="center"/>
    </xf>
    <xf numFmtId="0" fontId="880" fillId="2065" borderId="0" xfId="77" applyFont="1" applyFill="1" applyAlignment="1">
      <alignment horizontal="left" vertical="center"/>
    </xf>
    <xf numFmtId="0" fontId="881" fillId="3" borderId="0" xfId="0" applyFont="1" applyFill="1" applyAlignment="1">
      <alignment vertical="center"/>
    </xf>
    <xf numFmtId="0" fontId="883" fillId="2065" borderId="0" xfId="77" applyFont="1" applyFill="1" applyAlignment="1">
      <alignment vertical="center"/>
    </xf>
    <xf numFmtId="0" fontId="673" fillId="2076" borderId="0" xfId="77" applyFill="1" applyAlignment="1">
      <alignment vertical="center"/>
    </xf>
    <xf numFmtId="0" fontId="673" fillId="2077" borderId="0" xfId="77" applyFill="1" applyAlignment="1">
      <alignment vertical="center"/>
    </xf>
    <xf numFmtId="0" fontId="884" fillId="2077" borderId="0" xfId="82" applyFont="1" applyFill="1" applyAlignment="1">
      <alignment horizontal="center" vertical="center"/>
    </xf>
    <xf numFmtId="0" fontId="886" fillId="2078" borderId="0" xfId="82" applyFont="1" applyFill="1" applyAlignment="1">
      <alignment horizontal="center" vertical="center"/>
    </xf>
    <xf numFmtId="0" fontId="887" fillId="2076" borderId="0" xfId="77" applyFont="1" applyFill="1" applyAlignment="1">
      <alignment horizontal="left" vertical="center"/>
    </xf>
    <xf numFmtId="0" fontId="887" fillId="2076" borderId="0" xfId="77" applyFont="1" applyFill="1" applyAlignment="1">
      <alignment horizontal="center" vertical="center"/>
    </xf>
    <xf numFmtId="0" fontId="888" fillId="2077" borderId="0" xfId="77" applyFont="1" applyFill="1" applyAlignment="1">
      <alignment horizontal="center" vertical="center"/>
    </xf>
    <xf numFmtId="0" fontId="890" fillId="2079" borderId="0" xfId="55" applyFont="1" applyFill="1" applyAlignment="1">
      <alignment horizontal="center" vertical="center" wrapText="1"/>
    </xf>
    <xf numFmtId="0" fontId="891" fillId="2080" borderId="691" xfId="0" applyFont="1" applyFill="1" applyBorder="1" applyAlignment="1">
      <alignment horizontal="center" vertical="center"/>
    </xf>
    <xf numFmtId="0" fontId="865" fillId="890" borderId="691" xfId="0" applyFont="1" applyFill="1" applyBorder="1" applyAlignment="1">
      <alignment horizontal="center" vertical="center"/>
    </xf>
    <xf numFmtId="0" fontId="891" fillId="890" borderId="691" xfId="0" applyFont="1" applyFill="1" applyBorder="1" applyAlignment="1">
      <alignment horizontal="center" vertical="center"/>
    </xf>
    <xf numFmtId="0" fontId="673" fillId="2076" borderId="0" xfId="77" applyFill="1" applyAlignment="1">
      <alignment horizontal="right" vertical="center"/>
    </xf>
    <xf numFmtId="0" fontId="673" fillId="2081" borderId="0" xfId="77" applyFill="1" applyAlignment="1">
      <alignment horizontal="center" vertical="center"/>
    </xf>
    <xf numFmtId="0" fontId="877" fillId="2082" borderId="390" xfId="48" applyFont="1" applyFill="1" applyBorder="1" applyAlignment="1">
      <alignment horizontal="left" vertical="center"/>
    </xf>
    <xf numFmtId="0" fontId="673" fillId="2083" borderId="0" xfId="77" applyFill="1" applyAlignment="1">
      <alignment horizontal="center" vertical="center"/>
    </xf>
    <xf numFmtId="0" fontId="673" fillId="2083" borderId="0" xfId="77" applyFill="1" applyAlignment="1">
      <alignment vertical="center"/>
    </xf>
    <xf numFmtId="0" fontId="0" fillId="0" borderId="687" xfId="0" applyBorder="1" applyAlignment="1">
      <alignment horizontal="center" vertical="center"/>
    </xf>
    <xf numFmtId="0" fontId="892" fillId="6" borderId="390" xfId="48" applyFont="1" applyFill="1" applyBorder="1" applyAlignment="1">
      <alignment horizontal="left" vertical="center"/>
    </xf>
    <xf numFmtId="0" fontId="892" fillId="2084" borderId="692" xfId="55" applyFont="1" applyFill="1" applyBorder="1" applyAlignment="1">
      <alignment horizontal="right" vertical="center" wrapText="1"/>
    </xf>
    <xf numFmtId="0" fontId="893" fillId="2084" borderId="693" xfId="0" applyFont="1" applyFill="1" applyBorder="1" applyAlignment="1">
      <alignment vertical="center" wrapText="1"/>
    </xf>
    <xf numFmtId="0" fontId="0" fillId="2085" borderId="687" xfId="0" applyFill="1" applyBorder="1" applyAlignment="1">
      <alignment horizontal="left" vertical="center"/>
    </xf>
    <xf numFmtId="0" fontId="0" fillId="0" borderId="687" xfId="0" applyBorder="1" applyAlignment="1">
      <alignment horizontal="left" vertical="center"/>
    </xf>
    <xf numFmtId="0" fontId="673" fillId="2086" borderId="0" xfId="77" applyFill="1" applyAlignment="1">
      <alignment vertical="center"/>
    </xf>
    <xf numFmtId="0" fontId="673" fillId="2083" borderId="0" xfId="77" applyFill="1" applyAlignment="1">
      <alignment horizontal="left" vertical="center"/>
    </xf>
    <xf numFmtId="0" fontId="673" fillId="2086" borderId="0" xfId="77" applyFill="1" applyAlignment="1">
      <alignment vertical="center" wrapText="1"/>
    </xf>
    <xf numFmtId="0" fontId="673" fillId="2076" borderId="0" xfId="77" applyFill="1" applyAlignment="1">
      <alignment vertical="center" wrapText="1"/>
    </xf>
    <xf numFmtId="0" fontId="673" fillId="2076" borderId="0" xfId="77" applyFill="1" applyAlignment="1">
      <alignment horizontal="right" vertical="center" wrapText="1"/>
    </xf>
    <xf numFmtId="0" fontId="673" fillId="2076" borderId="0" xfId="77" applyFill="1" applyAlignment="1">
      <alignment horizontal="center" vertical="center"/>
    </xf>
    <xf numFmtId="0" fontId="870" fillId="2087" borderId="0" xfId="55" applyFont="1" applyFill="1"/>
    <xf numFmtId="0" fontId="894" fillId="2088" borderId="694" xfId="55" applyFont="1" applyFill="1" applyBorder="1"/>
    <xf numFmtId="0" fontId="0" fillId="133" borderId="0" xfId="0" applyFill="1" applyAlignment="1">
      <alignment vertical="center"/>
    </xf>
    <xf numFmtId="0" fontId="865" fillId="2064" borderId="686" xfId="0" applyFont="1" applyFill="1" applyBorder="1" applyAlignment="1">
      <alignment vertical="center"/>
    </xf>
    <xf numFmtId="0" fontId="865" fillId="2064" borderId="0" xfId="0" applyFont="1" applyFill="1" applyAlignment="1">
      <alignment vertical="center"/>
    </xf>
    <xf numFmtId="0" fontId="22" fillId="2075" borderId="0" xfId="0" applyFont="1" applyFill="1" applyAlignment="1">
      <alignment vertical="center"/>
    </xf>
    <xf numFmtId="0" fontId="885" fillId="2089" borderId="0" xfId="77" applyFont="1" applyFill="1" applyAlignment="1">
      <alignment vertical="center"/>
    </xf>
    <xf numFmtId="0" fontId="886" fillId="2089" borderId="0" xfId="82" applyFont="1" applyFill="1" applyAlignment="1">
      <alignment horizontal="center" vertical="center"/>
    </xf>
    <xf numFmtId="0" fontId="561" fillId="890" borderId="0" xfId="0" applyFont="1" applyFill="1" applyAlignment="1">
      <alignment horizontal="center" vertical="center"/>
    </xf>
    <xf numFmtId="0" fontId="888" fillId="2089" borderId="0" xfId="77" applyFont="1" applyFill="1" applyAlignment="1">
      <alignment horizontal="center" vertical="center"/>
    </xf>
    <xf numFmtId="0" fontId="897" fillId="890" borderId="0" xfId="55" applyFont="1" applyFill="1" applyAlignment="1">
      <alignment horizontal="center" vertical="center" wrapText="1"/>
    </xf>
    <xf numFmtId="0" fontId="673" fillId="2089" borderId="0" xfId="77" applyFill="1" applyAlignment="1">
      <alignment vertical="center"/>
    </xf>
    <xf numFmtId="0" fontId="9" fillId="890" borderId="691" xfId="0" applyFont="1" applyFill="1" applyBorder="1" applyAlignment="1">
      <alignment horizontal="center" vertical="center"/>
    </xf>
    <xf numFmtId="0" fontId="892" fillId="12" borderId="692" xfId="55" applyFont="1" applyFill="1" applyBorder="1" applyAlignment="1">
      <alignment horizontal="right" vertical="center" wrapText="1"/>
    </xf>
    <xf numFmtId="0" fontId="19" fillId="12" borderId="693" xfId="0" applyFont="1" applyFill="1" applyBorder="1" applyAlignment="1">
      <alignment vertical="center" wrapText="1"/>
    </xf>
    <xf numFmtId="0" fontId="722" fillId="2060" borderId="356" xfId="48" applyFont="1" applyFill="1" applyBorder="1" applyAlignment="1">
      <alignment horizontal="center" vertical="center"/>
    </xf>
    <xf numFmtId="0" fontId="15" fillId="0" borderId="696" xfId="1" applyFont="1" applyBorder="1" applyAlignment="1">
      <alignment horizontal="center"/>
    </xf>
    <xf numFmtId="0" fontId="4" fillId="65" borderId="284" xfId="2" applyFill="1" applyBorder="1" applyAlignment="1">
      <alignment vertical="center"/>
    </xf>
    <xf numFmtId="199" fontId="157" fillId="2022" borderId="274" xfId="48" applyNumberFormat="1" applyFont="1" applyFill="1" applyBorder="1" applyAlignment="1">
      <alignment horizontal="center" vertical="center"/>
    </xf>
    <xf numFmtId="0" fontId="46" fillId="3" borderId="0" xfId="48" applyFont="1" applyFill="1" applyAlignment="1">
      <alignment horizontal="center"/>
    </xf>
    <xf numFmtId="0" fontId="46" fillId="3" borderId="567" xfId="55" applyFont="1" applyFill="1" applyBorder="1" applyAlignment="1">
      <alignment horizontal="center" vertical="center"/>
    </xf>
    <xf numFmtId="0" fontId="157" fillId="3" borderId="0" xfId="48" applyFont="1" applyFill="1" applyAlignment="1" applyProtection="1">
      <alignment horizontal="left" vertical="center"/>
      <protection locked="0"/>
    </xf>
    <xf numFmtId="0" fontId="779" fillId="12" borderId="22" xfId="48" applyFont="1" applyFill="1" applyBorder="1" applyAlignment="1" applyProtection="1">
      <alignment horizontal="center" vertical="center"/>
      <protection hidden="1"/>
    </xf>
    <xf numFmtId="199" fontId="157" fillId="2022" borderId="697" xfId="48" applyNumberFormat="1" applyFont="1" applyFill="1" applyBorder="1" applyAlignment="1">
      <alignment horizontal="center" vertical="center"/>
    </xf>
    <xf numFmtId="199" fontId="157" fillId="2028" borderId="698" xfId="48" applyNumberFormat="1" applyFont="1" applyFill="1" applyBorder="1" applyAlignment="1">
      <alignment horizontal="center" vertical="center"/>
    </xf>
    <xf numFmtId="0" fontId="267" fillId="0" borderId="699" xfId="17" applyFont="1" applyBorder="1" applyAlignment="1">
      <alignment horizontal="left"/>
    </xf>
    <xf numFmtId="0" fontId="267" fillId="0" borderId="699" xfId="17" applyFont="1" applyBorder="1" applyAlignment="1">
      <alignment horizontal="center" vertical="center"/>
    </xf>
    <xf numFmtId="0" fontId="267" fillId="0" borderId="700" xfId="17" applyFont="1" applyBorder="1" applyAlignment="1">
      <alignment horizontal="left" vertical="center"/>
    </xf>
    <xf numFmtId="0" fontId="265" fillId="0" borderId="700" xfId="17" applyFont="1" applyBorder="1" applyAlignment="1">
      <alignment horizontal="left" vertical="center"/>
    </xf>
    <xf numFmtId="0" fontId="267" fillId="0" borderId="700" xfId="17" applyFont="1" applyBorder="1" applyAlignment="1">
      <alignment horizontal="left"/>
    </xf>
    <xf numFmtId="0" fontId="265" fillId="0" borderId="699" xfId="17" applyFont="1" applyBorder="1" applyAlignment="1">
      <alignment horizontal="center" vertical="center"/>
    </xf>
    <xf numFmtId="0" fontId="265" fillId="0" borderId="701" xfId="17" applyFont="1" applyBorder="1" applyAlignment="1">
      <alignment horizontal="center" vertical="center"/>
    </xf>
    <xf numFmtId="0" fontId="267" fillId="0" borderId="699" xfId="17" applyFont="1" applyBorder="1" applyAlignment="1">
      <alignment horizontal="center"/>
    </xf>
    <xf numFmtId="0" fontId="265" fillId="0" borderId="699" xfId="17" applyFont="1" applyBorder="1" applyAlignment="1">
      <alignment horizontal="left"/>
    </xf>
    <xf numFmtId="0" fontId="670" fillId="3" borderId="0" xfId="0" applyFont="1" applyFill="1" applyAlignment="1">
      <alignment horizontal="left" wrapText="1"/>
    </xf>
    <xf numFmtId="0" fontId="10" fillId="3" borderId="0" xfId="1" applyFont="1" applyFill="1" applyAlignment="1">
      <alignment horizontal="center" vertical="center"/>
    </xf>
    <xf numFmtId="0" fontId="10" fillId="3" borderId="206" xfId="1" applyFont="1" applyFill="1" applyBorder="1" applyAlignment="1">
      <alignment horizontal="center" vertical="center"/>
    </xf>
    <xf numFmtId="196" fontId="65" fillId="22" borderId="0" xfId="1" applyNumberFormat="1" applyFont="1" applyFill="1" applyAlignment="1">
      <alignment horizontal="center" vertical="center"/>
    </xf>
    <xf numFmtId="196" fontId="65" fillId="22" borderId="206" xfId="1" applyNumberFormat="1" applyFont="1" applyFill="1" applyBorder="1" applyAlignment="1">
      <alignment horizontal="center" vertical="center"/>
    </xf>
    <xf numFmtId="0" fontId="385" fillId="4" borderId="0" xfId="1" applyFont="1" applyFill="1" applyAlignment="1">
      <alignment horizontal="center" vertical="center" wrapText="1"/>
    </xf>
    <xf numFmtId="0" fontId="386" fillId="2" borderId="202" xfId="1" applyFont="1" applyFill="1" applyBorder="1" applyAlignment="1">
      <alignment horizontal="center" vertical="center" wrapText="1"/>
    </xf>
    <xf numFmtId="0" fontId="386" fillId="2" borderId="0" xfId="1" applyFont="1" applyFill="1" applyAlignment="1">
      <alignment horizontal="center" vertical="center" wrapText="1"/>
    </xf>
    <xf numFmtId="0" fontId="146" fillId="2" borderId="203" xfId="1" applyFont="1" applyFill="1" applyBorder="1" applyAlignment="1">
      <alignment horizontal="center" vertical="center" wrapText="1"/>
    </xf>
    <xf numFmtId="0" fontId="146" fillId="2" borderId="205" xfId="1" applyFont="1" applyFill="1" applyBorder="1" applyAlignment="1">
      <alignment horizontal="center" vertical="center" wrapText="1"/>
    </xf>
    <xf numFmtId="0" fontId="50" fillId="2" borderId="0" xfId="1" applyFont="1" applyFill="1" applyAlignment="1">
      <alignment horizontal="center" vertical="center"/>
    </xf>
    <xf numFmtId="0" fontId="50" fillId="2" borderId="205" xfId="1" applyFont="1" applyFill="1" applyBorder="1" applyAlignment="1">
      <alignment horizontal="center" vertical="center"/>
    </xf>
    <xf numFmtId="0" fontId="392" fillId="0" borderId="220" xfId="10" applyFont="1" applyBorder="1" applyAlignment="1" applyProtection="1">
      <alignment horizontal="left" vertical="center"/>
    </xf>
    <xf numFmtId="0" fontId="30" fillId="0" borderId="220" xfId="1" applyFont="1" applyBorder="1" applyAlignment="1">
      <alignment horizontal="left" vertical="center"/>
    </xf>
    <xf numFmtId="0" fontId="30" fillId="0" borderId="221" xfId="1" applyFont="1" applyBorder="1" applyAlignment="1">
      <alignment horizontal="left" vertical="center"/>
    </xf>
    <xf numFmtId="0" fontId="40" fillId="3" borderId="0" xfId="1" applyFont="1" applyFill="1" applyAlignment="1">
      <alignment horizontal="center" vertical="center"/>
    </xf>
    <xf numFmtId="0" fontId="40" fillId="3" borderId="206" xfId="1" applyFont="1" applyFill="1" applyBorder="1" applyAlignment="1">
      <alignment horizontal="center" vertical="center"/>
    </xf>
    <xf numFmtId="187" fontId="310" fillId="7" borderId="0" xfId="1" applyNumberFormat="1" applyFont="1" applyFill="1" applyAlignment="1">
      <alignment horizontal="center" vertical="center"/>
    </xf>
    <xf numFmtId="187" fontId="310" fillId="7" borderId="206" xfId="1" applyNumberFormat="1" applyFont="1" applyFill="1" applyBorder="1" applyAlignment="1">
      <alignment horizontal="center" vertical="center"/>
    </xf>
    <xf numFmtId="0" fontId="889" fillId="2077" borderId="0" xfId="81" applyFont="1" applyFill="1" applyAlignment="1">
      <alignment horizontal="center" vertical="center" wrapText="1"/>
    </xf>
    <xf numFmtId="0" fontId="895" fillId="2089" borderId="0" xfId="48" applyFont="1" applyFill="1" applyAlignment="1" applyProtection="1">
      <alignment horizontal="center" vertical="center" wrapText="1"/>
      <protection hidden="1"/>
    </xf>
    <xf numFmtId="0" fontId="896" fillId="890" borderId="695" xfId="0" applyFont="1" applyFill="1" applyBorder="1" applyAlignment="1">
      <alignment horizontal="center" vertical="center"/>
    </xf>
    <xf numFmtId="0" fontId="864" fillId="2063" borderId="0" xfId="77" applyFont="1" applyFill="1" applyAlignment="1">
      <alignment horizontal="center" vertical="center"/>
    </xf>
    <xf numFmtId="0" fontId="673" fillId="0" borderId="294" xfId="77" applyBorder="1" applyAlignment="1">
      <alignment horizontal="right" vertical="center" wrapText="1"/>
    </xf>
    <xf numFmtId="0" fontId="869" fillId="2067" borderId="0" xfId="77" applyFont="1" applyFill="1" applyAlignment="1">
      <alignment horizontal="center" vertical="center" wrapText="1"/>
    </xf>
    <xf numFmtId="0" fontId="873" fillId="2072" borderId="0" xfId="77" applyFont="1" applyFill="1" applyAlignment="1">
      <alignment horizontal="center" vertical="center"/>
    </xf>
    <xf numFmtId="0" fontId="673" fillId="2065" borderId="0" xfId="77" applyFill="1" applyAlignment="1">
      <alignment horizontal="center" vertical="center" wrapText="1"/>
    </xf>
    <xf numFmtId="0" fontId="882" fillId="2072" borderId="0" xfId="77" applyFont="1" applyFill="1" applyAlignment="1">
      <alignment horizontal="center" vertical="center"/>
    </xf>
    <xf numFmtId="0" fontId="0" fillId="3" borderId="0" xfId="0" applyFill="1" applyAlignment="1">
      <alignment horizontal="left" vertical="center" wrapText="1"/>
    </xf>
    <xf numFmtId="0" fontId="57" fillId="3" borderId="0" xfId="8" applyFill="1" applyAlignment="1">
      <alignment horizontal="left" vertical="center" wrapText="1"/>
    </xf>
    <xf numFmtId="0" fontId="210" fillId="12" borderId="0" xfId="30" applyFont="1" applyFill="1" applyAlignment="1">
      <alignment horizontal="center" vertical="center"/>
    </xf>
    <xf numFmtId="0" fontId="484" fillId="0" borderId="220" xfId="10" applyFont="1" applyBorder="1" applyAlignment="1" applyProtection="1">
      <alignment horizontal="left" vertical="center"/>
    </xf>
    <xf numFmtId="0" fontId="432" fillId="0" borderId="220" xfId="1" applyFont="1" applyBorder="1" applyAlignment="1">
      <alignment horizontal="left" vertical="center"/>
    </xf>
    <xf numFmtId="0" fontId="432" fillId="0" borderId="221" xfId="1" applyFont="1" applyBorder="1" applyAlignment="1">
      <alignment horizontal="left" vertical="center"/>
    </xf>
    <xf numFmtId="0" fontId="483" fillId="23" borderId="0" xfId="42" applyFont="1" applyFill="1" applyAlignment="1" applyProtection="1">
      <alignment horizontal="left" vertical="center"/>
    </xf>
    <xf numFmtId="0" fontId="563" fillId="23" borderId="1" xfId="48" applyFont="1" applyFill="1" applyBorder="1" applyAlignment="1" applyProtection="1">
      <alignment horizontal="left" vertical="center" wrapText="1"/>
      <protection hidden="1"/>
    </xf>
    <xf numFmtId="0" fontId="563" fillId="23" borderId="0" xfId="48" applyFont="1" applyFill="1" applyAlignment="1" applyProtection="1">
      <alignment horizontal="left" vertical="center" wrapText="1"/>
      <protection hidden="1"/>
    </xf>
    <xf numFmtId="0" fontId="812" fillId="23" borderId="1" xfId="48" applyFont="1" applyFill="1" applyBorder="1" applyAlignment="1" applyProtection="1">
      <alignment horizontal="center" vertical="center"/>
      <protection hidden="1"/>
    </xf>
    <xf numFmtId="0" fontId="812" fillId="23" borderId="0" xfId="48" applyFont="1" applyFill="1" applyAlignment="1" applyProtection="1">
      <alignment horizontal="center" vertical="center"/>
      <protection hidden="1"/>
    </xf>
    <xf numFmtId="0" fontId="170" fillId="3" borderId="0" xfId="0" quotePrefix="1" applyFont="1" applyFill="1" applyAlignment="1">
      <alignment horizontal="left" vertical="center" wrapText="1"/>
    </xf>
    <xf numFmtId="0" fontId="759" fillId="3" borderId="0" xfId="0" applyFont="1" applyFill="1" applyAlignment="1">
      <alignment horizontal="left" vertical="center" wrapText="1"/>
    </xf>
    <xf numFmtId="190" fontId="34" fillId="2" borderId="0" xfId="48" applyNumberFormat="1" applyFont="1" applyFill="1" applyAlignment="1" applyProtection="1">
      <alignment horizontal="center" vertical="center"/>
      <protection hidden="1"/>
    </xf>
    <xf numFmtId="182" fontId="15" fillId="12" borderId="0" xfId="48" applyNumberFormat="1" applyFont="1" applyFill="1" applyAlignment="1" applyProtection="1">
      <alignment horizontal="center" vertical="center"/>
      <protection hidden="1"/>
    </xf>
    <xf numFmtId="0" fontId="23" fillId="4" borderId="7" xfId="52" applyFont="1" applyFill="1" applyBorder="1" applyAlignment="1" applyProtection="1">
      <alignment horizontal="right" vertical="center"/>
      <protection locked="0"/>
    </xf>
    <xf numFmtId="0" fontId="23" fillId="4" borderId="419" xfId="52" applyFont="1" applyFill="1" applyBorder="1" applyAlignment="1" applyProtection="1">
      <alignment horizontal="right" vertical="center"/>
      <protection locked="0"/>
    </xf>
    <xf numFmtId="0" fontId="174" fillId="49" borderId="5" xfId="48" applyFont="1" applyFill="1" applyBorder="1" applyAlignment="1">
      <alignment horizontal="center"/>
    </xf>
    <xf numFmtId="0" fontId="174" fillId="49" borderId="358" xfId="48" applyFont="1" applyFill="1" applyBorder="1" applyAlignment="1">
      <alignment horizontal="center"/>
    </xf>
    <xf numFmtId="0" fontId="56" fillId="3" borderId="101" xfId="50" applyFont="1" applyFill="1" applyBorder="1" applyAlignment="1">
      <alignment horizontal="center" vertical="center"/>
    </xf>
    <xf numFmtId="0" fontId="56" fillId="3" borderId="567" xfId="50" applyFont="1" applyFill="1" applyBorder="1" applyAlignment="1">
      <alignment horizontal="center" vertical="center"/>
    </xf>
    <xf numFmtId="0" fontId="532" fillId="2" borderId="101" xfId="50" applyFont="1" applyFill="1" applyBorder="1" applyAlignment="1">
      <alignment horizontal="center" vertical="center"/>
    </xf>
    <xf numFmtId="0" fontId="532" fillId="2" borderId="533" xfId="50" applyFont="1" applyFill="1" applyBorder="1" applyAlignment="1">
      <alignment horizontal="center" vertical="center"/>
    </xf>
    <xf numFmtId="0" fontId="532" fillId="2" borderId="567" xfId="50" applyFont="1" applyFill="1" applyBorder="1" applyAlignment="1">
      <alignment horizontal="center" vertical="center"/>
    </xf>
    <xf numFmtId="0" fontId="532" fillId="2" borderId="568" xfId="50" applyFont="1" applyFill="1" applyBorder="1" applyAlignment="1">
      <alignment horizontal="center" vertical="center"/>
    </xf>
    <xf numFmtId="0" fontId="4" fillId="0" borderId="101" xfId="50" applyBorder="1" applyAlignment="1">
      <alignment horizontal="center" vertical="center"/>
    </xf>
    <xf numFmtId="0" fontId="4" fillId="0" borderId="567" xfId="50" applyBorder="1" applyAlignment="1">
      <alignment horizontal="center" vertical="center"/>
    </xf>
    <xf numFmtId="166" fontId="15" fillId="3" borderId="101" xfId="52" applyNumberFormat="1" applyFont="1" applyFill="1" applyBorder="1" applyAlignment="1">
      <alignment horizontal="left" vertical="center"/>
    </xf>
    <xf numFmtId="166" fontId="15" fillId="3" borderId="0" xfId="52" applyNumberFormat="1" applyFont="1" applyFill="1" applyAlignment="1">
      <alignment horizontal="left" vertical="center"/>
    </xf>
    <xf numFmtId="0" fontId="11" fillId="3" borderId="101" xfId="52" applyFont="1" applyFill="1" applyBorder="1" applyAlignment="1">
      <alignment horizontal="right" vertical="center"/>
    </xf>
    <xf numFmtId="0" fontId="11" fillId="3" borderId="567" xfId="52" applyFont="1" applyFill="1" applyBorder="1" applyAlignment="1">
      <alignment horizontal="right" vertical="center"/>
    </xf>
    <xf numFmtId="9" fontId="11" fillId="3" borderId="533" xfId="50" applyNumberFormat="1" applyFont="1" applyFill="1" applyBorder="1" applyAlignment="1">
      <alignment horizontal="center" vertical="center"/>
    </xf>
    <xf numFmtId="9" fontId="11" fillId="3" borderId="568" xfId="50" applyNumberFormat="1" applyFont="1" applyFill="1" applyBorder="1" applyAlignment="1">
      <alignment horizontal="center" vertical="center"/>
    </xf>
    <xf numFmtId="0" fontId="799" fillId="2" borderId="497" xfId="50" applyFont="1" applyFill="1" applyBorder="1" applyAlignment="1">
      <alignment horizontal="center" vertical="center"/>
    </xf>
    <xf numFmtId="0" fontId="799" fillId="2" borderId="383" xfId="50" applyFont="1" applyFill="1" applyBorder="1" applyAlignment="1">
      <alignment horizontal="center" vertical="center"/>
    </xf>
    <xf numFmtId="0" fontId="67" fillId="3" borderId="497" xfId="48" applyFont="1" applyFill="1" applyBorder="1" applyAlignment="1">
      <alignment horizontal="center" vertical="center" wrapText="1"/>
    </xf>
    <xf numFmtId="0" fontId="67" fillId="3" borderId="383" xfId="48" applyFont="1" applyFill="1" applyBorder="1" applyAlignment="1">
      <alignment horizontal="center" vertical="center" wrapText="1"/>
    </xf>
    <xf numFmtId="0" fontId="186" fillId="3" borderId="497" xfId="48" applyFont="1" applyFill="1" applyBorder="1" applyAlignment="1">
      <alignment horizontal="center" vertical="center" wrapText="1"/>
    </xf>
    <xf numFmtId="0" fontId="186" fillId="3" borderId="401" xfId="48" applyFont="1" applyFill="1" applyBorder="1" applyAlignment="1">
      <alignment horizontal="center" vertical="center" wrapText="1"/>
    </xf>
    <xf numFmtId="49" fontId="168" fillId="13" borderId="7" xfId="48" applyNumberFormat="1" applyFont="1" applyFill="1" applyBorder="1" applyAlignment="1">
      <alignment horizontal="center" vertical="center"/>
    </xf>
    <xf numFmtId="49" fontId="168" fillId="13" borderId="419" xfId="48" applyNumberFormat="1" applyFont="1" applyFill="1" applyBorder="1" applyAlignment="1">
      <alignment horizontal="center" vertical="center"/>
    </xf>
    <xf numFmtId="0" fontId="174" fillId="49" borderId="5" xfId="48" applyFont="1" applyFill="1" applyBorder="1" applyAlignment="1">
      <alignment horizontal="center" wrapText="1"/>
    </xf>
    <xf numFmtId="0" fontId="174" fillId="49" borderId="358" xfId="48" applyFont="1" applyFill="1" applyBorder="1" applyAlignment="1">
      <alignment horizontal="center" wrapText="1"/>
    </xf>
    <xf numFmtId="0" fontId="147" fillId="3" borderId="567" xfId="48" applyFont="1" applyFill="1" applyBorder="1" applyAlignment="1" applyProtection="1">
      <alignment horizontal="center" vertical="center"/>
      <protection hidden="1"/>
    </xf>
    <xf numFmtId="0" fontId="46" fillId="3" borderId="567" xfId="48" applyFont="1" applyFill="1" applyBorder="1" applyAlignment="1" applyProtection="1">
      <alignment horizontal="center" vertical="center"/>
      <protection hidden="1"/>
    </xf>
    <xf numFmtId="0" fontId="46" fillId="3" borderId="568" xfId="48" applyFont="1" applyFill="1" applyBorder="1" applyAlignment="1" applyProtection="1">
      <alignment horizontal="center" vertical="center"/>
      <protection hidden="1"/>
    </xf>
    <xf numFmtId="0" fontId="174" fillId="2006" borderId="5" xfId="48" applyFont="1" applyFill="1" applyBorder="1" applyAlignment="1">
      <alignment horizontal="center"/>
    </xf>
    <xf numFmtId="0" fontId="174" fillId="2006" borderId="358" xfId="48" applyFont="1" applyFill="1" applyBorder="1" applyAlignment="1">
      <alignment horizontal="center"/>
    </xf>
    <xf numFmtId="0" fontId="782" fillId="2001" borderId="0" xfId="49" applyFont="1" applyFill="1" applyAlignment="1">
      <alignment horizontal="center" vertical="center"/>
    </xf>
    <xf numFmtId="0" fontId="782" fillId="2001" borderId="4" xfId="49" applyFont="1" applyFill="1" applyBorder="1" applyAlignment="1">
      <alignment horizontal="center" vertical="center"/>
    </xf>
    <xf numFmtId="0" fontId="24" fillId="3" borderId="0" xfId="48" applyFont="1" applyFill="1" applyAlignment="1">
      <alignment horizontal="left" vertical="center" wrapText="1"/>
    </xf>
    <xf numFmtId="0" fontId="24" fillId="3" borderId="4" xfId="48" applyFont="1" applyFill="1" applyBorder="1" applyAlignment="1">
      <alignment horizontal="left" vertical="center" wrapText="1"/>
    </xf>
    <xf numFmtId="0" fontId="15" fillId="2006" borderId="101" xfId="49" applyFont="1" applyFill="1" applyBorder="1" applyAlignment="1">
      <alignment horizontal="center" vertical="center"/>
    </xf>
    <xf numFmtId="0" fontId="15" fillId="2006" borderId="533" xfId="49" applyFont="1" applyFill="1" applyBorder="1" applyAlignment="1">
      <alignment horizontal="center" vertical="center"/>
    </xf>
    <xf numFmtId="0" fontId="799" fillId="2" borderId="396" xfId="50" applyFont="1" applyFill="1" applyBorder="1" applyAlignment="1">
      <alignment horizontal="center" vertical="center"/>
    </xf>
    <xf numFmtId="0" fontId="799" fillId="2" borderId="116" xfId="50" applyFont="1" applyFill="1" applyBorder="1" applyAlignment="1">
      <alignment horizontal="center" vertical="center"/>
    </xf>
    <xf numFmtId="0" fontId="493" fillId="13" borderId="424" xfId="48" applyFont="1" applyFill="1" applyBorder="1" applyAlignment="1">
      <alignment horizontal="center" vertical="center"/>
    </xf>
    <xf numFmtId="0" fontId="493" fillId="13" borderId="5" xfId="48" applyFont="1" applyFill="1" applyBorder="1" applyAlignment="1">
      <alignment horizontal="center" vertical="center"/>
    </xf>
    <xf numFmtId="0" fontId="169" fillId="2006" borderId="7" xfId="47" applyFont="1" applyFill="1" applyBorder="1" applyAlignment="1">
      <alignment horizontal="center" vertical="center"/>
    </xf>
    <xf numFmtId="0" fontId="174" fillId="2000" borderId="5" xfId="48" applyFont="1" applyFill="1" applyBorder="1" applyAlignment="1">
      <alignment horizontal="center"/>
    </xf>
    <xf numFmtId="0" fontId="174" fillId="2000" borderId="358" xfId="48" applyFont="1" applyFill="1" applyBorder="1" applyAlignment="1">
      <alignment horizontal="center"/>
    </xf>
    <xf numFmtId="0" fontId="783" fillId="2" borderId="0" xfId="13" applyFont="1" applyFill="1" applyAlignment="1" applyProtection="1">
      <alignment horizontal="center" vertical="center"/>
      <protection locked="0"/>
    </xf>
    <xf numFmtId="0" fontId="783" fillId="2" borderId="4" xfId="13" applyFont="1" applyFill="1" applyBorder="1" applyAlignment="1" applyProtection="1">
      <alignment horizontal="center" vertical="center"/>
      <protection locked="0"/>
    </xf>
    <xf numFmtId="0" fontId="15" fillId="2000" borderId="101" xfId="49" applyFont="1" applyFill="1" applyBorder="1" applyAlignment="1">
      <alignment horizontal="center" vertical="center"/>
    </xf>
    <xf numFmtId="0" fontId="15" fillId="2000" borderId="533" xfId="49" applyFont="1" applyFill="1" applyBorder="1" applyAlignment="1">
      <alignment horizontal="center" vertical="center"/>
    </xf>
    <xf numFmtId="0" fontId="54" fillId="2005" borderId="7" xfId="47" applyFont="1" applyFill="1" applyBorder="1" applyAlignment="1">
      <alignment horizontal="center" vertical="center"/>
    </xf>
    <xf numFmtId="0" fontId="676" fillId="2005" borderId="5" xfId="48" applyFont="1" applyFill="1" applyBorder="1" applyAlignment="1">
      <alignment horizontal="center"/>
    </xf>
    <xf numFmtId="0" fontId="676" fillId="2005" borderId="358" xfId="48" applyFont="1" applyFill="1" applyBorder="1" applyAlignment="1">
      <alignment horizontal="center"/>
    </xf>
    <xf numFmtId="0" fontId="326" fillId="159" borderId="0" xfId="49" applyFont="1" applyFill="1" applyAlignment="1">
      <alignment horizontal="center" vertical="center"/>
    </xf>
    <xf numFmtId="0" fontId="326" fillId="159" borderId="4" xfId="49" applyFont="1" applyFill="1" applyBorder="1" applyAlignment="1">
      <alignment horizontal="center" vertical="center"/>
    </xf>
    <xf numFmtId="0" fontId="168" fillId="30" borderId="101" xfId="49" applyFont="1" applyFill="1" applyBorder="1" applyAlignment="1">
      <alignment horizontal="center" vertical="center"/>
    </xf>
    <xf numFmtId="0" fontId="168" fillId="30" borderId="533" xfId="49" applyFont="1" applyFill="1" applyBorder="1" applyAlignment="1">
      <alignment horizontal="center" vertical="center"/>
    </xf>
    <xf numFmtId="0" fontId="169" fillId="2000" borderId="7" xfId="47" applyFont="1" applyFill="1" applyBorder="1" applyAlignment="1">
      <alignment horizontal="center" vertical="center"/>
    </xf>
    <xf numFmtId="0" fontId="4" fillId="3" borderId="0" xfId="60" applyFont="1" applyFill="1" applyAlignment="1">
      <alignment horizontal="center" vertical="top" wrapText="1"/>
    </xf>
    <xf numFmtId="0" fontId="4" fillId="3" borderId="4" xfId="60" applyFont="1" applyFill="1" applyBorder="1" applyAlignment="1">
      <alignment horizontal="center" vertical="top" wrapText="1"/>
    </xf>
    <xf numFmtId="0" fontId="1" fillId="3" borderId="0" xfId="60" applyFill="1" applyAlignment="1">
      <alignment horizontal="left" vertical="center" wrapText="1"/>
    </xf>
    <xf numFmtId="0" fontId="1" fillId="3" borderId="4" xfId="60" applyFill="1" applyBorder="1" applyAlignment="1">
      <alignment horizontal="left" vertical="center" wrapText="1"/>
    </xf>
    <xf numFmtId="0" fontId="44" fillId="4" borderId="7" xfId="0" applyFont="1" applyFill="1" applyBorder="1" applyAlignment="1">
      <alignment horizontal="center" vertical="center"/>
    </xf>
    <xf numFmtId="0" fontId="44" fillId="4" borderId="419" xfId="0" applyFont="1" applyFill="1" applyBorder="1" applyAlignment="1">
      <alignment horizontal="center" vertical="center"/>
    </xf>
    <xf numFmtId="0" fontId="1" fillId="3" borderId="0" xfId="60" applyFill="1" applyAlignment="1">
      <alignment horizontal="left" wrapText="1"/>
    </xf>
    <xf numFmtId="0" fontId="1" fillId="3" borderId="4" xfId="60" applyFill="1" applyBorder="1" applyAlignment="1">
      <alignment horizontal="left" wrapText="1"/>
    </xf>
    <xf numFmtId="0" fontId="0" fillId="4" borderId="5" xfId="0" applyFill="1" applyBorder="1" applyAlignment="1">
      <alignment horizontal="center"/>
    </xf>
    <xf numFmtId="0" fontId="0" fillId="4" borderId="358" xfId="0" applyFill="1" applyBorder="1" applyAlignment="1">
      <alignment horizontal="center"/>
    </xf>
    <xf numFmtId="0" fontId="0" fillId="0" borderId="0" xfId="0" applyAlignment="1">
      <alignment horizontal="center" wrapText="1"/>
    </xf>
    <xf numFmtId="0" fontId="0" fillId="0" borderId="4" xfId="0" applyBorder="1" applyAlignment="1">
      <alignment horizontal="center" wrapText="1"/>
    </xf>
    <xf numFmtId="0" fontId="182" fillId="0" borderId="0" xfId="28" applyFont="1" applyBorder="1" applyAlignment="1">
      <alignment horizontal="left" vertical="center"/>
    </xf>
    <xf numFmtId="0" fontId="777" fillId="73" borderId="0" xfId="60" applyFont="1" applyFill="1" applyAlignment="1">
      <alignment horizontal="center" vertical="center"/>
    </xf>
    <xf numFmtId="0" fontId="778" fillId="130" borderId="0" xfId="49" applyFont="1" applyFill="1" applyAlignment="1">
      <alignment horizontal="center" vertical="center"/>
    </xf>
    <xf numFmtId="0" fontId="781" fillId="2" borderId="0" xfId="49" applyFont="1" applyFill="1" applyAlignment="1">
      <alignment horizontal="center" vertical="center"/>
    </xf>
    <xf numFmtId="222" fontId="771" fillId="3" borderId="0" xfId="49" applyNumberFormat="1" applyFont="1" applyFill="1" applyAlignment="1">
      <alignment horizontal="center" vertical="center"/>
    </xf>
    <xf numFmtId="0" fontId="169" fillId="4" borderId="7" xfId="60" applyFont="1" applyFill="1" applyBorder="1" applyAlignment="1">
      <alignment horizontal="center" vertical="center"/>
    </xf>
    <xf numFmtId="0" fontId="169" fillId="4" borderId="419" xfId="60" applyFont="1" applyFill="1" applyBorder="1" applyAlignment="1">
      <alignment horizontal="center" vertical="center"/>
    </xf>
    <xf numFmtId="0" fontId="676" fillId="4" borderId="5" xfId="48" applyFont="1" applyFill="1" applyBorder="1" applyAlignment="1">
      <alignment horizontal="center" vertical="center" textRotation="90"/>
    </xf>
    <xf numFmtId="0" fontId="676" fillId="4" borderId="358" xfId="48" applyFont="1" applyFill="1" applyBorder="1" applyAlignment="1">
      <alignment horizontal="center" vertical="center" textRotation="90"/>
    </xf>
    <xf numFmtId="0" fontId="4" fillId="3" borderId="0" xfId="60" applyFont="1" applyFill="1" applyAlignment="1">
      <alignment horizontal="left" vertical="center" wrapText="1"/>
    </xf>
    <xf numFmtId="0" fontId="4" fillId="3" borderId="4" xfId="60" applyFont="1" applyFill="1" applyBorder="1" applyAlignment="1">
      <alignment horizontal="left" vertical="center" wrapText="1"/>
    </xf>
    <xf numFmtId="0" fontId="1" fillId="3" borderId="0" xfId="60" applyFill="1" applyAlignment="1">
      <alignment horizontal="left" vertical="top" wrapText="1"/>
    </xf>
    <xf numFmtId="0" fontId="1" fillId="3" borderId="4" xfId="60" applyFill="1" applyBorder="1" applyAlignment="1">
      <alignment horizontal="left" vertical="top" wrapText="1"/>
    </xf>
    <xf numFmtId="0" fontId="4" fillId="3" borderId="0" xfId="60" applyFont="1" applyFill="1" applyAlignment="1">
      <alignment horizontal="left" vertical="top" wrapText="1"/>
    </xf>
    <xf numFmtId="0" fontId="4" fillId="3" borderId="4" xfId="60" applyFont="1" applyFill="1" applyBorder="1" applyAlignment="1">
      <alignment horizontal="left" vertical="top" wrapText="1"/>
    </xf>
    <xf numFmtId="0" fontId="1" fillId="3" borderId="0" xfId="60" applyFill="1" applyAlignment="1">
      <alignment horizontal="center" vertical="top" wrapText="1"/>
    </xf>
    <xf numFmtId="0" fontId="1" fillId="3" borderId="4" xfId="60" applyFill="1" applyBorder="1" applyAlignment="1">
      <alignment horizontal="center" vertical="top" wrapText="1"/>
    </xf>
    <xf numFmtId="0" fontId="392" fillId="0" borderId="206" xfId="10" applyFont="1" applyBorder="1" applyAlignment="1" applyProtection="1">
      <alignment horizontal="left" vertical="center"/>
    </xf>
    <xf numFmtId="0" fontId="392" fillId="0" borderId="240" xfId="10" applyFont="1" applyBorder="1" applyAlignment="1" applyProtection="1">
      <alignment horizontal="left" vertical="center"/>
    </xf>
    <xf numFmtId="0" fontId="15" fillId="0" borderId="416" xfId="1" applyFont="1" applyBorder="1" applyAlignment="1">
      <alignment horizontal="center"/>
    </xf>
    <xf numFmtId="0" fontId="15" fillId="0" borderId="233" xfId="1" applyFont="1" applyBorder="1" applyAlignment="1">
      <alignment horizontal="center"/>
    </xf>
    <xf numFmtId="0" fontId="24" fillId="0" borderId="446" xfId="1" applyFont="1" applyBorder="1" applyAlignment="1">
      <alignment horizontal="center"/>
    </xf>
    <xf numFmtId="0" fontId="24" fillId="0" borderId="234" xfId="1" applyFont="1" applyBorder="1" applyAlignment="1">
      <alignment horizontal="center"/>
    </xf>
    <xf numFmtId="0" fontId="23" fillId="12" borderId="202" xfId="1" applyFont="1" applyFill="1" applyBorder="1" applyAlignment="1">
      <alignment horizontal="center" vertical="center" wrapText="1"/>
    </xf>
    <xf numFmtId="0" fontId="23" fillId="12" borderId="0" xfId="1" applyFont="1" applyFill="1" applyAlignment="1">
      <alignment horizontal="center" vertical="center" wrapText="1"/>
    </xf>
    <xf numFmtId="0" fontId="281" fillId="12" borderId="203" xfId="1" applyFont="1" applyFill="1" applyBorder="1" applyAlignment="1">
      <alignment horizontal="center" vertical="center" wrapText="1"/>
    </xf>
    <xf numFmtId="0" fontId="281" fillId="12" borderId="205" xfId="1" applyFont="1" applyFill="1" applyBorder="1" applyAlignment="1">
      <alignment horizontal="center" vertical="center" wrapText="1"/>
    </xf>
    <xf numFmtId="0" fontId="11" fillId="12" borderId="0" xfId="1" applyFont="1" applyFill="1" applyAlignment="1">
      <alignment horizontal="center" vertical="center"/>
    </xf>
    <xf numFmtId="0" fontId="11" fillId="12" borderId="205" xfId="1" applyFont="1" applyFill="1" applyBorder="1" applyAlignment="1">
      <alignment horizontal="center" vertical="center"/>
    </xf>
    <xf numFmtId="0" fontId="392" fillId="2" borderId="236" xfId="10" applyFont="1" applyFill="1" applyBorder="1" applyAlignment="1" applyProtection="1">
      <alignment horizontal="left" vertical="center"/>
    </xf>
    <xf numFmtId="0" fontId="392" fillId="2" borderId="237" xfId="10" applyFont="1" applyFill="1" applyBorder="1" applyAlignment="1" applyProtection="1">
      <alignment horizontal="left" vertical="center"/>
    </xf>
    <xf numFmtId="0" fontId="392" fillId="0" borderId="242" xfId="10" applyFont="1" applyBorder="1" applyAlignment="1" applyProtection="1">
      <alignment horizontal="left" vertical="center"/>
    </xf>
    <xf numFmtId="0" fontId="30" fillId="0" borderId="242" xfId="1" applyFont="1" applyBorder="1" applyAlignment="1">
      <alignment horizontal="left" vertical="center"/>
    </xf>
    <xf numFmtId="0" fontId="30" fillId="0" borderId="243" xfId="1" applyFont="1" applyBorder="1" applyAlignment="1">
      <alignment horizontal="left" vertical="center"/>
    </xf>
    <xf numFmtId="0" fontId="89" fillId="3" borderId="0" xfId="1" applyFont="1" applyFill="1" applyAlignment="1">
      <alignment horizontal="center" vertical="center"/>
    </xf>
    <xf numFmtId="0" fontId="89" fillId="3" borderId="206" xfId="1" applyFont="1" applyFill="1" applyBorder="1" applyAlignment="1">
      <alignment horizontal="center" vertical="center"/>
    </xf>
    <xf numFmtId="0" fontId="386" fillId="2" borderId="7" xfId="1" applyFont="1" applyFill="1" applyBorder="1" applyAlignment="1">
      <alignment horizontal="center" vertical="center" wrapText="1"/>
    </xf>
    <xf numFmtId="0" fontId="24" fillId="0" borderId="433" xfId="1" applyFont="1" applyBorder="1" applyAlignment="1">
      <alignment horizontal="center"/>
    </xf>
    <xf numFmtId="0" fontId="24" fillId="0" borderId="430" xfId="1" applyFont="1" applyBorder="1" applyAlignment="1">
      <alignment horizontal="center"/>
    </xf>
    <xf numFmtId="0" fontId="23" fillId="12" borderId="7" xfId="1" applyFont="1" applyFill="1" applyBorder="1" applyAlignment="1">
      <alignment horizontal="center" vertical="center" wrapText="1"/>
    </xf>
    <xf numFmtId="0" fontId="11" fillId="12" borderId="294" xfId="1" applyFont="1" applyFill="1" applyBorder="1" applyAlignment="1">
      <alignment horizontal="center" vertical="center"/>
    </xf>
    <xf numFmtId="0" fontId="281" fillId="12" borderId="419" xfId="1" applyFont="1" applyFill="1" applyBorder="1" applyAlignment="1">
      <alignment horizontal="center" vertical="center" wrapText="1"/>
    </xf>
    <xf numFmtId="0" fontId="281" fillId="12" borderId="294" xfId="1" applyFont="1" applyFill="1" applyBorder="1" applyAlignment="1">
      <alignment horizontal="center" vertical="center" wrapText="1"/>
    </xf>
    <xf numFmtId="0" fontId="392" fillId="2" borderId="421" xfId="10" applyFont="1" applyFill="1" applyBorder="1" applyAlignment="1" applyProtection="1">
      <alignment horizontal="left" vertical="center"/>
    </xf>
    <xf numFmtId="0" fontId="40" fillId="58" borderId="57" xfId="13" applyFont="1" applyFill="1" applyBorder="1" applyAlignment="1" applyProtection="1">
      <alignment horizontal="right" vertical="center"/>
      <protection locked="0"/>
    </xf>
    <xf numFmtId="0" fontId="40" fillId="58" borderId="0" xfId="13" applyFont="1" applyFill="1" applyAlignment="1" applyProtection="1">
      <alignment horizontal="right" vertical="center"/>
      <protection locked="0"/>
    </xf>
    <xf numFmtId="0" fontId="15" fillId="130" borderId="441" xfId="13" applyFont="1" applyFill="1" applyBorder="1" applyAlignment="1" applyProtection="1">
      <alignment horizontal="center" vertical="center" wrapText="1"/>
      <protection locked="0"/>
    </xf>
    <xf numFmtId="0" fontId="15" fillId="130" borderId="0" xfId="13" applyFont="1" applyFill="1" applyAlignment="1" applyProtection="1">
      <alignment horizontal="center" vertical="center" wrapText="1"/>
      <protection locked="0"/>
    </xf>
    <xf numFmtId="0" fontId="15" fillId="130" borderId="294" xfId="13" applyFont="1" applyFill="1" applyBorder="1" applyAlignment="1" applyProtection="1">
      <alignment horizontal="center" vertical="center" wrapText="1"/>
      <protection locked="0"/>
    </xf>
    <xf numFmtId="0" fontId="15" fillId="130" borderId="442" xfId="13" applyFont="1" applyFill="1" applyBorder="1" applyAlignment="1" applyProtection="1">
      <alignment horizontal="center" vertical="center" wrapText="1"/>
      <protection locked="0"/>
    </xf>
    <xf numFmtId="0" fontId="15" fillId="130" borderId="15" xfId="13" applyFont="1" applyFill="1" applyBorder="1" applyAlignment="1" applyProtection="1">
      <alignment horizontal="center" vertical="center" wrapText="1"/>
      <protection locked="0"/>
    </xf>
    <xf numFmtId="0" fontId="15" fillId="130" borderId="14" xfId="13" applyFont="1" applyFill="1" applyBorder="1" applyAlignment="1" applyProtection="1">
      <alignment horizontal="center" vertical="center" wrapText="1"/>
      <protection locked="0"/>
    </xf>
    <xf numFmtId="0" fontId="44" fillId="155" borderId="441" xfId="0" applyFont="1" applyFill="1" applyBorder="1" applyAlignment="1">
      <alignment horizontal="center" vertical="center" wrapText="1"/>
    </xf>
    <xf numFmtId="0" fontId="44" fillId="155" borderId="0" xfId="0" applyFont="1" applyFill="1" applyAlignment="1">
      <alignment horizontal="center" vertical="center" wrapText="1"/>
    </xf>
    <xf numFmtId="0" fontId="44" fillId="155" borderId="294" xfId="0" applyFont="1" applyFill="1" applyBorder="1" applyAlignment="1">
      <alignment horizontal="center" vertical="center" wrapText="1"/>
    </xf>
    <xf numFmtId="0" fontId="44" fillId="155" borderId="443" xfId="0" applyFont="1" applyFill="1" applyBorder="1" applyAlignment="1">
      <alignment horizontal="center" vertical="center" wrapText="1"/>
    </xf>
    <xf numFmtId="0" fontId="44" fillId="155" borderId="444" xfId="0" applyFont="1" applyFill="1" applyBorder="1" applyAlignment="1">
      <alignment horizontal="center" vertical="center" wrapText="1"/>
    </xf>
    <xf numFmtId="0" fontId="44" fillId="155" borderId="445" xfId="0" applyFont="1" applyFill="1" applyBorder="1" applyAlignment="1">
      <alignment horizontal="center" vertical="center" wrapText="1"/>
    </xf>
    <xf numFmtId="0" fontId="392" fillId="0" borderId="422" xfId="10" applyFont="1" applyBorder="1" applyAlignment="1" applyProtection="1">
      <alignment horizontal="left" vertical="center"/>
    </xf>
    <xf numFmtId="0" fontId="146" fillId="2" borderId="419" xfId="1" applyFont="1" applyFill="1" applyBorder="1" applyAlignment="1">
      <alignment horizontal="center" vertical="center" wrapText="1"/>
    </xf>
    <xf numFmtId="0" fontId="146" fillId="2" borderId="294" xfId="1" applyFont="1" applyFill="1" applyBorder="1" applyAlignment="1">
      <alignment horizontal="center" vertical="center" wrapText="1"/>
    </xf>
    <xf numFmtId="0" fontId="34" fillId="0" borderId="0" xfId="1" applyFont="1" applyAlignment="1">
      <alignment horizontal="center" vertical="center"/>
    </xf>
    <xf numFmtId="0" fontId="34" fillId="0" borderId="206" xfId="1" applyFont="1" applyBorder="1" applyAlignment="1">
      <alignment horizontal="center" vertical="center"/>
    </xf>
    <xf numFmtId="0" fontId="281" fillId="133" borderId="424" xfId="48" applyFont="1" applyFill="1" applyBorder="1" applyAlignment="1">
      <alignment horizontal="center" vertical="center" wrapText="1"/>
    </xf>
    <xf numFmtId="0" fontId="281" fillId="133" borderId="7" xfId="48" applyFont="1" applyFill="1" applyBorder="1" applyAlignment="1">
      <alignment horizontal="center" vertical="center" wrapText="1"/>
    </xf>
    <xf numFmtId="0" fontId="281" fillId="133" borderId="419" xfId="48" applyFont="1" applyFill="1" applyBorder="1" applyAlignment="1">
      <alignment horizontal="center" vertical="center" wrapText="1"/>
    </xf>
    <xf numFmtId="0" fontId="281" fillId="133" borderId="5" xfId="48" applyFont="1" applyFill="1" applyBorder="1" applyAlignment="1">
      <alignment horizontal="center" vertical="center" wrapText="1"/>
    </xf>
    <xf numFmtId="0" fontId="281" fillId="133" borderId="0" xfId="48" applyFont="1" applyFill="1" applyAlignment="1">
      <alignment horizontal="center" vertical="center" wrapText="1"/>
    </xf>
    <xf numFmtId="0" fontId="281" fillId="133" borderId="294" xfId="48" applyFont="1" applyFill="1" applyBorder="1" applyAlignment="1">
      <alignment horizontal="center" vertical="center" wrapText="1"/>
    </xf>
    <xf numFmtId="0" fontId="11" fillId="12" borderId="438" xfId="48" applyFont="1" applyFill="1" applyBorder="1" applyAlignment="1">
      <alignment horizontal="center" vertical="center"/>
    </xf>
    <xf numFmtId="0" fontId="11" fillId="12" borderId="299" xfId="48" applyFont="1" applyFill="1" applyBorder="1" applyAlignment="1">
      <alignment horizontal="center" vertical="center"/>
    </xf>
    <xf numFmtId="0" fontId="11" fillId="12" borderId="440" xfId="48" applyFont="1" applyFill="1" applyBorder="1" applyAlignment="1">
      <alignment horizontal="center" vertical="center"/>
    </xf>
    <xf numFmtId="0" fontId="40" fillId="58" borderId="0" xfId="13" applyFont="1" applyFill="1" applyAlignment="1" applyProtection="1">
      <alignment horizontal="center" vertical="center"/>
      <protection locked="0"/>
    </xf>
    <xf numFmtId="0" fontId="40" fillId="58" borderId="294" xfId="13" applyFont="1" applyFill="1" applyBorder="1" applyAlignment="1" applyProtection="1">
      <alignment horizontal="center" vertical="center"/>
      <protection locked="0"/>
    </xf>
    <xf numFmtId="0" fontId="386" fillId="2" borderId="201" xfId="1" applyFont="1" applyFill="1" applyBorder="1" applyAlignment="1">
      <alignment horizontal="center" vertical="center" wrapText="1"/>
    </xf>
    <xf numFmtId="0" fontId="386" fillId="2" borderId="204" xfId="1" applyFont="1" applyFill="1" applyBorder="1" applyAlignment="1">
      <alignment horizontal="center" vertical="center" wrapText="1"/>
    </xf>
    <xf numFmtId="0" fontId="50" fillId="2" borderId="204" xfId="1" applyFont="1" applyFill="1" applyBorder="1" applyAlignment="1">
      <alignment horizontal="center" vertical="center"/>
    </xf>
    <xf numFmtId="0" fontId="23" fillId="12" borderId="447" xfId="1" applyFont="1" applyFill="1" applyBorder="1" applyAlignment="1">
      <alignment horizontal="center" vertical="center" wrapText="1"/>
    </xf>
    <xf numFmtId="0" fontId="395" fillId="41" borderId="0" xfId="1" applyFont="1" applyFill="1" applyAlignment="1">
      <alignment horizontal="center" vertical="center" wrapText="1"/>
    </xf>
    <xf numFmtId="0" fontId="15" fillId="0" borderId="232" xfId="1" applyFont="1" applyBorder="1" applyAlignment="1">
      <alignment horizontal="center"/>
    </xf>
    <xf numFmtId="0" fontId="24" fillId="0" borderId="217" xfId="1" applyFont="1" applyBorder="1" applyAlignment="1">
      <alignment horizontal="center"/>
    </xf>
    <xf numFmtId="0" fontId="392" fillId="0" borderId="242" xfId="24" applyFont="1" applyBorder="1" applyAlignment="1" applyProtection="1">
      <alignment horizontal="left" vertical="center"/>
    </xf>
    <xf numFmtId="0" fontId="34" fillId="0" borderId="0" xfId="1" applyFont="1" applyAlignment="1">
      <alignment horizontal="right" vertical="center"/>
    </xf>
    <xf numFmtId="0" fontId="15" fillId="0" borderId="276" xfId="1" applyFont="1" applyBorder="1" applyAlignment="1">
      <alignment horizontal="center"/>
    </xf>
    <xf numFmtId="0" fontId="15" fillId="0" borderId="274" xfId="1" applyFont="1" applyBorder="1" applyAlignment="1">
      <alignment horizontal="center"/>
    </xf>
    <xf numFmtId="0" fontId="388" fillId="0" borderId="276" xfId="1" applyFont="1" applyBorder="1" applyAlignment="1">
      <alignment horizontal="center" vertical="center"/>
    </xf>
    <xf numFmtId="0" fontId="388" fillId="0" borderId="274" xfId="1" applyFont="1" applyBorder="1" applyAlignment="1">
      <alignment horizontal="center" vertical="center"/>
    </xf>
    <xf numFmtId="0" fontId="34" fillId="3" borderId="274" xfId="1" applyFont="1" applyFill="1" applyBorder="1" applyAlignment="1">
      <alignment horizontal="center" vertical="center"/>
    </xf>
    <xf numFmtId="0" fontId="392" fillId="0" borderId="0" xfId="10" applyFont="1" applyBorder="1" applyAlignment="1" applyProtection="1">
      <alignment horizontal="left" vertical="center"/>
    </xf>
    <xf numFmtId="0" fontId="392" fillId="0" borderId="281" xfId="10" applyFont="1" applyBorder="1" applyAlignment="1" applyProtection="1">
      <alignment horizontal="left" vertical="center"/>
    </xf>
    <xf numFmtId="0" fontId="23" fillId="12" borderId="201" xfId="1" applyFont="1" applyFill="1" applyBorder="1" applyAlignment="1">
      <alignment horizontal="center" vertical="center" wrapText="1"/>
    </xf>
    <xf numFmtId="0" fontId="23" fillId="12" borderId="204" xfId="1" applyFont="1" applyFill="1" applyBorder="1" applyAlignment="1">
      <alignment horizontal="center" vertical="center" wrapText="1"/>
    </xf>
    <xf numFmtId="0" fontId="11" fillId="12" borderId="204" xfId="1" applyFont="1" applyFill="1" applyBorder="1" applyAlignment="1">
      <alignment horizontal="center" vertical="center"/>
    </xf>
    <xf numFmtId="0" fontId="386" fillId="2" borderId="205" xfId="1" applyFont="1" applyFill="1" applyBorder="1" applyAlignment="1">
      <alignment horizontal="center" vertical="center" wrapText="1"/>
    </xf>
    <xf numFmtId="0" fontId="126" fillId="3" borderId="0" xfId="1" applyFont="1" applyFill="1" applyAlignment="1">
      <alignment horizontal="right" vertical="center"/>
    </xf>
    <xf numFmtId="1" fontId="426" fillId="22" borderId="205" xfId="3" applyNumberFormat="1" applyFont="1" applyFill="1" applyBorder="1" applyAlignment="1">
      <alignment horizontal="center" vertical="center"/>
    </xf>
    <xf numFmtId="1" fontId="426" fillId="22" borderId="207" xfId="3" applyNumberFormat="1" applyFont="1" applyFill="1" applyBorder="1" applyAlignment="1">
      <alignment horizontal="center" vertical="center"/>
    </xf>
    <xf numFmtId="0" fontId="24" fillId="5" borderId="0" xfId="48" applyFont="1" applyFill="1" applyAlignment="1">
      <alignment horizontal="center" vertical="center" wrapText="1"/>
    </xf>
    <xf numFmtId="0" fontId="148" fillId="5" borderId="0" xfId="48" applyFont="1" applyFill="1" applyAlignment="1">
      <alignment horizontal="left" wrapText="1"/>
    </xf>
    <xf numFmtId="0" fontId="553" fillId="12" borderId="5" xfId="49" applyFont="1" applyFill="1" applyBorder="1" applyAlignment="1">
      <alignment horizontal="center" vertical="center"/>
    </xf>
    <xf numFmtId="0" fontId="553" fillId="12" borderId="0" xfId="49" applyFont="1" applyFill="1" applyAlignment="1">
      <alignment horizontal="center" vertical="center"/>
    </xf>
    <xf numFmtId="0" fontId="553" fillId="12" borderId="294" xfId="49" applyFont="1" applyFill="1" applyBorder="1" applyAlignment="1">
      <alignment horizontal="center" vertical="center"/>
    </xf>
    <xf numFmtId="0" fontId="147" fillId="3" borderId="673" xfId="48" applyFont="1" applyFill="1" applyBorder="1" applyAlignment="1">
      <alignment horizontal="center" vertical="center" wrapText="1"/>
    </xf>
    <xf numFmtId="0" fontId="147" fillId="3" borderId="254" xfId="48" applyFont="1" applyFill="1" applyBorder="1" applyAlignment="1">
      <alignment horizontal="center" vertical="center" wrapText="1"/>
    </xf>
    <xf numFmtId="0" fontId="0" fillId="158" borderId="0" xfId="0" applyFill="1" applyAlignment="1">
      <alignment horizontal="center" vertical="center" wrapText="1"/>
    </xf>
    <xf numFmtId="0" fontId="0" fillId="158" borderId="0" xfId="0" applyFill="1" applyAlignment="1">
      <alignment horizontal="center" vertical="center"/>
    </xf>
    <xf numFmtId="0" fontId="0" fillId="158" borderId="0" xfId="0" applyFill="1" applyAlignment="1">
      <alignment horizontal="left" vertical="center"/>
    </xf>
    <xf numFmtId="0" fontId="40" fillId="58" borderId="683" xfId="13" applyFont="1" applyFill="1" applyBorder="1" applyAlignment="1" applyProtection="1">
      <alignment horizontal="right" vertical="center"/>
      <protection locked="0"/>
    </xf>
    <xf numFmtId="0" fontId="793" fillId="149" borderId="5" xfId="0" applyFont="1" applyFill="1" applyBorder="1" applyAlignment="1">
      <alignment horizontal="left" vertical="center" wrapText="1"/>
    </xf>
    <xf numFmtId="0" fontId="793" fillId="149" borderId="0" xfId="0" applyFont="1" applyFill="1" applyAlignment="1">
      <alignment horizontal="left" vertical="center" wrapText="1"/>
    </xf>
    <xf numFmtId="0" fontId="793" fillId="149" borderId="294" xfId="0" applyFont="1" applyFill="1" applyBorder="1" applyAlignment="1">
      <alignment horizontal="left" vertical="center" wrapText="1"/>
    </xf>
    <xf numFmtId="0" fontId="157" fillId="1998" borderId="414" xfId="48" applyFont="1" applyFill="1" applyBorder="1" applyAlignment="1">
      <alignment horizontal="center" vertical="center" wrapText="1"/>
    </xf>
    <xf numFmtId="0" fontId="157" fillId="1998" borderId="646" xfId="48" applyFont="1" applyFill="1" applyBorder="1" applyAlignment="1">
      <alignment horizontal="center" vertical="center" wrapText="1"/>
    </xf>
    <xf numFmtId="0" fontId="157" fillId="1998" borderId="567" xfId="48" applyFont="1" applyFill="1" applyBorder="1" applyAlignment="1">
      <alignment horizontal="center" vertical="center" wrapText="1"/>
    </xf>
    <xf numFmtId="0" fontId="157" fillId="1998" borderId="568" xfId="48" applyFont="1" applyFill="1" applyBorder="1" applyAlignment="1">
      <alignment horizontal="center" vertical="center" wrapText="1"/>
    </xf>
    <xf numFmtId="0" fontId="157" fillId="158" borderId="414" xfId="48" applyFont="1" applyFill="1" applyBorder="1" applyAlignment="1" applyProtection="1">
      <alignment horizontal="center" vertical="center" wrapText="1"/>
      <protection locked="0"/>
    </xf>
    <xf numFmtId="0" fontId="157" fillId="158" borderId="655" xfId="48" applyFont="1" applyFill="1" applyBorder="1" applyAlignment="1" applyProtection="1">
      <alignment horizontal="center" vertical="center" wrapText="1"/>
      <protection locked="0"/>
    </xf>
    <xf numFmtId="0" fontId="157" fillId="158" borderId="653" xfId="48" applyFont="1" applyFill="1" applyBorder="1" applyAlignment="1">
      <alignment horizontal="center" vertical="center" wrapText="1"/>
    </xf>
    <xf numFmtId="0" fontId="157" fillId="158" borderId="656" xfId="48" applyFont="1" applyFill="1" applyBorder="1" applyAlignment="1">
      <alignment horizontal="center" vertical="center" wrapText="1"/>
    </xf>
    <xf numFmtId="0" fontId="44" fillId="0" borderId="664" xfId="49" applyFont="1" applyBorder="1" applyAlignment="1">
      <alignment horizontal="center" vertical="center"/>
    </xf>
    <xf numFmtId="0" fontId="44" fillId="0" borderId="665" xfId="49" applyFont="1" applyBorder="1" applyAlignment="1">
      <alignment horizontal="center" vertical="center"/>
    </xf>
    <xf numFmtId="0" fontId="157" fillId="3" borderId="414" xfId="48" applyFont="1" applyFill="1" applyBorder="1" applyAlignment="1">
      <alignment horizontal="center" vertical="center" wrapText="1"/>
    </xf>
    <xf numFmtId="0" fontId="431" fillId="2" borderId="5" xfId="48" applyFont="1" applyFill="1" applyBorder="1" applyAlignment="1" applyProtection="1">
      <alignment horizontal="center" vertical="center"/>
      <protection hidden="1"/>
    </xf>
    <xf numFmtId="0" fontId="157" fillId="158" borderId="299" xfId="48" applyFont="1" applyFill="1" applyBorder="1" applyAlignment="1" applyProtection="1">
      <alignment horizontal="center" vertical="center" wrapText="1"/>
      <protection locked="0"/>
    </xf>
    <xf numFmtId="0" fontId="157" fillId="158" borderId="567" xfId="48" applyFont="1" applyFill="1" applyBorder="1" applyAlignment="1" applyProtection="1">
      <alignment horizontal="center" vertical="center" wrapText="1"/>
      <protection locked="0"/>
    </xf>
    <xf numFmtId="0" fontId="157" fillId="158" borderId="547" xfId="48" applyFont="1" applyFill="1" applyBorder="1" applyAlignment="1">
      <alignment horizontal="center" vertical="center" wrapText="1"/>
    </xf>
    <xf numFmtId="0" fontId="157" fillId="158" borderId="132" xfId="48" applyFont="1" applyFill="1" applyBorder="1" applyAlignment="1">
      <alignment horizontal="center" vertical="center" wrapText="1"/>
    </xf>
    <xf numFmtId="0" fontId="822" fillId="2" borderId="537" xfId="48" applyFont="1" applyFill="1" applyBorder="1" applyAlignment="1" applyProtection="1">
      <alignment horizontal="center" vertical="center" wrapText="1"/>
      <protection hidden="1"/>
    </xf>
    <xf numFmtId="0" fontId="822" fillId="2" borderId="584" xfId="48" applyFont="1" applyFill="1" applyBorder="1" applyAlignment="1" applyProtection="1">
      <alignment horizontal="center" vertical="center" wrapText="1"/>
      <protection hidden="1"/>
    </xf>
    <xf numFmtId="0" fontId="823" fillId="12" borderId="464" xfId="48" applyFont="1" applyFill="1" applyBorder="1" applyAlignment="1">
      <alignment horizontal="center" vertical="center" wrapText="1"/>
    </xf>
    <xf numFmtId="0" fontId="823" fillId="12" borderId="127" xfId="48" applyFont="1" applyFill="1" applyBorder="1" applyAlignment="1">
      <alignment horizontal="center" vertical="center" wrapText="1"/>
    </xf>
    <xf numFmtId="0" fontId="157" fillId="3" borderId="0" xfId="48" applyFont="1" applyFill="1" applyAlignment="1">
      <alignment horizontal="center" vertical="center" wrapText="1"/>
    </xf>
    <xf numFmtId="0" fontId="157" fillId="3" borderId="567" xfId="48" applyFont="1" applyFill="1" applyBorder="1" applyAlignment="1">
      <alignment horizontal="center" vertical="center" wrapText="1"/>
    </xf>
    <xf numFmtId="0" fontId="157" fillId="130" borderId="0" xfId="48" applyFont="1" applyFill="1" applyAlignment="1">
      <alignment horizontal="center" vertical="center" wrapText="1"/>
    </xf>
    <xf numFmtId="0" fontId="157" fillId="130" borderId="567" xfId="48" applyFont="1" applyFill="1" applyBorder="1" applyAlignment="1">
      <alignment horizontal="center" vertical="center" wrapText="1"/>
    </xf>
    <xf numFmtId="0" fontId="157" fillId="3" borderId="356" xfId="48" applyFont="1" applyFill="1" applyBorder="1" applyAlignment="1">
      <alignment horizontal="center" vertical="center" wrapText="1"/>
    </xf>
    <xf numFmtId="0" fontId="157" fillId="3" borderId="132" xfId="48" applyFont="1" applyFill="1" applyBorder="1" applyAlignment="1">
      <alignment horizontal="center" vertical="center" wrapText="1"/>
    </xf>
    <xf numFmtId="0" fontId="6" fillId="12" borderId="464" xfId="0" applyFont="1" applyFill="1" applyBorder="1" applyAlignment="1">
      <alignment horizontal="center" vertical="center"/>
    </xf>
    <xf numFmtId="0" fontId="6" fillId="12" borderId="127" xfId="0" applyFont="1" applyFill="1" applyBorder="1" applyAlignment="1">
      <alignment horizontal="center" vertical="center"/>
    </xf>
    <xf numFmtId="0" fontId="44" fillId="12" borderId="0" xfId="0" applyFont="1" applyFill="1" applyAlignment="1">
      <alignment horizontal="center" vertical="center"/>
    </xf>
    <xf numFmtId="0" fontId="44" fillId="12" borderId="614" xfId="0" applyFont="1" applyFill="1" applyBorder="1" applyAlignment="1">
      <alignment horizontal="center" vertical="center"/>
    </xf>
    <xf numFmtId="189" fontId="6" fillId="12" borderId="607" xfId="0" applyNumberFormat="1" applyFont="1" applyFill="1" applyBorder="1" applyAlignment="1">
      <alignment horizontal="center" vertical="center"/>
    </xf>
    <xf numFmtId="189" fontId="6" fillId="12" borderId="606" xfId="0" applyNumberFormat="1" applyFont="1" applyFill="1" applyBorder="1" applyAlignment="1">
      <alignment horizontal="center" vertical="center"/>
    </xf>
    <xf numFmtId="0" fontId="44" fillId="12" borderId="294" xfId="0" applyFont="1" applyFill="1" applyBorder="1" applyAlignment="1">
      <alignment horizontal="center" vertical="center"/>
    </xf>
    <xf numFmtId="0" fontId="44" fillId="12" borderId="567" xfId="0" applyFont="1" applyFill="1" applyBorder="1" applyAlignment="1">
      <alignment horizontal="center" vertical="center"/>
    </xf>
    <xf numFmtId="0" fontId="44" fillId="12" borderId="568" xfId="0" applyFont="1" applyFill="1" applyBorder="1" applyAlignment="1">
      <alignment horizontal="center" vertical="center"/>
    </xf>
    <xf numFmtId="0" fontId="0" fillId="149" borderId="294" xfId="0" applyFill="1" applyBorder="1" applyAlignment="1">
      <alignment horizontal="center" wrapText="1"/>
    </xf>
    <xf numFmtId="0" fontId="56" fillId="3" borderId="0" xfId="51" applyFont="1" applyFill="1" applyAlignment="1">
      <alignment horizontal="center" vertical="top" wrapText="1"/>
    </xf>
    <xf numFmtId="0" fontId="24" fillId="3" borderId="255" xfId="63" applyFont="1" applyFill="1" applyBorder="1" applyAlignment="1">
      <alignment horizontal="center" vertical="center" wrapText="1"/>
    </xf>
    <xf numFmtId="0" fontId="24" fillId="3" borderId="466" xfId="63" applyFont="1" applyFill="1" applyBorder="1" applyAlignment="1">
      <alignment horizontal="center" vertical="center" wrapText="1"/>
    </xf>
    <xf numFmtId="0" fontId="24" fillId="3" borderId="640" xfId="63" applyFont="1" applyFill="1" applyBorder="1" applyAlignment="1">
      <alignment horizontal="center" vertical="center" wrapText="1"/>
    </xf>
    <xf numFmtId="0" fontId="848" fillId="158" borderId="5" xfId="48" applyFont="1" applyFill="1" applyBorder="1" applyAlignment="1">
      <alignment horizontal="left" vertical="center"/>
    </xf>
    <xf numFmtId="0" fontId="1" fillId="149" borderId="0" xfId="49" applyFont="1" applyFill="1" applyAlignment="1">
      <alignment horizontal="left" vertical="center" wrapText="1"/>
    </xf>
    <xf numFmtId="0" fontId="1" fillId="149" borderId="294" xfId="49" applyFont="1" applyFill="1" applyBorder="1" applyAlignment="1">
      <alignment horizontal="left" vertical="center" wrapText="1"/>
    </xf>
    <xf numFmtId="1" fontId="71" fillId="2" borderId="0" xfId="52" applyNumberFormat="1" applyFont="1" applyFill="1" applyAlignment="1">
      <alignment horizontal="center" vertical="center"/>
    </xf>
    <xf numFmtId="0" fontId="840" fillId="3" borderId="0" xfId="48" applyFont="1" applyFill="1" applyAlignment="1">
      <alignment horizontal="center" vertical="top" wrapText="1"/>
    </xf>
    <xf numFmtId="0" fontId="840" fillId="3" borderId="294" xfId="48" applyFont="1" applyFill="1" applyBorder="1" applyAlignment="1">
      <alignment horizontal="center" vertical="top" wrapText="1"/>
    </xf>
    <xf numFmtId="0" fontId="15" fillId="46" borderId="605" xfId="52" applyFont="1" applyFill="1" applyBorder="1" applyAlignment="1">
      <alignment horizontal="right" vertical="center"/>
    </xf>
    <xf numFmtId="0" fontId="15" fillId="46" borderId="636" xfId="52" applyFont="1" applyFill="1" applyBorder="1" applyAlignment="1">
      <alignment horizontal="right" vertical="center"/>
    </xf>
    <xf numFmtId="0" fontId="15" fillId="130" borderId="608" xfId="52" applyFont="1" applyFill="1" applyBorder="1" applyAlignment="1">
      <alignment horizontal="right" vertical="center"/>
    </xf>
    <xf numFmtId="0" fontId="15" fillId="130" borderId="636" xfId="52" applyFont="1" applyFill="1" applyBorder="1" applyAlignment="1">
      <alignment horizontal="right" vertical="center"/>
    </xf>
    <xf numFmtId="0" fontId="15" fillId="21" borderId="608" xfId="52" applyFont="1" applyFill="1" applyBorder="1" applyAlignment="1">
      <alignment horizontal="right" vertical="center"/>
    </xf>
    <xf numFmtId="0" fontId="15" fillId="21" borderId="636" xfId="52" applyFont="1" applyFill="1" applyBorder="1" applyAlignment="1">
      <alignment horizontal="right" vertical="center"/>
    </xf>
    <xf numFmtId="0" fontId="15" fillId="2042" borderId="608" xfId="52" applyFont="1" applyFill="1" applyBorder="1" applyAlignment="1">
      <alignment horizontal="right" vertical="center"/>
    </xf>
    <xf numFmtId="0" fontId="15" fillId="2042" borderId="636" xfId="52" applyFont="1" applyFill="1" applyBorder="1" applyAlignment="1">
      <alignment horizontal="right" vertical="center"/>
    </xf>
    <xf numFmtId="0" fontId="188" fillId="64" borderId="0" xfId="67" applyFont="1" applyFill="1" applyAlignment="1">
      <alignment horizontal="center" vertical="top" wrapText="1"/>
    </xf>
    <xf numFmtId="0" fontId="188" fillId="64" borderId="294" xfId="67" applyFont="1" applyFill="1" applyBorder="1" applyAlignment="1">
      <alignment horizontal="center" vertical="top" wrapText="1"/>
    </xf>
    <xf numFmtId="0" fontId="147" fillId="3" borderId="0" xfId="52" applyFont="1" applyFill="1" applyAlignment="1">
      <alignment horizontal="center" vertical="top" wrapText="1"/>
    </xf>
    <xf numFmtId="0" fontId="147" fillId="3" borderId="294" xfId="52" applyFont="1" applyFill="1" applyBorder="1" applyAlignment="1">
      <alignment horizontal="center" vertical="top" wrapText="1"/>
    </xf>
    <xf numFmtId="0" fontId="147" fillId="3" borderId="20" xfId="52" applyFont="1" applyFill="1" applyBorder="1" applyAlignment="1">
      <alignment horizontal="center" vertical="top" wrapText="1"/>
    </xf>
    <xf numFmtId="0" fontId="147" fillId="3" borderId="45" xfId="52" applyFont="1" applyFill="1" applyBorder="1" applyAlignment="1">
      <alignment horizontal="center" vertical="top" wrapText="1"/>
    </xf>
    <xf numFmtId="0" fontId="24" fillId="3" borderId="583" xfId="48" applyFont="1" applyFill="1" applyBorder="1" applyAlignment="1">
      <alignment horizontal="center" vertical="center" wrapText="1"/>
    </xf>
    <xf numFmtId="0" fontId="24" fillId="3" borderId="127" xfId="48" applyFont="1" applyFill="1" applyBorder="1" applyAlignment="1">
      <alignment horizontal="center" vertical="center" wrapText="1"/>
    </xf>
    <xf numFmtId="0" fontId="24" fillId="3" borderId="101" xfId="48" applyFont="1" applyFill="1" applyBorder="1" applyAlignment="1">
      <alignment horizontal="center" vertical="center" wrapText="1"/>
    </xf>
    <xf numFmtId="0" fontId="24" fillId="3" borderId="567" xfId="48" applyFont="1" applyFill="1" applyBorder="1" applyAlignment="1">
      <alignment horizontal="center" vertical="center" wrapText="1"/>
    </xf>
    <xf numFmtId="0" fontId="157" fillId="158" borderId="0" xfId="48" applyFont="1" applyFill="1" applyAlignment="1" applyProtection="1">
      <alignment horizontal="center" vertical="center" wrapText="1"/>
      <protection locked="0"/>
    </xf>
    <xf numFmtId="0" fontId="157" fillId="158" borderId="0" xfId="48" applyFont="1" applyFill="1" applyAlignment="1">
      <alignment horizontal="center" vertical="center" wrapText="1"/>
    </xf>
    <xf numFmtId="0" fontId="157" fillId="158" borderId="567" xfId="48" applyFont="1" applyFill="1" applyBorder="1" applyAlignment="1">
      <alignment horizontal="center" vertical="center" wrapText="1"/>
    </xf>
    <xf numFmtId="0" fontId="147" fillId="5" borderId="0" xfId="48" applyFont="1" applyFill="1" applyAlignment="1">
      <alignment horizontal="center" vertical="center"/>
    </xf>
    <xf numFmtId="0" fontId="147" fillId="5" borderId="567" xfId="48" applyFont="1" applyFill="1" applyBorder="1" applyAlignment="1">
      <alignment horizontal="center" vertical="center"/>
    </xf>
    <xf numFmtId="0" fontId="157" fillId="3" borderId="101" xfId="48" applyFont="1" applyFill="1" applyBorder="1" applyAlignment="1">
      <alignment horizontal="center" vertical="center" wrapText="1"/>
    </xf>
    <xf numFmtId="0" fontId="157" fillId="3" borderId="294" xfId="48" applyFont="1" applyFill="1" applyBorder="1" applyAlignment="1">
      <alignment horizontal="center" vertical="center" wrapText="1"/>
    </xf>
    <xf numFmtId="0" fontId="157" fillId="3" borderId="568" xfId="48" applyFont="1" applyFill="1" applyBorder="1" applyAlignment="1">
      <alignment horizontal="center" vertical="center" wrapText="1"/>
    </xf>
    <xf numFmtId="0" fontId="15" fillId="130" borderId="607" xfId="13" applyFont="1" applyFill="1" applyBorder="1" applyAlignment="1" applyProtection="1">
      <alignment horizontal="center" vertical="center" wrapText="1"/>
      <protection locked="0"/>
    </xf>
    <xf numFmtId="0" fontId="15" fillId="130" borderId="609" xfId="13" applyFont="1" applyFill="1" applyBorder="1" applyAlignment="1" applyProtection="1">
      <alignment horizontal="center" vertical="center" wrapText="1"/>
      <protection locked="0"/>
    </xf>
    <xf numFmtId="0" fontId="44" fillId="155" borderId="607" xfId="0" applyFont="1" applyFill="1" applyBorder="1" applyAlignment="1">
      <alignment horizontal="center" vertical="center" wrapText="1"/>
    </xf>
    <xf numFmtId="0" fontId="56" fillId="3" borderId="0" xfId="51" applyFont="1" applyFill="1" applyAlignment="1">
      <alignment horizontal="right" vertical="top" wrapText="1"/>
    </xf>
    <xf numFmtId="200" fontId="5" fillId="3" borderId="567" xfId="0" applyNumberFormat="1" applyFont="1" applyFill="1" applyBorder="1" applyAlignment="1">
      <alignment horizontal="left" vertical="center"/>
    </xf>
    <xf numFmtId="0" fontId="46" fillId="12" borderId="580" xfId="0" applyFont="1" applyFill="1" applyBorder="1" applyAlignment="1">
      <alignment horizontal="center" vertical="center"/>
    </xf>
    <xf numFmtId="0" fontId="157" fillId="158" borderId="356" xfId="48" applyFont="1" applyFill="1" applyBorder="1" applyAlignment="1">
      <alignment horizontal="center" vertical="center" wrapText="1"/>
    </xf>
    <xf numFmtId="0" fontId="822" fillId="2" borderId="395" xfId="48" applyFont="1" applyFill="1" applyBorder="1" applyAlignment="1" applyProtection="1">
      <alignment horizontal="center" vertical="center" wrapText="1"/>
      <protection hidden="1"/>
    </xf>
    <xf numFmtId="0" fontId="679" fillId="3" borderId="583" xfId="48" applyFont="1" applyFill="1" applyBorder="1" applyAlignment="1" applyProtection="1">
      <alignment horizontal="center" vertical="center" wrapText="1"/>
      <protection hidden="1"/>
    </xf>
    <xf numFmtId="0" fontId="679" fillId="3" borderId="127" xfId="48" applyFont="1" applyFill="1" applyBorder="1" applyAlignment="1" applyProtection="1">
      <alignment horizontal="center" vertical="center" wrapText="1"/>
      <protection hidden="1"/>
    </xf>
    <xf numFmtId="0" fontId="823" fillId="12" borderId="0" xfId="48" applyFont="1" applyFill="1" applyAlignment="1">
      <alignment horizontal="center" vertical="center" wrapText="1"/>
    </xf>
    <xf numFmtId="0" fontId="823" fillId="12" borderId="567" xfId="48" applyFont="1" applyFill="1" applyBorder="1" applyAlignment="1">
      <alignment horizontal="center" vertical="center" wrapText="1"/>
    </xf>
    <xf numFmtId="0" fontId="433" fillId="123" borderId="7" xfId="48" applyFont="1" applyFill="1" applyBorder="1" applyAlignment="1">
      <alignment horizontal="center" vertical="center" wrapText="1"/>
    </xf>
    <xf numFmtId="0" fontId="433" fillId="123" borderId="0" xfId="48" applyFont="1" applyFill="1" applyAlignment="1">
      <alignment horizontal="center" vertical="center" wrapText="1"/>
    </xf>
    <xf numFmtId="1" fontId="11" fillId="2053" borderId="7" xfId="48" applyNumberFormat="1" applyFont="1" applyFill="1" applyBorder="1" applyAlignment="1" applyProtection="1">
      <alignment horizontal="center" vertical="center" wrapText="1"/>
      <protection hidden="1"/>
    </xf>
    <xf numFmtId="1" fontId="11" fillId="2053" borderId="0" xfId="48" applyNumberFormat="1" applyFont="1" applyFill="1" applyAlignment="1" applyProtection="1">
      <alignment horizontal="center" vertical="center" wrapText="1"/>
      <protection hidden="1"/>
    </xf>
    <xf numFmtId="0" fontId="816" fillId="123" borderId="419" xfId="49" applyFont="1" applyFill="1" applyBorder="1" applyAlignment="1">
      <alignment horizontal="center" vertical="center" wrapText="1"/>
    </xf>
    <xf numFmtId="0" fontId="816" fillId="123" borderId="294" xfId="49" applyFont="1" applyFill="1" applyBorder="1" applyAlignment="1">
      <alignment horizontal="center" vertical="center" wrapText="1"/>
    </xf>
    <xf numFmtId="0" fontId="11" fillId="3" borderId="0" xfId="48" applyFont="1" applyFill="1" applyAlignment="1" applyProtection="1">
      <alignment horizontal="left" vertical="center"/>
      <protection locked="0"/>
    </xf>
    <xf numFmtId="0" fontId="11" fillId="3" borderId="294" xfId="48" applyFont="1" applyFill="1" applyBorder="1" applyAlignment="1" applyProtection="1">
      <alignment horizontal="left" vertical="center"/>
      <protection locked="0"/>
    </xf>
    <xf numFmtId="0" fontId="691" fillId="3" borderId="5" xfId="49" applyFont="1" applyFill="1" applyBorder="1" applyAlignment="1">
      <alignment horizontal="center" vertical="center" wrapText="1"/>
    </xf>
    <xf numFmtId="0" fontId="691" fillId="3" borderId="0" xfId="49" applyFont="1" applyFill="1" applyAlignment="1">
      <alignment horizontal="center" vertical="center" wrapText="1"/>
    </xf>
    <xf numFmtId="0" fontId="691" fillId="3" borderId="294" xfId="49" applyFont="1" applyFill="1" applyBorder="1" applyAlignment="1">
      <alignment horizontal="center" vertical="center" wrapText="1"/>
    </xf>
    <xf numFmtId="0" fontId="368" fillId="3" borderId="5" xfId="49" applyFont="1" applyFill="1" applyBorder="1" applyAlignment="1">
      <alignment horizontal="center" vertical="center"/>
    </xf>
    <xf numFmtId="165" fontId="832" fillId="130" borderId="0" xfId="48" applyNumberFormat="1" applyFont="1" applyFill="1" applyAlignment="1">
      <alignment horizontal="center" vertical="top" wrapText="1"/>
    </xf>
    <xf numFmtId="165" fontId="832" fillId="130" borderId="294" xfId="48" applyNumberFormat="1" applyFont="1" applyFill="1" applyBorder="1" applyAlignment="1">
      <alignment horizontal="center" vertical="top" wrapText="1"/>
    </xf>
    <xf numFmtId="0" fontId="147" fillId="130" borderId="645" xfId="48" applyFont="1" applyFill="1" applyBorder="1" applyAlignment="1">
      <alignment horizontal="center" vertical="center" wrapText="1"/>
    </xf>
    <xf numFmtId="0" fontId="147" fillId="130" borderId="414" xfId="48" applyFont="1" applyFill="1" applyBorder="1" applyAlignment="1">
      <alignment horizontal="center" vertical="center" wrapText="1"/>
    </xf>
    <xf numFmtId="0" fontId="147" fillId="130" borderId="127" xfId="48" applyFont="1" applyFill="1" applyBorder="1" applyAlignment="1">
      <alignment horizontal="center" vertical="center" wrapText="1"/>
    </xf>
    <xf numFmtId="0" fontId="147" fillId="130" borderId="567" xfId="48" applyFont="1" applyFill="1" applyBorder="1" applyAlignment="1">
      <alignment horizontal="center" vertical="center" wrapText="1"/>
    </xf>
    <xf numFmtId="0" fontId="158" fillId="2" borderId="414" xfId="48" applyFont="1" applyFill="1" applyBorder="1" applyAlignment="1" applyProtection="1">
      <alignment horizontal="center" vertical="center"/>
      <protection locked="0"/>
    </xf>
    <xf numFmtId="0" fontId="158" fillId="2" borderId="567" xfId="48" applyFont="1" applyFill="1" applyBorder="1" applyAlignment="1" applyProtection="1">
      <alignment horizontal="center" vertical="center"/>
      <protection locked="0"/>
    </xf>
    <xf numFmtId="0" fontId="145" fillId="3" borderId="0" xfId="8" applyFont="1" applyFill="1" applyAlignment="1">
      <alignment horizontal="left" vertical="center"/>
    </xf>
    <xf numFmtId="0" fontId="139" fillId="3" borderId="0" xfId="0" applyFont="1" applyFill="1" applyAlignment="1">
      <alignment horizontal="left" vertical="center"/>
    </xf>
    <xf numFmtId="0" fontId="822" fillId="2" borderId="390" xfId="48" applyFont="1" applyFill="1" applyBorder="1" applyAlignment="1" applyProtection="1">
      <alignment horizontal="center" vertical="center" wrapText="1"/>
      <protection hidden="1"/>
    </xf>
    <xf numFmtId="0" fontId="670" fillId="0" borderId="0" xfId="0" applyFont="1" applyAlignment="1">
      <alignment horizontal="left" wrapText="1"/>
    </xf>
    <xf numFmtId="0" fontId="46" fillId="150" borderId="0" xfId="48" applyFont="1" applyFill="1" applyAlignment="1">
      <alignment horizontal="left" vertical="center" wrapText="1"/>
    </xf>
    <xf numFmtId="0" fontId="309" fillId="42" borderId="57" xfId="0" applyFont="1" applyFill="1" applyBorder="1" applyAlignment="1">
      <alignment horizontal="center" vertical="center" wrapText="1"/>
    </xf>
    <xf numFmtId="0" fontId="309" fillId="42" borderId="0" xfId="0" applyFont="1" applyFill="1" applyAlignment="1">
      <alignment horizontal="center" vertical="center" wrapText="1"/>
    </xf>
    <xf numFmtId="0" fontId="278" fillId="0" borderId="0" xfId="8" applyFont="1" applyAlignment="1">
      <alignment horizontal="left" vertical="center"/>
    </xf>
    <xf numFmtId="0" fontId="278" fillId="0" borderId="0" xfId="8" applyFont="1" applyBorder="1" applyAlignment="1">
      <alignment horizontal="left" vertical="center"/>
    </xf>
    <xf numFmtId="0" fontId="148" fillId="133" borderId="42" xfId="9" applyFont="1" applyFill="1" applyBorder="1" applyAlignment="1" applyProtection="1">
      <alignment horizontal="center" vertical="center" textRotation="90"/>
      <protection locked="0"/>
    </xf>
    <xf numFmtId="0" fontId="148" fillId="133" borderId="5" xfId="9" applyFont="1" applyFill="1" applyBorder="1" applyAlignment="1" applyProtection="1">
      <alignment horizontal="center" vertical="center" textRotation="90"/>
      <protection locked="0"/>
    </xf>
    <xf numFmtId="0" fontId="492" fillId="3" borderId="7" xfId="9" applyFont="1" applyFill="1" applyBorder="1" applyAlignment="1" applyProtection="1">
      <alignment horizontal="center" vertical="center"/>
      <protection hidden="1"/>
    </xf>
    <xf numFmtId="0" fontId="492" fillId="3" borderId="6" xfId="9" applyFont="1" applyFill="1" applyBorder="1" applyAlignment="1" applyProtection="1">
      <alignment horizontal="center" vertical="center"/>
      <protection hidden="1"/>
    </xf>
    <xf numFmtId="0" fontId="492" fillId="3" borderId="58" xfId="9" applyFont="1" applyFill="1" applyBorder="1" applyAlignment="1" applyProtection="1">
      <alignment horizontal="center" vertical="center"/>
      <protection hidden="1"/>
    </xf>
    <xf numFmtId="0" fontId="492" fillId="3" borderId="56" xfId="9" applyFont="1" applyFill="1" applyBorder="1" applyAlignment="1" applyProtection="1">
      <alignment horizontal="center" vertical="center"/>
      <protection hidden="1"/>
    </xf>
    <xf numFmtId="0" fontId="11" fillId="4" borderId="42" xfId="9" applyFont="1" applyFill="1" applyBorder="1" applyAlignment="1" applyProtection="1">
      <alignment horizontal="center" vertical="center"/>
      <protection hidden="1"/>
    </xf>
    <xf numFmtId="0" fontId="11" fillId="4" borderId="7" xfId="9" applyFont="1" applyFill="1" applyBorder="1" applyAlignment="1" applyProtection="1">
      <alignment horizontal="center" vertical="center"/>
      <protection hidden="1"/>
    </xf>
    <xf numFmtId="0" fontId="148" fillId="4" borderId="5" xfId="9" applyFont="1" applyFill="1" applyBorder="1" applyAlignment="1" applyProtection="1">
      <alignment horizontal="center" vertical="center" textRotation="90"/>
      <protection locked="0"/>
    </xf>
    <xf numFmtId="0" fontId="148" fillId="4" borderId="358" xfId="9" applyFont="1" applyFill="1" applyBorder="1" applyAlignment="1" applyProtection="1">
      <alignment horizontal="center" vertical="center" textRotation="90"/>
      <protection locked="0"/>
    </xf>
    <xf numFmtId="0" fontId="24" fillId="3" borderId="58" xfId="9" applyFont="1" applyFill="1" applyBorder="1" applyAlignment="1" applyProtection="1">
      <alignment horizontal="left" vertical="center"/>
      <protection hidden="1"/>
    </xf>
    <xf numFmtId="0" fontId="11" fillId="4" borderId="58" xfId="9" applyFont="1" applyFill="1" applyBorder="1" applyAlignment="1" applyProtection="1">
      <alignment horizontal="center" vertical="center"/>
      <protection hidden="1"/>
    </xf>
    <xf numFmtId="0" fontId="11" fillId="4" borderId="132" xfId="9" applyFont="1" applyFill="1" applyBorder="1" applyAlignment="1" applyProtection="1">
      <alignment horizontal="center" vertical="center"/>
      <protection hidden="1"/>
    </xf>
    <xf numFmtId="0" fontId="23" fillId="73" borderId="355" xfId="9" applyFont="1" applyFill="1" applyBorder="1" applyAlignment="1" applyProtection="1">
      <alignment horizontal="center" vertical="center" textRotation="90"/>
      <protection locked="0"/>
    </xf>
    <xf numFmtId="168" fontId="32" fillId="11" borderId="0" xfId="9" applyNumberFormat="1" applyFont="1" applyFill="1" applyAlignment="1" applyProtection="1">
      <alignment horizontal="center" vertical="center"/>
      <protection hidden="1"/>
    </xf>
    <xf numFmtId="0" fontId="368" fillId="11" borderId="0" xfId="9" applyFont="1" applyFill="1" applyAlignment="1" applyProtection="1">
      <alignment horizontal="center" vertical="center"/>
      <protection hidden="1"/>
    </xf>
    <xf numFmtId="0" fontId="11" fillId="4" borderId="355" xfId="9" applyFont="1" applyFill="1" applyBorder="1" applyAlignment="1" applyProtection="1">
      <alignment horizontal="center" vertical="center" textRotation="90"/>
      <protection locked="0"/>
    </xf>
    <xf numFmtId="0" fontId="11" fillId="4" borderId="361" xfId="9" applyFont="1" applyFill="1" applyBorder="1" applyAlignment="1" applyProtection="1">
      <alignment horizontal="center" vertical="center" textRotation="90"/>
      <protection locked="0"/>
    </xf>
    <xf numFmtId="0" fontId="46" fillId="3" borderId="303" xfId="9" applyFont="1" applyFill="1" applyBorder="1" applyAlignment="1" applyProtection="1">
      <alignment horizontal="center"/>
      <protection hidden="1"/>
    </xf>
    <xf numFmtId="0" fontId="157" fillId="3" borderId="0" xfId="36" applyFont="1" applyFill="1" applyAlignment="1" applyProtection="1">
      <alignment horizontal="center" vertical="center"/>
      <protection locked="0"/>
    </xf>
    <xf numFmtId="0" fontId="157" fillId="3" borderId="7" xfId="9" applyFont="1" applyFill="1" applyBorder="1" applyAlignment="1" applyProtection="1">
      <alignment horizontal="center" vertical="center"/>
      <protection locked="0"/>
    </xf>
    <xf numFmtId="0" fontId="493" fillId="27" borderId="5" xfId="9" applyFont="1" applyFill="1" applyBorder="1" applyAlignment="1" applyProtection="1">
      <alignment horizontal="center" vertical="center" textRotation="90"/>
      <protection locked="0"/>
    </xf>
    <xf numFmtId="0" fontId="493" fillId="27" borderId="358" xfId="9" applyFont="1" applyFill="1" applyBorder="1" applyAlignment="1" applyProtection="1">
      <alignment horizontal="center" vertical="center" textRotation="90"/>
      <protection locked="0"/>
    </xf>
    <xf numFmtId="0" fontId="54" fillId="27" borderId="58" xfId="9" applyFont="1" applyFill="1" applyBorder="1" applyAlignment="1" applyProtection="1">
      <alignment horizontal="center" vertical="center"/>
      <protection hidden="1"/>
    </xf>
    <xf numFmtId="0" fontId="54" fillId="27" borderId="132" xfId="9" applyFont="1" applyFill="1" applyBorder="1" applyAlignment="1" applyProtection="1">
      <alignment horizontal="center" vertical="center"/>
      <protection hidden="1"/>
    </xf>
    <xf numFmtId="0" fontId="23" fillId="73" borderId="294" xfId="9" applyFont="1" applyFill="1" applyBorder="1" applyAlignment="1" applyProtection="1">
      <alignment horizontal="center" vertical="center" textRotation="90"/>
      <protection locked="0"/>
    </xf>
    <xf numFmtId="1" fontId="431" fillId="3" borderId="0" xfId="9" applyNumberFormat="1" applyFont="1" applyFill="1" applyAlignment="1" applyProtection="1">
      <alignment horizontal="center" vertical="center"/>
      <protection hidden="1"/>
    </xf>
    <xf numFmtId="0" fontId="389" fillId="3" borderId="356" xfId="9" applyFont="1" applyFill="1" applyBorder="1" applyAlignment="1" applyProtection="1">
      <alignment horizontal="center" vertical="center"/>
      <protection hidden="1"/>
    </xf>
    <xf numFmtId="0" fontId="54" fillId="27" borderId="294" xfId="9" applyFont="1" applyFill="1" applyBorder="1" applyAlignment="1" applyProtection="1">
      <alignment horizontal="center" vertical="center" textRotation="90"/>
      <protection locked="0"/>
    </xf>
    <xf numFmtId="0" fontId="54" fillId="27" borderId="60" xfId="9" applyFont="1" applyFill="1" applyBorder="1" applyAlignment="1" applyProtection="1">
      <alignment horizontal="center" vertical="center" textRotation="90"/>
      <protection locked="0"/>
    </xf>
    <xf numFmtId="0" fontId="228" fillId="3" borderId="7" xfId="37" applyFont="1" applyFill="1" applyBorder="1" applyAlignment="1" applyProtection="1">
      <alignment horizontal="center" vertical="center"/>
      <protection locked="0"/>
    </xf>
    <xf numFmtId="0" fontId="228" fillId="3" borderId="6" xfId="37" applyFont="1" applyFill="1" applyBorder="1" applyAlignment="1" applyProtection="1">
      <alignment horizontal="center" vertical="center"/>
      <protection locked="0"/>
    </xf>
    <xf numFmtId="0" fontId="228" fillId="3" borderId="0" xfId="37" applyFont="1" applyFill="1" applyAlignment="1" applyProtection="1">
      <alignment horizontal="center" vertical="center"/>
      <protection locked="0"/>
    </xf>
    <xf numFmtId="0" fontId="228" fillId="3" borderId="294" xfId="37" applyFont="1" applyFill="1" applyBorder="1" applyAlignment="1" applyProtection="1">
      <alignment horizontal="center" vertical="center"/>
      <protection locked="0"/>
    </xf>
    <xf numFmtId="0" fontId="281" fillId="0" borderId="354" xfId="25" applyFont="1" applyBorder="1" applyAlignment="1">
      <alignment horizontal="center" vertical="center" wrapText="1"/>
    </xf>
    <xf numFmtId="0" fontId="281" fillId="0" borderId="299" xfId="25" applyFont="1" applyBorder="1" applyAlignment="1">
      <alignment horizontal="center" vertical="center" wrapText="1"/>
    </xf>
    <xf numFmtId="0" fontId="281" fillId="0" borderId="300" xfId="25" applyFont="1" applyBorder="1" applyAlignment="1">
      <alignment horizontal="center" vertical="center" wrapText="1"/>
    </xf>
    <xf numFmtId="0" fontId="281" fillId="0" borderId="57" xfId="25" applyFont="1" applyBorder="1" applyAlignment="1">
      <alignment horizontal="center" vertical="center" wrapText="1"/>
    </xf>
    <xf numFmtId="0" fontId="281" fillId="0" borderId="0" xfId="25" applyFont="1" applyAlignment="1">
      <alignment horizontal="center" vertical="center" wrapText="1"/>
    </xf>
    <xf numFmtId="0" fontId="281" fillId="0" borderId="301" xfId="25" applyFont="1" applyBorder="1" applyAlignment="1">
      <alignment horizontal="center" vertical="center" wrapText="1"/>
    </xf>
    <xf numFmtId="0" fontId="281" fillId="0" borderId="302" xfId="25" applyFont="1" applyBorder="1" applyAlignment="1">
      <alignment horizontal="center" vertical="center" wrapText="1"/>
    </xf>
    <xf numFmtId="0" fontId="281" fillId="0" borderId="303" xfId="25" applyFont="1" applyBorder="1" applyAlignment="1">
      <alignment horizontal="center" vertical="center" wrapText="1"/>
    </xf>
    <xf numFmtId="0" fontId="281" fillId="0" borderId="304" xfId="25" applyFont="1" applyBorder="1" applyAlignment="1">
      <alignment horizontal="center" vertical="center" wrapText="1"/>
    </xf>
    <xf numFmtId="0" fontId="148" fillId="133" borderId="131" xfId="9" applyFont="1" applyFill="1" applyBorder="1" applyAlignment="1" applyProtection="1">
      <alignment horizontal="center" vertical="center" textRotation="90"/>
      <protection locked="0"/>
    </xf>
    <xf numFmtId="0" fontId="54" fillId="27" borderId="42" xfId="9" applyFont="1" applyFill="1" applyBorder="1" applyAlignment="1" applyProtection="1">
      <alignment horizontal="center" vertical="center"/>
      <protection hidden="1"/>
    </xf>
    <xf numFmtId="0" fontId="54" fillId="27" borderId="7" xfId="9" applyFont="1" applyFill="1" applyBorder="1" applyAlignment="1" applyProtection="1">
      <alignment horizontal="center" vertical="center"/>
      <protection hidden="1"/>
    </xf>
    <xf numFmtId="0" fontId="148" fillId="133" borderId="42" xfId="36" applyFont="1" applyFill="1" applyBorder="1" applyAlignment="1" applyProtection="1">
      <alignment horizontal="center" vertical="center" textRotation="90"/>
      <protection locked="0"/>
    </xf>
    <xf numFmtId="0" fontId="148" fillId="133" borderId="5" xfId="36" applyFont="1" applyFill="1" applyBorder="1" applyAlignment="1" applyProtection="1">
      <alignment horizontal="center" vertical="center" textRotation="90"/>
      <protection locked="0"/>
    </xf>
    <xf numFmtId="0" fontId="147" fillId="12" borderId="0" xfId="49" applyFont="1" applyFill="1" applyAlignment="1">
      <alignment horizontal="center"/>
    </xf>
    <xf numFmtId="0" fontId="147" fillId="12" borderId="0" xfId="0" applyFont="1" applyFill="1" applyAlignment="1">
      <alignment horizontal="center" vertical="center" wrapText="1"/>
    </xf>
    <xf numFmtId="0" fontId="46" fillId="2015" borderId="0" xfId="49" applyFont="1" applyFill="1" applyAlignment="1">
      <alignment horizontal="center" vertical="center" wrapText="1"/>
    </xf>
    <xf numFmtId="0" fontId="46" fillId="2015" borderId="4" xfId="49" applyFont="1" applyFill="1" applyBorder="1" applyAlignment="1">
      <alignment horizontal="center" vertical="center" wrapText="1"/>
    </xf>
    <xf numFmtId="240" fontId="525" fillId="2014" borderId="0" xfId="70" applyNumberFormat="1" applyFont="1" applyFill="1" applyAlignment="1">
      <alignment horizontal="center" vertical="center"/>
    </xf>
    <xf numFmtId="0" fontId="32" fillId="3" borderId="0" xfId="70" applyFont="1" applyFill="1" applyAlignment="1">
      <alignment horizontal="center" vertical="center" wrapText="1"/>
    </xf>
    <xf numFmtId="0" fontId="71" fillId="3" borderId="0" xfId="70" applyFont="1" applyFill="1" applyAlignment="1">
      <alignment horizontal="center" vertical="center" wrapText="1"/>
    </xf>
    <xf numFmtId="0" fontId="561" fillId="140" borderId="0" xfId="49" applyFont="1" applyFill="1" applyAlignment="1">
      <alignment horizontal="center" vertical="center" wrapText="1"/>
    </xf>
    <xf numFmtId="0" fontId="288" fillId="45" borderId="0" xfId="70" applyFont="1" applyFill="1" applyAlignment="1">
      <alignment horizontal="center" vertical="center" wrapText="1"/>
    </xf>
    <xf numFmtId="0" fontId="803" fillId="3" borderId="0" xfId="48" applyFont="1" applyFill="1" applyAlignment="1" applyProtection="1">
      <alignment horizontal="center" vertical="center" wrapText="1"/>
      <protection locked="0"/>
    </xf>
    <xf numFmtId="0" fontId="481" fillId="2009" borderId="7" xfId="32" applyFont="1" applyFill="1" applyBorder="1" applyAlignment="1" applyProtection="1">
      <alignment horizontal="center" vertical="center"/>
      <protection locked="0"/>
    </xf>
    <xf numFmtId="0" fontId="481" fillId="2009" borderId="0" xfId="32" applyFont="1" applyFill="1" applyAlignment="1" applyProtection="1">
      <alignment horizontal="center" vertical="center"/>
      <protection locked="0"/>
    </xf>
    <xf numFmtId="0" fontId="802" fillId="45" borderId="0" xfId="48" applyFont="1" applyFill="1" applyAlignment="1" applyProtection="1">
      <alignment horizontal="center" vertical="center" wrapText="1"/>
      <protection locked="0"/>
    </xf>
    <xf numFmtId="0" fontId="144" fillId="2012" borderId="0" xfId="49" applyFont="1" applyFill="1" applyAlignment="1">
      <alignment horizontal="center" vertical="center"/>
    </xf>
    <xf numFmtId="0" fontId="15" fillId="3" borderId="0" xfId="48" applyFont="1" applyFill="1" applyAlignment="1" applyProtection="1">
      <alignment horizontal="left" vertical="center" wrapText="1"/>
      <protection hidden="1"/>
    </xf>
    <xf numFmtId="0" fontId="40" fillId="3" borderId="0" xfId="48" applyFont="1" applyFill="1" applyAlignment="1">
      <alignment horizontal="center" vertical="center" wrapText="1"/>
    </xf>
    <xf numFmtId="0" fontId="54" fillId="45" borderId="0" xfId="48" applyFont="1" applyFill="1" applyAlignment="1" applyProtection="1">
      <alignment horizontal="center" vertical="center" wrapText="1"/>
      <protection hidden="1"/>
    </xf>
    <xf numFmtId="0" fontId="32" fillId="3" borderId="0" xfId="48" applyFont="1" applyFill="1" applyAlignment="1" applyProtection="1">
      <alignment horizontal="left" wrapText="1"/>
      <protection hidden="1"/>
    </xf>
    <xf numFmtId="0" fontId="54" fillId="2013" borderId="0" xfId="49" applyFont="1" applyFill="1" applyAlignment="1">
      <alignment horizontal="center" vertical="center"/>
    </xf>
    <xf numFmtId="0" fontId="481" fillId="0" borderId="309" xfId="25" applyFont="1" applyBorder="1" applyAlignment="1">
      <alignment horizontal="left" vertical="center"/>
    </xf>
    <xf numFmtId="0" fontId="481" fillId="0" borderId="7" xfId="25" applyFont="1" applyBorder="1" applyAlignment="1">
      <alignment horizontal="left" vertical="center"/>
    </xf>
    <xf numFmtId="0" fontId="481" fillId="0" borderId="331" xfId="25" applyFont="1" applyBorder="1" applyAlignment="1">
      <alignment horizontal="left" vertical="center"/>
    </xf>
    <xf numFmtId="0" fontId="481" fillId="0" borderId="310" xfId="25" applyFont="1" applyBorder="1" applyAlignment="1">
      <alignment horizontal="left" vertical="center"/>
    </xf>
    <xf numFmtId="0" fontId="481" fillId="0" borderId="303" xfId="25" applyFont="1" applyBorder="1" applyAlignment="1">
      <alignment horizontal="left" vertical="center"/>
    </xf>
    <xf numFmtId="0" fontId="481" fillId="0" borderId="305" xfId="25" applyFont="1" applyBorder="1" applyAlignment="1">
      <alignment horizontal="left" vertical="center"/>
    </xf>
    <xf numFmtId="0" fontId="520" fillId="3" borderId="311" xfId="25" applyFont="1" applyFill="1" applyBorder="1" applyAlignment="1">
      <alignment horizontal="center" vertical="center"/>
    </xf>
    <xf numFmtId="0" fontId="520" fillId="3" borderId="312" xfId="25" applyFont="1" applyFill="1" applyBorder="1" applyAlignment="1">
      <alignment horizontal="center" vertical="center"/>
    </xf>
    <xf numFmtId="0" fontId="478" fillId="52" borderId="123" xfId="25" applyFont="1" applyFill="1" applyBorder="1" applyAlignment="1">
      <alignment horizontal="center" vertical="center" wrapText="1"/>
    </xf>
    <xf numFmtId="0" fontId="478" fillId="52" borderId="0" xfId="25" applyFont="1" applyFill="1" applyAlignment="1">
      <alignment horizontal="center" vertical="center" wrapText="1"/>
    </xf>
    <xf numFmtId="0" fontId="11" fillId="3" borderId="0" xfId="25" applyFont="1" applyFill="1" applyAlignment="1">
      <alignment horizontal="center" vertical="center" wrapText="1"/>
    </xf>
    <xf numFmtId="0" fontId="522" fillId="11" borderId="313" xfId="25" applyFont="1" applyFill="1" applyBorder="1" applyAlignment="1">
      <alignment horizontal="center" vertical="center"/>
    </xf>
    <xf numFmtId="0" fontId="522" fillId="11" borderId="314" xfId="25" applyFont="1" applyFill="1" applyBorder="1" applyAlignment="1">
      <alignment horizontal="center" vertical="center"/>
    </xf>
    <xf numFmtId="0" fontId="523" fillId="3" borderId="0" xfId="25" applyFont="1" applyFill="1" applyAlignment="1">
      <alignment horizontal="center" vertical="center" wrapText="1"/>
    </xf>
    <xf numFmtId="49" fontId="522" fillId="137" borderId="5" xfId="25" applyNumberFormat="1" applyFont="1" applyFill="1" applyBorder="1" applyAlignment="1">
      <alignment horizontal="center" wrapText="1"/>
    </xf>
    <xf numFmtId="49" fontId="522" fillId="137" borderId="0" xfId="25" applyNumberFormat="1" applyFont="1" applyFill="1" applyAlignment="1">
      <alignment horizontal="center" wrapText="1"/>
    </xf>
    <xf numFmtId="49" fontId="522" fillId="137" borderId="4" xfId="25" applyNumberFormat="1" applyFont="1" applyFill="1" applyBorder="1" applyAlignment="1">
      <alignment horizontal="center" wrapText="1"/>
    </xf>
    <xf numFmtId="49" fontId="531" fillId="137" borderId="5" xfId="25" applyNumberFormat="1" applyFont="1" applyFill="1" applyBorder="1" applyAlignment="1">
      <alignment horizontal="center" vertical="center" wrapText="1"/>
    </xf>
    <xf numFmtId="49" fontId="33" fillId="137" borderId="0" xfId="25" applyNumberFormat="1" applyFont="1" applyFill="1" applyAlignment="1">
      <alignment horizontal="center" vertical="center" wrapText="1"/>
    </xf>
    <xf numFmtId="49" fontId="33" fillId="137" borderId="4" xfId="25" applyNumberFormat="1" applyFont="1" applyFill="1" applyBorder="1" applyAlignment="1">
      <alignment horizontal="center" vertical="center" wrapText="1"/>
    </xf>
    <xf numFmtId="49" fontId="33" fillId="137" borderId="5" xfId="25" applyNumberFormat="1" applyFont="1" applyFill="1" applyBorder="1" applyAlignment="1">
      <alignment horizontal="center" vertical="center" wrapText="1"/>
    </xf>
    <xf numFmtId="49" fontId="532" fillId="137" borderId="5" xfId="25" applyNumberFormat="1" applyFont="1" applyFill="1" applyBorder="1" applyAlignment="1">
      <alignment horizontal="center" vertical="center" wrapText="1"/>
    </xf>
    <xf numFmtId="49" fontId="532" fillId="137" borderId="0" xfId="25" applyNumberFormat="1" applyFont="1" applyFill="1" applyAlignment="1">
      <alignment horizontal="center" vertical="center" wrapText="1"/>
    </xf>
    <xf numFmtId="49" fontId="532" fillId="137" borderId="4" xfId="25" applyNumberFormat="1" applyFont="1" applyFill="1" applyBorder="1" applyAlignment="1">
      <alignment horizontal="center" vertical="center" wrapText="1"/>
    </xf>
    <xf numFmtId="49" fontId="533" fillId="137" borderId="5" xfId="25" applyNumberFormat="1" applyFont="1" applyFill="1" applyBorder="1" applyAlignment="1">
      <alignment horizontal="center" vertical="center" wrapText="1"/>
    </xf>
    <xf numFmtId="49" fontId="533" fillId="137" borderId="0" xfId="25" applyNumberFormat="1" applyFont="1" applyFill="1" applyAlignment="1">
      <alignment horizontal="center" vertical="center" wrapText="1"/>
    </xf>
    <xf numFmtId="0" fontId="535" fillId="2" borderId="322" xfId="25" applyFont="1" applyFill="1" applyBorder="1" applyAlignment="1">
      <alignment horizontal="center" vertical="center" wrapText="1"/>
    </xf>
    <xf numFmtId="0" fontId="535" fillId="2" borderId="324" xfId="25" applyFont="1" applyFill="1" applyBorder="1" applyAlignment="1">
      <alignment horizontal="center" vertical="center" wrapText="1"/>
    </xf>
    <xf numFmtId="0" fontId="525" fillId="2" borderId="323" xfId="25" applyFont="1" applyFill="1" applyBorder="1" applyAlignment="1">
      <alignment horizontal="center" vertical="center" wrapText="1"/>
    </xf>
    <xf numFmtId="0" fontId="525" fillId="2" borderId="325" xfId="25" applyFont="1" applyFill="1" applyBorder="1" applyAlignment="1">
      <alignment horizontal="center" vertical="center" wrapText="1"/>
    </xf>
    <xf numFmtId="49" fontId="23" fillId="12" borderId="5" xfId="25" applyNumberFormat="1" applyFont="1" applyFill="1" applyBorder="1" applyAlignment="1">
      <alignment horizontal="center" vertical="center" wrapText="1"/>
    </xf>
    <xf numFmtId="49" fontId="23" fillId="12" borderId="0" xfId="25" applyNumberFormat="1" applyFont="1" applyFill="1" applyAlignment="1">
      <alignment horizontal="center" vertical="center" wrapText="1"/>
    </xf>
    <xf numFmtId="49" fontId="23" fillId="12" borderId="4" xfId="25" applyNumberFormat="1" applyFont="1" applyFill="1" applyBorder="1" applyAlignment="1">
      <alignment horizontal="center" vertical="center" wrapText="1"/>
    </xf>
    <xf numFmtId="49" fontId="23" fillId="11" borderId="0" xfId="25" applyNumberFormat="1" applyFont="1" applyFill="1" applyAlignment="1">
      <alignment horizontal="center" vertical="center" wrapText="1"/>
    </xf>
    <xf numFmtId="0" fontId="69" fillId="11" borderId="0" xfId="25" applyFont="1" applyFill="1" applyAlignment="1">
      <alignment horizontal="center" vertical="center" wrapText="1"/>
    </xf>
    <xf numFmtId="49" fontId="228" fillId="137" borderId="58" xfId="25" applyNumberFormat="1" applyFont="1" applyFill="1" applyBorder="1" applyAlignment="1">
      <alignment horizontal="center" wrapText="1"/>
    </xf>
    <xf numFmtId="0" fontId="23" fillId="2" borderId="309" xfId="25" applyFont="1" applyFill="1" applyBorder="1" applyAlignment="1">
      <alignment horizontal="center" vertical="center" wrapText="1"/>
    </xf>
    <xf numFmtId="0" fontId="23" fillId="2" borderId="331" xfId="25" applyFont="1" applyFill="1" applyBorder="1" applyAlignment="1">
      <alignment horizontal="center" vertical="center" wrapText="1"/>
    </xf>
    <xf numFmtId="49" fontId="15" fillId="12" borderId="320" xfId="25" applyNumberFormat="1" applyFont="1" applyFill="1" applyBorder="1" applyAlignment="1">
      <alignment horizontal="center" vertical="center" wrapText="1"/>
    </xf>
    <xf numFmtId="49" fontId="15" fillId="12" borderId="0" xfId="25" applyNumberFormat="1" applyFont="1" applyFill="1" applyAlignment="1">
      <alignment horizontal="center" vertical="center" wrapText="1"/>
    </xf>
    <xf numFmtId="49" fontId="529" fillId="11" borderId="318" xfId="25" applyNumberFormat="1" applyFont="1" applyFill="1" applyBorder="1" applyAlignment="1">
      <alignment horizontal="center" vertical="center" wrapText="1"/>
    </xf>
    <xf numFmtId="49" fontId="200" fillId="136" borderId="0" xfId="25" applyNumberFormat="1" applyFont="1" applyFill="1" applyAlignment="1">
      <alignment horizontal="center" vertical="center" wrapText="1"/>
    </xf>
    <xf numFmtId="0" fontId="30" fillId="44" borderId="0" xfId="25" applyFont="1" applyFill="1" applyAlignment="1">
      <alignment horizontal="center" vertical="center" wrapText="1"/>
    </xf>
    <xf numFmtId="0" fontId="27" fillId="44" borderId="0" xfId="25" applyFont="1" applyFill="1" applyAlignment="1">
      <alignment horizontal="center" vertical="center" wrapText="1"/>
    </xf>
    <xf numFmtId="49" fontId="429" fillId="137" borderId="0" xfId="25" applyNumberFormat="1" applyFont="1" applyFill="1" applyAlignment="1">
      <alignment horizontal="center" wrapText="1"/>
    </xf>
    <xf numFmtId="49" fontId="429" fillId="137" borderId="4" xfId="25" applyNumberFormat="1" applyFont="1" applyFill="1" applyBorder="1" applyAlignment="1">
      <alignment horizontal="center" wrapText="1"/>
    </xf>
    <xf numFmtId="0" fontId="507" fillId="0" borderId="0" xfId="1" applyFont="1" applyAlignment="1">
      <alignment horizontal="center" vertical="center"/>
    </xf>
    <xf numFmtId="49" fontId="228" fillId="137" borderId="0" xfId="25" applyNumberFormat="1" applyFont="1" applyFill="1" applyAlignment="1">
      <alignment horizontal="center" wrapText="1"/>
    </xf>
    <xf numFmtId="49" fontId="544" fillId="3" borderId="5" xfId="40" applyNumberFormat="1" applyFont="1" applyFill="1" applyBorder="1" applyAlignment="1">
      <alignment horizontal="left"/>
    </xf>
    <xf numFmtId="49" fontId="544" fillId="3" borderId="0" xfId="40" applyNumberFormat="1" applyFont="1" applyFill="1" applyBorder="1" applyAlignment="1">
      <alignment horizontal="left"/>
    </xf>
    <xf numFmtId="0" fontId="147" fillId="8" borderId="61" xfId="4" applyFont="1" applyFill="1" applyBorder="1" applyAlignment="1">
      <alignment horizontal="center" vertical="center"/>
    </xf>
    <xf numFmtId="0" fontId="147" fillId="8" borderId="1" xfId="4" applyFont="1" applyFill="1" applyBorder="1" applyAlignment="1">
      <alignment horizontal="center" vertical="center"/>
    </xf>
    <xf numFmtId="0" fontId="147" fillId="8" borderId="60" xfId="4" applyFont="1" applyFill="1" applyBorder="1" applyAlignment="1">
      <alignment horizontal="center" vertical="center"/>
    </xf>
    <xf numFmtId="170" fontId="97" fillId="12" borderId="164" xfId="2" applyNumberFormat="1" applyFont="1" applyFill="1" applyBorder="1" applyAlignment="1">
      <alignment horizontal="center" vertical="center"/>
    </xf>
    <xf numFmtId="170" fontId="97" fillId="12" borderId="0" xfId="2" applyNumberFormat="1" applyFont="1" applyFill="1" applyAlignment="1">
      <alignment horizontal="center" vertical="center"/>
    </xf>
    <xf numFmtId="217" fontId="97" fillId="12" borderId="164" xfId="13" applyNumberFormat="1" applyFont="1" applyFill="1" applyBorder="1" applyAlignment="1" applyProtection="1">
      <alignment horizontal="center" vertical="center"/>
      <protection locked="0"/>
    </xf>
    <xf numFmtId="217" fontId="97" fillId="12" borderId="0" xfId="13" applyNumberFormat="1" applyFont="1" applyFill="1" applyAlignment="1" applyProtection="1">
      <alignment horizontal="center" vertical="center"/>
      <protection locked="0"/>
    </xf>
    <xf numFmtId="214" fontId="97" fillId="12" borderId="164" xfId="2" applyNumberFormat="1" applyFont="1" applyFill="1" applyBorder="1" applyAlignment="1">
      <alignment horizontal="center" vertical="center"/>
    </xf>
    <xf numFmtId="214" fontId="97" fillId="12" borderId="0" xfId="2" applyNumberFormat="1" applyFont="1" applyFill="1" applyAlignment="1">
      <alignment horizontal="center" vertical="center"/>
    </xf>
    <xf numFmtId="1" fontId="47" fillId="12" borderId="100" xfId="13" applyNumberFormat="1" applyFont="1" applyFill="1" applyBorder="1" applyAlignment="1" applyProtection="1">
      <alignment horizontal="center" vertical="center"/>
      <protection locked="0"/>
    </xf>
    <xf numFmtId="1" fontId="47" fillId="12" borderId="4" xfId="13" applyNumberFormat="1" applyFont="1" applyFill="1" applyBorder="1" applyAlignment="1" applyProtection="1">
      <alignment horizontal="center" vertical="center"/>
      <protection locked="0"/>
    </xf>
    <xf numFmtId="0" fontId="71" fillId="22" borderId="5" xfId="2" applyFont="1" applyFill="1" applyBorder="1" applyAlignment="1">
      <alignment horizontal="center" vertical="center"/>
    </xf>
    <xf numFmtId="0" fontId="71" fillId="22" borderId="0" xfId="2" applyFont="1" applyFill="1" applyAlignment="1">
      <alignment horizontal="center" vertical="center"/>
    </xf>
    <xf numFmtId="0" fontId="71" fillId="22" borderId="4" xfId="2" applyFont="1" applyFill="1" applyBorder="1" applyAlignment="1">
      <alignment horizontal="center" vertical="center"/>
    </xf>
    <xf numFmtId="0" fontId="13" fillId="68" borderId="264" xfId="1" applyFont="1" applyFill="1" applyBorder="1" applyAlignment="1">
      <alignment horizontal="center" vertical="center"/>
    </xf>
    <xf numFmtId="0" fontId="13" fillId="68" borderId="64" xfId="1" applyFont="1" applyFill="1" applyBorder="1" applyAlignment="1">
      <alignment horizontal="center" vertical="center"/>
    </xf>
    <xf numFmtId="0" fontId="153" fillId="0" borderId="62" xfId="13" applyFont="1" applyBorder="1" applyAlignment="1" applyProtection="1">
      <alignment horizontal="center" vertical="center" wrapText="1"/>
      <protection locked="0"/>
    </xf>
    <xf numFmtId="0" fontId="153" fillId="0" borderId="210" xfId="13" applyFont="1" applyBorder="1" applyAlignment="1" applyProtection="1">
      <alignment horizontal="center" vertical="center" wrapText="1"/>
      <protection locked="0"/>
    </xf>
    <xf numFmtId="0" fontId="153" fillId="0" borderId="59" xfId="13" applyFont="1" applyBorder="1" applyAlignment="1" applyProtection="1">
      <alignment horizontal="center" vertical="center" wrapText="1"/>
      <protection locked="0"/>
    </xf>
    <xf numFmtId="0" fontId="73" fillId="0" borderId="261" xfId="2" applyFont="1" applyBorder="1" applyAlignment="1">
      <alignment horizontal="center" vertical="center" wrapText="1"/>
    </xf>
    <xf numFmtId="0" fontId="73" fillId="0" borderId="86" xfId="2" applyFont="1" applyBorder="1" applyAlignment="1">
      <alignment horizontal="center" vertical="center" wrapText="1"/>
    </xf>
    <xf numFmtId="0" fontId="73" fillId="0" borderId="132" xfId="2" applyFont="1" applyBorder="1" applyAlignment="1">
      <alignment horizontal="center" vertical="center" wrapText="1"/>
    </xf>
    <xf numFmtId="0" fontId="404" fillId="0" borderId="262" xfId="13" applyFont="1" applyBorder="1" applyAlignment="1" applyProtection="1">
      <alignment horizontal="center" vertical="center" wrapText="1"/>
      <protection locked="0"/>
    </xf>
    <xf numFmtId="0" fontId="404" fillId="0" borderId="64" xfId="13" applyFont="1" applyBorder="1" applyAlignment="1" applyProtection="1">
      <alignment horizontal="center" vertical="center" wrapText="1"/>
      <protection locked="0"/>
    </xf>
    <xf numFmtId="0" fontId="404" fillId="0" borderId="63" xfId="13" applyFont="1" applyBorder="1" applyAlignment="1" applyProtection="1">
      <alignment horizontal="center" vertical="center" wrapText="1"/>
      <protection locked="0"/>
    </xf>
    <xf numFmtId="0" fontId="404" fillId="0" borderId="87" xfId="13" applyFont="1" applyBorder="1" applyAlignment="1" applyProtection="1">
      <alignment horizontal="center" vertical="center" wrapText="1"/>
      <protection locked="0"/>
    </xf>
    <xf numFmtId="0" fontId="404" fillId="0" borderId="0" xfId="13" applyFont="1" applyAlignment="1" applyProtection="1">
      <alignment horizontal="center" vertical="center" wrapText="1"/>
      <protection locked="0"/>
    </xf>
    <xf numFmtId="0" fontId="404" fillId="0" borderId="4" xfId="13" applyFont="1" applyBorder="1" applyAlignment="1" applyProtection="1">
      <alignment horizontal="center" vertical="center" wrapText="1"/>
      <protection locked="0"/>
    </xf>
    <xf numFmtId="0" fontId="404" fillId="0" borderId="127" xfId="13" applyFont="1" applyBorder="1" applyAlignment="1" applyProtection="1">
      <alignment horizontal="center" vertical="center" wrapText="1"/>
      <protection locked="0"/>
    </xf>
    <xf numFmtId="0" fontId="404" fillId="0" borderId="58" xfId="13" applyFont="1" applyBorder="1" applyAlignment="1" applyProtection="1">
      <alignment horizontal="center" vertical="center" wrapText="1"/>
      <protection locked="0"/>
    </xf>
    <xf numFmtId="0" fontId="404" fillId="0" borderId="56" xfId="13" applyFont="1" applyBorder="1" applyAlignment="1" applyProtection="1">
      <alignment horizontal="center" vertical="center" wrapText="1"/>
      <protection locked="0"/>
    </xf>
    <xf numFmtId="0" fontId="71" fillId="3" borderId="0" xfId="2" applyFont="1" applyFill="1" applyAlignment="1">
      <alignment horizontal="center" vertical="center"/>
    </xf>
    <xf numFmtId="0" fontId="403" fillId="12" borderId="99" xfId="2" applyFont="1" applyFill="1" applyBorder="1" applyAlignment="1">
      <alignment horizontal="center" vertical="center"/>
    </xf>
    <xf numFmtId="0" fontId="403" fillId="12" borderId="5" xfId="2" applyFont="1" applyFill="1" applyBorder="1" applyAlignment="1">
      <alignment horizontal="center" vertical="center"/>
    </xf>
    <xf numFmtId="1" fontId="97" fillId="12" borderId="164" xfId="2" applyNumberFormat="1" applyFont="1" applyFill="1" applyBorder="1" applyAlignment="1">
      <alignment horizontal="center" vertical="center"/>
    </xf>
    <xf numFmtId="1" fontId="97" fillId="12" borderId="0" xfId="2" applyNumberFormat="1" applyFont="1" applyFill="1" applyAlignment="1">
      <alignment horizontal="center" vertical="center"/>
    </xf>
    <xf numFmtId="1" fontId="97" fillId="12" borderId="164" xfId="13" applyNumberFormat="1" applyFont="1" applyFill="1" applyBorder="1" applyAlignment="1" applyProtection="1">
      <alignment horizontal="center" vertical="center"/>
      <protection locked="0"/>
    </xf>
    <xf numFmtId="1" fontId="97" fillId="12" borderId="0" xfId="13" applyNumberFormat="1" applyFont="1" applyFill="1" applyAlignment="1" applyProtection="1">
      <alignment horizontal="center" vertical="center"/>
      <protection locked="0"/>
    </xf>
    <xf numFmtId="2" fontId="97" fillId="12" borderId="164" xfId="2" applyNumberFormat="1" applyFont="1" applyFill="1" applyBorder="1" applyAlignment="1">
      <alignment horizontal="center" vertical="center"/>
    </xf>
    <xf numFmtId="168" fontId="97" fillId="12" borderId="164" xfId="2" applyNumberFormat="1" applyFont="1" applyFill="1" applyBorder="1" applyAlignment="1">
      <alignment horizontal="center" vertical="center"/>
    </xf>
    <xf numFmtId="168" fontId="97" fillId="12" borderId="158" xfId="2" applyNumberFormat="1" applyFont="1" applyFill="1" applyBorder="1" applyAlignment="1">
      <alignment horizontal="center" vertical="center"/>
    </xf>
    <xf numFmtId="0" fontId="53" fillId="68" borderId="264" xfId="2" applyFont="1" applyFill="1" applyBorder="1" applyAlignment="1">
      <alignment horizontal="center" vertical="center"/>
    </xf>
    <xf numFmtId="0" fontId="53" fillId="68" borderId="64" xfId="2" applyFont="1" applyFill="1" applyBorder="1" applyAlignment="1">
      <alignment horizontal="center" vertical="center"/>
    </xf>
    <xf numFmtId="0" fontId="53" fillId="68" borderId="63" xfId="2" applyFont="1" applyFill="1" applyBorder="1" applyAlignment="1">
      <alignment horizontal="center" vertical="center"/>
    </xf>
    <xf numFmtId="0" fontId="53" fillId="68" borderId="5" xfId="2" applyFont="1" applyFill="1" applyBorder="1" applyAlignment="1">
      <alignment horizontal="center" vertical="center"/>
    </xf>
    <xf numFmtId="0" fontId="53" fillId="68" borderId="0" xfId="2" applyFont="1" applyFill="1" applyAlignment="1">
      <alignment horizontal="center" vertical="center"/>
    </xf>
    <xf numFmtId="0" fontId="53" fillId="68" borderId="4" xfId="2" applyFont="1" applyFill="1" applyBorder="1" applyAlignment="1">
      <alignment horizontal="center" vertical="center"/>
    </xf>
    <xf numFmtId="0" fontId="407" fillId="0" borderId="5" xfId="2" applyFont="1" applyBorder="1" applyAlignment="1">
      <alignment horizontal="center" vertical="center" wrapText="1"/>
    </xf>
    <xf numFmtId="0" fontId="73" fillId="0" borderId="164" xfId="2" applyFont="1" applyBorder="1" applyAlignment="1">
      <alignment horizontal="center" vertical="center" textRotation="45"/>
    </xf>
    <xf numFmtId="0" fontId="73" fillId="0" borderId="0" xfId="2" applyFont="1" applyAlignment="1">
      <alignment horizontal="center" vertical="center" textRotation="45"/>
    </xf>
    <xf numFmtId="0" fontId="73" fillId="0" borderId="58" xfId="2" applyFont="1" applyBorder="1" applyAlignment="1">
      <alignment horizontal="center" vertical="center" textRotation="45"/>
    </xf>
    <xf numFmtId="216" fontId="73" fillId="0" borderId="0" xfId="2" applyNumberFormat="1" applyFont="1" applyAlignment="1">
      <alignment horizontal="center" vertical="center" wrapText="1"/>
    </xf>
    <xf numFmtId="216" fontId="73" fillId="0" borderId="58" xfId="2" applyNumberFormat="1" applyFont="1" applyBorder="1" applyAlignment="1">
      <alignment horizontal="center" vertical="center" wrapText="1"/>
    </xf>
    <xf numFmtId="0" fontId="153" fillId="0" borderId="0" xfId="13" applyFont="1" applyAlignment="1" applyProtection="1">
      <alignment horizontal="center" vertical="center" wrapText="1"/>
      <protection locked="0"/>
    </xf>
    <xf numFmtId="0" fontId="153" fillId="0" borderId="58" xfId="13" applyFont="1" applyBorder="1" applyAlignment="1" applyProtection="1">
      <alignment horizontal="center" vertical="center" wrapText="1"/>
      <protection locked="0"/>
    </xf>
    <xf numFmtId="0" fontId="73" fillId="0" borderId="0" xfId="13" applyAlignment="1" applyProtection="1">
      <alignment horizontal="center" vertical="center" wrapText="1"/>
      <protection locked="0"/>
    </xf>
    <xf numFmtId="0" fontId="73" fillId="0" borderId="58" xfId="13" applyBorder="1" applyAlignment="1" applyProtection="1">
      <alignment horizontal="center" vertical="center" wrapText="1"/>
      <protection locked="0"/>
    </xf>
    <xf numFmtId="0" fontId="47" fillId="0" borderId="86" xfId="2" applyFont="1" applyBorder="1" applyAlignment="1">
      <alignment horizontal="center" vertical="center" wrapText="1"/>
    </xf>
    <xf numFmtId="0" fontId="47" fillId="0" borderId="132" xfId="2" applyFont="1" applyBorder="1" applyAlignment="1">
      <alignment horizontal="center" vertical="center" wrapText="1"/>
    </xf>
    <xf numFmtId="168" fontId="7" fillId="0" borderId="124" xfId="2" applyNumberFormat="1" applyFont="1" applyBorder="1" applyAlignment="1">
      <alignment horizontal="center" vertical="center"/>
    </xf>
    <xf numFmtId="168" fontId="7" fillId="0" borderId="190" xfId="2" applyNumberFormat="1" applyFont="1" applyBorder="1" applyAlignment="1">
      <alignment horizontal="center" vertical="center"/>
    </xf>
    <xf numFmtId="168" fontId="70" fillId="0" borderId="22" xfId="2" applyNumberFormat="1" applyFont="1" applyBorder="1" applyAlignment="1">
      <alignment horizontal="center" vertical="center"/>
    </xf>
    <xf numFmtId="0" fontId="156" fillId="8" borderId="164" xfId="2" applyFont="1" applyFill="1" applyBorder="1" applyAlignment="1">
      <alignment horizontal="center" vertical="center" wrapText="1"/>
    </xf>
    <xf numFmtId="0" fontId="156" fillId="8" borderId="0" xfId="2" applyFont="1" applyFill="1" applyAlignment="1">
      <alignment horizontal="center" vertical="center" wrapText="1"/>
    </xf>
    <xf numFmtId="0" fontId="156" fillId="8" borderId="158" xfId="2" applyFont="1" applyFill="1" applyBorder="1" applyAlignment="1">
      <alignment horizontal="center" vertical="center" wrapText="1"/>
    </xf>
    <xf numFmtId="0" fontId="156" fillId="8" borderId="58" xfId="2" applyFont="1" applyFill="1" applyBorder="1" applyAlignment="1">
      <alignment horizontal="center" vertical="center" wrapText="1"/>
    </xf>
    <xf numFmtId="0" fontId="156" fillId="8" borderId="132" xfId="2" applyFont="1" applyFill="1" applyBorder="1" applyAlignment="1">
      <alignment horizontal="center" vertical="center" wrapText="1"/>
    </xf>
    <xf numFmtId="0" fontId="78" fillId="0" borderId="87" xfId="2" applyFont="1" applyBorder="1" applyAlignment="1">
      <alignment horizontal="center" vertical="top" wrapText="1"/>
    </xf>
    <xf numFmtId="0" fontId="78" fillId="0" borderId="0" xfId="2" applyFont="1" applyAlignment="1">
      <alignment horizontal="center" vertical="top" wrapText="1"/>
    </xf>
    <xf numFmtId="0" fontId="78" fillId="0" borderId="4" xfId="2" applyFont="1" applyBorder="1" applyAlignment="1">
      <alignment horizontal="center" vertical="top" wrapText="1"/>
    </xf>
    <xf numFmtId="1" fontId="7" fillId="12" borderId="100" xfId="13" applyNumberFormat="1" applyFont="1" applyFill="1" applyBorder="1" applyAlignment="1" applyProtection="1">
      <alignment horizontal="left" vertical="center"/>
      <protection locked="0"/>
    </xf>
    <xf numFmtId="1" fontId="7" fillId="12" borderId="4" xfId="13" applyNumberFormat="1" applyFont="1" applyFill="1" applyBorder="1" applyAlignment="1" applyProtection="1">
      <alignment horizontal="left" vertical="center"/>
      <protection locked="0"/>
    </xf>
    <xf numFmtId="0" fontId="53" fillId="68" borderId="264" xfId="2" applyFont="1" applyFill="1" applyBorder="1" applyAlignment="1">
      <alignment horizontal="center" vertical="center" wrapText="1"/>
    </xf>
    <xf numFmtId="0" fontId="53" fillId="68" borderId="64" xfId="2" applyFont="1" applyFill="1" applyBorder="1" applyAlignment="1">
      <alignment horizontal="center" vertical="center" wrapText="1"/>
    </xf>
    <xf numFmtId="0" fontId="53" fillId="68" borderId="63" xfId="2" applyFont="1" applyFill="1" applyBorder="1" applyAlignment="1">
      <alignment horizontal="center" vertical="center" wrapText="1"/>
    </xf>
    <xf numFmtId="0" fontId="53" fillId="68" borderId="131" xfId="2" applyFont="1" applyFill="1" applyBorder="1" applyAlignment="1">
      <alignment horizontal="center" vertical="center" wrapText="1"/>
    </xf>
    <xf numFmtId="0" fontId="53" fillId="68" borderId="58" xfId="2" applyFont="1" applyFill="1" applyBorder="1" applyAlignment="1">
      <alignment horizontal="center" vertical="center" wrapText="1"/>
    </xf>
    <xf numFmtId="0" fontId="53" fillId="68" borderId="56" xfId="2" applyFont="1" applyFill="1" applyBorder="1" applyAlignment="1">
      <alignment horizontal="center" vertical="center" wrapText="1"/>
    </xf>
    <xf numFmtId="0" fontId="156" fillId="8" borderId="99" xfId="2" applyFont="1" applyFill="1" applyBorder="1" applyAlignment="1">
      <alignment horizontal="center" vertical="center" wrapText="1"/>
    </xf>
    <xf numFmtId="0" fontId="156" fillId="8" borderId="131" xfId="2" applyFont="1" applyFill="1" applyBorder="1" applyAlignment="1">
      <alignment horizontal="center" vertical="center" wrapText="1"/>
    </xf>
    <xf numFmtId="0" fontId="73" fillId="0" borderId="164" xfId="2" applyFont="1" applyBorder="1" applyAlignment="1">
      <alignment horizontal="center" vertical="center" textRotation="90"/>
    </xf>
    <xf numFmtId="0" fontId="73" fillId="0" borderId="0" xfId="2" applyFont="1" applyAlignment="1">
      <alignment horizontal="center" vertical="center" textRotation="90"/>
    </xf>
    <xf numFmtId="0" fontId="405" fillId="8" borderId="164" xfId="2" applyFont="1" applyFill="1" applyBorder="1" applyAlignment="1">
      <alignment horizontal="center" vertical="center" wrapText="1"/>
    </xf>
    <xf numFmtId="0" fontId="405" fillId="8" borderId="0" xfId="2" applyFont="1" applyFill="1" applyAlignment="1">
      <alignment horizontal="center" vertical="center" wrapText="1"/>
    </xf>
    <xf numFmtId="0" fontId="77" fillId="8" borderId="164" xfId="2" applyFont="1" applyFill="1" applyBorder="1" applyAlignment="1">
      <alignment horizontal="center" vertical="center" wrapText="1"/>
    </xf>
    <xf numFmtId="0" fontId="77" fillId="8" borderId="0" xfId="2" applyFont="1" applyFill="1" applyAlignment="1">
      <alignment horizontal="center" vertical="center" wrapText="1"/>
    </xf>
    <xf numFmtId="0" fontId="76" fillId="8" borderId="164" xfId="2" applyFont="1" applyFill="1" applyBorder="1" applyAlignment="1">
      <alignment horizontal="center" vertical="center" wrapText="1"/>
    </xf>
    <xf numFmtId="0" fontId="76" fillId="8" borderId="0" xfId="2" applyFont="1" applyFill="1" applyAlignment="1">
      <alignment horizontal="center" vertical="center" wrapText="1"/>
    </xf>
    <xf numFmtId="1" fontId="156" fillId="12" borderId="164" xfId="13" applyNumberFormat="1" applyFont="1" applyFill="1" applyBorder="1" applyAlignment="1" applyProtection="1">
      <alignment horizontal="left" vertical="center"/>
      <protection locked="0"/>
    </xf>
    <xf numFmtId="1" fontId="156" fillId="12" borderId="0" xfId="13" applyNumberFormat="1" applyFont="1" applyFill="1" applyAlignment="1" applyProtection="1">
      <alignment horizontal="left" vertical="center"/>
      <protection locked="0"/>
    </xf>
    <xf numFmtId="0" fontId="47" fillId="0" borderId="261" xfId="2" applyFont="1" applyBorder="1" applyAlignment="1">
      <alignment horizontal="center" vertical="center" wrapText="1"/>
    </xf>
    <xf numFmtId="0" fontId="78" fillId="0" borderId="127" xfId="2" applyFont="1" applyBorder="1" applyAlignment="1">
      <alignment horizontal="center" vertical="top" wrapText="1"/>
    </xf>
    <xf numFmtId="0" fontId="78" fillId="0" borderId="58" xfId="2" applyFont="1" applyBorder="1" applyAlignment="1">
      <alignment horizontal="center" vertical="top" wrapText="1"/>
    </xf>
    <xf numFmtId="0" fontId="78" fillId="0" borderId="56" xfId="2" applyFont="1" applyBorder="1" applyAlignment="1">
      <alignment horizontal="center" vertical="top" wrapText="1"/>
    </xf>
    <xf numFmtId="0" fontId="407" fillId="0" borderId="264" xfId="2" applyFont="1" applyBorder="1" applyAlignment="1">
      <alignment horizontal="center" vertical="center" wrapText="1"/>
    </xf>
    <xf numFmtId="0" fontId="407" fillId="0" borderId="131" xfId="2" applyFont="1" applyBorder="1" applyAlignment="1">
      <alignment horizontal="center" vertical="center" wrapText="1"/>
    </xf>
    <xf numFmtId="0" fontId="73" fillId="0" borderId="64" xfId="2" applyFont="1" applyBorder="1" applyAlignment="1">
      <alignment horizontal="center" vertical="center" textRotation="45"/>
    </xf>
    <xf numFmtId="216" fontId="73" fillId="0" borderId="64" xfId="2" applyNumberFormat="1" applyFont="1" applyBorder="1" applyAlignment="1">
      <alignment horizontal="center" vertical="center" wrapText="1"/>
    </xf>
    <xf numFmtId="0" fontId="153" fillId="0" borderId="64" xfId="13" applyFont="1" applyBorder="1" applyAlignment="1" applyProtection="1">
      <alignment horizontal="center" vertical="center" wrapText="1"/>
      <protection locked="0"/>
    </xf>
    <xf numFmtId="0" fontId="73" fillId="0" borderId="64" xfId="13" applyBorder="1" applyAlignment="1" applyProtection="1">
      <alignment horizontal="center" vertical="center" wrapText="1"/>
      <protection locked="0"/>
    </xf>
    <xf numFmtId="0" fontId="405" fillId="8" borderId="58" xfId="2" applyFont="1" applyFill="1" applyBorder="1" applyAlignment="1">
      <alignment horizontal="center" vertical="center" wrapText="1"/>
    </xf>
    <xf numFmtId="1" fontId="7" fillId="12" borderId="4" xfId="13" applyNumberFormat="1" applyFont="1" applyFill="1" applyBorder="1" applyAlignment="1" applyProtection="1">
      <alignment horizontal="center" vertical="center"/>
      <protection locked="0"/>
    </xf>
    <xf numFmtId="0" fontId="113" fillId="68" borderId="99" xfId="2" applyFont="1" applyFill="1" applyBorder="1" applyAlignment="1">
      <alignment horizontal="center" vertical="center" wrapText="1"/>
    </xf>
    <xf numFmtId="0" fontId="113" fillId="68" borderId="164" xfId="2" applyFont="1" applyFill="1" applyBorder="1" applyAlignment="1">
      <alignment horizontal="center" vertical="center" wrapText="1"/>
    </xf>
    <xf numFmtId="0" fontId="113" fillId="68" borderId="131" xfId="2" applyFont="1" applyFill="1" applyBorder="1" applyAlignment="1">
      <alignment horizontal="center" vertical="center" wrapText="1"/>
    </xf>
    <xf numFmtId="0" fontId="113" fillId="68" borderId="58" xfId="2" applyFont="1" applyFill="1" applyBorder="1" applyAlignment="1">
      <alignment horizontal="center" vertical="center" wrapText="1"/>
    </xf>
    <xf numFmtId="0" fontId="305" fillId="8" borderId="164" xfId="2" applyFont="1" applyFill="1" applyBorder="1" applyAlignment="1">
      <alignment horizontal="right" vertical="center" wrapText="1"/>
    </xf>
    <xf numFmtId="0" fontId="305" fillId="8" borderId="58" xfId="2" applyFont="1" applyFill="1" applyBorder="1" applyAlignment="1">
      <alignment horizontal="right" vertical="center" wrapText="1"/>
    </xf>
    <xf numFmtId="168" fontId="103" fillId="15" borderId="164" xfId="2" applyNumberFormat="1" applyFont="1" applyFill="1" applyBorder="1" applyAlignment="1">
      <alignment horizontal="center" vertical="center" wrapText="1"/>
    </xf>
    <xf numFmtId="168" fontId="103" fillId="15" borderId="58" xfId="2" applyNumberFormat="1" applyFont="1" applyFill="1" applyBorder="1" applyAlignment="1">
      <alignment horizontal="center" vertical="center" wrapText="1"/>
    </xf>
    <xf numFmtId="0" fontId="8" fillId="12" borderId="99" xfId="2" applyFont="1" applyFill="1" applyBorder="1" applyAlignment="1">
      <alignment horizontal="center" vertical="center"/>
    </xf>
    <xf numFmtId="0" fontId="8" fillId="12" borderId="164" xfId="2" applyFont="1" applyFill="1" applyBorder="1" applyAlignment="1">
      <alignment horizontal="center" vertical="center"/>
    </xf>
    <xf numFmtId="0" fontId="8" fillId="12" borderId="100" xfId="2" applyFont="1" applyFill="1" applyBorder="1" applyAlignment="1">
      <alignment horizontal="center" vertical="center"/>
    </xf>
    <xf numFmtId="170" fontId="97" fillId="12" borderId="0" xfId="2" applyNumberFormat="1" applyFont="1" applyFill="1" applyAlignment="1">
      <alignment horizontal="right" vertical="center"/>
    </xf>
    <xf numFmtId="170" fontId="97" fillId="12" borderId="0" xfId="2" applyNumberFormat="1" applyFont="1" applyFill="1" applyAlignment="1">
      <alignment horizontal="left" vertical="center"/>
    </xf>
    <xf numFmtId="0" fontId="153" fillId="0" borderId="5" xfId="2" applyFont="1" applyBorder="1" applyAlignment="1">
      <alignment horizontal="center" vertical="center" wrapText="1"/>
    </xf>
    <xf numFmtId="0" fontId="279" fillId="0" borderId="0" xfId="2" applyFont="1" applyAlignment="1">
      <alignment horizontal="center" vertical="top" wrapText="1"/>
    </xf>
    <xf numFmtId="0" fontId="279" fillId="0" borderId="4" xfId="2" applyFont="1" applyBorder="1" applyAlignment="1">
      <alignment horizontal="center" vertical="top" wrapText="1"/>
    </xf>
    <xf numFmtId="0" fontId="403" fillId="12" borderId="94" xfId="2" applyFont="1" applyFill="1" applyBorder="1" applyAlignment="1">
      <alignment horizontal="center" vertical="center"/>
    </xf>
    <xf numFmtId="1" fontId="97" fillId="12" borderId="141" xfId="2" applyNumberFormat="1" applyFont="1" applyFill="1" applyBorder="1" applyAlignment="1">
      <alignment horizontal="center" vertical="center"/>
    </xf>
    <xf numFmtId="2" fontId="70" fillId="12" borderId="0" xfId="2" applyNumberFormat="1" applyFont="1" applyFill="1" applyAlignment="1">
      <alignment horizontal="right" vertical="center"/>
    </xf>
    <xf numFmtId="2" fontId="70" fillId="12" borderId="141" xfId="2" applyNumberFormat="1" applyFont="1" applyFill="1" applyBorder="1" applyAlignment="1">
      <alignment horizontal="right" vertical="center"/>
    </xf>
    <xf numFmtId="2" fontId="70" fillId="12" borderId="0" xfId="2" applyNumberFormat="1" applyFont="1" applyFill="1" applyAlignment="1">
      <alignment horizontal="left" vertical="center"/>
    </xf>
    <xf numFmtId="2" fontId="70" fillId="12" borderId="141" xfId="2" applyNumberFormat="1" applyFont="1" applyFill="1" applyBorder="1" applyAlignment="1">
      <alignment horizontal="left" vertical="center"/>
    </xf>
    <xf numFmtId="0" fontId="402" fillId="2" borderId="5" xfId="2" applyFont="1" applyFill="1" applyBorder="1" applyAlignment="1">
      <alignment horizontal="center" vertical="center" wrapText="1"/>
    </xf>
    <xf numFmtId="0" fontId="402" fillId="2" borderId="0" xfId="2" applyFont="1" applyFill="1" applyAlignment="1">
      <alignment horizontal="center" vertical="center" wrapText="1"/>
    </xf>
    <xf numFmtId="0" fontId="402" fillId="2" borderId="4" xfId="2" applyFont="1" applyFill="1" applyBorder="1" applyAlignment="1">
      <alignment horizontal="center" vertical="center" wrapText="1"/>
    </xf>
    <xf numFmtId="0" fontId="402" fillId="2" borderId="131" xfId="2" applyFont="1" applyFill="1" applyBorder="1" applyAlignment="1">
      <alignment horizontal="center" vertical="center" wrapText="1"/>
    </xf>
    <xf numFmtId="0" fontId="402" fillId="2" borderId="58" xfId="2" applyFont="1" applyFill="1" applyBorder="1" applyAlignment="1">
      <alignment horizontal="center" vertical="center" wrapText="1"/>
    </xf>
    <xf numFmtId="0" fontId="402" fillId="2" borderId="56" xfId="2" applyFont="1" applyFill="1" applyBorder="1" applyAlignment="1">
      <alignment horizontal="center" vertical="center" wrapText="1"/>
    </xf>
    <xf numFmtId="0" fontId="156" fillId="8" borderId="5" xfId="2" applyFont="1" applyFill="1" applyBorder="1" applyAlignment="1">
      <alignment horizontal="center" vertical="center" wrapText="1"/>
    </xf>
    <xf numFmtId="0" fontId="73" fillId="8" borderId="164" xfId="2" applyFont="1" applyFill="1" applyBorder="1" applyAlignment="1">
      <alignment horizontal="center" vertical="center" wrapText="1"/>
    </xf>
    <xf numFmtId="0" fontId="73" fillId="8" borderId="0" xfId="2" applyFont="1" applyFill="1" applyAlignment="1">
      <alignment horizontal="center" vertical="center" wrapText="1"/>
    </xf>
    <xf numFmtId="0" fontId="4" fillId="0" borderId="0" xfId="2" applyAlignment="1">
      <alignment horizontal="center" vertical="center" wrapText="1"/>
    </xf>
    <xf numFmtId="0" fontId="4" fillId="0" borderId="4" xfId="2" applyBorder="1" applyAlignment="1">
      <alignment horizontal="center" vertical="center" wrapText="1"/>
    </xf>
    <xf numFmtId="0" fontId="306" fillId="40" borderId="263" xfId="13" applyFont="1" applyFill="1" applyBorder="1" applyAlignment="1" applyProtection="1">
      <alignment horizontal="center" vertical="center" wrapText="1"/>
      <protection locked="0"/>
    </xf>
    <xf numFmtId="0" fontId="306" fillId="40" borderId="141" xfId="13" applyFont="1" applyFill="1" applyBorder="1" applyAlignment="1" applyProtection="1">
      <alignment horizontal="center" vertical="center" wrapText="1"/>
      <protection locked="0"/>
    </xf>
    <xf numFmtId="0" fontId="12" fillId="40" borderId="259" xfId="13" applyFont="1" applyFill="1" applyBorder="1" applyAlignment="1" applyProtection="1">
      <alignment horizontal="center" vertical="center"/>
      <protection locked="0"/>
    </xf>
    <xf numFmtId="0" fontId="12" fillId="40" borderId="141" xfId="13" applyFont="1" applyFill="1" applyBorder="1" applyAlignment="1" applyProtection="1">
      <alignment horizontal="center" vertical="center"/>
      <protection locked="0"/>
    </xf>
    <xf numFmtId="168" fontId="11" fillId="3" borderId="260" xfId="13" applyNumberFormat="1" applyFont="1" applyFill="1" applyBorder="1" applyAlignment="1" applyProtection="1">
      <alignment horizontal="center" vertical="center"/>
      <protection locked="0"/>
    </xf>
    <xf numFmtId="168" fontId="11" fillId="3" borderId="126" xfId="13" applyNumberFormat="1" applyFont="1" applyFill="1" applyBorder="1" applyAlignment="1" applyProtection="1">
      <alignment horizontal="center" vertical="center"/>
      <protection locked="0"/>
    </xf>
    <xf numFmtId="0" fontId="401" fillId="67" borderId="0" xfId="2" applyFont="1" applyFill="1" applyAlignment="1">
      <alignment horizontal="center" vertical="center"/>
    </xf>
    <xf numFmtId="0" fontId="70" fillId="56" borderId="42" xfId="2" applyFont="1" applyFill="1" applyBorder="1" applyAlignment="1">
      <alignment horizontal="center" vertical="center"/>
    </xf>
    <xf numFmtId="0" fontId="70" fillId="56" borderId="5" xfId="2" applyFont="1" applyFill="1" applyBorder="1" applyAlignment="1">
      <alignment horizontal="center" vertical="center"/>
    </xf>
    <xf numFmtId="14" fontId="4" fillId="0" borderId="7" xfId="2" applyNumberFormat="1" applyBorder="1" applyAlignment="1">
      <alignment horizontal="center" vertical="center"/>
    </xf>
    <xf numFmtId="14" fontId="4" fillId="0" borderId="0" xfId="2" applyNumberFormat="1" applyAlignment="1">
      <alignment horizontal="center" vertical="center"/>
    </xf>
    <xf numFmtId="0" fontId="53" fillId="68" borderId="7" xfId="2" applyFont="1" applyFill="1" applyBorder="1" applyAlignment="1">
      <alignment horizontal="center" vertical="center"/>
    </xf>
    <xf numFmtId="0" fontId="70" fillId="56" borderId="7" xfId="2" applyFont="1" applyFill="1" applyBorder="1" applyAlignment="1">
      <alignment horizontal="center" vertical="center"/>
    </xf>
    <xf numFmtId="0" fontId="70" fillId="56" borderId="0" xfId="2" applyFont="1" applyFill="1" applyAlignment="1">
      <alignment horizontal="center" vertical="center"/>
    </xf>
    <xf numFmtId="0" fontId="52" fillId="8" borderId="7" xfId="2" applyFont="1" applyFill="1" applyBorder="1" applyAlignment="1">
      <alignment horizontal="center" vertical="center"/>
    </xf>
    <xf numFmtId="0" fontId="52" fillId="8" borderId="0" xfId="2" applyFont="1" applyFill="1" applyAlignment="1">
      <alignment horizontal="center" vertical="center"/>
    </xf>
    <xf numFmtId="0" fontId="52" fillId="8" borderId="6" xfId="2" applyFont="1" applyFill="1" applyBorder="1" applyAlignment="1">
      <alignment horizontal="center" vertical="center"/>
    </xf>
    <xf numFmtId="0" fontId="52" fillId="8" borderId="4" xfId="2" applyFont="1" applyFill="1" applyBorder="1" applyAlignment="1">
      <alignment horizontal="center" vertical="center"/>
    </xf>
    <xf numFmtId="0" fontId="380" fillId="15" borderId="210" xfId="13" applyFont="1" applyFill="1" applyBorder="1" applyAlignment="1">
      <alignment horizontal="center" vertical="center"/>
    </xf>
    <xf numFmtId="0" fontId="380" fillId="15" borderId="0" xfId="13" applyFont="1" applyFill="1" applyAlignment="1">
      <alignment horizontal="center" vertical="center"/>
    </xf>
    <xf numFmtId="0" fontId="43" fillId="8" borderId="260" xfId="13" applyFont="1" applyFill="1" applyBorder="1" applyAlignment="1">
      <alignment horizontal="center" vertical="center"/>
    </xf>
    <xf numFmtId="0" fontId="43" fillId="8" borderId="141" xfId="13" applyFont="1" applyFill="1" applyBorder="1" applyAlignment="1">
      <alignment horizontal="center" vertical="center"/>
    </xf>
    <xf numFmtId="0" fontId="43" fillId="8" borderId="138" xfId="13" applyFont="1" applyFill="1" applyBorder="1" applyAlignment="1">
      <alignment horizontal="center" vertical="center"/>
    </xf>
    <xf numFmtId="0" fontId="381" fillId="0" borderId="96" xfId="13" applyFont="1" applyBorder="1" applyAlignment="1" applyProtection="1">
      <alignment horizontal="center" vertical="center"/>
      <protection locked="0"/>
    </xf>
    <xf numFmtId="0" fontId="381" fillId="0" borderId="164" xfId="13" applyFont="1" applyBorder="1" applyAlignment="1" applyProtection="1">
      <alignment horizontal="center" vertical="center"/>
      <protection locked="0"/>
    </xf>
    <xf numFmtId="0" fontId="381" fillId="0" borderId="158" xfId="13" applyFont="1" applyBorder="1" applyAlignment="1" applyProtection="1">
      <alignment horizontal="center" vertical="center"/>
      <protection locked="0"/>
    </xf>
    <xf numFmtId="0" fontId="184" fillId="0" borderId="165" xfId="13" applyFont="1" applyBorder="1" applyAlignment="1" applyProtection="1">
      <alignment horizontal="center" vertical="center" wrapText="1"/>
      <protection locked="0"/>
    </xf>
    <xf numFmtId="0" fontId="7" fillId="0" borderId="64" xfId="13" applyFont="1" applyBorder="1" applyAlignment="1" applyProtection="1">
      <alignment horizontal="center" vertical="center" wrapText="1"/>
      <protection locked="0"/>
    </xf>
    <xf numFmtId="0" fontId="7" fillId="0" borderId="261" xfId="13" applyFont="1" applyBorder="1" applyAlignment="1" applyProtection="1">
      <alignment horizontal="center" vertical="center" wrapText="1"/>
      <protection locked="0"/>
    </xf>
    <xf numFmtId="0" fontId="13" fillId="0" borderId="262" xfId="13" applyFont="1" applyBorder="1" applyAlignment="1" applyProtection="1">
      <alignment horizontal="center" vertical="center"/>
      <protection locked="0"/>
    </xf>
    <xf numFmtId="0" fontId="13" fillId="0" borderId="64" xfId="13" applyFont="1" applyBorder="1" applyAlignment="1" applyProtection="1">
      <alignment horizontal="center" vertical="center"/>
      <protection locked="0"/>
    </xf>
    <xf numFmtId="0" fontId="381" fillId="0" borderId="255" xfId="13" applyFont="1" applyBorder="1" applyAlignment="1" applyProtection="1">
      <alignment horizontal="center" vertical="center"/>
      <protection locked="0"/>
    </xf>
    <xf numFmtId="0" fontId="381" fillId="0" borderId="165" xfId="13" applyFont="1" applyBorder="1" applyAlignment="1" applyProtection="1">
      <alignment horizontal="center" vertical="center"/>
      <protection locked="0"/>
    </xf>
    <xf numFmtId="0" fontId="70" fillId="0" borderId="165" xfId="13" applyFont="1" applyBorder="1" applyAlignment="1" applyProtection="1">
      <alignment horizontal="center" vertical="center" wrapText="1"/>
      <protection locked="0"/>
    </xf>
    <xf numFmtId="0" fontId="13" fillId="3" borderId="102" xfId="13" applyFont="1" applyFill="1" applyBorder="1" applyAlignment="1" applyProtection="1">
      <alignment horizontal="center" vertical="center"/>
      <protection locked="0"/>
    </xf>
    <xf numFmtId="0" fontId="13" fillId="3" borderId="164" xfId="13" applyFont="1" applyFill="1" applyBorder="1" applyAlignment="1" applyProtection="1">
      <alignment horizontal="center" vertical="center"/>
      <protection locked="0"/>
    </xf>
    <xf numFmtId="0" fontId="306" fillId="40" borderId="135" xfId="13" applyFont="1" applyFill="1" applyBorder="1" applyAlignment="1" applyProtection="1">
      <alignment horizontal="center" vertical="center" wrapText="1"/>
      <protection locked="0"/>
    </xf>
    <xf numFmtId="0" fontId="306" fillId="40" borderId="141" xfId="13" applyFont="1" applyFill="1" applyBorder="1" applyAlignment="1" applyProtection="1">
      <alignment horizontal="left" vertical="center"/>
      <protection locked="0"/>
    </xf>
    <xf numFmtId="0" fontId="11" fillId="3" borderId="141" xfId="13" applyFont="1" applyFill="1" applyBorder="1" applyAlignment="1" applyProtection="1">
      <alignment horizontal="left" vertical="center"/>
      <protection locked="0"/>
    </xf>
    <xf numFmtId="0" fontId="306" fillId="14" borderId="196" xfId="13" applyFont="1" applyFill="1" applyBorder="1" applyAlignment="1" applyProtection="1">
      <alignment horizontal="right" vertical="center" wrapText="1"/>
      <protection locked="0"/>
    </xf>
    <xf numFmtId="0" fontId="306" fillId="14" borderId="189" xfId="13" applyFont="1" applyFill="1" applyBorder="1" applyAlignment="1" applyProtection="1">
      <alignment horizontal="right" vertical="center" wrapText="1"/>
      <protection locked="0"/>
    </xf>
    <xf numFmtId="0" fontId="11" fillId="3" borderId="97" xfId="13" applyFont="1" applyFill="1" applyBorder="1" applyAlignment="1" applyProtection="1">
      <alignment horizontal="left" vertical="center"/>
      <protection locked="0"/>
    </xf>
    <xf numFmtId="0" fontId="306" fillId="14" borderId="197" xfId="13" applyFont="1" applyFill="1" applyBorder="1" applyAlignment="1" applyProtection="1">
      <alignment horizontal="right" vertical="center" wrapText="1"/>
      <protection locked="0"/>
    </xf>
    <xf numFmtId="0" fontId="306" fillId="14" borderId="198" xfId="13" applyFont="1" applyFill="1" applyBorder="1" applyAlignment="1" applyProtection="1">
      <alignment horizontal="right" vertical="center" wrapText="1"/>
      <protection locked="0"/>
    </xf>
    <xf numFmtId="0" fontId="11" fillId="3" borderId="193" xfId="13" applyFont="1" applyFill="1" applyBorder="1" applyAlignment="1" applyProtection="1">
      <alignment horizontal="left" vertical="center"/>
      <protection locked="0"/>
    </xf>
    <xf numFmtId="0" fontId="376" fillId="38" borderId="42" xfId="13" applyFont="1" applyFill="1" applyBorder="1" applyAlignment="1">
      <alignment horizontal="center" vertical="center"/>
    </xf>
    <xf numFmtId="0" fontId="376" fillId="38" borderId="7" xfId="13" applyFont="1" applyFill="1" applyBorder="1" applyAlignment="1">
      <alignment horizontal="center" vertical="center"/>
    </xf>
    <xf numFmtId="0" fontId="380" fillId="15" borderId="181" xfId="13" applyFont="1" applyFill="1" applyBorder="1" applyAlignment="1">
      <alignment horizontal="center" vertical="center"/>
    </xf>
    <xf numFmtId="0" fontId="43" fillId="8" borderId="177" xfId="13" applyFont="1" applyFill="1" applyBorder="1" applyAlignment="1">
      <alignment horizontal="center" vertical="center"/>
    </xf>
    <xf numFmtId="0" fontId="43" fillId="8" borderId="0" xfId="13" applyFont="1" applyFill="1" applyAlignment="1">
      <alignment horizontal="center" vertical="center"/>
    </xf>
    <xf numFmtId="0" fontId="43" fillId="8" borderId="85" xfId="13" applyFont="1" applyFill="1" applyBorder="1" applyAlignment="1">
      <alignment horizontal="center" vertical="center"/>
    </xf>
    <xf numFmtId="0" fontId="306" fillId="14" borderId="252" xfId="13" applyFont="1" applyFill="1" applyBorder="1" applyAlignment="1" applyProtection="1">
      <alignment horizontal="right" vertical="center" wrapText="1"/>
      <protection locked="0"/>
    </xf>
    <xf numFmtId="0" fontId="43" fillId="3" borderId="186" xfId="4" applyFont="1" applyFill="1" applyBorder="1" applyAlignment="1">
      <alignment horizontal="center" vertical="center"/>
    </xf>
    <xf numFmtId="0" fontId="43" fillId="3" borderId="187" xfId="4" applyFont="1" applyFill="1" applyBorder="1" applyAlignment="1">
      <alignment horizontal="center" vertical="center"/>
    </xf>
    <xf numFmtId="0" fontId="11" fillId="3" borderId="189" xfId="13" applyFont="1" applyFill="1" applyBorder="1" applyAlignment="1" applyProtection="1">
      <alignment horizontal="left" vertical="center"/>
      <protection locked="0"/>
    </xf>
    <xf numFmtId="0" fontId="380" fillId="15" borderId="244" xfId="13" applyFont="1" applyFill="1" applyBorder="1" applyAlignment="1">
      <alignment horizontal="center" vertical="center"/>
    </xf>
    <xf numFmtId="0" fontId="380" fillId="15" borderId="245" xfId="2" applyFont="1" applyFill="1" applyBorder="1" applyAlignment="1">
      <alignment horizontal="center" vertical="center"/>
    </xf>
    <xf numFmtId="0" fontId="43" fillId="8" borderId="244" xfId="13" applyFont="1" applyFill="1" applyBorder="1" applyAlignment="1">
      <alignment horizontal="center" vertical="center"/>
    </xf>
    <xf numFmtId="0" fontId="43" fillId="8" borderId="245" xfId="2" applyFont="1" applyFill="1" applyBorder="1" applyAlignment="1">
      <alignment horizontal="center" vertical="center"/>
    </xf>
    <xf numFmtId="0" fontId="43" fillId="8" borderId="246" xfId="2" applyFont="1" applyFill="1" applyBorder="1" applyAlignment="1">
      <alignment horizontal="center" vertical="center"/>
    </xf>
    <xf numFmtId="0" fontId="381" fillId="0" borderId="247" xfId="13" applyFont="1" applyBorder="1" applyAlignment="1" applyProtection="1">
      <alignment horizontal="center" vertical="center"/>
      <protection locked="0"/>
    </xf>
    <xf numFmtId="0" fontId="381" fillId="0" borderId="248" xfId="13" applyFont="1" applyBorder="1" applyAlignment="1" applyProtection="1">
      <alignment horizontal="center" vertical="center"/>
      <protection locked="0"/>
    </xf>
    <xf numFmtId="0" fontId="381" fillId="0" borderId="177" xfId="13" applyFont="1" applyBorder="1" applyAlignment="1" applyProtection="1">
      <alignment horizontal="center" vertical="center"/>
      <protection locked="0"/>
    </xf>
    <xf numFmtId="0" fontId="381" fillId="0" borderId="0" xfId="13" applyFont="1" applyAlignment="1" applyProtection="1">
      <alignment horizontal="center" vertical="center"/>
      <protection locked="0"/>
    </xf>
    <xf numFmtId="0" fontId="381" fillId="0" borderId="182" xfId="13" applyFont="1" applyBorder="1" applyAlignment="1" applyProtection="1">
      <alignment horizontal="center" vertical="center"/>
      <protection locked="0"/>
    </xf>
    <xf numFmtId="0" fontId="381" fillId="0" borderId="183" xfId="13" applyFont="1" applyBorder="1" applyAlignment="1" applyProtection="1">
      <alignment horizontal="center" vertical="center"/>
      <protection locked="0"/>
    </xf>
    <xf numFmtId="0" fontId="7" fillId="0" borderId="248" xfId="13" applyFont="1" applyBorder="1" applyAlignment="1" applyProtection="1">
      <alignment horizontal="center" vertical="center" wrapText="1"/>
      <protection locked="0"/>
    </xf>
    <xf numFmtId="0" fontId="7" fillId="0" borderId="0" xfId="13" applyFont="1" applyAlignment="1" applyProtection="1">
      <alignment horizontal="center" vertical="center" wrapText="1"/>
      <protection locked="0"/>
    </xf>
    <xf numFmtId="0" fontId="7" fillId="0" borderId="183" xfId="13" applyFont="1" applyBorder="1" applyAlignment="1" applyProtection="1">
      <alignment horizontal="center" vertical="center" wrapText="1"/>
      <protection locked="0"/>
    </xf>
    <xf numFmtId="0" fontId="70" fillId="0" borderId="249" xfId="13" applyFont="1" applyBorder="1" applyAlignment="1" applyProtection="1">
      <alignment horizontal="center" vertical="center" wrapText="1"/>
      <protection locked="0"/>
    </xf>
    <xf numFmtId="0" fontId="70" fillId="0" borderId="178" xfId="13" applyFont="1" applyBorder="1" applyAlignment="1" applyProtection="1">
      <alignment horizontal="center" vertical="center" wrapText="1"/>
      <protection locked="0"/>
    </xf>
    <xf numFmtId="0" fontId="70" fillId="0" borderId="184" xfId="13" applyFont="1" applyBorder="1" applyAlignment="1" applyProtection="1">
      <alignment horizontal="center" vertical="center" wrapText="1"/>
      <protection locked="0"/>
    </xf>
    <xf numFmtId="0" fontId="396" fillId="3" borderId="172" xfId="13" applyFont="1" applyFill="1" applyBorder="1" applyAlignment="1" applyProtection="1">
      <alignment horizontal="center" vertical="center" wrapText="1"/>
      <protection locked="0"/>
    </xf>
    <xf numFmtId="0" fontId="396" fillId="3" borderId="173" xfId="13" applyFont="1" applyFill="1" applyBorder="1" applyAlignment="1" applyProtection="1">
      <alignment horizontal="center" vertical="center" wrapText="1"/>
      <protection locked="0"/>
    </xf>
    <xf numFmtId="0" fontId="396" fillId="3" borderId="174" xfId="13" applyFont="1" applyFill="1" applyBorder="1" applyAlignment="1" applyProtection="1">
      <alignment horizontal="center" vertical="center" wrapText="1"/>
      <protection locked="0"/>
    </xf>
    <xf numFmtId="0" fontId="13" fillId="0" borderId="250" xfId="13" applyFont="1" applyBorder="1" applyAlignment="1" applyProtection="1">
      <alignment horizontal="center" vertical="center"/>
      <protection locked="0"/>
    </xf>
    <xf numFmtId="0" fontId="13" fillId="0" borderId="251" xfId="13" applyFont="1" applyBorder="1" applyAlignment="1" applyProtection="1">
      <alignment horizontal="center" vertical="center"/>
      <protection locked="0"/>
    </xf>
    <xf numFmtId="0" fontId="13" fillId="0" borderId="180" xfId="13" applyFont="1" applyBorder="1" applyAlignment="1" applyProtection="1">
      <alignment horizontal="center" vertical="center"/>
      <protection locked="0"/>
    </xf>
    <xf numFmtId="0" fontId="13" fillId="0" borderId="181" xfId="13" applyFont="1" applyBorder="1" applyAlignment="1" applyProtection="1">
      <alignment horizontal="center" vertical="center"/>
      <protection locked="0"/>
    </xf>
    <xf numFmtId="0" fontId="382" fillId="0" borderId="250" xfId="13" applyFont="1" applyBorder="1" applyAlignment="1" applyProtection="1">
      <alignment horizontal="center" vertical="center"/>
      <protection locked="0"/>
    </xf>
    <xf numFmtId="0" fontId="382" fillId="0" borderId="248" xfId="13" applyFont="1" applyBorder="1" applyAlignment="1" applyProtection="1">
      <alignment horizontal="center" vertical="center"/>
      <protection locked="0"/>
    </xf>
    <xf numFmtId="0" fontId="382" fillId="0" borderId="251" xfId="13" applyFont="1" applyBorder="1" applyAlignment="1" applyProtection="1">
      <alignment horizontal="center" vertical="center"/>
      <protection locked="0"/>
    </xf>
    <xf numFmtId="0" fontId="382" fillId="0" borderId="180" xfId="13" applyFont="1" applyBorder="1" applyAlignment="1" applyProtection="1">
      <alignment horizontal="center" vertical="center"/>
      <protection locked="0"/>
    </xf>
    <xf numFmtId="0" fontId="382" fillId="0" borderId="0" xfId="13" applyFont="1" applyAlignment="1" applyProtection="1">
      <alignment horizontal="center" vertical="center"/>
      <protection locked="0"/>
    </xf>
    <xf numFmtId="0" fontId="382" fillId="0" borderId="181" xfId="13" applyFont="1" applyBorder="1" applyAlignment="1" applyProtection="1">
      <alignment horizontal="center" vertical="center"/>
      <protection locked="0"/>
    </xf>
    <xf numFmtId="0" fontId="382" fillId="0" borderId="186" xfId="13" applyFont="1" applyBorder="1" applyAlignment="1" applyProtection="1">
      <alignment horizontal="center" vertical="center"/>
      <protection locked="0"/>
    </xf>
    <xf numFmtId="0" fontId="382" fillId="0" borderId="183" xfId="13" applyFont="1" applyBorder="1" applyAlignment="1" applyProtection="1">
      <alignment horizontal="center" vertical="center"/>
      <protection locked="0"/>
    </xf>
    <xf numFmtId="0" fontId="382" fillId="0" borderId="187" xfId="13" applyFont="1" applyBorder="1" applyAlignment="1" applyProtection="1">
      <alignment horizontal="center" vertical="center"/>
      <protection locked="0"/>
    </xf>
    <xf numFmtId="2" fontId="70" fillId="3" borderId="180" xfId="4" applyNumberFormat="1" applyFont="1" applyFill="1" applyBorder="1" applyAlignment="1">
      <alignment horizontal="center" vertical="center"/>
    </xf>
    <xf numFmtId="2" fontId="70" fillId="3" borderId="181" xfId="4" applyNumberFormat="1" applyFont="1" applyFill="1" applyBorder="1" applyAlignment="1">
      <alignment horizontal="center" vertical="center"/>
    </xf>
    <xf numFmtId="0" fontId="396" fillId="0" borderId="185" xfId="13" applyFont="1" applyBorder="1" applyAlignment="1" applyProtection="1">
      <alignment horizontal="center" vertical="center" wrapText="1"/>
      <protection locked="0"/>
    </xf>
    <xf numFmtId="0" fontId="43" fillId="56" borderId="124" xfId="1" applyFont="1" applyFill="1" applyBorder="1" applyAlignment="1">
      <alignment horizontal="center" vertical="center"/>
    </xf>
    <xf numFmtId="0" fontId="43" fillId="56" borderId="97" xfId="1" applyFont="1" applyFill="1" applyBorder="1" applyAlignment="1">
      <alignment horizontal="center" vertical="center"/>
    </xf>
    <xf numFmtId="0" fontId="13" fillId="0" borderId="103" xfId="1" applyFont="1" applyBorder="1" applyAlignment="1">
      <alignment horizontal="center" vertical="center" wrapText="1"/>
    </xf>
    <xf numFmtId="0" fontId="13" fillId="0" borderId="3" xfId="1" applyFont="1" applyBorder="1" applyAlignment="1">
      <alignment horizontal="center" vertical="center" wrapText="1"/>
    </xf>
    <xf numFmtId="0" fontId="13" fillId="0" borderId="126" xfId="1" applyFont="1" applyBorder="1" applyAlignment="1">
      <alignment horizontal="center" vertical="center" wrapText="1"/>
    </xf>
    <xf numFmtId="0" fontId="13" fillId="0" borderId="64" xfId="2" applyFont="1" applyBorder="1" applyAlignment="1">
      <alignment horizontal="center" vertical="center"/>
    </xf>
    <xf numFmtId="0" fontId="13" fillId="0" borderId="63" xfId="2" applyFont="1" applyBorder="1" applyAlignment="1">
      <alignment horizontal="center" vertical="center"/>
    </xf>
    <xf numFmtId="0" fontId="13" fillId="0" borderId="0" xfId="2" applyFont="1" applyAlignment="1">
      <alignment horizontal="center" vertical="center"/>
    </xf>
    <xf numFmtId="0" fontId="13" fillId="0" borderId="4" xfId="2" applyFont="1" applyBorder="1" applyAlignment="1">
      <alignment horizontal="center" vertical="center"/>
    </xf>
    <xf numFmtId="0" fontId="13" fillId="0" borderId="62" xfId="2" applyFont="1" applyBorder="1" applyAlignment="1">
      <alignment horizontal="center" vertical="center" wrapText="1"/>
    </xf>
    <xf numFmtId="0" fontId="13" fillId="0" borderId="64" xfId="2" applyFont="1" applyBorder="1" applyAlignment="1">
      <alignment horizontal="center" vertical="center" wrapText="1"/>
    </xf>
    <xf numFmtId="0" fontId="13" fillId="0" borderId="63" xfId="2" applyFont="1" applyBorder="1" applyAlignment="1">
      <alignment horizontal="center" vertical="center" wrapText="1"/>
    </xf>
    <xf numFmtId="0" fontId="13" fillId="0" borderId="59" xfId="2" applyFont="1" applyBorder="1" applyAlignment="1">
      <alignment horizontal="center" vertical="center" wrapText="1"/>
    </xf>
    <xf numFmtId="0" fontId="13" fillId="0" borderId="58" xfId="2" applyFont="1" applyBorder="1" applyAlignment="1">
      <alignment horizontal="center" vertical="center" wrapText="1"/>
    </xf>
    <xf numFmtId="0" fontId="13" fillId="0" borderId="56" xfId="2" applyFont="1" applyBorder="1" applyAlignment="1">
      <alignment horizontal="center" vertical="center" wrapText="1"/>
    </xf>
    <xf numFmtId="0" fontId="408" fillId="0" borderId="165" xfId="2" applyFont="1" applyBorder="1" applyAlignment="1">
      <alignment horizontal="center" vertical="center"/>
    </xf>
    <xf numFmtId="0" fontId="408" fillId="0" borderId="153" xfId="2" applyFont="1" applyBorder="1" applyAlignment="1">
      <alignment horizontal="center" vertical="center"/>
    </xf>
    <xf numFmtId="0" fontId="408" fillId="0" borderId="267" xfId="2" applyFont="1" applyBorder="1" applyAlignment="1">
      <alignment horizontal="center" vertical="center"/>
    </xf>
    <xf numFmtId="0" fontId="73" fillId="0" borderId="165" xfId="2" applyFont="1" applyBorder="1" applyAlignment="1">
      <alignment horizontal="center" vertical="center" wrapText="1"/>
    </xf>
    <xf numFmtId="0" fontId="73" fillId="0" borderId="153" xfId="2" applyFont="1" applyBorder="1" applyAlignment="1">
      <alignment horizontal="center" vertical="center" wrapText="1"/>
    </xf>
    <xf numFmtId="0" fontId="73" fillId="0" borderId="267" xfId="2" applyFont="1" applyBorder="1" applyAlignment="1">
      <alignment horizontal="center" vertical="center" wrapText="1"/>
    </xf>
    <xf numFmtId="0" fontId="73" fillId="0" borderId="102" xfId="2" applyFont="1" applyBorder="1" applyAlignment="1">
      <alignment horizontal="center" vertical="center" wrapText="1"/>
    </xf>
    <xf numFmtId="0" fontId="73" fillId="0" borderId="87" xfId="2" applyFont="1" applyBorder="1" applyAlignment="1">
      <alignment horizontal="center" vertical="center" wrapText="1"/>
    </xf>
    <xf numFmtId="0" fontId="73" fillId="0" borderId="259" xfId="2" applyFont="1" applyBorder="1" applyAlignment="1">
      <alignment horizontal="center" vertical="center" wrapText="1"/>
    </xf>
    <xf numFmtId="0" fontId="70" fillId="0" borderId="100" xfId="2" applyFont="1" applyBorder="1" applyAlignment="1">
      <alignment horizontal="center" vertical="center" wrapText="1"/>
    </xf>
    <xf numFmtId="0" fontId="70" fillId="0" borderId="4" xfId="2" applyFont="1" applyBorder="1" applyAlignment="1">
      <alignment horizontal="center" vertical="center" wrapText="1"/>
    </xf>
    <xf numFmtId="0" fontId="70" fillId="0" borderId="137" xfId="2" applyFont="1" applyBorder="1" applyAlignment="1">
      <alignment horizontal="center" vertical="center" wrapText="1"/>
    </xf>
    <xf numFmtId="0" fontId="13" fillId="0" borderId="99" xfId="2" applyFont="1" applyBorder="1" applyAlignment="1">
      <alignment horizontal="right" vertical="center" wrapText="1"/>
    </xf>
    <xf numFmtId="0" fontId="13" fillId="0" borderId="164" xfId="2" applyFont="1" applyBorder="1" applyAlignment="1">
      <alignment horizontal="right" vertical="center" wrapText="1"/>
    </xf>
    <xf numFmtId="0" fontId="13" fillId="0" borderId="158" xfId="2" applyFont="1" applyBorder="1" applyAlignment="1">
      <alignment horizontal="right" vertical="center" wrapText="1"/>
    </xf>
    <xf numFmtId="0" fontId="13" fillId="0" borderId="5" xfId="2" applyFont="1" applyBorder="1" applyAlignment="1">
      <alignment horizontal="right" vertical="center" wrapText="1"/>
    </xf>
    <xf numFmtId="0" fontId="13" fillId="0" borderId="0" xfId="2" applyFont="1" applyAlignment="1">
      <alignment horizontal="right" vertical="center" wrapText="1"/>
    </xf>
    <xf numFmtId="0" fontId="13" fillId="0" borderId="86" xfId="2" applyFont="1" applyBorder="1" applyAlignment="1">
      <alignment horizontal="right" vertical="center" wrapText="1"/>
    </xf>
    <xf numFmtId="0" fontId="13" fillId="0" borderId="94" xfId="2" applyFont="1" applyBorder="1" applyAlignment="1">
      <alignment horizontal="right" vertical="center" wrapText="1"/>
    </xf>
    <xf numFmtId="0" fontId="13" fillId="0" borderId="141" xfId="2" applyFont="1" applyBorder="1" applyAlignment="1">
      <alignment horizontal="right" vertical="center" wrapText="1"/>
    </xf>
    <xf numFmtId="0" fontId="13" fillId="0" borderId="126" xfId="2" applyFont="1" applyBorder="1" applyAlignment="1">
      <alignment horizontal="right" vertical="center" wrapText="1"/>
    </xf>
    <xf numFmtId="0" fontId="149" fillId="0" borderId="165" xfId="2" applyFont="1" applyBorder="1" applyAlignment="1">
      <alignment horizontal="center" vertical="center" wrapText="1"/>
    </xf>
    <xf numFmtId="0" fontId="149" fillId="0" borderId="153" xfId="2" applyFont="1" applyBorder="1" applyAlignment="1">
      <alignment horizontal="center" vertical="center" wrapText="1"/>
    </xf>
    <xf numFmtId="0" fontId="149" fillId="0" borderId="267" xfId="2" applyFont="1" applyBorder="1" applyAlignment="1">
      <alignment horizontal="center" vertical="center" wrapText="1"/>
    </xf>
    <xf numFmtId="0" fontId="43" fillId="56" borderId="124" xfId="2" applyFont="1" applyFill="1" applyBorder="1" applyAlignment="1">
      <alignment horizontal="center" vertical="center"/>
    </xf>
    <xf numFmtId="0" fontId="43" fillId="56" borderId="97" xfId="2" applyFont="1" applyFill="1" applyBorder="1" applyAlignment="1">
      <alignment horizontal="center" vertical="center"/>
    </xf>
    <xf numFmtId="0" fontId="302" fillId="8" borderId="87" xfId="2" applyFont="1" applyFill="1" applyBorder="1" applyAlignment="1">
      <alignment horizontal="center" vertical="center" wrapText="1"/>
    </xf>
    <xf numFmtId="0" fontId="302" fillId="8" borderId="0" xfId="2" applyFont="1" applyFill="1" applyAlignment="1">
      <alignment horizontal="center" vertical="center" wrapText="1"/>
    </xf>
    <xf numFmtId="0" fontId="154" fillId="0" borderId="100" xfId="2" applyFont="1" applyBorder="1" applyAlignment="1">
      <alignment horizontal="center" vertical="center" wrapText="1"/>
    </xf>
    <xf numFmtId="0" fontId="154" fillId="0" borderId="4" xfId="2" applyFont="1" applyBorder="1" applyAlignment="1">
      <alignment horizontal="center" vertical="center" wrapText="1"/>
    </xf>
    <xf numFmtId="0" fontId="154" fillId="0" borderId="137" xfId="2" applyFont="1" applyBorder="1" applyAlignment="1">
      <alignment horizontal="center" vertical="center" wrapText="1"/>
    </xf>
    <xf numFmtId="0" fontId="15" fillId="0" borderId="0" xfId="1" applyFont="1" applyAlignment="1">
      <alignment horizontal="center" vertical="center" wrapText="1"/>
    </xf>
    <xf numFmtId="0" fontId="43" fillId="0" borderId="0" xfId="1" applyFont="1" applyAlignment="1">
      <alignment horizontal="center" vertical="center"/>
    </xf>
    <xf numFmtId="49" fontId="15" fillId="2" borderId="76" xfId="1" applyNumberFormat="1" applyFont="1" applyFill="1" applyBorder="1" applyAlignment="1">
      <alignment horizontal="center" vertical="center" wrapText="1"/>
    </xf>
    <xf numFmtId="49" fontId="15" fillId="2" borderId="77" xfId="1" applyNumberFormat="1" applyFont="1" applyFill="1" applyBorder="1" applyAlignment="1">
      <alignment horizontal="center" vertical="center" wrapText="1"/>
    </xf>
    <xf numFmtId="49" fontId="15" fillId="10" borderId="81" xfId="1" applyNumberFormat="1" applyFont="1" applyFill="1" applyBorder="1" applyAlignment="1">
      <alignment horizontal="center" vertical="center" wrapText="1"/>
    </xf>
    <xf numFmtId="49" fontId="15" fillId="43" borderId="71" xfId="1" applyNumberFormat="1" applyFont="1" applyFill="1" applyBorder="1" applyAlignment="1">
      <alignment horizontal="center" vertical="center" wrapText="1"/>
    </xf>
    <xf numFmtId="49" fontId="15" fillId="43" borderId="72" xfId="1" applyNumberFormat="1" applyFont="1" applyFill="1" applyBorder="1" applyAlignment="1">
      <alignment horizontal="center" vertical="center" wrapText="1"/>
    </xf>
    <xf numFmtId="0" fontId="10" fillId="22" borderId="0" xfId="1" applyFont="1" applyFill="1" applyAlignment="1">
      <alignment horizontal="center" vertical="center" wrapText="1"/>
    </xf>
    <xf numFmtId="0" fontId="114" fillId="22" borderId="0" xfId="1" applyFont="1" applyFill="1" applyAlignment="1">
      <alignment horizontal="center" vertical="center"/>
    </xf>
    <xf numFmtId="0" fontId="7" fillId="12" borderId="0" xfId="1" applyFill="1" applyAlignment="1">
      <alignment horizontal="center"/>
    </xf>
    <xf numFmtId="0" fontId="19" fillId="8" borderId="358" xfId="4" applyFont="1" applyFill="1" applyBorder="1" applyAlignment="1">
      <alignment horizontal="center" vertical="center"/>
    </xf>
    <xf numFmtId="0" fontId="19" fillId="8" borderId="1" xfId="4" applyFont="1" applyFill="1" applyBorder="1" applyAlignment="1">
      <alignment horizontal="center" vertical="center"/>
    </xf>
    <xf numFmtId="0" fontId="19" fillId="8" borderId="60" xfId="4" applyFont="1" applyFill="1" applyBorder="1" applyAlignment="1">
      <alignment horizontal="center" vertical="center"/>
    </xf>
    <xf numFmtId="0" fontId="138" fillId="12" borderId="123" xfId="2" applyFont="1" applyFill="1" applyBorder="1" applyAlignment="1">
      <alignment horizontal="center" vertical="center"/>
    </xf>
    <xf numFmtId="0" fontId="138" fillId="12" borderId="0" xfId="2" applyFont="1" applyFill="1" applyAlignment="1">
      <alignment horizontal="center" vertical="center"/>
    </xf>
    <xf numFmtId="0" fontId="134" fillId="15" borderId="389" xfId="2" applyFont="1" applyFill="1" applyBorder="1" applyAlignment="1">
      <alignment horizontal="center" vertical="center"/>
    </xf>
    <xf numFmtId="0" fontId="134" fillId="15" borderId="394" xfId="2" applyFont="1" applyFill="1" applyBorder="1" applyAlignment="1">
      <alignment horizontal="center" vertical="center"/>
    </xf>
    <xf numFmtId="0" fontId="128" fillId="8" borderId="384" xfId="2" applyFont="1" applyFill="1" applyBorder="1" applyAlignment="1">
      <alignment horizontal="center" vertical="center" wrapText="1"/>
    </xf>
    <xf numFmtId="0" fontId="128" fillId="8" borderId="164" xfId="2" applyFont="1" applyFill="1" applyBorder="1" applyAlignment="1">
      <alignment horizontal="center" vertical="center" wrapText="1"/>
    </xf>
    <xf numFmtId="0" fontId="128" fillId="8" borderId="397" xfId="2" applyFont="1" applyFill="1" applyBorder="1" applyAlignment="1">
      <alignment horizontal="center" vertical="center" wrapText="1"/>
    </xf>
    <xf numFmtId="0" fontId="128" fillId="8" borderId="44" xfId="2" applyFont="1" applyFill="1" applyBorder="1" applyAlignment="1">
      <alignment horizontal="center" vertical="center" wrapText="1"/>
    </xf>
    <xf numFmtId="0" fontId="128" fillId="8" borderId="20" xfId="2" applyFont="1" applyFill="1" applyBorder="1" applyAlignment="1">
      <alignment horizontal="center" vertical="center" wrapText="1"/>
    </xf>
    <xf numFmtId="0" fontId="128" fillId="8" borderId="45" xfId="2" applyFont="1" applyFill="1" applyBorder="1" applyAlignment="1">
      <alignment horizontal="center" vertical="center" wrapText="1"/>
    </xf>
    <xf numFmtId="165" fontId="16" fillId="32" borderId="30" xfId="32" applyNumberFormat="1" applyFont="1" applyFill="1" applyBorder="1" applyAlignment="1">
      <alignment horizontal="left" vertical="center"/>
    </xf>
    <xf numFmtId="165" fontId="16" fillId="32" borderId="31" xfId="32" applyNumberFormat="1" applyFont="1" applyFill="1" applyBorder="1" applyAlignment="1">
      <alignment horizontal="left" vertical="center"/>
    </xf>
    <xf numFmtId="165" fontId="16" fillId="32" borderId="0" xfId="32" applyNumberFormat="1" applyFont="1" applyFill="1" applyAlignment="1">
      <alignment horizontal="left" vertical="center"/>
    </xf>
    <xf numFmtId="165" fontId="16" fillId="32" borderId="294" xfId="32" applyNumberFormat="1" applyFont="1" applyFill="1" applyBorder="1" applyAlignment="1">
      <alignment horizontal="left" vertical="center"/>
    </xf>
    <xf numFmtId="0" fontId="4" fillId="33" borderId="294" xfId="2" applyFill="1" applyBorder="1" applyAlignment="1">
      <alignment horizontal="center"/>
    </xf>
    <xf numFmtId="0" fontId="53" fillId="3" borderId="5" xfId="32" applyFont="1" applyFill="1" applyBorder="1" applyAlignment="1">
      <alignment horizontal="center" vertical="center" wrapText="1"/>
    </xf>
    <xf numFmtId="0" fontId="53" fillId="3" borderId="0" xfId="32" applyFont="1" applyFill="1" applyAlignment="1">
      <alignment horizontal="center" vertical="center" wrapText="1"/>
    </xf>
    <xf numFmtId="0" fontId="53" fillId="3" borderId="294" xfId="32" applyFont="1" applyFill="1" applyBorder="1" applyAlignment="1">
      <alignment horizontal="center" vertical="center" wrapText="1"/>
    </xf>
    <xf numFmtId="0" fontId="115" fillId="3" borderId="5" xfId="32" applyFont="1" applyFill="1" applyBorder="1" applyAlignment="1">
      <alignment horizontal="center" vertical="center" wrapText="1"/>
    </xf>
    <xf numFmtId="0" fontId="115" fillId="3" borderId="0" xfId="32" applyFont="1" applyFill="1" applyAlignment="1">
      <alignment horizontal="center" vertical="center" wrapText="1"/>
    </xf>
    <xf numFmtId="0" fontId="115" fillId="3" borderId="294" xfId="32" applyFont="1" applyFill="1" applyBorder="1" applyAlignment="1">
      <alignment horizontal="center" vertical="center" wrapText="1"/>
    </xf>
    <xf numFmtId="0" fontId="8" fillId="34" borderId="5" xfId="1" applyFont="1" applyFill="1" applyBorder="1" applyAlignment="1">
      <alignment horizontal="left" vertical="center"/>
    </xf>
    <xf numFmtId="0" fontId="8" fillId="34" borderId="0" xfId="1" applyFont="1" applyFill="1" applyAlignment="1">
      <alignment horizontal="left" vertical="center"/>
    </xf>
    <xf numFmtId="0" fontId="8" fillId="34" borderId="294" xfId="1" applyFont="1" applyFill="1" applyBorder="1" applyAlignment="1">
      <alignment horizontal="left" vertical="center"/>
    </xf>
    <xf numFmtId="0" fontId="116" fillId="8" borderId="0" xfId="1" applyFont="1" applyFill="1" applyAlignment="1">
      <alignment horizontal="center" vertical="center"/>
    </xf>
    <xf numFmtId="165" fontId="38" fillId="15" borderId="0" xfId="32" applyNumberFormat="1" applyFont="1" applyFill="1" applyAlignment="1">
      <alignment horizontal="center" vertical="center"/>
    </xf>
    <xf numFmtId="0" fontId="8" fillId="35" borderId="5" xfId="1" applyFont="1" applyFill="1" applyBorder="1" applyAlignment="1">
      <alignment horizontal="center" vertical="center"/>
    </xf>
    <xf numFmtId="0" fontId="8" fillId="35" borderId="0" xfId="1" applyFont="1" applyFill="1" applyAlignment="1">
      <alignment horizontal="center" vertical="center"/>
    </xf>
    <xf numFmtId="0" fontId="8" fillId="35" borderId="294" xfId="1" applyFont="1" applyFill="1" applyBorder="1" applyAlignment="1">
      <alignment horizontal="center" vertical="center"/>
    </xf>
    <xf numFmtId="0" fontId="133" fillId="8" borderId="0" xfId="1" applyFont="1" applyFill="1" applyAlignment="1">
      <alignment horizontal="center" vertical="center"/>
    </xf>
    <xf numFmtId="0" fontId="18" fillId="16" borderId="7" xfId="4" applyFont="1" applyFill="1" applyBorder="1" applyAlignment="1">
      <alignment horizontal="center" vertical="center"/>
    </xf>
    <xf numFmtId="0" fontId="18" fillId="16" borderId="0" xfId="4" applyFont="1" applyFill="1" applyAlignment="1">
      <alignment horizontal="center" vertical="center"/>
    </xf>
    <xf numFmtId="0" fontId="53" fillId="4" borderId="42" xfId="1" applyFont="1" applyFill="1" applyBorder="1" applyAlignment="1" applyProtection="1">
      <alignment horizontal="center" vertical="center" wrapText="1"/>
      <protection hidden="1"/>
    </xf>
    <xf numFmtId="0" fontId="53" fillId="4" borderId="7" xfId="1" applyFont="1" applyFill="1" applyBorder="1" applyAlignment="1" applyProtection="1">
      <alignment horizontal="center" vertical="center" wrapText="1"/>
      <protection hidden="1"/>
    </xf>
    <xf numFmtId="0" fontId="53" fillId="4" borderId="5" xfId="1" applyFont="1" applyFill="1" applyBorder="1" applyAlignment="1" applyProtection="1">
      <alignment horizontal="center" vertical="center" wrapText="1"/>
      <protection hidden="1"/>
    </xf>
    <xf numFmtId="0" fontId="53" fillId="4" borderId="0" xfId="1" applyFont="1" applyFill="1" applyAlignment="1" applyProtection="1">
      <alignment horizontal="center" vertical="center" wrapText="1"/>
      <protection hidden="1"/>
    </xf>
    <xf numFmtId="0" fontId="52" fillId="4" borderId="6" xfId="4" applyFont="1" applyFill="1" applyBorder="1" applyAlignment="1">
      <alignment horizontal="center" vertical="center"/>
    </xf>
    <xf numFmtId="0" fontId="52" fillId="4" borderId="294" xfId="4" applyFont="1" applyFill="1" applyBorder="1" applyAlignment="1">
      <alignment horizontal="center" vertical="center"/>
    </xf>
    <xf numFmtId="0" fontId="38" fillId="15" borderId="389" xfId="2" applyFont="1" applyFill="1" applyBorder="1" applyAlignment="1">
      <alignment horizontal="center" vertical="center"/>
    </xf>
    <xf numFmtId="0" fontId="38" fillId="15" borderId="394" xfId="2" applyFont="1" applyFill="1" applyBorder="1" applyAlignment="1">
      <alignment horizontal="center" vertical="center"/>
    </xf>
    <xf numFmtId="0" fontId="27" fillId="0" borderId="57" xfId="4" applyFont="1" applyBorder="1" applyAlignment="1" applyProtection="1">
      <alignment horizontal="center" vertical="center"/>
      <protection locked="0"/>
    </xf>
    <xf numFmtId="0" fontId="27" fillId="0" borderId="0" xfId="4" applyFont="1" applyAlignment="1" applyProtection="1">
      <alignment horizontal="center" vertical="center"/>
      <protection locked="0"/>
    </xf>
    <xf numFmtId="0" fontId="27" fillId="0" borderId="301" xfId="4" applyFont="1" applyBorder="1" applyAlignment="1" applyProtection="1">
      <alignment horizontal="center" vertical="center"/>
      <protection locked="0"/>
    </xf>
    <xf numFmtId="0" fontId="8" fillId="3" borderId="0" xfId="4" applyFont="1" applyFill="1" applyAlignment="1">
      <alignment horizontal="center" vertical="center"/>
    </xf>
    <xf numFmtId="0" fontId="116" fillId="8" borderId="303" xfId="1" applyFont="1" applyFill="1" applyBorder="1" applyAlignment="1">
      <alignment horizontal="center" vertical="center"/>
    </xf>
    <xf numFmtId="180" fontId="111" fillId="3" borderId="5" xfId="13" applyNumberFormat="1" applyFont="1" applyFill="1" applyBorder="1" applyAlignment="1">
      <alignment horizontal="center" vertical="center"/>
    </xf>
    <xf numFmtId="180" fontId="111" fillId="3" borderId="0" xfId="13" applyNumberFormat="1" applyFont="1" applyFill="1" applyAlignment="1">
      <alignment horizontal="center" vertical="center"/>
    </xf>
    <xf numFmtId="181" fontId="111" fillId="3" borderId="0" xfId="13" applyNumberFormat="1" applyFont="1" applyFill="1" applyAlignment="1">
      <alignment horizontal="center" vertical="center"/>
    </xf>
    <xf numFmtId="180" fontId="111" fillId="3" borderId="5" xfId="13" applyNumberFormat="1" applyFont="1" applyFill="1" applyBorder="1" applyAlignment="1">
      <alignment horizontal="left" vertical="center" wrapText="1"/>
    </xf>
    <xf numFmtId="180" fontId="111" fillId="3" borderId="0" xfId="13" applyNumberFormat="1" applyFont="1" applyFill="1" applyAlignment="1">
      <alignment horizontal="left" vertical="center" wrapText="1"/>
    </xf>
    <xf numFmtId="180" fontId="111" fillId="3" borderId="294" xfId="13" applyNumberFormat="1" applyFont="1" applyFill="1" applyBorder="1" applyAlignment="1">
      <alignment horizontal="left" vertical="center" wrapText="1"/>
    </xf>
    <xf numFmtId="180" fontId="111" fillId="3" borderId="358" xfId="13" applyNumberFormat="1" applyFont="1" applyFill="1" applyBorder="1" applyAlignment="1">
      <alignment horizontal="left" vertical="center" wrapText="1"/>
    </xf>
    <xf numFmtId="180" fontId="111" fillId="3" borderId="1" xfId="13" applyNumberFormat="1" applyFont="1" applyFill="1" applyBorder="1" applyAlignment="1">
      <alignment horizontal="left" vertical="center" wrapText="1"/>
    </xf>
    <xf numFmtId="180" fontId="111" fillId="3" borderId="60" xfId="13" applyNumberFormat="1" applyFont="1" applyFill="1" applyBorder="1" applyAlignment="1">
      <alignment horizontal="left" vertical="center" wrapText="1"/>
    </xf>
    <xf numFmtId="0" fontId="82" fillId="18" borderId="303" xfId="1" applyFont="1" applyFill="1" applyBorder="1" applyAlignment="1" applyProtection="1">
      <alignment horizontal="center" vertical="center"/>
      <protection hidden="1"/>
    </xf>
    <xf numFmtId="180" fontId="38" fillId="11" borderId="5" xfId="13" applyNumberFormat="1" applyFont="1" applyFill="1" applyBorder="1" applyAlignment="1">
      <alignment horizontal="center" vertical="center"/>
    </xf>
    <xf numFmtId="180" fontId="38" fillId="11" borderId="0" xfId="13" applyNumberFormat="1" applyFont="1" applyFill="1" applyAlignment="1">
      <alignment horizontal="center" vertical="center"/>
    </xf>
    <xf numFmtId="181" fontId="84" fillId="2" borderId="0" xfId="13" applyNumberFormat="1" applyFont="1" applyFill="1" applyAlignment="1">
      <alignment horizontal="center" vertical="center"/>
    </xf>
    <xf numFmtId="2" fontId="13" fillId="3" borderId="0" xfId="13" applyNumberFormat="1" applyFont="1" applyFill="1" applyAlignment="1">
      <alignment horizontal="center" vertical="center"/>
    </xf>
    <xf numFmtId="0" fontId="110" fillId="3" borderId="0" xfId="13" applyFont="1" applyFill="1" applyAlignment="1">
      <alignment horizontal="left" vertical="center"/>
    </xf>
    <xf numFmtId="0" fontId="110" fillId="3" borderId="294" xfId="13" applyFont="1" applyFill="1" applyBorder="1" applyAlignment="1">
      <alignment horizontal="left" vertical="center"/>
    </xf>
    <xf numFmtId="180" fontId="13" fillId="31" borderId="5" xfId="13" applyNumberFormat="1" applyFont="1" applyFill="1" applyBorder="1" applyAlignment="1">
      <alignment horizontal="center" vertical="center"/>
    </xf>
    <xf numFmtId="180" fontId="13" fillId="31" borderId="0" xfId="13" applyNumberFormat="1" applyFont="1" applyFill="1" applyAlignment="1">
      <alignment horizontal="center" vertical="center"/>
    </xf>
    <xf numFmtId="180" fontId="13" fillId="31" borderId="294" xfId="13" applyNumberFormat="1" applyFont="1" applyFill="1" applyBorder="1" applyAlignment="1">
      <alignment horizontal="center" vertical="center"/>
    </xf>
    <xf numFmtId="165" fontId="55" fillId="3" borderId="57" xfId="13" applyNumberFormat="1" applyFont="1" applyFill="1" applyBorder="1" applyAlignment="1">
      <alignment horizontal="center" vertical="center"/>
    </xf>
    <xf numFmtId="165" fontId="55" fillId="3" borderId="0" xfId="13" applyNumberFormat="1" applyFont="1" applyFill="1" applyAlignment="1">
      <alignment horizontal="center" vertical="center"/>
    </xf>
    <xf numFmtId="0" fontId="55" fillId="3" borderId="0" xfId="13" applyFont="1" applyFill="1" applyAlignment="1">
      <alignment horizontal="center" vertical="center"/>
    </xf>
    <xf numFmtId="0" fontId="8" fillId="3" borderId="0" xfId="13" applyFont="1" applyFill="1" applyAlignment="1">
      <alignment horizontal="right" vertical="center"/>
    </xf>
    <xf numFmtId="0" fontId="109" fillId="11" borderId="42" xfId="12" applyFont="1" applyFill="1" applyBorder="1" applyAlignment="1">
      <alignment horizontal="center" vertical="center" wrapText="1"/>
    </xf>
    <xf numFmtId="0" fontId="109" fillId="11" borderId="7" xfId="12" applyFont="1" applyFill="1" applyBorder="1" applyAlignment="1">
      <alignment horizontal="center" vertical="center" wrapText="1"/>
    </xf>
    <xf numFmtId="0" fontId="109" fillId="11" borderId="5" xfId="12" applyFont="1" applyFill="1" applyBorder="1" applyAlignment="1">
      <alignment horizontal="center" vertical="center" wrapText="1"/>
    </xf>
    <xf numFmtId="0" fontId="109" fillId="11" borderId="0" xfId="12" applyFont="1" applyFill="1" applyAlignment="1">
      <alignment horizontal="center" vertical="center" wrapText="1"/>
    </xf>
    <xf numFmtId="0" fontId="85" fillId="2" borderId="7" xfId="13" applyFont="1" applyFill="1" applyBorder="1" applyAlignment="1">
      <alignment horizontal="center" vertical="center" wrapText="1"/>
    </xf>
    <xf numFmtId="0" fontId="85" fillId="2" borderId="0" xfId="13" applyFont="1" applyFill="1" applyAlignment="1">
      <alignment horizontal="center" vertical="center" wrapText="1"/>
    </xf>
    <xf numFmtId="0" fontId="70" fillId="3" borderId="7" xfId="13" applyFont="1" applyFill="1" applyBorder="1" applyAlignment="1">
      <alignment horizontal="center" vertical="center" wrapText="1"/>
    </xf>
    <xf numFmtId="0" fontId="70" fillId="3" borderId="0" xfId="13" applyFont="1" applyFill="1" applyAlignment="1">
      <alignment horizontal="center" vertical="center" wrapText="1"/>
    </xf>
    <xf numFmtId="0" fontId="81" fillId="27" borderId="7" xfId="12" applyFont="1" applyFill="1" applyBorder="1" applyAlignment="1">
      <alignment horizontal="center" vertical="center"/>
    </xf>
    <xf numFmtId="0" fontId="81" fillId="27" borderId="6" xfId="12" applyFont="1" applyFill="1" applyBorder="1" applyAlignment="1">
      <alignment horizontal="center" vertical="center"/>
    </xf>
    <xf numFmtId="0" fontId="107" fillId="3" borderId="57" xfId="12" applyFont="1" applyFill="1" applyBorder="1" applyAlignment="1">
      <alignment horizontal="center" vertical="center" wrapText="1"/>
    </xf>
    <xf numFmtId="0" fontId="107" fillId="3" borderId="0" xfId="12" applyFont="1" applyFill="1" applyAlignment="1">
      <alignment horizontal="center" vertical="center" wrapText="1"/>
    </xf>
    <xf numFmtId="0" fontId="107" fillId="3" borderId="0" xfId="13" applyFont="1" applyFill="1" applyAlignment="1">
      <alignment horizontal="center" vertical="center" wrapText="1"/>
    </xf>
    <xf numFmtId="0" fontId="8" fillId="3" borderId="0" xfId="13" applyFont="1" applyFill="1" applyAlignment="1">
      <alignment horizontal="center" vertical="center"/>
    </xf>
    <xf numFmtId="0" fontId="8" fillId="3" borderId="301" xfId="13" applyFont="1" applyFill="1" applyBorder="1" applyAlignment="1">
      <alignment horizontal="center" wrapText="1"/>
    </xf>
    <xf numFmtId="0" fontId="35" fillId="30" borderId="57" xfId="12" applyFont="1" applyFill="1" applyBorder="1" applyAlignment="1">
      <alignment horizontal="center" vertical="center"/>
    </xf>
    <xf numFmtId="0" fontId="35" fillId="30" borderId="0" xfId="12" applyFont="1" applyFill="1" applyAlignment="1">
      <alignment horizontal="center" vertical="center"/>
    </xf>
    <xf numFmtId="0" fontId="35" fillId="30" borderId="301" xfId="12" applyFont="1" applyFill="1" applyBorder="1" applyAlignment="1">
      <alignment horizontal="center" vertical="center"/>
    </xf>
    <xf numFmtId="0" fontId="35" fillId="30" borderId="0" xfId="12" applyFont="1" applyFill="1" applyAlignment="1">
      <alignment horizontal="left" vertical="center"/>
    </xf>
    <xf numFmtId="0" fontId="35" fillId="30" borderId="301" xfId="12" applyFont="1" applyFill="1" applyBorder="1" applyAlignment="1">
      <alignment horizontal="left" vertical="center"/>
    </xf>
    <xf numFmtId="0" fontId="13" fillId="28" borderId="0" xfId="2" applyFont="1" applyFill="1" applyAlignment="1">
      <alignment horizontal="center" vertical="center"/>
    </xf>
    <xf numFmtId="0" fontId="106" fillId="27" borderId="354" xfId="12" applyFont="1" applyFill="1" applyBorder="1" applyAlignment="1">
      <alignment horizontal="center" vertical="center"/>
    </xf>
    <xf numFmtId="0" fontId="106" fillId="27" borderId="299" xfId="12" applyFont="1" applyFill="1" applyBorder="1" applyAlignment="1">
      <alignment horizontal="center" vertical="center"/>
    </xf>
    <xf numFmtId="0" fontId="106" fillId="27" borderId="300" xfId="12" applyFont="1" applyFill="1" applyBorder="1" applyAlignment="1">
      <alignment horizontal="center" vertical="center"/>
    </xf>
    <xf numFmtId="0" fontId="35" fillId="27" borderId="57" xfId="12" applyFont="1" applyFill="1" applyBorder="1" applyAlignment="1">
      <alignment horizontal="center" vertical="center"/>
    </xf>
    <xf numFmtId="0" fontId="35" fillId="27" borderId="0" xfId="12" applyFont="1" applyFill="1" applyAlignment="1">
      <alignment horizontal="center" vertical="center"/>
    </xf>
    <xf numFmtId="0" fontId="35" fillId="27" borderId="301" xfId="12" applyFont="1" applyFill="1" applyBorder="1" applyAlignment="1">
      <alignment horizontal="center" vertical="center"/>
    </xf>
    <xf numFmtId="0" fontId="35" fillId="27" borderId="0" xfId="12" applyFont="1" applyFill="1" applyAlignment="1">
      <alignment horizontal="left" vertical="center"/>
    </xf>
    <xf numFmtId="0" fontId="35" fillId="27" borderId="301" xfId="12" applyFont="1" applyFill="1" applyBorder="1" applyAlignment="1">
      <alignment horizontal="left" vertical="center"/>
    </xf>
    <xf numFmtId="0" fontId="8" fillId="22" borderId="57" xfId="12" applyFont="1" applyFill="1" applyBorder="1" applyAlignment="1">
      <alignment horizontal="center" vertical="center"/>
    </xf>
    <xf numFmtId="0" fontId="8" fillId="22" borderId="0" xfId="12" applyFont="1" applyFill="1" applyAlignment="1">
      <alignment horizontal="center" vertical="center"/>
    </xf>
    <xf numFmtId="0" fontId="8" fillId="22" borderId="301" xfId="12" applyFont="1" applyFill="1" applyBorder="1" applyAlignment="1">
      <alignment horizontal="center" vertical="center"/>
    </xf>
    <xf numFmtId="171" fontId="36" fillId="12" borderId="0" xfId="4" applyNumberFormat="1" applyFont="1" applyFill="1" applyAlignment="1">
      <alignment horizontal="center" vertical="center"/>
    </xf>
    <xf numFmtId="171" fontId="36" fillId="12" borderId="294" xfId="4" applyNumberFormat="1" applyFont="1" applyFill="1" applyBorder="1" applyAlignment="1">
      <alignment horizontal="center" vertical="center"/>
    </xf>
    <xf numFmtId="0" fontId="13" fillId="12" borderId="5" xfId="2" applyFont="1" applyFill="1" applyBorder="1" applyAlignment="1">
      <alignment horizontal="right" vertical="center"/>
    </xf>
    <xf numFmtId="1" fontId="13" fillId="12" borderId="0" xfId="2" applyNumberFormat="1" applyFont="1" applyFill="1" applyAlignment="1">
      <alignment horizontal="center" vertical="center"/>
    </xf>
    <xf numFmtId="0" fontId="36" fillId="12" borderId="0" xfId="2" applyFont="1" applyFill="1" applyAlignment="1">
      <alignment horizontal="center" vertical="center"/>
    </xf>
    <xf numFmtId="0" fontId="61" fillId="12" borderId="0" xfId="2" applyFont="1" applyFill="1" applyAlignment="1">
      <alignment horizontal="center" vertical="center"/>
    </xf>
    <xf numFmtId="1" fontId="13" fillId="12" borderId="0" xfId="4" applyNumberFormat="1" applyFont="1" applyFill="1" applyAlignment="1">
      <alignment horizontal="center" vertical="center"/>
    </xf>
    <xf numFmtId="174" fontId="99" fillId="3" borderId="0" xfId="4" applyNumberFormat="1" applyFont="1" applyFill="1" applyAlignment="1">
      <alignment horizontal="right" vertical="center" wrapText="1"/>
    </xf>
    <xf numFmtId="0" fontId="43" fillId="4" borderId="42" xfId="2" applyFont="1" applyFill="1" applyBorder="1" applyAlignment="1">
      <alignment horizontal="center" vertical="center"/>
    </xf>
    <xf numFmtId="0" fontId="43" fillId="4" borderId="7" xfId="2" applyFont="1" applyFill="1" applyBorder="1" applyAlignment="1">
      <alignment horizontal="center" vertical="center"/>
    </xf>
    <xf numFmtId="0" fontId="43" fillId="4" borderId="6" xfId="2" applyFont="1" applyFill="1" applyBorder="1" applyAlignment="1">
      <alignment horizontal="center" vertical="center"/>
    </xf>
    <xf numFmtId="0" fontId="24" fillId="3" borderId="5" xfId="2" applyFont="1" applyFill="1" applyBorder="1" applyAlignment="1">
      <alignment horizontal="left" vertical="center" wrapText="1"/>
    </xf>
    <xf numFmtId="0" fontId="24" fillId="3" borderId="0" xfId="2" applyFont="1" applyFill="1" applyAlignment="1">
      <alignment horizontal="left" vertical="center" wrapText="1"/>
    </xf>
    <xf numFmtId="0" fontId="24" fillId="3" borderId="294" xfId="2" applyFont="1" applyFill="1" applyBorder="1" applyAlignment="1">
      <alignment horizontal="left" vertical="center" wrapText="1"/>
    </xf>
    <xf numFmtId="0" fontId="24" fillId="3" borderId="16" xfId="2" applyFont="1" applyFill="1" applyBorder="1" applyAlignment="1">
      <alignment horizontal="left" vertical="center" wrapText="1"/>
    </xf>
    <xf numFmtId="0" fontId="24" fillId="3" borderId="15" xfId="2" applyFont="1" applyFill="1" applyBorder="1" applyAlignment="1">
      <alignment horizontal="left" vertical="center" wrapText="1"/>
    </xf>
    <xf numFmtId="0" fontId="24" fillId="3" borderId="14" xfId="2" applyFont="1" applyFill="1" applyBorder="1" applyAlignment="1">
      <alignment horizontal="left" vertical="center" wrapText="1"/>
    </xf>
    <xf numFmtId="0" fontId="35" fillId="27" borderId="5" xfId="2" applyFont="1" applyFill="1" applyBorder="1" applyAlignment="1">
      <alignment horizontal="center" vertical="center"/>
    </xf>
    <xf numFmtId="174" fontId="70" fillId="3" borderId="0" xfId="4" applyNumberFormat="1" applyFont="1" applyFill="1" applyAlignment="1">
      <alignment horizontal="right" vertical="center" wrapText="1"/>
    </xf>
    <xf numFmtId="174" fontId="103" fillId="2" borderId="5" xfId="4" applyNumberFormat="1" applyFont="1" applyFill="1" applyBorder="1" applyAlignment="1">
      <alignment horizontal="center" vertical="center" wrapText="1"/>
    </xf>
    <xf numFmtId="174" fontId="103" fillId="2" borderId="0" xfId="4" applyNumberFormat="1" applyFont="1" applyFill="1" applyAlignment="1">
      <alignment horizontal="center" vertical="center" wrapText="1"/>
    </xf>
    <xf numFmtId="174" fontId="55" fillId="3" borderId="0" xfId="4" applyNumberFormat="1" applyFont="1" applyFill="1" applyAlignment="1">
      <alignment horizontal="right" vertical="center" wrapText="1"/>
    </xf>
    <xf numFmtId="171" fontId="39" fillId="15" borderId="0" xfId="4" applyNumberFormat="1" applyFont="1" applyFill="1" applyAlignment="1">
      <alignment horizontal="center" vertical="center"/>
    </xf>
    <xf numFmtId="174" fontId="104" fillId="3" borderId="0" xfId="4" applyNumberFormat="1" applyFont="1" applyFill="1" applyAlignment="1">
      <alignment horizontal="right" vertical="center" wrapText="1"/>
    </xf>
    <xf numFmtId="171" fontId="38" fillId="15" borderId="294" xfId="4" applyNumberFormat="1" applyFont="1" applyFill="1" applyBorder="1" applyAlignment="1">
      <alignment horizontal="center" vertical="center"/>
    </xf>
    <xf numFmtId="0" fontId="8" fillId="28" borderId="5" xfId="2" applyFont="1" applyFill="1" applyBorder="1" applyAlignment="1">
      <alignment horizontal="right" vertical="center" wrapText="1"/>
    </xf>
    <xf numFmtId="0" fontId="8" fillId="28" borderId="0" xfId="2" applyFont="1" applyFill="1" applyAlignment="1">
      <alignment horizontal="right" vertical="center" wrapText="1"/>
    </xf>
    <xf numFmtId="2" fontId="13" fillId="28" borderId="0" xfId="2" applyNumberFormat="1" applyFont="1" applyFill="1" applyAlignment="1">
      <alignment horizontal="center" vertical="center"/>
    </xf>
    <xf numFmtId="0" fontId="4" fillId="3" borderId="57" xfId="2" applyFill="1" applyBorder="1" applyAlignment="1">
      <alignment horizontal="right" vertical="center"/>
    </xf>
    <xf numFmtId="0" fontId="4" fillId="3" borderId="0" xfId="2" applyFill="1" applyAlignment="1">
      <alignment horizontal="right" vertical="center"/>
    </xf>
    <xf numFmtId="0" fontId="54" fillId="27" borderId="42" xfId="12" applyFont="1" applyFill="1" applyBorder="1" applyAlignment="1">
      <alignment horizontal="center" vertical="center" wrapText="1"/>
    </xf>
    <xf numFmtId="0" fontId="54" fillId="27" borderId="7" xfId="12" applyFont="1" applyFill="1" applyBorder="1" applyAlignment="1">
      <alignment horizontal="center" vertical="center" wrapText="1"/>
    </xf>
    <xf numFmtId="0" fontId="54" fillId="27" borderId="6" xfId="12" applyFont="1" applyFill="1" applyBorder="1" applyAlignment="1">
      <alignment horizontal="center" vertical="center" wrapText="1"/>
    </xf>
    <xf numFmtId="0" fontId="10" fillId="3" borderId="5" xfId="12" applyFont="1" applyFill="1" applyBorder="1" applyAlignment="1">
      <alignment horizontal="center" vertical="center" wrapText="1"/>
    </xf>
    <xf numFmtId="0" fontId="10" fillId="3" borderId="0" xfId="12" applyFont="1" applyFill="1" applyAlignment="1">
      <alignment horizontal="center" vertical="center" wrapText="1"/>
    </xf>
    <xf numFmtId="0" fontId="10" fillId="3" borderId="294" xfId="12" applyFont="1" applyFill="1" applyBorder="1" applyAlignment="1">
      <alignment horizontal="center" vertical="center" wrapText="1"/>
    </xf>
    <xf numFmtId="0" fontId="43" fillId="12" borderId="5" xfId="12" applyFont="1" applyFill="1" applyBorder="1" applyAlignment="1">
      <alignment horizontal="center" vertical="center"/>
    </xf>
    <xf numFmtId="0" fontId="43" fillId="12" borderId="0" xfId="12" applyFont="1" applyFill="1" applyAlignment="1">
      <alignment horizontal="center" vertical="center"/>
    </xf>
    <xf numFmtId="0" fontId="43" fillId="12" borderId="294" xfId="12" applyFont="1" applyFill="1" applyBorder="1" applyAlignment="1">
      <alignment horizontal="center" vertical="center"/>
    </xf>
    <xf numFmtId="0" fontId="95" fillId="3" borderId="5" xfId="13" applyFont="1" applyFill="1" applyBorder="1" applyAlignment="1">
      <alignment horizontal="center" vertical="center" wrapText="1"/>
    </xf>
    <xf numFmtId="0" fontId="95" fillId="3" borderId="0" xfId="13" applyFont="1" applyFill="1" applyAlignment="1">
      <alignment horizontal="center" vertical="center" wrapText="1"/>
    </xf>
    <xf numFmtId="0" fontId="95" fillId="3" borderId="294" xfId="13" applyFont="1" applyFill="1" applyBorder="1" applyAlignment="1">
      <alignment horizontal="center" vertical="center" wrapText="1"/>
    </xf>
    <xf numFmtId="0" fontId="96" fillId="15" borderId="5" xfId="12" applyFont="1" applyFill="1" applyBorder="1" applyAlignment="1">
      <alignment horizontal="center" vertical="center"/>
    </xf>
    <xf numFmtId="0" fontId="96" fillId="15" borderId="0" xfId="12" applyFont="1" applyFill="1" applyAlignment="1">
      <alignment horizontal="center" vertical="center"/>
    </xf>
    <xf numFmtId="0" fontId="96" fillId="15" borderId="294" xfId="12" applyFont="1" applyFill="1" applyBorder="1" applyAlignment="1">
      <alignment horizontal="center" vertical="center"/>
    </xf>
    <xf numFmtId="0" fontId="6" fillId="3" borderId="57" xfId="2" applyFont="1" applyFill="1" applyBorder="1" applyAlignment="1">
      <alignment horizontal="right" vertical="center"/>
    </xf>
    <xf numFmtId="0" fontId="6" fillId="3" borderId="0" xfId="2" applyFont="1" applyFill="1" applyAlignment="1">
      <alignment horizontal="right" vertical="center"/>
    </xf>
    <xf numFmtId="171" fontId="7" fillId="3" borderId="0" xfId="2" applyNumberFormat="1" applyFont="1" applyFill="1" applyAlignment="1" applyProtection="1">
      <alignment horizontal="center" vertical="center"/>
      <protection locked="0"/>
    </xf>
    <xf numFmtId="171" fontId="70" fillId="3" borderId="0" xfId="2" applyNumberFormat="1" applyFont="1" applyFill="1" applyAlignment="1" applyProtection="1">
      <alignment horizontal="center" vertical="center"/>
      <protection locked="0"/>
    </xf>
    <xf numFmtId="171" fontId="70" fillId="3" borderId="301" xfId="2" applyNumberFormat="1" applyFont="1" applyFill="1" applyBorder="1" applyAlignment="1" applyProtection="1">
      <alignment horizontal="center" vertical="center"/>
      <protection locked="0"/>
    </xf>
    <xf numFmtId="0" fontId="70" fillId="3" borderId="57" xfId="2" applyFont="1" applyFill="1" applyBorder="1" applyAlignment="1">
      <alignment horizontal="center" vertical="center" wrapText="1"/>
    </xf>
    <xf numFmtId="0" fontId="70" fillId="3" borderId="0" xfId="2" applyFont="1" applyFill="1" applyAlignment="1">
      <alignment horizontal="center" vertical="center" wrapText="1"/>
    </xf>
    <xf numFmtId="0" fontId="70" fillId="3" borderId="0" xfId="2" applyFont="1" applyFill="1" applyAlignment="1">
      <alignment horizontal="center" vertical="center"/>
    </xf>
    <xf numFmtId="171" fontId="47" fillId="3" borderId="0" xfId="2" applyNumberFormat="1" applyFont="1" applyFill="1" applyAlignment="1" applyProtection="1">
      <alignment horizontal="center" vertical="center" wrapText="1"/>
      <protection locked="0"/>
    </xf>
    <xf numFmtId="171" fontId="47" fillId="3" borderId="301" xfId="2" applyNumberFormat="1" applyFont="1" applyFill="1" applyBorder="1" applyAlignment="1" applyProtection="1">
      <alignment horizontal="center" vertical="center" wrapText="1"/>
      <protection locked="0"/>
    </xf>
    <xf numFmtId="0" fontId="165" fillId="3" borderId="0" xfId="8" applyFont="1" applyFill="1" applyAlignment="1">
      <alignment horizontal="left" vertical="center"/>
    </xf>
    <xf numFmtId="0" fontId="13" fillId="4" borderId="354" xfId="2" applyFont="1" applyFill="1" applyBorder="1" applyAlignment="1">
      <alignment horizontal="center" vertical="center"/>
    </xf>
    <xf numFmtId="0" fontId="13" fillId="4" borderId="299" xfId="2" applyFont="1" applyFill="1" applyBorder="1" applyAlignment="1">
      <alignment horizontal="center" vertical="center"/>
    </xf>
    <xf numFmtId="0" fontId="13" fillId="4" borderId="300" xfId="2" applyFont="1" applyFill="1" applyBorder="1" applyAlignment="1">
      <alignment horizontal="center" vertical="center"/>
    </xf>
    <xf numFmtId="0" fontId="6" fillId="3" borderId="29" xfId="0" applyFont="1" applyFill="1" applyBorder="1" applyAlignment="1">
      <alignment horizontal="center" vertical="center"/>
    </xf>
    <xf numFmtId="0" fontId="6" fillId="3" borderId="31" xfId="0" applyFont="1" applyFill="1" applyBorder="1" applyAlignment="1">
      <alignment horizontal="center" vertical="center"/>
    </xf>
    <xf numFmtId="0" fontId="0" fillId="3" borderId="5" xfId="0" applyFill="1" applyBorder="1" applyAlignment="1">
      <alignment horizontal="center"/>
    </xf>
    <xf numFmtId="0" fontId="0" fillId="3" borderId="294" xfId="0" applyFill="1" applyBorder="1" applyAlignment="1">
      <alignment horizontal="center"/>
    </xf>
    <xf numFmtId="0" fontId="6" fillId="3" borderId="29" xfId="0" applyFont="1" applyFill="1" applyBorder="1" applyAlignment="1">
      <alignment horizontal="center"/>
    </xf>
    <xf numFmtId="0" fontId="6" fillId="3" borderId="31" xfId="0" applyFont="1" applyFill="1" applyBorder="1" applyAlignment="1">
      <alignment horizontal="center"/>
    </xf>
    <xf numFmtId="0" fontId="44" fillId="0" borderId="66" xfId="0" applyFont="1" applyBorder="1" applyAlignment="1">
      <alignment horizontal="center"/>
    </xf>
    <xf numFmtId="0" fontId="44" fillId="0" borderId="67" xfId="0" applyFont="1" applyBorder="1" applyAlignment="1">
      <alignment horizontal="center"/>
    </xf>
    <xf numFmtId="0" fontId="8" fillId="3" borderId="42" xfId="0" applyFont="1" applyFill="1" applyBorder="1" applyAlignment="1">
      <alignment horizontal="center" wrapText="1"/>
    </xf>
    <xf numFmtId="0" fontId="8" fillId="3" borderId="6" xfId="0" applyFont="1" applyFill="1" applyBorder="1" applyAlignment="1">
      <alignment horizontal="center" wrapText="1"/>
    </xf>
    <xf numFmtId="0" fontId="8" fillId="3" borderId="5" xfId="0" applyFont="1" applyFill="1" applyBorder="1" applyAlignment="1">
      <alignment horizontal="center" wrapText="1"/>
    </xf>
    <xf numFmtId="0" fontId="8" fillId="3" borderId="294" xfId="0" applyFont="1" applyFill="1" applyBorder="1" applyAlignment="1">
      <alignment horizontal="center" wrapText="1"/>
    </xf>
    <xf numFmtId="0" fontId="1" fillId="3" borderId="5" xfId="0" applyFont="1" applyFill="1" applyBorder="1" applyAlignment="1">
      <alignment horizontal="center"/>
    </xf>
    <xf numFmtId="0" fontId="1" fillId="3" borderId="294" xfId="0" applyFont="1" applyFill="1" applyBorder="1" applyAlignment="1">
      <alignment horizontal="center"/>
    </xf>
    <xf numFmtId="0" fontId="0" fillId="3" borderId="66" xfId="0" applyFill="1" applyBorder="1" applyAlignment="1">
      <alignment horizontal="center"/>
    </xf>
    <xf numFmtId="0" fontId="0" fillId="3" borderId="67" xfId="0" applyFill="1" applyBorder="1" applyAlignment="1">
      <alignment horizontal="center"/>
    </xf>
    <xf numFmtId="0" fontId="6" fillId="3" borderId="42"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5" xfId="2" applyFont="1" applyFill="1" applyBorder="1" applyAlignment="1">
      <alignment horizontal="center" vertical="center" wrapText="1"/>
    </xf>
    <xf numFmtId="0" fontId="6" fillId="3" borderId="294" xfId="2" applyFont="1" applyFill="1" applyBorder="1" applyAlignment="1">
      <alignment horizontal="center" vertical="center" wrapText="1"/>
    </xf>
    <xf numFmtId="0" fontId="81" fillId="13" borderId="5" xfId="2" applyFont="1" applyFill="1" applyBorder="1" applyAlignment="1">
      <alignment horizontal="center" vertical="center"/>
    </xf>
    <xf numFmtId="0" fontId="81" fillId="13" borderId="0" xfId="2" applyFont="1" applyFill="1" applyAlignment="1">
      <alignment horizontal="center" vertical="center"/>
    </xf>
    <xf numFmtId="0" fontId="81" fillId="13" borderId="382" xfId="2" applyFont="1" applyFill="1" applyBorder="1" applyAlignment="1">
      <alignment horizontal="center" vertical="center"/>
    </xf>
    <xf numFmtId="0" fontId="81" fillId="13" borderId="299" xfId="2" applyFont="1" applyFill="1" applyBorder="1" applyAlignment="1">
      <alignment horizontal="center" vertical="center"/>
    </xf>
    <xf numFmtId="0" fontId="162" fillId="0" borderId="0" xfId="8" applyFont="1" applyAlignment="1">
      <alignment horizontal="center" vertical="center"/>
    </xf>
    <xf numFmtId="0" fontId="15" fillId="3" borderId="42" xfId="0" applyFont="1" applyFill="1" applyBorder="1" applyAlignment="1">
      <alignment horizontal="center" vertical="center"/>
    </xf>
    <xf numFmtId="0" fontId="15" fillId="3" borderId="6" xfId="0" applyFont="1" applyFill="1" applyBorder="1" applyAlignment="1">
      <alignment horizontal="center" vertical="center"/>
    </xf>
    <xf numFmtId="0" fontId="147" fillId="3" borderId="5" xfId="0" applyFont="1" applyFill="1" applyBorder="1" applyAlignment="1">
      <alignment horizontal="center" vertical="center"/>
    </xf>
    <xf numFmtId="0" fontId="147" fillId="3" borderId="294" xfId="0" applyFont="1" applyFill="1" applyBorder="1" applyAlignment="1">
      <alignment horizontal="center" vertical="center"/>
    </xf>
    <xf numFmtId="0" fontId="6" fillId="49" borderId="0" xfId="0" applyFont="1" applyFill="1" applyAlignment="1">
      <alignment horizontal="center"/>
    </xf>
    <xf numFmtId="0" fontId="174" fillId="49" borderId="294" xfId="1" applyFont="1" applyFill="1" applyBorder="1" applyAlignment="1">
      <alignment horizontal="center" vertical="center" textRotation="90" wrapText="1"/>
    </xf>
    <xf numFmtId="0" fontId="313" fillId="3" borderId="42" xfId="1" applyFont="1" applyFill="1" applyBorder="1" applyAlignment="1" applyProtection="1">
      <alignment horizontal="center" vertical="center"/>
      <protection hidden="1"/>
    </xf>
    <xf numFmtId="0" fontId="313" fillId="3" borderId="7" xfId="1" applyFont="1" applyFill="1" applyBorder="1" applyAlignment="1" applyProtection="1">
      <alignment horizontal="center" vertical="center"/>
      <protection hidden="1"/>
    </xf>
    <xf numFmtId="0" fontId="313" fillId="3" borderId="6" xfId="1" applyFont="1" applyFill="1" applyBorder="1" applyAlignment="1" applyProtection="1">
      <alignment horizontal="center" vertical="center"/>
      <protection hidden="1"/>
    </xf>
    <xf numFmtId="0" fontId="313" fillId="3" borderId="5" xfId="1" applyFont="1" applyFill="1" applyBorder="1" applyAlignment="1" applyProtection="1">
      <alignment horizontal="center" vertical="center"/>
      <protection hidden="1"/>
    </xf>
    <xf numFmtId="0" fontId="313" fillId="3" borderId="0" xfId="1" applyFont="1" applyFill="1" applyAlignment="1" applyProtection="1">
      <alignment horizontal="center" vertical="center"/>
      <protection hidden="1"/>
    </xf>
    <xf numFmtId="0" fontId="313" fillId="3" borderId="294" xfId="1" applyFont="1" applyFill="1" applyBorder="1" applyAlignment="1" applyProtection="1">
      <alignment horizontal="center" vertical="center"/>
      <protection hidden="1"/>
    </xf>
    <xf numFmtId="0" fontId="11" fillId="3" borderId="5" xfId="32" applyFont="1" applyFill="1" applyBorder="1" applyAlignment="1">
      <alignment horizontal="center" vertical="center" wrapText="1"/>
    </xf>
    <xf numFmtId="0" fontId="11" fillId="3" borderId="0" xfId="32" applyFont="1" applyFill="1" applyAlignment="1">
      <alignment horizontal="center" vertical="center" wrapText="1"/>
    </xf>
    <xf numFmtId="0" fontId="11" fillId="3" borderId="294" xfId="32" applyFont="1" applyFill="1" applyBorder="1" applyAlignment="1">
      <alignment horizontal="center" vertical="center" wrapText="1"/>
    </xf>
    <xf numFmtId="0" fontId="11" fillId="3" borderId="310" xfId="32" applyFont="1" applyFill="1" applyBorder="1" applyAlignment="1">
      <alignment horizontal="center" vertical="center" wrapText="1"/>
    </xf>
    <xf numFmtId="0" fontId="11" fillId="3" borderId="303" xfId="32" applyFont="1" applyFill="1" applyBorder="1" applyAlignment="1">
      <alignment horizontal="center" vertical="center" wrapText="1"/>
    </xf>
    <xf numFmtId="0" fontId="11" fillId="3" borderId="305" xfId="32" applyFont="1" applyFill="1" applyBorder="1" applyAlignment="1">
      <alignment horizontal="center" vertical="center" wrapText="1"/>
    </xf>
    <xf numFmtId="0" fontId="8" fillId="9" borderId="5" xfId="0" applyFont="1" applyFill="1" applyBorder="1" applyAlignment="1">
      <alignment horizontal="center" vertical="center"/>
    </xf>
    <xf numFmtId="0" fontId="8" fillId="9" borderId="0" xfId="0" applyFont="1" applyFill="1" applyAlignment="1">
      <alignment horizontal="center" vertical="center"/>
    </xf>
    <xf numFmtId="0" fontId="8" fillId="9" borderId="294" xfId="0" applyFont="1" applyFill="1" applyBorder="1" applyAlignment="1">
      <alignment horizontal="center" vertical="center"/>
    </xf>
    <xf numFmtId="0" fontId="169" fillId="3" borderId="382" xfId="0" applyFont="1" applyFill="1" applyBorder="1" applyAlignment="1">
      <alignment horizontal="right" vertical="center"/>
    </xf>
    <xf numFmtId="0" fontId="169" fillId="3" borderId="299" xfId="0" applyFont="1" applyFill="1" applyBorder="1" applyAlignment="1">
      <alignment horizontal="right" vertical="center"/>
    </xf>
    <xf numFmtId="0" fontId="44" fillId="3" borderId="382" xfId="0" applyFont="1" applyFill="1" applyBorder="1" applyAlignment="1">
      <alignment horizontal="right" vertical="center"/>
    </xf>
    <xf numFmtId="0" fontId="44" fillId="3" borderId="299" xfId="0" applyFont="1" applyFill="1" applyBorder="1" applyAlignment="1">
      <alignment horizontal="right" vertical="center"/>
    </xf>
    <xf numFmtId="0" fontId="56" fillId="3" borderId="382" xfId="0" applyFont="1" applyFill="1" applyBorder="1" applyAlignment="1">
      <alignment horizontal="center" vertical="center" wrapText="1"/>
    </xf>
    <xf numFmtId="0" fontId="56" fillId="3" borderId="299" xfId="0" applyFont="1" applyFill="1" applyBorder="1" applyAlignment="1">
      <alignment horizontal="center" vertical="center" wrapText="1"/>
    </xf>
    <xf numFmtId="0" fontId="56" fillId="3" borderId="383" xfId="0" applyFont="1" applyFill="1" applyBorder="1" applyAlignment="1">
      <alignment horizontal="center" vertical="center" wrapText="1"/>
    </xf>
    <xf numFmtId="0" fontId="56" fillId="3" borderId="358" xfId="0" applyFont="1" applyFill="1" applyBorder="1" applyAlignment="1">
      <alignment horizontal="center" vertical="center" wrapText="1"/>
    </xf>
    <xf numFmtId="0" fontId="56" fillId="3" borderId="1" xfId="0" applyFont="1" applyFill="1" applyBorder="1" applyAlignment="1">
      <alignment horizontal="center" vertical="center" wrapText="1"/>
    </xf>
    <xf numFmtId="0" fontId="56" fillId="3" borderId="60" xfId="0" applyFont="1" applyFill="1" applyBorder="1" applyAlignment="1">
      <alignment horizontal="center" vertical="center" wrapText="1"/>
    </xf>
    <xf numFmtId="0" fontId="81" fillId="13" borderId="146" xfId="2" applyFont="1" applyFill="1" applyBorder="1" applyAlignment="1">
      <alignment horizontal="center" vertical="center" wrapText="1"/>
    </xf>
    <xf numFmtId="0" fontId="81" fillId="13" borderId="359" xfId="2" applyFont="1" applyFill="1" applyBorder="1" applyAlignment="1">
      <alignment horizontal="center" vertical="center" wrapText="1"/>
    </xf>
    <xf numFmtId="0" fontId="81" fillId="13" borderId="148" xfId="2" applyFont="1" applyFill="1" applyBorder="1" applyAlignment="1">
      <alignment horizontal="center" vertical="center" wrapText="1"/>
    </xf>
    <xf numFmtId="0" fontId="312" fillId="12" borderId="52" xfId="0" applyFont="1" applyFill="1" applyBorder="1" applyAlignment="1">
      <alignment horizontal="center" vertical="center"/>
    </xf>
    <xf numFmtId="0" fontId="312" fillId="12" borderId="41" xfId="0" applyFont="1" applyFill="1" applyBorder="1" applyAlignment="1">
      <alignment horizontal="center" vertical="center"/>
    </xf>
    <xf numFmtId="0" fontId="312" fillId="12" borderId="105" xfId="0" applyFont="1" applyFill="1" applyBorder="1" applyAlignment="1">
      <alignment horizontal="center" vertical="center"/>
    </xf>
    <xf numFmtId="0" fontId="312" fillId="12" borderId="53" xfId="0" applyFont="1" applyFill="1" applyBorder="1" applyAlignment="1">
      <alignment horizontal="center" vertical="center"/>
    </xf>
    <xf numFmtId="0" fontId="312" fillId="12" borderId="54" xfId="0" applyFont="1" applyFill="1" applyBorder="1" applyAlignment="1">
      <alignment horizontal="center" vertical="center"/>
    </xf>
    <xf numFmtId="0" fontId="312" fillId="12" borderId="106" xfId="0" applyFont="1" applyFill="1" applyBorder="1" applyAlignment="1">
      <alignment horizontal="center" vertical="center"/>
    </xf>
    <xf numFmtId="0" fontId="8" fillId="9" borderId="354" xfId="0" applyFont="1" applyFill="1" applyBorder="1" applyAlignment="1">
      <alignment horizontal="center" vertical="center"/>
    </xf>
    <xf numFmtId="0" fontId="8" fillId="9" borderId="299" xfId="0" applyFont="1" applyFill="1" applyBorder="1" applyAlignment="1">
      <alignment horizontal="center" vertical="center"/>
    </xf>
    <xf numFmtId="0" fontId="8" fillId="9" borderId="300" xfId="0" applyFont="1" applyFill="1" applyBorder="1" applyAlignment="1">
      <alignment horizontal="center" vertical="center"/>
    </xf>
    <xf numFmtId="0" fontId="8" fillId="6" borderId="0" xfId="0" applyFont="1" applyFill="1" applyAlignment="1">
      <alignment horizontal="center" vertical="center"/>
    </xf>
    <xf numFmtId="0" fontId="8" fillId="6" borderId="301" xfId="0" applyFont="1" applyFill="1" applyBorder="1" applyAlignment="1">
      <alignment horizontal="center" vertical="center"/>
    </xf>
    <xf numFmtId="0" fontId="44" fillId="3" borderId="0" xfId="0" applyFont="1" applyFill="1" applyAlignment="1">
      <alignment horizontal="right" vertical="center"/>
    </xf>
    <xf numFmtId="0" fontId="79" fillId="15" borderId="5" xfId="4" applyFont="1" applyFill="1" applyBorder="1" applyAlignment="1">
      <alignment horizontal="center" vertical="center"/>
    </xf>
    <xf numFmtId="0" fontId="79" fillId="15" borderId="32" xfId="4" applyFont="1" applyFill="1" applyBorder="1" applyAlignment="1">
      <alignment horizontal="center" vertical="center"/>
    </xf>
    <xf numFmtId="0" fontId="79" fillId="15" borderId="0" xfId="4" applyFont="1" applyFill="1" applyAlignment="1">
      <alignment horizontal="center" vertical="center"/>
    </xf>
    <xf numFmtId="0" fontId="79" fillId="15" borderId="33" xfId="4" applyFont="1" applyFill="1" applyBorder="1" applyAlignment="1">
      <alignment horizontal="center" vertical="center"/>
    </xf>
    <xf numFmtId="0" fontId="79" fillId="15" borderId="294" xfId="4" applyFont="1" applyFill="1" applyBorder="1" applyAlignment="1">
      <alignment horizontal="center" vertical="center"/>
    </xf>
    <xf numFmtId="0" fontId="79" fillId="15" borderId="34" xfId="4" applyFont="1" applyFill="1" applyBorder="1" applyAlignment="1">
      <alignment horizontal="center" vertical="center"/>
    </xf>
    <xf numFmtId="171" fontId="61" fillId="3" borderId="29" xfId="2" applyNumberFormat="1" applyFont="1" applyFill="1" applyBorder="1" applyAlignment="1">
      <alignment horizontal="center" vertical="center"/>
    </xf>
    <xf numFmtId="171" fontId="61" fillId="3" borderId="30" xfId="2" applyNumberFormat="1" applyFont="1" applyFill="1" applyBorder="1" applyAlignment="1">
      <alignment horizontal="center" vertical="center"/>
    </xf>
    <xf numFmtId="171" fontId="61" fillId="3" borderId="31" xfId="2" applyNumberFormat="1" applyFont="1" applyFill="1" applyBorder="1" applyAlignment="1">
      <alignment horizontal="center" vertical="center"/>
    </xf>
    <xf numFmtId="171" fontId="1" fillId="3" borderId="35" xfId="2" applyNumberFormat="1" applyFont="1" applyFill="1" applyBorder="1" applyAlignment="1">
      <alignment horizontal="center" vertical="center"/>
    </xf>
    <xf numFmtId="171" fontId="1" fillId="3" borderId="390" xfId="2" applyNumberFormat="1" applyFont="1" applyFill="1" applyBorder="1" applyAlignment="1">
      <alignment horizontal="center" vertical="center"/>
    </xf>
    <xf numFmtId="171" fontId="1" fillId="3" borderId="355" xfId="2" applyNumberFormat="1" applyFont="1" applyFill="1" applyBorder="1" applyAlignment="1">
      <alignment horizontal="center" vertical="center"/>
    </xf>
    <xf numFmtId="174" fontId="293" fillId="24" borderId="154" xfId="4" applyNumberFormat="1" applyFont="1" applyFill="1" applyBorder="1" applyAlignment="1">
      <alignment horizontal="right" vertical="center"/>
    </xf>
    <xf numFmtId="174" fontId="293" fillId="24" borderId="310" xfId="4" applyNumberFormat="1" applyFont="1" applyFill="1" applyBorder="1" applyAlignment="1">
      <alignment horizontal="right" vertical="center"/>
    </xf>
    <xf numFmtId="0" fontId="91" fillId="24" borderId="155" xfId="2" applyFont="1" applyFill="1" applyBorder="1" applyAlignment="1">
      <alignment horizontal="center" vertical="center"/>
    </xf>
    <xf numFmtId="0" fontId="91" fillId="24" borderId="303" xfId="2" applyFont="1" applyFill="1" applyBorder="1" applyAlignment="1">
      <alignment horizontal="center" vertical="center"/>
    </xf>
    <xf numFmtId="0" fontId="143" fillId="24" borderId="155" xfId="2" applyFont="1" applyFill="1" applyBorder="1" applyAlignment="1">
      <alignment horizontal="right" vertical="center"/>
    </xf>
    <xf numFmtId="0" fontId="143" fillId="24" borderId="303" xfId="2" applyFont="1" applyFill="1" applyBorder="1" applyAlignment="1">
      <alignment horizontal="right" vertical="center"/>
    </xf>
    <xf numFmtId="170" fontId="91" fillId="24" borderId="156" xfId="2" applyNumberFormat="1" applyFont="1" applyFill="1" applyBorder="1" applyAlignment="1">
      <alignment horizontal="center" vertical="center"/>
    </xf>
    <xf numFmtId="170" fontId="91" fillId="24" borderId="305" xfId="2" applyNumberFormat="1" applyFont="1" applyFill="1" applyBorder="1" applyAlignment="1">
      <alignment horizontal="center" vertical="center"/>
    </xf>
    <xf numFmtId="0" fontId="81" fillId="13" borderId="358" xfId="2" applyFont="1" applyFill="1" applyBorder="1" applyAlignment="1">
      <alignment horizontal="center" vertical="center"/>
    </xf>
    <xf numFmtId="0" fontId="81" fillId="13" borderId="1" xfId="2" applyFont="1" applyFill="1" applyBorder="1" applyAlignment="1">
      <alignment horizontal="center" vertical="center"/>
    </xf>
    <xf numFmtId="0" fontId="81" fillId="13" borderId="60" xfId="2" applyFont="1" applyFill="1" applyBorder="1" applyAlignment="1">
      <alignment horizontal="center" vertical="center"/>
    </xf>
    <xf numFmtId="171" fontId="4" fillId="0" borderId="294" xfId="2" applyNumberFormat="1" applyBorder="1" applyAlignment="1">
      <alignment horizontal="center" vertical="center"/>
    </xf>
    <xf numFmtId="171" fontId="136" fillId="15" borderId="150" xfId="4" applyNumberFormat="1" applyFont="1" applyFill="1" applyBorder="1" applyAlignment="1">
      <alignment horizontal="center" vertical="center"/>
    </xf>
    <xf numFmtId="171" fontId="136" fillId="15" borderId="5" xfId="4" applyNumberFormat="1" applyFont="1" applyFill="1" applyBorder="1" applyAlignment="1">
      <alignment horizontal="center" vertical="center"/>
    </xf>
    <xf numFmtId="171" fontId="136" fillId="15" borderId="151" xfId="4" applyNumberFormat="1" applyFont="1" applyFill="1" applyBorder="1" applyAlignment="1">
      <alignment horizontal="center" vertical="center"/>
    </xf>
    <xf numFmtId="171" fontId="136" fillId="15" borderId="0" xfId="4" applyNumberFormat="1" applyFont="1" applyFill="1" applyAlignment="1">
      <alignment horizontal="center" vertical="center"/>
    </xf>
    <xf numFmtId="171" fontId="136" fillId="15" borderId="152" xfId="4" applyNumberFormat="1" applyFont="1" applyFill="1" applyBorder="1" applyAlignment="1">
      <alignment horizontal="center" vertical="center"/>
    </xf>
    <xf numFmtId="171" fontId="136" fillId="15" borderId="294" xfId="4" applyNumberFormat="1" applyFont="1" applyFill="1" applyBorder="1" applyAlignment="1">
      <alignment horizontal="center" vertical="center"/>
    </xf>
    <xf numFmtId="171" fontId="61" fillId="0" borderId="5" xfId="2" applyNumberFormat="1" applyFont="1" applyBorder="1" applyAlignment="1">
      <alignment horizontal="center" vertical="center"/>
    </xf>
    <xf numFmtId="171" fontId="61" fillId="0" borderId="0" xfId="2" applyNumberFormat="1" applyFont="1" applyAlignment="1">
      <alignment horizontal="center" vertical="center"/>
    </xf>
    <xf numFmtId="171" fontId="104" fillId="25" borderId="5" xfId="2" applyNumberFormat="1" applyFont="1" applyFill="1" applyBorder="1" applyAlignment="1" applyProtection="1">
      <alignment horizontal="center" vertical="center"/>
      <protection locked="0"/>
    </xf>
    <xf numFmtId="171" fontId="55" fillId="15" borderId="0" xfId="2" applyNumberFormat="1" applyFont="1" applyFill="1" applyAlignment="1" applyProtection="1">
      <alignment horizontal="center" vertical="center"/>
      <protection locked="0"/>
    </xf>
    <xf numFmtId="176" fontId="104" fillId="25" borderId="294" xfId="2" applyNumberFormat="1" applyFont="1" applyFill="1" applyBorder="1" applyAlignment="1" applyProtection="1">
      <alignment horizontal="center" vertical="center"/>
      <protection locked="0"/>
    </xf>
    <xf numFmtId="0" fontId="7" fillId="3" borderId="57" xfId="1" applyFill="1" applyBorder="1" applyAlignment="1">
      <alignment horizontal="center" vertical="center" wrapText="1"/>
    </xf>
    <xf numFmtId="0" fontId="7" fillId="3" borderId="0" xfId="1" applyFill="1" applyAlignment="1">
      <alignment horizontal="center" vertical="center" wrapText="1"/>
    </xf>
    <xf numFmtId="0" fontId="7" fillId="3" borderId="301" xfId="1" applyFill="1" applyBorder="1" applyAlignment="1">
      <alignment horizontal="center" vertical="center" wrapText="1"/>
    </xf>
    <xf numFmtId="0" fontId="7" fillId="3" borderId="302" xfId="1" applyFill="1" applyBorder="1" applyAlignment="1">
      <alignment horizontal="center" vertical="center" wrapText="1"/>
    </xf>
    <xf numFmtId="0" fontId="7" fillId="3" borderId="303" xfId="1" applyFill="1" applyBorder="1" applyAlignment="1">
      <alignment horizontal="center" vertical="center" wrapText="1"/>
    </xf>
    <xf numFmtId="0" fontId="7" fillId="3" borderId="304" xfId="1" applyFill="1" applyBorder="1" applyAlignment="1">
      <alignment horizontal="center" vertical="center" wrapText="1"/>
    </xf>
    <xf numFmtId="174" fontId="74" fillId="0" borderId="5" xfId="4" applyNumberFormat="1" applyFont="1" applyBorder="1" applyAlignment="1">
      <alignment horizontal="center" vertical="center"/>
    </xf>
    <xf numFmtId="174" fontId="74" fillId="0" borderId="0" xfId="4" applyNumberFormat="1" applyFont="1" applyAlignment="1">
      <alignment horizontal="center" vertical="center"/>
    </xf>
    <xf numFmtId="174" fontId="74" fillId="0" borderId="26" xfId="4" applyNumberFormat="1" applyFont="1" applyBorder="1" applyAlignment="1">
      <alignment horizontal="center" vertical="center"/>
    </xf>
    <xf numFmtId="174" fontId="74" fillId="0" borderId="27" xfId="4" applyNumberFormat="1" applyFont="1" applyBorder="1" applyAlignment="1">
      <alignment horizontal="center" vertical="center"/>
    </xf>
    <xf numFmtId="175" fontId="75" fillId="24" borderId="0" xfId="2" applyNumberFormat="1" applyFont="1" applyFill="1" applyAlignment="1" applyProtection="1">
      <alignment horizontal="right" vertical="center" wrapText="1"/>
      <protection locked="0"/>
    </xf>
    <xf numFmtId="175" fontId="75" fillId="24" borderId="27" xfId="2" applyNumberFormat="1" applyFont="1" applyFill="1" applyBorder="1" applyAlignment="1" applyProtection="1">
      <alignment horizontal="right" vertical="center" wrapText="1"/>
      <protection locked="0"/>
    </xf>
    <xf numFmtId="2" fontId="18" fillId="24" borderId="294" xfId="4" applyNumberFormat="1" applyFont="1" applyFill="1" applyBorder="1" applyAlignment="1">
      <alignment horizontal="center" vertical="center"/>
    </xf>
    <xf numFmtId="2" fontId="18" fillId="24" borderId="28" xfId="4" applyNumberFormat="1" applyFont="1" applyFill="1" applyBorder="1" applyAlignment="1">
      <alignment horizontal="center" vertical="center"/>
    </xf>
    <xf numFmtId="0" fontId="7" fillId="3" borderId="0" xfId="1" applyFill="1" applyAlignment="1">
      <alignment horizontal="left" vertical="center"/>
    </xf>
    <xf numFmtId="0" fontId="7" fillId="3" borderId="301" xfId="1" applyFill="1" applyBorder="1" applyAlignment="1">
      <alignment horizontal="left" vertical="center"/>
    </xf>
    <xf numFmtId="0" fontId="7" fillId="3" borderId="358" xfId="1" applyFill="1" applyBorder="1" applyAlignment="1">
      <alignment horizontal="center" vertical="center"/>
    </xf>
    <xf numFmtId="0" fontId="7" fillId="3" borderId="1" xfId="1" applyFill="1" applyBorder="1" applyAlignment="1">
      <alignment horizontal="center" vertical="center"/>
    </xf>
    <xf numFmtId="0" fontId="70" fillId="3" borderId="5" xfId="1" applyFont="1" applyFill="1" applyBorder="1" applyAlignment="1">
      <alignment horizontal="center" vertical="center"/>
    </xf>
    <xf numFmtId="0" fontId="70" fillId="3" borderId="0" xfId="1" applyFont="1" applyFill="1" applyAlignment="1">
      <alignment horizontal="center" vertical="center"/>
    </xf>
    <xf numFmtId="0" fontId="7" fillId="3" borderId="5" xfId="1" applyFill="1" applyBorder="1" applyAlignment="1">
      <alignment horizontal="center" vertical="center"/>
    </xf>
    <xf numFmtId="0" fontId="7" fillId="3" borderId="0" xfId="1" applyFill="1" applyAlignment="1">
      <alignment horizontal="center" vertical="center"/>
    </xf>
    <xf numFmtId="0" fontId="6" fillId="0" borderId="382" xfId="0" applyFont="1" applyBorder="1" applyAlignment="1">
      <alignment horizontal="center" vertical="center"/>
    </xf>
    <xf numFmtId="0" fontId="6" fillId="0" borderId="299" xfId="0" applyFont="1" applyBorder="1" applyAlignment="1">
      <alignment horizontal="center" vertical="center"/>
    </xf>
    <xf numFmtId="0" fontId="6" fillId="0" borderId="383" xfId="0" applyFont="1" applyBorder="1" applyAlignment="1">
      <alignment horizontal="center" vertical="center"/>
    </xf>
    <xf numFmtId="49" fontId="21" fillId="0" borderId="146" xfId="5" applyNumberFormat="1" applyFont="1" applyBorder="1" applyAlignment="1">
      <alignment horizontal="center" vertical="center"/>
    </xf>
    <xf numFmtId="49" fontId="21" fillId="0" borderId="359" xfId="5" applyNumberFormat="1" applyFont="1" applyBorder="1" applyAlignment="1">
      <alignment horizontal="center" vertical="center"/>
    </xf>
    <xf numFmtId="49" fontId="21" fillId="0" borderId="148" xfId="5" applyNumberFormat="1" applyFont="1" applyBorder="1" applyAlignment="1">
      <alignment horizontal="center" vertical="center"/>
    </xf>
    <xf numFmtId="0" fontId="289" fillId="4" borderId="389" xfId="21" applyFont="1" applyFill="1" applyBorder="1" applyAlignment="1" applyProtection="1">
      <alignment horizontal="center" vertical="center" wrapText="1"/>
      <protection locked="0"/>
    </xf>
    <xf numFmtId="0" fontId="289" fillId="4" borderId="163" xfId="21" applyFont="1" applyFill="1" applyBorder="1" applyAlignment="1" applyProtection="1">
      <alignment horizontal="center" vertical="center" wrapText="1"/>
      <protection locked="0"/>
    </xf>
    <xf numFmtId="0" fontId="289" fillId="4" borderId="162" xfId="21" applyFont="1" applyFill="1" applyBorder="1" applyAlignment="1" applyProtection="1">
      <alignment horizontal="center" vertical="center" wrapText="1"/>
      <protection locked="0"/>
    </xf>
    <xf numFmtId="0" fontId="70" fillId="4" borderId="354" xfId="1" applyFont="1" applyFill="1" applyBorder="1" applyAlignment="1">
      <alignment horizontal="center" vertical="center"/>
    </xf>
    <xf numFmtId="0" fontId="70" fillId="4" borderId="299" xfId="1" applyFont="1" applyFill="1" applyBorder="1" applyAlignment="1">
      <alignment horizontal="center" vertical="center"/>
    </xf>
    <xf numFmtId="0" fontId="70" fillId="4" borderId="300" xfId="1" applyFont="1" applyFill="1" applyBorder="1" applyAlignment="1">
      <alignment horizontal="center" vertical="center"/>
    </xf>
    <xf numFmtId="0" fontId="70" fillId="4" borderId="57" xfId="1" applyFont="1" applyFill="1" applyBorder="1" applyAlignment="1">
      <alignment horizontal="center" vertical="center"/>
    </xf>
    <xf numFmtId="0" fontId="70" fillId="4" borderId="0" xfId="1" applyFont="1" applyFill="1" applyAlignment="1">
      <alignment horizontal="center" vertical="center"/>
    </xf>
    <xf numFmtId="0" fontId="70" fillId="4" borderId="301" xfId="1" applyFont="1" applyFill="1" applyBorder="1" applyAlignment="1">
      <alignment horizontal="center" vertical="center"/>
    </xf>
    <xf numFmtId="0" fontId="70" fillId="4" borderId="42" xfId="1" applyFont="1" applyFill="1" applyBorder="1" applyAlignment="1">
      <alignment horizontal="center" vertical="center" wrapText="1"/>
    </xf>
    <xf numFmtId="0" fontId="70" fillId="4" borderId="7" xfId="1" applyFont="1" applyFill="1" applyBorder="1" applyAlignment="1">
      <alignment horizontal="center" vertical="center" wrapText="1"/>
    </xf>
    <xf numFmtId="0" fontId="70" fillId="4" borderId="5" xfId="1" applyFont="1" applyFill="1" applyBorder="1" applyAlignment="1">
      <alignment horizontal="center" vertical="center" wrapText="1"/>
    </xf>
    <xf numFmtId="0" fontId="70" fillId="4" borderId="0" xfId="1" applyFont="1" applyFill="1" applyAlignment="1">
      <alignment horizontal="center" vertical="center" wrapText="1"/>
    </xf>
    <xf numFmtId="0" fontId="47" fillId="4" borderId="7" xfId="1" applyFont="1" applyFill="1" applyBorder="1" applyAlignment="1">
      <alignment horizontal="center" vertical="center" wrapText="1"/>
    </xf>
    <xf numFmtId="0" fontId="47" fillId="4" borderId="0" xfId="1" applyFont="1" applyFill="1" applyAlignment="1">
      <alignment horizontal="center" vertical="center" wrapText="1"/>
    </xf>
    <xf numFmtId="0" fontId="73" fillId="4" borderId="7" xfId="1" applyFont="1" applyFill="1" applyBorder="1" applyAlignment="1">
      <alignment horizontal="center" vertical="center" wrapText="1"/>
    </xf>
    <xf numFmtId="0" fontId="73" fillId="4" borderId="0" xfId="1" applyFont="1" applyFill="1" applyAlignment="1">
      <alignment horizontal="center" vertical="center" wrapText="1"/>
    </xf>
    <xf numFmtId="0" fontId="47" fillId="4" borderId="6" xfId="1" applyFont="1" applyFill="1" applyBorder="1" applyAlignment="1">
      <alignment horizontal="center" vertical="center"/>
    </xf>
    <xf numFmtId="0" fontId="47" fillId="4" borderId="294" xfId="1" applyFont="1" applyFill="1" applyBorder="1" applyAlignment="1">
      <alignment horizontal="center" vertical="center"/>
    </xf>
    <xf numFmtId="0" fontId="168" fillId="52" borderId="42" xfId="0" applyFont="1" applyFill="1" applyBorder="1" applyAlignment="1">
      <alignment horizontal="center" vertical="center" wrapText="1"/>
    </xf>
    <xf numFmtId="0" fontId="168" fillId="52" borderId="7" xfId="0" applyFont="1" applyFill="1" applyBorder="1" applyAlignment="1">
      <alignment horizontal="center" vertical="center" wrapText="1"/>
    </xf>
    <xf numFmtId="0" fontId="168" fillId="52" borderId="6" xfId="0" applyFont="1" applyFill="1" applyBorder="1" applyAlignment="1">
      <alignment horizontal="center" vertical="center" wrapText="1"/>
    </xf>
    <xf numFmtId="0" fontId="168" fillId="52" borderId="358" xfId="0" applyFont="1" applyFill="1" applyBorder="1" applyAlignment="1">
      <alignment horizontal="center" vertical="center" wrapText="1"/>
    </xf>
    <xf numFmtId="0" fontId="168" fillId="52" borderId="1" xfId="0" applyFont="1" applyFill="1" applyBorder="1" applyAlignment="1">
      <alignment horizontal="center" vertical="center" wrapText="1"/>
    </xf>
    <xf numFmtId="0" fontId="168" fillId="52" borderId="60" xfId="0" applyFont="1" applyFill="1" applyBorder="1" applyAlignment="1">
      <alignment horizontal="center" vertical="center" wrapText="1"/>
    </xf>
    <xf numFmtId="0" fontId="8" fillId="3" borderId="5" xfId="1" applyFont="1" applyFill="1" applyBorder="1" applyAlignment="1" applyProtection="1">
      <alignment horizontal="center" vertical="center"/>
      <protection hidden="1"/>
    </xf>
    <xf numFmtId="0" fontId="8" fillId="3" borderId="0" xfId="1" applyFont="1" applyFill="1" applyAlignment="1" applyProtection="1">
      <alignment horizontal="center" vertical="center"/>
      <protection hidden="1"/>
    </xf>
    <xf numFmtId="0" fontId="8" fillId="3" borderId="294" xfId="1" applyFont="1" applyFill="1" applyBorder="1" applyAlignment="1" applyProtection="1">
      <alignment horizontal="center" vertical="center"/>
      <protection hidden="1"/>
    </xf>
    <xf numFmtId="49" fontId="4" fillId="3" borderId="111" xfId="2" applyNumberFormat="1" applyFill="1" applyBorder="1" applyAlignment="1">
      <alignment horizontal="center" vertical="center"/>
    </xf>
    <xf numFmtId="49" fontId="4" fillId="3" borderId="112" xfId="2" applyNumberFormat="1" applyFill="1" applyBorder="1" applyAlignment="1">
      <alignment horizontal="center" vertical="center"/>
    </xf>
    <xf numFmtId="49" fontId="4" fillId="3" borderId="113" xfId="2" applyNumberFormat="1" applyFill="1" applyBorder="1" applyAlignment="1">
      <alignment horizontal="center" vertical="center"/>
    </xf>
    <xf numFmtId="49" fontId="34" fillId="0" borderId="5" xfId="2" applyNumberFormat="1" applyFont="1" applyBorder="1" applyAlignment="1">
      <alignment horizontal="center" vertical="center" wrapText="1"/>
    </xf>
    <xf numFmtId="49" fontId="34" fillId="0" borderId="16" xfId="2" applyNumberFormat="1" applyFont="1" applyBorder="1" applyAlignment="1">
      <alignment horizontal="center" vertical="center" wrapText="1"/>
    </xf>
    <xf numFmtId="49" fontId="34" fillId="0" borderId="0" xfId="2" applyNumberFormat="1" applyFont="1" applyAlignment="1">
      <alignment horizontal="center" vertical="center" wrapText="1"/>
    </xf>
    <xf numFmtId="49" fontId="34" fillId="0" borderId="15" xfId="2" applyNumberFormat="1" applyFont="1" applyBorder="1" applyAlignment="1">
      <alignment horizontal="center" vertical="center" wrapText="1"/>
    </xf>
    <xf numFmtId="49" fontId="34" fillId="0" borderId="294" xfId="2" applyNumberFormat="1" applyFont="1" applyBorder="1" applyAlignment="1">
      <alignment horizontal="center" vertical="center" wrapText="1"/>
    </xf>
    <xf numFmtId="49" fontId="34" fillId="0" borderId="14" xfId="2" applyNumberFormat="1" applyFont="1" applyBorder="1" applyAlignment="1">
      <alignment horizontal="center" vertical="center" wrapText="1"/>
    </xf>
    <xf numFmtId="0" fontId="61" fillId="3" borderId="131" xfId="1" applyFont="1" applyFill="1" applyBorder="1" applyAlignment="1" applyProtection="1">
      <alignment horizontal="center" vertical="center"/>
      <protection hidden="1"/>
    </xf>
    <xf numFmtId="0" fontId="61" fillId="3" borderId="58" xfId="1" applyFont="1" applyFill="1" applyBorder="1" applyAlignment="1" applyProtection="1">
      <alignment horizontal="center" vertical="center"/>
      <protection hidden="1"/>
    </xf>
    <xf numFmtId="0" fontId="8" fillId="3" borderId="58" xfId="1" applyFont="1" applyFill="1" applyBorder="1" applyAlignment="1" applyProtection="1">
      <alignment horizontal="center" vertical="center"/>
      <protection hidden="1"/>
    </xf>
    <xf numFmtId="0" fontId="8" fillId="3" borderId="56" xfId="1" applyFont="1" applyFill="1" applyBorder="1" applyAlignment="1" applyProtection="1">
      <alignment horizontal="center" vertical="center"/>
      <protection hidden="1"/>
    </xf>
    <xf numFmtId="190" fontId="172" fillId="2" borderId="5" xfId="1" applyNumberFormat="1" applyFont="1" applyFill="1" applyBorder="1" applyAlignment="1" applyProtection="1">
      <alignment horizontal="center" vertical="center"/>
      <protection hidden="1"/>
    </xf>
    <xf numFmtId="190" fontId="172" fillId="2" borderId="358" xfId="1" applyNumberFormat="1" applyFont="1" applyFill="1" applyBorder="1" applyAlignment="1" applyProtection="1">
      <alignment horizontal="center" vertical="center"/>
      <protection hidden="1"/>
    </xf>
    <xf numFmtId="182" fontId="13" fillId="12" borderId="0" xfId="1" applyNumberFormat="1" applyFont="1" applyFill="1" applyAlignment="1" applyProtection="1">
      <alignment horizontal="center" vertical="center"/>
      <protection hidden="1"/>
    </xf>
    <xf numFmtId="182" fontId="13" fillId="12" borderId="1" xfId="1" applyNumberFormat="1" applyFont="1" applyFill="1" applyBorder="1" applyAlignment="1" applyProtection="1">
      <alignment horizontal="center" vertical="center"/>
      <protection hidden="1"/>
    </xf>
    <xf numFmtId="202" fontId="172" fillId="2" borderId="5" xfId="1" applyNumberFormat="1" applyFont="1" applyFill="1" applyBorder="1" applyAlignment="1" applyProtection="1">
      <alignment horizontal="center" vertical="center"/>
      <protection hidden="1"/>
    </xf>
    <xf numFmtId="202" fontId="172" fillId="2" borderId="358" xfId="1" applyNumberFormat="1" applyFont="1" applyFill="1" applyBorder="1" applyAlignment="1" applyProtection="1">
      <alignment horizontal="center" vertical="center"/>
      <protection hidden="1"/>
    </xf>
    <xf numFmtId="168" fontId="61" fillId="12" borderId="294" xfId="1" applyNumberFormat="1" applyFont="1" applyFill="1" applyBorder="1" applyAlignment="1">
      <alignment horizontal="center" vertical="center"/>
    </xf>
    <xf numFmtId="0" fontId="374" fillId="3" borderId="5" xfId="0" applyFont="1" applyFill="1" applyBorder="1" applyAlignment="1">
      <alignment horizontal="center" vertical="center" wrapText="1"/>
    </xf>
    <xf numFmtId="0" fontId="374" fillId="3" borderId="0" xfId="0" applyFont="1" applyFill="1" applyAlignment="1">
      <alignment horizontal="center" vertical="center" wrapText="1"/>
    </xf>
    <xf numFmtId="0" fontId="374" fillId="3" borderId="294" xfId="0" applyFont="1" applyFill="1" applyBorder="1" applyAlignment="1">
      <alignment horizontal="center" vertical="center" wrapText="1"/>
    </xf>
    <xf numFmtId="49" fontId="35" fillId="13" borderId="42" xfId="1" applyNumberFormat="1" applyFont="1" applyFill="1" applyBorder="1" applyAlignment="1">
      <alignment horizontal="center" vertical="center"/>
    </xf>
    <xf numFmtId="49" fontId="35" fillId="13" borderId="7" xfId="1" applyNumberFormat="1" applyFont="1" applyFill="1" applyBorder="1" applyAlignment="1">
      <alignment horizontal="center" vertical="center"/>
    </xf>
    <xf numFmtId="49" fontId="35" fillId="13" borderId="6" xfId="1" applyNumberFormat="1" applyFont="1" applyFill="1" applyBorder="1" applyAlignment="1">
      <alignment horizontal="center" vertical="center"/>
    </xf>
    <xf numFmtId="0" fontId="373" fillId="3" borderId="5" xfId="0" applyFont="1" applyFill="1" applyBorder="1" applyAlignment="1">
      <alignment horizontal="center" vertical="center" wrapText="1"/>
    </xf>
    <xf numFmtId="0" fontId="373" fillId="3" borderId="0" xfId="0" applyFont="1" applyFill="1" applyAlignment="1">
      <alignment horizontal="center" vertical="center" wrapText="1"/>
    </xf>
    <xf numFmtId="0" fontId="373" fillId="3" borderId="294" xfId="0" applyFont="1" applyFill="1" applyBorder="1" applyAlignment="1">
      <alignment horizontal="center" vertical="center" wrapText="1"/>
    </xf>
    <xf numFmtId="0" fontId="373" fillId="3" borderId="5" xfId="0" applyFont="1" applyFill="1" applyBorder="1" applyAlignment="1">
      <alignment horizontal="center" wrapText="1"/>
    </xf>
    <xf numFmtId="0" fontId="373" fillId="3" borderId="0" xfId="0" applyFont="1" applyFill="1" applyAlignment="1">
      <alignment horizontal="center" wrapText="1"/>
    </xf>
    <xf numFmtId="0" fontId="373" fillId="3" borderId="294" xfId="0" applyFont="1" applyFill="1" applyBorder="1" applyAlignment="1">
      <alignment horizontal="center" wrapText="1"/>
    </xf>
    <xf numFmtId="0" fontId="373" fillId="3" borderId="5" xfId="0" applyFont="1" applyFill="1" applyBorder="1" applyAlignment="1">
      <alignment horizontal="left" wrapText="1"/>
    </xf>
    <xf numFmtId="0" fontId="373" fillId="3" borderId="0" xfId="0" applyFont="1" applyFill="1" applyAlignment="1">
      <alignment horizontal="left" wrapText="1"/>
    </xf>
    <xf numFmtId="0" fontId="373" fillId="3" borderId="294" xfId="0" applyFont="1" applyFill="1" applyBorder="1" applyAlignment="1">
      <alignment horizontal="left" wrapText="1"/>
    </xf>
    <xf numFmtId="0" fontId="61" fillId="22" borderId="5" xfId="1" applyFont="1" applyFill="1" applyBorder="1" applyAlignment="1">
      <alignment horizontal="right" vertical="center"/>
    </xf>
    <xf numFmtId="0" fontId="61" fillId="22" borderId="0" xfId="1" applyFont="1" applyFill="1" applyAlignment="1">
      <alignment horizontal="right" vertical="center"/>
    </xf>
    <xf numFmtId="0" fontId="159" fillId="22" borderId="0" xfId="1" applyFont="1" applyFill="1" applyAlignment="1">
      <alignment horizontal="center" vertical="center"/>
    </xf>
    <xf numFmtId="0" fontId="61" fillId="22" borderId="0" xfId="1" applyFont="1" applyFill="1" applyAlignment="1">
      <alignment horizontal="center" vertical="center"/>
    </xf>
    <xf numFmtId="0" fontId="61" fillId="22" borderId="0" xfId="1" quotePrefix="1" applyFont="1" applyFill="1" applyAlignment="1">
      <alignment horizontal="center" vertical="center" wrapText="1"/>
    </xf>
    <xf numFmtId="0" fontId="61" fillId="12" borderId="0" xfId="1" applyFont="1" applyFill="1" applyAlignment="1">
      <alignment horizontal="center" vertical="center"/>
    </xf>
    <xf numFmtId="0" fontId="169" fillId="3" borderId="0" xfId="1" applyFont="1" applyFill="1" applyAlignment="1">
      <alignment horizontal="center" vertical="center" wrapText="1"/>
    </xf>
    <xf numFmtId="0" fontId="169" fillId="3" borderId="58" xfId="1" applyFont="1" applyFill="1" applyBorder="1" applyAlignment="1">
      <alignment horizontal="center" vertical="center" wrapText="1"/>
    </xf>
    <xf numFmtId="0" fontId="371" fillId="3" borderId="0" xfId="0" applyFont="1" applyFill="1" applyAlignment="1">
      <alignment horizontal="left" vertical="center" wrapText="1"/>
    </xf>
    <xf numFmtId="0" fontId="56" fillId="3" borderId="101" xfId="0" applyFont="1" applyFill="1" applyBorder="1" applyAlignment="1">
      <alignment horizontal="center" vertical="center" wrapText="1"/>
    </xf>
    <xf numFmtId="0" fontId="35" fillId="13" borderId="42" xfId="1" applyFont="1" applyFill="1" applyBorder="1" applyAlignment="1">
      <alignment horizontal="center"/>
    </xf>
    <xf numFmtId="0" fontId="35" fillId="13" borderId="7" xfId="1" applyFont="1" applyFill="1" applyBorder="1" applyAlignment="1">
      <alignment horizontal="center"/>
    </xf>
    <xf numFmtId="0" fontId="35" fillId="13" borderId="6" xfId="1" applyFont="1" applyFill="1" applyBorder="1" applyAlignment="1">
      <alignment horizontal="center"/>
    </xf>
    <xf numFmtId="0" fontId="35" fillId="13" borderId="5" xfId="1" applyFont="1" applyFill="1" applyBorder="1" applyAlignment="1">
      <alignment horizontal="center"/>
    </xf>
    <xf numFmtId="0" fontId="35" fillId="13" borderId="0" xfId="1" applyFont="1" applyFill="1" applyAlignment="1">
      <alignment horizontal="center"/>
    </xf>
    <xf numFmtId="0" fontId="35" fillId="13" borderId="294" xfId="1" applyFont="1" applyFill="1" applyBorder="1" applyAlignment="1">
      <alignment horizontal="center"/>
    </xf>
    <xf numFmtId="211" fontId="364" fillId="5" borderId="0" xfId="1" applyNumberFormat="1" applyFont="1" applyFill="1" applyAlignment="1">
      <alignment horizontal="center" vertical="center"/>
    </xf>
    <xf numFmtId="165" fontId="345" fillId="11" borderId="0" xfId="1" applyNumberFormat="1" applyFont="1" applyFill="1" applyAlignment="1">
      <alignment horizontal="center" vertical="center"/>
    </xf>
    <xf numFmtId="165" fontId="12" fillId="11" borderId="0" xfId="1" applyNumberFormat="1" applyFont="1" applyFill="1" applyAlignment="1">
      <alignment horizontal="center" vertical="center"/>
    </xf>
    <xf numFmtId="0" fontId="330" fillId="12" borderId="0" xfId="1" applyFont="1" applyFill="1" applyAlignment="1">
      <alignment horizontal="center" vertical="center"/>
    </xf>
    <xf numFmtId="2" fontId="24" fillId="62" borderId="0" xfId="1" applyNumberFormat="1" applyFont="1" applyFill="1" applyAlignment="1" applyProtection="1">
      <alignment horizontal="left" vertical="center" wrapText="1"/>
      <protection locked="0"/>
    </xf>
    <xf numFmtId="0" fontId="360" fillId="3" borderId="18" xfId="1" applyFont="1" applyFill="1" applyBorder="1" applyAlignment="1">
      <alignment horizontal="center" vertical="center"/>
    </xf>
    <xf numFmtId="0" fontId="67" fillId="3" borderId="0" xfId="1" applyFont="1" applyFill="1" applyAlignment="1">
      <alignment horizontal="right" vertical="center"/>
    </xf>
    <xf numFmtId="0" fontId="364" fillId="5" borderId="0" xfId="1" applyFont="1" applyFill="1" applyAlignment="1">
      <alignment horizontal="center" vertical="center"/>
    </xf>
    <xf numFmtId="210" fontId="364" fillId="5" borderId="0" xfId="32" applyNumberFormat="1" applyFont="1" applyFill="1" applyAlignment="1">
      <alignment horizontal="center" vertical="center"/>
    </xf>
    <xf numFmtId="210" fontId="364" fillId="5" borderId="0" xfId="1" applyNumberFormat="1" applyFont="1" applyFill="1" applyAlignment="1">
      <alignment horizontal="center" vertical="center"/>
    </xf>
    <xf numFmtId="0" fontId="364" fillId="3" borderId="18" xfId="1" applyFont="1" applyFill="1" applyBorder="1" applyAlignment="1">
      <alignment horizontal="center" vertical="center"/>
    </xf>
    <xf numFmtId="2" fontId="366" fillId="62" borderId="0" xfId="1" applyNumberFormat="1" applyFont="1" applyFill="1" applyAlignment="1" applyProtection="1">
      <alignment horizontal="center" vertical="center" wrapText="1"/>
      <protection locked="0"/>
    </xf>
    <xf numFmtId="0" fontId="24" fillId="3" borderId="0" xfId="32" applyFont="1" applyFill="1" applyAlignment="1">
      <alignment horizontal="center" vertical="center" wrapText="1"/>
    </xf>
    <xf numFmtId="0" fontId="370" fillId="3" borderId="0" xfId="32" applyFont="1" applyFill="1" applyAlignment="1">
      <alignment horizontal="center" vertical="center" wrapText="1"/>
    </xf>
    <xf numFmtId="0" fontId="32" fillId="11" borderId="0" xfId="1" applyFont="1" applyFill="1" applyAlignment="1">
      <alignment horizontal="center" vertical="center"/>
    </xf>
    <xf numFmtId="210" fontId="12" fillId="11" borderId="0" xfId="32" applyNumberFormat="1" applyFont="1" applyFill="1" applyAlignment="1">
      <alignment horizontal="center" vertical="center"/>
    </xf>
    <xf numFmtId="210" fontId="12" fillId="11" borderId="0" xfId="1" applyNumberFormat="1" applyFont="1" applyFill="1" applyAlignment="1">
      <alignment horizontal="center" vertical="center"/>
    </xf>
    <xf numFmtId="211" fontId="12" fillId="11" borderId="0" xfId="1" applyNumberFormat="1" applyFont="1" applyFill="1" applyAlignment="1">
      <alignment horizontal="center" vertical="center"/>
    </xf>
    <xf numFmtId="0" fontId="369" fillId="3" borderId="0" xfId="32" applyFont="1" applyFill="1" applyAlignment="1">
      <alignment horizontal="center" vertical="center" wrapText="1"/>
    </xf>
    <xf numFmtId="0" fontId="354" fillId="3" borderId="0" xfId="32" applyFont="1" applyFill="1" applyAlignment="1">
      <alignment horizontal="center" vertical="center" wrapText="1"/>
    </xf>
    <xf numFmtId="165" fontId="30" fillId="12" borderId="0" xfId="1" applyNumberFormat="1" applyFont="1" applyFill="1" applyAlignment="1">
      <alignment horizontal="center" vertical="center"/>
    </xf>
    <xf numFmtId="165" fontId="11" fillId="12" borderId="0" xfId="1" applyNumberFormat="1" applyFont="1" applyFill="1" applyAlignment="1">
      <alignment horizontal="center" vertical="center"/>
    </xf>
    <xf numFmtId="0" fontId="56" fillId="3" borderId="5" xfId="0" applyFont="1" applyFill="1" applyBorder="1" applyAlignment="1">
      <alignment horizontal="center" vertical="center" wrapText="1"/>
    </xf>
    <xf numFmtId="0" fontId="56" fillId="3" borderId="0" xfId="0" applyFont="1" applyFill="1" applyAlignment="1">
      <alignment horizontal="center" vertical="center" wrapText="1"/>
    </xf>
    <xf numFmtId="0" fontId="56" fillId="3" borderId="294" xfId="0" applyFont="1" applyFill="1" applyBorder="1" applyAlignment="1">
      <alignment horizontal="center" vertical="center" wrapText="1"/>
    </xf>
    <xf numFmtId="0" fontId="54" fillId="13" borderId="7" xfId="0" applyFont="1" applyFill="1" applyBorder="1" applyAlignment="1">
      <alignment horizontal="center" vertical="center" wrapText="1"/>
    </xf>
    <xf numFmtId="0" fontId="54" fillId="13" borderId="6" xfId="0" applyFont="1" applyFill="1" applyBorder="1" applyAlignment="1">
      <alignment horizontal="center" vertical="center" wrapText="1"/>
    </xf>
    <xf numFmtId="0" fontId="54" fillId="13" borderId="0" xfId="0" applyFont="1" applyFill="1" applyAlignment="1">
      <alignment horizontal="center" vertical="center" wrapText="1"/>
    </xf>
    <xf numFmtId="0" fontId="54" fillId="13" borderId="294" xfId="0" applyFont="1" applyFill="1" applyBorder="1" applyAlignment="1">
      <alignment horizontal="center" vertical="center" wrapText="1"/>
    </xf>
    <xf numFmtId="0" fontId="356" fillId="3" borderId="0" xfId="0" applyFont="1" applyFill="1" applyAlignment="1">
      <alignment horizontal="center" vertical="center" wrapText="1"/>
    </xf>
    <xf numFmtId="0" fontId="32" fillId="11" borderId="0" xfId="0" applyFont="1" applyFill="1" applyAlignment="1">
      <alignment horizontal="center" vertical="center" wrapText="1"/>
    </xf>
    <xf numFmtId="0" fontId="355" fillId="3" borderId="0" xfId="0" applyFont="1" applyFill="1" applyAlignment="1">
      <alignment horizontal="center" vertical="center" wrapText="1"/>
    </xf>
    <xf numFmtId="0" fontId="355" fillId="3" borderId="89" xfId="0" applyFont="1" applyFill="1" applyBorder="1" applyAlignment="1">
      <alignment horizontal="center" vertical="center" wrapText="1"/>
    </xf>
    <xf numFmtId="0" fontId="71" fillId="3" borderId="18" xfId="1" applyFont="1" applyFill="1" applyBorder="1" applyAlignment="1">
      <alignment horizontal="center" vertical="center"/>
    </xf>
    <xf numFmtId="0" fontId="1" fillId="3" borderId="5" xfId="0" applyFont="1" applyFill="1" applyBorder="1" applyAlignment="1">
      <alignment horizontal="right" vertical="center"/>
    </xf>
    <xf numFmtId="0" fontId="1" fillId="3" borderId="0" xfId="0" applyFont="1" applyFill="1" applyAlignment="1">
      <alignment horizontal="right" vertical="center"/>
    </xf>
    <xf numFmtId="0" fontId="1" fillId="3" borderId="44" xfId="0" applyFont="1" applyFill="1" applyBorder="1" applyAlignment="1">
      <alignment horizontal="right" vertical="center"/>
    </xf>
    <xf numFmtId="0" fontId="1" fillId="3" borderId="20" xfId="0" applyFont="1" applyFill="1" applyBorder="1" applyAlignment="1">
      <alignment horizontal="right" vertical="center"/>
    </xf>
    <xf numFmtId="0" fontId="353" fillId="0" borderId="5" xfId="1" applyFont="1" applyBorder="1" applyAlignment="1">
      <alignment horizontal="center" vertical="center"/>
    </xf>
    <xf numFmtId="0" fontId="353" fillId="0" borderId="0" xfId="1" applyFont="1" applyAlignment="1">
      <alignment horizontal="center" vertical="center"/>
    </xf>
    <xf numFmtId="0" fontId="353" fillId="0" borderId="294" xfId="1" applyFont="1" applyBorder="1" applyAlignment="1">
      <alignment horizontal="center" vertical="center"/>
    </xf>
    <xf numFmtId="0" fontId="157" fillId="3" borderId="0" xfId="1" applyFont="1" applyFill="1" applyAlignment="1">
      <alignment horizontal="left" vertical="center" wrapText="1"/>
    </xf>
    <xf numFmtId="0" fontId="157" fillId="3" borderId="294" xfId="1" applyFont="1" applyFill="1" applyBorder="1" applyAlignment="1">
      <alignment horizontal="left" vertical="center" wrapText="1"/>
    </xf>
    <xf numFmtId="0" fontId="352" fillId="3" borderId="5" xfId="1" applyFont="1" applyFill="1" applyBorder="1" applyAlignment="1">
      <alignment horizontal="center" vertical="center"/>
    </xf>
    <xf numFmtId="0" fontId="15" fillId="3" borderId="0" xfId="1" applyFont="1" applyFill="1" applyAlignment="1">
      <alignment horizontal="left" vertical="center" wrapText="1"/>
    </xf>
    <xf numFmtId="0" fontId="15" fillId="3" borderId="294" xfId="1" applyFont="1" applyFill="1" applyBorder="1" applyAlignment="1">
      <alignment horizontal="left" vertical="center" wrapText="1"/>
    </xf>
    <xf numFmtId="0" fontId="56" fillId="0" borderId="5" xfId="0" applyFont="1" applyBorder="1" applyAlignment="1">
      <alignment horizontal="center" wrapText="1"/>
    </xf>
    <xf numFmtId="0" fontId="56" fillId="0" borderId="0" xfId="0" applyFont="1" applyAlignment="1">
      <alignment horizontal="center" wrapText="1"/>
    </xf>
    <xf numFmtId="0" fontId="56" fillId="0" borderId="294" xfId="0" applyFont="1" applyBorder="1" applyAlignment="1">
      <alignment horizontal="center" wrapText="1"/>
    </xf>
    <xf numFmtId="0" fontId="44" fillId="3" borderId="29" xfId="0" applyFont="1" applyFill="1" applyBorder="1" applyAlignment="1">
      <alignment horizontal="center" vertical="center"/>
    </xf>
    <xf numFmtId="0" fontId="44" fillId="3" borderId="30" xfId="0" applyFont="1" applyFill="1" applyBorder="1" applyAlignment="1">
      <alignment horizontal="center" vertical="center"/>
    </xf>
    <xf numFmtId="0" fontId="71" fillId="3" borderId="19" xfId="1" applyFont="1" applyFill="1" applyBorder="1" applyAlignment="1">
      <alignment horizontal="center" vertical="center"/>
    </xf>
    <xf numFmtId="0" fontId="71" fillId="3" borderId="17" xfId="1" applyFont="1" applyFill="1" applyBorder="1" applyAlignment="1">
      <alignment horizontal="center" vertical="center"/>
    </xf>
    <xf numFmtId="0" fontId="352" fillId="7" borderId="5" xfId="1" applyFont="1" applyFill="1" applyBorder="1" applyAlignment="1">
      <alignment horizontal="center" vertical="center"/>
    </xf>
    <xf numFmtId="0" fontId="11" fillId="7" borderId="0" xfId="1" applyFont="1" applyFill="1" applyAlignment="1">
      <alignment horizontal="center" vertical="center"/>
    </xf>
    <xf numFmtId="208" fontId="11" fillId="7" borderId="0" xfId="1" applyNumberFormat="1" applyFont="1" applyFill="1" applyAlignment="1">
      <alignment horizontal="center" vertical="center"/>
    </xf>
    <xf numFmtId="165" fontId="355" fillId="11" borderId="0" xfId="32" applyNumberFormat="1" applyFont="1" applyFill="1" applyAlignment="1">
      <alignment horizontal="center" vertical="center"/>
    </xf>
    <xf numFmtId="194" fontId="30" fillId="31" borderId="294" xfId="1" applyNumberFormat="1" applyFont="1" applyFill="1" applyBorder="1" applyAlignment="1">
      <alignment horizontal="center" vertical="center"/>
    </xf>
    <xf numFmtId="0" fontId="350" fillId="11" borderId="5" xfId="1" applyFont="1" applyFill="1" applyBorder="1" applyAlignment="1">
      <alignment horizontal="center" vertical="center"/>
    </xf>
    <xf numFmtId="208" fontId="12" fillId="11" borderId="0" xfId="1" applyNumberFormat="1" applyFont="1" applyFill="1" applyAlignment="1">
      <alignment horizontal="center" vertical="center"/>
    </xf>
    <xf numFmtId="165" fontId="11" fillId="4" borderId="0" xfId="32" applyNumberFormat="1" applyFont="1" applyFill="1" applyAlignment="1">
      <alignment horizontal="center" vertical="center"/>
    </xf>
    <xf numFmtId="194" fontId="279" fillId="31" borderId="294" xfId="1" applyNumberFormat="1" applyFont="1" applyFill="1" applyBorder="1" applyAlignment="1">
      <alignment horizontal="center" vertical="center"/>
    </xf>
    <xf numFmtId="0" fontId="186" fillId="3" borderId="5" xfId="32" applyFont="1" applyFill="1" applyBorder="1" applyAlignment="1">
      <alignment horizontal="center" vertical="center"/>
    </xf>
    <xf numFmtId="0" fontId="186" fillId="3" borderId="0" xfId="32" applyFont="1" applyFill="1" applyAlignment="1">
      <alignment horizontal="center" vertical="center"/>
    </xf>
    <xf numFmtId="0" fontId="186" fillId="3" borderId="294" xfId="32" applyFont="1" applyFill="1" applyBorder="1" applyAlignment="1">
      <alignment horizontal="center" vertical="center"/>
    </xf>
    <xf numFmtId="0" fontId="347" fillId="3" borderId="5" xfId="1" applyFont="1" applyFill="1" applyBorder="1" applyAlignment="1">
      <alignment horizontal="center" vertical="center" wrapText="1"/>
    </xf>
    <xf numFmtId="0" fontId="347" fillId="3" borderId="0" xfId="1" applyFont="1" applyFill="1" applyAlignment="1">
      <alignment horizontal="center" vertical="center" wrapText="1"/>
    </xf>
    <xf numFmtId="0" fontId="347" fillId="3" borderId="294" xfId="1" applyFont="1" applyFill="1" applyBorder="1" applyAlignment="1">
      <alignment horizontal="center" vertical="center" wrapText="1"/>
    </xf>
    <xf numFmtId="0" fontId="347" fillId="3" borderId="358" xfId="1" applyFont="1" applyFill="1" applyBorder="1" applyAlignment="1">
      <alignment horizontal="center" vertical="center" wrapText="1"/>
    </xf>
    <xf numFmtId="0" fontId="347" fillId="3" borderId="1" xfId="1" applyFont="1" applyFill="1" applyBorder="1" applyAlignment="1">
      <alignment horizontal="center" vertical="center" wrapText="1"/>
    </xf>
    <xf numFmtId="0" fontId="347" fillId="3" borderId="60" xfId="1" applyFont="1" applyFill="1" applyBorder="1" applyAlignment="1">
      <alignment horizontal="center" vertical="center" wrapText="1"/>
    </xf>
    <xf numFmtId="0" fontId="288" fillId="13" borderId="5" xfId="32" applyFont="1" applyFill="1" applyBorder="1" applyAlignment="1">
      <alignment horizontal="center" vertical="center" wrapText="1"/>
    </xf>
    <xf numFmtId="0" fontId="288" fillId="13" borderId="0" xfId="32" applyFont="1" applyFill="1" applyAlignment="1">
      <alignment horizontal="center" vertical="center" wrapText="1"/>
    </xf>
    <xf numFmtId="0" fontId="71" fillId="3" borderId="5" xfId="1" applyFont="1" applyFill="1" applyBorder="1" applyAlignment="1">
      <alignment horizontal="center" vertical="center"/>
    </xf>
    <xf numFmtId="0" fontId="71" fillId="3" borderId="0" xfId="1" applyFont="1" applyFill="1" applyAlignment="1">
      <alignment horizontal="center" vertical="center"/>
    </xf>
    <xf numFmtId="0" fontId="71" fillId="3" borderId="294" xfId="1" applyFont="1" applyFill="1" applyBorder="1" applyAlignment="1">
      <alignment horizontal="center" vertical="center"/>
    </xf>
    <xf numFmtId="0" fontId="46" fillId="3" borderId="0" xfId="32" applyFont="1" applyFill="1" applyAlignment="1">
      <alignment horizontal="center" vertical="center" wrapText="1"/>
    </xf>
    <xf numFmtId="0" fontId="349" fillId="4" borderId="0" xfId="1" applyFont="1" applyFill="1" applyAlignment="1">
      <alignment horizontal="center" vertical="center" wrapText="1"/>
    </xf>
    <xf numFmtId="0" fontId="24" fillId="3" borderId="294" xfId="32" applyFont="1" applyFill="1" applyBorder="1" applyAlignment="1">
      <alignment horizontal="center" vertical="center" wrapText="1"/>
    </xf>
    <xf numFmtId="0" fontId="12" fillId="11" borderId="5" xfId="1" applyFont="1" applyFill="1" applyBorder="1" applyAlignment="1">
      <alignment horizontal="center" vertical="center"/>
    </xf>
    <xf numFmtId="0" fontId="348" fillId="7" borderId="0" xfId="1" applyFont="1" applyFill="1" applyAlignment="1">
      <alignment horizontal="center" vertical="center"/>
    </xf>
    <xf numFmtId="194" fontId="15" fillId="31" borderId="0" xfId="1" applyNumberFormat="1" applyFont="1" applyFill="1" applyAlignment="1">
      <alignment horizontal="center" vertical="center"/>
    </xf>
    <xf numFmtId="194" fontId="15" fillId="31" borderId="294" xfId="1" applyNumberFormat="1" applyFont="1" applyFill="1" applyBorder="1" applyAlignment="1">
      <alignment horizontal="center" vertical="center"/>
    </xf>
    <xf numFmtId="0" fontId="24" fillId="3" borderId="5" xfId="32" applyFont="1" applyFill="1" applyBorder="1" applyAlignment="1">
      <alignment horizontal="center" vertical="center" wrapText="1"/>
    </xf>
    <xf numFmtId="0" fontId="54" fillId="13" borderId="5" xfId="32" applyFont="1" applyFill="1" applyBorder="1" applyAlignment="1">
      <alignment horizontal="center" vertical="center"/>
    </xf>
    <xf numFmtId="0" fontId="54" fillId="13" borderId="0" xfId="32" applyFont="1" applyFill="1" applyAlignment="1">
      <alignment horizontal="center" vertical="center"/>
    </xf>
    <xf numFmtId="0" fontId="54" fillId="13" borderId="294" xfId="32" applyFont="1" applyFill="1" applyBorder="1" applyAlignment="1">
      <alignment horizontal="center" vertical="center"/>
    </xf>
    <xf numFmtId="0" fontId="24" fillId="3" borderId="5" xfId="32" applyFont="1" applyFill="1" applyBorder="1" applyAlignment="1">
      <alignment horizontal="center" vertical="center"/>
    </xf>
    <xf numFmtId="0" fontId="24" fillId="3" borderId="0" xfId="32" applyFont="1" applyFill="1" applyAlignment="1">
      <alignment horizontal="center" vertical="center"/>
    </xf>
    <xf numFmtId="0" fontId="24" fillId="3" borderId="294" xfId="32" applyFont="1" applyFill="1" applyBorder="1" applyAlignment="1">
      <alignment horizontal="center" vertical="center"/>
    </xf>
    <xf numFmtId="0" fontId="0" fillId="12" borderId="0" xfId="0" applyFill="1" applyAlignment="1">
      <alignment horizontal="center"/>
    </xf>
    <xf numFmtId="0" fontId="15" fillId="3" borderId="0" xfId="32" applyFont="1" applyFill="1" applyAlignment="1">
      <alignment horizontal="center" vertical="top" wrapText="1"/>
    </xf>
    <xf numFmtId="0" fontId="24" fillId="3" borderId="294" xfId="32" applyFont="1" applyFill="1" applyBorder="1" applyAlignment="1">
      <alignment horizontal="center" vertical="top" wrapText="1"/>
    </xf>
    <xf numFmtId="0" fontId="56" fillId="3" borderId="5" xfId="0" applyFont="1" applyFill="1" applyBorder="1" applyAlignment="1">
      <alignment horizontal="center" vertical="center"/>
    </xf>
    <xf numFmtId="0" fontId="56" fillId="3" borderId="0" xfId="0" applyFont="1" applyFill="1" applyAlignment="1">
      <alignment horizontal="center" vertical="center"/>
    </xf>
    <xf numFmtId="0" fontId="56" fillId="3" borderId="294" xfId="0" applyFont="1" applyFill="1" applyBorder="1" applyAlignment="1">
      <alignment horizontal="center" vertical="center"/>
    </xf>
    <xf numFmtId="0" fontId="56" fillId="3" borderId="358" xfId="0" applyFont="1" applyFill="1" applyBorder="1" applyAlignment="1">
      <alignment horizontal="center" vertical="center"/>
    </xf>
    <xf numFmtId="0" fontId="56" fillId="3" borderId="1" xfId="0" applyFont="1" applyFill="1" applyBorder="1" applyAlignment="1">
      <alignment horizontal="center" vertical="center"/>
    </xf>
    <xf numFmtId="0" fontId="56" fillId="3" borderId="60" xfId="0" applyFont="1" applyFill="1" applyBorder="1" applyAlignment="1">
      <alignment horizontal="center" vertical="center"/>
    </xf>
    <xf numFmtId="0" fontId="54" fillId="13" borderId="42" xfId="32" applyFont="1" applyFill="1" applyBorder="1" applyAlignment="1">
      <alignment horizontal="center" vertical="center" wrapText="1"/>
    </xf>
    <xf numFmtId="0" fontId="54" fillId="13" borderId="7" xfId="32" applyFont="1" applyFill="1" applyBorder="1" applyAlignment="1">
      <alignment horizontal="center" vertical="center" wrapText="1"/>
    </xf>
    <xf numFmtId="0" fontId="54" fillId="13" borderId="6" xfId="32" applyFont="1" applyFill="1" applyBorder="1" applyAlignment="1">
      <alignment horizontal="center" vertical="center" wrapText="1"/>
    </xf>
    <xf numFmtId="0" fontId="54" fillId="13" borderId="5" xfId="32" applyFont="1" applyFill="1" applyBorder="1" applyAlignment="1">
      <alignment horizontal="center" vertical="center" wrapText="1"/>
    </xf>
    <xf numFmtId="0" fontId="54" fillId="13" borderId="0" xfId="32" applyFont="1" applyFill="1" applyAlignment="1">
      <alignment horizontal="center" vertical="center" wrapText="1"/>
    </xf>
    <xf numFmtId="0" fontId="54" fillId="13" borderId="294" xfId="32" applyFont="1" applyFill="1" applyBorder="1" applyAlignment="1">
      <alignment horizontal="center" vertical="center" wrapText="1"/>
    </xf>
    <xf numFmtId="0" fontId="342" fillId="3" borderId="5" xfId="1" applyFont="1" applyFill="1" applyBorder="1" applyAlignment="1">
      <alignment horizontal="center" vertical="center" wrapText="1"/>
    </xf>
    <xf numFmtId="0" fontId="342" fillId="3" borderId="0" xfId="1" applyFont="1" applyFill="1" applyAlignment="1">
      <alignment horizontal="center" vertical="center" wrapText="1"/>
    </xf>
    <xf numFmtId="0" fontId="342" fillId="3" borderId="358" xfId="1" applyFont="1" applyFill="1" applyBorder="1" applyAlignment="1">
      <alignment horizontal="center" vertical="center" wrapText="1"/>
    </xf>
    <xf numFmtId="0" fontId="342" fillId="3" borderId="1" xfId="1" applyFont="1" applyFill="1" applyBorder="1" applyAlignment="1">
      <alignment horizontal="center" vertical="center" wrapText="1"/>
    </xf>
    <xf numFmtId="208" fontId="157" fillId="12" borderId="0" xfId="1" applyNumberFormat="1" applyFont="1" applyFill="1" applyAlignment="1">
      <alignment horizontal="center" vertical="center"/>
    </xf>
    <xf numFmtId="194" fontId="24" fillId="12" borderId="0" xfId="1" applyNumberFormat="1" applyFont="1" applyFill="1" applyAlignment="1">
      <alignment horizontal="center" vertical="center"/>
    </xf>
    <xf numFmtId="2" fontId="197" fillId="12" borderId="294" xfId="1" applyNumberFormat="1" applyFont="1" applyFill="1" applyBorder="1" applyAlignment="1">
      <alignment horizontal="center" vertical="center"/>
    </xf>
    <xf numFmtId="0" fontId="66" fillId="3" borderId="5" xfId="11" applyFont="1" applyFill="1" applyBorder="1" applyAlignment="1">
      <alignment horizontal="center" vertical="center" wrapText="1"/>
    </xf>
    <xf numFmtId="0" fontId="66" fillId="3" borderId="0" xfId="11" applyFont="1" applyFill="1" applyBorder="1" applyAlignment="1">
      <alignment horizontal="center" vertical="center" wrapText="1"/>
    </xf>
    <xf numFmtId="0" fontId="66" fillId="3" borderId="294" xfId="11" applyFont="1" applyFill="1" applyBorder="1" applyAlignment="1">
      <alignment horizontal="center" vertical="center" wrapText="1"/>
    </xf>
    <xf numFmtId="0" fontId="11" fillId="3" borderId="5" xfId="32" applyFont="1" applyFill="1" applyBorder="1" applyAlignment="1">
      <alignment horizontal="center" vertical="center"/>
    </xf>
    <xf numFmtId="0" fontId="11" fillId="3" borderId="0" xfId="32" applyFont="1" applyFill="1" applyAlignment="1">
      <alignment horizontal="center" vertical="center"/>
    </xf>
    <xf numFmtId="0" fontId="11" fillId="3" borderId="294" xfId="32" applyFont="1" applyFill="1" applyBorder="1" applyAlignment="1">
      <alignment horizontal="center" vertical="center"/>
    </xf>
    <xf numFmtId="165" fontId="15" fillId="12" borderId="0" xfId="32" applyNumberFormat="1" applyFont="1" applyFill="1" applyAlignment="1">
      <alignment horizontal="center" vertical="center"/>
    </xf>
    <xf numFmtId="0" fontId="174" fillId="49" borderId="294" xfId="1" applyFont="1" applyFill="1" applyBorder="1" applyAlignment="1">
      <alignment horizontal="center" vertical="center" textRotation="90"/>
    </xf>
    <xf numFmtId="0" fontId="24" fillId="12" borderId="0" xfId="1" applyFont="1" applyFill="1" applyAlignment="1">
      <alignment horizontal="center" vertical="center"/>
    </xf>
    <xf numFmtId="165" fontId="12" fillId="11" borderId="0" xfId="32" applyNumberFormat="1" applyFont="1" applyFill="1" applyAlignment="1">
      <alignment horizontal="center" vertical="center"/>
    </xf>
    <xf numFmtId="0" fontId="24" fillId="3" borderId="5" xfId="32" applyFont="1" applyFill="1" applyBorder="1" applyAlignment="1">
      <alignment horizontal="center" vertical="top" wrapText="1"/>
    </xf>
    <xf numFmtId="0" fontId="24" fillId="3" borderId="0" xfId="32" applyFont="1" applyFill="1" applyAlignment="1">
      <alignment horizontal="center" vertical="top" wrapText="1"/>
    </xf>
    <xf numFmtId="0" fontId="46" fillId="3" borderId="0" xfId="1" applyFont="1" applyFill="1" applyAlignment="1">
      <alignment horizontal="center" vertical="top" wrapText="1"/>
    </xf>
    <xf numFmtId="2" fontId="15" fillId="12" borderId="0" xfId="1" applyNumberFormat="1" applyFont="1" applyFill="1" applyAlignment="1">
      <alignment horizontal="center" vertical="center"/>
    </xf>
    <xf numFmtId="3" fontId="344" fillId="11" borderId="90" xfId="32" applyNumberFormat="1" applyFont="1" applyFill="1" applyBorder="1" applyAlignment="1">
      <alignment horizontal="center" vertical="center"/>
    </xf>
    <xf numFmtId="3" fontId="344" fillId="11" borderId="89" xfId="32" applyNumberFormat="1" applyFont="1" applyFill="1" applyBorder="1" applyAlignment="1">
      <alignment horizontal="center" vertical="center"/>
    </xf>
    <xf numFmtId="3" fontId="344" fillId="11" borderId="91" xfId="32" applyNumberFormat="1" applyFont="1" applyFill="1" applyBorder="1" applyAlignment="1">
      <alignment horizontal="center" vertical="center"/>
    </xf>
    <xf numFmtId="0" fontId="10" fillId="3" borderId="0" xfId="1" applyFont="1" applyFill="1" applyAlignment="1">
      <alignment horizontal="center" vertical="center" wrapText="1"/>
    </xf>
    <xf numFmtId="0" fontId="15" fillId="3" borderId="0" xfId="1" applyFont="1" applyFill="1" applyAlignment="1">
      <alignment horizontal="center" vertical="center" wrapText="1"/>
    </xf>
    <xf numFmtId="0" fontId="341" fillId="3" borderId="42" xfId="1" applyFont="1" applyFill="1" applyBorder="1" applyAlignment="1">
      <alignment horizontal="center" vertical="center"/>
    </xf>
    <xf numFmtId="0" fontId="341" fillId="3" borderId="7" xfId="1" applyFont="1" applyFill="1" applyBorder="1" applyAlignment="1">
      <alignment horizontal="center" vertical="center"/>
    </xf>
    <xf numFmtId="0" fontId="341" fillId="3" borderId="6" xfId="1" applyFont="1" applyFill="1" applyBorder="1" applyAlignment="1">
      <alignment horizontal="center" vertical="center"/>
    </xf>
    <xf numFmtId="0" fontId="97" fillId="49" borderId="294" xfId="1" applyFont="1" applyFill="1" applyBorder="1" applyAlignment="1">
      <alignment horizontal="center" vertical="center" textRotation="90"/>
    </xf>
    <xf numFmtId="0" fontId="11" fillId="3" borderId="5" xfId="1" applyFont="1" applyFill="1" applyBorder="1" applyAlignment="1">
      <alignment horizontal="center" vertical="center" wrapText="1"/>
    </xf>
    <xf numFmtId="0" fontId="11" fillId="3" borderId="0" xfId="1" applyFont="1" applyFill="1" applyAlignment="1">
      <alignment horizontal="center" vertical="center" wrapText="1"/>
    </xf>
    <xf numFmtId="0" fontId="11" fillId="3" borderId="294" xfId="1" applyFont="1" applyFill="1" applyBorder="1" applyAlignment="1">
      <alignment horizontal="center" vertical="center" wrapText="1"/>
    </xf>
    <xf numFmtId="0" fontId="288" fillId="13" borderId="42" xfId="1" applyFont="1" applyFill="1" applyBorder="1" applyAlignment="1" applyProtection="1">
      <alignment horizontal="center" vertical="center"/>
      <protection hidden="1"/>
    </xf>
    <xf numFmtId="0" fontId="288" fillId="13" borderId="7" xfId="1" applyFont="1" applyFill="1" applyBorder="1" applyAlignment="1" applyProtection="1">
      <alignment horizontal="center" vertical="center"/>
      <protection hidden="1"/>
    </xf>
    <xf numFmtId="0" fontId="288" fillId="13" borderId="6" xfId="1" applyFont="1" applyFill="1" applyBorder="1" applyAlignment="1" applyProtection="1">
      <alignment horizontal="center" vertical="center"/>
      <protection hidden="1"/>
    </xf>
    <xf numFmtId="0" fontId="11" fillId="12" borderId="5" xfId="32" applyFont="1" applyFill="1" applyBorder="1" applyAlignment="1">
      <alignment horizontal="center" vertical="center" wrapText="1"/>
    </xf>
    <xf numFmtId="165" fontId="144" fillId="11" borderId="0" xfId="32" applyNumberFormat="1" applyFont="1" applyFill="1" applyAlignment="1">
      <alignment horizontal="center" vertical="center"/>
    </xf>
    <xf numFmtId="183" fontId="11" fillId="12" borderId="0" xfId="32" applyNumberFormat="1" applyFont="1" applyFill="1" applyAlignment="1">
      <alignment horizontal="right" vertical="center"/>
    </xf>
    <xf numFmtId="3" fontId="23" fillId="12" borderId="0" xfId="32" applyNumberFormat="1" applyFont="1" applyFill="1" applyAlignment="1">
      <alignment horizontal="center" vertical="center"/>
    </xf>
    <xf numFmtId="0" fontId="11" fillId="12" borderId="294" xfId="32" applyFont="1" applyFill="1" applyBorder="1" applyAlignment="1">
      <alignment horizontal="center" vertical="center"/>
    </xf>
    <xf numFmtId="0" fontId="174" fillId="3" borderId="299" xfId="1" applyFont="1" applyFill="1" applyBorder="1" applyAlignment="1">
      <alignment horizontal="center" vertical="center"/>
    </xf>
    <xf numFmtId="0" fontId="174" fillId="3" borderId="383" xfId="1" applyFont="1" applyFill="1" applyBorder="1" applyAlignment="1">
      <alignment horizontal="center" vertical="center"/>
    </xf>
    <xf numFmtId="0" fontId="1" fillId="3" borderId="5"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294" xfId="0" applyFont="1" applyFill="1" applyBorder="1" applyAlignment="1">
      <alignment horizontal="center" vertical="center" wrapText="1"/>
    </xf>
    <xf numFmtId="0" fontId="1" fillId="3" borderId="358"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60" xfId="0" applyFont="1" applyFill="1" applyBorder="1" applyAlignment="1">
      <alignment horizontal="center" vertical="center" wrapText="1"/>
    </xf>
    <xf numFmtId="0" fontId="34" fillId="11" borderId="5" xfId="1" applyFont="1" applyFill="1" applyBorder="1" applyAlignment="1">
      <alignment horizontal="center" vertical="center"/>
    </xf>
    <xf numFmtId="0" fontId="34" fillId="11" borderId="90" xfId="1" applyFont="1" applyFill="1" applyBorder="1" applyAlignment="1">
      <alignment horizontal="center" vertical="center"/>
    </xf>
    <xf numFmtId="208" fontId="34" fillId="11" borderId="0" xfId="1" applyNumberFormat="1" applyFont="1" applyFill="1" applyAlignment="1">
      <alignment horizontal="center" vertical="center"/>
    </xf>
    <xf numFmtId="208" fontId="34" fillId="11" borderId="89" xfId="1" applyNumberFormat="1" applyFont="1" applyFill="1" applyBorder="1" applyAlignment="1">
      <alignment horizontal="center" vertical="center"/>
    </xf>
    <xf numFmtId="0" fontId="24" fillId="12" borderId="89" xfId="1" applyFont="1" applyFill="1" applyBorder="1" applyAlignment="1">
      <alignment horizontal="center" vertical="center"/>
    </xf>
    <xf numFmtId="2" fontId="15" fillId="12" borderId="89" xfId="1" applyNumberFormat="1" applyFont="1" applyFill="1" applyBorder="1" applyAlignment="1">
      <alignment horizontal="center" vertical="center"/>
    </xf>
    <xf numFmtId="0" fontId="337" fillId="3" borderId="19" xfId="1" applyFont="1" applyFill="1" applyBorder="1" applyAlignment="1">
      <alignment horizontal="center" vertical="center" wrapText="1"/>
    </xf>
    <xf numFmtId="0" fontId="337" fillId="3" borderId="18" xfId="1" applyFont="1" applyFill="1" applyBorder="1" applyAlignment="1">
      <alignment horizontal="center" vertical="center" wrapText="1"/>
    </xf>
    <xf numFmtId="0" fontId="337" fillId="3" borderId="17" xfId="1" applyFont="1" applyFill="1" applyBorder="1" applyAlignment="1">
      <alignment horizontal="center" vertical="center" wrapText="1"/>
    </xf>
    <xf numFmtId="0" fontId="288" fillId="13" borderId="42" xfId="32" applyFont="1" applyFill="1" applyBorder="1" applyAlignment="1">
      <alignment horizontal="center" vertical="center"/>
    </xf>
    <xf numFmtId="0" fontId="288" fillId="13" borderId="7" xfId="32" applyFont="1" applyFill="1" applyBorder="1" applyAlignment="1">
      <alignment horizontal="center" vertical="center"/>
    </xf>
    <xf numFmtId="0" fontId="288" fillId="13" borderId="6" xfId="32" applyFont="1" applyFill="1" applyBorder="1" applyAlignment="1">
      <alignment horizontal="center" vertical="center"/>
    </xf>
    <xf numFmtId="0" fontId="288" fillId="13" borderId="5" xfId="32" applyFont="1" applyFill="1" applyBorder="1" applyAlignment="1">
      <alignment horizontal="center" vertical="center"/>
    </xf>
    <xf numFmtId="0" fontId="288" fillId="13" borderId="0" xfId="32" applyFont="1" applyFill="1" applyAlignment="1">
      <alignment horizontal="center" vertical="center"/>
    </xf>
    <xf numFmtId="0" fontId="288" fillId="13" borderId="294" xfId="32" applyFont="1" applyFill="1" applyBorder="1" applyAlignment="1">
      <alignment horizontal="center" vertical="center"/>
    </xf>
    <xf numFmtId="2" fontId="174" fillId="3" borderId="303" xfId="1" applyNumberFormat="1" applyFont="1" applyFill="1" applyBorder="1" applyAlignment="1">
      <alignment horizontal="center" vertical="center"/>
    </xf>
    <xf numFmtId="2" fontId="174" fillId="3" borderId="305" xfId="1" applyNumberFormat="1" applyFont="1" applyFill="1" applyBorder="1" applyAlignment="1">
      <alignment horizontal="center" vertical="center"/>
    </xf>
    <xf numFmtId="0" fontId="11" fillId="12" borderId="0" xfId="32" applyFont="1" applyFill="1" applyAlignment="1">
      <alignment horizontal="right" vertical="center"/>
    </xf>
    <xf numFmtId="3" fontId="144" fillId="11" borderId="0" xfId="32" applyNumberFormat="1" applyFont="1" applyFill="1" applyAlignment="1">
      <alignment horizontal="center" vertical="center"/>
    </xf>
    <xf numFmtId="165" fontId="23" fillId="12" borderId="0" xfId="32" applyNumberFormat="1" applyFont="1" applyFill="1" applyAlignment="1">
      <alignment horizontal="center" vertical="center"/>
    </xf>
    <xf numFmtId="0" fontId="182" fillId="3" borderId="0" xfId="8" applyFont="1" applyFill="1" applyAlignment="1">
      <alignment horizontal="center" vertical="center"/>
    </xf>
    <xf numFmtId="0" fontId="182" fillId="3" borderId="0" xfId="8" applyFont="1" applyFill="1" applyAlignment="1">
      <alignment horizontal="center" vertical="center" wrapText="1"/>
    </xf>
    <xf numFmtId="0" fontId="182" fillId="3" borderId="0" xfId="8" applyFont="1" applyFill="1" applyBorder="1" applyAlignment="1">
      <alignment horizontal="center" vertical="center" wrapText="1"/>
    </xf>
    <xf numFmtId="0" fontId="68" fillId="3" borderId="0" xfId="8" applyFont="1" applyFill="1" applyBorder="1" applyAlignment="1">
      <alignment horizontal="center" vertical="center" wrapText="1"/>
    </xf>
    <xf numFmtId="0" fontId="23" fillId="31" borderId="0" xfId="0" applyFont="1" applyFill="1" applyAlignment="1">
      <alignment horizontal="center" vertical="center"/>
    </xf>
    <xf numFmtId="0" fontId="339" fillId="13" borderId="42" xfId="1" applyFont="1" applyFill="1" applyBorder="1" applyAlignment="1">
      <alignment horizontal="center"/>
    </xf>
    <xf numFmtId="0" fontId="339" fillId="13" borderId="7" xfId="1" applyFont="1" applyFill="1" applyBorder="1" applyAlignment="1">
      <alignment horizontal="center"/>
    </xf>
    <xf numFmtId="0" fontId="339" fillId="13" borderId="6" xfId="1" applyFont="1" applyFill="1" applyBorder="1" applyAlignment="1">
      <alignment horizontal="center"/>
    </xf>
    <xf numFmtId="0" fontId="327" fillId="3" borderId="0" xfId="11" applyFont="1" applyFill="1" applyAlignment="1">
      <alignment horizontal="center" vertical="center"/>
    </xf>
    <xf numFmtId="0" fontId="327" fillId="3" borderId="0" xfId="11" applyFont="1" applyFill="1" applyAlignment="1">
      <alignment horizontal="center" vertical="center" wrapText="1"/>
    </xf>
    <xf numFmtId="0" fontId="333" fillId="3" borderId="0" xfId="0" applyFont="1" applyFill="1" applyAlignment="1">
      <alignment horizontal="center" vertical="center" wrapText="1"/>
    </xf>
    <xf numFmtId="0" fontId="324" fillId="3" borderId="0" xfId="11" applyFont="1" applyFill="1" applyAlignment="1">
      <alignment horizontal="center" vertical="center" wrapText="1"/>
    </xf>
    <xf numFmtId="2" fontId="228" fillId="61" borderId="0" xfId="1" applyNumberFormat="1" applyFont="1" applyFill="1" applyAlignment="1" applyProtection="1">
      <alignment horizontal="center" vertical="center"/>
      <protection locked="0"/>
    </xf>
    <xf numFmtId="0" fontId="288" fillId="24" borderId="0" xfId="0" applyFont="1" applyFill="1" applyAlignment="1">
      <alignment horizontal="center" vertical="center"/>
    </xf>
    <xf numFmtId="0" fontId="11" fillId="31" borderId="0" xfId="32" applyFont="1" applyFill="1" applyAlignment="1">
      <alignment horizontal="center" vertical="center" wrapText="1"/>
    </xf>
    <xf numFmtId="0" fontId="286" fillId="3" borderId="0" xfId="5" applyFont="1" applyFill="1" applyAlignment="1">
      <alignment horizontal="left" vertical="center"/>
    </xf>
    <xf numFmtId="0" fontId="287" fillId="3" borderId="0" xfId="5" applyFont="1" applyFill="1" applyAlignment="1">
      <alignment horizontal="left" vertical="center"/>
    </xf>
    <xf numFmtId="0" fontId="182" fillId="0" borderId="0" xfId="8" applyFont="1" applyAlignment="1">
      <alignment horizontal="left" vertical="center"/>
    </xf>
    <xf numFmtId="0" fontId="182" fillId="3" borderId="0" xfId="8" applyFont="1" applyFill="1" applyBorder="1" applyAlignment="1">
      <alignment horizontal="left" vertical="center"/>
    </xf>
    <xf numFmtId="0" fontId="162" fillId="3" borderId="0" xfId="8" applyFont="1" applyFill="1" applyAlignment="1">
      <alignment horizontal="left" vertical="center"/>
    </xf>
    <xf numFmtId="0" fontId="227" fillId="5" borderId="382" xfId="1" applyFont="1" applyFill="1" applyBorder="1" applyAlignment="1">
      <alignment horizontal="center" vertical="center"/>
    </xf>
    <xf numFmtId="0" fontId="227" fillId="5" borderId="5" xfId="1" applyFont="1" applyFill="1" applyBorder="1" applyAlignment="1">
      <alignment horizontal="center" vertical="center"/>
    </xf>
    <xf numFmtId="0" fontId="227" fillId="5" borderId="310" xfId="1" applyFont="1" applyFill="1" applyBorder="1" applyAlignment="1">
      <alignment horizontal="center" vertical="center"/>
    </xf>
    <xf numFmtId="0" fontId="234" fillId="5" borderId="299" xfId="1" applyFont="1" applyFill="1" applyBorder="1" applyAlignment="1">
      <alignment horizontal="left" vertical="top" wrapText="1"/>
    </xf>
    <xf numFmtId="0" fontId="234" fillId="5" borderId="383" xfId="1" applyFont="1" applyFill="1" applyBorder="1" applyAlignment="1">
      <alignment horizontal="left" vertical="top" wrapText="1"/>
    </xf>
    <xf numFmtId="0" fontId="234" fillId="5" borderId="0" xfId="1" applyFont="1" applyFill="1" applyAlignment="1">
      <alignment horizontal="left" vertical="top" wrapText="1"/>
    </xf>
    <xf numFmtId="0" fontId="234" fillId="5" borderId="294" xfId="1" applyFont="1" applyFill="1" applyBorder="1" applyAlignment="1">
      <alignment horizontal="left" vertical="top" wrapText="1"/>
    </xf>
    <xf numFmtId="0" fontId="234" fillId="5" borderId="303" xfId="1" applyFont="1" applyFill="1" applyBorder="1" applyAlignment="1">
      <alignment horizontal="left" vertical="top" wrapText="1"/>
    </xf>
    <xf numFmtId="0" fontId="234" fillId="5" borderId="305" xfId="1" applyFont="1" applyFill="1" applyBorder="1" applyAlignment="1">
      <alignment horizontal="left" vertical="top" wrapText="1"/>
    </xf>
    <xf numFmtId="0" fontId="227" fillId="5" borderId="358" xfId="1" applyFont="1" applyFill="1" applyBorder="1" applyAlignment="1">
      <alignment horizontal="center" vertical="center"/>
    </xf>
    <xf numFmtId="0" fontId="285" fillId="5" borderId="0" xfId="1" applyFont="1" applyFill="1" applyAlignment="1">
      <alignment horizontal="left" vertical="top" wrapText="1"/>
    </xf>
    <xf numFmtId="0" fontId="285" fillId="5" borderId="294" xfId="1" applyFont="1" applyFill="1" applyBorder="1" applyAlignment="1">
      <alignment horizontal="left" vertical="top" wrapText="1"/>
    </xf>
    <xf numFmtId="0" fontId="285" fillId="5" borderId="1" xfId="1" applyFont="1" applyFill="1" applyBorder="1" applyAlignment="1">
      <alignment horizontal="left" vertical="top" wrapText="1"/>
    </xf>
    <xf numFmtId="0" fontId="285" fillId="5" borderId="60" xfId="1" applyFont="1" applyFill="1" applyBorder="1" applyAlignment="1">
      <alignment horizontal="left" vertical="top" wrapText="1"/>
    </xf>
    <xf numFmtId="0" fontId="223" fillId="4" borderId="7" xfId="1" applyFont="1" applyFill="1" applyBorder="1" applyAlignment="1">
      <alignment horizontal="center" vertical="center"/>
    </xf>
    <xf numFmtId="0" fontId="223" fillId="4" borderId="6" xfId="1" applyFont="1" applyFill="1" applyBorder="1" applyAlignment="1">
      <alignment horizontal="center" vertical="center"/>
    </xf>
    <xf numFmtId="0" fontId="228" fillId="3" borderId="0" xfId="1" applyFont="1" applyFill="1" applyAlignment="1">
      <alignment horizontal="center" vertical="center"/>
    </xf>
    <xf numFmtId="0" fontId="228" fillId="3" borderId="294" xfId="1" applyFont="1" applyFill="1" applyBorder="1" applyAlignment="1">
      <alignment horizontal="center" vertical="center"/>
    </xf>
    <xf numFmtId="0" fontId="229" fillId="48" borderId="0" xfId="1" applyFont="1" applyFill="1" applyAlignment="1">
      <alignment horizontal="left" vertical="center"/>
    </xf>
    <xf numFmtId="0" fontId="229" fillId="48" borderId="294" xfId="1" applyFont="1" applyFill="1" applyBorder="1" applyAlignment="1">
      <alignment horizontal="left" vertical="center"/>
    </xf>
    <xf numFmtId="0" fontId="23" fillId="0" borderId="0" xfId="1" applyFont="1" applyAlignment="1">
      <alignment horizontal="center" vertical="center"/>
    </xf>
    <xf numFmtId="0" fontId="23" fillId="0" borderId="294" xfId="1" applyFont="1" applyBorder="1" applyAlignment="1">
      <alignment horizontal="center" vertical="center"/>
    </xf>
    <xf numFmtId="0" fontId="221" fillId="51" borderId="5" xfId="1" applyFont="1" applyFill="1" applyBorder="1" applyAlignment="1">
      <alignment horizontal="center" vertical="center"/>
    </xf>
    <xf numFmtId="0" fontId="284" fillId="47" borderId="0" xfId="1" applyFont="1" applyFill="1" applyAlignment="1">
      <alignment horizontal="left" vertical="top" wrapText="1"/>
    </xf>
    <xf numFmtId="0" fontId="284" fillId="47" borderId="294" xfId="1" applyFont="1" applyFill="1" applyBorder="1" applyAlignment="1">
      <alignment horizontal="left" vertical="top" wrapText="1"/>
    </xf>
    <xf numFmtId="0" fontId="34" fillId="21" borderId="57" xfId="2" applyFont="1" applyFill="1" applyBorder="1" applyAlignment="1">
      <alignment horizontal="center" vertical="center" wrapText="1"/>
    </xf>
    <xf numFmtId="0" fontId="34" fillId="21" borderId="0" xfId="2" applyFont="1" applyFill="1" applyAlignment="1">
      <alignment horizontal="center" vertical="center" wrapText="1"/>
    </xf>
    <xf numFmtId="0" fontId="34" fillId="21" borderId="301" xfId="2" applyFont="1" applyFill="1" applyBorder="1" applyAlignment="1">
      <alignment horizontal="center" vertical="center" wrapText="1"/>
    </xf>
    <xf numFmtId="0" fontId="145" fillId="49" borderId="0" xfId="8" applyFont="1" applyFill="1" applyAlignment="1">
      <alignment horizontal="left" vertical="center"/>
    </xf>
    <xf numFmtId="0" fontId="145" fillId="22" borderId="0" xfId="8" applyFont="1" applyFill="1" applyAlignment="1" applyProtection="1">
      <alignment horizontal="left" vertical="center"/>
      <protection hidden="1"/>
    </xf>
    <xf numFmtId="0" fontId="67" fillId="2" borderId="57" xfId="2" applyFont="1" applyFill="1" applyBorder="1" applyAlignment="1">
      <alignment horizontal="center" vertical="center" wrapText="1"/>
    </xf>
    <xf numFmtId="0" fontId="67" fillId="2" borderId="0" xfId="2" applyFont="1" applyFill="1" applyAlignment="1">
      <alignment horizontal="center" vertical="center" wrapText="1"/>
    </xf>
    <xf numFmtId="0" fontId="67" fillId="2" borderId="301" xfId="2" applyFont="1" applyFill="1" applyBorder="1" applyAlignment="1">
      <alignment horizontal="center" vertical="center" wrapText="1"/>
    </xf>
    <xf numFmtId="0" fontId="67" fillId="2" borderId="302" xfId="2" applyFont="1" applyFill="1" applyBorder="1" applyAlignment="1">
      <alignment horizontal="center" vertical="center" wrapText="1"/>
    </xf>
    <xf numFmtId="0" fontId="67" fillId="2" borderId="303" xfId="2" applyFont="1" applyFill="1" applyBorder="1" applyAlignment="1">
      <alignment horizontal="center" vertical="center" wrapText="1"/>
    </xf>
    <xf numFmtId="0" fontId="67" fillId="2" borderId="304" xfId="2" applyFont="1" applyFill="1" applyBorder="1" applyAlignment="1">
      <alignment horizontal="center" vertical="center" wrapText="1"/>
    </xf>
    <xf numFmtId="0" fontId="221" fillId="13" borderId="42" xfId="1" applyFont="1" applyFill="1" applyBorder="1" applyAlignment="1">
      <alignment horizontal="center" vertical="center"/>
    </xf>
    <xf numFmtId="0" fontId="221" fillId="13" borderId="7" xfId="1" applyFont="1" applyFill="1" applyBorder="1" applyAlignment="1">
      <alignment horizontal="center" vertical="center"/>
    </xf>
    <xf numFmtId="0" fontId="221" fillId="13" borderId="6" xfId="1" applyFont="1" applyFill="1" applyBorder="1" applyAlignment="1">
      <alignment horizontal="center" vertical="center"/>
    </xf>
    <xf numFmtId="0" fontId="226" fillId="3" borderId="0" xfId="1" applyFont="1" applyFill="1" applyAlignment="1">
      <alignment horizontal="center" vertical="center" wrapText="1"/>
    </xf>
    <xf numFmtId="0" fontId="226" fillId="3" borderId="294" xfId="1" applyFont="1" applyFill="1" applyBorder="1" applyAlignment="1">
      <alignment horizontal="center" vertical="center" wrapText="1"/>
    </xf>
    <xf numFmtId="0" fontId="15" fillId="3" borderId="57" xfId="2" applyFont="1" applyFill="1" applyBorder="1" applyAlignment="1">
      <alignment horizontal="center" vertical="center" wrapText="1"/>
    </xf>
    <xf numFmtId="0" fontId="15" fillId="3" borderId="0" xfId="2" applyFont="1" applyFill="1" applyAlignment="1">
      <alignment horizontal="center" vertical="center" wrapText="1"/>
    </xf>
    <xf numFmtId="0" fontId="15" fillId="3" borderId="301" xfId="2" applyFont="1" applyFill="1" applyBorder="1" applyAlignment="1">
      <alignment horizontal="center" vertical="center" wrapText="1"/>
    </xf>
    <xf numFmtId="0" fontId="145" fillId="0" borderId="0" xfId="8" applyFont="1" applyAlignment="1">
      <alignment horizontal="left" vertical="center"/>
    </xf>
    <xf numFmtId="0" fontId="37" fillId="3" borderId="23" xfId="1" applyFont="1" applyFill="1" applyBorder="1" applyAlignment="1" applyProtection="1">
      <alignment horizontal="center" vertical="center"/>
      <protection hidden="1"/>
    </xf>
    <xf numFmtId="0" fontId="37" fillId="3" borderId="24" xfId="1" applyFont="1" applyFill="1" applyBorder="1" applyAlignment="1" applyProtection="1">
      <alignment horizontal="center" vertical="center"/>
      <protection hidden="1"/>
    </xf>
    <xf numFmtId="0" fontId="37" fillId="3" borderId="25" xfId="1" applyFont="1" applyFill="1" applyBorder="1" applyAlignment="1" applyProtection="1">
      <alignment horizontal="center" vertical="center"/>
      <protection hidden="1"/>
    </xf>
    <xf numFmtId="0" fontId="65" fillId="3" borderId="354" xfId="2" applyFont="1" applyFill="1" applyBorder="1" applyAlignment="1">
      <alignment horizontal="center" vertical="center" wrapText="1"/>
    </xf>
    <xf numFmtId="0" fontId="65" fillId="3" borderId="299" xfId="2" applyFont="1" applyFill="1" applyBorder="1" applyAlignment="1">
      <alignment horizontal="center" vertical="center" wrapText="1"/>
    </xf>
    <xf numFmtId="0" fontId="65" fillId="3" borderId="300" xfId="2" applyFont="1" applyFill="1" applyBorder="1" applyAlignment="1">
      <alignment horizontal="center" vertical="center" wrapText="1"/>
    </xf>
    <xf numFmtId="0" fontId="65" fillId="3" borderId="57" xfId="2" applyFont="1" applyFill="1" applyBorder="1" applyAlignment="1">
      <alignment horizontal="center" vertical="center" wrapText="1"/>
    </xf>
    <xf numFmtId="0" fontId="65" fillId="3" borderId="0" xfId="2" applyFont="1" applyFill="1" applyAlignment="1">
      <alignment horizontal="center" vertical="center" wrapText="1"/>
    </xf>
    <xf numFmtId="0" fontId="65" fillId="3" borderId="301" xfId="2" applyFont="1" applyFill="1" applyBorder="1" applyAlignment="1">
      <alignment horizontal="center" vertical="center" wrapText="1"/>
    </xf>
    <xf numFmtId="0" fontId="65" fillId="3" borderId="302" xfId="2" applyFont="1" applyFill="1" applyBorder="1" applyAlignment="1">
      <alignment horizontal="center" vertical="center" wrapText="1"/>
    </xf>
    <xf numFmtId="0" fontId="65" fillId="3" borderId="303" xfId="2" applyFont="1" applyFill="1" applyBorder="1" applyAlignment="1">
      <alignment horizontal="center" vertical="center" wrapText="1"/>
    </xf>
    <xf numFmtId="0" fontId="65" fillId="3" borderId="304" xfId="2" applyFont="1" applyFill="1" applyBorder="1" applyAlignment="1">
      <alignment horizontal="center" vertical="center" wrapText="1"/>
    </xf>
    <xf numFmtId="0" fontId="44" fillId="22" borderId="354" xfId="0" applyFont="1" applyFill="1" applyBorder="1" applyAlignment="1">
      <alignment horizontal="center" vertical="center" wrapText="1"/>
    </xf>
    <xf numFmtId="0" fontId="44" fillId="22" borderId="299" xfId="0" applyFont="1" applyFill="1" applyBorder="1" applyAlignment="1">
      <alignment horizontal="center" vertical="center" wrapText="1"/>
    </xf>
    <xf numFmtId="0" fontId="44" fillId="22" borderId="300" xfId="0" applyFont="1" applyFill="1" applyBorder="1" applyAlignment="1">
      <alignment horizontal="center" vertical="center" wrapText="1"/>
    </xf>
    <xf numFmtId="0" fontId="44" fillId="22" borderId="57" xfId="0" applyFont="1" applyFill="1" applyBorder="1" applyAlignment="1">
      <alignment horizontal="center" vertical="center" wrapText="1"/>
    </xf>
    <xf numFmtId="0" fontId="44" fillId="22" borderId="0" xfId="0" applyFont="1" applyFill="1" applyAlignment="1">
      <alignment horizontal="center" vertical="center" wrapText="1"/>
    </xf>
    <xf numFmtId="0" fontId="44" fillId="22" borderId="301" xfId="0" applyFont="1" applyFill="1" applyBorder="1" applyAlignment="1">
      <alignment horizontal="center" vertical="center" wrapText="1"/>
    </xf>
    <xf numFmtId="0" fontId="44" fillId="22" borderId="302" xfId="0" applyFont="1" applyFill="1" applyBorder="1" applyAlignment="1">
      <alignment horizontal="center" vertical="center" wrapText="1"/>
    </xf>
    <xf numFmtId="0" fontId="44" fillId="22" borderId="303" xfId="0" applyFont="1" applyFill="1" applyBorder="1" applyAlignment="1">
      <alignment horizontal="center" vertical="center" wrapText="1"/>
    </xf>
    <xf numFmtId="0" fontId="44" fillId="22" borderId="304" xfId="0" applyFont="1" applyFill="1" applyBorder="1" applyAlignment="1">
      <alignment horizontal="center" vertical="center" wrapText="1"/>
    </xf>
    <xf numFmtId="0" fontId="12" fillId="3" borderId="354" xfId="2" applyFont="1" applyFill="1" applyBorder="1" applyAlignment="1">
      <alignment horizontal="center" vertical="center" wrapText="1"/>
    </xf>
    <xf numFmtId="0" fontId="12" fillId="3" borderId="299" xfId="2" applyFont="1" applyFill="1" applyBorder="1" applyAlignment="1">
      <alignment horizontal="center" vertical="center" wrapText="1"/>
    </xf>
    <xf numFmtId="0" fontId="12" fillId="3" borderId="300" xfId="2" applyFont="1" applyFill="1" applyBorder="1" applyAlignment="1">
      <alignment horizontal="center" vertical="center" wrapText="1"/>
    </xf>
    <xf numFmtId="0" fontId="12" fillId="3" borderId="57" xfId="2" applyFont="1" applyFill="1" applyBorder="1" applyAlignment="1">
      <alignment horizontal="center" vertical="center" wrapText="1"/>
    </xf>
    <xf numFmtId="0" fontId="12" fillId="3" borderId="0" xfId="2" applyFont="1" applyFill="1" applyAlignment="1">
      <alignment horizontal="center" vertical="center" wrapText="1"/>
    </xf>
    <xf numFmtId="0" fontId="12" fillId="3" borderId="301" xfId="2" applyFont="1" applyFill="1" applyBorder="1" applyAlignment="1">
      <alignment horizontal="center" vertical="center" wrapText="1"/>
    </xf>
    <xf numFmtId="0" fontId="256" fillId="3" borderId="0" xfId="10" applyFont="1" applyFill="1" applyAlignment="1" applyProtection="1">
      <alignment horizontal="left" vertical="center"/>
    </xf>
    <xf numFmtId="0" fontId="11" fillId="3" borderId="57" xfId="2" applyFont="1" applyFill="1" applyBorder="1" applyAlignment="1">
      <alignment horizontal="center" vertical="center" wrapText="1"/>
    </xf>
    <xf numFmtId="0" fontId="11" fillId="3" borderId="0" xfId="2" applyFont="1" applyFill="1" applyAlignment="1">
      <alignment horizontal="center" vertical="center" wrapText="1"/>
    </xf>
    <xf numFmtId="0" fontId="11" fillId="3" borderId="301" xfId="2" applyFont="1" applyFill="1" applyBorder="1" applyAlignment="1">
      <alignment horizontal="center" vertical="center" wrapText="1"/>
    </xf>
    <xf numFmtId="0" fontId="11" fillId="3" borderId="302" xfId="2" applyFont="1" applyFill="1" applyBorder="1" applyAlignment="1">
      <alignment horizontal="center" vertical="center" wrapText="1"/>
    </xf>
    <xf numFmtId="0" fontId="11" fillId="3" borderId="303" xfId="2" applyFont="1" applyFill="1" applyBorder="1" applyAlignment="1">
      <alignment horizontal="center" vertical="center" wrapText="1"/>
    </xf>
    <xf numFmtId="0" fontId="11" fillId="3" borderId="304" xfId="2" applyFont="1" applyFill="1" applyBorder="1" applyAlignment="1">
      <alignment horizontal="center" vertical="center" wrapText="1"/>
    </xf>
    <xf numFmtId="0" fontId="145" fillId="3" borderId="0" xfId="11" applyFont="1" applyFill="1" applyAlignment="1" applyProtection="1">
      <alignment horizontal="left" vertical="center"/>
    </xf>
    <xf numFmtId="0" fontId="52" fillId="19" borderId="42" xfId="1" applyFont="1" applyFill="1" applyBorder="1" applyAlignment="1" applyProtection="1">
      <alignment horizontal="center" vertical="center"/>
      <protection hidden="1"/>
    </xf>
    <xf numFmtId="0" fontId="52" fillId="19" borderId="7" xfId="1" applyFont="1" applyFill="1" applyBorder="1" applyAlignment="1" applyProtection="1">
      <alignment horizontal="center" vertical="center"/>
      <protection hidden="1"/>
    </xf>
    <xf numFmtId="0" fontId="52" fillId="19" borderId="6" xfId="1" applyFont="1" applyFill="1" applyBorder="1" applyAlignment="1" applyProtection="1">
      <alignment horizontal="center" vertical="center"/>
      <protection hidden="1"/>
    </xf>
    <xf numFmtId="0" fontId="13" fillId="3" borderId="5" xfId="1" applyFont="1" applyFill="1" applyBorder="1" applyAlignment="1" applyProtection="1">
      <alignment horizontal="center" vertical="center"/>
      <protection hidden="1"/>
    </xf>
    <xf numFmtId="0" fontId="13" fillId="3" borderId="0" xfId="1" applyFont="1" applyFill="1" applyAlignment="1" applyProtection="1">
      <alignment horizontal="center" vertical="center"/>
      <protection hidden="1"/>
    </xf>
    <xf numFmtId="0" fontId="13" fillId="3" borderId="4" xfId="1" applyFont="1" applyFill="1" applyBorder="1" applyAlignment="1" applyProtection="1">
      <alignment horizontal="center" vertical="center"/>
      <protection hidden="1"/>
    </xf>
    <xf numFmtId="0" fontId="58" fillId="3" borderId="1" xfId="8" applyFont="1" applyFill="1" applyBorder="1" applyAlignment="1" applyProtection="1">
      <alignment horizontal="center" vertical="center"/>
      <protection hidden="1"/>
    </xf>
    <xf numFmtId="0" fontId="58" fillId="3" borderId="60" xfId="8" applyFont="1" applyFill="1" applyBorder="1" applyAlignment="1" applyProtection="1">
      <alignment horizontal="center" vertical="center"/>
      <protection hidden="1"/>
    </xf>
    <xf numFmtId="0" fontId="52" fillId="22" borderId="0" xfId="9" applyFont="1" applyFill="1" applyAlignment="1" applyProtection="1">
      <alignment horizontal="center" vertical="center" wrapText="1"/>
      <protection hidden="1"/>
    </xf>
    <xf numFmtId="0" fontId="145" fillId="3" borderId="0" xfId="8" applyFont="1" applyFill="1" applyAlignment="1">
      <alignment horizontal="left"/>
    </xf>
    <xf numFmtId="0" fontId="168" fillId="42" borderId="57" xfId="2" applyFont="1" applyFill="1" applyBorder="1" applyAlignment="1">
      <alignment horizontal="center" vertical="center"/>
    </xf>
    <xf numFmtId="0" fontId="168" fillId="42" borderId="0" xfId="2" applyFont="1" applyFill="1" applyAlignment="1">
      <alignment horizontal="center" vertical="center"/>
    </xf>
    <xf numFmtId="0" fontId="168" fillId="42" borderId="301" xfId="2" applyFont="1" applyFill="1" applyBorder="1" applyAlignment="1">
      <alignment horizontal="center" vertical="center"/>
    </xf>
    <xf numFmtId="0" fontId="354" fillId="3" borderId="0" xfId="48" applyFont="1" applyFill="1" applyAlignment="1" applyProtection="1">
      <alignment horizontal="left" vertical="center" wrapText="1"/>
      <protection hidden="1"/>
    </xf>
    <xf numFmtId="0" fontId="689" fillId="3" borderId="0" xfId="48" applyFont="1" applyFill="1" applyAlignment="1" applyProtection="1">
      <alignment horizontal="center" vertical="center"/>
      <protection hidden="1"/>
    </xf>
    <xf numFmtId="0" fontId="15" fillId="3" borderId="0" xfId="48" applyFont="1" applyFill="1" applyAlignment="1" applyProtection="1">
      <alignment horizontal="center" vertical="center" wrapText="1"/>
      <protection hidden="1"/>
    </xf>
    <xf numFmtId="0" fontId="147" fillId="3" borderId="395" xfId="48" applyFont="1" applyFill="1" applyBorder="1" applyAlignment="1" applyProtection="1">
      <alignment horizontal="left" vertical="center" wrapText="1"/>
      <protection hidden="1"/>
    </xf>
    <xf numFmtId="0" fontId="147" fillId="3" borderId="0" xfId="48" applyFont="1" applyFill="1" applyAlignment="1" applyProtection="1">
      <alignment horizontal="left" vertical="center" wrapText="1"/>
      <protection hidden="1"/>
    </xf>
    <xf numFmtId="0" fontId="354" fillId="3" borderId="0" xfId="48" applyFont="1" applyFill="1" applyAlignment="1" applyProtection="1">
      <alignment horizontal="center" vertical="center"/>
      <protection hidden="1"/>
    </xf>
    <xf numFmtId="0" fontId="693" fillId="3" borderId="395" xfId="0" applyFont="1" applyFill="1" applyBorder="1" applyAlignment="1">
      <alignment horizontal="left" vertical="center" wrapText="1"/>
    </xf>
    <xf numFmtId="0" fontId="693" fillId="3" borderId="0" xfId="0" applyFont="1" applyFill="1" applyAlignment="1">
      <alignment horizontal="left" vertical="center" wrapText="1"/>
    </xf>
    <xf numFmtId="0" fontId="26" fillId="3" borderId="0" xfId="48" applyFont="1" applyFill="1" applyAlignment="1" applyProtection="1">
      <alignment horizontal="center" vertical="center"/>
      <protection hidden="1"/>
    </xf>
    <xf numFmtId="0" fontId="595" fillId="5" borderId="0" xfId="49" applyFont="1" applyFill="1" applyAlignment="1">
      <alignment horizontal="left" vertical="center" wrapText="1"/>
    </xf>
    <xf numFmtId="0" fontId="595" fillId="5" borderId="395" xfId="49" applyFont="1" applyFill="1" applyBorder="1" applyAlignment="1">
      <alignment horizontal="left" vertical="center" wrapText="1"/>
    </xf>
    <xf numFmtId="0" fontId="687" fillId="3" borderId="456" xfId="52" applyFont="1" applyFill="1" applyBorder="1" applyAlignment="1">
      <alignment horizontal="center" vertical="center"/>
    </xf>
    <xf numFmtId="0" fontId="687" fillId="3" borderId="457" xfId="52" applyFont="1" applyFill="1" applyBorder="1" applyAlignment="1">
      <alignment horizontal="center" vertical="center"/>
    </xf>
    <xf numFmtId="0" fontId="310" fillId="12" borderId="0" xfId="48" applyFont="1" applyFill="1" applyAlignment="1" applyProtection="1">
      <alignment horizontal="left" vertical="center" wrapText="1"/>
      <protection hidden="1"/>
    </xf>
    <xf numFmtId="0" fontId="595" fillId="3" borderId="0" xfId="0" applyFont="1" applyFill="1" applyAlignment="1">
      <alignment horizontal="center" vertical="center" wrapText="1"/>
    </xf>
    <xf numFmtId="0" fontId="595" fillId="3" borderId="395" xfId="0" applyFont="1" applyFill="1" applyBorder="1" applyAlignment="1">
      <alignment horizontal="left" vertical="center" wrapText="1"/>
    </xf>
    <xf numFmtId="0" fontId="595" fillId="3" borderId="0" xfId="0" applyFont="1" applyFill="1" applyAlignment="1">
      <alignment horizontal="left" vertical="center" wrapText="1"/>
    </xf>
    <xf numFmtId="0" fontId="595" fillId="3" borderId="0" xfId="48" applyFont="1" applyFill="1" applyAlignment="1" applyProtection="1">
      <alignment horizontal="left" vertical="center" wrapText="1"/>
      <protection hidden="1"/>
    </xf>
    <xf numFmtId="0" fontId="692" fillId="3" borderId="395" xfId="48" applyFont="1" applyFill="1" applyBorder="1" applyAlignment="1" applyProtection="1">
      <alignment horizontal="left" vertical="center" wrapText="1"/>
      <protection hidden="1"/>
    </xf>
    <xf numFmtId="0" fontId="692" fillId="3" borderId="0" xfId="48" applyFont="1" applyFill="1" applyAlignment="1" applyProtection="1">
      <alignment horizontal="left" vertical="center" wrapText="1"/>
      <protection hidden="1"/>
    </xf>
    <xf numFmtId="0" fontId="228" fillId="49" borderId="7" xfId="48" applyFont="1" applyFill="1" applyBorder="1" applyAlignment="1">
      <alignment horizontal="center" vertical="center" wrapText="1"/>
    </xf>
    <xf numFmtId="0" fontId="228" fillId="49" borderId="0" xfId="48" applyFont="1" applyFill="1" applyAlignment="1">
      <alignment horizontal="center" vertical="center" wrapText="1"/>
    </xf>
    <xf numFmtId="0" fontId="139" fillId="22" borderId="7" xfId="47" applyFont="1" applyFill="1" applyBorder="1" applyAlignment="1">
      <alignment horizontal="center" vertical="center"/>
    </xf>
    <xf numFmtId="0" fontId="139" fillId="22" borderId="0" xfId="47" applyFont="1" applyFill="1" applyAlignment="1">
      <alignment horizontal="center" vertical="center"/>
    </xf>
    <xf numFmtId="0" fontId="481" fillId="22" borderId="7" xfId="48" applyFont="1" applyFill="1" applyBorder="1" applyAlignment="1">
      <alignment horizontal="center" vertical="center"/>
    </xf>
    <xf numFmtId="0" fontId="481" fillId="22" borderId="0" xfId="48" applyFont="1" applyFill="1" applyAlignment="1">
      <alignment horizontal="center" vertical="center"/>
    </xf>
    <xf numFmtId="0" fontId="139" fillId="3" borderId="0" xfId="0" applyFont="1" applyFill="1" applyAlignment="1">
      <alignment horizontal="center" vertical="center"/>
    </xf>
    <xf numFmtId="0" fontId="699" fillId="5" borderId="464" xfId="36" applyFont="1" applyFill="1" applyBorder="1" applyAlignment="1">
      <alignment horizontal="center" vertical="center"/>
    </xf>
    <xf numFmtId="0" fontId="699" fillId="5" borderId="85" xfId="36" applyFont="1" applyFill="1" applyBorder="1" applyAlignment="1">
      <alignment horizontal="center" vertical="center"/>
    </xf>
    <xf numFmtId="0" fontId="107" fillId="3" borderId="0" xfId="48" applyFont="1" applyFill="1" applyAlignment="1" applyProtection="1">
      <alignment horizontal="center" vertical="center"/>
      <protection hidden="1"/>
    </xf>
    <xf numFmtId="0" fontId="4" fillId="3" borderId="0" xfId="0" applyFont="1" applyFill="1" applyAlignment="1">
      <alignment horizontal="left" vertical="center" wrapText="1"/>
    </xf>
    <xf numFmtId="0" fontId="431" fillId="3" borderId="0" xfId="48" applyFont="1" applyFill="1" applyAlignment="1" applyProtection="1">
      <alignment horizontal="center" vertical="center" wrapText="1"/>
      <protection hidden="1"/>
    </xf>
    <xf numFmtId="0" fontId="706" fillId="3" borderId="0" xfId="48" applyFont="1" applyFill="1" applyAlignment="1" applyProtection="1">
      <alignment horizontal="left" vertical="center" wrapText="1"/>
      <protection hidden="1"/>
    </xf>
    <xf numFmtId="0" fontId="431" fillId="3" borderId="0" xfId="49" applyFont="1" applyFill="1" applyAlignment="1">
      <alignment horizontal="center" vertical="center" wrapText="1"/>
    </xf>
    <xf numFmtId="0" fontId="310" fillId="3" borderId="0" xfId="48" applyFont="1" applyFill="1" applyAlignment="1" applyProtection="1">
      <alignment horizontal="left" vertical="center" wrapText="1"/>
      <protection hidden="1"/>
    </xf>
    <xf numFmtId="0" fontId="431" fillId="3" borderId="0" xfId="0" applyFont="1" applyFill="1" applyAlignment="1">
      <alignment horizontal="center" vertical="center" wrapText="1"/>
    </xf>
    <xf numFmtId="0" fontId="699" fillId="3" borderId="464" xfId="36" applyFont="1" applyFill="1" applyBorder="1" applyAlignment="1">
      <alignment horizontal="center" vertical="center"/>
    </xf>
    <xf numFmtId="0" fontId="699" fillId="3" borderId="85" xfId="36" applyFont="1" applyFill="1" applyBorder="1" applyAlignment="1">
      <alignment horizontal="center" vertical="center"/>
    </xf>
    <xf numFmtId="0" fontId="228" fillId="22" borderId="7" xfId="36" applyFont="1" applyFill="1" applyBorder="1" applyAlignment="1">
      <alignment horizontal="center" vertical="center"/>
    </xf>
    <xf numFmtId="0" fontId="228" fillId="22" borderId="0" xfId="36" applyFont="1" applyFill="1" applyAlignment="1">
      <alignment horizontal="center" vertical="center"/>
    </xf>
    <xf numFmtId="0" fontId="139" fillId="22" borderId="7" xfId="0" applyFont="1" applyFill="1" applyBorder="1" applyAlignment="1">
      <alignment horizontal="center" vertical="center"/>
    </xf>
    <xf numFmtId="0" fontId="139" fillId="22" borderId="0" xfId="0" applyFont="1" applyFill="1" applyAlignment="1">
      <alignment horizontal="center" vertical="center"/>
    </xf>
    <xf numFmtId="0" fontId="525" fillId="22" borderId="7" xfId="52" applyFont="1" applyFill="1" applyBorder="1" applyAlignment="1">
      <alignment horizontal="center" vertical="center"/>
    </xf>
    <xf numFmtId="0" fontId="525" fillId="22" borderId="0" xfId="52" applyFont="1" applyFill="1" applyAlignment="1">
      <alignment horizontal="center" vertical="center"/>
    </xf>
    <xf numFmtId="0" fontId="206" fillId="0" borderId="0" xfId="8" applyFont="1" applyAlignment="1">
      <alignment vertical="center"/>
    </xf>
    <xf numFmtId="0" fontId="206" fillId="3" borderId="0" xfId="28" applyFont="1" applyFill="1" applyAlignment="1">
      <alignment horizontal="left" vertical="center"/>
    </xf>
    <xf numFmtId="0" fontId="67" fillId="3" borderId="382" xfId="48" applyFont="1" applyFill="1" applyBorder="1" applyAlignment="1">
      <alignment horizontal="center" vertical="center" wrapText="1"/>
    </xf>
    <xf numFmtId="0" fontId="67" fillId="3" borderId="5" xfId="48" applyFont="1" applyFill="1" applyBorder="1" applyAlignment="1">
      <alignment horizontal="center" vertical="center" wrapText="1"/>
    </xf>
    <xf numFmtId="0" fontId="67" fillId="3" borderId="0" xfId="48" applyFont="1" applyFill="1" applyAlignment="1">
      <alignment horizontal="center" vertical="center" wrapText="1"/>
    </xf>
    <xf numFmtId="0" fontId="67" fillId="3" borderId="4" xfId="48" applyFont="1" applyFill="1" applyBorder="1" applyAlignment="1">
      <alignment horizontal="center" vertical="center" wrapText="1"/>
    </xf>
    <xf numFmtId="0" fontId="725" fillId="31" borderId="0" xfId="48" applyFont="1" applyFill="1" applyAlignment="1" applyProtection="1">
      <alignment horizontal="center"/>
      <protection hidden="1"/>
    </xf>
    <xf numFmtId="0" fontId="24" fillId="3" borderId="50" xfId="48" applyFont="1" applyFill="1" applyBorder="1" applyAlignment="1">
      <alignment horizontal="center" vertical="center"/>
    </xf>
    <xf numFmtId="0" fontId="736" fillId="3" borderId="495" xfId="48" applyFont="1" applyFill="1" applyBorder="1" applyAlignment="1">
      <alignment horizontal="right" vertical="center"/>
    </xf>
    <xf numFmtId="0" fontId="733" fillId="3" borderId="101" xfId="48" applyFont="1" applyFill="1" applyBorder="1" applyAlignment="1">
      <alignment horizontal="center" vertical="center"/>
    </xf>
    <xf numFmtId="0" fontId="733" fillId="3" borderId="58" xfId="48" applyFont="1" applyFill="1" applyBorder="1" applyAlignment="1">
      <alignment horizontal="center" vertical="center"/>
    </xf>
    <xf numFmtId="226" fontId="46" fillId="3" borderId="495" xfId="65" applyNumberFormat="1" applyFont="1" applyFill="1" applyBorder="1" applyAlignment="1" applyProtection="1">
      <alignment horizontal="center" vertical="center" wrapText="1"/>
      <protection locked="0"/>
    </xf>
    <xf numFmtId="206" fontId="46" fillId="3" borderId="51" xfId="65" applyNumberFormat="1" applyFont="1" applyFill="1" applyBorder="1" applyAlignment="1" applyProtection="1">
      <alignment horizontal="center" vertical="center" wrapText="1"/>
      <protection locked="0"/>
    </xf>
    <xf numFmtId="206" fontId="147" fillId="5" borderId="4" xfId="65" applyNumberFormat="1" applyFont="1" applyFill="1" applyBorder="1" applyAlignment="1" applyProtection="1">
      <alignment horizontal="center" vertical="center" wrapText="1"/>
      <protection locked="0"/>
    </xf>
    <xf numFmtId="0" fontId="24" fillId="3" borderId="111" xfId="48" applyFont="1" applyFill="1" applyBorder="1" applyAlignment="1">
      <alignment horizontal="center" vertical="center"/>
    </xf>
    <xf numFmtId="0" fontId="11" fillId="3" borderId="112" xfId="53" applyFont="1" applyFill="1" applyBorder="1" applyAlignment="1">
      <alignment horizontal="right" vertical="center"/>
    </xf>
    <xf numFmtId="0" fontId="11" fillId="3" borderId="495" xfId="53" applyFont="1" applyFill="1" applyBorder="1" applyAlignment="1">
      <alignment horizontal="right" vertical="center"/>
    </xf>
    <xf numFmtId="226" fontId="15" fillId="3" borderId="112" xfId="65" applyNumberFormat="1" applyFont="1" applyFill="1" applyBorder="1" applyAlignment="1" applyProtection="1">
      <alignment horizontal="center" vertical="center" wrapText="1"/>
      <protection locked="0"/>
    </xf>
    <xf numFmtId="226" fontId="15" fillId="3" borderId="495" xfId="65" applyNumberFormat="1" applyFont="1" applyFill="1" applyBorder="1" applyAlignment="1" applyProtection="1">
      <alignment horizontal="center" vertical="center" wrapText="1"/>
      <protection locked="0"/>
    </xf>
    <xf numFmtId="206" fontId="15" fillId="3" borderId="113" xfId="65" applyNumberFormat="1" applyFont="1" applyFill="1" applyBorder="1" applyAlignment="1" applyProtection="1">
      <alignment horizontal="center" vertical="center" wrapText="1"/>
      <protection locked="0"/>
    </xf>
    <xf numFmtId="206" fontId="15" fillId="3" borderId="51" xfId="65" applyNumberFormat="1" applyFont="1" applyFill="1" applyBorder="1" applyAlignment="1" applyProtection="1">
      <alignment horizontal="center" vertical="center" wrapText="1"/>
      <protection locked="0"/>
    </xf>
    <xf numFmtId="0" fontId="174" fillId="49" borderId="4" xfId="48" applyFont="1" applyFill="1" applyBorder="1" applyAlignment="1">
      <alignment horizontal="center" vertical="center" textRotation="90"/>
    </xf>
    <xf numFmtId="0" fontId="56" fillId="3" borderId="384" xfId="53" applyFont="1" applyFill="1" applyBorder="1" applyAlignment="1">
      <alignment horizontal="center" vertical="center" wrapText="1"/>
    </xf>
    <xf numFmtId="0" fontId="56" fillId="3" borderId="5" xfId="53" applyFont="1" applyFill="1" applyBorder="1" applyAlignment="1">
      <alignment horizontal="center" vertical="center" wrapText="1"/>
    </xf>
    <xf numFmtId="0" fontId="532" fillId="2" borderId="101" xfId="53" applyFont="1" applyFill="1" applyBorder="1" applyAlignment="1">
      <alignment horizontal="center" vertical="center"/>
    </xf>
    <xf numFmtId="0" fontId="532" fillId="2" borderId="100" xfId="53" applyFont="1" applyFill="1" applyBorder="1" applyAlignment="1">
      <alignment horizontal="center" vertical="center"/>
    </xf>
    <xf numFmtId="0" fontId="532" fillId="2" borderId="0" xfId="53" applyFont="1" applyFill="1" applyAlignment="1">
      <alignment horizontal="center" vertical="center"/>
    </xf>
    <xf numFmtId="0" fontId="532" fillId="2" borderId="4" xfId="53" applyFont="1" applyFill="1" applyBorder="1" applyAlignment="1">
      <alignment horizontal="center" vertical="center"/>
    </xf>
    <xf numFmtId="0" fontId="56" fillId="3" borderId="384" xfId="53" applyFont="1" applyFill="1" applyBorder="1" applyAlignment="1">
      <alignment horizontal="center" vertical="center"/>
    </xf>
    <xf numFmtId="0" fontId="56" fillId="3" borderId="131" xfId="53" applyFont="1" applyFill="1" applyBorder="1" applyAlignment="1">
      <alignment horizontal="center" vertical="center"/>
    </xf>
    <xf numFmtId="0" fontId="734" fillId="5" borderId="5" xfId="48" applyFont="1" applyFill="1" applyBorder="1" applyAlignment="1">
      <alignment horizontal="center" vertical="center"/>
    </xf>
    <xf numFmtId="0" fontId="734" fillId="5" borderId="131" xfId="48" applyFont="1" applyFill="1" applyBorder="1" applyAlignment="1">
      <alignment horizontal="center" vertical="center"/>
    </xf>
    <xf numFmtId="166" fontId="735" fillId="2" borderId="0" xfId="65" applyNumberFormat="1" applyFont="1" applyFill="1" applyAlignment="1" applyProtection="1">
      <alignment horizontal="center" vertical="center" wrapText="1"/>
      <protection locked="0"/>
    </xf>
    <xf numFmtId="166" fontId="735" fillId="2" borderId="58" xfId="65" applyNumberFormat="1" applyFont="1" applyFill="1" applyBorder="1" applyAlignment="1" applyProtection="1">
      <alignment horizontal="center" vertical="center" wrapText="1"/>
      <protection locked="0"/>
    </xf>
    <xf numFmtId="226" fontId="107" fillId="22" borderId="0" xfId="65" applyNumberFormat="1" applyFont="1" applyFill="1" applyAlignment="1" applyProtection="1">
      <alignment horizontal="center" vertical="center" wrapText="1"/>
      <protection locked="0"/>
    </xf>
    <xf numFmtId="226" fontId="107" fillId="22" borderId="58" xfId="65" applyNumberFormat="1" applyFont="1" applyFill="1" applyBorder="1" applyAlignment="1" applyProtection="1">
      <alignment horizontal="center" vertical="center" wrapText="1"/>
      <protection locked="0"/>
    </xf>
    <xf numFmtId="206" fontId="147" fillId="5" borderId="56" xfId="65" applyNumberFormat="1" applyFont="1" applyFill="1" applyBorder="1" applyAlignment="1" applyProtection="1">
      <alignment horizontal="center" vertical="center" wrapText="1"/>
      <protection locked="0"/>
    </xf>
    <xf numFmtId="0" fontId="24" fillId="3" borderId="384" xfId="48" applyFont="1" applyFill="1" applyBorder="1" applyAlignment="1">
      <alignment horizontal="center" vertical="center"/>
    </xf>
    <xf numFmtId="0" fontId="733" fillId="3" borderId="495" xfId="48" quotePrefix="1" applyFont="1" applyFill="1" applyBorder="1" applyAlignment="1">
      <alignment horizontal="center" vertical="center"/>
    </xf>
    <xf numFmtId="0" fontId="5" fillId="3" borderId="495" xfId="48" quotePrefix="1" applyFont="1" applyFill="1" applyBorder="1" applyAlignment="1">
      <alignment horizontal="center" vertical="center"/>
    </xf>
    <xf numFmtId="0" fontId="5" fillId="3" borderId="101" xfId="48" quotePrefix="1" applyFont="1" applyFill="1" applyBorder="1" applyAlignment="1">
      <alignment horizontal="center" vertical="center"/>
    </xf>
    <xf numFmtId="226" fontId="46" fillId="3" borderId="101" xfId="65" applyNumberFormat="1" applyFont="1" applyFill="1" applyBorder="1" applyAlignment="1" applyProtection="1">
      <alignment horizontal="center" vertical="center" wrapText="1"/>
      <protection locked="0"/>
    </xf>
    <xf numFmtId="206" fontId="46" fillId="3" borderId="100" xfId="65" applyNumberFormat="1" applyFont="1" applyFill="1" applyBorder="1" applyAlignment="1" applyProtection="1">
      <alignment horizontal="center" vertical="center" wrapText="1"/>
      <protection locked="0"/>
    </xf>
    <xf numFmtId="0" fontId="390" fillId="5" borderId="5" xfId="48" applyFont="1" applyFill="1" applyBorder="1" applyAlignment="1">
      <alignment horizontal="center" vertical="center"/>
    </xf>
    <xf numFmtId="166" fontId="34" fillId="2" borderId="0" xfId="65" applyNumberFormat="1" applyFont="1" applyFill="1" applyAlignment="1" applyProtection="1">
      <alignment horizontal="center" vertical="center" wrapText="1"/>
      <protection locked="0"/>
    </xf>
    <xf numFmtId="226" fontId="34" fillId="22" borderId="0" xfId="65" applyNumberFormat="1" applyFont="1" applyFill="1" applyAlignment="1" applyProtection="1">
      <alignment horizontal="center" vertical="center" wrapText="1"/>
      <protection locked="0"/>
    </xf>
    <xf numFmtId="0" fontId="532" fillId="2" borderId="58" xfId="53" applyFont="1" applyFill="1" applyBorder="1" applyAlignment="1">
      <alignment horizontal="center" vertical="center"/>
    </xf>
    <xf numFmtId="0" fontId="532" fillId="2" borderId="56" xfId="53" applyFont="1" applyFill="1" applyBorder="1" applyAlignment="1">
      <alignment horizontal="center" vertical="center"/>
    </xf>
    <xf numFmtId="0" fontId="148" fillId="28" borderId="384" xfId="52" applyFont="1" applyFill="1" applyBorder="1" applyAlignment="1">
      <alignment horizontal="center" vertical="center"/>
    </xf>
    <xf numFmtId="0" fontId="148" fillId="28" borderId="101" xfId="52" applyFont="1" applyFill="1" applyBorder="1" applyAlignment="1">
      <alignment horizontal="center" vertical="center"/>
    </xf>
    <xf numFmtId="0" fontId="148" fillId="28" borderId="496" xfId="52" applyFont="1" applyFill="1" applyBorder="1" applyAlignment="1">
      <alignment horizontal="center" vertical="center"/>
    </xf>
    <xf numFmtId="0" fontId="148" fillId="28" borderId="444" xfId="52" applyFont="1" applyFill="1" applyBorder="1" applyAlignment="1">
      <alignment horizontal="center" vertical="center"/>
    </xf>
    <xf numFmtId="205" fontId="40" fillId="22" borderId="101" xfId="65" applyNumberFormat="1" applyFont="1" applyFill="1" applyBorder="1" applyAlignment="1" applyProtection="1">
      <alignment horizontal="center" vertical="center" wrapText="1"/>
      <protection locked="0"/>
    </xf>
    <xf numFmtId="205" fontId="40" fillId="22" borderId="444" xfId="65" applyNumberFormat="1" applyFont="1" applyFill="1" applyBorder="1" applyAlignment="1" applyProtection="1">
      <alignment horizontal="center" vertical="center" wrapText="1"/>
      <protection locked="0"/>
    </xf>
    <xf numFmtId="172" fontId="15" fillId="5" borderId="100" xfId="65" applyNumberFormat="1" applyFont="1" applyFill="1" applyBorder="1" applyAlignment="1" applyProtection="1">
      <alignment horizontal="center" vertical="center" wrapText="1"/>
      <protection locked="0"/>
    </xf>
    <xf numFmtId="172" fontId="15" fillId="5" borderId="445" xfId="65" applyNumberFormat="1" applyFont="1" applyFill="1" applyBorder="1" applyAlignment="1" applyProtection="1">
      <alignment horizontal="center" vertical="center" wrapText="1"/>
      <protection locked="0"/>
    </xf>
    <xf numFmtId="0" fontId="4" fillId="0" borderId="384" xfId="53" applyBorder="1" applyAlignment="1">
      <alignment horizontal="center" vertical="center"/>
    </xf>
    <xf numFmtId="0" fontId="4" fillId="0" borderId="131" xfId="53" applyBorder="1" applyAlignment="1">
      <alignment horizontal="center" vertical="center"/>
    </xf>
    <xf numFmtId="0" fontId="11" fillId="3" borderId="58" xfId="52" applyFont="1" applyFill="1" applyBorder="1" applyAlignment="1">
      <alignment horizontal="right" vertical="center"/>
    </xf>
    <xf numFmtId="9" fontId="11" fillId="3" borderId="100" xfId="53" applyNumberFormat="1" applyFont="1" applyFill="1" applyBorder="1" applyAlignment="1">
      <alignment horizontal="center" vertical="center"/>
    </xf>
    <xf numFmtId="9" fontId="11" fillId="3" borderId="56" xfId="53" applyNumberFormat="1" applyFont="1" applyFill="1" applyBorder="1" applyAlignment="1">
      <alignment horizontal="center" vertical="center"/>
    </xf>
    <xf numFmtId="0" fontId="23" fillId="4" borderId="424" xfId="52" applyFont="1" applyFill="1" applyBorder="1" applyAlignment="1" applyProtection="1">
      <alignment horizontal="right" vertical="center"/>
      <protection locked="0"/>
    </xf>
    <xf numFmtId="0" fontId="0" fillId="3" borderId="5" xfId="53" applyFont="1" applyFill="1" applyBorder="1" applyAlignment="1">
      <alignment horizontal="center"/>
    </xf>
    <xf numFmtId="0" fontId="0" fillId="3" borderId="4" xfId="53" applyFont="1" applyFill="1" applyBorder="1" applyAlignment="1">
      <alignment horizontal="center"/>
    </xf>
    <xf numFmtId="0" fontId="182" fillId="3" borderId="0" xfId="8" applyFont="1" applyFill="1" applyAlignment="1">
      <alignment horizontal="left" vertical="center"/>
    </xf>
    <xf numFmtId="0" fontId="182" fillId="3" borderId="0" xfId="28" applyFont="1" applyFill="1" applyAlignment="1">
      <alignment horizontal="left" vertical="center"/>
    </xf>
    <xf numFmtId="0" fontId="162" fillId="0" borderId="0" xfId="28" applyFont="1" applyAlignment="1">
      <alignment horizontal="center" vertical="center"/>
    </xf>
    <xf numFmtId="0" fontId="15" fillId="4" borderId="424" xfId="60" applyFont="1" applyFill="1" applyBorder="1" applyAlignment="1">
      <alignment horizontal="center"/>
    </xf>
    <xf numFmtId="0" fontId="15" fillId="4" borderId="7" xfId="60" applyFont="1" applyFill="1" applyBorder="1" applyAlignment="1">
      <alignment horizontal="center"/>
    </xf>
    <xf numFmtId="0" fontId="15" fillId="4" borderId="419" xfId="60" applyFont="1" applyFill="1" applyBorder="1" applyAlignment="1">
      <alignment horizontal="center"/>
    </xf>
    <xf numFmtId="0" fontId="4" fillId="3" borderId="66" xfId="53" applyFill="1" applyBorder="1" applyAlignment="1">
      <alignment horizontal="center"/>
    </xf>
    <xf numFmtId="0" fontId="4" fillId="3" borderId="67" xfId="53" applyFill="1" applyBorder="1" applyAlignment="1">
      <alignment horizontal="center"/>
    </xf>
    <xf numFmtId="0" fontId="46" fillId="3" borderId="424" xfId="53" applyFont="1" applyFill="1" applyBorder="1" applyAlignment="1">
      <alignment horizontal="center" wrapText="1"/>
    </xf>
    <xf numFmtId="0" fontId="46" fillId="3" borderId="419" xfId="53" applyFont="1" applyFill="1" applyBorder="1" applyAlignment="1">
      <alignment horizontal="center" wrapText="1"/>
    </xf>
    <xf numFmtId="0" fontId="46" fillId="3" borderId="5" xfId="53" applyFont="1" applyFill="1" applyBorder="1" applyAlignment="1">
      <alignment horizontal="center" wrapText="1"/>
    </xf>
    <xf numFmtId="0" fontId="46" fillId="3" borderId="4" xfId="53" applyFont="1" applyFill="1" applyBorder="1" applyAlignment="1">
      <alignment horizontal="center" wrapText="1"/>
    </xf>
    <xf numFmtId="0" fontId="279" fillId="49" borderId="4" xfId="48" applyFont="1" applyFill="1" applyBorder="1" applyAlignment="1">
      <alignment horizontal="center" vertical="center" textRotation="90"/>
    </xf>
    <xf numFmtId="0" fontId="279" fillId="49" borderId="4" xfId="48" applyFont="1" applyFill="1" applyBorder="1" applyAlignment="1">
      <alignment horizontal="center" vertical="center" textRotation="90" wrapText="1"/>
    </xf>
    <xf numFmtId="0" fontId="15" fillId="3" borderId="424" xfId="53" applyFont="1" applyFill="1" applyBorder="1" applyAlignment="1">
      <alignment horizontal="center" vertical="center"/>
    </xf>
    <xf numFmtId="0" fontId="15" fillId="3" borderId="419" xfId="53" applyFont="1" applyFill="1" applyBorder="1" applyAlignment="1">
      <alignment horizontal="center" vertical="center"/>
    </xf>
    <xf numFmtId="0" fontId="6" fillId="3" borderId="424" xfId="53" applyFont="1" applyFill="1" applyBorder="1" applyAlignment="1">
      <alignment horizontal="center" vertical="center" wrapText="1"/>
    </xf>
    <xf numFmtId="0" fontId="6" fillId="3" borderId="419" xfId="53" applyFont="1" applyFill="1" applyBorder="1" applyAlignment="1">
      <alignment horizontal="center" vertical="center" wrapText="1"/>
    </xf>
    <xf numFmtId="0" fontId="6" fillId="3" borderId="5" xfId="53" applyFont="1" applyFill="1" applyBorder="1" applyAlignment="1">
      <alignment horizontal="center" vertical="center" wrapText="1"/>
    </xf>
    <xf numFmtId="0" fontId="6" fillId="3" borderId="4" xfId="53" applyFont="1" applyFill="1" applyBorder="1" applyAlignment="1">
      <alignment horizontal="center" vertical="center" wrapText="1"/>
    </xf>
    <xf numFmtId="0" fontId="147" fillId="3" borderId="5" xfId="53" applyFont="1" applyFill="1" applyBorder="1" applyAlignment="1">
      <alignment horizontal="center" vertical="center"/>
    </xf>
    <xf numFmtId="0" fontId="147" fillId="3" borderId="4" xfId="53" applyFont="1" applyFill="1" applyBorder="1" applyAlignment="1">
      <alignment horizontal="center" vertical="center"/>
    </xf>
    <xf numFmtId="0" fontId="6" fillId="3" borderId="29" xfId="53" applyFont="1" applyFill="1" applyBorder="1" applyAlignment="1">
      <alignment horizontal="center" vertical="center"/>
    </xf>
    <xf numFmtId="0" fontId="6" fillId="3" borderId="31" xfId="53" applyFont="1" applyFill="1" applyBorder="1" applyAlignment="1">
      <alignment horizontal="center" vertical="center"/>
    </xf>
    <xf numFmtId="0" fontId="4" fillId="3" borderId="5" xfId="53" applyFill="1" applyBorder="1" applyAlignment="1">
      <alignment horizontal="center"/>
    </xf>
    <xf numFmtId="0" fontId="4" fillId="3" borderId="4" xfId="53" applyFill="1" applyBorder="1" applyAlignment="1">
      <alignment horizontal="center"/>
    </xf>
    <xf numFmtId="0" fontId="44" fillId="0" borderId="66" xfId="53" applyFont="1" applyBorder="1" applyAlignment="1">
      <alignment horizontal="center"/>
    </xf>
    <xf numFmtId="0" fontId="44" fillId="0" borderId="67" xfId="53" applyFont="1" applyBorder="1" applyAlignment="1">
      <alignment horizontal="center"/>
    </xf>
    <xf numFmtId="0" fontId="6" fillId="3" borderId="29" xfId="53" applyFont="1" applyFill="1" applyBorder="1" applyAlignment="1">
      <alignment horizontal="center"/>
    </xf>
    <xf numFmtId="0" fontId="6" fillId="3" borderId="31" xfId="53" applyFont="1" applyFill="1" applyBorder="1" applyAlignment="1">
      <alignment horizontal="center"/>
    </xf>
    <xf numFmtId="0" fontId="432" fillId="3" borderId="0" xfId="48" applyFont="1" applyFill="1" applyAlignment="1">
      <alignment horizontal="center" vertical="center" wrapText="1"/>
    </xf>
    <xf numFmtId="0" fontId="493" fillId="13" borderId="5" xfId="53" applyFont="1" applyFill="1" applyBorder="1" applyAlignment="1">
      <alignment horizontal="center" vertical="center"/>
    </xf>
    <xf numFmtId="0" fontId="493" fillId="13" borderId="0" xfId="53" applyFont="1" applyFill="1" applyAlignment="1">
      <alignment horizontal="center" vertical="center"/>
    </xf>
    <xf numFmtId="0" fontId="174" fillId="49" borderId="0" xfId="48" applyFont="1" applyFill="1" applyAlignment="1">
      <alignment horizontal="center" vertical="center" textRotation="90"/>
    </xf>
    <xf numFmtId="0" fontId="493" fillId="13" borderId="382" xfId="53" applyFont="1" applyFill="1" applyBorder="1" applyAlignment="1">
      <alignment horizontal="center" vertical="center"/>
    </xf>
    <xf numFmtId="0" fontId="493" fillId="13" borderId="497" xfId="53" applyFont="1" applyFill="1" applyBorder="1" applyAlignment="1">
      <alignment horizontal="center" vertical="center"/>
    </xf>
    <xf numFmtId="0" fontId="24" fillId="3" borderId="5" xfId="53" applyFont="1" applyFill="1" applyBorder="1" applyAlignment="1">
      <alignment horizontal="center" vertical="center" wrapText="1"/>
    </xf>
    <xf numFmtId="0" fontId="24" fillId="3" borderId="0" xfId="53" applyFont="1" applyFill="1" applyAlignment="1">
      <alignment horizontal="center" vertical="center" wrapText="1"/>
    </xf>
    <xf numFmtId="0" fontId="24" fillId="3" borderId="4" xfId="53" applyFont="1" applyFill="1" applyBorder="1" applyAlignment="1">
      <alignment horizontal="center" vertical="center" wrapText="1"/>
    </xf>
    <xf numFmtId="2" fontId="13" fillId="3" borderId="4" xfId="53" applyNumberFormat="1" applyFont="1" applyFill="1" applyBorder="1" applyAlignment="1">
      <alignment horizontal="center" vertical="center"/>
    </xf>
    <xf numFmtId="0" fontId="13" fillId="3" borderId="101" xfId="53" applyFont="1" applyFill="1" applyBorder="1" applyAlignment="1">
      <alignment horizontal="center" vertical="center"/>
    </xf>
    <xf numFmtId="0" fontId="13" fillId="3" borderId="567" xfId="53" applyFont="1" applyFill="1" applyBorder="1" applyAlignment="1">
      <alignment horizontal="center" vertical="center"/>
    </xf>
    <xf numFmtId="0" fontId="13" fillId="3" borderId="101" xfId="53" applyFont="1" applyFill="1" applyBorder="1" applyAlignment="1">
      <alignment horizontal="right" vertical="center"/>
    </xf>
    <xf numFmtId="0" fontId="13" fillId="3" borderId="567" xfId="53" applyFont="1" applyFill="1" applyBorder="1" applyAlignment="1">
      <alignment horizontal="right" vertical="center"/>
    </xf>
    <xf numFmtId="0" fontId="82" fillId="138" borderId="444" xfId="48" applyFont="1" applyFill="1" applyBorder="1" applyAlignment="1" applyProtection="1">
      <alignment horizontal="center" vertical="center"/>
      <protection hidden="1"/>
    </xf>
    <xf numFmtId="0" fontId="174" fillId="49" borderId="301" xfId="48" applyFont="1" applyFill="1" applyBorder="1" applyAlignment="1">
      <alignment horizontal="center" vertical="center" textRotation="90"/>
    </xf>
    <xf numFmtId="0" fontId="27" fillId="0" borderId="57" xfId="52" applyFont="1" applyBorder="1" applyAlignment="1" applyProtection="1">
      <alignment horizontal="center" vertical="center"/>
      <protection locked="0"/>
    </xf>
    <xf numFmtId="0" fontId="27" fillId="0" borderId="0" xfId="52" applyFont="1" applyAlignment="1" applyProtection="1">
      <alignment horizontal="center" vertical="center"/>
      <protection locked="0"/>
    </xf>
    <xf numFmtId="0" fontId="27" fillId="0" borderId="301" xfId="52" applyFont="1" applyBorder="1" applyAlignment="1" applyProtection="1">
      <alignment horizontal="center" vertical="center"/>
      <protection locked="0"/>
    </xf>
    <xf numFmtId="0" fontId="8" fillId="3" borderId="0" xfId="52" applyFont="1" applyFill="1" applyAlignment="1">
      <alignment horizontal="center" vertical="center"/>
    </xf>
    <xf numFmtId="0" fontId="36" fillId="3" borderId="0" xfId="53" applyFont="1" applyFill="1" applyAlignment="1">
      <alignment horizontal="center" vertical="center"/>
    </xf>
    <xf numFmtId="171" fontId="36" fillId="3" borderId="0" xfId="52" applyNumberFormat="1" applyFont="1" applyFill="1" applyAlignment="1">
      <alignment horizontal="left" vertical="center"/>
    </xf>
    <xf numFmtId="0" fontId="13" fillId="3" borderId="5" xfId="53" applyFont="1" applyFill="1" applyBorder="1" applyAlignment="1">
      <alignment horizontal="right" vertical="center"/>
    </xf>
    <xf numFmtId="1" fontId="13" fillId="3" borderId="0" xfId="53" applyNumberFormat="1" applyFont="1" applyFill="1" applyAlignment="1">
      <alignment horizontal="right" vertical="center"/>
    </xf>
    <xf numFmtId="1" fontId="13" fillId="3" borderId="0" xfId="53" applyNumberFormat="1" applyFont="1" applyFill="1" applyAlignment="1">
      <alignment horizontal="center" vertical="center"/>
    </xf>
    <xf numFmtId="0" fontId="13" fillId="3" borderId="0" xfId="53" applyFont="1" applyFill="1" applyAlignment="1">
      <alignment horizontal="center" vertical="center"/>
    </xf>
    <xf numFmtId="0" fontId="61" fillId="3" borderId="0" xfId="53" applyFont="1" applyFill="1" applyAlignment="1">
      <alignment horizontal="center" vertical="center"/>
    </xf>
    <xf numFmtId="174" fontId="103" fillId="2" borderId="541" xfId="52" applyNumberFormat="1" applyFont="1" applyFill="1" applyBorder="1" applyAlignment="1">
      <alignment horizontal="center" vertical="center" wrapText="1"/>
    </xf>
    <xf numFmtId="174" fontId="103" fillId="2" borderId="101" xfId="52" applyNumberFormat="1" applyFont="1" applyFill="1" applyBorder="1" applyAlignment="1">
      <alignment horizontal="center" vertical="center" wrapText="1"/>
    </xf>
    <xf numFmtId="174" fontId="103" fillId="2" borderId="533" xfId="52" applyNumberFormat="1" applyFont="1" applyFill="1" applyBorder="1" applyAlignment="1">
      <alignment horizontal="center" vertical="center" wrapText="1"/>
    </xf>
    <xf numFmtId="174" fontId="103" fillId="2" borderId="5" xfId="52" applyNumberFormat="1" applyFont="1" applyFill="1" applyBorder="1" applyAlignment="1">
      <alignment horizontal="center" vertical="center" wrapText="1"/>
    </xf>
    <xf numFmtId="174" fontId="103" fillId="2" borderId="0" xfId="52" applyNumberFormat="1" applyFont="1" applyFill="1" applyAlignment="1">
      <alignment horizontal="center" vertical="center" wrapText="1"/>
    </xf>
    <xf numFmtId="174" fontId="103" fillId="2" borderId="4" xfId="52" applyNumberFormat="1" applyFont="1" applyFill="1" applyBorder="1" applyAlignment="1">
      <alignment horizontal="center" vertical="center" wrapText="1"/>
    </xf>
    <xf numFmtId="174" fontId="412" fillId="3" borderId="5" xfId="52" applyNumberFormat="1" applyFont="1" applyFill="1" applyBorder="1" applyAlignment="1">
      <alignment horizontal="right" vertical="center" wrapText="1"/>
    </xf>
    <xf numFmtId="174" fontId="412" fillId="3" borderId="0" xfId="52" applyNumberFormat="1" applyFont="1" applyFill="1" applyAlignment="1">
      <alignment horizontal="right" vertical="center" wrapText="1"/>
    </xf>
    <xf numFmtId="229" fontId="84" fillId="2" borderId="0" xfId="52" applyNumberFormat="1" applyFont="1" applyFill="1" applyAlignment="1">
      <alignment horizontal="center" vertical="center"/>
    </xf>
    <xf numFmtId="229" fontId="84" fillId="2" borderId="567" xfId="52" applyNumberFormat="1" applyFont="1" applyFill="1" applyBorder="1" applyAlignment="1">
      <alignment horizontal="center" vertical="center"/>
    </xf>
    <xf numFmtId="174" fontId="769" fillId="3" borderId="0" xfId="52" applyNumberFormat="1" applyFont="1" applyFill="1" applyAlignment="1">
      <alignment horizontal="right" vertical="center" wrapText="1"/>
    </xf>
    <xf numFmtId="0" fontId="43" fillId="4" borderId="424" xfId="53" applyFont="1" applyFill="1" applyBorder="1" applyAlignment="1">
      <alignment horizontal="center" vertical="center"/>
    </xf>
    <xf numFmtId="0" fontId="43" fillId="4" borderId="7" xfId="53" applyFont="1" applyFill="1" applyBorder="1" applyAlignment="1">
      <alignment horizontal="center" vertical="center"/>
    </xf>
    <xf numFmtId="0" fontId="43" fillId="4" borderId="419" xfId="53" applyFont="1" applyFill="1" applyBorder="1" applyAlignment="1">
      <alignment horizontal="center" vertical="center"/>
    </xf>
    <xf numFmtId="1" fontId="13" fillId="3" borderId="0" xfId="52" applyNumberFormat="1" applyFont="1" applyFill="1" applyAlignment="1">
      <alignment horizontal="center" vertical="center"/>
    </xf>
    <xf numFmtId="229" fontId="13" fillId="3" borderId="4" xfId="52" applyNumberFormat="1" applyFont="1" applyFill="1" applyBorder="1" applyAlignment="1">
      <alignment horizontal="center" vertical="center"/>
    </xf>
    <xf numFmtId="229" fontId="37" fillId="2" borderId="0" xfId="52" applyNumberFormat="1" applyFont="1" applyFill="1" applyAlignment="1">
      <alignment horizontal="center" vertical="center"/>
    </xf>
    <xf numFmtId="229" fontId="37" fillId="2" borderId="567" xfId="52" applyNumberFormat="1" applyFont="1" applyFill="1" applyBorder="1" applyAlignment="1">
      <alignment horizontal="center" vertical="center"/>
    </xf>
    <xf numFmtId="0" fontId="8" fillId="3" borderId="0" xfId="53" applyFont="1" applyFill="1" applyAlignment="1">
      <alignment horizontal="right" vertical="center" wrapText="1"/>
    </xf>
    <xf numFmtId="174" fontId="43" fillId="3" borderId="541" xfId="52" applyNumberFormat="1" applyFont="1" applyFill="1" applyBorder="1" applyAlignment="1">
      <alignment horizontal="center" vertical="center" wrapText="1"/>
    </xf>
    <xf numFmtId="174" fontId="43" fillId="3" borderId="101" xfId="52" applyNumberFormat="1" applyFont="1" applyFill="1" applyBorder="1" applyAlignment="1">
      <alignment horizontal="center" vertical="center" wrapText="1"/>
    </xf>
    <xf numFmtId="174" fontId="43" fillId="3" borderId="533" xfId="52" applyNumberFormat="1" applyFont="1" applyFill="1" applyBorder="1" applyAlignment="1">
      <alignment horizontal="center" vertical="center" wrapText="1"/>
    </xf>
    <xf numFmtId="174" fontId="43" fillId="3" borderId="5" xfId="52" applyNumberFormat="1" applyFont="1" applyFill="1" applyBorder="1" applyAlignment="1">
      <alignment horizontal="center" vertical="center" wrapText="1"/>
    </xf>
    <xf numFmtId="174" fontId="43" fillId="3" borderId="0" xfId="52" applyNumberFormat="1" applyFont="1" applyFill="1" applyAlignment="1">
      <alignment horizontal="center" vertical="center" wrapText="1"/>
    </xf>
    <xf numFmtId="174" fontId="43" fillId="3" borderId="4" xfId="52" applyNumberFormat="1" applyFont="1" applyFill="1" applyBorder="1" applyAlignment="1">
      <alignment horizontal="center" vertical="center" wrapText="1"/>
    </xf>
    <xf numFmtId="1" fontId="13" fillId="3" borderId="0" xfId="52" applyNumberFormat="1" applyFont="1" applyFill="1" applyAlignment="1">
      <alignment horizontal="right" vertical="center"/>
    </xf>
    <xf numFmtId="0" fontId="11" fillId="4" borderId="569" xfId="12" applyFont="1" applyFill="1" applyBorder="1" applyAlignment="1">
      <alignment horizontal="center" vertical="center" wrapText="1"/>
    </xf>
    <xf numFmtId="0" fontId="11" fillId="4" borderId="570" xfId="12" applyFont="1" applyFill="1" applyBorder="1" applyAlignment="1">
      <alignment horizontal="center" vertical="center" wrapText="1"/>
    </xf>
    <xf numFmtId="0" fontId="11" fillId="4" borderId="571" xfId="12" applyFont="1" applyFill="1" applyBorder="1" applyAlignment="1">
      <alignment horizontal="center" vertical="center" wrapText="1"/>
    </xf>
    <xf numFmtId="0" fontId="6" fillId="3" borderId="5" xfId="53" applyFont="1" applyFill="1" applyBorder="1" applyAlignment="1">
      <alignment horizontal="right" vertical="center"/>
    </xf>
    <xf numFmtId="0" fontId="6" fillId="3" borderId="0" xfId="53" applyFont="1" applyFill="1" applyAlignment="1">
      <alignment horizontal="right" vertical="center"/>
    </xf>
    <xf numFmtId="171" fontId="7" fillId="3" borderId="0" xfId="53" applyNumberFormat="1" applyFont="1" applyFill="1" applyAlignment="1" applyProtection="1">
      <alignment horizontal="center" vertical="center"/>
      <protection locked="0"/>
    </xf>
    <xf numFmtId="171" fontId="70" fillId="3" borderId="0" xfId="53" applyNumberFormat="1" applyFont="1" applyFill="1" applyAlignment="1" applyProtection="1">
      <alignment horizontal="center" vertical="center"/>
      <protection locked="0"/>
    </xf>
    <xf numFmtId="171" fontId="70" fillId="3" borderId="4" xfId="53" applyNumberFormat="1" applyFont="1" applyFill="1" applyBorder="1" applyAlignment="1" applyProtection="1">
      <alignment horizontal="center" vertical="center"/>
      <protection locked="0"/>
    </xf>
    <xf numFmtId="0" fontId="767" fillId="3" borderId="5" xfId="12" applyFont="1" applyFill="1" applyBorder="1" applyAlignment="1">
      <alignment horizontal="center" vertical="center" wrapText="1"/>
    </xf>
    <xf numFmtId="0" fontId="10" fillId="3" borderId="4" xfId="12" applyFont="1" applyFill="1" applyBorder="1" applyAlignment="1">
      <alignment horizontal="center" vertical="center" wrapText="1"/>
    </xf>
    <xf numFmtId="0" fontId="43" fillId="12" borderId="4" xfId="12" applyFont="1" applyFill="1" applyBorder="1" applyAlignment="1">
      <alignment horizontal="center" vertical="center"/>
    </xf>
    <xf numFmtId="0" fontId="95" fillId="3" borderId="4" xfId="13" applyFont="1" applyFill="1" applyBorder="1" applyAlignment="1">
      <alignment horizontal="center" vertical="center" wrapText="1"/>
    </xf>
    <xf numFmtId="0" fontId="96" fillId="15" borderId="4" xfId="12" applyFont="1" applyFill="1" applyBorder="1" applyAlignment="1">
      <alignment horizontal="center" vertical="center"/>
    </xf>
    <xf numFmtId="174" fontId="70" fillId="3" borderId="0" xfId="52" applyNumberFormat="1" applyFont="1" applyFill="1" applyAlignment="1">
      <alignment horizontal="left" vertical="center" wrapText="1"/>
    </xf>
    <xf numFmtId="174" fontId="70" fillId="3" borderId="0" xfId="52" applyNumberFormat="1" applyFont="1" applyFill="1" applyAlignment="1">
      <alignment horizontal="right" vertical="center" wrapText="1"/>
    </xf>
    <xf numFmtId="174" fontId="99" fillId="3" borderId="0" xfId="52" applyNumberFormat="1" applyFont="1" applyFill="1" applyAlignment="1">
      <alignment horizontal="center" vertical="center" wrapText="1"/>
    </xf>
    <xf numFmtId="0" fontId="13" fillId="4" borderId="424" xfId="53" applyFont="1" applyFill="1" applyBorder="1" applyAlignment="1">
      <alignment horizontal="center" vertical="center"/>
    </xf>
    <xf numFmtId="0" fontId="13" fillId="4" borderId="7" xfId="53" applyFont="1" applyFill="1" applyBorder="1" applyAlignment="1">
      <alignment horizontal="center" vertical="center"/>
    </xf>
    <xf numFmtId="0" fontId="13" fillId="4" borderId="419" xfId="53" applyFont="1" applyFill="1" applyBorder="1" applyAlignment="1">
      <alignment horizontal="center" vertical="center"/>
    </xf>
    <xf numFmtId="0" fontId="70" fillId="3" borderId="541" xfId="53" applyFont="1" applyFill="1" applyBorder="1" applyAlignment="1">
      <alignment horizontal="center" vertical="center" wrapText="1"/>
    </xf>
    <xf numFmtId="0" fontId="70" fillId="3" borderId="101" xfId="53" applyFont="1" applyFill="1" applyBorder="1" applyAlignment="1">
      <alignment horizontal="center" vertical="center" wrapText="1"/>
    </xf>
    <xf numFmtId="0" fontId="70" fillId="3" borderId="101" xfId="53" applyFont="1" applyFill="1" applyBorder="1" applyAlignment="1">
      <alignment horizontal="center" vertical="center"/>
    </xf>
    <xf numFmtId="171" fontId="47" fillId="3" borderId="101" xfId="53" applyNumberFormat="1" applyFont="1" applyFill="1" applyBorder="1" applyAlignment="1" applyProtection="1">
      <alignment horizontal="center" vertical="center" wrapText="1"/>
      <protection locked="0"/>
    </xf>
    <xf numFmtId="171" fontId="47" fillId="3" borderId="533" xfId="53" applyNumberFormat="1" applyFont="1" applyFill="1" applyBorder="1" applyAlignment="1" applyProtection="1">
      <alignment horizontal="center" vertical="center" wrapText="1"/>
      <protection locked="0"/>
    </xf>
    <xf numFmtId="0" fontId="4" fillId="3" borderId="5" xfId="53" applyFill="1" applyBorder="1" applyAlignment="1">
      <alignment horizontal="right" vertical="center"/>
    </xf>
    <xf numFmtId="0" fontId="4" fillId="3" borderId="0" xfId="53" applyFill="1" applyAlignment="1">
      <alignment horizontal="right" vertical="center"/>
    </xf>
    <xf numFmtId="0" fontId="767" fillId="3" borderId="146" xfId="12" applyFont="1" applyFill="1" applyBorder="1" applyAlignment="1">
      <alignment horizontal="center" vertical="center" wrapText="1"/>
    </xf>
    <xf numFmtId="0" fontId="767" fillId="3" borderId="359" xfId="12" applyFont="1" applyFill="1" applyBorder="1" applyAlignment="1">
      <alignment horizontal="center" vertical="center" wrapText="1"/>
    </xf>
    <xf numFmtId="0" fontId="767" fillId="3" borderId="148" xfId="12" applyFont="1" applyFill="1" applyBorder="1" applyAlignment="1">
      <alignment horizontal="center" vertical="center" wrapText="1"/>
    </xf>
    <xf numFmtId="0" fontId="169" fillId="49" borderId="424" xfId="53" applyFont="1" applyFill="1" applyBorder="1" applyAlignment="1">
      <alignment horizontal="center"/>
    </xf>
    <xf numFmtId="0" fontId="169" fillId="49" borderId="7" xfId="53" applyFont="1" applyFill="1" applyBorder="1" applyAlignment="1">
      <alignment horizontal="center"/>
    </xf>
    <xf numFmtId="0" fontId="169" fillId="49" borderId="419" xfId="53" applyFont="1" applyFill="1" applyBorder="1" applyAlignment="1">
      <alignment horizontal="center"/>
    </xf>
    <xf numFmtId="0" fontId="174" fillId="49" borderId="0" xfId="48" applyFont="1" applyFill="1" applyAlignment="1">
      <alignment horizontal="center" vertical="center" textRotation="90" wrapText="1"/>
    </xf>
    <xf numFmtId="0" fontId="174" fillId="49" borderId="4" xfId="48" applyFont="1" applyFill="1" applyBorder="1" applyAlignment="1">
      <alignment horizontal="center" vertical="center" textRotation="90" wrapText="1"/>
    </xf>
    <xf numFmtId="0" fontId="313" fillId="3" borderId="5" xfId="48" applyFont="1" applyFill="1" applyBorder="1" applyAlignment="1" applyProtection="1">
      <alignment horizontal="center" vertical="center"/>
      <protection hidden="1"/>
    </xf>
    <xf numFmtId="0" fontId="313" fillId="3" borderId="0" xfId="48" applyFont="1" applyFill="1" applyAlignment="1" applyProtection="1">
      <alignment horizontal="center" vertical="center"/>
      <protection hidden="1"/>
    </xf>
    <xf numFmtId="0" fontId="313" fillId="3" borderId="4" xfId="48" applyFont="1" applyFill="1" applyBorder="1" applyAlignment="1" applyProtection="1">
      <alignment horizontal="center" vertical="center"/>
      <protection hidden="1"/>
    </xf>
    <xf numFmtId="0" fontId="11" fillId="3" borderId="4" xfId="32" applyFont="1" applyFill="1" applyBorder="1" applyAlignment="1">
      <alignment horizontal="center" vertical="center" wrapText="1"/>
    </xf>
    <xf numFmtId="0" fontId="11" fillId="3" borderId="496" xfId="32" applyFont="1" applyFill="1" applyBorder="1" applyAlignment="1">
      <alignment horizontal="center" vertical="center" wrapText="1"/>
    </xf>
    <xf numFmtId="0" fontId="11" fillId="3" borderId="444" xfId="32" applyFont="1" applyFill="1" applyBorder="1" applyAlignment="1">
      <alignment horizontal="center" vertical="center" wrapText="1"/>
    </xf>
    <xf numFmtId="0" fontId="11" fillId="3" borderId="445" xfId="32" applyFont="1" applyFill="1" applyBorder="1" applyAlignment="1">
      <alignment horizontal="center" vertical="center" wrapText="1"/>
    </xf>
    <xf numFmtId="0" fontId="8" fillId="9" borderId="5" xfId="53" applyFont="1" applyFill="1" applyBorder="1" applyAlignment="1">
      <alignment horizontal="center" vertical="center"/>
    </xf>
    <xf numFmtId="0" fontId="8" fillId="9" borderId="0" xfId="53" applyFont="1" applyFill="1" applyAlignment="1">
      <alignment horizontal="center" vertical="center"/>
    </xf>
    <xf numFmtId="0" fontId="8" fillId="9" borderId="4" xfId="53" applyFont="1" applyFill="1" applyBorder="1" applyAlignment="1">
      <alignment horizontal="center" vertical="center"/>
    </xf>
    <xf numFmtId="0" fontId="169" fillId="3" borderId="382" xfId="53" applyFont="1" applyFill="1" applyBorder="1" applyAlignment="1">
      <alignment horizontal="right" vertical="center"/>
    </xf>
    <xf numFmtId="0" fontId="169" fillId="3" borderId="497" xfId="53" applyFont="1" applyFill="1" applyBorder="1" applyAlignment="1">
      <alignment horizontal="right" vertical="center"/>
    </xf>
    <xf numFmtId="0" fontId="44" fillId="3" borderId="382" xfId="53" applyFont="1" applyFill="1" applyBorder="1" applyAlignment="1">
      <alignment horizontal="right" vertical="center"/>
    </xf>
    <xf numFmtId="0" fontId="44" fillId="3" borderId="497" xfId="53" applyFont="1" applyFill="1" applyBorder="1" applyAlignment="1">
      <alignment horizontal="right" vertical="center"/>
    </xf>
    <xf numFmtId="0" fontId="56" fillId="3" borderId="382" xfId="53" applyFont="1" applyFill="1" applyBorder="1" applyAlignment="1">
      <alignment horizontal="center" vertical="center" wrapText="1"/>
    </xf>
    <xf numFmtId="0" fontId="56" fillId="3" borderId="497" xfId="53" applyFont="1" applyFill="1" applyBorder="1" applyAlignment="1">
      <alignment horizontal="center" vertical="center" wrapText="1"/>
    </xf>
    <xf numFmtId="0" fontId="56" fillId="3" borderId="383" xfId="53" applyFont="1" applyFill="1" applyBorder="1" applyAlignment="1">
      <alignment horizontal="center" vertical="center" wrapText="1"/>
    </xf>
    <xf numFmtId="0" fontId="56" fillId="3" borderId="358" xfId="53" applyFont="1" applyFill="1" applyBorder="1" applyAlignment="1">
      <alignment horizontal="center" vertical="center" wrapText="1"/>
    </xf>
    <xf numFmtId="0" fontId="56" fillId="3" borderId="1" xfId="53" applyFont="1" applyFill="1" applyBorder="1" applyAlignment="1">
      <alignment horizontal="center" vertical="center" wrapText="1"/>
    </xf>
    <xf numFmtId="0" fontId="56" fillId="3" borderId="60" xfId="53" applyFont="1" applyFill="1" applyBorder="1" applyAlignment="1">
      <alignment horizontal="center" vertical="center" wrapText="1"/>
    </xf>
    <xf numFmtId="0" fontId="727" fillId="3" borderId="146" xfId="48" applyFont="1" applyFill="1" applyBorder="1" applyAlignment="1">
      <alignment horizontal="center" vertical="center" wrapText="1"/>
    </xf>
    <xf numFmtId="0" fontId="186" fillId="3" borderId="359" xfId="48" applyFont="1" applyFill="1" applyBorder="1" applyAlignment="1">
      <alignment horizontal="center" vertical="center" wrapText="1"/>
    </xf>
    <xf numFmtId="0" fontId="186" fillId="3" borderId="148" xfId="48" applyFont="1" applyFill="1" applyBorder="1" applyAlignment="1">
      <alignment horizontal="center" vertical="center" wrapText="1"/>
    </xf>
    <xf numFmtId="0" fontId="8" fillId="9" borderId="398" xfId="53" applyFont="1" applyFill="1" applyBorder="1" applyAlignment="1">
      <alignment horizontal="center" vertical="center"/>
    </xf>
    <xf numFmtId="0" fontId="8" fillId="9" borderId="497" xfId="53" applyFont="1" applyFill="1" applyBorder="1" applyAlignment="1">
      <alignment horizontal="center" vertical="center"/>
    </xf>
    <xf numFmtId="0" fontId="8" fillId="9" borderId="401" xfId="53" applyFont="1" applyFill="1" applyBorder="1" applyAlignment="1">
      <alignment horizontal="center" vertical="center"/>
    </xf>
    <xf numFmtId="0" fontId="8" fillId="6" borderId="0" xfId="53" applyFont="1" applyFill="1" applyAlignment="1">
      <alignment horizontal="center" vertical="center"/>
    </xf>
    <xf numFmtId="0" fontId="8" fillId="6" borderId="301" xfId="53" applyFont="1" applyFill="1" applyBorder="1" applyAlignment="1">
      <alignment horizontal="center" vertical="center"/>
    </xf>
    <xf numFmtId="0" fontId="44" fillId="3" borderId="0" xfId="53" applyFont="1" applyFill="1" applyAlignment="1">
      <alignment horizontal="right" vertical="center"/>
    </xf>
    <xf numFmtId="174" fontId="764" fillId="24" borderId="564" xfId="52" applyNumberFormat="1" applyFont="1" applyFill="1" applyBorder="1" applyAlignment="1">
      <alignment horizontal="right" vertical="center"/>
    </xf>
    <xf numFmtId="174" fontId="764" fillId="24" borderId="496" xfId="52" applyNumberFormat="1" applyFont="1" applyFill="1" applyBorder="1" applyAlignment="1">
      <alignment horizontal="right" vertical="center"/>
    </xf>
    <xf numFmtId="0" fontId="765" fillId="24" borderId="565" xfId="53" applyFont="1" applyFill="1" applyBorder="1" applyAlignment="1">
      <alignment horizontal="center" vertical="center"/>
    </xf>
    <xf numFmtId="0" fontId="765" fillId="24" borderId="444" xfId="53" applyFont="1" applyFill="1" applyBorder="1" applyAlignment="1">
      <alignment horizontal="center" vertical="center"/>
    </xf>
    <xf numFmtId="0" fontId="766" fillId="24" borderId="565" xfId="53" applyFont="1" applyFill="1" applyBorder="1" applyAlignment="1">
      <alignment horizontal="right" vertical="center"/>
    </xf>
    <xf numFmtId="0" fontId="766" fillId="24" borderId="444" xfId="53" applyFont="1" applyFill="1" applyBorder="1" applyAlignment="1">
      <alignment horizontal="right" vertical="center"/>
    </xf>
    <xf numFmtId="170" fontId="765" fillId="24" borderId="566" xfId="53" applyNumberFormat="1" applyFont="1" applyFill="1" applyBorder="1" applyAlignment="1">
      <alignment horizontal="center" vertical="center"/>
    </xf>
    <xf numFmtId="170" fontId="91" fillId="24" borderId="445" xfId="53" applyNumberFormat="1" applyFont="1" applyFill="1" applyBorder="1" applyAlignment="1">
      <alignment horizontal="center" vertical="center"/>
    </xf>
    <xf numFmtId="0" fontId="81" fillId="13" borderId="358" xfId="53" applyFont="1" applyFill="1" applyBorder="1" applyAlignment="1">
      <alignment horizontal="center" vertical="center"/>
    </xf>
    <xf numFmtId="0" fontId="81" fillId="13" borderId="1" xfId="53" applyFont="1" applyFill="1" applyBorder="1" applyAlignment="1">
      <alignment horizontal="center" vertical="center"/>
    </xf>
    <xf numFmtId="0" fontId="81" fillId="13" borderId="60" xfId="53" applyFont="1" applyFill="1" applyBorder="1" applyAlignment="1">
      <alignment horizontal="center" vertical="center"/>
    </xf>
    <xf numFmtId="171" fontId="1" fillId="3" borderId="35" xfId="53" applyNumberFormat="1" applyFont="1" applyFill="1" applyBorder="1" applyAlignment="1">
      <alignment horizontal="center" vertical="center"/>
    </xf>
    <xf numFmtId="171" fontId="1" fillId="3" borderId="153" xfId="53" applyNumberFormat="1" applyFont="1" applyFill="1" applyBorder="1" applyAlignment="1">
      <alignment horizontal="center" vertical="center"/>
    </xf>
    <xf numFmtId="171" fontId="61" fillId="0" borderId="5" xfId="53" applyNumberFormat="1" applyFont="1" applyBorder="1" applyAlignment="1">
      <alignment horizontal="center" vertical="center"/>
    </xf>
    <xf numFmtId="171" fontId="61" fillId="0" borderId="0" xfId="53" applyNumberFormat="1" applyFont="1" applyAlignment="1">
      <alignment horizontal="center" vertical="center"/>
    </xf>
    <xf numFmtId="171" fontId="55" fillId="15" borderId="0" xfId="53" applyNumberFormat="1" applyFont="1" applyFill="1" applyAlignment="1" applyProtection="1">
      <alignment horizontal="center" vertical="center"/>
      <protection locked="0"/>
    </xf>
    <xf numFmtId="171" fontId="4" fillId="0" borderId="4" xfId="53" applyNumberFormat="1" applyBorder="1" applyAlignment="1">
      <alignment horizontal="center" vertical="center"/>
    </xf>
    <xf numFmtId="171" fontId="1" fillId="3" borderId="551" xfId="53" applyNumberFormat="1" applyFont="1" applyFill="1" applyBorder="1" applyAlignment="1">
      <alignment horizontal="center" vertical="center"/>
    </xf>
    <xf numFmtId="0" fontId="128" fillId="8" borderId="384" xfId="53" applyFont="1" applyFill="1" applyBorder="1" applyAlignment="1">
      <alignment horizontal="center" vertical="center" wrapText="1"/>
    </xf>
    <xf numFmtId="0" fontId="128" fillId="8" borderId="101" xfId="53" applyFont="1" applyFill="1" applyBorder="1" applyAlignment="1">
      <alignment horizontal="center" vertical="center" wrapText="1"/>
    </xf>
    <xf numFmtId="0" fontId="128" fillId="8" borderId="100" xfId="53" applyFont="1" applyFill="1" applyBorder="1" applyAlignment="1">
      <alignment horizontal="center" vertical="center" wrapText="1"/>
    </xf>
    <xf numFmtId="0" fontId="128" fillId="8" borderId="44" xfId="53" applyFont="1" applyFill="1" applyBorder="1" applyAlignment="1">
      <alignment horizontal="center" vertical="center" wrapText="1"/>
    </xf>
    <xf numFmtId="0" fontId="128" fillId="8" borderId="20" xfId="53" applyFont="1" applyFill="1" applyBorder="1" applyAlignment="1">
      <alignment horizontal="center" vertical="center" wrapText="1"/>
    </xf>
    <xf numFmtId="0" fontId="128" fillId="8" borderId="45" xfId="53" applyFont="1" applyFill="1" applyBorder="1" applyAlignment="1">
      <alignment horizontal="center" vertical="center" wrapText="1"/>
    </xf>
    <xf numFmtId="165" fontId="16" fillId="32" borderId="4" xfId="32" applyNumberFormat="1" applyFont="1" applyFill="1" applyBorder="1" applyAlignment="1">
      <alignment horizontal="left" vertical="center"/>
    </xf>
    <xf numFmtId="0" fontId="19" fillId="8" borderId="358" xfId="52" applyFont="1" applyFill="1" applyBorder="1" applyAlignment="1">
      <alignment horizontal="center" vertical="center"/>
    </xf>
    <xf numFmtId="0" fontId="19" fillId="8" borderId="1" xfId="52" applyFont="1" applyFill="1" applyBorder="1" applyAlignment="1">
      <alignment horizontal="center" vertical="center"/>
    </xf>
    <xf numFmtId="0" fontId="19" fillId="8" borderId="60" xfId="52" applyFont="1" applyFill="1" applyBorder="1" applyAlignment="1">
      <alignment horizontal="center" vertical="center"/>
    </xf>
    <xf numFmtId="174" fontId="74" fillId="0" borderId="5" xfId="52" applyNumberFormat="1" applyFont="1" applyBorder="1" applyAlignment="1">
      <alignment horizontal="center" vertical="center"/>
    </xf>
    <xf numFmtId="174" fontId="74" fillId="0" borderId="0" xfId="52" applyNumberFormat="1" applyFont="1" applyAlignment="1">
      <alignment horizontal="center" vertical="center"/>
    </xf>
    <xf numFmtId="174" fontId="74" fillId="0" borderId="555" xfId="52" applyNumberFormat="1" applyFont="1" applyBorder="1" applyAlignment="1">
      <alignment horizontal="center" vertical="center"/>
    </xf>
    <xf numFmtId="174" fontId="74" fillId="0" borderId="556" xfId="52" applyNumberFormat="1" applyFont="1" applyBorder="1" applyAlignment="1">
      <alignment horizontal="center" vertical="center"/>
    </xf>
    <xf numFmtId="175" fontId="340" fillId="24" borderId="0" xfId="53" applyNumberFormat="1" applyFont="1" applyFill="1" applyAlignment="1" applyProtection="1">
      <alignment horizontal="right" vertical="center" wrapText="1"/>
      <protection locked="0"/>
    </xf>
    <xf numFmtId="175" fontId="340" fillId="24" borderId="556" xfId="53" applyNumberFormat="1" applyFont="1" applyFill="1" applyBorder="1" applyAlignment="1" applyProtection="1">
      <alignment horizontal="right" vertical="center" wrapText="1"/>
      <protection locked="0"/>
    </xf>
    <xf numFmtId="171" fontId="339" fillId="157" borderId="100" xfId="52" applyNumberFormat="1" applyFont="1" applyFill="1" applyBorder="1" applyAlignment="1">
      <alignment horizontal="center" vertical="center"/>
    </xf>
    <xf numFmtId="171" fontId="339" fillId="157" borderId="557" xfId="52" applyNumberFormat="1" applyFont="1" applyFill="1" applyBorder="1" applyAlignment="1">
      <alignment horizontal="center" vertical="center"/>
    </xf>
    <xf numFmtId="171" fontId="104" fillId="25" borderId="5" xfId="53" applyNumberFormat="1" applyFont="1" applyFill="1" applyBorder="1" applyAlignment="1" applyProtection="1">
      <alignment horizontal="center" vertical="center"/>
      <protection locked="0"/>
    </xf>
    <xf numFmtId="176" fontId="104" fillId="25" borderId="4" xfId="53" applyNumberFormat="1" applyFont="1" applyFill="1" applyBorder="1" applyAlignment="1" applyProtection="1">
      <alignment horizontal="center" vertical="center"/>
      <protection locked="0"/>
    </xf>
    <xf numFmtId="0" fontId="104" fillId="15" borderId="35" xfId="52" applyFont="1" applyFill="1" applyBorder="1" applyAlignment="1">
      <alignment horizontal="center" vertical="center"/>
    </xf>
    <xf numFmtId="0" fontId="104" fillId="15" borderId="561" xfId="52" applyFont="1" applyFill="1" applyBorder="1" applyAlignment="1">
      <alignment horizontal="center" vertical="center"/>
    </xf>
    <xf numFmtId="0" fontId="104" fillId="15" borderId="153" xfId="52" applyFont="1" applyFill="1" applyBorder="1" applyAlignment="1">
      <alignment horizontal="center" vertical="center"/>
    </xf>
    <xf numFmtId="0" fontId="104" fillId="15" borderId="562" xfId="52" applyFont="1" applyFill="1" applyBorder="1" applyAlignment="1">
      <alignment horizontal="center" vertical="center"/>
    </xf>
    <xf numFmtId="0" fontId="104" fillId="15" borderId="551" xfId="52" applyFont="1" applyFill="1" applyBorder="1" applyAlignment="1">
      <alignment horizontal="center" vertical="center"/>
    </xf>
    <xf numFmtId="0" fontId="104" fillId="15" borderId="563" xfId="52" applyFont="1" applyFill="1" applyBorder="1" applyAlignment="1">
      <alignment horizontal="center" vertical="center"/>
    </xf>
    <xf numFmtId="171" fontId="61" fillId="3" borderId="29" xfId="53" applyNumberFormat="1" applyFont="1" applyFill="1" applyBorder="1" applyAlignment="1">
      <alignment horizontal="center" vertical="center"/>
    </xf>
    <xf numFmtId="171" fontId="61" fillId="3" borderId="30" xfId="53" applyNumberFormat="1" applyFont="1" applyFill="1" applyBorder="1" applyAlignment="1">
      <alignment horizontal="center" vertical="center"/>
    </xf>
    <xf numFmtId="171" fontId="61" fillId="3" borderId="31" xfId="53" applyNumberFormat="1" applyFont="1" applyFill="1" applyBorder="1" applyAlignment="1">
      <alignment horizontal="center" vertical="center"/>
    </xf>
    <xf numFmtId="171" fontId="55" fillId="15" borderId="558" xfId="52" applyNumberFormat="1" applyFont="1" applyFill="1" applyBorder="1" applyAlignment="1">
      <alignment horizontal="center" vertical="center"/>
    </xf>
    <xf numFmtId="171" fontId="55" fillId="15" borderId="35" xfId="52" applyNumberFormat="1" applyFont="1" applyFill="1" applyBorder="1" applyAlignment="1">
      <alignment horizontal="center" vertical="center"/>
    </xf>
    <xf numFmtId="171" fontId="55" fillId="15" borderId="559" xfId="52" applyNumberFormat="1" applyFont="1" applyFill="1" applyBorder="1" applyAlignment="1">
      <alignment horizontal="center" vertical="center"/>
    </xf>
    <xf numFmtId="171" fontId="55" fillId="15" borderId="153" xfId="52" applyNumberFormat="1" applyFont="1" applyFill="1" applyBorder="1" applyAlignment="1">
      <alignment horizontal="center" vertical="center"/>
    </xf>
    <xf numFmtId="171" fontId="55" fillId="15" borderId="560" xfId="52" applyNumberFormat="1" applyFont="1" applyFill="1" applyBorder="1" applyAlignment="1">
      <alignment horizontal="center" vertical="center"/>
    </xf>
    <xf numFmtId="171" fontId="55" fillId="15" borderId="551" xfId="52" applyNumberFormat="1" applyFont="1" applyFill="1" applyBorder="1" applyAlignment="1">
      <alignment horizontal="center" vertical="center"/>
    </xf>
    <xf numFmtId="0" fontId="18" fillId="16" borderId="7" xfId="52" applyFont="1" applyFill="1" applyBorder="1" applyAlignment="1">
      <alignment horizontal="center" vertical="center"/>
    </xf>
    <xf numFmtId="0" fontId="18" fillId="16" borderId="0" xfId="52" applyFont="1" applyFill="1" applyAlignment="1">
      <alignment horizontal="center" vertical="center"/>
    </xf>
    <xf numFmtId="0" fontId="53" fillId="4" borderId="424" xfId="48" applyFont="1" applyFill="1" applyBorder="1" applyAlignment="1" applyProtection="1">
      <alignment horizontal="center" vertical="center" wrapText="1"/>
      <protection hidden="1"/>
    </xf>
    <xf numFmtId="0" fontId="53" fillId="4" borderId="7" xfId="48" applyFont="1" applyFill="1" applyBorder="1" applyAlignment="1" applyProtection="1">
      <alignment horizontal="center" vertical="center" wrapText="1"/>
      <protection hidden="1"/>
    </xf>
    <xf numFmtId="0" fontId="53" fillId="4" borderId="5" xfId="48" applyFont="1" applyFill="1" applyBorder="1" applyAlignment="1" applyProtection="1">
      <alignment horizontal="center" vertical="center" wrapText="1"/>
      <protection hidden="1"/>
    </xf>
    <xf numFmtId="0" fontId="53" fillId="4" borderId="0" xfId="48" applyFont="1" applyFill="1" applyAlignment="1" applyProtection="1">
      <alignment horizontal="center" vertical="center" wrapText="1"/>
      <protection hidden="1"/>
    </xf>
    <xf numFmtId="0" fontId="52" fillId="4" borderId="419" xfId="52" applyFont="1" applyFill="1" applyBorder="1" applyAlignment="1">
      <alignment horizontal="center" vertical="center"/>
    </xf>
    <xf numFmtId="0" fontId="52" fillId="4" borderId="4" xfId="52" applyFont="1" applyFill="1" applyBorder="1" applyAlignment="1">
      <alignment horizontal="center" vertical="center"/>
    </xf>
    <xf numFmtId="0" fontId="4" fillId="33" borderId="4" xfId="53" applyFill="1" applyBorder="1" applyAlignment="1">
      <alignment horizontal="center" vertical="center" textRotation="90"/>
    </xf>
    <xf numFmtId="0" fontId="53" fillId="3" borderId="4" xfId="32" applyFont="1" applyFill="1" applyBorder="1" applyAlignment="1">
      <alignment horizontal="center" vertical="center" wrapText="1"/>
    </xf>
    <xf numFmtId="0" fontId="115" fillId="3" borderId="4" xfId="32" applyFont="1" applyFill="1" applyBorder="1" applyAlignment="1">
      <alignment horizontal="center" vertical="center" wrapText="1"/>
    </xf>
    <xf numFmtId="0" fontId="8" fillId="34" borderId="5" xfId="48" applyFont="1" applyFill="1" applyBorder="1" applyAlignment="1">
      <alignment horizontal="left" vertical="center"/>
    </xf>
    <xf numFmtId="0" fontId="8" fillId="34" borderId="0" xfId="48" applyFont="1" applyFill="1" applyAlignment="1">
      <alignment horizontal="left" vertical="center"/>
    </xf>
    <xf numFmtId="0" fontId="8" fillId="34" borderId="4" xfId="48" applyFont="1" applyFill="1" applyBorder="1" applyAlignment="1">
      <alignment horizontal="left" vertical="center"/>
    </xf>
    <xf numFmtId="0" fontId="760" fillId="8" borderId="0" xfId="48" applyFont="1" applyFill="1" applyAlignment="1">
      <alignment horizontal="center" vertical="center"/>
    </xf>
    <xf numFmtId="0" fontId="116" fillId="8" borderId="0" xfId="48" applyFont="1" applyFill="1" applyAlignment="1">
      <alignment horizontal="center" vertical="center"/>
    </xf>
    <xf numFmtId="0" fontId="38" fillId="15" borderId="389" xfId="53" applyFont="1" applyFill="1" applyBorder="1" applyAlignment="1">
      <alignment horizontal="center" vertical="center"/>
    </xf>
    <xf numFmtId="0" fontId="38" fillId="15" borderId="394" xfId="53" applyFont="1" applyFill="1" applyBorder="1" applyAlignment="1">
      <alignment horizontal="center" vertical="center"/>
    </xf>
    <xf numFmtId="0" fontId="8" fillId="35" borderId="5" xfId="48" applyFont="1" applyFill="1" applyBorder="1" applyAlignment="1">
      <alignment horizontal="center" vertical="center"/>
    </xf>
    <xf numFmtId="0" fontId="8" fillId="35" borderId="0" xfId="48" applyFont="1" applyFill="1" applyAlignment="1">
      <alignment horizontal="center" vertical="center"/>
    </xf>
    <xf numFmtId="0" fontId="8" fillId="35" borderId="4" xfId="48" applyFont="1" applyFill="1" applyBorder="1" applyAlignment="1">
      <alignment horizontal="center" vertical="center"/>
    </xf>
    <xf numFmtId="0" fontId="133" fillId="8" borderId="0" xfId="48" applyFont="1" applyFill="1" applyAlignment="1">
      <alignment horizontal="center" vertical="center"/>
    </xf>
    <xf numFmtId="0" fontId="134" fillId="15" borderId="389" xfId="53" applyFont="1" applyFill="1" applyBorder="1" applyAlignment="1">
      <alignment horizontal="center" vertical="center"/>
    </xf>
    <xf numFmtId="0" fontId="134" fillId="15" borderId="394" xfId="53" applyFont="1" applyFill="1" applyBorder="1" applyAlignment="1">
      <alignment horizontal="center" vertical="center"/>
    </xf>
    <xf numFmtId="0" fontId="760" fillId="8" borderId="444" xfId="48" applyFont="1" applyFill="1" applyBorder="1" applyAlignment="1">
      <alignment horizontal="center" vertical="center"/>
    </xf>
    <xf numFmtId="0" fontId="107" fillId="3" borderId="5" xfId="12" applyFont="1" applyFill="1" applyBorder="1" applyAlignment="1">
      <alignment horizontal="center" vertical="center" wrapText="1"/>
    </xf>
    <xf numFmtId="0" fontId="46" fillId="3" borderId="4" xfId="13" applyFont="1" applyFill="1" applyBorder="1" applyAlignment="1">
      <alignment horizontal="center" wrapText="1"/>
    </xf>
    <xf numFmtId="0" fontId="46" fillId="3" borderId="382" xfId="13" applyFont="1" applyFill="1" applyBorder="1" applyAlignment="1">
      <alignment horizontal="center" vertical="center"/>
    </xf>
    <xf numFmtId="0" fontId="46" fillId="3" borderId="497" xfId="13" applyFont="1" applyFill="1" applyBorder="1" applyAlignment="1">
      <alignment horizontal="center" vertical="center"/>
    </xf>
    <xf numFmtId="0" fontId="46" fillId="3" borderId="5" xfId="13" applyFont="1" applyFill="1" applyBorder="1" applyAlignment="1">
      <alignment horizontal="center" vertical="center"/>
    </xf>
    <xf numFmtId="0" fontId="46" fillId="3" borderId="0" xfId="13" applyFont="1" applyFill="1" applyAlignment="1">
      <alignment horizontal="center" vertical="center"/>
    </xf>
    <xf numFmtId="0" fontId="46" fillId="3" borderId="383" xfId="13" applyFont="1" applyFill="1" applyBorder="1" applyAlignment="1">
      <alignment horizontal="center" wrapText="1"/>
    </xf>
    <xf numFmtId="0" fontId="106" fillId="27" borderId="424" xfId="12" applyFont="1" applyFill="1" applyBorder="1" applyAlignment="1">
      <alignment horizontal="center" vertical="center"/>
    </xf>
    <xf numFmtId="0" fontId="106" fillId="27" borderId="7" xfId="12" applyFont="1" applyFill="1" applyBorder="1" applyAlignment="1">
      <alignment horizontal="center" vertical="center"/>
    </xf>
    <xf numFmtId="0" fontId="106" fillId="27" borderId="419" xfId="12" applyFont="1" applyFill="1" applyBorder="1" applyAlignment="1">
      <alignment horizontal="center" vertical="center"/>
    </xf>
    <xf numFmtId="0" fontId="726" fillId="11" borderId="541" xfId="12" applyFont="1" applyFill="1" applyBorder="1" applyAlignment="1">
      <alignment horizontal="center" vertical="center" wrapText="1"/>
    </xf>
    <xf numFmtId="0" fontId="726" fillId="11" borderId="5" xfId="12" applyFont="1" applyFill="1" applyBorder="1" applyAlignment="1">
      <alignment horizontal="center" vertical="center" wrapText="1"/>
    </xf>
    <xf numFmtId="0" fontId="732" fillId="2" borderId="101" xfId="13" applyFont="1" applyFill="1" applyBorder="1" applyAlignment="1">
      <alignment horizontal="center" vertical="center" wrapText="1"/>
    </xf>
    <xf numFmtId="0" fontId="732" fillId="2" borderId="0" xfId="13" applyFont="1" applyFill="1" applyAlignment="1">
      <alignment horizontal="center" vertical="center" wrapText="1"/>
    </xf>
    <xf numFmtId="0" fontId="70" fillId="3" borderId="101" xfId="13" applyFont="1" applyFill="1" applyBorder="1" applyAlignment="1">
      <alignment horizontal="center" vertical="center" wrapText="1"/>
    </xf>
    <xf numFmtId="0" fontId="15" fillId="3" borderId="4" xfId="13" applyFont="1" applyFill="1" applyBorder="1" applyAlignment="1">
      <alignment horizontal="center" vertical="center" wrapText="1"/>
    </xf>
    <xf numFmtId="180" fontId="111" fillId="3" borderId="4" xfId="13" applyNumberFormat="1" applyFont="1" applyFill="1" applyBorder="1" applyAlignment="1">
      <alignment horizontal="left" vertical="center" wrapText="1"/>
    </xf>
    <xf numFmtId="0" fontId="174" fillId="133" borderId="4" xfId="48" applyFont="1" applyFill="1" applyBorder="1" applyAlignment="1">
      <alignment horizontal="center" vertical="center" textRotation="90" wrapText="1"/>
    </xf>
    <xf numFmtId="0" fontId="228" fillId="68" borderId="382" xfId="53" applyFont="1" applyFill="1" applyBorder="1" applyAlignment="1">
      <alignment horizontal="center" vertical="center" wrapText="1"/>
    </xf>
    <xf numFmtId="0" fontId="228" fillId="68" borderId="497" xfId="53" applyFont="1" applyFill="1" applyBorder="1" applyAlignment="1">
      <alignment horizontal="center" vertical="center" wrapText="1"/>
    </xf>
    <xf numFmtId="0" fontId="228" fillId="68" borderId="5" xfId="53" applyFont="1" applyFill="1" applyBorder="1" applyAlignment="1">
      <alignment horizontal="center" vertical="center" wrapText="1"/>
    </xf>
    <xf numFmtId="0" fontId="228" fillId="68" borderId="0" xfId="53" applyFont="1" applyFill="1" applyAlignment="1">
      <alignment horizontal="center" vertical="center" wrapText="1"/>
    </xf>
    <xf numFmtId="0" fontId="308" fillId="8" borderId="497" xfId="53" applyFont="1" applyFill="1" applyBorder="1" applyAlignment="1">
      <alignment horizontal="right" vertical="center" wrapText="1"/>
    </xf>
    <xf numFmtId="0" fontId="308" fillId="8" borderId="0" xfId="53" applyFont="1" applyFill="1" applyAlignment="1">
      <alignment horizontal="right" vertical="center" wrapText="1"/>
    </xf>
    <xf numFmtId="165" fontId="308" fillId="15" borderId="497" xfId="53" applyNumberFormat="1" applyFont="1" applyFill="1" applyBorder="1" applyAlignment="1">
      <alignment horizontal="center" vertical="center" wrapText="1"/>
    </xf>
    <xf numFmtId="165" fontId="308" fillId="15" borderId="383" xfId="53" applyNumberFormat="1" applyFont="1" applyFill="1" applyBorder="1" applyAlignment="1">
      <alignment horizontal="center" vertical="center" wrapText="1"/>
    </xf>
    <xf numFmtId="165" fontId="308" fillId="15" borderId="0" xfId="53" applyNumberFormat="1" applyFont="1" applyFill="1" applyAlignment="1">
      <alignment horizontal="center" vertical="center" wrapText="1"/>
    </xf>
    <xf numFmtId="165" fontId="308" fillId="15" borderId="4" xfId="53" applyNumberFormat="1" applyFont="1" applyFill="1" applyBorder="1" applyAlignment="1">
      <alignment horizontal="center" vertical="center" wrapText="1"/>
    </xf>
    <xf numFmtId="0" fontId="34" fillId="2" borderId="542" xfId="48" applyFont="1" applyFill="1" applyBorder="1" applyAlignment="1">
      <alignment horizontal="center" vertical="center"/>
    </xf>
    <xf numFmtId="0" fontId="34" fillId="2" borderId="525" xfId="48" applyFont="1" applyFill="1" applyBorder="1" applyAlignment="1">
      <alignment horizontal="center" vertical="center"/>
    </xf>
    <xf numFmtId="0" fontId="34" fillId="2" borderId="550" xfId="48" applyFont="1" applyFill="1" applyBorder="1" applyAlignment="1">
      <alignment horizontal="center" vertical="center"/>
    </xf>
    <xf numFmtId="0" fontId="34" fillId="0" borderId="35" xfId="53" applyFont="1" applyBorder="1" applyAlignment="1">
      <alignment horizontal="center" vertical="center"/>
    </xf>
    <xf numFmtId="0" fontId="41" fillId="8" borderId="395" xfId="53" applyFont="1" applyFill="1" applyBorder="1" applyAlignment="1">
      <alignment horizontal="center" vertical="center" wrapText="1"/>
    </xf>
    <xf numFmtId="2" fontId="398" fillId="1997" borderId="0" xfId="13" applyNumberFormat="1" applyFont="1" applyFill="1" applyAlignment="1" applyProtection="1">
      <alignment horizontal="center" vertical="center"/>
      <protection locked="0"/>
    </xf>
    <xf numFmtId="2" fontId="398" fillId="1997" borderId="58" xfId="13" applyNumberFormat="1" applyFont="1" applyFill="1" applyBorder="1" applyAlignment="1" applyProtection="1">
      <alignment horizontal="center" vertical="center"/>
      <protection locked="0"/>
    </xf>
    <xf numFmtId="1" fontId="11" fillId="1997" borderId="0" xfId="13" applyNumberFormat="1" applyFont="1" applyFill="1" applyAlignment="1" applyProtection="1">
      <alignment horizontal="center" vertical="center"/>
      <protection locked="0"/>
    </xf>
    <xf numFmtId="1" fontId="11" fillId="1997" borderId="58" xfId="13" applyNumberFormat="1" applyFont="1" applyFill="1" applyBorder="1" applyAlignment="1" applyProtection="1">
      <alignment horizontal="center" vertical="center"/>
      <protection locked="0"/>
    </xf>
    <xf numFmtId="0" fontId="11" fillId="5" borderId="0" xfId="13" applyFont="1" applyFill="1" applyAlignment="1" applyProtection="1">
      <alignment horizontal="center" vertical="center"/>
      <protection locked="0"/>
    </xf>
    <xf numFmtId="0" fontId="11" fillId="5" borderId="58" xfId="13" applyFont="1" applyFill="1" applyBorder="1" applyAlignment="1" applyProtection="1">
      <alignment horizontal="center" vertical="center"/>
      <protection locked="0"/>
    </xf>
    <xf numFmtId="213" fontId="11" fillId="5" borderId="0" xfId="13" applyNumberFormat="1" applyFont="1" applyFill="1" applyAlignment="1" applyProtection="1">
      <alignment horizontal="right" vertical="center"/>
      <protection locked="0"/>
    </xf>
    <xf numFmtId="213" fontId="11" fillId="5" borderId="58" xfId="13" applyNumberFormat="1" applyFont="1" applyFill="1" applyBorder="1" applyAlignment="1" applyProtection="1">
      <alignment horizontal="right" vertical="center"/>
      <protection locked="0"/>
    </xf>
    <xf numFmtId="214" fontId="11" fillId="5" borderId="0" xfId="53" applyNumberFormat="1" applyFont="1" applyFill="1" applyAlignment="1">
      <alignment horizontal="center" vertical="center"/>
    </xf>
    <xf numFmtId="214" fontId="11" fillId="5" borderId="58" xfId="53" applyNumberFormat="1" applyFont="1" applyFill="1" applyBorder="1" applyAlignment="1">
      <alignment horizontal="center" vertical="center"/>
    </xf>
    <xf numFmtId="1" fontId="30" fillId="5" borderId="0" xfId="13" applyNumberFormat="1" applyFont="1" applyFill="1" applyAlignment="1" applyProtection="1">
      <alignment horizontal="left" vertical="center"/>
      <protection locked="0"/>
    </xf>
    <xf numFmtId="1" fontId="30" fillId="5" borderId="58" xfId="13" applyNumberFormat="1" applyFont="1" applyFill="1" applyBorder="1" applyAlignment="1" applyProtection="1">
      <alignment horizontal="left" vertical="center"/>
      <protection locked="0"/>
    </xf>
    <xf numFmtId="0" fontId="731" fillId="8" borderId="395" xfId="53" applyFont="1" applyFill="1" applyBorder="1" applyAlignment="1">
      <alignment horizontal="center" vertical="center" wrapText="1"/>
    </xf>
    <xf numFmtId="0" fontId="24" fillId="8" borderId="395" xfId="53" applyFont="1" applyFill="1" applyBorder="1" applyAlignment="1">
      <alignment horizontal="center" vertical="center" wrapText="1"/>
    </xf>
    <xf numFmtId="0" fontId="15" fillId="8" borderId="395" xfId="53" applyFont="1" applyFill="1" applyBorder="1" applyAlignment="1">
      <alignment horizontal="center" vertical="center" wrapText="1"/>
    </xf>
    <xf numFmtId="0" fontId="24" fillId="8" borderId="551" xfId="53" applyFont="1" applyFill="1" applyBorder="1" applyAlignment="1">
      <alignment horizontal="center" vertical="center" wrapText="1"/>
    </xf>
    <xf numFmtId="0" fontId="34" fillId="2" borderId="146" xfId="48" applyFont="1" applyFill="1" applyBorder="1" applyAlignment="1">
      <alignment horizontal="center" vertical="center"/>
    </xf>
    <xf numFmtId="0" fontId="34" fillId="2" borderId="359" xfId="48" applyFont="1" applyFill="1" applyBorder="1" applyAlignment="1">
      <alignment horizontal="center" vertical="center"/>
    </xf>
    <xf numFmtId="0" fontId="34" fillId="2" borderId="148" xfId="48" applyFont="1" applyFill="1" applyBorder="1" applyAlignment="1">
      <alignment horizontal="center" vertical="center"/>
    </xf>
    <xf numFmtId="213" fontId="11" fillId="5" borderId="0" xfId="13" applyNumberFormat="1" applyFont="1" applyFill="1" applyAlignment="1" applyProtection="1">
      <alignment horizontal="center" vertical="center"/>
      <protection locked="0"/>
    </xf>
    <xf numFmtId="213" fontId="11" fillId="5" borderId="58" xfId="13" applyNumberFormat="1" applyFont="1" applyFill="1" applyBorder="1" applyAlignment="1" applyProtection="1">
      <alignment horizontal="center" vertical="center"/>
      <protection locked="0"/>
    </xf>
    <xf numFmtId="214" fontId="11" fillId="5" borderId="0" xfId="53" applyNumberFormat="1" applyFont="1" applyFill="1" applyAlignment="1">
      <alignment horizontal="left" vertical="center"/>
    </xf>
    <xf numFmtId="214" fontId="11" fillId="5" borderId="58" xfId="53" applyNumberFormat="1" applyFont="1" applyFill="1" applyBorder="1" applyAlignment="1">
      <alignment horizontal="left" vertical="center"/>
    </xf>
    <xf numFmtId="1" fontId="30" fillId="5" borderId="4" xfId="13" applyNumberFormat="1" applyFont="1" applyFill="1" applyBorder="1" applyAlignment="1" applyProtection="1">
      <alignment horizontal="center" vertical="center"/>
      <protection locked="0"/>
    </xf>
    <xf numFmtId="1" fontId="30" fillId="5" borderId="56" xfId="13" applyNumberFormat="1" applyFont="1" applyFill="1" applyBorder="1" applyAlignment="1" applyProtection="1">
      <alignment horizontal="center" vertical="center"/>
      <protection locked="0"/>
    </xf>
    <xf numFmtId="0" fontId="306" fillId="1997" borderId="0" xfId="13" applyFont="1" applyFill="1" applyAlignment="1" applyProtection="1">
      <alignment horizontal="right" vertical="center" wrapText="1"/>
      <protection locked="0"/>
    </xf>
    <xf numFmtId="0" fontId="306" fillId="40" borderId="0" xfId="13" applyFont="1" applyFill="1" applyAlignment="1" applyProtection="1">
      <alignment horizontal="center" vertical="center"/>
      <protection locked="0"/>
    </xf>
    <xf numFmtId="0" fontId="306" fillId="40" borderId="0" xfId="13" applyFont="1" applyFill="1" applyAlignment="1" applyProtection="1">
      <alignment horizontal="left" vertical="center"/>
      <protection locked="0"/>
    </xf>
    <xf numFmtId="176" fontId="15" fillId="1997" borderId="4" xfId="13" applyNumberFormat="1" applyFont="1" applyFill="1" applyBorder="1" applyAlignment="1" applyProtection="1">
      <alignment horizontal="center" vertical="center"/>
      <protection locked="0"/>
    </xf>
    <xf numFmtId="0" fontId="11" fillId="5" borderId="0" xfId="13" applyFont="1" applyFill="1" applyAlignment="1">
      <alignment horizontal="center"/>
    </xf>
    <xf numFmtId="213" fontId="11" fillId="3" borderId="0" xfId="13" applyNumberFormat="1" applyFont="1" applyFill="1" applyAlignment="1" applyProtection="1">
      <alignment horizontal="center" vertical="center"/>
      <protection locked="0"/>
    </xf>
    <xf numFmtId="213" fontId="11" fillId="3" borderId="1" xfId="13" applyNumberFormat="1" applyFont="1" applyFill="1" applyBorder="1" applyAlignment="1" applyProtection="1">
      <alignment horizontal="center" vertical="center"/>
      <protection locked="0"/>
    </xf>
    <xf numFmtId="214" fontId="11" fillId="3" borderId="444" xfId="53" applyNumberFormat="1" applyFont="1" applyFill="1" applyBorder="1" applyAlignment="1">
      <alignment horizontal="center" vertical="center"/>
    </xf>
    <xf numFmtId="214" fontId="11" fillId="3" borderId="1" xfId="53" applyNumberFormat="1" applyFont="1" applyFill="1" applyBorder="1" applyAlignment="1">
      <alignment horizontal="center" vertical="center"/>
    </xf>
    <xf numFmtId="1" fontId="30" fillId="3" borderId="4" xfId="13" applyNumberFormat="1" applyFont="1" applyFill="1" applyBorder="1" applyAlignment="1" applyProtection="1">
      <alignment horizontal="center" vertical="center"/>
      <protection locked="0"/>
    </xf>
    <xf numFmtId="1" fontId="30" fillId="3" borderId="60" xfId="13" applyNumberFormat="1" applyFont="1" applyFill="1" applyBorder="1" applyAlignment="1" applyProtection="1">
      <alignment horizontal="center" vertical="center"/>
      <protection locked="0"/>
    </xf>
    <xf numFmtId="0" fontId="281" fillId="133" borderId="541" xfId="13" applyFont="1" applyFill="1" applyBorder="1" applyAlignment="1">
      <alignment horizontal="center" vertical="center"/>
    </xf>
    <xf numFmtId="0" fontId="281" fillId="133" borderId="101" xfId="13" applyFont="1" applyFill="1" applyBorder="1" applyAlignment="1">
      <alignment horizontal="center" vertical="center"/>
    </xf>
    <xf numFmtId="168" fontId="147" fillId="3" borderId="5" xfId="13" applyNumberFormat="1" applyFont="1" applyFill="1" applyBorder="1" applyAlignment="1" applyProtection="1">
      <alignment horizontal="center" vertical="center"/>
      <protection locked="0"/>
    </xf>
    <xf numFmtId="168" fontId="147" fillId="3" borderId="0" xfId="13" applyNumberFormat="1" applyFont="1" applyFill="1" applyAlignment="1" applyProtection="1">
      <alignment horizontal="center" vertical="center"/>
      <protection locked="0"/>
    </xf>
    <xf numFmtId="0" fontId="354" fillId="5" borderId="0" xfId="13" applyFont="1" applyFill="1" applyAlignment="1" applyProtection="1">
      <alignment horizontal="center" vertical="center" wrapText="1"/>
      <protection locked="0"/>
    </xf>
    <xf numFmtId="0" fontId="758" fillId="66" borderId="424" xfId="13" applyFont="1" applyFill="1" applyBorder="1" applyAlignment="1">
      <alignment horizontal="left" vertical="center"/>
    </xf>
    <xf numFmtId="0" fontId="758" fillId="66" borderId="7" xfId="13" applyFont="1" applyFill="1" applyBorder="1" applyAlignment="1">
      <alignment horizontal="left" vertical="center"/>
    </xf>
    <xf numFmtId="0" fontId="758" fillId="66" borderId="419" xfId="13" applyFont="1" applyFill="1" applyBorder="1" applyAlignment="1">
      <alignment horizontal="left" vertical="center"/>
    </xf>
    <xf numFmtId="0" fontId="15" fillId="1997" borderId="5" xfId="13" applyFont="1" applyFill="1" applyBorder="1" applyAlignment="1" applyProtection="1">
      <alignment horizontal="right" vertical="center" wrapText="1"/>
      <protection locked="0"/>
    </xf>
    <xf numFmtId="0" fontId="15" fillId="1997" borderId="0" xfId="13" applyFont="1" applyFill="1" applyAlignment="1" applyProtection="1">
      <alignment horizontal="right" vertical="center" wrapText="1"/>
      <protection locked="0"/>
    </xf>
    <xf numFmtId="0" fontId="15" fillId="1997" borderId="131" xfId="13" applyFont="1" applyFill="1" applyBorder="1" applyAlignment="1" applyProtection="1">
      <alignment horizontal="right" vertical="center" wrapText="1"/>
      <protection locked="0"/>
    </xf>
    <xf numFmtId="0" fontId="15" fillId="1997" borderId="58" xfId="13" applyFont="1" applyFill="1" applyBorder="1" applyAlignment="1" applyProtection="1">
      <alignment horizontal="right" vertical="center" wrapText="1"/>
      <protection locked="0"/>
    </xf>
    <xf numFmtId="171" fontId="11" fillId="3" borderId="5" xfId="13" applyNumberFormat="1" applyFont="1" applyFill="1" applyBorder="1" applyAlignment="1" applyProtection="1">
      <alignment horizontal="center" vertical="center"/>
      <protection locked="0"/>
    </xf>
    <xf numFmtId="171" fontId="11" fillId="3" borderId="356" xfId="13" applyNumberFormat="1" applyFont="1" applyFill="1" applyBorder="1" applyAlignment="1" applyProtection="1">
      <alignment horizontal="center" vertical="center"/>
      <protection locked="0"/>
    </xf>
    <xf numFmtId="171" fontId="11" fillId="3" borderId="358" xfId="13" applyNumberFormat="1" applyFont="1" applyFill="1" applyBorder="1" applyAlignment="1" applyProtection="1">
      <alignment horizontal="center" vertical="center"/>
      <protection locked="0"/>
    </xf>
    <xf numFmtId="171" fontId="11" fillId="3" borderId="273" xfId="13" applyNumberFormat="1" applyFont="1" applyFill="1" applyBorder="1" applyAlignment="1" applyProtection="1">
      <alignment horizontal="center" vertical="center"/>
      <protection locked="0"/>
    </xf>
    <xf numFmtId="2" fontId="11" fillId="3" borderId="464" xfId="13" applyNumberFormat="1" applyFont="1" applyFill="1" applyBorder="1" applyAlignment="1" applyProtection="1">
      <alignment horizontal="right" vertical="center"/>
      <protection locked="0"/>
    </xf>
    <xf numFmtId="2" fontId="11" fillId="3" borderId="549" xfId="13" applyNumberFormat="1" applyFont="1" applyFill="1" applyBorder="1" applyAlignment="1" applyProtection="1">
      <alignment horizontal="right" vertical="center"/>
      <protection locked="0"/>
    </xf>
    <xf numFmtId="0" fontId="11" fillId="3" borderId="301" xfId="13" applyFont="1" applyFill="1" applyBorder="1" applyAlignment="1" applyProtection="1">
      <alignment horizontal="left" vertical="center"/>
      <protection locked="0"/>
    </xf>
    <xf numFmtId="0" fontId="11" fillId="3" borderId="474" xfId="13" applyFont="1" applyFill="1" applyBorder="1" applyAlignment="1" applyProtection="1">
      <alignment horizontal="left" vertical="center"/>
      <protection locked="0"/>
    </xf>
    <xf numFmtId="1" fontId="30" fillId="3" borderId="356" xfId="13" applyNumberFormat="1" applyFont="1" applyFill="1" applyBorder="1" applyAlignment="1" applyProtection="1">
      <alignment horizontal="center" vertical="center"/>
      <protection locked="0"/>
    </xf>
    <xf numFmtId="1" fontId="30" fillId="3" borderId="273" xfId="13" applyNumberFormat="1" applyFont="1" applyFill="1" applyBorder="1" applyAlignment="1" applyProtection="1">
      <alignment horizontal="center" vertical="center"/>
      <protection locked="0"/>
    </xf>
    <xf numFmtId="0" fontId="23" fillId="8" borderId="541" xfId="13" applyFont="1" applyFill="1" applyBorder="1" applyAlignment="1">
      <alignment horizontal="center" vertical="center"/>
    </xf>
    <xf numFmtId="0" fontId="23" fillId="8" borderId="101" xfId="13" applyFont="1" applyFill="1" applyBorder="1" applyAlignment="1">
      <alignment horizontal="center" vertical="center"/>
    </xf>
    <xf numFmtId="0" fontId="23" fillId="8" borderId="533" xfId="13" applyFont="1" applyFill="1" applyBorder="1" applyAlignment="1">
      <alignment horizontal="center" vertical="center"/>
    </xf>
    <xf numFmtId="0" fontId="23" fillId="8" borderId="496" xfId="13" applyFont="1" applyFill="1" applyBorder="1" applyAlignment="1">
      <alignment horizontal="center" vertical="center"/>
    </xf>
    <xf numFmtId="0" fontId="23" fillId="8" borderId="444" xfId="13" applyFont="1" applyFill="1" applyBorder="1" applyAlignment="1">
      <alignment horizontal="center" vertical="center"/>
    </xf>
    <xf numFmtId="0" fontId="23" fillId="8" borderId="445" xfId="13" applyFont="1" applyFill="1" applyBorder="1" applyAlignment="1">
      <alignment horizontal="center" vertical="center"/>
    </xf>
    <xf numFmtId="0" fontId="11" fillId="3" borderId="444" xfId="13" applyFont="1" applyFill="1" applyBorder="1" applyAlignment="1" applyProtection="1">
      <alignment horizontal="left" vertical="center"/>
      <protection locked="0"/>
    </xf>
    <xf numFmtId="0" fontId="15" fillId="0" borderId="382" xfId="13" applyFont="1" applyBorder="1" applyAlignment="1" applyProtection="1">
      <alignment horizontal="center" vertical="center" wrapText="1"/>
      <protection locked="0"/>
    </xf>
    <xf numFmtId="0" fontId="15" fillId="0" borderId="547" xfId="13" applyFont="1" applyBorder="1" applyAlignment="1" applyProtection="1">
      <alignment horizontal="center" vertical="center" wrapText="1"/>
      <protection locked="0"/>
    </xf>
    <xf numFmtId="0" fontId="15" fillId="0" borderId="5" xfId="13" applyFont="1" applyBorder="1" applyAlignment="1" applyProtection="1">
      <alignment horizontal="center" vertical="center" wrapText="1"/>
      <protection locked="0"/>
    </xf>
    <xf numFmtId="0" fontId="15" fillId="0" borderId="356" xfId="13" applyFont="1" applyBorder="1" applyAlignment="1" applyProtection="1">
      <alignment horizontal="center" vertical="center" wrapText="1"/>
      <protection locked="0"/>
    </xf>
    <xf numFmtId="0" fontId="15" fillId="0" borderId="548" xfId="13" applyFont="1" applyBorder="1" applyAlignment="1" applyProtection="1">
      <alignment horizontal="center" vertical="center"/>
      <protection locked="0"/>
    </xf>
    <xf numFmtId="0" fontId="15" fillId="0" borderId="401" xfId="13" applyFont="1" applyBorder="1" applyAlignment="1" applyProtection="1">
      <alignment horizontal="center" vertical="center"/>
      <protection locked="0"/>
    </xf>
    <xf numFmtId="0" fontId="15" fillId="0" borderId="464" xfId="13" applyFont="1" applyBorder="1" applyAlignment="1" applyProtection="1">
      <alignment horizontal="center" vertical="center"/>
      <protection locked="0"/>
    </xf>
    <xf numFmtId="0" fontId="15" fillId="0" borderId="301" xfId="13" applyFont="1" applyBorder="1" applyAlignment="1" applyProtection="1">
      <alignment horizontal="center" vertical="center"/>
      <protection locked="0"/>
    </xf>
    <xf numFmtId="0" fontId="757" fillId="3" borderId="497" xfId="13" applyFont="1" applyFill="1" applyBorder="1" applyAlignment="1" applyProtection="1">
      <alignment horizontal="center" vertical="center"/>
      <protection locked="0"/>
    </xf>
    <xf numFmtId="0" fontId="757" fillId="3" borderId="383" xfId="13" applyFont="1" applyFill="1" applyBorder="1" applyAlignment="1" applyProtection="1">
      <alignment horizontal="center" vertical="center"/>
      <protection locked="0"/>
    </xf>
    <xf numFmtId="0" fontId="757" fillId="3" borderId="0" xfId="13" applyFont="1" applyFill="1" applyAlignment="1" applyProtection="1">
      <alignment horizontal="center" vertical="center"/>
      <protection locked="0"/>
    </xf>
    <xf numFmtId="0" fontId="757" fillId="3" borderId="4" xfId="13" applyFont="1" applyFill="1" applyBorder="1" applyAlignment="1" applyProtection="1">
      <alignment horizontal="center" vertical="center"/>
      <protection locked="0"/>
    </xf>
    <xf numFmtId="0" fontId="758" fillId="133" borderId="424" xfId="13" applyFont="1" applyFill="1" applyBorder="1" applyAlignment="1">
      <alignment horizontal="center" vertical="center"/>
    </xf>
    <xf numFmtId="0" fontId="758" fillId="133" borderId="7" xfId="13" applyFont="1" applyFill="1" applyBorder="1" applyAlignment="1">
      <alignment horizontal="center" vertical="center"/>
    </xf>
    <xf numFmtId="0" fontId="758" fillId="133" borderId="419" xfId="13" applyFont="1" applyFill="1" applyBorder="1" applyAlignment="1">
      <alignment horizontal="center" vertical="center"/>
    </xf>
    <xf numFmtId="0" fontId="306" fillId="58" borderId="5" xfId="13" applyFont="1" applyFill="1" applyBorder="1" applyAlignment="1" applyProtection="1">
      <alignment horizontal="center" vertical="center" wrapText="1"/>
      <protection locked="0"/>
    </xf>
    <xf numFmtId="0" fontId="306" fillId="58" borderId="0" xfId="13" applyFont="1" applyFill="1" applyAlignment="1" applyProtection="1">
      <alignment horizontal="center" vertical="center" wrapText="1"/>
      <protection locked="0"/>
    </xf>
    <xf numFmtId="0" fontId="306" fillId="58" borderId="356" xfId="13" applyFont="1" applyFill="1" applyBorder="1" applyAlignment="1" applyProtection="1">
      <alignment horizontal="center" vertical="center" wrapText="1"/>
      <protection locked="0"/>
    </xf>
    <xf numFmtId="0" fontId="306" fillId="58" borderId="496" xfId="13" applyFont="1" applyFill="1" applyBorder="1" applyAlignment="1" applyProtection="1">
      <alignment horizontal="center" vertical="center" wrapText="1"/>
      <protection locked="0"/>
    </xf>
    <xf numFmtId="0" fontId="306" fillId="58" borderId="444" xfId="13" applyFont="1" applyFill="1" applyBorder="1" applyAlignment="1" applyProtection="1">
      <alignment horizontal="center" vertical="center" wrapText="1"/>
      <protection locked="0"/>
    </xf>
    <xf numFmtId="0" fontId="306" fillId="58" borderId="546" xfId="13" applyFont="1" applyFill="1" applyBorder="1" applyAlignment="1" applyProtection="1">
      <alignment horizontal="center" vertical="center" wrapText="1"/>
      <protection locked="0"/>
    </xf>
    <xf numFmtId="0" fontId="306" fillId="40" borderId="395" xfId="13" applyFont="1" applyFill="1" applyBorder="1" applyAlignment="1" applyProtection="1">
      <alignment horizontal="center" vertical="center"/>
      <protection locked="0"/>
    </xf>
    <xf numFmtId="0" fontId="306" fillId="40" borderId="461" xfId="13" applyFont="1" applyFill="1" applyBorder="1" applyAlignment="1" applyProtection="1">
      <alignment horizontal="center" vertical="center"/>
      <protection locked="0"/>
    </xf>
    <xf numFmtId="0" fontId="306" fillId="40" borderId="356" xfId="13" applyFont="1" applyFill="1" applyBorder="1" applyAlignment="1" applyProtection="1">
      <alignment horizontal="center" vertical="center"/>
      <protection locked="0"/>
    </xf>
    <xf numFmtId="0" fontId="306" fillId="40" borderId="546" xfId="13" applyFont="1" applyFill="1" applyBorder="1" applyAlignment="1" applyProtection="1">
      <alignment horizontal="center" vertical="center"/>
      <protection locked="0"/>
    </xf>
    <xf numFmtId="0" fontId="12" fillId="40" borderId="0" xfId="13" applyFont="1" applyFill="1" applyAlignment="1" applyProtection="1">
      <alignment horizontal="center" vertical="center"/>
      <protection locked="0"/>
    </xf>
    <xf numFmtId="0" fontId="12" fillId="40" borderId="444" xfId="13" applyFont="1" applyFill="1" applyBorder="1" applyAlignment="1" applyProtection="1">
      <alignment horizontal="center" vertical="center"/>
      <protection locked="0"/>
    </xf>
    <xf numFmtId="1" fontId="308" fillId="40" borderId="464" xfId="13" applyNumberFormat="1" applyFont="1" applyFill="1" applyBorder="1" applyAlignment="1" applyProtection="1">
      <alignment horizontal="center" vertical="center"/>
      <protection locked="0"/>
    </xf>
    <xf numFmtId="1" fontId="308" fillId="40" borderId="4" xfId="13" applyNumberFormat="1" applyFont="1" applyFill="1" applyBorder="1" applyAlignment="1" applyProtection="1">
      <alignment horizontal="center" vertical="center"/>
      <protection locked="0"/>
    </xf>
    <xf numFmtId="1" fontId="308" fillId="40" borderId="469" xfId="13" applyNumberFormat="1" applyFont="1" applyFill="1" applyBorder="1" applyAlignment="1" applyProtection="1">
      <alignment horizontal="center" vertical="center"/>
      <protection locked="0"/>
    </xf>
    <xf numFmtId="1" fontId="308" fillId="40" borderId="445" xfId="13" applyNumberFormat="1" applyFont="1" applyFill="1" applyBorder="1" applyAlignment="1" applyProtection="1">
      <alignment horizontal="center" vertical="center"/>
      <protection locked="0"/>
    </xf>
    <xf numFmtId="0" fontId="11" fillId="12" borderId="541" xfId="13" applyFont="1" applyFill="1" applyBorder="1" applyAlignment="1">
      <alignment horizontal="center" vertical="center"/>
    </xf>
    <xf numFmtId="0" fontId="11" fillId="12" borderId="101" xfId="13" applyFont="1" applyFill="1" applyBorder="1" applyAlignment="1">
      <alignment horizontal="center" vertical="center"/>
    </xf>
    <xf numFmtId="0" fontId="11" fillId="12" borderId="533" xfId="13" applyFont="1" applyFill="1" applyBorder="1" applyAlignment="1">
      <alignment horizontal="center" vertical="center"/>
    </xf>
    <xf numFmtId="0" fontId="11" fillId="3" borderId="464" xfId="13" applyFont="1" applyFill="1" applyBorder="1" applyAlignment="1" applyProtection="1">
      <alignment horizontal="center" vertical="center"/>
      <protection locked="0"/>
    </xf>
    <xf numFmtId="0" fontId="11" fillId="3" borderId="0" xfId="13" applyFont="1" applyFill="1" applyAlignment="1" applyProtection="1">
      <alignment horizontal="center" vertical="center"/>
      <protection locked="0"/>
    </xf>
    <xf numFmtId="0" fontId="11" fillId="3" borderId="4" xfId="13" applyFont="1" applyFill="1" applyBorder="1" applyAlignment="1" applyProtection="1">
      <alignment horizontal="center" vertical="center"/>
      <protection locked="0"/>
    </xf>
    <xf numFmtId="0" fontId="751" fillId="133" borderId="5" xfId="13" applyFont="1" applyFill="1" applyBorder="1" applyAlignment="1">
      <alignment horizontal="center" vertical="center" wrapText="1"/>
    </xf>
    <xf numFmtId="0" fontId="751" fillId="133" borderId="0" xfId="13" applyFont="1" applyFill="1" applyAlignment="1">
      <alignment horizontal="center" vertical="center" wrapText="1"/>
    </xf>
    <xf numFmtId="0" fontId="751" fillId="133" borderId="496" xfId="13" applyFont="1" applyFill="1" applyBorder="1" applyAlignment="1">
      <alignment horizontal="center" vertical="center" wrapText="1"/>
    </xf>
    <xf numFmtId="0" fontId="751" fillId="133" borderId="444" xfId="13" applyFont="1" applyFill="1" applyBorder="1" applyAlignment="1">
      <alignment horizontal="center" vertical="center" wrapText="1"/>
    </xf>
    <xf numFmtId="0" fontId="751" fillId="66" borderId="541" xfId="13" applyFont="1" applyFill="1" applyBorder="1" applyAlignment="1">
      <alignment horizontal="center" vertical="center" wrapText="1"/>
    </xf>
    <xf numFmtId="0" fontId="751" fillId="66" borderId="101" xfId="13" applyFont="1" applyFill="1" applyBorder="1" applyAlignment="1">
      <alignment horizontal="center" vertical="center" wrapText="1"/>
    </xf>
    <xf numFmtId="0" fontId="751" fillId="66" borderId="5" xfId="13" applyFont="1" applyFill="1" applyBorder="1" applyAlignment="1">
      <alignment horizontal="center" vertical="center" wrapText="1"/>
    </xf>
    <xf numFmtId="0" fontId="751" fillId="66" borderId="0" xfId="13" applyFont="1" applyFill="1" applyAlignment="1">
      <alignment horizontal="center" vertical="center" wrapText="1"/>
    </xf>
    <xf numFmtId="0" fontId="754" fillId="15" borderId="5" xfId="13" applyFont="1" applyFill="1" applyBorder="1" applyAlignment="1">
      <alignment horizontal="center" vertical="center"/>
    </xf>
    <xf numFmtId="0" fontId="754" fillId="15" borderId="0" xfId="13" applyFont="1" applyFill="1" applyAlignment="1">
      <alignment horizontal="center" vertical="center"/>
    </xf>
    <xf numFmtId="0" fontId="754" fillId="15" borderId="4" xfId="13" applyFont="1" applyFill="1" applyBorder="1" applyAlignment="1">
      <alignment horizontal="center" vertical="center"/>
    </xf>
    <xf numFmtId="0" fontId="23" fillId="12" borderId="5" xfId="13" applyFont="1" applyFill="1" applyBorder="1" applyAlignment="1">
      <alignment horizontal="center" vertical="center"/>
    </xf>
    <xf numFmtId="0" fontId="23" fillId="12" borderId="0" xfId="13" applyFont="1" applyFill="1" applyAlignment="1">
      <alignment horizontal="center" vertical="center"/>
    </xf>
    <xf numFmtId="0" fontId="23" fillId="12" borderId="4" xfId="13" applyFont="1" applyFill="1" applyBorder="1" applyAlignment="1">
      <alignment horizontal="center" vertical="center"/>
    </xf>
    <xf numFmtId="0" fontId="755" fillId="0" borderId="541" xfId="13" applyFont="1" applyBorder="1" applyAlignment="1" applyProtection="1">
      <alignment horizontal="center" vertical="center"/>
      <protection locked="0"/>
    </xf>
    <xf numFmtId="0" fontId="755" fillId="0" borderId="101" xfId="13" applyFont="1" applyBorder="1" applyAlignment="1" applyProtection="1">
      <alignment horizontal="center" vertical="center"/>
      <protection locked="0"/>
    </xf>
    <xf numFmtId="0" fontId="755" fillId="0" borderId="532" xfId="13" applyFont="1" applyBorder="1" applyAlignment="1" applyProtection="1">
      <alignment horizontal="center" vertical="center"/>
      <protection locked="0"/>
    </xf>
    <xf numFmtId="0" fontId="755" fillId="0" borderId="5" xfId="13" applyFont="1" applyBorder="1" applyAlignment="1" applyProtection="1">
      <alignment horizontal="center" vertical="center"/>
      <protection locked="0"/>
    </xf>
    <xf numFmtId="0" fontId="755" fillId="0" borderId="0" xfId="13" applyFont="1" applyAlignment="1" applyProtection="1">
      <alignment horizontal="center" vertical="center"/>
      <protection locked="0"/>
    </xf>
    <xf numFmtId="0" fontId="755" fillId="0" borderId="356" xfId="13" applyFont="1" applyBorder="1" applyAlignment="1" applyProtection="1">
      <alignment horizontal="center" vertical="center"/>
      <protection locked="0"/>
    </xf>
    <xf numFmtId="0" fontId="727" fillId="3" borderId="382" xfId="48" applyFont="1" applyFill="1" applyBorder="1" applyAlignment="1">
      <alignment horizontal="center" vertical="center" wrapText="1"/>
    </xf>
    <xf numFmtId="0" fontId="15" fillId="3" borderId="541" xfId="19" applyFont="1" applyFill="1" applyBorder="1" applyAlignment="1">
      <alignment horizontal="center" vertical="center" wrapText="1"/>
    </xf>
    <xf numFmtId="0" fontId="15" fillId="3" borderId="5" xfId="19" applyFont="1" applyFill="1" applyBorder="1" applyAlignment="1">
      <alignment horizontal="center" vertical="center" wrapText="1"/>
    </xf>
    <xf numFmtId="0" fontId="15" fillId="3" borderId="131" xfId="19" applyFont="1" applyFill="1" applyBorder="1" applyAlignment="1">
      <alignment horizontal="center" vertical="center" wrapText="1"/>
    </xf>
    <xf numFmtId="1" fontId="15" fillId="3" borderId="101" xfId="19" applyNumberFormat="1" applyFont="1" applyFill="1" applyBorder="1" applyAlignment="1">
      <alignment horizontal="center" vertical="center"/>
    </xf>
    <xf numFmtId="1" fontId="15" fillId="3" borderId="0" xfId="19" applyNumberFormat="1" applyFont="1" applyFill="1" applyAlignment="1">
      <alignment horizontal="center" vertical="center"/>
    </xf>
    <xf numFmtId="0" fontId="15" fillId="3" borderId="4" xfId="60" applyFont="1" applyFill="1" applyBorder="1" applyAlignment="1">
      <alignment horizontal="center" vertical="center"/>
    </xf>
    <xf numFmtId="0" fontId="15" fillId="3" borderId="56" xfId="60" applyFont="1" applyFill="1" applyBorder="1" applyAlignment="1">
      <alignment horizontal="center" vertical="center"/>
    </xf>
    <xf numFmtId="0" fontId="46" fillId="3" borderId="541" xfId="19" applyFont="1" applyFill="1" applyBorder="1" applyAlignment="1">
      <alignment horizontal="right" vertical="center" wrapText="1"/>
    </xf>
    <xf numFmtId="0" fontId="46" fillId="3" borderId="5" xfId="19" applyFont="1" applyFill="1" applyBorder="1" applyAlignment="1">
      <alignment horizontal="right" vertical="center" wrapText="1"/>
    </xf>
    <xf numFmtId="0" fontId="15" fillId="0" borderId="531" xfId="13" applyFont="1" applyBorder="1" applyAlignment="1" applyProtection="1">
      <alignment horizontal="center" vertical="center" wrapText="1"/>
      <protection locked="0"/>
    </xf>
    <xf numFmtId="0" fontId="15" fillId="0" borderId="464" xfId="13" applyFont="1" applyBorder="1" applyAlignment="1" applyProtection="1">
      <alignment horizontal="center" vertical="center" wrapText="1"/>
      <protection locked="0"/>
    </xf>
    <xf numFmtId="0" fontId="15" fillId="0" borderId="532" xfId="13" applyFont="1" applyBorder="1" applyAlignment="1" applyProtection="1">
      <alignment horizontal="center" vertical="center" wrapText="1"/>
      <protection locked="0"/>
    </xf>
    <xf numFmtId="0" fontId="34" fillId="0" borderId="531" xfId="13" applyFont="1" applyBorder="1" applyAlignment="1" applyProtection="1">
      <alignment horizontal="center" vertical="center" wrapText="1"/>
      <protection locked="0"/>
    </xf>
    <xf numFmtId="0" fontId="34" fillId="0" borderId="101" xfId="13" applyFont="1" applyBorder="1" applyAlignment="1" applyProtection="1">
      <alignment horizontal="center" vertical="center" wrapText="1"/>
      <protection locked="0"/>
    </xf>
    <xf numFmtId="0" fontId="34" fillId="0" borderId="464" xfId="13" applyFont="1" applyBorder="1" applyAlignment="1" applyProtection="1">
      <alignment horizontal="center" vertical="center" wrapText="1"/>
      <protection locked="0"/>
    </xf>
    <xf numFmtId="0" fontId="34" fillId="0" borderId="0" xfId="13" applyFont="1" applyAlignment="1" applyProtection="1">
      <alignment horizontal="center" vertical="center" wrapText="1"/>
      <protection locked="0"/>
    </xf>
    <xf numFmtId="0" fontId="15" fillId="0" borderId="533" xfId="13" applyFont="1" applyBorder="1" applyAlignment="1" applyProtection="1">
      <alignment horizontal="center" vertical="center" wrapText="1"/>
      <protection locked="0"/>
    </xf>
    <xf numFmtId="0" fontId="15" fillId="0" borderId="4" xfId="13" applyFont="1" applyBorder="1" applyAlignment="1" applyProtection="1">
      <alignment horizontal="center" vertical="center" wrapText="1"/>
      <protection locked="0"/>
    </xf>
    <xf numFmtId="0" fontId="148" fillId="0" borderId="0" xfId="13" applyFont="1" applyAlignment="1" applyProtection="1">
      <alignment horizontal="center" vertical="center" wrapText="1"/>
      <protection locked="0"/>
    </xf>
    <xf numFmtId="0" fontId="306" fillId="40" borderId="131" xfId="13" applyFont="1" applyFill="1" applyBorder="1" applyAlignment="1" applyProtection="1">
      <alignment horizontal="center" vertical="center" wrapText="1"/>
      <protection locked="0"/>
    </xf>
    <xf numFmtId="0" fontId="306" fillId="40" borderId="58" xfId="13" applyFont="1" applyFill="1" applyBorder="1" applyAlignment="1" applyProtection="1">
      <alignment horizontal="center" vertical="center" wrapText="1"/>
      <protection locked="0"/>
    </xf>
    <xf numFmtId="0" fontId="306" fillId="40" borderId="58" xfId="13" applyFont="1" applyFill="1" applyBorder="1" applyAlignment="1" applyProtection="1">
      <alignment horizontal="left" vertical="center"/>
      <protection locked="0"/>
    </xf>
    <xf numFmtId="0" fontId="186" fillId="3" borderId="383" xfId="48" applyFont="1" applyFill="1" applyBorder="1" applyAlignment="1">
      <alignment horizontal="center" vertical="center" wrapText="1"/>
    </xf>
    <xf numFmtId="0" fontId="751" fillId="133" borderId="424" xfId="13" applyFont="1" applyFill="1" applyBorder="1" applyAlignment="1">
      <alignment horizontal="left" vertical="center"/>
    </xf>
    <xf numFmtId="0" fontId="751" fillId="133" borderId="7" xfId="13" applyFont="1" applyFill="1" applyBorder="1" applyAlignment="1">
      <alignment horizontal="left" vertical="center"/>
    </xf>
    <xf numFmtId="0" fontId="751" fillId="133" borderId="419" xfId="13" applyFont="1" applyFill="1" applyBorder="1" applyAlignment="1">
      <alignment horizontal="left" vertical="center"/>
    </xf>
    <xf numFmtId="0" fontId="751" fillId="66" borderId="424" xfId="13" applyFont="1" applyFill="1" applyBorder="1" applyAlignment="1">
      <alignment horizontal="left" vertical="center"/>
    </xf>
    <xf numFmtId="0" fontId="751" fillId="66" borderId="7" xfId="13" applyFont="1" applyFill="1" applyBorder="1" applyAlignment="1">
      <alignment horizontal="left" vertical="center"/>
    </xf>
    <xf numFmtId="0" fontId="751" fillId="66" borderId="419" xfId="13" applyFont="1" applyFill="1" applyBorder="1" applyAlignment="1">
      <alignment horizontal="left" vertical="center"/>
    </xf>
    <xf numFmtId="0" fontId="1" fillId="3" borderId="5" xfId="60" applyFill="1" applyBorder="1" applyAlignment="1">
      <alignment horizontal="left" vertical="center" wrapText="1"/>
    </xf>
    <xf numFmtId="0" fontId="1" fillId="3" borderId="358" xfId="60" applyFill="1" applyBorder="1" applyAlignment="1">
      <alignment horizontal="left" vertical="center" wrapText="1"/>
    </xf>
    <xf numFmtId="0" fontId="1" fillId="3" borderId="1" xfId="60" applyFill="1" applyBorder="1" applyAlignment="1">
      <alignment horizontal="left" vertical="center" wrapText="1"/>
    </xf>
    <xf numFmtId="0" fontId="1" fillId="3" borderId="60" xfId="60" applyFill="1" applyBorder="1" applyAlignment="1">
      <alignment horizontal="left" vertical="center" wrapText="1"/>
    </xf>
    <xf numFmtId="0" fontId="44" fillId="4" borderId="424" xfId="60" applyFont="1" applyFill="1" applyBorder="1" applyAlignment="1">
      <alignment horizontal="center"/>
    </xf>
    <xf numFmtId="0" fontId="44" fillId="4" borderId="7" xfId="60" applyFont="1" applyFill="1" applyBorder="1" applyAlignment="1">
      <alignment horizontal="center"/>
    </xf>
    <xf numFmtId="0" fontId="44" fillId="4" borderId="419" xfId="60" applyFont="1" applyFill="1" applyBorder="1" applyAlignment="1">
      <alignment horizontal="center"/>
    </xf>
    <xf numFmtId="0" fontId="44" fillId="4" borderId="47" xfId="60" applyFont="1" applyFill="1" applyBorder="1" applyAlignment="1">
      <alignment horizontal="center"/>
    </xf>
    <xf numFmtId="0" fontId="44" fillId="4" borderId="48" xfId="60" applyFont="1" applyFill="1" applyBorder="1" applyAlignment="1">
      <alignment horizontal="center"/>
    </xf>
    <xf numFmtId="0" fontId="44" fillId="4" borderId="49" xfId="60" applyFont="1" applyFill="1" applyBorder="1" applyAlignment="1">
      <alignment horizontal="center"/>
    </xf>
    <xf numFmtId="0" fontId="174" fillId="1994" borderId="4" xfId="48" applyFont="1" applyFill="1" applyBorder="1" applyAlignment="1">
      <alignment horizontal="center" vertical="center" textRotation="90" wrapText="1"/>
    </xf>
    <xf numFmtId="0" fontId="40" fillId="2" borderId="495" xfId="60" applyFont="1" applyFill="1" applyBorder="1" applyAlignment="1">
      <alignment horizontal="left" vertical="center"/>
    </xf>
    <xf numFmtId="0" fontId="40" fillId="2" borderId="544" xfId="60" applyFont="1" applyFill="1" applyBorder="1" applyAlignment="1">
      <alignment horizontal="left" vertical="center"/>
    </xf>
    <xf numFmtId="0" fontId="40" fillId="2" borderId="58" xfId="60" applyFont="1" applyFill="1" applyBorder="1" applyAlignment="1">
      <alignment horizontal="left"/>
    </xf>
    <xf numFmtId="0" fontId="40" fillId="2" borderId="56" xfId="60" applyFont="1" applyFill="1" applyBorder="1" applyAlignment="1">
      <alignment horizontal="left"/>
    </xf>
    <xf numFmtId="0" fontId="747" fillId="3" borderId="35" xfId="19" applyFont="1" applyFill="1" applyBorder="1" applyAlignment="1">
      <alignment horizontal="center" vertical="center" wrapText="1"/>
    </xf>
    <xf numFmtId="0" fontId="390" fillId="3" borderId="35" xfId="19" applyFont="1" applyFill="1" applyBorder="1" applyAlignment="1">
      <alignment horizontal="center" vertical="center" wrapText="1"/>
    </xf>
    <xf numFmtId="0" fontId="748" fillId="3" borderId="530" xfId="19" applyFont="1" applyFill="1" applyBorder="1" applyAlignment="1">
      <alignment horizontal="center" vertical="center" wrapText="1"/>
    </xf>
    <xf numFmtId="0" fontId="748" fillId="3" borderId="395" xfId="19" applyFont="1" applyFill="1" applyBorder="1" applyAlignment="1">
      <alignment horizontal="center" vertical="center" wrapText="1"/>
    </xf>
    <xf numFmtId="0" fontId="394" fillId="3" borderId="530" xfId="67" applyFont="1" applyFill="1" applyBorder="1" applyAlignment="1">
      <alignment horizontal="center" vertical="center" wrapText="1"/>
    </xf>
    <xf numFmtId="0" fontId="394" fillId="3" borderId="395" xfId="67" applyFont="1" applyFill="1" applyBorder="1" applyAlignment="1">
      <alignment horizontal="center" vertical="center" wrapText="1"/>
    </xf>
    <xf numFmtId="0" fontId="15" fillId="5" borderId="0" xfId="67" applyFont="1" applyFill="1" applyAlignment="1">
      <alignment horizontal="center" vertical="center" wrapText="1"/>
    </xf>
    <xf numFmtId="0" fontId="46" fillId="3" borderId="57" xfId="19" applyFont="1" applyFill="1" applyBorder="1" applyAlignment="1">
      <alignment horizontal="center" vertical="center" wrapText="1"/>
    </xf>
    <xf numFmtId="0" fontId="46" fillId="3" borderId="460" xfId="19" applyFont="1" applyFill="1" applyBorder="1" applyAlignment="1">
      <alignment horizontal="center" vertical="center" wrapText="1"/>
    </xf>
    <xf numFmtId="0" fontId="46" fillId="3" borderId="0" xfId="19" applyFont="1" applyFill="1" applyAlignment="1">
      <alignment horizontal="right" vertical="center" wrapText="1"/>
    </xf>
    <xf numFmtId="0" fontId="747" fillId="3" borderId="545" xfId="19" applyFont="1" applyFill="1" applyBorder="1" applyAlignment="1">
      <alignment horizontal="center" vertical="center" wrapText="1"/>
    </xf>
    <xf numFmtId="0" fontId="750" fillId="3" borderId="530" xfId="19" applyFont="1" applyFill="1" applyBorder="1" applyAlignment="1">
      <alignment horizontal="center" vertical="center" wrapText="1"/>
    </xf>
    <xf numFmtId="0" fontId="750" fillId="3" borderId="395" xfId="19" applyFont="1" applyFill="1" applyBorder="1" applyAlignment="1">
      <alignment horizontal="center" vertical="center" wrapText="1"/>
    </xf>
    <xf numFmtId="0" fontId="15" fillId="5" borderId="4" xfId="67" applyFont="1" applyFill="1" applyBorder="1" applyAlignment="1">
      <alignment horizontal="center" vertical="center" wrapText="1"/>
    </xf>
    <xf numFmtId="0" fontId="15" fillId="3" borderId="301" xfId="60" applyFont="1" applyFill="1" applyBorder="1" applyAlignment="1">
      <alignment horizontal="center" vertical="center"/>
    </xf>
    <xf numFmtId="0" fontId="15" fillId="3" borderId="470" xfId="60" applyFont="1" applyFill="1" applyBorder="1" applyAlignment="1">
      <alignment horizontal="center" vertical="center"/>
    </xf>
    <xf numFmtId="0" fontId="747" fillId="3" borderId="536" xfId="19" applyFont="1" applyFill="1" applyBorder="1" applyAlignment="1">
      <alignment horizontal="center" vertical="center" wrapText="1"/>
    </xf>
    <xf numFmtId="0" fontId="748" fillId="3" borderId="537" xfId="19" applyFont="1" applyFill="1" applyBorder="1" applyAlignment="1">
      <alignment horizontal="center" vertical="center" wrapText="1"/>
    </xf>
    <xf numFmtId="0" fontId="394" fillId="3" borderId="537" xfId="67" applyFont="1" applyFill="1" applyBorder="1" applyAlignment="1">
      <alignment horizontal="center" vertical="center" wrapText="1"/>
    </xf>
    <xf numFmtId="165" fontId="24" fillId="3" borderId="0" xfId="60" applyNumberFormat="1" applyFont="1" applyFill="1" applyAlignment="1">
      <alignment horizontal="center" vertical="center"/>
    </xf>
    <xf numFmtId="165" fontId="24" fillId="3" borderId="58" xfId="60" applyNumberFormat="1" applyFont="1" applyFill="1" applyBorder="1" applyAlignment="1">
      <alignment horizontal="center" vertical="center"/>
    </xf>
    <xf numFmtId="0" fontId="15" fillId="3" borderId="4" xfId="67" applyFont="1" applyFill="1" applyBorder="1" applyAlignment="1">
      <alignment horizontal="center" vertical="center" wrapText="1"/>
    </xf>
    <xf numFmtId="0" fontId="15" fillId="3" borderId="56" xfId="67" applyFont="1" applyFill="1" applyBorder="1" applyAlignment="1">
      <alignment horizontal="center" vertical="center" wrapText="1"/>
    </xf>
    <xf numFmtId="0" fontId="15" fillId="3" borderId="541" xfId="19" applyFont="1" applyFill="1" applyBorder="1" applyAlignment="1">
      <alignment horizontal="right" vertical="center" wrapText="1"/>
    </xf>
    <xf numFmtId="0" fontId="15" fillId="3" borderId="131" xfId="19" applyFont="1" applyFill="1" applyBorder="1" applyAlignment="1">
      <alignment horizontal="right" vertical="center" wrapText="1"/>
    </xf>
    <xf numFmtId="0" fontId="727" fillId="3" borderId="542" xfId="48" applyFont="1" applyFill="1" applyBorder="1" applyAlignment="1">
      <alignment horizontal="center" vertical="center" wrapText="1"/>
    </xf>
    <xf numFmtId="0" fontId="186" fillId="3" borderId="525" xfId="48" applyFont="1" applyFill="1" applyBorder="1" applyAlignment="1">
      <alignment horizontal="center" vertical="center" wrapText="1"/>
    </xf>
    <xf numFmtId="0" fontId="186" fillId="3" borderId="543" xfId="48" applyFont="1" applyFill="1" applyBorder="1" applyAlignment="1">
      <alignment horizontal="center" vertical="center" wrapText="1"/>
    </xf>
    <xf numFmtId="0" fontId="15" fillId="3" borderId="5" xfId="19" applyFont="1" applyFill="1" applyBorder="1" applyAlignment="1">
      <alignment horizontal="right" vertical="center" wrapText="1"/>
    </xf>
    <xf numFmtId="0" fontId="1" fillId="3" borderId="424" xfId="60" applyFill="1" applyBorder="1" applyAlignment="1">
      <alignment horizontal="left" wrapText="1"/>
    </xf>
    <xf numFmtId="0" fontId="1" fillId="3" borderId="7" xfId="60" applyFill="1" applyBorder="1" applyAlignment="1">
      <alignment horizontal="left" wrapText="1"/>
    </xf>
    <xf numFmtId="0" fontId="1" fillId="3" borderId="419" xfId="60" applyFill="1" applyBorder="1" applyAlignment="1">
      <alignment horizontal="left" wrapText="1"/>
    </xf>
    <xf numFmtId="0" fontId="1" fillId="3" borderId="5" xfId="60" applyFill="1" applyBorder="1" applyAlignment="1">
      <alignment horizontal="left" wrapText="1"/>
    </xf>
    <xf numFmtId="0" fontId="15" fillId="5" borderId="538" xfId="67" applyFont="1" applyFill="1" applyBorder="1" applyAlignment="1">
      <alignment horizontal="center" vertical="center" wrapText="1"/>
    </xf>
    <xf numFmtId="0" fontId="15" fillId="5" borderId="458" xfId="67" applyFont="1" applyFill="1" applyBorder="1" applyAlignment="1">
      <alignment horizontal="center" vertical="center" wrapText="1"/>
    </xf>
    <xf numFmtId="0" fontId="15" fillId="3" borderId="398" xfId="19" applyFont="1" applyFill="1" applyBorder="1" applyAlignment="1">
      <alignment horizontal="center" vertical="center" wrapText="1"/>
    </xf>
    <xf numFmtId="0" fontId="15" fillId="3" borderId="57" xfId="19" applyFont="1" applyFill="1" applyBorder="1" applyAlignment="1">
      <alignment horizontal="center" vertical="center" wrapText="1"/>
    </xf>
    <xf numFmtId="0" fontId="15" fillId="3" borderId="59" xfId="19" applyFont="1" applyFill="1" applyBorder="1" applyAlignment="1">
      <alignment horizontal="center" vertical="center" wrapText="1"/>
    </xf>
    <xf numFmtId="1" fontId="15" fillId="3" borderId="497" xfId="19" applyNumberFormat="1" applyFont="1" applyFill="1" applyBorder="1" applyAlignment="1">
      <alignment horizontal="center" vertical="center"/>
    </xf>
    <xf numFmtId="0" fontId="15" fillId="3" borderId="497" xfId="19" applyFont="1" applyFill="1" applyBorder="1" applyAlignment="1">
      <alignment horizontal="center" vertical="center" wrapText="1"/>
    </xf>
    <xf numFmtId="0" fontId="15" fillId="3" borderId="0" xfId="19" applyFont="1" applyFill="1" applyAlignment="1">
      <alignment horizontal="center" vertical="center" wrapText="1"/>
    </xf>
    <xf numFmtId="0" fontId="15" fillId="3" borderId="58" xfId="19" applyFont="1" applyFill="1" applyBorder="1" applyAlignment="1">
      <alignment horizontal="center" vertical="center" wrapText="1"/>
    </xf>
    <xf numFmtId="0" fontId="15" fillId="3" borderId="254" xfId="60" applyFont="1" applyFill="1" applyBorder="1" applyAlignment="1">
      <alignment horizontal="center" vertical="center"/>
    </xf>
    <xf numFmtId="0" fontId="744" fillId="4" borderId="424" xfId="53" applyFont="1" applyFill="1" applyBorder="1" applyAlignment="1">
      <alignment horizontal="center" vertical="center"/>
    </xf>
    <xf numFmtId="0" fontId="744" fillId="4" borderId="7" xfId="53" applyFont="1" applyFill="1" applyBorder="1" applyAlignment="1">
      <alignment horizontal="center" vertical="center"/>
    </xf>
    <xf numFmtId="0" fontId="744" fillId="4" borderId="419" xfId="53" applyFont="1" applyFill="1" applyBorder="1" applyAlignment="1">
      <alignment horizontal="center" vertical="center"/>
    </xf>
    <xf numFmtId="0" fontId="156" fillId="1994" borderId="534" xfId="48" applyFont="1" applyFill="1" applyBorder="1" applyAlignment="1">
      <alignment horizontal="center" vertical="center" textRotation="90" wrapText="1"/>
    </xf>
    <xf numFmtId="0" fontId="156" fillId="1994" borderId="535" xfId="48" applyFont="1" applyFill="1" applyBorder="1" applyAlignment="1">
      <alignment horizontal="center" vertical="center" textRotation="90" wrapText="1"/>
    </xf>
    <xf numFmtId="0" fontId="36" fillId="3" borderId="5" xfId="48" applyFont="1" applyFill="1" applyBorder="1" applyAlignment="1">
      <alignment horizontal="center" vertical="center"/>
    </xf>
    <xf numFmtId="0" fontId="36" fillId="3" borderId="0" xfId="48" applyFont="1" applyFill="1" applyAlignment="1">
      <alignment horizontal="center" vertical="center"/>
    </xf>
    <xf numFmtId="0" fontId="163" fillId="2" borderId="5" xfId="60" applyFont="1" applyFill="1" applyBorder="1" applyAlignment="1">
      <alignment horizontal="center" vertical="center"/>
    </xf>
    <xf numFmtId="0" fontId="163" fillId="2" borderId="0" xfId="60" applyFont="1" applyFill="1" applyAlignment="1">
      <alignment horizontal="center" vertical="center"/>
    </xf>
    <xf numFmtId="227" fontId="43" fillId="1995" borderId="0" xfId="48" applyNumberFormat="1" applyFont="1" applyFill="1" applyAlignment="1">
      <alignment horizontal="left" vertical="center"/>
    </xf>
    <xf numFmtId="0" fontId="163" fillId="2" borderId="496" xfId="60" applyFont="1" applyFill="1" applyBorder="1" applyAlignment="1">
      <alignment horizontal="center" vertical="center"/>
    </xf>
    <xf numFmtId="0" fontId="163" fillId="2" borderId="444" xfId="60" applyFont="1" applyFill="1" applyBorder="1" applyAlignment="1">
      <alignment horizontal="center" vertical="center"/>
    </xf>
    <xf numFmtId="0" fontId="163" fillId="2" borderId="445" xfId="60" applyFont="1" applyFill="1" applyBorder="1" applyAlignment="1">
      <alignment horizontal="center" vertical="center"/>
    </xf>
    <xf numFmtId="0" fontId="53" fillId="3" borderId="424" xfId="48" applyFont="1" applyFill="1" applyBorder="1" applyAlignment="1">
      <alignment horizontal="left"/>
    </xf>
    <xf numFmtId="0" fontId="53" fillId="3" borderId="7" xfId="48" applyFont="1" applyFill="1" applyBorder="1" applyAlignment="1">
      <alignment horizontal="left"/>
    </xf>
    <xf numFmtId="0" fontId="53" fillId="3" borderId="419" xfId="48" applyFont="1" applyFill="1" applyBorder="1" applyAlignment="1">
      <alignment horizontal="left"/>
    </xf>
    <xf numFmtId="0" fontId="182" fillId="3" borderId="0" xfId="28" applyFont="1" applyFill="1" applyAlignment="1">
      <alignment horizontal="center" vertical="center"/>
    </xf>
    <xf numFmtId="0" fontId="145" fillId="3" borderId="0" xfId="28" applyFont="1" applyFill="1" applyAlignment="1">
      <alignment horizontal="center" vertical="center"/>
    </xf>
    <xf numFmtId="0" fontId="15" fillId="0" borderId="0" xfId="13" applyFont="1" applyAlignment="1" applyProtection="1">
      <alignment horizontal="center" vertical="center"/>
      <protection locked="0"/>
    </xf>
    <xf numFmtId="0" fontId="15" fillId="3" borderId="0" xfId="32" applyFont="1" applyFill="1" applyAlignment="1">
      <alignment horizontal="center" vertical="center" wrapText="1"/>
    </xf>
    <xf numFmtId="0" fontId="727" fillId="3" borderId="460" xfId="48" applyFont="1" applyFill="1" applyBorder="1" applyAlignment="1">
      <alignment horizontal="center" vertical="center" wrapText="1"/>
    </xf>
    <xf numFmtId="0" fontId="727" fillId="3" borderId="444" xfId="48" applyFont="1" applyFill="1" applyBorder="1" applyAlignment="1">
      <alignment horizontal="center" vertical="center" wrapText="1"/>
    </xf>
    <xf numFmtId="0" fontId="727" fillId="3" borderId="470" xfId="48" applyFont="1" applyFill="1" applyBorder="1" applyAlignment="1">
      <alignment horizontal="center" vertical="center" wrapText="1"/>
    </xf>
    <xf numFmtId="0" fontId="41" fillId="14" borderId="5" xfId="13" applyFont="1" applyFill="1" applyBorder="1" applyAlignment="1" applyProtection="1">
      <alignment horizontal="right" vertical="center" wrapText="1"/>
      <protection locked="0"/>
    </xf>
    <xf numFmtId="0" fontId="41" fillId="14" borderId="0" xfId="13" applyFont="1" applyFill="1" applyAlignment="1" applyProtection="1">
      <alignment horizontal="right" vertical="center" wrapText="1"/>
      <protection locked="0"/>
    </xf>
    <xf numFmtId="0" fontId="122" fillId="64" borderId="522" xfId="13" applyFont="1" applyFill="1" applyBorder="1" applyAlignment="1" applyProtection="1">
      <alignment horizontal="right" vertical="center" wrapText="1"/>
      <protection locked="0"/>
    </xf>
    <xf numFmtId="0" fontId="122" fillId="64" borderId="523" xfId="13" applyFont="1" applyFill="1" applyBorder="1" applyAlignment="1" applyProtection="1">
      <alignment horizontal="right" vertical="center" wrapText="1"/>
      <protection locked="0"/>
    </xf>
    <xf numFmtId="0" fontId="49" fillId="8" borderId="525" xfId="13" applyFont="1" applyFill="1" applyBorder="1" applyAlignment="1" applyProtection="1">
      <alignment horizontal="left" vertical="center"/>
      <protection locked="0"/>
    </xf>
    <xf numFmtId="0" fontId="122" fillId="64" borderId="528" xfId="13" applyFont="1" applyFill="1" applyBorder="1" applyAlignment="1" applyProtection="1">
      <alignment horizontal="right" vertical="center" wrapText="1"/>
      <protection locked="0"/>
    </xf>
    <xf numFmtId="0" fontId="49" fillId="8" borderId="495" xfId="13" applyFont="1" applyFill="1" applyBorder="1" applyAlignment="1" applyProtection="1">
      <alignment horizontal="left" vertical="center"/>
      <protection locked="0"/>
    </xf>
    <xf numFmtId="0" fontId="41" fillId="14" borderId="358" xfId="13" applyFont="1" applyFill="1" applyBorder="1" applyAlignment="1" applyProtection="1">
      <alignment horizontal="right" vertical="center" wrapText="1"/>
      <protection locked="0"/>
    </xf>
    <xf numFmtId="0" fontId="41" fillId="14" borderId="1" xfId="13" applyFont="1" applyFill="1" applyBorder="1" applyAlignment="1" applyProtection="1">
      <alignment horizontal="right" vertical="center" wrapText="1"/>
      <protection locked="0"/>
    </xf>
    <xf numFmtId="0" fontId="122" fillId="64" borderId="529" xfId="13" applyFont="1" applyFill="1" applyBorder="1" applyAlignment="1" applyProtection="1">
      <alignment horizontal="right" vertical="center" wrapText="1"/>
      <protection locked="0"/>
    </xf>
    <xf numFmtId="0" fontId="122" fillId="64" borderId="506" xfId="13" applyFont="1" applyFill="1" applyBorder="1" applyAlignment="1" applyProtection="1">
      <alignment horizontal="right" vertical="center" wrapText="1"/>
      <protection locked="0"/>
    </xf>
    <xf numFmtId="0" fontId="49" fillId="8" borderId="101" xfId="13" applyFont="1" applyFill="1" applyBorder="1" applyAlignment="1" applyProtection="1">
      <alignment horizontal="left" vertical="center"/>
      <protection locked="0"/>
    </xf>
    <xf numFmtId="0" fontId="34" fillId="2" borderId="444" xfId="48" applyFont="1" applyFill="1" applyBorder="1" applyAlignment="1">
      <alignment horizontal="center" vertical="center" wrapText="1"/>
    </xf>
    <xf numFmtId="0" fontId="169" fillId="4" borderId="424" xfId="53" applyFont="1" applyFill="1" applyBorder="1" applyAlignment="1">
      <alignment horizontal="center" vertical="center"/>
    </xf>
    <xf numFmtId="0" fontId="169" fillId="4" borderId="7" xfId="53" applyFont="1" applyFill="1" applyBorder="1" applyAlignment="1">
      <alignment horizontal="center" vertical="center"/>
    </xf>
    <xf numFmtId="0" fontId="169" fillId="4" borderId="419" xfId="53" applyFont="1" applyFill="1" applyBorder="1" applyAlignment="1">
      <alignment horizontal="center" vertical="center"/>
    </xf>
    <xf numFmtId="0" fontId="15" fillId="3" borderId="57" xfId="53" applyFont="1" applyFill="1" applyBorder="1" applyAlignment="1">
      <alignment horizontal="center" vertical="center" wrapText="1"/>
    </xf>
    <xf numFmtId="0" fontId="15" fillId="3" borderId="0" xfId="53" applyFont="1" applyFill="1" applyAlignment="1">
      <alignment horizontal="center" vertical="center" wrapText="1"/>
    </xf>
    <xf numFmtId="0" fontId="15" fillId="3" borderId="85" xfId="53" applyFont="1" applyFill="1" applyBorder="1" applyAlignment="1">
      <alignment horizontal="center" vertical="center" wrapText="1"/>
    </xf>
    <xf numFmtId="0" fontId="34" fillId="21" borderId="57" xfId="53" applyFont="1" applyFill="1" applyBorder="1" applyAlignment="1">
      <alignment horizontal="center" vertical="center" wrapText="1"/>
    </xf>
    <xf numFmtId="0" fontId="34" fillId="21" borderId="0" xfId="53" applyFont="1" applyFill="1" applyAlignment="1">
      <alignment horizontal="center" vertical="center" wrapText="1"/>
    </xf>
    <xf numFmtId="0" fontId="34" fillId="21" borderId="85" xfId="53" applyFont="1" applyFill="1" applyBorder="1" applyAlignment="1">
      <alignment horizontal="center" vertical="center" wrapText="1"/>
    </xf>
    <xf numFmtId="0" fontId="67" fillId="2" borderId="57" xfId="53" applyFont="1" applyFill="1" applyBorder="1" applyAlignment="1">
      <alignment horizontal="center" vertical="center" wrapText="1"/>
    </xf>
    <xf numFmtId="0" fontId="67" fillId="2" borderId="0" xfId="53" applyFont="1" applyFill="1" applyAlignment="1">
      <alignment horizontal="center" vertical="center" wrapText="1"/>
    </xf>
    <xf numFmtId="0" fontId="67" fillId="2" borderId="85" xfId="53" applyFont="1" applyFill="1" applyBorder="1" applyAlignment="1">
      <alignment horizontal="center" vertical="center" wrapText="1"/>
    </xf>
    <xf numFmtId="0" fontId="67" fillId="2" borderId="460" xfId="53" applyFont="1" applyFill="1" applyBorder="1" applyAlignment="1">
      <alignment horizontal="center" vertical="center" wrapText="1"/>
    </xf>
    <xf numFmtId="0" fontId="67" fillId="2" borderId="444" xfId="53" applyFont="1" applyFill="1" applyBorder="1" applyAlignment="1">
      <alignment horizontal="center" vertical="center" wrapText="1"/>
    </xf>
    <xf numFmtId="0" fontId="67" fillId="2" borderId="470" xfId="53" applyFont="1" applyFill="1" applyBorder="1" applyAlignment="1">
      <alignment horizontal="center" vertical="center" wrapText="1"/>
    </xf>
    <xf numFmtId="0" fontId="549" fillId="4" borderId="502" xfId="13" applyFont="1" applyFill="1" applyBorder="1" applyAlignment="1">
      <alignment horizontal="left" vertical="center"/>
    </xf>
    <xf numFmtId="0" fontId="549" fillId="4" borderId="503" xfId="13" applyFont="1" applyFill="1" applyBorder="1" applyAlignment="1">
      <alignment horizontal="left" vertical="center"/>
    </xf>
    <xf numFmtId="0" fontId="549" fillId="4" borderId="504" xfId="13" applyFont="1" applyFill="1" applyBorder="1" applyAlignment="1">
      <alignment horizontal="left" vertical="center"/>
    </xf>
    <xf numFmtId="0" fontId="380" fillId="15" borderId="502" xfId="13" applyFont="1" applyFill="1" applyBorder="1" applyAlignment="1">
      <alignment horizontal="center" vertical="center"/>
    </xf>
    <xf numFmtId="0" fontId="380" fillId="15" borderId="503" xfId="60" applyFont="1" applyFill="1" applyBorder="1" applyAlignment="1">
      <alignment horizontal="center" vertical="center"/>
    </xf>
    <xf numFmtId="0" fontId="43" fillId="8" borderId="502" xfId="13" applyFont="1" applyFill="1" applyBorder="1" applyAlignment="1">
      <alignment horizontal="center" vertical="center"/>
    </xf>
    <xf numFmtId="0" fontId="43" fillId="8" borderId="503" xfId="60" applyFont="1" applyFill="1" applyBorder="1" applyAlignment="1">
      <alignment horizontal="center" vertical="center"/>
    </xf>
    <xf numFmtId="0" fontId="43" fillId="8" borderId="504" xfId="60" applyFont="1" applyFill="1" applyBorder="1" applyAlignment="1">
      <alignment horizontal="center" vertical="center"/>
    </xf>
    <xf numFmtId="0" fontId="381" fillId="0" borderId="505" xfId="13" applyFont="1" applyBorder="1" applyAlignment="1" applyProtection="1">
      <alignment horizontal="center" vertical="center"/>
      <protection locked="0"/>
    </xf>
    <xf numFmtId="0" fontId="381" fillId="0" borderId="506" xfId="13" applyFont="1" applyBorder="1" applyAlignment="1" applyProtection="1">
      <alignment horizontal="center" vertical="center"/>
      <protection locked="0"/>
    </xf>
    <xf numFmtId="0" fontId="381" fillId="0" borderId="513" xfId="13" applyFont="1" applyBorder="1" applyAlignment="1" applyProtection="1">
      <alignment horizontal="center" vertical="center"/>
      <protection locked="0"/>
    </xf>
    <xf numFmtId="0" fontId="381" fillId="0" borderId="516" xfId="13" applyFont="1" applyBorder="1" applyAlignment="1" applyProtection="1">
      <alignment horizontal="center" vertical="center"/>
      <protection locked="0"/>
    </xf>
    <xf numFmtId="0" fontId="381" fillId="0" borderId="517" xfId="13" applyFont="1" applyBorder="1" applyAlignment="1" applyProtection="1">
      <alignment horizontal="center" vertical="center"/>
      <protection locked="0"/>
    </xf>
    <xf numFmtId="0" fontId="7" fillId="0" borderId="506" xfId="13" applyFont="1" applyBorder="1" applyAlignment="1" applyProtection="1">
      <alignment horizontal="center" vertical="center" wrapText="1"/>
      <protection locked="0"/>
    </xf>
    <xf numFmtId="0" fontId="7" fillId="0" borderId="517" xfId="13" applyFont="1" applyBorder="1" applyAlignment="1" applyProtection="1">
      <alignment horizontal="center" vertical="center" wrapText="1"/>
      <protection locked="0"/>
    </xf>
    <xf numFmtId="0" fontId="70" fillId="0" borderId="507" xfId="13" applyFont="1" applyBorder="1" applyAlignment="1" applyProtection="1">
      <alignment horizontal="center" vertical="center" wrapText="1"/>
      <protection locked="0"/>
    </xf>
    <xf numFmtId="0" fontId="70" fillId="0" borderId="518" xfId="13" applyFont="1" applyBorder="1" applyAlignment="1" applyProtection="1">
      <alignment horizontal="center" vertical="center" wrapText="1"/>
      <protection locked="0"/>
    </xf>
    <xf numFmtId="0" fontId="134" fillId="8" borderId="508" xfId="13" applyFont="1" applyFill="1" applyBorder="1" applyAlignment="1" applyProtection="1">
      <alignment horizontal="center" vertical="center" wrapText="1"/>
      <protection locked="0"/>
    </xf>
    <xf numFmtId="0" fontId="134" fillId="8" borderId="509" xfId="13" applyFont="1" applyFill="1" applyBorder="1" applyAlignment="1" applyProtection="1">
      <alignment horizontal="center" vertical="center" wrapText="1"/>
      <protection locked="0"/>
    </xf>
    <xf numFmtId="0" fontId="134" fillId="8" borderId="510" xfId="13" applyFont="1" applyFill="1" applyBorder="1" applyAlignment="1" applyProtection="1">
      <alignment horizontal="center" vertical="center" wrapText="1"/>
      <protection locked="0"/>
    </xf>
    <xf numFmtId="0" fontId="13" fillId="0" borderId="511" xfId="13" applyFont="1" applyBorder="1" applyAlignment="1" applyProtection="1">
      <alignment horizontal="center" vertical="center"/>
      <protection locked="0"/>
    </xf>
    <xf numFmtId="0" fontId="13" fillId="0" borderId="512" xfId="13" applyFont="1" applyBorder="1" applyAlignment="1" applyProtection="1">
      <alignment horizontal="center" vertical="center"/>
      <protection locked="0"/>
    </xf>
    <xf numFmtId="0" fontId="13" fillId="0" borderId="515" xfId="13" applyFont="1" applyBorder="1" applyAlignment="1" applyProtection="1">
      <alignment horizontal="center" vertical="center"/>
      <protection locked="0"/>
    </xf>
    <xf numFmtId="0" fontId="382" fillId="0" borderId="511" xfId="13" applyFont="1" applyBorder="1" applyAlignment="1" applyProtection="1">
      <alignment horizontal="center" vertical="center"/>
      <protection locked="0"/>
    </xf>
    <xf numFmtId="0" fontId="382" fillId="0" borderId="506" xfId="13" applyFont="1" applyBorder="1" applyAlignment="1" applyProtection="1">
      <alignment horizontal="center" vertical="center"/>
      <protection locked="0"/>
    </xf>
    <xf numFmtId="0" fontId="382" fillId="0" borderId="512" xfId="13" applyFont="1" applyBorder="1" applyAlignment="1" applyProtection="1">
      <alignment horizontal="center" vertical="center"/>
      <protection locked="0"/>
    </xf>
    <xf numFmtId="0" fontId="382" fillId="0" borderId="515" xfId="13" applyFont="1" applyBorder="1" applyAlignment="1" applyProtection="1">
      <alignment horizontal="center" vertical="center"/>
      <protection locked="0"/>
    </xf>
    <xf numFmtId="0" fontId="382" fillId="0" borderId="520" xfId="13" applyFont="1" applyBorder="1" applyAlignment="1" applyProtection="1">
      <alignment horizontal="center" vertical="center"/>
      <protection locked="0"/>
    </xf>
    <xf numFmtId="0" fontId="382" fillId="0" borderId="517" xfId="13" applyFont="1" applyBorder="1" applyAlignment="1" applyProtection="1">
      <alignment horizontal="center" vertical="center"/>
      <protection locked="0"/>
    </xf>
    <xf numFmtId="0" fontId="382" fillId="0" borderId="521" xfId="13" applyFont="1" applyBorder="1" applyAlignment="1" applyProtection="1">
      <alignment horizontal="center" vertical="center"/>
      <protection locked="0"/>
    </xf>
    <xf numFmtId="2" fontId="70" fillId="8" borderId="515" xfId="52" applyNumberFormat="1" applyFont="1" applyFill="1" applyBorder="1" applyAlignment="1">
      <alignment horizontal="center" vertical="center"/>
    </xf>
    <xf numFmtId="2" fontId="70" fillId="8" borderId="181" xfId="52" applyNumberFormat="1" applyFont="1" applyFill="1" applyBorder="1" applyAlignment="1">
      <alignment horizontal="center" vertical="center"/>
    </xf>
    <xf numFmtId="0" fontId="739" fillId="0" borderId="519" xfId="13" applyFont="1" applyBorder="1" applyAlignment="1" applyProtection="1">
      <alignment horizontal="center" vertical="center" wrapText="1"/>
      <protection locked="0"/>
    </xf>
    <xf numFmtId="0" fontId="43" fillId="8" borderId="520" xfId="52" applyFont="1" applyFill="1" applyBorder="1" applyAlignment="1">
      <alignment horizontal="center" vertical="center"/>
    </xf>
    <xf numFmtId="0" fontId="43" fillId="8" borderId="521" xfId="52" applyFont="1" applyFill="1" applyBorder="1" applyAlignment="1">
      <alignment horizontal="center" vertical="center"/>
    </xf>
    <xf numFmtId="0" fontId="12" fillId="3" borderId="398" xfId="53" applyFont="1" applyFill="1" applyBorder="1" applyAlignment="1">
      <alignment horizontal="center" vertical="center" wrapText="1"/>
    </xf>
    <xf numFmtId="0" fontId="12" fillId="3" borderId="497" xfId="53" applyFont="1" applyFill="1" applyBorder="1" applyAlignment="1">
      <alignment horizontal="center" vertical="center" wrapText="1"/>
    </xf>
    <xf numFmtId="0" fontId="12" fillId="3" borderId="401" xfId="53" applyFont="1" applyFill="1" applyBorder="1" applyAlignment="1">
      <alignment horizontal="center" vertical="center" wrapText="1"/>
    </xf>
    <xf numFmtId="0" fontId="12" fillId="3" borderId="57" xfId="53" applyFont="1" applyFill="1" applyBorder="1" applyAlignment="1">
      <alignment horizontal="center" vertical="center" wrapText="1"/>
    </xf>
    <xf numFmtId="0" fontId="12" fillId="3" borderId="0" xfId="53" applyFont="1" applyFill="1" applyAlignment="1">
      <alignment horizontal="center" vertical="center" wrapText="1"/>
    </xf>
    <xf numFmtId="0" fontId="12" fillId="3" borderId="85" xfId="53" applyFont="1" applyFill="1" applyBorder="1" applyAlignment="1">
      <alignment horizontal="center" vertical="center" wrapText="1"/>
    </xf>
    <xf numFmtId="0" fontId="182" fillId="3" borderId="0" xfId="8" applyFont="1" applyFill="1" applyAlignment="1" applyProtection="1">
      <alignment horizontal="left" vertical="center"/>
    </xf>
    <xf numFmtId="0" fontId="664" fillId="3" borderId="0" xfId="38" applyFont="1" applyFill="1" applyAlignment="1" applyProtection="1">
      <alignment horizontal="left" vertical="center"/>
    </xf>
    <xf numFmtId="0" fontId="11" fillId="3" borderId="57" xfId="53" applyFont="1" applyFill="1" applyBorder="1" applyAlignment="1">
      <alignment horizontal="center" vertical="center" wrapText="1"/>
    </xf>
    <xf numFmtId="0" fontId="11" fillId="3" borderId="0" xfId="53" applyFont="1" applyFill="1" applyAlignment="1">
      <alignment horizontal="center" vertical="center" wrapText="1"/>
    </xf>
    <xf numFmtId="0" fontId="11" fillId="3" borderId="85" xfId="53" applyFont="1" applyFill="1" applyBorder="1" applyAlignment="1">
      <alignment horizontal="center" vertical="center" wrapText="1"/>
    </xf>
    <xf numFmtId="0" fontId="11" fillId="3" borderId="460" xfId="53" applyFont="1" applyFill="1" applyBorder="1" applyAlignment="1">
      <alignment horizontal="center" vertical="center" wrapText="1"/>
    </xf>
    <xf numFmtId="0" fontId="11" fillId="3" borderId="444" xfId="53" applyFont="1" applyFill="1" applyBorder="1" applyAlignment="1">
      <alignment horizontal="center" vertical="center" wrapText="1"/>
    </xf>
    <xf numFmtId="0" fontId="11" fillId="3" borderId="470" xfId="53" applyFont="1" applyFill="1" applyBorder="1" applyAlignment="1">
      <alignment horizontal="center" vertical="center" wrapText="1"/>
    </xf>
    <xf numFmtId="0" fontId="145" fillId="3" borderId="0" xfId="66" applyFont="1" applyFill="1" applyAlignment="1">
      <alignment horizontal="left" vertical="center"/>
    </xf>
    <xf numFmtId="0" fontId="145" fillId="22" borderId="0" xfId="28" applyFont="1" applyFill="1" applyAlignment="1" applyProtection="1">
      <alignment horizontal="left" vertical="center"/>
      <protection hidden="1"/>
    </xf>
    <xf numFmtId="0" fontId="168" fillId="42" borderId="57" xfId="53" applyFont="1" applyFill="1" applyBorder="1" applyAlignment="1">
      <alignment horizontal="center" vertical="center"/>
    </xf>
    <xf numFmtId="0" fontId="168" fillId="42" borderId="0" xfId="53" applyFont="1" applyFill="1" applyAlignment="1">
      <alignment horizontal="center" vertical="center"/>
    </xf>
    <xf numFmtId="0" fontId="168" fillId="42" borderId="85" xfId="53" applyFont="1" applyFill="1" applyBorder="1" applyAlignment="1">
      <alignment horizontal="center" vertical="center"/>
    </xf>
    <xf numFmtId="0" fontId="70" fillId="3" borderId="5" xfId="48" applyFont="1" applyFill="1" applyBorder="1" applyAlignment="1">
      <alignment horizontal="center" vertical="center"/>
    </xf>
    <xf numFmtId="0" fontId="70" fillId="3" borderId="0" xfId="48" applyFont="1" applyFill="1" applyAlignment="1">
      <alignment horizontal="center" vertical="center"/>
    </xf>
    <xf numFmtId="0" fontId="342" fillId="3" borderId="5" xfId="48" applyFont="1" applyFill="1" applyBorder="1" applyAlignment="1">
      <alignment horizontal="center" vertical="center" wrapText="1"/>
    </xf>
    <xf numFmtId="0" fontId="342" fillId="3" borderId="0" xfId="48" applyFont="1" applyFill="1" applyAlignment="1">
      <alignment horizontal="center" vertical="center" wrapText="1"/>
    </xf>
    <xf numFmtId="0" fontId="342" fillId="3" borderId="358" xfId="48" applyFont="1" applyFill="1" applyBorder="1" applyAlignment="1">
      <alignment horizontal="center" vertical="center" wrapText="1"/>
    </xf>
    <xf numFmtId="0" fontId="342" fillId="3" borderId="1" xfId="48" applyFont="1" applyFill="1" applyBorder="1" applyAlignment="1">
      <alignment horizontal="center" vertical="center" wrapText="1"/>
    </xf>
    <xf numFmtId="0" fontId="7" fillId="3" borderId="5" xfId="48" applyFill="1" applyBorder="1" applyAlignment="1">
      <alignment horizontal="center" vertical="center"/>
    </xf>
    <xf numFmtId="0" fontId="7" fillId="3" borderId="0" xfId="48" applyFill="1" applyAlignment="1">
      <alignment horizontal="center" vertical="center"/>
    </xf>
    <xf numFmtId="0" fontId="7" fillId="3" borderId="358" xfId="48" applyFill="1" applyBorder="1" applyAlignment="1">
      <alignment horizontal="center" vertical="center"/>
    </xf>
    <xf numFmtId="0" fontId="7" fillId="3" borderId="1" xfId="48" applyFill="1" applyBorder="1" applyAlignment="1">
      <alignment horizontal="center" vertical="center"/>
    </xf>
    <xf numFmtId="0" fontId="385" fillId="31" borderId="0" xfId="48" applyFont="1" applyFill="1" applyAlignment="1" applyProtection="1">
      <alignment horizontal="center"/>
      <protection hidden="1"/>
    </xf>
    <xf numFmtId="0" fontId="70" fillId="4" borderId="398" xfId="48" applyFont="1" applyFill="1" applyBorder="1" applyAlignment="1">
      <alignment horizontal="center" vertical="center"/>
    </xf>
    <xf numFmtId="0" fontId="70" fillId="4" borderId="497" xfId="48" applyFont="1" applyFill="1" applyBorder="1" applyAlignment="1">
      <alignment horizontal="center" vertical="center"/>
    </xf>
    <xf numFmtId="0" fontId="70" fillId="4" borderId="401" xfId="48" applyFont="1" applyFill="1" applyBorder="1" applyAlignment="1">
      <alignment horizontal="center" vertical="center"/>
    </xf>
    <xf numFmtId="0" fontId="70" fillId="4" borderId="57" xfId="48" applyFont="1" applyFill="1" applyBorder="1" applyAlignment="1">
      <alignment horizontal="center" vertical="center"/>
    </xf>
    <xf numFmtId="0" fontId="70" fillId="4" borderId="0" xfId="48" applyFont="1" applyFill="1" applyAlignment="1">
      <alignment horizontal="center" vertical="center"/>
    </xf>
    <xf numFmtId="0" fontId="70" fillId="4" borderId="85" xfId="48" applyFont="1" applyFill="1" applyBorder="1" applyAlignment="1">
      <alignment horizontal="center" vertical="center"/>
    </xf>
    <xf numFmtId="0" fontId="341" fillId="3" borderId="424" xfId="48" applyFont="1" applyFill="1" applyBorder="1" applyAlignment="1">
      <alignment horizontal="center" vertical="center"/>
    </xf>
    <xf numFmtId="0" fontId="341" fillId="3" borderId="7" xfId="48" applyFont="1" applyFill="1" applyBorder="1" applyAlignment="1">
      <alignment horizontal="center" vertical="center"/>
    </xf>
    <xf numFmtId="0" fontId="341" fillId="3" borderId="419" xfId="48" applyFont="1" applyFill="1" applyBorder="1" applyAlignment="1">
      <alignment horizontal="center" vertical="center"/>
    </xf>
    <xf numFmtId="0" fontId="677" fillId="3" borderId="0" xfId="64" applyFill="1" applyBorder="1" applyAlignment="1">
      <alignment horizontal="left" vertical="center"/>
    </xf>
    <xf numFmtId="0" fontId="677" fillId="3" borderId="4" xfId="64" applyFill="1" applyBorder="1" applyAlignment="1">
      <alignment horizontal="left" vertical="center"/>
    </xf>
    <xf numFmtId="0" fontId="7" fillId="3" borderId="57" xfId="48" applyFill="1" applyBorder="1" applyAlignment="1">
      <alignment horizontal="center" vertical="center" wrapText="1"/>
    </xf>
    <xf numFmtId="0" fontId="7" fillId="3" borderId="0" xfId="48" applyFill="1" applyAlignment="1">
      <alignment horizontal="center" vertical="center" wrapText="1"/>
    </xf>
    <xf numFmtId="0" fontId="7" fillId="3" borderId="85" xfId="48" applyFill="1" applyBorder="1" applyAlignment="1">
      <alignment horizontal="center" vertical="center" wrapText="1"/>
    </xf>
    <xf numFmtId="0" fontId="66" fillId="3" borderId="5" xfId="66" applyFont="1" applyFill="1" applyBorder="1" applyAlignment="1">
      <alignment horizontal="center" vertical="center" wrapText="1"/>
    </xf>
    <xf numFmtId="0" fontId="66" fillId="3" borderId="0" xfId="66" applyFont="1" applyFill="1" applyBorder="1" applyAlignment="1">
      <alignment horizontal="center" vertical="center" wrapText="1"/>
    </xf>
    <xf numFmtId="0" fontId="66" fillId="3" borderId="4" xfId="66" applyFont="1" applyFill="1" applyBorder="1" applyAlignment="1">
      <alignment horizontal="center" vertical="center" wrapText="1"/>
    </xf>
    <xf numFmtId="0" fontId="7" fillId="3" borderId="0" xfId="48" applyFill="1" applyAlignment="1">
      <alignment horizontal="left" vertical="center"/>
    </xf>
    <xf numFmtId="0" fontId="7" fillId="3" borderId="85" xfId="48" applyFill="1" applyBorder="1" applyAlignment="1">
      <alignment horizontal="left" vertical="center"/>
    </xf>
    <xf numFmtId="0" fontId="7" fillId="3" borderId="460" xfId="48" applyFill="1" applyBorder="1" applyAlignment="1">
      <alignment horizontal="center" vertical="center" wrapText="1"/>
    </xf>
    <xf numFmtId="0" fontId="7" fillId="3" borderId="444" xfId="48" applyFill="1" applyBorder="1" applyAlignment="1">
      <alignment horizontal="center" vertical="center" wrapText="1"/>
    </xf>
    <xf numFmtId="0" fontId="7" fillId="3" borderId="470" xfId="48" applyFill="1" applyBorder="1" applyAlignment="1">
      <alignment horizontal="center" vertical="center" wrapText="1"/>
    </xf>
    <xf numFmtId="0" fontId="70" fillId="4" borderId="424" xfId="48" applyFont="1" applyFill="1" applyBorder="1" applyAlignment="1">
      <alignment horizontal="center" vertical="center" wrapText="1"/>
    </xf>
    <xf numFmtId="0" fontId="70" fillId="4" borderId="7" xfId="48" applyFont="1" applyFill="1" applyBorder="1" applyAlignment="1">
      <alignment horizontal="center" vertical="center" wrapText="1"/>
    </xf>
    <xf numFmtId="0" fontId="70" fillId="4" borderId="5" xfId="48" applyFont="1" applyFill="1" applyBorder="1" applyAlignment="1">
      <alignment horizontal="center" vertical="center" wrapText="1"/>
    </xf>
    <xf numFmtId="0" fontId="70" fillId="4" borderId="0" xfId="48" applyFont="1" applyFill="1" applyAlignment="1">
      <alignment horizontal="center" vertical="center" wrapText="1"/>
    </xf>
    <xf numFmtId="0" fontId="47" fillId="4" borderId="7" xfId="48" applyFont="1" applyFill="1" applyBorder="1" applyAlignment="1">
      <alignment horizontal="center" vertical="center" wrapText="1"/>
    </xf>
    <xf numFmtId="0" fontId="47" fillId="4" borderId="0" xfId="48" applyFont="1" applyFill="1" applyAlignment="1">
      <alignment horizontal="center" vertical="center" wrapText="1"/>
    </xf>
    <xf numFmtId="0" fontId="73" fillId="4" borderId="7" xfId="48" applyFont="1" applyFill="1" applyBorder="1" applyAlignment="1">
      <alignment horizontal="center" vertical="center" wrapText="1"/>
    </xf>
    <xf numFmtId="0" fontId="73" fillId="4" borderId="0" xfId="48" applyFont="1" applyFill="1" applyAlignment="1">
      <alignment horizontal="center" vertical="center" wrapText="1"/>
    </xf>
    <xf numFmtId="0" fontId="47" fillId="4" borderId="419" xfId="48" applyFont="1" applyFill="1" applyBorder="1" applyAlignment="1">
      <alignment horizontal="center" vertical="center"/>
    </xf>
    <xf numFmtId="0" fontId="47" fillId="4" borderId="4" xfId="48" applyFont="1" applyFill="1" applyBorder="1" applyAlignment="1">
      <alignment horizontal="center" vertical="center"/>
    </xf>
    <xf numFmtId="1" fontId="15" fillId="120" borderId="0" xfId="48" applyNumberFormat="1" applyFont="1" applyFill="1" applyAlignment="1" applyProtection="1">
      <alignment horizontal="center" vertical="center" wrapText="1"/>
      <protection hidden="1"/>
    </xf>
    <xf numFmtId="1" fontId="15" fillId="124" borderId="0" xfId="48" applyNumberFormat="1" applyFont="1" applyFill="1" applyAlignment="1" applyProtection="1">
      <alignment horizontal="center" vertical="center" wrapText="1"/>
      <protection hidden="1"/>
    </xf>
    <xf numFmtId="0" fontId="46" fillId="3" borderId="57" xfId="54" applyFont="1" applyFill="1" applyBorder="1" applyAlignment="1">
      <alignment horizontal="center" vertical="center"/>
    </xf>
    <xf numFmtId="0" fontId="46" fillId="3" borderId="85" xfId="54" applyFont="1" applyFill="1" applyBorder="1" applyAlignment="1">
      <alignment horizontal="center" vertical="center"/>
    </xf>
    <xf numFmtId="0" fontId="46" fillId="3" borderId="460" xfId="54" applyFont="1" applyFill="1" applyBorder="1" applyAlignment="1">
      <alignment horizontal="center" vertical="center"/>
    </xf>
    <xf numFmtId="0" fontId="46" fillId="3" borderId="470" xfId="54" applyFont="1" applyFill="1" applyBorder="1" applyAlignment="1">
      <alignment horizontal="center" vertical="center"/>
    </xf>
    <xf numFmtId="1" fontId="15" fillId="36" borderId="0" xfId="48" applyNumberFormat="1" applyFont="1" applyFill="1" applyAlignment="1" applyProtection="1">
      <alignment horizontal="center" vertical="center" wrapText="1"/>
      <protection hidden="1"/>
    </xf>
    <xf numFmtId="1" fontId="168" fillId="125" borderId="0" xfId="48" applyNumberFormat="1" applyFont="1" applyFill="1" applyAlignment="1" applyProtection="1">
      <alignment horizontal="center" vertical="center" wrapText="1"/>
      <protection hidden="1"/>
    </xf>
    <xf numFmtId="1" fontId="44" fillId="17" borderId="0" xfId="48" applyNumberFormat="1" applyFont="1" applyFill="1" applyAlignment="1" applyProtection="1">
      <alignment horizontal="center" vertical="center" wrapText="1"/>
      <protection hidden="1"/>
    </xf>
    <xf numFmtId="1" fontId="15" fillId="101" borderId="0" xfId="48" applyNumberFormat="1" applyFont="1" applyFill="1" applyAlignment="1" applyProtection="1">
      <alignment horizontal="center" vertical="center" wrapText="1"/>
      <protection hidden="1"/>
    </xf>
    <xf numFmtId="1" fontId="168" fillId="45" borderId="0" xfId="48" applyNumberFormat="1" applyFont="1" applyFill="1" applyAlignment="1" applyProtection="1">
      <alignment horizontal="center" vertical="center" wrapText="1"/>
      <protection hidden="1"/>
    </xf>
    <xf numFmtId="1" fontId="15" fillId="119" borderId="0" xfId="48" applyNumberFormat="1" applyFont="1" applyFill="1" applyAlignment="1" applyProtection="1">
      <alignment horizontal="center" vertical="center" wrapText="1"/>
      <protection hidden="1"/>
    </xf>
    <xf numFmtId="1" fontId="15" fillId="20" borderId="0" xfId="48" applyNumberFormat="1" applyFont="1" applyFill="1" applyAlignment="1" applyProtection="1">
      <alignment horizontal="center" vertical="center" wrapText="1"/>
      <protection hidden="1"/>
    </xf>
    <xf numFmtId="1" fontId="15" fillId="92" borderId="0" xfId="48" applyNumberFormat="1" applyFont="1" applyFill="1" applyAlignment="1" applyProtection="1">
      <alignment horizontal="center" vertical="center" wrapText="1"/>
      <protection hidden="1"/>
    </xf>
    <xf numFmtId="0" fontId="89" fillId="3" borderId="57" xfId="54" applyFont="1" applyFill="1" applyBorder="1" applyAlignment="1">
      <alignment horizontal="center" vertical="center"/>
    </xf>
    <xf numFmtId="0" fontId="89" fillId="3" borderId="85" xfId="54" applyFont="1" applyFill="1" applyBorder="1" applyAlignment="1">
      <alignment horizontal="center" vertical="center"/>
    </xf>
    <xf numFmtId="0" fontId="718" fillId="8" borderId="411" xfId="26" applyFont="1" applyFill="1" applyBorder="1" applyAlignment="1">
      <alignment horizontal="center" vertical="center"/>
    </xf>
    <xf numFmtId="0" fontId="718" fillId="8" borderId="412" xfId="26" applyFont="1" applyFill="1" applyBorder="1" applyAlignment="1">
      <alignment horizontal="center" vertical="center"/>
    </xf>
    <xf numFmtId="0" fontId="718" fillId="8" borderId="413" xfId="26" applyFont="1" applyFill="1" applyBorder="1" applyAlignment="1">
      <alignment horizontal="center" vertical="center"/>
    </xf>
    <xf numFmtId="1" fontId="15" fillId="123" borderId="0" xfId="48" applyNumberFormat="1" applyFont="1" applyFill="1" applyAlignment="1" applyProtection="1">
      <alignment horizontal="center" vertical="center" wrapText="1"/>
      <protection hidden="1"/>
    </xf>
    <xf numFmtId="1" fontId="168" fillId="122" borderId="0" xfId="48" applyNumberFormat="1" applyFont="1" applyFill="1" applyAlignment="1" applyProtection="1">
      <alignment horizontal="center" vertical="center" wrapText="1"/>
      <protection hidden="1"/>
    </xf>
    <xf numFmtId="0" fontId="15" fillId="3" borderId="444" xfId="54" applyFont="1" applyFill="1" applyBorder="1" applyAlignment="1">
      <alignment horizontal="center"/>
    </xf>
    <xf numFmtId="0" fontId="157" fillId="3" borderId="438" xfId="54" applyFont="1" applyFill="1" applyBorder="1" applyAlignment="1">
      <alignment horizontal="center" vertical="center" wrapText="1"/>
    </xf>
    <xf numFmtId="0" fontId="157" fillId="3" borderId="439" xfId="54" applyFont="1" applyFill="1" applyBorder="1" applyAlignment="1">
      <alignment horizontal="center" vertical="center" wrapText="1"/>
    </xf>
    <xf numFmtId="0" fontId="157" fillId="3" borderId="57" xfId="54" applyFont="1" applyFill="1" applyBorder="1" applyAlignment="1">
      <alignment horizontal="center" vertical="center" wrapText="1"/>
    </xf>
    <xf numFmtId="0" fontId="157" fillId="3" borderId="85" xfId="54" applyFont="1" applyFill="1" applyBorder="1" applyAlignment="1">
      <alignment horizontal="center" vertical="center" wrapText="1"/>
    </xf>
    <xf numFmtId="0" fontId="157" fillId="3" borderId="460" xfId="54" applyFont="1" applyFill="1" applyBorder="1" applyAlignment="1">
      <alignment horizontal="center" vertical="center" wrapText="1"/>
    </xf>
    <xf numFmtId="0" fontId="157" fillId="3" borderId="470" xfId="54" applyFont="1" applyFill="1" applyBorder="1" applyAlignment="1">
      <alignment horizontal="center" vertical="center" wrapText="1"/>
    </xf>
    <xf numFmtId="1" fontId="168" fillId="159" borderId="0" xfId="48" applyNumberFormat="1" applyFont="1" applyFill="1" applyAlignment="1" applyProtection="1">
      <alignment horizontal="center" vertical="center" wrapText="1"/>
      <protection hidden="1"/>
    </xf>
    <xf numFmtId="1" fontId="15" fillId="3" borderId="438" xfId="48" applyNumberFormat="1" applyFont="1" applyFill="1" applyBorder="1" applyAlignment="1" applyProtection="1">
      <alignment horizontal="center" vertical="center" wrapText="1"/>
      <protection hidden="1"/>
    </xf>
    <xf numFmtId="1" fontId="15" fillId="3" borderId="439" xfId="48" applyNumberFormat="1" applyFont="1" applyFill="1" applyBorder="1" applyAlignment="1" applyProtection="1">
      <alignment horizontal="center" vertical="center" wrapText="1"/>
      <protection hidden="1"/>
    </xf>
    <xf numFmtId="1" fontId="15" fillId="3" borderId="460" xfId="48" applyNumberFormat="1" applyFont="1" applyFill="1" applyBorder="1" applyAlignment="1" applyProtection="1">
      <alignment horizontal="center" vertical="center" wrapText="1"/>
      <protection hidden="1"/>
    </xf>
    <xf numFmtId="1" fontId="15" fillId="3" borderId="470" xfId="48" applyNumberFormat="1" applyFont="1" applyFill="1" applyBorder="1" applyAlignment="1" applyProtection="1">
      <alignment horizontal="center" vertical="center" wrapText="1"/>
      <protection hidden="1"/>
    </xf>
    <xf numFmtId="1" fontId="168" fillId="121" borderId="0" xfId="48" applyNumberFormat="1" applyFont="1" applyFill="1" applyAlignment="1" applyProtection="1">
      <alignment horizontal="center" vertical="center" wrapText="1"/>
      <protection hidden="1"/>
    </xf>
    <xf numFmtId="1" fontId="15" fillId="75" borderId="0" xfId="48" applyNumberFormat="1" applyFont="1" applyFill="1" applyAlignment="1" applyProtection="1">
      <alignment horizontal="center" vertical="center" wrapText="1"/>
      <protection hidden="1"/>
    </xf>
    <xf numFmtId="0" fontId="717" fillId="0" borderId="0" xfId="27" applyFont="1" applyAlignment="1" applyProtection="1">
      <alignment horizontal="center" vertical="center" wrapText="1"/>
    </xf>
    <xf numFmtId="0" fontId="717" fillId="0" borderId="0" xfId="27" applyFont="1" applyBorder="1" applyAlignment="1" applyProtection="1">
      <alignment horizontal="center" vertical="center" wrapText="1"/>
    </xf>
    <xf numFmtId="0" fontId="89" fillId="3" borderId="438" xfId="54" applyFont="1" applyFill="1" applyBorder="1" applyAlignment="1">
      <alignment horizontal="center" vertical="center"/>
    </xf>
    <xf numFmtId="0" fontId="89" fillId="3" borderId="439" xfId="54" applyFont="1" applyFill="1" applyBorder="1" applyAlignment="1">
      <alignment horizontal="center" vertical="center"/>
    </xf>
    <xf numFmtId="0" fontId="57" fillId="3" borderId="0" xfId="8" applyFill="1" applyAlignment="1">
      <alignment horizontal="left" vertical="center"/>
    </xf>
    <xf numFmtId="0" fontId="67" fillId="5" borderId="0" xfId="48" applyFont="1" applyFill="1" applyAlignment="1">
      <alignment horizontal="center" vertical="center" wrapText="1"/>
    </xf>
    <xf numFmtId="1" fontId="168" fillId="85" borderId="0" xfId="48" applyNumberFormat="1" applyFont="1" applyFill="1" applyAlignment="1" applyProtection="1">
      <alignment horizontal="center" vertical="center" wrapText="1"/>
      <protection hidden="1"/>
    </xf>
    <xf numFmtId="0" fontId="30" fillId="3" borderId="0" xfId="49" applyFont="1" applyFill="1" applyAlignment="1">
      <alignment horizontal="center" vertical="center"/>
    </xf>
    <xf numFmtId="0" fontId="34" fillId="137" borderId="0" xfId="0" applyFont="1" applyFill="1" applyAlignment="1">
      <alignment horizontal="center" vertical="center"/>
    </xf>
    <xf numFmtId="0" fontId="641" fillId="147" borderId="0" xfId="25" applyFont="1" applyFill="1" applyAlignment="1">
      <alignment horizontal="center" vertical="center"/>
    </xf>
    <xf numFmtId="0" fontId="157" fillId="42" borderId="0" xfId="1" applyFont="1" applyFill="1" applyAlignment="1">
      <alignment horizontal="center" vertical="center" wrapText="1"/>
    </xf>
    <xf numFmtId="0" fontId="157" fillId="42" borderId="86" xfId="1" applyFont="1" applyFill="1" applyBorder="1" applyAlignment="1">
      <alignment horizontal="center" vertical="center" wrapText="1"/>
    </xf>
    <xf numFmtId="0" fontId="157" fillId="42" borderId="301" xfId="1" applyFont="1" applyFill="1" applyBorder="1" applyAlignment="1">
      <alignment horizontal="center" vertical="center" wrapText="1"/>
    </xf>
    <xf numFmtId="0" fontId="218" fillId="45" borderId="0" xfId="1" applyFont="1" applyFill="1" applyAlignment="1">
      <alignment horizontal="center" vertical="center" wrapText="1"/>
    </xf>
    <xf numFmtId="0" fontId="218" fillId="45" borderId="86" xfId="1" applyFont="1" applyFill="1" applyBorder="1" applyAlignment="1">
      <alignment horizontal="center" vertical="center" wrapText="1"/>
    </xf>
    <xf numFmtId="0" fontId="218" fillId="17" borderId="0" xfId="1" applyFont="1" applyFill="1" applyAlignment="1">
      <alignment horizontal="center" vertical="center" wrapText="1"/>
    </xf>
    <xf numFmtId="0" fontId="218" fillId="17" borderId="86" xfId="1" applyFont="1" applyFill="1" applyBorder="1" applyAlignment="1">
      <alignment horizontal="center" vertical="center" wrapText="1"/>
    </xf>
    <xf numFmtId="0" fontId="218" fillId="17" borderId="301" xfId="1" applyFont="1" applyFill="1" applyBorder="1" applyAlignment="1">
      <alignment horizontal="center" vertical="center" wrapText="1"/>
    </xf>
    <xf numFmtId="0" fontId="218" fillId="27" borderId="0" xfId="1" applyFont="1" applyFill="1" applyAlignment="1">
      <alignment horizontal="center" vertical="center" wrapText="1"/>
    </xf>
    <xf numFmtId="0" fontId="218" fillId="27" borderId="86" xfId="1" applyFont="1" applyFill="1" applyBorder="1" applyAlignment="1">
      <alignment horizontal="center" vertical="center" wrapText="1"/>
    </xf>
    <xf numFmtId="0" fontId="598" fillId="0" borderId="0" xfId="25" applyFont="1" applyAlignment="1">
      <alignment horizontal="right" vertical="center"/>
    </xf>
    <xf numFmtId="0" fontId="616" fillId="0" borderId="0" xfId="1" applyFont="1" applyAlignment="1">
      <alignment horizontal="center" vertical="center"/>
    </xf>
    <xf numFmtId="0" fontId="218" fillId="27" borderId="301" xfId="1" applyFont="1" applyFill="1" applyBorder="1" applyAlignment="1">
      <alignment horizontal="center" vertical="center" wrapText="1"/>
    </xf>
    <xf numFmtId="0" fontId="218" fillId="45" borderId="301" xfId="1" applyFont="1" applyFill="1" applyBorder="1" applyAlignment="1">
      <alignment horizontal="center" vertical="center" wrapText="1"/>
    </xf>
    <xf numFmtId="0" fontId="598" fillId="0" borderId="301" xfId="25" applyFont="1" applyBorder="1" applyAlignment="1">
      <alignment horizontal="right" vertical="center"/>
    </xf>
    <xf numFmtId="0" fontId="612" fillId="22" borderId="404" xfId="1" applyFont="1" applyFill="1" applyBorder="1" applyAlignment="1">
      <alignment horizontal="center" vertical="center" wrapText="1"/>
    </xf>
    <xf numFmtId="0" fontId="612" fillId="22" borderId="18" xfId="1" applyFont="1" applyFill="1" applyBorder="1" applyAlignment="1">
      <alignment horizontal="center" vertical="center" wrapText="1"/>
    </xf>
    <xf numFmtId="0" fontId="612" fillId="22" borderId="405" xfId="1" applyFont="1" applyFill="1" applyBorder="1" applyAlignment="1">
      <alignment horizontal="center" vertical="center" wrapText="1"/>
    </xf>
    <xf numFmtId="0" fontId="612" fillId="22" borderId="406" xfId="1" applyFont="1" applyFill="1" applyBorder="1" applyAlignment="1">
      <alignment horizontal="center" vertical="center" wrapText="1"/>
    </xf>
    <xf numFmtId="0" fontId="612" fillId="22" borderId="89" xfId="1" applyFont="1" applyFill="1" applyBorder="1" applyAlignment="1">
      <alignment horizontal="center" vertical="center" wrapText="1"/>
    </xf>
    <xf numFmtId="0" fontId="612" fillId="22" borderId="407" xfId="1" applyFont="1" applyFill="1" applyBorder="1" applyAlignment="1">
      <alignment horizontal="center" vertical="center" wrapText="1"/>
    </xf>
    <xf numFmtId="0" fontId="613" fillId="0" borderId="398" xfId="25" applyFont="1" applyBorder="1" applyAlignment="1">
      <alignment horizontal="center" vertical="center" wrapText="1"/>
    </xf>
    <xf numFmtId="0" fontId="613" fillId="0" borderId="299" xfId="25" applyFont="1" applyBorder="1" applyAlignment="1">
      <alignment horizontal="center" vertical="center" wrapText="1"/>
    </xf>
    <xf numFmtId="0" fontId="613" fillId="0" borderId="300" xfId="25" applyFont="1" applyBorder="1" applyAlignment="1">
      <alignment horizontal="center" vertical="center" wrapText="1"/>
    </xf>
    <xf numFmtId="0" fontId="613" fillId="0" borderId="57" xfId="25" applyFont="1" applyBorder="1" applyAlignment="1">
      <alignment horizontal="center" vertical="center" wrapText="1"/>
    </xf>
    <xf numFmtId="0" fontId="613" fillId="0" borderId="0" xfId="25" applyFont="1" applyAlignment="1">
      <alignment horizontal="center" vertical="center" wrapText="1"/>
    </xf>
    <xf numFmtId="0" fontId="613" fillId="0" borderId="301" xfId="25" applyFont="1" applyBorder="1" applyAlignment="1">
      <alignment horizontal="center" vertical="center" wrapText="1"/>
    </xf>
    <xf numFmtId="0" fontId="613" fillId="0" borderId="302" xfId="25" applyFont="1" applyBorder="1" applyAlignment="1">
      <alignment horizontal="center" vertical="center" wrapText="1"/>
    </xf>
    <xf numFmtId="0" fontId="613" fillId="0" borderId="303" xfId="25" applyFont="1" applyBorder="1" applyAlignment="1">
      <alignment horizontal="center" vertical="center" wrapText="1"/>
    </xf>
    <xf numFmtId="0" fontId="613" fillId="0" borderId="304" xfId="25" applyFont="1" applyBorder="1" applyAlignment="1">
      <alignment horizontal="center" vertical="center" wrapText="1"/>
    </xf>
    <xf numFmtId="0" fontId="157" fillId="44" borderId="0" xfId="1" applyFont="1" applyFill="1" applyAlignment="1">
      <alignment horizontal="center" vertical="center" wrapText="1"/>
    </xf>
    <xf numFmtId="0" fontId="157" fillId="44" borderId="86" xfId="1" applyFont="1" applyFill="1" applyBorder="1" applyAlignment="1">
      <alignment horizontal="center" vertical="center" wrapText="1"/>
    </xf>
    <xf numFmtId="0" fontId="157" fillId="44" borderId="301" xfId="1" applyFont="1" applyFill="1" applyBorder="1" applyAlignment="1">
      <alignment horizontal="center" vertical="center" wrapText="1"/>
    </xf>
    <xf numFmtId="0" fontId="157" fillId="36" borderId="0" xfId="1" applyFont="1" applyFill="1" applyAlignment="1">
      <alignment horizontal="center" vertical="center" wrapText="1"/>
    </xf>
    <xf numFmtId="0" fontId="157" fillId="36" borderId="86" xfId="1" applyFont="1" applyFill="1" applyBorder="1" applyAlignment="1">
      <alignment horizontal="center" vertical="center" wrapText="1"/>
    </xf>
    <xf numFmtId="0" fontId="157" fillId="36" borderId="301" xfId="1" applyFont="1" applyFill="1" applyBorder="1" applyAlignment="1">
      <alignment horizontal="center" vertical="center" wrapText="1"/>
    </xf>
    <xf numFmtId="0" fontId="122" fillId="64" borderId="196" xfId="13" applyFont="1" applyFill="1" applyBorder="1" applyAlignment="1" applyProtection="1">
      <alignment horizontal="right" vertical="center" wrapText="1"/>
      <protection locked="0"/>
    </xf>
    <xf numFmtId="0" fontId="122" fillId="64" borderId="189" xfId="13" applyFont="1" applyFill="1" applyBorder="1" applyAlignment="1" applyProtection="1">
      <alignment horizontal="right" vertical="center" wrapText="1"/>
      <protection locked="0"/>
    </xf>
    <xf numFmtId="0" fontId="49" fillId="8" borderId="97" xfId="13" applyFont="1" applyFill="1" applyBorder="1" applyAlignment="1" applyProtection="1">
      <alignment horizontal="left" vertical="center"/>
      <protection locked="0"/>
    </xf>
    <xf numFmtId="0" fontId="122" fillId="64" borderId="197" xfId="13" applyFont="1" applyFill="1" applyBorder="1" applyAlignment="1" applyProtection="1">
      <alignment horizontal="right" vertical="center" wrapText="1"/>
      <protection locked="0"/>
    </xf>
    <xf numFmtId="0" fontId="122" fillId="64" borderId="198" xfId="13" applyFont="1" applyFill="1" applyBorder="1" applyAlignment="1" applyProtection="1">
      <alignment horizontal="right" vertical="center" wrapText="1"/>
      <protection locked="0"/>
    </xf>
    <xf numFmtId="0" fontId="49" fillId="8" borderId="193" xfId="13" applyFont="1" applyFill="1" applyBorder="1" applyAlignment="1" applyProtection="1">
      <alignment horizontal="left" vertical="center"/>
      <protection locked="0"/>
    </xf>
    <xf numFmtId="0" fontId="122" fillId="64" borderId="188" xfId="13" applyFont="1" applyFill="1" applyBorder="1" applyAlignment="1" applyProtection="1">
      <alignment horizontal="right" vertical="center" wrapText="1"/>
      <protection locked="0"/>
    </xf>
    <xf numFmtId="0" fontId="134" fillId="0" borderId="185" xfId="13" applyFont="1" applyBorder="1" applyAlignment="1" applyProtection="1">
      <alignment horizontal="center" vertical="center" wrapText="1"/>
      <protection locked="0"/>
    </xf>
    <xf numFmtId="0" fontId="43" fillId="8" borderId="186" xfId="4" applyFont="1" applyFill="1" applyBorder="1" applyAlignment="1">
      <alignment horizontal="center" vertical="center"/>
    </xf>
    <xf numFmtId="0" fontId="43" fillId="8" borderId="187" xfId="4" applyFont="1" applyFill="1" applyBorder="1" applyAlignment="1">
      <alignment horizontal="center" vertical="center"/>
    </xf>
    <xf numFmtId="0" fontId="19" fillId="8" borderId="61" xfId="4" applyFont="1" applyFill="1" applyBorder="1" applyAlignment="1">
      <alignment horizontal="center" vertical="center"/>
    </xf>
    <xf numFmtId="0" fontId="380" fillId="15" borderId="166" xfId="13" applyFont="1" applyFill="1" applyBorder="1" applyAlignment="1">
      <alignment horizontal="center" vertical="center"/>
    </xf>
    <xf numFmtId="0" fontId="380" fillId="15" borderId="167" xfId="0" applyFont="1" applyFill="1" applyBorder="1" applyAlignment="1">
      <alignment horizontal="center" vertical="center"/>
    </xf>
    <xf numFmtId="0" fontId="43" fillId="8" borderId="166" xfId="13" applyFont="1" applyFill="1" applyBorder="1" applyAlignment="1">
      <alignment horizontal="center" vertical="center"/>
    </xf>
    <xf numFmtId="0" fontId="43" fillId="8" borderId="167" xfId="0" applyFont="1" applyFill="1" applyBorder="1" applyAlignment="1">
      <alignment horizontal="center" vertical="center"/>
    </xf>
    <xf numFmtId="0" fontId="43" fillId="8" borderId="168" xfId="0" applyFont="1" applyFill="1" applyBorder="1" applyAlignment="1">
      <alignment horizontal="center" vertical="center"/>
    </xf>
    <xf numFmtId="0" fontId="381" fillId="0" borderId="169" xfId="13" applyFont="1" applyBorder="1" applyAlignment="1" applyProtection="1">
      <alignment horizontal="center" vertical="center"/>
      <protection locked="0"/>
    </xf>
    <xf numFmtId="0" fontId="381" fillId="0" borderId="170" xfId="13" applyFont="1" applyBorder="1" applyAlignment="1" applyProtection="1">
      <alignment horizontal="center" vertical="center"/>
      <protection locked="0"/>
    </xf>
    <xf numFmtId="0" fontId="7" fillId="0" borderId="170" xfId="13" applyFont="1" applyBorder="1" applyAlignment="1" applyProtection="1">
      <alignment horizontal="center" vertical="center" wrapText="1"/>
      <protection locked="0"/>
    </xf>
    <xf numFmtId="0" fontId="70" fillId="0" borderId="171" xfId="13" applyFont="1" applyBorder="1" applyAlignment="1" applyProtection="1">
      <alignment horizontal="center" vertical="center" wrapText="1"/>
      <protection locked="0"/>
    </xf>
    <xf numFmtId="0" fontId="134" fillId="8" borderId="172" xfId="13" applyFont="1" applyFill="1" applyBorder="1" applyAlignment="1" applyProtection="1">
      <alignment horizontal="center" vertical="center" wrapText="1"/>
      <protection locked="0"/>
    </xf>
    <xf numFmtId="0" fontId="134" fillId="8" borderId="173" xfId="13" applyFont="1" applyFill="1" applyBorder="1" applyAlignment="1" applyProtection="1">
      <alignment horizontal="center" vertical="center" wrapText="1"/>
      <protection locked="0"/>
    </xf>
    <xf numFmtId="0" fontId="134" fillId="8" borderId="174" xfId="13" applyFont="1" applyFill="1" applyBorder="1" applyAlignment="1" applyProtection="1">
      <alignment horizontal="center" vertical="center" wrapText="1"/>
      <protection locked="0"/>
    </xf>
    <xf numFmtId="0" fontId="13" fillId="0" borderId="175" xfId="13" applyFont="1" applyBorder="1" applyAlignment="1" applyProtection="1">
      <alignment horizontal="center" vertical="center"/>
      <protection locked="0"/>
    </xf>
    <xf numFmtId="0" fontId="13" fillId="0" borderId="176" xfId="13" applyFont="1" applyBorder="1" applyAlignment="1" applyProtection="1">
      <alignment horizontal="center" vertical="center"/>
      <protection locked="0"/>
    </xf>
    <xf numFmtId="0" fontId="382" fillId="0" borderId="175" xfId="13" applyFont="1" applyBorder="1" applyAlignment="1" applyProtection="1">
      <alignment horizontal="center" vertical="center"/>
      <protection locked="0"/>
    </xf>
    <xf numFmtId="0" fontId="382" fillId="0" borderId="170" xfId="13" applyFont="1" applyBorder="1" applyAlignment="1" applyProtection="1">
      <alignment horizontal="center" vertical="center"/>
      <protection locked="0"/>
    </xf>
    <xf numFmtId="0" fontId="382" fillId="0" borderId="176" xfId="13" applyFont="1" applyBorder="1" applyAlignment="1" applyProtection="1">
      <alignment horizontal="center" vertical="center"/>
      <protection locked="0"/>
    </xf>
    <xf numFmtId="2" fontId="70" fillId="8" borderId="180" xfId="4" applyNumberFormat="1" applyFont="1" applyFill="1" applyBorder="1" applyAlignment="1">
      <alignment horizontal="center" vertical="center"/>
    </xf>
    <xf numFmtId="2" fontId="70" fillId="8" borderId="181" xfId="4" applyNumberFormat="1" applyFont="1" applyFill="1" applyBorder="1" applyAlignment="1">
      <alignment horizontal="center" vertical="center"/>
    </xf>
    <xf numFmtId="0" fontId="134" fillId="15" borderId="149" xfId="2" applyFont="1" applyFill="1" applyBorder="1" applyAlignment="1">
      <alignment horizontal="center" vertical="center"/>
    </xf>
    <xf numFmtId="0" fontId="134" fillId="15" borderId="162" xfId="2" applyFont="1" applyFill="1" applyBorder="1" applyAlignment="1">
      <alignment horizontal="center" vertical="center"/>
    </xf>
    <xf numFmtId="0" fontId="128" fillId="8" borderId="99" xfId="2" applyFont="1" applyFill="1" applyBorder="1" applyAlignment="1">
      <alignment horizontal="center" vertical="center" wrapText="1"/>
    </xf>
    <xf numFmtId="0" fontId="128" fillId="8" borderId="100" xfId="2" applyFont="1" applyFill="1" applyBorder="1" applyAlignment="1">
      <alignment horizontal="center" vertical="center" wrapText="1"/>
    </xf>
    <xf numFmtId="165" fontId="16" fillId="32" borderId="30" xfId="3" applyNumberFormat="1" applyFont="1" applyFill="1" applyBorder="1" applyAlignment="1">
      <alignment horizontal="left" vertical="center"/>
    </xf>
    <xf numFmtId="165" fontId="16" fillId="32" borderId="31" xfId="3" applyNumberFormat="1" applyFont="1" applyFill="1" applyBorder="1" applyAlignment="1">
      <alignment horizontal="left" vertical="center"/>
    </xf>
    <xf numFmtId="165" fontId="16" fillId="32" borderId="0" xfId="3" applyNumberFormat="1" applyFont="1" applyFill="1" applyAlignment="1">
      <alignment horizontal="left" vertical="center"/>
    </xf>
    <xf numFmtId="165" fontId="16" fillId="32" borderId="4" xfId="3" applyNumberFormat="1" applyFont="1" applyFill="1" applyBorder="1" applyAlignment="1">
      <alignment horizontal="left" vertical="center"/>
    </xf>
    <xf numFmtId="0" fontId="4" fillId="33" borderId="4" xfId="2" applyFill="1" applyBorder="1" applyAlignment="1">
      <alignment horizontal="center"/>
    </xf>
    <xf numFmtId="0" fontId="53" fillId="3" borderId="5" xfId="3" applyFont="1" applyFill="1" applyBorder="1" applyAlignment="1">
      <alignment horizontal="center" vertical="center" wrapText="1"/>
    </xf>
    <xf numFmtId="0" fontId="53" fillId="3" borderId="0" xfId="3" applyFont="1" applyFill="1" applyAlignment="1">
      <alignment horizontal="center" vertical="center" wrapText="1"/>
    </xf>
    <xf numFmtId="0" fontId="53" fillId="3" borderId="4" xfId="3" applyFont="1" applyFill="1" applyBorder="1" applyAlignment="1">
      <alignment horizontal="center" vertical="center" wrapText="1"/>
    </xf>
    <xf numFmtId="0" fontId="115" fillId="3" borderId="5" xfId="3" applyFont="1" applyFill="1" applyBorder="1" applyAlignment="1">
      <alignment horizontal="center" vertical="center" wrapText="1"/>
    </xf>
    <xf numFmtId="0" fontId="115" fillId="3" borderId="0" xfId="3" applyFont="1" applyFill="1" applyAlignment="1">
      <alignment horizontal="center" vertical="center" wrapText="1"/>
    </xf>
    <xf numFmtId="0" fontId="115" fillId="3" borderId="4" xfId="3" applyFont="1" applyFill="1" applyBorder="1" applyAlignment="1">
      <alignment horizontal="center" vertical="center" wrapText="1"/>
    </xf>
    <xf numFmtId="0" fontId="8" fillId="34" borderId="4" xfId="1" applyFont="1" applyFill="1" applyBorder="1" applyAlignment="1">
      <alignment horizontal="left" vertical="center"/>
    </xf>
    <xf numFmtId="165" fontId="38" fillId="15" borderId="0" xfId="3" applyNumberFormat="1" applyFont="1" applyFill="1" applyAlignment="1">
      <alignment horizontal="center" vertical="center"/>
    </xf>
    <xf numFmtId="0" fontId="8" fillId="35" borderId="4" xfId="1" applyFont="1" applyFill="1" applyBorder="1" applyAlignment="1">
      <alignment horizontal="center" vertical="center"/>
    </xf>
    <xf numFmtId="0" fontId="52" fillId="4" borderId="4" xfId="4" applyFont="1" applyFill="1" applyBorder="1" applyAlignment="1">
      <alignment horizontal="center" vertical="center"/>
    </xf>
    <xf numFmtId="0" fontId="38" fillId="15" borderId="149" xfId="2" applyFont="1" applyFill="1" applyBorder="1" applyAlignment="1">
      <alignment horizontal="center" vertical="center"/>
    </xf>
    <xf numFmtId="0" fontId="38" fillId="15" borderId="162" xfId="2" applyFont="1" applyFill="1" applyBorder="1" applyAlignment="1">
      <alignment horizontal="center" vertical="center"/>
    </xf>
    <xf numFmtId="0" fontId="27" fillId="0" borderId="85" xfId="4" applyFont="1" applyBorder="1" applyAlignment="1" applyProtection="1">
      <alignment horizontal="center" vertical="center"/>
      <protection locked="0"/>
    </xf>
    <xf numFmtId="0" fontId="116" fillId="8" borderId="3" xfId="1" applyFont="1" applyFill="1" applyBorder="1" applyAlignment="1">
      <alignment horizontal="center" vertical="center"/>
    </xf>
    <xf numFmtId="180" fontId="111" fillId="3" borderId="61" xfId="13" applyNumberFormat="1" applyFont="1" applyFill="1" applyBorder="1" applyAlignment="1">
      <alignment horizontal="left" vertical="center" wrapText="1"/>
    </xf>
    <xf numFmtId="0" fontId="82" fillId="18" borderId="3" xfId="1" applyFont="1" applyFill="1" applyBorder="1" applyAlignment="1" applyProtection="1">
      <alignment horizontal="center" vertical="center"/>
      <protection hidden="1"/>
    </xf>
    <xf numFmtId="0" fontId="110" fillId="3" borderId="4" xfId="13" applyFont="1" applyFill="1" applyBorder="1" applyAlignment="1">
      <alignment horizontal="left" vertical="center"/>
    </xf>
    <xf numFmtId="180" fontId="13" fillId="31" borderId="4" xfId="13" applyNumberFormat="1" applyFont="1" applyFill="1" applyBorder="1" applyAlignment="1">
      <alignment horizontal="center" vertical="center"/>
    </xf>
    <xf numFmtId="0" fontId="8" fillId="3" borderId="85" xfId="13" applyFont="1" applyFill="1" applyBorder="1" applyAlignment="1">
      <alignment horizontal="center" wrapText="1"/>
    </xf>
    <xf numFmtId="0" fontId="35" fillId="30" borderId="85" xfId="12" applyFont="1" applyFill="1" applyBorder="1" applyAlignment="1">
      <alignment horizontal="center" vertical="center"/>
    </xf>
    <xf numFmtId="0" fontId="35" fillId="30" borderId="85" xfId="12" applyFont="1" applyFill="1" applyBorder="1" applyAlignment="1">
      <alignment horizontal="left" vertical="center"/>
    </xf>
    <xf numFmtId="0" fontId="106" fillId="27" borderId="62" xfId="12" applyFont="1" applyFill="1" applyBorder="1" applyAlignment="1">
      <alignment horizontal="center" vertical="center"/>
    </xf>
    <xf numFmtId="0" fontId="106" fillId="27" borderId="2" xfId="12" applyFont="1" applyFill="1" applyBorder="1" applyAlignment="1">
      <alignment horizontal="center" vertical="center"/>
    </xf>
    <xf numFmtId="0" fontId="106" fillId="27" borderId="88" xfId="12" applyFont="1" applyFill="1" applyBorder="1" applyAlignment="1">
      <alignment horizontal="center" vertical="center"/>
    </xf>
    <xf numFmtId="0" fontId="35" fillId="27" borderId="85" xfId="12" applyFont="1" applyFill="1" applyBorder="1" applyAlignment="1">
      <alignment horizontal="center" vertical="center"/>
    </xf>
    <xf numFmtId="0" fontId="35" fillId="27" borderId="85" xfId="12" applyFont="1" applyFill="1" applyBorder="1" applyAlignment="1">
      <alignment horizontal="left" vertical="center"/>
    </xf>
    <xf numFmtId="0" fontId="8" fillId="22" borderId="85" xfId="12" applyFont="1" applyFill="1" applyBorder="1" applyAlignment="1">
      <alignment horizontal="center" vertical="center"/>
    </xf>
    <xf numFmtId="171" fontId="36" fillId="12" borderId="4" xfId="4" applyNumberFormat="1" applyFont="1" applyFill="1" applyBorder="1" applyAlignment="1">
      <alignment horizontal="center" vertical="center"/>
    </xf>
    <xf numFmtId="0" fontId="24" fillId="3" borderId="4" xfId="2" applyFont="1" applyFill="1" applyBorder="1" applyAlignment="1">
      <alignment horizontal="left" vertical="center" wrapText="1"/>
    </xf>
    <xf numFmtId="171" fontId="38" fillId="15" borderId="4" xfId="4" applyNumberFormat="1" applyFont="1" applyFill="1" applyBorder="1" applyAlignment="1">
      <alignment horizontal="center" vertical="center"/>
    </xf>
    <xf numFmtId="171" fontId="70" fillId="3" borderId="85" xfId="2" applyNumberFormat="1" applyFont="1" applyFill="1" applyBorder="1" applyAlignment="1" applyProtection="1">
      <alignment horizontal="center" vertical="center"/>
      <protection locked="0"/>
    </xf>
    <xf numFmtId="171" fontId="47" fillId="3" borderId="85" xfId="2" applyNumberFormat="1" applyFont="1" applyFill="1" applyBorder="1" applyAlignment="1" applyProtection="1">
      <alignment horizontal="center" vertical="center" wrapText="1"/>
      <protection locked="0"/>
    </xf>
    <xf numFmtId="0" fontId="13" fillId="4" borderId="62" xfId="2" applyFont="1" applyFill="1" applyBorder="1" applyAlignment="1">
      <alignment horizontal="center" vertical="center"/>
    </xf>
    <xf numFmtId="0" fontId="13" fillId="4" borderId="2" xfId="2" applyFont="1" applyFill="1" applyBorder="1" applyAlignment="1">
      <alignment horizontal="center" vertical="center"/>
    </xf>
    <xf numFmtId="0" fontId="13" fillId="4" borderId="88" xfId="2" applyFont="1" applyFill="1" applyBorder="1" applyAlignment="1">
      <alignment horizontal="center" vertical="center"/>
    </xf>
    <xf numFmtId="0" fontId="0" fillId="3" borderId="4" xfId="0" applyFill="1" applyBorder="1" applyAlignment="1">
      <alignment horizontal="center"/>
    </xf>
    <xf numFmtId="0" fontId="8" fillId="3" borderId="4" xfId="0" applyFont="1" applyFill="1" applyBorder="1" applyAlignment="1">
      <alignment horizontal="center" wrapText="1"/>
    </xf>
    <xf numFmtId="0" fontId="72" fillId="3" borderId="5" xfId="0" applyFont="1" applyFill="1" applyBorder="1" applyAlignment="1">
      <alignment horizontal="center"/>
    </xf>
    <xf numFmtId="0" fontId="72" fillId="3" borderId="4" xfId="0" applyFont="1" applyFill="1" applyBorder="1" applyAlignment="1">
      <alignment horizontal="center"/>
    </xf>
    <xf numFmtId="0" fontId="6" fillId="3" borderId="4" xfId="2" applyFont="1" applyFill="1" applyBorder="1" applyAlignment="1">
      <alignment horizontal="center" vertical="center" wrapText="1"/>
    </xf>
    <xf numFmtId="0" fontId="81" fillId="13" borderId="93" xfId="2" applyFont="1" applyFill="1" applyBorder="1" applyAlignment="1">
      <alignment horizontal="center" vertical="center"/>
    </xf>
    <xf numFmtId="0" fontId="81" fillId="13" borderId="2" xfId="2" applyFont="1" applyFill="1" applyBorder="1" applyAlignment="1">
      <alignment horizontal="center" vertical="center"/>
    </xf>
    <xf numFmtId="0" fontId="147" fillId="3" borderId="4" xfId="0" applyFont="1" applyFill="1" applyBorder="1" applyAlignment="1">
      <alignment horizontal="center" vertical="center"/>
    </xf>
    <xf numFmtId="0" fontId="174" fillId="49" borderId="4" xfId="1" applyFont="1" applyFill="1" applyBorder="1" applyAlignment="1">
      <alignment horizontal="center" vertical="center" textRotation="90" wrapText="1"/>
    </xf>
    <xf numFmtId="0" fontId="313" fillId="3" borderId="4" xfId="1" applyFont="1" applyFill="1" applyBorder="1" applyAlignment="1" applyProtection="1">
      <alignment horizontal="center" vertical="center"/>
      <protection hidden="1"/>
    </xf>
    <xf numFmtId="0" fontId="11" fillId="3" borderId="5" xfId="3" applyFont="1" applyFill="1" applyBorder="1" applyAlignment="1">
      <alignment horizontal="center" vertical="center" wrapText="1"/>
    </xf>
    <xf numFmtId="0" fontId="11" fillId="3" borderId="0" xfId="3" applyFont="1" applyFill="1" applyAlignment="1">
      <alignment horizontal="center" vertical="center" wrapText="1"/>
    </xf>
    <xf numFmtId="0" fontId="11" fillId="3" borderId="4" xfId="3" applyFont="1" applyFill="1" applyBorder="1" applyAlignment="1">
      <alignment horizontal="center" vertical="center" wrapText="1"/>
    </xf>
    <xf numFmtId="0" fontId="11" fillId="3" borderId="136" xfId="3" applyFont="1" applyFill="1" applyBorder="1" applyAlignment="1">
      <alignment horizontal="center" vertical="center" wrapText="1"/>
    </xf>
    <xf numFmtId="0" fontId="11" fillId="3" borderId="3" xfId="3" applyFont="1" applyFill="1" applyBorder="1" applyAlignment="1">
      <alignment horizontal="center" vertical="center" wrapText="1"/>
    </xf>
    <xf numFmtId="0" fontId="11" fillId="3" borderId="137" xfId="3" applyFont="1" applyFill="1" applyBorder="1" applyAlignment="1">
      <alignment horizontal="center" vertical="center" wrapText="1"/>
    </xf>
    <xf numFmtId="0" fontId="8" fillId="9" borderId="4" xfId="0" applyFont="1" applyFill="1" applyBorder="1" applyAlignment="1">
      <alignment horizontal="center" vertical="center"/>
    </xf>
    <xf numFmtId="0" fontId="169" fillId="3" borderId="93" xfId="0" applyFont="1" applyFill="1" applyBorder="1" applyAlignment="1">
      <alignment horizontal="right" vertical="center"/>
    </xf>
    <xf numFmtId="0" fontId="169" fillId="3" borderId="2" xfId="0" applyFont="1" applyFill="1" applyBorder="1" applyAlignment="1">
      <alignment horizontal="right" vertical="center"/>
    </xf>
    <xf numFmtId="0" fontId="44" fillId="3" borderId="93" xfId="0" applyFont="1" applyFill="1" applyBorder="1" applyAlignment="1">
      <alignment horizontal="right" vertical="center"/>
    </xf>
    <xf numFmtId="0" fontId="44" fillId="3" borderId="2" xfId="0" applyFont="1" applyFill="1" applyBorder="1" applyAlignment="1">
      <alignment horizontal="right" vertical="center"/>
    </xf>
    <xf numFmtId="0" fontId="56" fillId="3" borderId="93" xfId="0" applyFont="1" applyFill="1" applyBorder="1" applyAlignment="1">
      <alignment horizontal="center" vertical="center" wrapText="1"/>
    </xf>
    <xf numFmtId="0" fontId="56" fillId="3" borderId="2" xfId="0" applyFont="1" applyFill="1" applyBorder="1" applyAlignment="1">
      <alignment horizontal="center" vertical="center" wrapText="1"/>
    </xf>
    <xf numFmtId="0" fontId="56" fillId="3" borderId="63" xfId="0" applyFont="1" applyFill="1" applyBorder="1" applyAlignment="1">
      <alignment horizontal="center" vertical="center" wrapText="1"/>
    </xf>
    <xf numFmtId="0" fontId="56" fillId="3" borderId="61" xfId="0" applyFont="1" applyFill="1" applyBorder="1" applyAlignment="1">
      <alignment horizontal="center" vertical="center" wrapText="1"/>
    </xf>
    <xf numFmtId="0" fontId="81" fillId="13" borderId="147" xfId="2" applyFont="1" applyFill="1" applyBorder="1" applyAlignment="1">
      <alignment horizontal="center" vertical="center" wrapText="1"/>
    </xf>
    <xf numFmtId="0" fontId="8" fillId="9" borderId="62" xfId="0" applyFont="1" applyFill="1" applyBorder="1" applyAlignment="1">
      <alignment horizontal="center" vertical="center"/>
    </xf>
    <xf numFmtId="0" fontId="8" fillId="9" borderId="2" xfId="0" applyFont="1" applyFill="1" applyBorder="1" applyAlignment="1">
      <alignment horizontal="center" vertical="center"/>
    </xf>
    <xf numFmtId="0" fontId="8" fillId="9" borderId="88" xfId="0" applyFont="1" applyFill="1" applyBorder="1" applyAlignment="1">
      <alignment horizontal="center" vertical="center"/>
    </xf>
    <xf numFmtId="0" fontId="8" fillId="6" borderId="85" xfId="0" applyFont="1" applyFill="1" applyBorder="1" applyAlignment="1">
      <alignment horizontal="center" vertical="center"/>
    </xf>
    <xf numFmtId="0" fontId="79" fillId="15" borderId="4" xfId="4" applyFont="1" applyFill="1" applyBorder="1" applyAlignment="1">
      <alignment horizontal="center" vertical="center"/>
    </xf>
    <xf numFmtId="171" fontId="72" fillId="3" borderId="35" xfId="2" applyNumberFormat="1" applyFont="1" applyFill="1" applyBorder="1" applyAlignment="1">
      <alignment horizontal="center" vertical="center"/>
    </xf>
    <xf numFmtId="171" fontId="72" fillId="3" borderId="153" xfId="2" applyNumberFormat="1" applyFont="1" applyFill="1" applyBorder="1" applyAlignment="1">
      <alignment horizontal="center" vertical="center"/>
    </xf>
    <xf numFmtId="171" fontId="72" fillId="3" borderId="117" xfId="2" applyNumberFormat="1" applyFont="1" applyFill="1" applyBorder="1" applyAlignment="1">
      <alignment horizontal="center" vertical="center"/>
    </xf>
    <xf numFmtId="174" fontId="293" fillId="24" borderId="136" xfId="4" applyNumberFormat="1" applyFont="1" applyFill="1" applyBorder="1" applyAlignment="1">
      <alignment horizontal="right" vertical="center"/>
    </xf>
    <xf numFmtId="0" fontId="91" fillId="24" borderId="3" xfId="2" applyFont="1" applyFill="1" applyBorder="1" applyAlignment="1">
      <alignment horizontal="center" vertical="center"/>
    </xf>
    <xf numFmtId="0" fontId="143" fillId="24" borderId="3" xfId="2" applyFont="1" applyFill="1" applyBorder="1" applyAlignment="1">
      <alignment horizontal="right" vertical="center"/>
    </xf>
    <xf numFmtId="170" fontId="91" fillId="24" borderId="137" xfId="2" applyNumberFormat="1" applyFont="1" applyFill="1" applyBorder="1" applyAlignment="1">
      <alignment horizontal="center" vertical="center"/>
    </xf>
    <xf numFmtId="0" fontId="81" fillId="13" borderId="61" xfId="2" applyFont="1" applyFill="1" applyBorder="1" applyAlignment="1">
      <alignment horizontal="center" vertical="center"/>
    </xf>
    <xf numFmtId="171" fontId="4" fillId="0" borderId="4" xfId="2" applyNumberFormat="1" applyBorder="1" applyAlignment="1">
      <alignment horizontal="center" vertical="center"/>
    </xf>
    <xf numFmtId="171" fontId="136" fillId="15" borderId="4" xfId="4" applyNumberFormat="1" applyFont="1" applyFill="1" applyBorder="1" applyAlignment="1">
      <alignment horizontal="center" vertical="center"/>
    </xf>
    <xf numFmtId="176" fontId="104" fillId="25" borderId="4" xfId="2" applyNumberFormat="1" applyFont="1" applyFill="1" applyBorder="1" applyAlignment="1" applyProtection="1">
      <alignment horizontal="center" vertical="center"/>
      <protection locked="0"/>
    </xf>
    <xf numFmtId="0" fontId="7" fillId="3" borderId="85" xfId="1" applyFill="1" applyBorder="1" applyAlignment="1">
      <alignment horizontal="center" vertical="center" wrapText="1"/>
    </xf>
    <xf numFmtId="0" fontId="7" fillId="3" borderId="135" xfId="1" applyFill="1" applyBorder="1" applyAlignment="1">
      <alignment horizontal="center" vertical="center" wrapText="1"/>
    </xf>
    <xf numFmtId="0" fontId="7" fillId="3" borderId="141" xfId="1" applyFill="1" applyBorder="1" applyAlignment="1">
      <alignment horizontal="center" vertical="center" wrapText="1"/>
    </xf>
    <xf numFmtId="0" fontId="7" fillId="3" borderId="138" xfId="1" applyFill="1" applyBorder="1" applyAlignment="1">
      <alignment horizontal="center" vertical="center" wrapText="1"/>
    </xf>
    <xf numFmtId="2" fontId="18" fillId="24" borderId="4" xfId="4" applyNumberFormat="1" applyFont="1" applyFill="1" applyBorder="1" applyAlignment="1">
      <alignment horizontal="center" vertical="center"/>
    </xf>
    <xf numFmtId="0" fontId="7" fillId="3" borderId="85" xfId="1" applyFill="1" applyBorder="1" applyAlignment="1">
      <alignment horizontal="left" vertical="center"/>
    </xf>
    <xf numFmtId="0" fontId="7" fillId="3" borderId="61" xfId="1" applyFill="1" applyBorder="1" applyAlignment="1">
      <alignment horizontal="center" vertical="center"/>
    </xf>
    <xf numFmtId="0" fontId="6" fillId="0" borderId="93" xfId="0" applyFont="1" applyBorder="1" applyAlignment="1">
      <alignment horizontal="center" vertical="center"/>
    </xf>
    <xf numFmtId="0" fontId="6" fillId="0" borderId="2" xfId="0" applyFont="1" applyBorder="1" applyAlignment="1">
      <alignment horizontal="center" vertical="center"/>
    </xf>
    <xf numFmtId="0" fontId="6" fillId="0" borderId="63" xfId="0" applyFont="1" applyBorder="1" applyAlignment="1">
      <alignment horizontal="center" vertical="center"/>
    </xf>
    <xf numFmtId="49" fontId="21" fillId="0" borderId="147" xfId="5" applyNumberFormat="1" applyFont="1" applyBorder="1" applyAlignment="1">
      <alignment horizontal="center" vertical="center"/>
    </xf>
    <xf numFmtId="0" fontId="289" fillId="4" borderId="149" xfId="21" applyFont="1" applyFill="1" applyBorder="1" applyAlignment="1" applyProtection="1">
      <alignment horizontal="center" vertical="center" wrapText="1"/>
      <protection locked="0"/>
    </xf>
    <xf numFmtId="0" fontId="289" fillId="4" borderId="122" xfId="21" applyFont="1" applyFill="1" applyBorder="1" applyAlignment="1" applyProtection="1">
      <alignment horizontal="center" vertical="center" wrapText="1"/>
      <protection locked="0"/>
    </xf>
    <xf numFmtId="0" fontId="289" fillId="4" borderId="121" xfId="21" applyFont="1" applyFill="1" applyBorder="1" applyAlignment="1" applyProtection="1">
      <alignment horizontal="center" vertical="center" wrapText="1"/>
      <protection locked="0"/>
    </xf>
    <xf numFmtId="0" fontId="70" fillId="4" borderId="62" xfId="1" applyFont="1" applyFill="1" applyBorder="1" applyAlignment="1">
      <alignment horizontal="center" vertical="center"/>
    </xf>
    <xf numFmtId="0" fontId="70" fillId="4" borderId="2" xfId="1" applyFont="1" applyFill="1" applyBorder="1" applyAlignment="1">
      <alignment horizontal="center" vertical="center"/>
    </xf>
    <xf numFmtId="0" fontId="70" fillId="4" borderId="88" xfId="1" applyFont="1" applyFill="1" applyBorder="1" applyAlignment="1">
      <alignment horizontal="center" vertical="center"/>
    </xf>
    <xf numFmtId="0" fontId="70" fillId="4" borderId="85" xfId="1" applyFont="1" applyFill="1" applyBorder="1" applyAlignment="1">
      <alignment horizontal="center" vertical="center"/>
    </xf>
    <xf numFmtId="0" fontId="47" fillId="4" borderId="4" xfId="1" applyFont="1" applyFill="1" applyBorder="1" applyAlignment="1">
      <alignment horizontal="center" vertical="center"/>
    </xf>
    <xf numFmtId="0" fontId="168" fillId="52" borderId="61" xfId="0" applyFont="1" applyFill="1" applyBorder="1" applyAlignment="1">
      <alignment horizontal="center" vertical="center" wrapText="1"/>
    </xf>
    <xf numFmtId="0" fontId="8" fillId="3" borderId="4" xfId="1" applyFont="1" applyFill="1" applyBorder="1" applyAlignment="1" applyProtection="1">
      <alignment horizontal="center" vertical="center"/>
      <protection hidden="1"/>
    </xf>
    <xf numFmtId="49" fontId="34" fillId="0" borderId="4" xfId="2" applyNumberFormat="1" applyFont="1" applyBorder="1" applyAlignment="1">
      <alignment horizontal="center" vertical="center" wrapText="1"/>
    </xf>
    <xf numFmtId="190" fontId="172" fillId="2" borderId="61" xfId="1" applyNumberFormat="1" applyFont="1" applyFill="1" applyBorder="1" applyAlignment="1" applyProtection="1">
      <alignment horizontal="center" vertical="center"/>
      <protection hidden="1"/>
    </xf>
    <xf numFmtId="202" fontId="172" fillId="2" borderId="61" xfId="1" applyNumberFormat="1" applyFont="1" applyFill="1" applyBorder="1" applyAlignment="1" applyProtection="1">
      <alignment horizontal="center" vertical="center"/>
      <protection hidden="1"/>
    </xf>
    <xf numFmtId="168" fontId="61" fillId="12" borderId="4" xfId="1" applyNumberFormat="1" applyFont="1" applyFill="1" applyBorder="1" applyAlignment="1">
      <alignment horizontal="center" vertical="center"/>
    </xf>
    <xf numFmtId="0" fontId="374" fillId="3" borderId="4" xfId="0" applyFont="1" applyFill="1" applyBorder="1" applyAlignment="1">
      <alignment horizontal="center" vertical="center" wrapText="1"/>
    </xf>
    <xf numFmtId="0" fontId="373" fillId="3" borderId="4" xfId="0" applyFont="1" applyFill="1" applyBorder="1" applyAlignment="1">
      <alignment horizontal="center" vertical="center" wrapText="1"/>
    </xf>
    <xf numFmtId="0" fontId="373" fillId="3" borderId="4" xfId="0" applyFont="1" applyFill="1" applyBorder="1" applyAlignment="1">
      <alignment horizontal="center" wrapText="1"/>
    </xf>
    <xf numFmtId="0" fontId="373" fillId="3" borderId="4" xfId="0" applyFont="1" applyFill="1" applyBorder="1" applyAlignment="1">
      <alignment horizontal="left" wrapText="1"/>
    </xf>
    <xf numFmtId="0" fontId="35" fillId="13" borderId="4" xfId="1" applyFont="1" applyFill="1" applyBorder="1" applyAlignment="1">
      <alignment horizontal="center"/>
    </xf>
    <xf numFmtId="210" fontId="364" fillId="5" borderId="0" xfId="3" applyNumberFormat="1" applyFont="1" applyFill="1" applyAlignment="1">
      <alignment horizontal="center" vertical="center"/>
    </xf>
    <xf numFmtId="0" fontId="24" fillId="3" borderId="0" xfId="3" applyFont="1" applyFill="1" applyAlignment="1">
      <alignment horizontal="center" vertical="center" wrapText="1"/>
    </xf>
    <xf numFmtId="0" fontId="370" fillId="3" borderId="0" xfId="3" applyFont="1" applyFill="1" applyAlignment="1">
      <alignment horizontal="center" vertical="center" wrapText="1"/>
    </xf>
    <xf numFmtId="210" fontId="12" fillId="11" borderId="0" xfId="3" applyNumberFormat="1" applyFont="1" applyFill="1" applyAlignment="1">
      <alignment horizontal="center" vertical="center"/>
    </xf>
    <xf numFmtId="0" fontId="369" fillId="3" borderId="0" xfId="3" applyFont="1" applyFill="1" applyAlignment="1">
      <alignment horizontal="center" vertical="center" wrapText="1"/>
    </xf>
    <xf numFmtId="0" fontId="354" fillId="3" borderId="0" xfId="3" applyFont="1" applyFill="1" applyAlignment="1">
      <alignment horizontal="center" vertical="center" wrapText="1"/>
    </xf>
    <xf numFmtId="0" fontId="56" fillId="3" borderId="4" xfId="0" applyFont="1" applyFill="1" applyBorder="1" applyAlignment="1">
      <alignment horizontal="center" vertical="center" wrapText="1"/>
    </xf>
    <xf numFmtId="0" fontId="54" fillId="13" borderId="4" xfId="0" applyFont="1" applyFill="1" applyBorder="1" applyAlignment="1">
      <alignment horizontal="center" vertical="center" wrapText="1"/>
    </xf>
    <xf numFmtId="0" fontId="72" fillId="3" borderId="5" xfId="0" applyFont="1" applyFill="1" applyBorder="1" applyAlignment="1">
      <alignment horizontal="right" vertical="center"/>
    </xf>
    <xf numFmtId="0" fontId="72" fillId="3" borderId="0" xfId="0" applyFont="1" applyFill="1" applyAlignment="1">
      <alignment horizontal="right" vertical="center"/>
    </xf>
    <xf numFmtId="0" fontId="72" fillId="3" borderId="44" xfId="0" applyFont="1" applyFill="1" applyBorder="1" applyAlignment="1">
      <alignment horizontal="right" vertical="center"/>
    </xf>
    <xf numFmtId="0" fontId="72" fillId="3" borderId="20" xfId="0" applyFont="1" applyFill="1" applyBorder="1" applyAlignment="1">
      <alignment horizontal="right" vertical="center"/>
    </xf>
    <xf numFmtId="0" fontId="353" fillId="0" borderId="4" xfId="1" applyFont="1" applyBorder="1" applyAlignment="1">
      <alignment horizontal="center" vertical="center"/>
    </xf>
    <xf numFmtId="0" fontId="157" fillId="3" borderId="4" xfId="1" applyFont="1" applyFill="1" applyBorder="1" applyAlignment="1">
      <alignment horizontal="left" vertical="center" wrapText="1"/>
    </xf>
    <xf numFmtId="0" fontId="15" fillId="3" borderId="4" xfId="1" applyFont="1" applyFill="1" applyBorder="1" applyAlignment="1">
      <alignment horizontal="left" vertical="center" wrapText="1"/>
    </xf>
    <xf numFmtId="0" fontId="56" fillId="0" borderId="4" xfId="0" applyFont="1" applyBorder="1" applyAlignment="1">
      <alignment horizontal="center" wrapText="1"/>
    </xf>
    <xf numFmtId="165" fontId="355" fillId="11" borderId="0" xfId="3" applyNumberFormat="1" applyFont="1" applyFill="1" applyAlignment="1">
      <alignment horizontal="center" vertical="center"/>
    </xf>
    <xf numFmtId="194" fontId="30" fillId="31" borderId="4" xfId="1" applyNumberFormat="1" applyFont="1" applyFill="1" applyBorder="1" applyAlignment="1">
      <alignment horizontal="center" vertical="center"/>
    </xf>
    <xf numFmtId="165" fontId="11" fillId="4" borderId="0" xfId="3" applyNumberFormat="1" applyFont="1" applyFill="1" applyAlignment="1">
      <alignment horizontal="center" vertical="center"/>
    </xf>
    <xf numFmtId="194" fontId="279" fillId="31" borderId="4" xfId="1" applyNumberFormat="1" applyFont="1" applyFill="1" applyBorder="1" applyAlignment="1">
      <alignment horizontal="center" vertical="center"/>
    </xf>
    <xf numFmtId="0" fontId="186" fillId="3" borderId="5" xfId="3" applyFont="1" applyFill="1" applyBorder="1" applyAlignment="1">
      <alignment horizontal="center" vertical="center"/>
    </xf>
    <xf numFmtId="0" fontId="186" fillId="3" borderId="0" xfId="3" applyFont="1" applyFill="1" applyAlignment="1">
      <alignment horizontal="center" vertical="center"/>
    </xf>
    <xf numFmtId="0" fontId="186" fillId="3" borderId="4" xfId="3" applyFont="1" applyFill="1" applyBorder="1" applyAlignment="1">
      <alignment horizontal="center" vertical="center"/>
    </xf>
    <xf numFmtId="0" fontId="347" fillId="3" borderId="4" xfId="1" applyFont="1" applyFill="1" applyBorder="1" applyAlignment="1">
      <alignment horizontal="center" vertical="center" wrapText="1"/>
    </xf>
    <xf numFmtId="0" fontId="347" fillId="3" borderId="61" xfId="1" applyFont="1" applyFill="1" applyBorder="1" applyAlignment="1">
      <alignment horizontal="center" vertical="center" wrapText="1"/>
    </xf>
    <xf numFmtId="0" fontId="288" fillId="13" borderId="5" xfId="3" applyFont="1" applyFill="1" applyBorder="1" applyAlignment="1">
      <alignment horizontal="center" vertical="center" wrapText="1"/>
    </xf>
    <xf numFmtId="0" fontId="288" fillId="13" borderId="0" xfId="3" applyFont="1" applyFill="1" applyAlignment="1">
      <alignment horizontal="center" vertical="center" wrapText="1"/>
    </xf>
    <xf numFmtId="0" fontId="71" fillId="3" borderId="4" xfId="1" applyFont="1" applyFill="1" applyBorder="1" applyAlignment="1">
      <alignment horizontal="center" vertical="center"/>
    </xf>
    <xf numFmtId="0" fontId="46" fillId="3" borderId="0" xfId="3" applyFont="1" applyFill="1" applyAlignment="1">
      <alignment horizontal="center" vertical="center" wrapText="1"/>
    </xf>
    <xf numFmtId="0" fontId="24" fillId="3" borderId="4" xfId="3" applyFont="1" applyFill="1" applyBorder="1" applyAlignment="1">
      <alignment horizontal="center" vertical="center" wrapText="1"/>
    </xf>
    <xf numFmtId="194" fontId="15" fillId="31" borderId="4" xfId="1" applyNumberFormat="1" applyFont="1" applyFill="1" applyBorder="1" applyAlignment="1">
      <alignment horizontal="center" vertical="center"/>
    </xf>
    <xf numFmtId="0" fontId="24" fillId="3" borderId="5" xfId="3" applyFont="1" applyFill="1" applyBorder="1" applyAlignment="1">
      <alignment horizontal="center" vertical="center" wrapText="1"/>
    </xf>
    <xf numFmtId="0" fontId="54" fillId="13" borderId="5" xfId="3" applyFont="1" applyFill="1" applyBorder="1" applyAlignment="1">
      <alignment horizontal="center" vertical="center"/>
    </xf>
    <xf numFmtId="0" fontId="54" fillId="13" borderId="0" xfId="3" applyFont="1" applyFill="1" applyAlignment="1">
      <alignment horizontal="center" vertical="center"/>
    </xf>
    <xf numFmtId="0" fontId="54" fillId="13" borderId="4" xfId="3" applyFont="1" applyFill="1" applyBorder="1" applyAlignment="1">
      <alignment horizontal="center" vertical="center"/>
    </xf>
    <xf numFmtId="0" fontId="24" fillId="3" borderId="5" xfId="3" applyFont="1" applyFill="1" applyBorder="1" applyAlignment="1">
      <alignment horizontal="center" vertical="center"/>
    </xf>
    <xf numFmtId="0" fontId="24" fillId="3" borderId="0" xfId="3" applyFont="1" applyFill="1" applyAlignment="1">
      <alignment horizontal="center" vertical="center"/>
    </xf>
    <xf numFmtId="0" fontId="24" fillId="3" borderId="4" xfId="3" applyFont="1" applyFill="1" applyBorder="1" applyAlignment="1">
      <alignment horizontal="center" vertical="center"/>
    </xf>
    <xf numFmtId="0" fontId="15" fillId="3" borderId="0" xfId="3" applyFont="1" applyFill="1" applyAlignment="1">
      <alignment horizontal="center" vertical="top" wrapText="1"/>
    </xf>
    <xf numFmtId="0" fontId="24" fillId="3" borderId="4" xfId="3" applyFont="1" applyFill="1" applyBorder="1" applyAlignment="1">
      <alignment horizontal="center" vertical="top" wrapText="1"/>
    </xf>
    <xf numFmtId="0" fontId="56" fillId="3" borderId="4" xfId="0" applyFont="1" applyFill="1" applyBorder="1" applyAlignment="1">
      <alignment horizontal="center" vertical="center"/>
    </xf>
    <xf numFmtId="0" fontId="56" fillId="3" borderId="61" xfId="0" applyFont="1" applyFill="1" applyBorder="1" applyAlignment="1">
      <alignment horizontal="center" vertical="center"/>
    </xf>
    <xf numFmtId="0" fontId="54" fillId="13" borderId="42" xfId="3" applyFont="1" applyFill="1" applyBorder="1" applyAlignment="1">
      <alignment horizontal="center" vertical="center" wrapText="1"/>
    </xf>
    <xf numFmtId="0" fontId="54" fillId="13" borderId="7" xfId="3" applyFont="1" applyFill="1" applyBorder="1" applyAlignment="1">
      <alignment horizontal="center" vertical="center" wrapText="1"/>
    </xf>
    <xf numFmtId="0" fontId="54" fillId="13" borderId="6" xfId="3" applyFont="1" applyFill="1" applyBorder="1" applyAlignment="1">
      <alignment horizontal="center" vertical="center" wrapText="1"/>
    </xf>
    <xf numFmtId="0" fontId="54" fillId="13" borderId="5" xfId="3" applyFont="1" applyFill="1" applyBorder="1" applyAlignment="1">
      <alignment horizontal="center" vertical="center" wrapText="1"/>
    </xf>
    <xf numFmtId="0" fontId="54" fillId="13" borderId="0" xfId="3" applyFont="1" applyFill="1" applyAlignment="1">
      <alignment horizontal="center" vertical="center" wrapText="1"/>
    </xf>
    <xf numFmtId="0" fontId="54" fillId="13" borderId="4" xfId="3" applyFont="1" applyFill="1" applyBorder="1" applyAlignment="1">
      <alignment horizontal="center" vertical="center" wrapText="1"/>
    </xf>
    <xf numFmtId="0" fontId="342" fillId="3" borderId="61" xfId="1" applyFont="1" applyFill="1" applyBorder="1" applyAlignment="1">
      <alignment horizontal="center" vertical="center" wrapText="1"/>
    </xf>
    <xf numFmtId="2" fontId="197" fillId="12" borderId="4" xfId="1" applyNumberFormat="1" applyFont="1" applyFill="1" applyBorder="1" applyAlignment="1">
      <alignment horizontal="center" vertical="center"/>
    </xf>
    <xf numFmtId="0" fontId="66" fillId="3" borderId="4" xfId="11" applyFont="1" applyFill="1" applyBorder="1" applyAlignment="1">
      <alignment horizontal="center" vertical="center" wrapText="1"/>
    </xf>
    <xf numFmtId="0" fontId="11" fillId="3" borderId="5" xfId="3" applyFont="1" applyFill="1" applyBorder="1" applyAlignment="1">
      <alignment horizontal="center" vertical="center"/>
    </xf>
    <xf numFmtId="0" fontId="11" fillId="3" borderId="0" xfId="3" applyFont="1" applyFill="1" applyAlignment="1">
      <alignment horizontal="center" vertical="center"/>
    </xf>
    <xf numFmtId="0" fontId="11" fillId="3" borderId="4" xfId="3" applyFont="1" applyFill="1" applyBorder="1" applyAlignment="1">
      <alignment horizontal="center" vertical="center"/>
    </xf>
    <xf numFmtId="165" fontId="15" fillId="12" borderId="0" xfId="3" applyNumberFormat="1" applyFont="1" applyFill="1" applyAlignment="1">
      <alignment horizontal="center" vertical="center"/>
    </xf>
    <xf numFmtId="0" fontId="174" fillId="49" borderId="4" xfId="1" applyFont="1" applyFill="1" applyBorder="1" applyAlignment="1">
      <alignment horizontal="center" vertical="center" textRotation="90"/>
    </xf>
    <xf numFmtId="165" fontId="12" fillId="11" borderId="0" xfId="3" applyNumberFormat="1" applyFont="1" applyFill="1" applyAlignment="1">
      <alignment horizontal="center" vertical="center"/>
    </xf>
    <xf numFmtId="0" fontId="24" fillId="3" borderId="5" xfId="3" applyFont="1" applyFill="1" applyBorder="1" applyAlignment="1">
      <alignment horizontal="center" vertical="top" wrapText="1"/>
    </xf>
    <xf numFmtId="0" fontId="24" fillId="3" borderId="0" xfId="3" applyFont="1" applyFill="1" applyAlignment="1">
      <alignment horizontal="center" vertical="top" wrapText="1"/>
    </xf>
    <xf numFmtId="3" fontId="344" fillId="11" borderId="90" xfId="3" applyNumberFormat="1" applyFont="1" applyFill="1" applyBorder="1" applyAlignment="1">
      <alignment horizontal="center" vertical="center"/>
    </xf>
    <xf numFmtId="3" fontId="344" fillId="11" borderId="89" xfId="3" applyNumberFormat="1" applyFont="1" applyFill="1" applyBorder="1" applyAlignment="1">
      <alignment horizontal="center" vertical="center"/>
    </xf>
    <xf numFmtId="3" fontId="344" fillId="11" borderId="91" xfId="3" applyNumberFormat="1" applyFont="1" applyFill="1" applyBorder="1" applyAlignment="1">
      <alignment horizontal="center" vertical="center"/>
    </xf>
    <xf numFmtId="0" fontId="97" fillId="49" borderId="4" xfId="1" applyFont="1" applyFill="1" applyBorder="1" applyAlignment="1">
      <alignment horizontal="center" vertical="center" textRotation="90"/>
    </xf>
    <xf numFmtId="0" fontId="11" fillId="3" borderId="4" xfId="1" applyFont="1" applyFill="1" applyBorder="1" applyAlignment="1">
      <alignment horizontal="center" vertical="center" wrapText="1"/>
    </xf>
    <xf numFmtId="0" fontId="11" fillId="12" borderId="5" xfId="3" applyFont="1" applyFill="1" applyBorder="1" applyAlignment="1">
      <alignment horizontal="center" vertical="center" wrapText="1"/>
    </xf>
    <xf numFmtId="165" fontId="144" fillId="11" borderId="0" xfId="3" applyNumberFormat="1" applyFont="1" applyFill="1" applyAlignment="1">
      <alignment horizontal="center" vertical="center"/>
    </xf>
    <xf numFmtId="183" fontId="11" fillId="12" borderId="0" xfId="3" applyNumberFormat="1" applyFont="1" applyFill="1" applyAlignment="1">
      <alignment horizontal="right" vertical="center"/>
    </xf>
    <xf numFmtId="3" fontId="23" fillId="12" borderId="0" xfId="3" applyNumberFormat="1" applyFont="1" applyFill="1" applyAlignment="1">
      <alignment horizontal="center" vertical="center"/>
    </xf>
    <xf numFmtId="0" fontId="11" fillId="12" borderId="4" xfId="3" applyFont="1" applyFill="1" applyBorder="1" applyAlignment="1">
      <alignment horizontal="center" vertical="center"/>
    </xf>
    <xf numFmtId="0" fontId="174" fillId="3" borderId="2" xfId="1" applyFont="1" applyFill="1" applyBorder="1" applyAlignment="1">
      <alignment horizontal="center" vertical="center"/>
    </xf>
    <xf numFmtId="0" fontId="174" fillId="3" borderId="63" xfId="1" applyFont="1" applyFill="1" applyBorder="1" applyAlignment="1">
      <alignment horizontal="center" vertical="center"/>
    </xf>
    <xf numFmtId="0" fontId="72" fillId="3" borderId="5" xfId="0" applyFont="1" applyFill="1" applyBorder="1" applyAlignment="1">
      <alignment horizontal="center" vertical="center" wrapText="1"/>
    </xf>
    <xf numFmtId="0" fontId="72" fillId="3" borderId="0" xfId="0" applyFont="1" applyFill="1" applyAlignment="1">
      <alignment horizontal="center" vertical="center" wrapText="1"/>
    </xf>
    <xf numFmtId="0" fontId="72" fillId="3" borderId="4" xfId="0" applyFont="1" applyFill="1" applyBorder="1" applyAlignment="1">
      <alignment horizontal="center" vertical="center" wrapText="1"/>
    </xf>
    <xf numFmtId="0" fontId="72" fillId="3" borderId="61" xfId="0" applyFont="1" applyFill="1" applyBorder="1" applyAlignment="1">
      <alignment horizontal="center" vertical="center" wrapText="1"/>
    </xf>
    <xf numFmtId="0" fontId="72" fillId="3" borderId="1" xfId="0" applyFont="1" applyFill="1" applyBorder="1" applyAlignment="1">
      <alignment horizontal="center" vertical="center" wrapText="1"/>
    </xf>
    <xf numFmtId="0" fontId="72" fillId="3" borderId="60" xfId="0" applyFont="1" applyFill="1" applyBorder="1" applyAlignment="1">
      <alignment horizontal="center" vertical="center" wrapText="1"/>
    </xf>
    <xf numFmtId="0" fontId="288" fillId="13" borderId="42" xfId="3" applyFont="1" applyFill="1" applyBorder="1" applyAlignment="1">
      <alignment horizontal="center" vertical="center"/>
    </xf>
    <xf numFmtId="0" fontId="288" fillId="13" borderId="7" xfId="3" applyFont="1" applyFill="1" applyBorder="1" applyAlignment="1">
      <alignment horizontal="center" vertical="center"/>
    </xf>
    <xf numFmtId="0" fontId="288" fillId="13" borderId="6" xfId="3" applyFont="1" applyFill="1" applyBorder="1" applyAlignment="1">
      <alignment horizontal="center" vertical="center"/>
    </xf>
    <xf numFmtId="0" fontId="288" fillId="13" borderId="5" xfId="3" applyFont="1" applyFill="1" applyBorder="1" applyAlignment="1">
      <alignment horizontal="center" vertical="center"/>
    </xf>
    <xf numFmtId="0" fontId="288" fillId="13" borderId="0" xfId="3" applyFont="1" applyFill="1" applyAlignment="1">
      <alignment horizontal="center" vertical="center"/>
    </xf>
    <xf numFmtId="0" fontId="288" fillId="13" borderId="4" xfId="3" applyFont="1" applyFill="1" applyBorder="1" applyAlignment="1">
      <alignment horizontal="center" vertical="center"/>
    </xf>
    <xf numFmtId="2" fontId="174" fillId="3" borderId="141" xfId="1" applyNumberFormat="1" applyFont="1" applyFill="1" applyBorder="1" applyAlignment="1">
      <alignment horizontal="center" vertical="center"/>
    </xf>
    <xf numFmtId="2" fontId="174" fillId="3" borderId="137" xfId="1" applyNumberFormat="1" applyFont="1" applyFill="1" applyBorder="1" applyAlignment="1">
      <alignment horizontal="center" vertical="center"/>
    </xf>
    <xf numFmtId="0" fontId="11" fillId="12" borderId="0" xfId="3" applyFont="1" applyFill="1" applyAlignment="1">
      <alignment horizontal="right" vertical="center"/>
    </xf>
    <xf numFmtId="3" fontId="144" fillId="11" borderId="0" xfId="3" applyNumberFormat="1" applyFont="1" applyFill="1" applyAlignment="1">
      <alignment horizontal="center" vertical="center"/>
    </xf>
    <xf numFmtId="165" fontId="23" fillId="12" borderId="0" xfId="3" applyNumberFormat="1" applyFont="1" applyFill="1" applyAlignment="1">
      <alignment horizontal="center" vertical="center"/>
    </xf>
    <xf numFmtId="0" fontId="11" fillId="31" borderId="0" xfId="3" applyFont="1" applyFill="1" applyAlignment="1">
      <alignment horizontal="center" vertical="center" wrapText="1"/>
    </xf>
    <xf numFmtId="0" fontId="227" fillId="5" borderId="93" xfId="1" applyFont="1" applyFill="1" applyBorder="1" applyAlignment="1">
      <alignment horizontal="center" vertical="center"/>
    </xf>
    <xf numFmtId="0" fontId="227" fillId="5" borderId="136" xfId="1" applyFont="1" applyFill="1" applyBorder="1" applyAlignment="1">
      <alignment horizontal="center" vertical="center"/>
    </xf>
    <xf numFmtId="0" fontId="234" fillId="5" borderId="2" xfId="1" applyFont="1" applyFill="1" applyBorder="1" applyAlignment="1">
      <alignment horizontal="left" vertical="top" wrapText="1"/>
    </xf>
    <xf numFmtId="0" fontId="234" fillId="5" borderId="63" xfId="1" applyFont="1" applyFill="1" applyBorder="1" applyAlignment="1">
      <alignment horizontal="left" vertical="top" wrapText="1"/>
    </xf>
    <xf numFmtId="0" fontId="234" fillId="5" borderId="4" xfId="1" applyFont="1" applyFill="1" applyBorder="1" applyAlignment="1">
      <alignment horizontal="left" vertical="top" wrapText="1"/>
    </xf>
    <xf numFmtId="0" fontId="234" fillId="5" borderId="141" xfId="1" applyFont="1" applyFill="1" applyBorder="1" applyAlignment="1">
      <alignment horizontal="left" vertical="top" wrapText="1"/>
    </xf>
    <xf numFmtId="0" fontId="234" fillId="5" borderId="137" xfId="1" applyFont="1" applyFill="1" applyBorder="1" applyAlignment="1">
      <alignment horizontal="left" vertical="top" wrapText="1"/>
    </xf>
    <xf numFmtId="0" fontId="227" fillId="5" borderId="61" xfId="1" applyFont="1" applyFill="1" applyBorder="1" applyAlignment="1">
      <alignment horizontal="center" vertical="center"/>
    </xf>
    <xf numFmtId="0" fontId="285" fillId="5" borderId="4" xfId="1" applyFont="1" applyFill="1" applyBorder="1" applyAlignment="1">
      <alignment horizontal="left" vertical="top" wrapText="1"/>
    </xf>
    <xf numFmtId="0" fontId="228" fillId="3" borderId="4" xfId="1" applyFont="1" applyFill="1" applyBorder="1" applyAlignment="1">
      <alignment horizontal="center" vertical="center"/>
    </xf>
    <xf numFmtId="0" fontId="229" fillId="48" borderId="4" xfId="1" applyFont="1" applyFill="1" applyBorder="1" applyAlignment="1">
      <alignment horizontal="left" vertical="center"/>
    </xf>
    <xf numFmtId="0" fontId="23" fillId="0" borderId="4" xfId="1" applyFont="1" applyBorder="1" applyAlignment="1">
      <alignment horizontal="center" vertical="center"/>
    </xf>
    <xf numFmtId="0" fontId="284" fillId="47" borderId="4" xfId="1" applyFont="1" applyFill="1" applyBorder="1" applyAlignment="1">
      <alignment horizontal="left" vertical="top" wrapText="1"/>
    </xf>
    <xf numFmtId="0" fontId="34" fillId="21" borderId="85" xfId="2" applyFont="1" applyFill="1" applyBorder="1" applyAlignment="1">
      <alignment horizontal="center" vertical="center" wrapText="1"/>
    </xf>
    <xf numFmtId="0" fontId="67" fillId="2" borderId="85" xfId="2" applyFont="1" applyFill="1" applyBorder="1" applyAlignment="1">
      <alignment horizontal="center" vertical="center" wrapText="1"/>
    </xf>
    <xf numFmtId="0" fontId="67" fillId="2" borderId="135" xfId="2" applyFont="1" applyFill="1" applyBorder="1" applyAlignment="1">
      <alignment horizontal="center" vertical="center" wrapText="1"/>
    </xf>
    <xf numFmtId="0" fontId="67" fillId="2" borderId="141" xfId="2" applyFont="1" applyFill="1" applyBorder="1" applyAlignment="1">
      <alignment horizontal="center" vertical="center" wrapText="1"/>
    </xf>
    <xf numFmtId="0" fontId="67" fillId="2" borderId="138" xfId="2" applyFont="1" applyFill="1" applyBorder="1" applyAlignment="1">
      <alignment horizontal="center" vertical="center" wrapText="1"/>
    </xf>
    <xf numFmtId="0" fontId="226" fillId="3" borderId="4" xfId="1" applyFont="1" applyFill="1" applyBorder="1" applyAlignment="1">
      <alignment horizontal="center" vertical="center" wrapText="1"/>
    </xf>
    <xf numFmtId="0" fontId="15" fillId="3" borderId="85" xfId="2" applyFont="1" applyFill="1" applyBorder="1" applyAlignment="1">
      <alignment horizontal="center" vertical="center" wrapText="1"/>
    </xf>
    <xf numFmtId="0" fontId="65" fillId="3" borderId="62" xfId="2" applyFont="1" applyFill="1" applyBorder="1" applyAlignment="1">
      <alignment horizontal="center" vertical="center" wrapText="1"/>
    </xf>
    <xf numFmtId="0" fontId="65" fillId="3" borderId="2" xfId="2" applyFont="1" applyFill="1" applyBorder="1" applyAlignment="1">
      <alignment horizontal="center" vertical="center" wrapText="1"/>
    </xf>
    <xf numFmtId="0" fontId="65" fillId="3" borderId="88" xfId="2" applyFont="1" applyFill="1" applyBorder="1" applyAlignment="1">
      <alignment horizontal="center" vertical="center" wrapText="1"/>
    </xf>
    <xf numFmtId="0" fontId="65" fillId="3" borderId="85" xfId="2" applyFont="1" applyFill="1" applyBorder="1" applyAlignment="1">
      <alignment horizontal="center" vertical="center" wrapText="1"/>
    </xf>
    <xf numFmtId="0" fontId="65" fillId="3" borderId="135" xfId="2" applyFont="1" applyFill="1" applyBorder="1" applyAlignment="1">
      <alignment horizontal="center" vertical="center" wrapText="1"/>
    </xf>
    <xf numFmtId="0" fontId="65" fillId="3" borderId="141" xfId="2" applyFont="1" applyFill="1" applyBorder="1" applyAlignment="1">
      <alignment horizontal="center" vertical="center" wrapText="1"/>
    </xf>
    <xf numFmtId="0" fontId="65" fillId="3" borderId="138" xfId="2" applyFont="1" applyFill="1" applyBorder="1" applyAlignment="1">
      <alignment horizontal="center" vertical="center" wrapText="1"/>
    </xf>
    <xf numFmtId="0" fontId="44" fillId="22" borderId="62" xfId="0" applyFont="1" applyFill="1" applyBorder="1" applyAlignment="1">
      <alignment horizontal="center" vertical="center" wrapText="1"/>
    </xf>
    <xf numFmtId="0" fontId="44" fillId="22" borderId="2" xfId="0" applyFont="1" applyFill="1" applyBorder="1" applyAlignment="1">
      <alignment horizontal="center" vertical="center" wrapText="1"/>
    </xf>
    <xf numFmtId="0" fontId="44" fillId="22" borderId="88" xfId="0" applyFont="1" applyFill="1" applyBorder="1" applyAlignment="1">
      <alignment horizontal="center" vertical="center" wrapText="1"/>
    </xf>
    <xf numFmtId="0" fontId="44" fillId="22" borderId="85" xfId="0" applyFont="1" applyFill="1" applyBorder="1" applyAlignment="1">
      <alignment horizontal="center" vertical="center" wrapText="1"/>
    </xf>
    <xf numFmtId="0" fontId="44" fillId="22" borderId="135" xfId="0" applyFont="1" applyFill="1" applyBorder="1" applyAlignment="1">
      <alignment horizontal="center" vertical="center" wrapText="1"/>
    </xf>
    <xf numFmtId="0" fontId="44" fillId="22" borderId="141" xfId="0" applyFont="1" applyFill="1" applyBorder="1" applyAlignment="1">
      <alignment horizontal="center" vertical="center" wrapText="1"/>
    </xf>
    <xf numFmtId="0" fontId="44" fillId="22" borderId="138" xfId="0" applyFont="1" applyFill="1" applyBorder="1" applyAlignment="1">
      <alignment horizontal="center" vertical="center" wrapText="1"/>
    </xf>
    <xf numFmtId="0" fontId="12" fillId="3" borderId="62" xfId="2" applyFont="1" applyFill="1" applyBorder="1" applyAlignment="1">
      <alignment horizontal="center" vertical="center" wrapText="1"/>
    </xf>
    <xf numFmtId="0" fontId="12" fillId="3" borderId="2" xfId="2" applyFont="1" applyFill="1" applyBorder="1" applyAlignment="1">
      <alignment horizontal="center" vertical="center" wrapText="1"/>
    </xf>
    <xf numFmtId="0" fontId="12" fillId="3" borderId="88" xfId="2" applyFont="1" applyFill="1" applyBorder="1" applyAlignment="1">
      <alignment horizontal="center" vertical="center" wrapText="1"/>
    </xf>
    <xf numFmtId="0" fontId="12" fillId="3" borderId="85" xfId="2" applyFont="1" applyFill="1" applyBorder="1" applyAlignment="1">
      <alignment horizontal="center" vertical="center" wrapText="1"/>
    </xf>
    <xf numFmtId="0" fontId="11" fillId="3" borderId="85" xfId="2" applyFont="1" applyFill="1" applyBorder="1" applyAlignment="1">
      <alignment horizontal="center" vertical="center" wrapText="1"/>
    </xf>
    <xf numFmtId="0" fontId="11" fillId="3" borderId="135" xfId="2" applyFont="1" applyFill="1" applyBorder="1" applyAlignment="1">
      <alignment horizontal="center" vertical="center" wrapText="1"/>
    </xf>
    <xf numFmtId="0" fontId="11" fillId="3" borderId="141" xfId="2" applyFont="1" applyFill="1" applyBorder="1" applyAlignment="1">
      <alignment horizontal="center" vertical="center" wrapText="1"/>
    </xf>
    <xf numFmtId="0" fontId="11" fillId="3" borderId="138" xfId="2" applyFont="1" applyFill="1" applyBorder="1" applyAlignment="1">
      <alignment horizontal="center" vertical="center" wrapText="1"/>
    </xf>
    <xf numFmtId="0" fontId="145" fillId="4" borderId="0" xfId="8" applyFont="1" applyFill="1" applyAlignment="1">
      <alignment horizontal="left"/>
    </xf>
    <xf numFmtId="0" fontId="168" fillId="42" borderId="85" xfId="2" applyFont="1" applyFill="1" applyBorder="1" applyAlignment="1">
      <alignment horizontal="center" vertical="center"/>
    </xf>
    <xf numFmtId="222" fontId="553" fillId="44" borderId="0" xfId="35" applyNumberFormat="1" applyFont="1" applyFill="1" applyAlignment="1">
      <alignment horizontal="left" vertical="center"/>
    </xf>
    <xf numFmtId="225" fontId="565" fillId="19" borderId="0" xfId="0" applyNumberFormat="1" applyFont="1" applyFill="1" applyAlignment="1">
      <alignment horizontal="center" vertical="center"/>
    </xf>
    <xf numFmtId="14" fontId="201" fillId="44" borderId="0" xfId="30" applyNumberFormat="1" applyFont="1" applyFill="1" applyAlignment="1">
      <alignment horizontal="center"/>
    </xf>
    <xf numFmtId="14" fontId="139" fillId="44" borderId="0" xfId="35" applyNumberFormat="1" applyFont="1" applyFill="1" applyAlignment="1">
      <alignment horizontal="center" vertical="center"/>
    </xf>
    <xf numFmtId="222" fontId="139" fillId="44" borderId="0" xfId="35" applyNumberFormat="1" applyFont="1" applyFill="1" applyAlignment="1">
      <alignment horizontal="center" vertical="center"/>
    </xf>
    <xf numFmtId="14" fontId="432" fillId="44" borderId="0" xfId="30" applyNumberFormat="1" applyFont="1" applyFill="1" applyAlignment="1">
      <alignment horizontal="center"/>
    </xf>
    <xf numFmtId="0" fontId="553" fillId="44" borderId="0" xfId="35" applyFont="1" applyFill="1" applyAlignment="1">
      <alignment horizontal="center" vertical="center"/>
    </xf>
    <xf numFmtId="14" fontId="201" fillId="44" borderId="0" xfId="0" applyNumberFormat="1" applyFont="1" applyFill="1" applyAlignment="1">
      <alignment horizontal="center" vertical="center"/>
    </xf>
    <xf numFmtId="49" fontId="170" fillId="3" borderId="371" xfId="0" applyNumberFormat="1" applyFont="1" applyFill="1" applyBorder="1" applyAlignment="1">
      <alignment horizontal="center" vertical="center"/>
    </xf>
    <xf numFmtId="49" fontId="170" fillId="3" borderId="379" xfId="0" applyNumberFormat="1" applyFont="1" applyFill="1" applyBorder="1" applyAlignment="1">
      <alignment horizontal="center" vertical="center"/>
    </xf>
    <xf numFmtId="49" fontId="591" fillId="3" borderId="372" xfId="35" quotePrefix="1" applyNumberFormat="1" applyFont="1" applyFill="1" applyBorder="1" applyAlignment="1">
      <alignment horizontal="center" vertical="center"/>
    </xf>
    <xf numFmtId="49" fontId="591" fillId="3" borderId="375" xfId="35" quotePrefix="1" applyNumberFormat="1" applyFont="1" applyFill="1" applyBorder="1" applyAlignment="1">
      <alignment horizontal="center" vertical="center"/>
    </xf>
    <xf numFmtId="49" fontId="591" fillId="3" borderId="373" xfId="35" quotePrefix="1" applyNumberFormat="1" applyFont="1" applyFill="1" applyBorder="1" applyAlignment="1">
      <alignment horizontal="center" vertical="center"/>
    </xf>
    <xf numFmtId="49" fontId="591" fillId="3" borderId="376" xfId="35" quotePrefix="1" applyNumberFormat="1" applyFont="1" applyFill="1" applyBorder="1" applyAlignment="1">
      <alignment horizontal="center" vertical="center"/>
    </xf>
    <xf numFmtId="49" fontId="49" fillId="8" borderId="370" xfId="0" applyNumberFormat="1" applyFont="1" applyFill="1" applyBorder="1" applyAlignment="1">
      <alignment horizontal="center" vertical="center"/>
    </xf>
    <xf numFmtId="49" fontId="49" fillId="8" borderId="378" xfId="0" applyNumberFormat="1" applyFont="1" applyFill="1" applyBorder="1" applyAlignment="1">
      <alignment horizontal="center" vertical="center"/>
    </xf>
    <xf numFmtId="49" fontId="170" fillId="8" borderId="371" xfId="0" applyNumberFormat="1" applyFont="1" applyFill="1" applyBorder="1" applyAlignment="1">
      <alignment horizontal="center" vertical="center"/>
    </xf>
    <xf numFmtId="49" fontId="170" fillId="8" borderId="379" xfId="0" applyNumberFormat="1" applyFont="1" applyFill="1" applyBorder="1" applyAlignment="1">
      <alignment horizontal="center" vertical="center"/>
    </xf>
    <xf numFmtId="49" fontId="170" fillId="3" borderId="370" xfId="0" applyNumberFormat="1" applyFont="1" applyFill="1" applyBorder="1" applyAlignment="1">
      <alignment horizontal="center" vertical="center"/>
    </xf>
    <xf numFmtId="49" fontId="170" fillId="3" borderId="378" xfId="0" applyNumberFormat="1" applyFont="1" applyFill="1" applyBorder="1" applyAlignment="1">
      <alignment horizontal="center" vertical="center"/>
    </xf>
    <xf numFmtId="0" fontId="326" fillId="42" borderId="370" xfId="0" applyFont="1" applyFill="1" applyBorder="1" applyAlignment="1">
      <alignment horizontal="right" vertical="center"/>
    </xf>
    <xf numFmtId="0" fontId="326" fillId="42" borderId="5" xfId="0" applyFont="1" applyFill="1" applyBorder="1" applyAlignment="1">
      <alignment horizontal="right" vertical="center"/>
    </xf>
    <xf numFmtId="49" fontId="392" fillId="0" borderId="371" xfId="5" applyNumberFormat="1" applyFont="1" applyBorder="1" applyAlignment="1">
      <alignment horizontal="left" vertical="center"/>
    </xf>
    <xf numFmtId="49" fontId="392" fillId="0" borderId="380" xfId="5" applyNumberFormat="1" applyFont="1" applyBorder="1" applyAlignment="1">
      <alignment horizontal="left" vertical="center"/>
    </xf>
    <xf numFmtId="49" fontId="392" fillId="0" borderId="0" xfId="5" applyNumberFormat="1" applyFont="1" applyBorder="1" applyAlignment="1">
      <alignment horizontal="left" vertical="center"/>
    </xf>
    <xf numFmtId="49" fontId="392" fillId="0" borderId="4" xfId="5" applyNumberFormat="1" applyFont="1" applyBorder="1" applyAlignment="1">
      <alignment horizontal="left" vertical="center"/>
    </xf>
    <xf numFmtId="222" fontId="201" fillId="44" borderId="0" xfId="0" applyNumberFormat="1" applyFont="1" applyFill="1" applyAlignment="1">
      <alignment horizontal="center" vertical="center"/>
    </xf>
    <xf numFmtId="223" fontId="201" fillId="139" borderId="0" xfId="35" applyNumberFormat="1" applyFont="1" applyFill="1" applyAlignment="1">
      <alignment horizontal="center" vertical="center"/>
    </xf>
    <xf numFmtId="49" fontId="590" fillId="3" borderId="374" xfId="35" quotePrefix="1" applyNumberFormat="1" applyFont="1" applyFill="1" applyBorder="1" applyAlignment="1">
      <alignment horizontal="center" vertical="center"/>
    </xf>
    <xf numFmtId="49" fontId="590" fillId="3" borderId="377" xfId="35" quotePrefix="1" applyNumberFormat="1" applyFont="1" applyFill="1" applyBorder="1" applyAlignment="1">
      <alignment horizontal="center" vertical="center"/>
    </xf>
    <xf numFmtId="49" fontId="590" fillId="3" borderId="373" xfId="35" quotePrefix="1" applyNumberFormat="1" applyFont="1" applyFill="1" applyBorder="1" applyAlignment="1">
      <alignment horizontal="center" vertical="center"/>
    </xf>
    <xf numFmtId="49" fontId="590" fillId="3" borderId="376" xfId="35" quotePrefix="1" applyNumberFormat="1" applyFont="1" applyFill="1" applyBorder="1" applyAlignment="1">
      <alignment horizontal="center" vertical="center"/>
    </xf>
    <xf numFmtId="49" fontId="590" fillId="3" borderId="373" xfId="35" applyNumberFormat="1" applyFont="1" applyFill="1" applyBorder="1" applyAlignment="1">
      <alignment horizontal="center" vertical="center"/>
    </xf>
    <xf numFmtId="49" fontId="590" fillId="3" borderId="376" xfId="35" applyNumberFormat="1" applyFont="1" applyFill="1" applyBorder="1" applyAlignment="1">
      <alignment horizontal="center" vertical="center"/>
    </xf>
    <xf numFmtId="49" fontId="590" fillId="3" borderId="374" xfId="35" applyNumberFormat="1" applyFont="1" applyFill="1" applyBorder="1" applyAlignment="1">
      <alignment horizontal="center" vertical="center"/>
    </xf>
    <xf numFmtId="49" fontId="590" fillId="3" borderId="377" xfId="35" applyNumberFormat="1" applyFont="1" applyFill="1" applyBorder="1" applyAlignment="1">
      <alignment horizontal="center" vertical="center"/>
    </xf>
    <xf numFmtId="49" fontId="170" fillId="8" borderId="0" xfId="0" applyNumberFormat="1" applyFont="1" applyFill="1" applyAlignment="1">
      <alignment horizontal="center" vertical="center"/>
    </xf>
    <xf numFmtId="49" fontId="590" fillId="3" borderId="372" xfId="35" quotePrefix="1" applyNumberFormat="1" applyFont="1" applyFill="1" applyBorder="1" applyAlignment="1">
      <alignment horizontal="center" vertical="center"/>
    </xf>
    <xf numFmtId="49" fontId="590" fillId="3" borderId="375" xfId="35" quotePrefix="1" applyNumberFormat="1" applyFont="1" applyFill="1" applyBorder="1" applyAlignment="1">
      <alignment horizontal="center" vertical="center"/>
    </xf>
    <xf numFmtId="49" fontId="589" fillId="0" borderId="18" xfId="0" applyNumberFormat="1" applyFont="1" applyBorder="1" applyAlignment="1">
      <alignment horizontal="center" vertical="center" wrapText="1"/>
    </xf>
    <xf numFmtId="49" fontId="589" fillId="0" borderId="0" xfId="0" applyNumberFormat="1" applyFont="1" applyAlignment="1">
      <alignment horizontal="center" vertical="center" wrapText="1"/>
    </xf>
    <xf numFmtId="49" fontId="169" fillId="3" borderId="5" xfId="0" applyNumberFormat="1" applyFont="1" applyFill="1" applyBorder="1" applyAlignment="1">
      <alignment horizontal="center" vertical="center"/>
    </xf>
    <xf numFmtId="49" fontId="169" fillId="3" borderId="0" xfId="0" applyNumberFormat="1" applyFont="1" applyFill="1" applyAlignment="1">
      <alignment horizontal="center" vertical="center"/>
    </xf>
    <xf numFmtId="49" fontId="590" fillId="8" borderId="5" xfId="35" applyNumberFormat="1" applyFont="1" applyFill="1" applyBorder="1" applyAlignment="1">
      <alignment horizontal="center" vertical="center"/>
    </xf>
    <xf numFmtId="49" fontId="49" fillId="8" borderId="5" xfId="0" applyNumberFormat="1" applyFont="1" applyFill="1" applyBorder="1" applyAlignment="1">
      <alignment horizontal="center" vertical="center"/>
    </xf>
    <xf numFmtId="49" fontId="170" fillId="8" borderId="370" xfId="0" applyNumberFormat="1" applyFont="1" applyFill="1" applyBorder="1" applyAlignment="1">
      <alignment horizontal="center" vertical="center"/>
    </xf>
    <xf numFmtId="49" fontId="170" fillId="8" borderId="5" xfId="0" applyNumberFormat="1" applyFont="1" applyFill="1" applyBorder="1" applyAlignment="1">
      <alignment horizontal="center" vertical="center"/>
    </xf>
    <xf numFmtId="0" fontId="553" fillId="22" borderId="0" xfId="0" applyFont="1" applyFill="1" applyAlignment="1">
      <alignment horizontal="center" vertical="center" wrapText="1"/>
    </xf>
    <xf numFmtId="49" fontId="588" fillId="97" borderId="7" xfId="1" applyNumberFormat="1" applyFont="1" applyFill="1" applyBorder="1" applyAlignment="1">
      <alignment horizontal="center" vertical="center"/>
    </xf>
    <xf numFmtId="49" fontId="588" fillId="97" borderId="0" xfId="1" applyNumberFormat="1" applyFont="1" applyFill="1" applyAlignment="1">
      <alignment horizontal="center" vertical="center"/>
    </xf>
    <xf numFmtId="49" fontId="170" fillId="8" borderId="362" xfId="0" applyNumberFormat="1" applyFont="1" applyFill="1" applyBorder="1" applyAlignment="1">
      <alignment horizontal="center" vertical="center"/>
    </xf>
    <xf numFmtId="49" fontId="170" fillId="8" borderId="363" xfId="0" applyNumberFormat="1" applyFont="1" applyFill="1" applyBorder="1" applyAlignment="1">
      <alignment horizontal="center" vertical="center"/>
    </xf>
    <xf numFmtId="49" fontId="49" fillId="8" borderId="364" xfId="35" applyNumberFormat="1" applyFont="1" applyFill="1" applyBorder="1" applyAlignment="1">
      <alignment horizontal="center" vertical="center"/>
    </xf>
    <xf numFmtId="49" fontId="49" fillId="8" borderId="367" xfId="35" applyNumberFormat="1" applyFont="1" applyFill="1" applyBorder="1" applyAlignment="1">
      <alignment horizontal="center" vertical="center"/>
    </xf>
    <xf numFmtId="49" fontId="49" fillId="8" borderId="365" xfId="35" applyNumberFormat="1" applyFont="1" applyFill="1" applyBorder="1" applyAlignment="1">
      <alignment horizontal="center" vertical="center"/>
    </xf>
    <xf numFmtId="49" fontId="49" fillId="8" borderId="368" xfId="35" applyNumberFormat="1" applyFont="1" applyFill="1" applyBorder="1" applyAlignment="1">
      <alignment horizontal="center" vertical="center"/>
    </xf>
    <xf numFmtId="49" fontId="49" fillId="8" borderId="366" xfId="35" applyNumberFormat="1" applyFont="1" applyFill="1" applyBorder="1" applyAlignment="1">
      <alignment horizontal="center" vertical="center"/>
    </xf>
    <xf numFmtId="49" fontId="49" fillId="8" borderId="369" xfId="35" applyNumberFormat="1" applyFont="1" applyFill="1" applyBorder="1" applyAlignment="1">
      <alignment horizontal="center" vertical="center"/>
    </xf>
    <xf numFmtId="49" fontId="589" fillId="0" borderId="19" xfId="0" applyNumberFormat="1" applyFont="1" applyBorder="1" applyAlignment="1">
      <alignment horizontal="center" vertical="center" wrapText="1"/>
    </xf>
    <xf numFmtId="49" fontId="589" fillId="0" borderId="5" xfId="0" applyNumberFormat="1" applyFont="1" applyBorder="1" applyAlignment="1">
      <alignment horizontal="center" vertical="center" wrapText="1"/>
    </xf>
    <xf numFmtId="49" fontId="590" fillId="8" borderId="92" xfId="35" applyNumberFormat="1" applyFont="1" applyFill="1" applyBorder="1" applyAlignment="1">
      <alignment horizontal="center" vertical="center"/>
    </xf>
    <xf numFmtId="49" fontId="590" fillId="8" borderId="4" xfId="35" applyNumberFormat="1" applyFont="1" applyFill="1" applyBorder="1" applyAlignment="1">
      <alignment horizontal="center" vertical="center"/>
    </xf>
    <xf numFmtId="0" fontId="587" fillId="147" borderId="0" xfId="25" applyFont="1" applyFill="1" applyAlignment="1">
      <alignment horizontal="right" vertical="center"/>
    </xf>
    <xf numFmtId="0" fontId="657" fillId="22" borderId="42" xfId="25" applyFont="1" applyFill="1" applyBorder="1" applyAlignment="1">
      <alignment horizontal="center" vertical="center"/>
    </xf>
    <xf numFmtId="0" fontId="657" fillId="22" borderId="7" xfId="25" applyFont="1" applyFill="1" applyBorder="1" applyAlignment="1">
      <alignment horizontal="center" vertical="center"/>
    </xf>
    <xf numFmtId="0" fontId="657" fillId="22" borderId="6" xfId="25" applyFont="1" applyFill="1" applyBorder="1" applyAlignment="1">
      <alignment horizontal="center" vertical="center"/>
    </xf>
    <xf numFmtId="0" fontId="657" fillId="22" borderId="5" xfId="25" applyFont="1" applyFill="1" applyBorder="1" applyAlignment="1">
      <alignment horizontal="center" vertical="center"/>
    </xf>
    <xf numFmtId="0" fontId="657" fillId="22" borderId="0" xfId="25" applyFont="1" applyFill="1" applyAlignment="1">
      <alignment horizontal="center" vertical="center"/>
    </xf>
    <xf numFmtId="0" fontId="657" fillId="22" borderId="4" xfId="25" applyFont="1" applyFill="1" applyBorder="1" applyAlignment="1">
      <alignment horizontal="center" vertical="center"/>
    </xf>
    <xf numFmtId="0" fontId="11" fillId="22" borderId="5" xfId="25" applyFont="1" applyFill="1" applyBorder="1" applyAlignment="1">
      <alignment horizontal="center" vertical="center" wrapText="1"/>
    </xf>
    <xf numFmtId="0" fontId="11" fillId="22" borderId="0" xfId="25" applyFont="1" applyFill="1" applyAlignment="1">
      <alignment horizontal="center" vertical="center" wrapText="1"/>
    </xf>
    <xf numFmtId="0" fontId="11" fillId="22" borderId="4" xfId="25" applyFont="1" applyFill="1" applyBorder="1" applyAlignment="1">
      <alignment horizontal="center" vertical="center" wrapText="1"/>
    </xf>
    <xf numFmtId="0" fontId="11" fillId="22" borderId="408" xfId="25" applyFont="1" applyFill="1" applyBorder="1" applyAlignment="1">
      <alignment horizontal="center" vertical="center" wrapText="1"/>
    </xf>
    <xf numFmtId="0" fontId="11" fillId="22" borderId="409" xfId="25" applyFont="1" applyFill="1" applyBorder="1" applyAlignment="1">
      <alignment horizontal="center" vertical="center" wrapText="1"/>
    </xf>
    <xf numFmtId="0" fontId="11" fillId="22" borderId="410" xfId="25" applyFont="1" applyFill="1" applyBorder="1" applyAlignment="1">
      <alignment horizontal="center" vertical="center" wrapText="1"/>
    </xf>
    <xf numFmtId="0" fontId="666" fillId="147" borderId="0" xfId="25" applyFont="1" applyFill="1" applyAlignment="1">
      <alignment horizontal="center" vertical="center"/>
    </xf>
  </cellXfs>
  <cellStyles count="83">
    <cellStyle name="Lien hypertexte" xfId="8" builtinId="8"/>
    <cellStyle name="Lien hypertexte 2" xfId="22" xr:uid="{00000000-0005-0000-0000-000001000000}"/>
    <cellStyle name="Lien hypertexte 2 2" xfId="40" xr:uid="{09FD00A1-A707-49DB-87E0-2F5E8E431877}"/>
    <cellStyle name="Lien hypertexte 2 2 2" xfId="44" xr:uid="{AA264264-F8CE-4E35-BD48-549A69802F30}"/>
    <cellStyle name="Lien hypertexte 2 2 2 2" xfId="64" xr:uid="{DDBD39F0-A067-4439-8D60-A167F96DCA56}"/>
    <cellStyle name="Lien hypertexte 2 2 3" xfId="46" xr:uid="{53CE51A3-7AD1-48A0-90C6-6D900536BA1A}"/>
    <cellStyle name="Lien hypertexte 2 2 3 2" xfId="68" xr:uid="{F88196A6-FD73-45B8-80B9-8F8DDB073163}"/>
    <cellStyle name="Lien hypertexte 3" xfId="10" xr:uid="{00000000-0005-0000-0000-000002000000}"/>
    <cellStyle name="Lien hypertexte 3 2" xfId="24" xr:uid="{00000000-0005-0000-0000-000003000000}"/>
    <cellStyle name="Lien hypertexte 3 2 2" xfId="28" xr:uid="{5AEFC5B8-1896-4462-8B3D-A900F6AD3FB0}"/>
    <cellStyle name="Lien hypertexte 3 2 3" xfId="38" xr:uid="{DC3EF77F-45A6-41AB-9796-4594FE91FC64}"/>
    <cellStyle name="Lien hypertexte 4" xfId="11" xr:uid="{00000000-0005-0000-0000-000004000000}"/>
    <cellStyle name="Lien hypertexte 4 2" xfId="66" xr:uid="{158B6489-C71A-464F-A723-C248E6AF62F5}"/>
    <cellStyle name="Lien hypertexte 5" xfId="5" xr:uid="{00000000-0005-0000-0000-000005000000}"/>
    <cellStyle name="Lien hypertexte 5 2" xfId="43" xr:uid="{74FEFB76-43C9-4F0A-BFCC-37C1F6E6F6B7}"/>
    <cellStyle name="Lien hypertexte_Copie de cc2_festival_menus_gemrcn_2011" xfId="27" xr:uid="{082F5942-C8EB-4B3D-8CD5-FDE7F4D220EA}"/>
    <cellStyle name="Lien hypertexte_PG Positionnement 2009" xfId="34" xr:uid="{254E13F0-6D90-4071-A8BA-BFB69BFD0A92}"/>
    <cellStyle name="Lien hypertexte_PG Positionnement 2009 2" xfId="42" xr:uid="{BEF4D83D-B468-4005-B5E5-BED3BA494EF9}"/>
    <cellStyle name="Milliers 2" xfId="23" xr:uid="{00000000-0005-0000-0000-000006000000}"/>
    <cellStyle name="Normal" xfId="0" builtinId="0"/>
    <cellStyle name="Normal 10 2 2 2 2 3 2 3 2 2 4 2" xfId="49" xr:uid="{CF65B40A-02FC-4297-8D91-EE853C96B0B1}"/>
    <cellStyle name="Normal 10 2 2 2 2 3 2 3 2 2 4 2 2" xfId="77" xr:uid="{C592FA2A-584D-4FBF-B7CF-A04E69B5AAF3}"/>
    <cellStyle name="Normal 10 2 2 2 2 3 2 3 2 2 4 2 2 2" xfId="81" xr:uid="{2A1ADF4D-5BE8-4633-BACE-67B2FC5D6316}"/>
    <cellStyle name="Normal 11 2 3 2 3 2 2 4 2" xfId="51" xr:uid="{B7CB29F2-F8EF-49DE-B824-147B83215938}"/>
    <cellStyle name="Normal 12" xfId="25" xr:uid="{E44FDD6C-35DB-47F5-93AB-FB5F2657D88F}"/>
    <cellStyle name="Normal 12 2" xfId="54" xr:uid="{4CD3752E-7318-4AEC-A2D1-482924136C1D}"/>
    <cellStyle name="Normal 2" xfId="17" xr:uid="{00000000-0005-0000-0000-000008000000}"/>
    <cellStyle name="Normal 2 2" xfId="1" xr:uid="{00000000-0005-0000-0000-000009000000}"/>
    <cellStyle name="Normal 2 2 2" xfId="9" xr:uid="{00000000-0005-0000-0000-00000A000000}"/>
    <cellStyle name="Normal 2 2 2 2" xfId="30" xr:uid="{90FEA465-A00C-4B6D-98A6-AECD1DB99EED}"/>
    <cellStyle name="Normal 2 2 2 2 2" xfId="48" xr:uid="{FB87FEC6-D679-49EB-B1CB-B0C464D851A0}"/>
    <cellStyle name="Normal 2 2 2 2 3" xfId="61" xr:uid="{C7A43514-3291-4FF5-B93B-73F1E12A23C7}"/>
    <cellStyle name="Normal 2 2 3" xfId="41" xr:uid="{02442207-A5F7-447C-A424-63D9F1AB6EE8}"/>
    <cellStyle name="Normal 2 2 4" xfId="55" xr:uid="{888FAD4B-FFE1-4236-97D7-7C35536F4F83}"/>
    <cellStyle name="Normal 2 2 5" xfId="60" xr:uid="{85A815DB-F0AC-4C4A-B90D-85CC34A9E1AC}"/>
    <cellStyle name="Normal 2 3" xfId="36" xr:uid="{F92F9929-F95C-4A57-BC17-81EC427B5127}"/>
    <cellStyle name="Normal 2 3 2" xfId="78" xr:uid="{2294E378-53C9-4463-89F0-97573CF6DD86}"/>
    <cellStyle name="Normal 2 4" xfId="39" xr:uid="{E0A1EC55-8B2E-41E1-9DFB-BD830B9FE9AD}"/>
    <cellStyle name="Normal 3" xfId="29" xr:uid="{A9877DAE-AFAA-4FC5-8E99-39C172DA946D}"/>
    <cellStyle name="Normal 3 2" xfId="74" xr:uid="{485D83B6-D9F4-4558-9BCC-AABE3B50C192}"/>
    <cellStyle name="Normal 3 3 2" xfId="70" xr:uid="{EA37CDC8-4182-45A5-8FB2-AA1559708C2D}"/>
    <cellStyle name="Normal 3 3 2 2" xfId="80" xr:uid="{62964065-9E26-4BAA-9499-0A7F6CD8A45B}"/>
    <cellStyle name="Normal 4" xfId="2" xr:uid="{00000000-0005-0000-0000-00000B000000}"/>
    <cellStyle name="Normal 4 2" xfId="62" xr:uid="{91721E9B-B2DE-428F-8A0D-AA375D5E287A}"/>
    <cellStyle name="Normal 4 2 2 2 2 2 2 2 3 3 2" xfId="53" xr:uid="{D866B637-F6E1-43CF-8894-F2E435F62890}"/>
    <cellStyle name="Normal 4 2 2 2 2 2 2 2 4 3 6 2" xfId="72" xr:uid="{A35F129C-C7E9-4BB6-A1D3-B6C0A7C7583C}"/>
    <cellStyle name="Normal 4 2 2 2 2 2 2 2 4 5 2 2" xfId="59" xr:uid="{B0BE63FE-A361-4888-A965-2F1181921998}"/>
    <cellStyle name="Normal 4 2 2 2 2 2 2 5 4 2 3 2 2 3 2 2 4 2" xfId="73" xr:uid="{2BFD2275-1105-4081-AB2D-C5C6895C53E7}"/>
    <cellStyle name="Normal 4 2 2 2 2 2 2 6 2 2 3 2 3 3 2 2 4 2" xfId="50" xr:uid="{399EBDD0-E42B-416F-BF72-A6804B70723E}"/>
    <cellStyle name="Normal 4 2 2 2 3 2 2 3 2 2" xfId="69" xr:uid="{42104614-7728-4080-AB5D-C03A9323A67B}"/>
    <cellStyle name="Normal 4 2 4 2 2 4 2 2 2 2 3 2" xfId="71" xr:uid="{994657CE-C7EB-4CAF-9B8D-5C5C4D2AF1AF}"/>
    <cellStyle name="Normal 4 2 5" xfId="56" xr:uid="{FF7B56F1-EE23-4055-BC8D-43F06E40FA7C}"/>
    <cellStyle name="Normal 4 3" xfId="6" xr:uid="{00000000-0005-0000-0000-00000C000000}"/>
    <cellStyle name="Normal 4 3 4" xfId="35" xr:uid="{F6F94E95-64D9-46E9-84CE-015369177E46}"/>
    <cellStyle name="Normal 4 3 4 2 2 2" xfId="47" xr:uid="{F36CE2E2-6F62-4639-826D-04536280F0EF}"/>
    <cellStyle name="Normal 4 3 4 2 2 2 2" xfId="79" xr:uid="{FF598F85-D287-4A3B-9D39-5DC7871355C0}"/>
    <cellStyle name="Normal 4 3 4 2 2 2 2 2" xfId="82" xr:uid="{CCD6E206-EF2A-45E0-838B-BB9A5599AD3D}"/>
    <cellStyle name="Normal 4 3 4 3 2" xfId="58" xr:uid="{D31997E6-3F78-4A20-B26D-33EEF9C28671}"/>
    <cellStyle name="Normal 5" xfId="37" xr:uid="{A27D2729-437F-43CA-BFA8-82A7E1C9FF96}"/>
    <cellStyle name="Normal_Bases Cuisine 2" xfId="57" xr:uid="{A785D5EE-B70A-4D56-AD36-7E24E19AC05E}"/>
    <cellStyle name="Normal_Bons de commande livraison" xfId="13" xr:uid="{00000000-0005-0000-0000-00000D000000}"/>
    <cellStyle name="Normal_Comparer recettes 2009 OK 2" xfId="3" xr:uid="{00000000-0005-0000-0000-00000E000000}"/>
    <cellStyle name="Normal_Comparer recettes 2009 OK 2 2" xfId="32" xr:uid="{B1E0F80B-6616-46D2-A230-1DB58EDCB4D8}"/>
    <cellStyle name="Normal_Conditionnement 3 décembre" xfId="12" xr:uid="{00000000-0005-0000-0000-00000F000000}"/>
    <cellStyle name="Normal_Cuissons Températures portait16-11-2006" xfId="14" xr:uid="{00000000-0005-0000-0000-000010000000}"/>
    <cellStyle name="Normal_EFECTIF1 2" xfId="19" xr:uid="{00000000-0005-0000-0000-000011000000}"/>
    <cellStyle name="Normal_Effectif Conditionnement Goulin" xfId="67" xr:uid="{14507B01-63ED-4F90-8D13-F3FB21563FCF}"/>
    <cellStyle name="Normal_Fiche test plat ou produit 2" xfId="75" xr:uid="{440EAAB4-0BEB-40E2-809B-F7D9E7184389}"/>
    <cellStyle name="Normal_Forum Marais 15 09 2001" xfId="4" xr:uid="{00000000-0005-0000-0000-000012000000}"/>
    <cellStyle name="Normal_Forum Marais 15 09 2001 2" xfId="7" xr:uid="{00000000-0005-0000-0000-000013000000}"/>
    <cellStyle name="Normal_Forum Marais 15 09 2001 2 2" xfId="45" xr:uid="{729BB65A-6F66-4691-BC66-5E9C9400A520}"/>
    <cellStyle name="Normal_Forum Marais 15 09 2001 2 2 2" xfId="52" xr:uid="{428D1E44-1E15-4D27-B78D-46EB7C1410A4}"/>
    <cellStyle name="Normal_Forum Marais 15 09 2001_Fiche technique C2 Mars 2008 " xfId="31" xr:uid="{9E20ABCE-7DEF-41EB-AF4C-E3E74ADFCCE8}"/>
    <cellStyle name="Normal_FT Cuisson Evolutive" xfId="63" xr:uid="{17D5305F-D2E0-4D96-A201-2696BA35FA9C}"/>
    <cellStyle name="Normal_Gantt 27 janvier 2" xfId="33" xr:uid="{1C7F302A-EF13-4A71-A5FE-34620AA07FBA}"/>
    <cellStyle name="Normal_GERMCN UPC brouillon" xfId="26" xr:uid="{27C06DC8-1AD4-49FA-B7D3-9DA54914694A}"/>
    <cellStyle name="Normal_Marché 2002 filtre automatique" xfId="65" xr:uid="{77743D44-0423-417A-A708-3ED2A0533CB8}"/>
    <cellStyle name="Normal_MS Définitions_1" xfId="16" xr:uid="{00000000-0005-0000-0000-000014000000}"/>
    <cellStyle name="Normal_Non conformité 2002 2" xfId="76" xr:uid="{7B96859D-FA5E-4C8C-835D-F416DFDD8C77}"/>
    <cellStyle name="Normal_Salaires 2002 Modèle" xfId="21" xr:uid="{00000000-0005-0000-0000-000015000000}"/>
    <cellStyle name="Normal_space" xfId="15" xr:uid="{00000000-0005-0000-0000-000016000000}"/>
    <cellStyle name="Pourcentage 2" xfId="18" xr:uid="{00000000-0005-0000-0000-000017000000}"/>
    <cellStyle name="Pourcentage 2 2" xfId="20" xr:uid="{00000000-0005-0000-0000-000018000000}"/>
  </cellStyles>
  <dxfs count="103">
    <dxf>
      <font>
        <color theme="0"/>
      </font>
      <fill>
        <patternFill>
          <bgColor theme="4" tint="-0.24994659260841701"/>
        </patternFill>
      </fill>
    </dxf>
    <dxf>
      <font>
        <b/>
        <i val="0"/>
        <color theme="0"/>
      </font>
      <fill>
        <patternFill>
          <bgColor rgb="FF7030A0"/>
        </patternFill>
      </fill>
    </dxf>
    <dxf>
      <font>
        <b/>
        <i val="0"/>
        <color theme="0"/>
      </font>
      <fill>
        <patternFill>
          <bgColor rgb="FF7030A0"/>
        </patternFill>
      </fill>
    </dxf>
    <dxf>
      <font>
        <b/>
        <i val="0"/>
        <color theme="0"/>
      </font>
      <fill>
        <patternFill>
          <bgColor rgb="FF7030A0"/>
        </patternFill>
      </fill>
    </dxf>
    <dxf>
      <font>
        <b/>
        <i val="0"/>
        <color theme="0"/>
      </font>
      <fill>
        <patternFill>
          <bgColor rgb="FF7030A0"/>
        </patternFill>
      </fill>
    </dxf>
    <dxf>
      <font>
        <b/>
        <i val="0"/>
        <color theme="0"/>
      </font>
      <fill>
        <patternFill>
          <bgColor rgb="FF7030A0"/>
        </patternFill>
      </fill>
    </dxf>
    <dxf>
      <font>
        <b/>
        <i val="0"/>
        <color theme="0"/>
      </font>
      <fill>
        <patternFill>
          <bgColor rgb="FF7030A0"/>
        </patternFill>
      </fill>
    </dxf>
    <dxf>
      <font>
        <b/>
        <i val="0"/>
        <color theme="0"/>
      </font>
      <fill>
        <patternFill>
          <bgColor rgb="FF7030A0"/>
        </patternFill>
      </fill>
    </dxf>
    <dxf>
      <font>
        <b/>
        <i val="0"/>
        <color theme="0"/>
      </font>
      <fill>
        <patternFill>
          <bgColor rgb="FF7030A0"/>
        </patternFill>
      </fill>
    </dxf>
    <dxf>
      <font>
        <b/>
        <i val="0"/>
        <color theme="0"/>
      </font>
      <fill>
        <patternFill>
          <bgColor rgb="FF7030A0"/>
        </patternFill>
      </fill>
    </dxf>
    <dxf>
      <font>
        <b/>
        <i val="0"/>
        <color theme="0"/>
      </font>
      <fill>
        <patternFill>
          <bgColor rgb="FF7030A0"/>
        </patternFill>
      </fill>
    </dxf>
    <dxf>
      <font>
        <b/>
        <i val="0"/>
        <color theme="0"/>
      </font>
      <fill>
        <patternFill>
          <bgColor rgb="FF7030A0"/>
        </patternFill>
      </fill>
    </dxf>
    <dxf>
      <font>
        <b/>
        <i val="0"/>
        <color theme="0"/>
      </font>
      <fill>
        <patternFill>
          <bgColor rgb="FF7030A0"/>
        </patternFill>
      </fill>
    </dxf>
    <dxf>
      <font>
        <b/>
        <i val="0"/>
        <color theme="0"/>
      </font>
      <fill>
        <patternFill>
          <bgColor rgb="FF7030A0"/>
        </patternFill>
      </fill>
    </dxf>
    <dxf>
      <font>
        <b/>
        <i val="0"/>
        <color theme="0"/>
      </font>
      <fill>
        <patternFill>
          <bgColor rgb="FF7030A0"/>
        </patternFill>
      </fill>
    </dxf>
    <dxf>
      <font>
        <b/>
        <i val="0"/>
        <color theme="0"/>
      </font>
      <fill>
        <patternFill>
          <bgColor rgb="FF7030A0"/>
        </patternFill>
      </fill>
    </dxf>
    <dxf>
      <font>
        <b/>
        <i val="0"/>
        <color theme="0"/>
      </font>
      <fill>
        <patternFill>
          <bgColor rgb="FF7030A0"/>
        </patternFill>
      </fill>
    </dxf>
    <dxf>
      <font>
        <b/>
        <i val="0"/>
        <color theme="0"/>
      </font>
      <fill>
        <patternFill>
          <bgColor rgb="FF7030A0"/>
        </patternFill>
      </fill>
    </dxf>
    <dxf>
      <font>
        <b/>
        <i val="0"/>
        <color theme="0"/>
      </font>
      <fill>
        <patternFill>
          <bgColor rgb="FF7030A0"/>
        </patternFill>
      </fill>
    </dxf>
    <dxf>
      <font>
        <b/>
        <i val="0"/>
        <color theme="0"/>
      </font>
      <fill>
        <patternFill>
          <bgColor rgb="FF7030A0"/>
        </patternFill>
      </fill>
    </dxf>
    <dxf>
      <font>
        <b/>
        <i val="0"/>
        <color theme="0"/>
      </font>
      <fill>
        <patternFill>
          <bgColor rgb="FF7030A0"/>
        </patternFill>
      </fill>
    </dxf>
    <dxf>
      <font>
        <b/>
        <i val="0"/>
        <color theme="0"/>
      </font>
      <fill>
        <patternFill>
          <bgColor rgb="FF7030A0"/>
        </patternFill>
      </fill>
    </dxf>
    <dxf>
      <font>
        <b/>
        <i val="0"/>
        <color theme="0"/>
      </font>
      <fill>
        <patternFill>
          <bgColor rgb="FF7030A0"/>
        </patternFill>
      </fill>
    </dxf>
    <dxf>
      <font>
        <b/>
        <i val="0"/>
        <color theme="0"/>
      </font>
      <fill>
        <patternFill>
          <bgColor rgb="FF7030A0"/>
        </patternFill>
      </fill>
    </dxf>
    <dxf>
      <font>
        <color theme="0"/>
      </font>
      <fill>
        <patternFill>
          <bgColor theme="4" tint="-0.24994659260841701"/>
        </patternFill>
      </fill>
    </dxf>
    <dxf>
      <font>
        <b/>
        <i val="0"/>
        <color theme="0"/>
      </font>
      <fill>
        <patternFill>
          <bgColor rgb="FF7030A0"/>
        </patternFill>
      </fill>
    </dxf>
    <dxf>
      <font>
        <b/>
        <i val="0"/>
        <color theme="0"/>
      </font>
      <fill>
        <patternFill>
          <bgColor rgb="FF7030A0"/>
        </patternFill>
      </fill>
    </dxf>
    <dxf>
      <font>
        <b/>
        <i val="0"/>
        <strike val="0"/>
        <color theme="0"/>
      </font>
      <numFmt numFmtId="0" formatCode="General"/>
      <fill>
        <patternFill>
          <bgColor rgb="FFC00000"/>
        </patternFill>
      </fill>
    </dxf>
    <dxf>
      <font>
        <b/>
        <i val="0"/>
        <strike val="0"/>
        <color theme="0"/>
      </font>
      <numFmt numFmtId="0" formatCode="General"/>
      <fill>
        <patternFill>
          <bgColor rgb="FFC00000"/>
        </patternFill>
      </fill>
    </dxf>
    <dxf>
      <font>
        <color rgb="FF7F6000"/>
      </font>
      <fill>
        <patternFill patternType="solid">
          <fgColor rgb="FFFFF2CC"/>
        </patternFill>
      </fill>
    </dxf>
    <dxf>
      <font>
        <b val="0"/>
        <i val="0"/>
        <color rgb="FF9C0006"/>
      </font>
      <fill>
        <patternFill patternType="solid">
          <fgColor rgb="FFF4CCCC"/>
        </patternFill>
      </fill>
    </dxf>
    <dxf>
      <font>
        <color rgb="FF7F6000"/>
      </font>
      <fill>
        <patternFill patternType="solid">
          <fgColor rgb="FFFFF2CC"/>
        </patternFill>
      </fill>
    </dxf>
    <dxf>
      <font>
        <b val="0"/>
        <i val="0"/>
        <color rgb="FF9C0006"/>
      </font>
      <fill>
        <patternFill patternType="solid">
          <fgColor rgb="FFF4CCCC"/>
        </patternFill>
      </fill>
    </dxf>
    <dxf>
      <font>
        <color rgb="FF7F6000"/>
      </font>
      <fill>
        <patternFill patternType="solid">
          <fgColor rgb="FFFFF2CC"/>
        </patternFill>
      </fill>
    </dxf>
    <dxf>
      <font>
        <b val="0"/>
        <i val="0"/>
        <color rgb="FF9C0006"/>
      </font>
      <fill>
        <patternFill patternType="solid">
          <fgColor rgb="FFF4CCCC"/>
        </patternFill>
      </fill>
    </dxf>
    <dxf>
      <font>
        <color rgb="FF7F6000"/>
      </font>
      <fill>
        <patternFill patternType="solid">
          <fgColor rgb="FFFFF2CC"/>
        </patternFill>
      </fill>
    </dxf>
    <dxf>
      <font>
        <b val="0"/>
        <i val="0"/>
        <color rgb="FF9C0006"/>
      </font>
      <fill>
        <patternFill patternType="solid">
          <fgColor rgb="FFF4CCCC"/>
        </patternFill>
      </fill>
    </dxf>
    <dxf>
      <font>
        <color rgb="FF7F6000"/>
      </font>
      <fill>
        <patternFill patternType="solid">
          <fgColor rgb="FFFFF2CC"/>
        </patternFill>
      </fill>
    </dxf>
    <dxf>
      <font>
        <b val="0"/>
        <i val="0"/>
        <color rgb="FF9C0006"/>
      </font>
      <fill>
        <patternFill patternType="solid">
          <fgColor rgb="FFF4CCCC"/>
        </patternFill>
      </fill>
    </dxf>
    <dxf>
      <font>
        <color rgb="FF7F6000"/>
      </font>
      <fill>
        <patternFill patternType="solid">
          <fgColor rgb="FFFFF2CC"/>
        </patternFill>
      </fill>
    </dxf>
    <dxf>
      <font>
        <b val="0"/>
        <i val="0"/>
        <color rgb="FF9C0006"/>
      </font>
      <fill>
        <patternFill patternType="solid">
          <fgColor rgb="FFF4CCCC"/>
        </patternFill>
      </fill>
    </dxf>
    <dxf>
      <font>
        <color rgb="FF7F6000"/>
      </font>
      <fill>
        <patternFill patternType="solid">
          <fgColor rgb="FFFFF2CC"/>
        </patternFill>
      </fill>
    </dxf>
    <dxf>
      <font>
        <b val="0"/>
        <i val="0"/>
        <color rgb="FF9C0006"/>
      </font>
      <fill>
        <patternFill patternType="solid">
          <fgColor rgb="FFF4CCCC"/>
        </patternFill>
      </fill>
    </dxf>
    <dxf>
      <font>
        <b/>
        <i val="0"/>
        <strike val="0"/>
        <color theme="0"/>
      </font>
      <numFmt numFmtId="0" formatCode="General"/>
      <fill>
        <patternFill>
          <bgColor rgb="FFC00000"/>
        </patternFill>
      </fill>
    </dxf>
    <dxf>
      <font>
        <b/>
        <i val="0"/>
        <strike val="0"/>
        <color theme="0"/>
      </font>
      <numFmt numFmtId="0" formatCode="General"/>
      <fill>
        <patternFill>
          <bgColor rgb="FFC00000"/>
        </patternFill>
      </fill>
    </dxf>
    <dxf>
      <font>
        <color rgb="FF7F6000"/>
      </font>
      <fill>
        <patternFill patternType="solid">
          <fgColor rgb="FFFFF2CC"/>
        </patternFill>
      </fill>
    </dxf>
    <dxf>
      <font>
        <b val="0"/>
        <i val="0"/>
        <color rgb="FF9C0006"/>
      </font>
      <fill>
        <patternFill patternType="solid">
          <fgColor rgb="FFF4CCCC"/>
        </patternFill>
      </fill>
    </dxf>
    <dxf>
      <font>
        <color rgb="FF7F6000"/>
      </font>
      <fill>
        <patternFill patternType="solid">
          <fgColor rgb="FFFFF2CC"/>
        </patternFill>
      </fill>
    </dxf>
    <dxf>
      <font>
        <b val="0"/>
        <i val="0"/>
        <color rgb="FF9C0006"/>
      </font>
      <fill>
        <patternFill patternType="solid">
          <fgColor rgb="FFF4CCCC"/>
        </patternFill>
      </fill>
    </dxf>
    <dxf>
      <font>
        <color rgb="FF7F6000"/>
      </font>
      <fill>
        <patternFill patternType="solid">
          <fgColor rgb="FFFFF2CC"/>
        </patternFill>
      </fill>
    </dxf>
    <dxf>
      <font>
        <b val="0"/>
        <i val="0"/>
        <color rgb="FF9C0006"/>
      </font>
      <fill>
        <patternFill patternType="solid">
          <fgColor rgb="FFF4CCCC"/>
        </patternFill>
      </fill>
    </dxf>
    <dxf>
      <font>
        <color rgb="FF7F6000"/>
      </font>
      <fill>
        <patternFill patternType="solid">
          <fgColor rgb="FFFFF2CC"/>
        </patternFill>
      </fill>
    </dxf>
    <dxf>
      <font>
        <b val="0"/>
        <i val="0"/>
        <color rgb="FF9C0006"/>
      </font>
      <fill>
        <patternFill patternType="solid">
          <fgColor rgb="FFF4CCCC"/>
        </patternFill>
      </fill>
    </dxf>
    <dxf>
      <font>
        <color rgb="FF7F6000"/>
      </font>
      <fill>
        <patternFill patternType="solid">
          <fgColor rgb="FFFFF2CC"/>
        </patternFill>
      </fill>
    </dxf>
    <dxf>
      <font>
        <b val="0"/>
        <i val="0"/>
        <color rgb="FF9C0006"/>
      </font>
      <fill>
        <patternFill patternType="solid">
          <fgColor rgb="FFF4CCCC"/>
        </patternFill>
      </fill>
    </dxf>
    <dxf>
      <font>
        <color rgb="FF7F6000"/>
      </font>
      <fill>
        <patternFill patternType="solid">
          <fgColor rgb="FFFFF2CC"/>
        </patternFill>
      </fill>
    </dxf>
    <dxf>
      <font>
        <b val="0"/>
        <i val="0"/>
        <color rgb="FF9C0006"/>
      </font>
      <fill>
        <patternFill patternType="solid">
          <fgColor rgb="FFF4CCCC"/>
        </patternFill>
      </fill>
    </dxf>
    <dxf>
      <font>
        <color rgb="FF7F6000"/>
      </font>
      <fill>
        <patternFill patternType="solid">
          <fgColor rgb="FFFFF2CC"/>
        </patternFill>
      </fill>
    </dxf>
    <dxf>
      <font>
        <b val="0"/>
        <i val="0"/>
        <color rgb="FF9C0006"/>
      </font>
      <fill>
        <patternFill patternType="solid">
          <fgColor rgb="FFF4CCCC"/>
        </patternFill>
      </fill>
    </dxf>
    <dxf>
      <font>
        <color rgb="FF7F6000"/>
      </font>
      <fill>
        <patternFill patternType="solid">
          <fgColor rgb="FFFFF2CC"/>
        </patternFill>
      </fill>
    </dxf>
    <dxf>
      <font>
        <b val="0"/>
        <i val="0"/>
        <color rgb="FF9C0006"/>
      </font>
      <fill>
        <patternFill patternType="solid">
          <fgColor rgb="FFF4CCCC"/>
        </patternFill>
      </fill>
    </dxf>
    <dxf>
      <font>
        <color rgb="FF7F6000"/>
      </font>
      <fill>
        <patternFill patternType="solid">
          <fgColor rgb="FFFFF2CC"/>
        </patternFill>
      </fill>
    </dxf>
    <dxf>
      <font>
        <b val="0"/>
        <i val="0"/>
        <color rgb="FF9C0006"/>
      </font>
      <fill>
        <patternFill patternType="solid">
          <fgColor rgb="FFF4CCCC"/>
        </patternFill>
      </fill>
    </dxf>
    <dxf>
      <font>
        <color rgb="FF7F6000"/>
      </font>
      <fill>
        <patternFill patternType="solid">
          <fgColor rgb="FFFFF2CC"/>
        </patternFill>
      </fill>
    </dxf>
    <dxf>
      <font>
        <b val="0"/>
        <i val="0"/>
        <color rgb="FF9C0006"/>
      </font>
      <fill>
        <patternFill patternType="solid">
          <fgColor rgb="FFF4CCCC"/>
        </patternFill>
      </fill>
    </dxf>
    <dxf>
      <font>
        <color rgb="FF7F6000"/>
      </font>
      <fill>
        <patternFill patternType="solid">
          <fgColor rgb="FFFFF2CC"/>
        </patternFill>
      </fill>
    </dxf>
    <dxf>
      <font>
        <b val="0"/>
        <i val="0"/>
        <color rgb="FF9C0006"/>
      </font>
      <fill>
        <patternFill patternType="solid">
          <fgColor rgb="FFF4CCCC"/>
        </patternFill>
      </fill>
    </dxf>
    <dxf>
      <font>
        <color rgb="FF7F6000"/>
      </font>
      <fill>
        <patternFill patternType="solid">
          <fgColor rgb="FFFFF2CC"/>
        </patternFill>
      </fill>
    </dxf>
    <dxf>
      <font>
        <b val="0"/>
        <i val="0"/>
        <color rgb="FF9C0006"/>
      </font>
      <fill>
        <patternFill patternType="solid">
          <fgColor rgb="FFF4CCCC"/>
        </patternFill>
      </fill>
    </dxf>
    <dxf>
      <font>
        <color rgb="FF7F6000"/>
      </font>
      <fill>
        <patternFill patternType="solid">
          <fgColor rgb="FFFFF2CC"/>
        </patternFill>
      </fill>
    </dxf>
    <dxf>
      <font>
        <b val="0"/>
        <i val="0"/>
        <color rgb="FF9C0006"/>
      </font>
      <fill>
        <patternFill patternType="solid">
          <fgColor rgb="FFF4CCCC"/>
        </patternFill>
      </fill>
    </dxf>
    <dxf>
      <font>
        <color rgb="FF7F6000"/>
      </font>
      <fill>
        <patternFill patternType="solid">
          <fgColor rgb="FFFFF2CC"/>
        </patternFill>
      </fill>
    </dxf>
    <dxf>
      <font>
        <b val="0"/>
        <i val="0"/>
        <color rgb="FF9C0006"/>
      </font>
      <fill>
        <patternFill patternType="solid">
          <fgColor rgb="FFF4CCCC"/>
        </patternFill>
      </fill>
    </dxf>
    <dxf>
      <font>
        <color rgb="FF7F6000"/>
      </font>
      <fill>
        <patternFill patternType="solid">
          <fgColor rgb="FFFFF2CC"/>
        </patternFill>
      </fill>
    </dxf>
    <dxf>
      <font>
        <b val="0"/>
        <i val="0"/>
        <color rgb="FF9C0006"/>
      </font>
      <fill>
        <patternFill patternType="solid">
          <fgColor rgb="FFF4CCCC"/>
        </patternFill>
      </fill>
    </dxf>
    <dxf>
      <font>
        <color rgb="FF7F6000"/>
      </font>
      <fill>
        <patternFill patternType="solid">
          <fgColor rgb="FFFFF2CC"/>
        </patternFill>
      </fill>
    </dxf>
    <dxf>
      <font>
        <b val="0"/>
        <i val="0"/>
        <color rgb="FF9C0006"/>
      </font>
      <fill>
        <patternFill patternType="solid">
          <fgColor rgb="FFF4CCCC"/>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b/>
        <i val="0"/>
        <color theme="0"/>
      </font>
      <fill>
        <patternFill>
          <bgColor rgb="FF7030A0"/>
        </patternFill>
      </fill>
    </dxf>
    <dxf>
      <fill>
        <patternFill patternType="solid">
          <fgColor rgb="FFFFF2CC"/>
        </patternFill>
      </fill>
    </dxf>
    <dxf>
      <font>
        <color rgb="FF7F6000"/>
      </font>
      <fill>
        <patternFill>
          <bgColor rgb="FFFFF2CC"/>
        </patternFill>
      </fill>
    </dxf>
    <dxf>
      <font>
        <color rgb="FF9C0006"/>
      </font>
      <fill>
        <patternFill>
          <bgColor rgb="FFF4CCCC"/>
        </patternFill>
      </fill>
    </dxf>
    <dxf>
      <font>
        <color rgb="FF7F6000"/>
      </font>
      <fill>
        <patternFill>
          <bgColor rgb="FFFFF2CC"/>
        </patternFill>
      </fill>
    </dxf>
    <dxf>
      <font>
        <color rgb="FF9C0006"/>
      </font>
      <fill>
        <patternFill>
          <bgColor rgb="FFF4CCCC"/>
        </patternFill>
      </fill>
    </dxf>
  </dxfs>
  <tableStyles count="0" defaultTableStyle="TableStyleMedium2" defaultPivotStyle="PivotStyleLight16"/>
  <colors>
    <mruColors>
      <color rgb="FFCC00FF"/>
      <color rgb="FF0000FF"/>
      <color rgb="FFFFFFCC"/>
      <color rgb="FF339966"/>
      <color rgb="FF8BE1FF"/>
      <color rgb="FF0070C0"/>
      <color rgb="FF800080"/>
      <color rgb="FFC00000"/>
      <color rgb="FF25C6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r>
              <a:rPr lang="fr-FR"/>
              <a:t>Boudin blanc au coganc "très bonne qualité "  Fiche de fabrication  :  OLIDA   recette  1936</a:t>
            </a:r>
          </a:p>
        </c:rich>
      </c:tx>
      <c:layout>
        <c:manualLayout>
          <c:xMode val="edge"/>
          <c:yMode val="edge"/>
          <c:x val="0.18197407372437502"/>
          <c:y val="1.3733935078004239E-2"/>
        </c:manualLayout>
      </c:layout>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endParaRPr lang="fr-FR"/>
        </a:p>
      </c:txPr>
    </c:title>
    <c:autoTitleDeleted val="0"/>
    <c:plotArea>
      <c:layout>
        <c:manualLayout>
          <c:layoutTarget val="inner"/>
          <c:xMode val="edge"/>
          <c:yMode val="edge"/>
          <c:x val="9.4740675021256146E-2"/>
          <c:y val="0.13748032282423064"/>
          <c:w val="0.58701982978707645"/>
          <c:h val="0.81171217058010781"/>
        </c:manualLayout>
      </c:layout>
      <c:barChart>
        <c:barDir val="col"/>
        <c:grouping val="clustered"/>
        <c:varyColors val="0"/>
        <c:ser>
          <c:idx val="0"/>
          <c:order val="0"/>
          <c:tx>
            <c:strRef>
              <c:f>'Exemples Michel Mariette'!$C$16</c:f>
              <c:strCache>
                <c:ptCount val="1"/>
                <c:pt idx="0">
                  <c:v>Maigre de volaille</c:v>
                </c:pt>
              </c:strCache>
            </c:strRef>
          </c:tx>
          <c:spPr>
            <a:gradFill>
              <a:gsLst>
                <a:gs pos="100000">
                  <a:schemeClr val="accent1">
                    <a:lumMod val="60000"/>
                    <a:lumOff val="40000"/>
                  </a:schemeClr>
                </a:gs>
                <a:gs pos="0">
                  <a:schemeClr val="accent1"/>
                </a:gs>
              </a:gsLst>
              <a:lin ang="5400000" scaled="0"/>
            </a:gradFill>
            <a:ln w="19050">
              <a:solidFill>
                <a:schemeClr val="lt1"/>
              </a:solidFill>
            </a:ln>
            <a:effectLst/>
          </c:spPr>
          <c:invertIfNegative val="0"/>
          <c:dLbls>
            <c:dLbl>
              <c:idx val="0"/>
              <c:tx>
                <c:rich>
                  <a:bodyPr/>
                  <a:lstStyle/>
                  <a:p>
                    <a:fld id="{A666EE39-88B3-429B-ADB4-53ADACCC0BC9}"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914E-40D8-B9C5-F1DE637498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fr-F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trendline>
            <c:spPr>
              <a:ln w="19050" cap="rnd">
                <a:solidFill>
                  <a:schemeClr val="accent1"/>
                </a:solidFill>
              </a:ln>
              <a:effectLst/>
            </c:spPr>
            <c:trendlineType val="linear"/>
            <c:dispRSqr val="0"/>
            <c:dispEq val="0"/>
          </c:trendline>
          <c:val>
            <c:numRef>
              <c:f>'Exemples Michel Mariette'!$H$16</c:f>
              <c:numCache>
                <c:formatCode>#\ ##0.000" kg"</c:formatCode>
                <c:ptCount val="1"/>
                <c:pt idx="0">
                  <c:v>6.4839094159713948</c:v>
                </c:pt>
              </c:numCache>
            </c:numRef>
          </c:val>
          <c:extLst>
            <c:ext xmlns:c15="http://schemas.microsoft.com/office/drawing/2012/chart" uri="{02D57815-91ED-43cb-92C2-25804820EDAC}">
              <c15:datalabelsRange>
                <c15:f>'Exemples Michel Mariette'!$H$16:$H$26</c15:f>
                <c15:dlblRangeCache>
                  <c:ptCount val="11"/>
                  <c:pt idx="0">
                    <c:v>6.484 kg</c:v>
                  </c:pt>
                  <c:pt idx="1">
                    <c:v>3.051 kg</c:v>
                  </c:pt>
                  <c:pt idx="2">
                    <c:v>3.051 kg</c:v>
                  </c:pt>
                  <c:pt idx="3">
                    <c:v>5.721 kg</c:v>
                  </c:pt>
                  <c:pt idx="4">
                    <c:v>1.144 kg</c:v>
                  </c:pt>
                  <c:pt idx="5">
                    <c:v>0.315 kg</c:v>
                  </c:pt>
                  <c:pt idx="6">
                    <c:v>0.019 kg</c:v>
                  </c:pt>
                  <c:pt idx="7">
                    <c:v>0.019 kg</c:v>
                  </c:pt>
                  <c:pt idx="8">
                    <c:v>0.191 kg</c:v>
                  </c:pt>
                  <c:pt idx="9">
                    <c:v>0.005 kg</c:v>
                  </c:pt>
                  <c:pt idx="10">
                    <c:v>0.000 kg</c:v>
                  </c:pt>
                </c15:dlblRangeCache>
              </c15:datalabelsRange>
            </c:ext>
            <c:ext xmlns:c16="http://schemas.microsoft.com/office/drawing/2014/chart" uri="{C3380CC4-5D6E-409C-BE32-E72D297353CC}">
              <c16:uniqueId val="{00000002-914E-40D8-B9C5-F1DE63749863}"/>
            </c:ext>
          </c:extLst>
        </c:ser>
        <c:ser>
          <c:idx val="1"/>
          <c:order val="1"/>
          <c:tx>
            <c:strRef>
              <c:f>'Exemples Michel Mariette'!$C$17</c:f>
              <c:strCache>
                <c:ptCount val="1"/>
                <c:pt idx="0">
                  <c:v>Poitrine de porc extra</c:v>
                </c:pt>
              </c:strCache>
            </c:strRef>
          </c:tx>
          <c:spPr>
            <a:gradFill>
              <a:gsLst>
                <a:gs pos="100000">
                  <a:schemeClr val="accent2">
                    <a:lumMod val="60000"/>
                    <a:lumOff val="40000"/>
                  </a:schemeClr>
                </a:gs>
                <a:gs pos="0">
                  <a:schemeClr val="accent2"/>
                </a:gs>
              </a:gsLst>
              <a:lin ang="5400000" scaled="0"/>
            </a:gra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trendline>
            <c:spPr>
              <a:ln w="19050" cap="rnd">
                <a:solidFill>
                  <a:schemeClr val="accent2"/>
                </a:solidFill>
              </a:ln>
              <a:effectLst/>
            </c:spPr>
            <c:trendlineType val="linear"/>
            <c:dispRSqr val="0"/>
            <c:dispEq val="0"/>
          </c:trendline>
          <c:trendline>
            <c:spPr>
              <a:ln w="19050" cap="rnd">
                <a:solidFill>
                  <a:schemeClr val="accent2"/>
                </a:solidFill>
              </a:ln>
              <a:effectLst/>
            </c:spPr>
            <c:trendlineType val="linear"/>
            <c:dispRSqr val="0"/>
            <c:dispEq val="0"/>
          </c:trendline>
          <c:val>
            <c:numRef>
              <c:f>'Exemples Michel Mariette'!$H$17</c:f>
              <c:numCache>
                <c:formatCode>#\ ##0.000" kg"</c:formatCode>
                <c:ptCount val="1"/>
                <c:pt idx="0">
                  <c:v>3.0512514898688914</c:v>
                </c:pt>
              </c:numCache>
            </c:numRef>
          </c:val>
          <c:extLst>
            <c:ext xmlns:c16="http://schemas.microsoft.com/office/drawing/2014/chart" uri="{C3380CC4-5D6E-409C-BE32-E72D297353CC}">
              <c16:uniqueId val="{00000005-914E-40D8-B9C5-F1DE63749863}"/>
            </c:ext>
          </c:extLst>
        </c:ser>
        <c:ser>
          <c:idx val="2"/>
          <c:order val="2"/>
          <c:tx>
            <c:strRef>
              <c:f>'Exemples Michel Mariette'!$C$18</c:f>
              <c:strCache>
                <c:ptCount val="1"/>
                <c:pt idx="0">
                  <c:v>Gorge parée</c:v>
                </c:pt>
              </c:strCache>
            </c:strRef>
          </c:tx>
          <c:spPr>
            <a:gradFill>
              <a:gsLst>
                <a:gs pos="100000">
                  <a:schemeClr val="accent3">
                    <a:lumMod val="60000"/>
                    <a:lumOff val="40000"/>
                  </a:schemeClr>
                </a:gs>
                <a:gs pos="0">
                  <a:schemeClr val="accent3"/>
                </a:gs>
              </a:gsLst>
              <a:lin ang="5400000" scaled="0"/>
            </a:gradFill>
            <a:ln w="19050">
              <a:solidFill>
                <a:schemeClr val="lt1"/>
              </a:solidFill>
            </a:ln>
            <a:effectLst/>
          </c:spPr>
          <c:invertIfNegative val="0"/>
          <c:dLbls>
            <c:dLbl>
              <c:idx val="0"/>
              <c:layout>
                <c:manualLayout>
                  <c:x val="0"/>
                  <c:y val="4.12017055992144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14E-40D8-B9C5-F1DE637498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trendline>
            <c:spPr>
              <a:ln w="19050" cap="rnd">
                <a:solidFill>
                  <a:schemeClr val="accent3"/>
                </a:solidFill>
              </a:ln>
              <a:effectLst/>
            </c:spPr>
            <c:trendlineType val="linear"/>
            <c:dispRSqr val="0"/>
            <c:dispEq val="0"/>
          </c:trendline>
          <c:val>
            <c:numRef>
              <c:f>'Exemples Michel Mariette'!$H$18</c:f>
              <c:numCache>
                <c:formatCode>#\ ##0.000" kg"</c:formatCode>
                <c:ptCount val="1"/>
                <c:pt idx="0">
                  <c:v>3.0512514898688914</c:v>
                </c:pt>
              </c:numCache>
            </c:numRef>
          </c:val>
          <c:extLst>
            <c:ext xmlns:c16="http://schemas.microsoft.com/office/drawing/2014/chart" uri="{C3380CC4-5D6E-409C-BE32-E72D297353CC}">
              <c16:uniqueId val="{00000008-914E-40D8-B9C5-F1DE63749863}"/>
            </c:ext>
          </c:extLst>
        </c:ser>
        <c:ser>
          <c:idx val="3"/>
          <c:order val="3"/>
          <c:tx>
            <c:strRef>
              <c:f>'Exemples Michel Mariette'!$C$19</c:f>
              <c:strCache>
                <c:ptCount val="1"/>
                <c:pt idx="0">
                  <c:v>Lait entier 60°C ( aromatisé) *</c:v>
                </c:pt>
              </c:strCache>
            </c:strRef>
          </c:tx>
          <c:spPr>
            <a:gradFill>
              <a:gsLst>
                <a:gs pos="100000">
                  <a:schemeClr val="accent4">
                    <a:lumMod val="60000"/>
                    <a:lumOff val="40000"/>
                  </a:schemeClr>
                </a:gs>
                <a:gs pos="0">
                  <a:schemeClr val="accent4"/>
                </a:gs>
              </a:gsLst>
              <a:lin ang="5400000" scaled="0"/>
            </a:gra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'Exemples Michel Mariette'!$H$19</c:f>
              <c:numCache>
                <c:formatCode>#\ ##0.000" kg"</c:formatCode>
                <c:ptCount val="1"/>
                <c:pt idx="0">
                  <c:v>5.7210965435041716</c:v>
                </c:pt>
              </c:numCache>
            </c:numRef>
          </c:val>
          <c:extLst>
            <c:ext xmlns:c16="http://schemas.microsoft.com/office/drawing/2014/chart" uri="{C3380CC4-5D6E-409C-BE32-E72D297353CC}">
              <c16:uniqueId val="{00000009-914E-40D8-B9C5-F1DE63749863}"/>
            </c:ext>
          </c:extLst>
        </c:ser>
        <c:ser>
          <c:idx val="4"/>
          <c:order val="4"/>
          <c:tx>
            <c:strRef>
              <c:f>'Exemples Michel Mariette'!$C$20</c:f>
              <c:strCache>
                <c:ptCount val="1"/>
                <c:pt idx="0">
                  <c:v>Œufs entiers *</c:v>
                </c:pt>
              </c:strCache>
            </c:strRef>
          </c:tx>
          <c:spPr>
            <a:gradFill>
              <a:gsLst>
                <a:gs pos="100000">
                  <a:schemeClr val="accent5">
                    <a:lumMod val="60000"/>
                    <a:lumOff val="40000"/>
                  </a:schemeClr>
                </a:gs>
                <a:gs pos="0">
                  <a:schemeClr val="accent5"/>
                </a:gs>
              </a:gsLst>
              <a:lin ang="5400000" scaled="0"/>
            </a:gra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val>
            <c:numRef>
              <c:f>'Exemples Michel Mariette'!$H$20</c:f>
              <c:numCache>
                <c:formatCode>#\ ##0.000" kg"</c:formatCode>
                <c:ptCount val="1"/>
                <c:pt idx="0">
                  <c:v>1.1442193087008343</c:v>
                </c:pt>
              </c:numCache>
            </c:numRef>
          </c:val>
          <c:extLst>
            <c:ext xmlns:c16="http://schemas.microsoft.com/office/drawing/2014/chart" uri="{C3380CC4-5D6E-409C-BE32-E72D297353CC}">
              <c16:uniqueId val="{0000000A-914E-40D8-B9C5-F1DE63749863}"/>
            </c:ext>
          </c:extLst>
        </c:ser>
        <c:ser>
          <c:idx val="5"/>
          <c:order val="5"/>
          <c:tx>
            <c:strRef>
              <c:f>'Exemples Michel Mariette'!$C$21</c:f>
              <c:strCache>
                <c:ptCount val="1"/>
                <c:pt idx="0">
                  <c:v>Sel fin</c:v>
                </c:pt>
              </c:strCache>
            </c:strRef>
          </c:tx>
          <c:spPr>
            <a:gradFill>
              <a:gsLst>
                <a:gs pos="100000">
                  <a:schemeClr val="accent6">
                    <a:lumMod val="60000"/>
                    <a:lumOff val="40000"/>
                  </a:schemeClr>
                </a:gs>
                <a:gs pos="0">
                  <a:schemeClr val="accent6"/>
                </a:gs>
              </a:gsLst>
              <a:lin ang="5400000" scaled="0"/>
            </a:gra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val>
            <c:numRef>
              <c:f>'Exemples Michel Mariette'!$H$21</c:f>
              <c:numCache>
                <c:formatCode>#\ ##0.000" kg"</c:formatCode>
                <c:ptCount val="1"/>
                <c:pt idx="0">
                  <c:v>0.31466030989272942</c:v>
                </c:pt>
              </c:numCache>
            </c:numRef>
          </c:val>
          <c:extLst>
            <c:ext xmlns:c16="http://schemas.microsoft.com/office/drawing/2014/chart" uri="{C3380CC4-5D6E-409C-BE32-E72D297353CC}">
              <c16:uniqueId val="{0000000B-914E-40D8-B9C5-F1DE63749863}"/>
            </c:ext>
          </c:extLst>
        </c:ser>
        <c:ser>
          <c:idx val="6"/>
          <c:order val="6"/>
          <c:tx>
            <c:strRef>
              <c:f>'Exemples Michel Mariette'!$C$22</c:f>
              <c:strCache>
                <c:ptCount val="1"/>
                <c:pt idx="0">
                  <c:v>Poivre blanc</c:v>
                </c:pt>
              </c:strCache>
            </c:strRef>
          </c:tx>
          <c:spPr>
            <a:gradFill>
              <a:gsLst>
                <a:gs pos="100000">
                  <a:schemeClr val="accent1">
                    <a:lumMod val="60000"/>
                    <a:lumMod val="60000"/>
                    <a:lumOff val="40000"/>
                  </a:schemeClr>
                </a:gs>
                <a:gs pos="0">
                  <a:schemeClr val="accent1">
                    <a:lumMod val="60000"/>
                  </a:schemeClr>
                </a:gs>
              </a:gsLst>
              <a:lin ang="5400000" scaled="0"/>
            </a:gradFill>
            <a:ln w="19050">
              <a:solidFill>
                <a:schemeClr val="lt1"/>
              </a:solidFill>
            </a:ln>
            <a:effectLst/>
          </c:spPr>
          <c:invertIfNegative val="0"/>
          <c:val>
            <c:numRef>
              <c:f>'Exemples Michel Mariette'!$H$22</c:f>
              <c:numCache>
                <c:formatCode>#\ ##0.000" kg"</c:formatCode>
                <c:ptCount val="1"/>
                <c:pt idx="0">
                  <c:v>1.9070321811680571E-2</c:v>
                </c:pt>
              </c:numCache>
            </c:numRef>
          </c:val>
          <c:extLst>
            <c:ext xmlns:c16="http://schemas.microsoft.com/office/drawing/2014/chart" uri="{C3380CC4-5D6E-409C-BE32-E72D297353CC}">
              <c16:uniqueId val="{0000000C-914E-40D8-B9C5-F1DE63749863}"/>
            </c:ext>
          </c:extLst>
        </c:ser>
        <c:ser>
          <c:idx val="7"/>
          <c:order val="7"/>
          <c:tx>
            <c:strRef>
              <c:f>'Exemples Michel Mariette'!$C$23</c:f>
              <c:strCache>
                <c:ptCount val="1"/>
                <c:pt idx="0">
                  <c:v>4 épices</c:v>
                </c:pt>
              </c:strCache>
            </c:strRef>
          </c:tx>
          <c:spPr>
            <a:gradFill>
              <a:gsLst>
                <a:gs pos="100000">
                  <a:schemeClr val="accent2">
                    <a:lumMod val="60000"/>
                    <a:lumMod val="60000"/>
                    <a:lumOff val="40000"/>
                  </a:schemeClr>
                </a:gs>
                <a:gs pos="0">
                  <a:schemeClr val="accent2">
                    <a:lumMod val="60000"/>
                  </a:schemeClr>
                </a:gs>
              </a:gsLst>
              <a:lin ang="5400000" scaled="0"/>
            </a:gradFill>
            <a:ln w="19050">
              <a:solidFill>
                <a:schemeClr val="lt1"/>
              </a:solidFill>
            </a:ln>
            <a:effectLst/>
          </c:spPr>
          <c:invertIfNegative val="0"/>
          <c:val>
            <c:numRef>
              <c:f>'Exemples Michel Mariette'!$H$23</c:f>
              <c:numCache>
                <c:formatCode>#\ ##0.000" kg"</c:formatCode>
                <c:ptCount val="1"/>
                <c:pt idx="0">
                  <c:v>1.9070321811680571E-2</c:v>
                </c:pt>
              </c:numCache>
            </c:numRef>
          </c:val>
          <c:extLst>
            <c:ext xmlns:c16="http://schemas.microsoft.com/office/drawing/2014/chart" uri="{C3380CC4-5D6E-409C-BE32-E72D297353CC}">
              <c16:uniqueId val="{0000000D-914E-40D8-B9C5-F1DE63749863}"/>
            </c:ext>
          </c:extLst>
        </c:ser>
        <c:ser>
          <c:idx val="8"/>
          <c:order val="8"/>
          <c:tx>
            <c:strRef>
              <c:f>'Exemples Michel Mariette'!$C$24</c:f>
              <c:strCache>
                <c:ptCount val="1"/>
                <c:pt idx="0">
                  <c:v>Cognac</c:v>
                </c:pt>
              </c:strCache>
            </c:strRef>
          </c:tx>
          <c:spPr>
            <a:gradFill>
              <a:gsLst>
                <a:gs pos="100000">
                  <a:schemeClr val="accent3">
                    <a:lumMod val="60000"/>
                    <a:lumMod val="60000"/>
                    <a:lumOff val="40000"/>
                  </a:schemeClr>
                </a:gs>
                <a:gs pos="0">
                  <a:schemeClr val="accent3">
                    <a:lumMod val="60000"/>
                  </a:schemeClr>
                </a:gs>
              </a:gsLst>
              <a:lin ang="5400000" scaled="0"/>
            </a:gra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val>
            <c:numRef>
              <c:f>'Exemples Michel Mariette'!$H$24</c:f>
              <c:numCache>
                <c:formatCode>#\ ##0.000" kg"</c:formatCode>
                <c:ptCount val="1"/>
                <c:pt idx="0">
                  <c:v>0.19070321811680571</c:v>
                </c:pt>
              </c:numCache>
            </c:numRef>
          </c:val>
          <c:extLst>
            <c:ext xmlns:c16="http://schemas.microsoft.com/office/drawing/2014/chart" uri="{C3380CC4-5D6E-409C-BE32-E72D297353CC}">
              <c16:uniqueId val="{0000000E-914E-40D8-B9C5-F1DE63749863}"/>
            </c:ext>
          </c:extLst>
        </c:ser>
        <c:ser>
          <c:idx val="9"/>
          <c:order val="9"/>
          <c:tx>
            <c:strRef>
              <c:f>'Exemples Michel Mariette'!$C$25</c:f>
              <c:strCache>
                <c:ptCount val="1"/>
                <c:pt idx="0">
                  <c:v>Eau de fleurs d' oranger</c:v>
                </c:pt>
              </c:strCache>
            </c:strRef>
          </c:tx>
          <c:spPr>
            <a:gradFill>
              <a:gsLst>
                <a:gs pos="100000">
                  <a:schemeClr val="accent4">
                    <a:lumMod val="60000"/>
                    <a:lumMod val="60000"/>
                    <a:lumOff val="40000"/>
                  </a:schemeClr>
                </a:gs>
                <a:gs pos="0">
                  <a:schemeClr val="accent4">
                    <a:lumMod val="60000"/>
                  </a:schemeClr>
                </a:gs>
              </a:gsLst>
              <a:lin ang="5400000" scaled="0"/>
            </a:gradFill>
            <a:ln w="19050">
              <a:solidFill>
                <a:schemeClr val="lt1"/>
              </a:solidFill>
            </a:ln>
            <a:effectLst/>
          </c:spPr>
          <c:invertIfNegative val="0"/>
          <c:val>
            <c:numRef>
              <c:f>'Exemples Michel Mariette'!$H$25</c:f>
              <c:numCache>
                <c:formatCode>#\ ##0.000" kg"</c:formatCode>
                <c:ptCount val="1"/>
                <c:pt idx="0">
                  <c:v>4.7675804529201428E-3</c:v>
                </c:pt>
              </c:numCache>
            </c:numRef>
          </c:val>
          <c:extLst>
            <c:ext xmlns:c16="http://schemas.microsoft.com/office/drawing/2014/chart" uri="{C3380CC4-5D6E-409C-BE32-E72D297353CC}">
              <c16:uniqueId val="{0000000F-914E-40D8-B9C5-F1DE63749863}"/>
            </c:ext>
          </c:extLst>
        </c:ser>
        <c:dLbls>
          <c:showLegendKey val="0"/>
          <c:showVal val="0"/>
          <c:showCatName val="0"/>
          <c:showSerName val="0"/>
          <c:showPercent val="0"/>
          <c:showBubbleSize val="0"/>
        </c:dLbls>
        <c:gapWidth val="150"/>
        <c:axId val="530895248"/>
        <c:axId val="530895808"/>
      </c:barChart>
      <c:catAx>
        <c:axId val="530895248"/>
        <c:scaling>
          <c:orientation val="minMax"/>
        </c:scaling>
        <c:delete val="0"/>
        <c:axPos val="b"/>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fr-FR"/>
          </a:p>
        </c:txPr>
        <c:crossAx val="530895808"/>
        <c:crosses val="autoZero"/>
        <c:auto val="1"/>
        <c:lblAlgn val="ctr"/>
        <c:lblOffset val="100"/>
        <c:noMultiLvlLbl val="0"/>
      </c:catAx>
      <c:valAx>
        <c:axId val="530895808"/>
        <c:scaling>
          <c:orientation val="minMax"/>
        </c:scaling>
        <c:delete val="1"/>
        <c:axPos val="l"/>
        <c:majorGridlines>
          <c:spPr>
            <a:ln w="9525" cap="flat" cmpd="sng" algn="ctr">
              <a:solidFill>
                <a:schemeClr val="dk1">
                  <a:lumMod val="15000"/>
                  <a:lumOff val="85000"/>
                </a:schemeClr>
              </a:solidFill>
              <a:round/>
            </a:ln>
            <a:effectLst/>
          </c:spPr>
        </c:majorGridlines>
        <c:numFmt formatCode="#\ ##0.000&quot; kg&quot;" sourceLinked="1"/>
        <c:majorTickMark val="out"/>
        <c:minorTickMark val="none"/>
        <c:tickLblPos val="nextTo"/>
        <c:crossAx val="530895248"/>
        <c:crosses val="autoZero"/>
        <c:crossBetween val="between"/>
      </c:valAx>
      <c:spPr>
        <a:noFill/>
        <a:ln>
          <a:noFill/>
        </a:ln>
        <a:effectLst/>
      </c:spPr>
    </c:plotArea>
    <c:legend>
      <c:legendPos val="r"/>
      <c:legendEntry>
        <c:idx val="10"/>
        <c:delete val="1"/>
      </c:legendEntry>
      <c:legendEntry>
        <c:idx val="11"/>
        <c:delete val="1"/>
      </c:legendEntry>
      <c:legendEntry>
        <c:idx val="12"/>
        <c:delete val="1"/>
      </c:legendEntry>
      <c:legendEntry>
        <c:idx val="13"/>
        <c:delete val="1"/>
      </c:legendEntry>
      <c:layout>
        <c:manualLayout>
          <c:xMode val="edge"/>
          <c:yMode val="edge"/>
          <c:x val="0.67608725032259753"/>
          <c:y val="0.13526054942095922"/>
          <c:w val="0.31607537701156663"/>
          <c:h val="0.81659761866397629"/>
        </c:manualLayout>
      </c:layout>
      <c:overlay val="0"/>
      <c:spPr>
        <a:solidFill>
          <a:schemeClr val="lt1">
            <a:alpha val="50000"/>
          </a:schemeClr>
        </a:solidFill>
        <a:ln>
          <a:noFill/>
        </a:ln>
        <a:effectLst/>
      </c:spPr>
      <c:txPr>
        <a:bodyPr rot="0" spcFirstLastPara="1" vertOverflow="ellipsis" vert="horz" wrap="square" anchor="ctr" anchorCtr="1"/>
        <a:lstStyle/>
        <a:p>
          <a:pPr>
            <a:defRPr sz="1400" b="0" i="0" u="none" strike="noStrike" kern="1200" baseline="0">
              <a:solidFill>
                <a:schemeClr val="dk1">
                  <a:lumMod val="65000"/>
                  <a:lumOff val="35000"/>
                </a:schemeClr>
              </a:solidFill>
              <a:latin typeface="+mn-lt"/>
              <a:ea typeface="+mn-ea"/>
              <a:cs typeface="+mn-cs"/>
            </a:defRPr>
          </a:pPr>
          <a:endParaRPr lang="fr-FR"/>
        </a:p>
      </c:txPr>
    </c:legend>
    <c:plotVisOnly val="1"/>
    <c:dispBlanksAs val="gap"/>
    <c:showDLblsOverMax val="0"/>
  </c:chart>
  <c:spPr>
    <a:pattFill prst="dkDnDiag">
      <a:fgClr>
        <a:schemeClr val="lt1"/>
      </a:fgClr>
      <a:bgClr>
        <a:schemeClr val="dk1">
          <a:lumMod val="10000"/>
          <a:lumOff val="90000"/>
        </a:schemeClr>
      </a:bgClr>
    </a:pattFill>
    <a:ln w="9525" cap="flat" cmpd="sng" algn="ctr">
      <a:solidFill>
        <a:schemeClr val="dk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iagrams/colors1.xml><?xml version="1.0" encoding="utf-8"?>
<dgm:colorsDef xmlns:dgm="http://schemas.openxmlformats.org/drawingml/2006/diagram" xmlns:a="http://schemas.openxmlformats.org/drawingml/2006/main" uniqueId="urn:microsoft.com/office/officeart/2005/8/colors/colorful1#3">
  <dgm:title val=""/>
  <dgm:desc val=""/>
  <dgm:catLst>
    <dgm:cat type="colorful" pri="10100"/>
  </dgm:catLst>
  <dgm:styleLbl name="node0">
    <dgm:fillClrLst meth="repeat">
      <a:schemeClr val="accent1"/>
    </dgm:fillClrLst>
    <dgm:linClrLst meth="repeat">
      <a:schemeClr val="lt1"/>
    </dgm:linClrLst>
    <dgm:effectClrLst/>
    <dgm:txLinClrLst/>
    <dgm:txFillClrLst/>
    <dgm:txEffectClrLst/>
  </dgm:styleLbl>
  <dgm:styleLbl name="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alignNode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dgm:txEffectClrLst/>
  </dgm:styleLbl>
  <dgm:styleLbl name="ln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vennNode1">
    <dgm:fillClrLst meth="repeat">
      <a:schemeClr val="accent2">
        <a:alpha val="50000"/>
      </a:schemeClr>
      <a:schemeClr val="accent3">
        <a:alpha val="50000"/>
      </a:schemeClr>
      <a:schemeClr val="accent4">
        <a:alpha val="50000"/>
      </a:schemeClr>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2"/>
    </dgm:fillClrLst>
    <dgm:linClrLst meth="repeat">
      <a:schemeClr val="lt1"/>
    </dgm:linClrLst>
    <dgm:effectClrLst/>
    <dgm:txLinClrLst/>
    <dgm:txFillClrLst/>
    <dgm:txEffectClrLst/>
  </dgm:styleLbl>
  <dgm:styleLbl name="node3">
    <dgm:fillClrLst>
      <a:schemeClr val="accent3"/>
    </dgm:fillClrLst>
    <dgm:linClrLst meth="repeat">
      <a:schemeClr val="lt1"/>
    </dgm:linClrLst>
    <dgm:effectClrLst/>
    <dgm:txLinClrLst/>
    <dgm:txFillClrLst/>
    <dgm:txEffectClrLst/>
  </dgm:styleLbl>
  <dgm:styleLbl name="node4">
    <dgm:fillClrLst>
      <a:schemeClr val="accent4"/>
    </dgm:fillClrLst>
    <dgm:linClrLst meth="repeat">
      <a:schemeClr val="lt1"/>
    </dgm:linClrLst>
    <dgm:effectClrLst/>
    <dgm:txLinClrLst/>
    <dgm:txFillClrLst/>
    <dgm:txEffectClrLst/>
  </dgm:styleLbl>
  <dgm:styleLbl name="fgImgPlace1">
    <dgm:fillClrLst meth="repeat">
      <a:schemeClr val="accent2">
        <a:tint val="50000"/>
      </a:schemeClr>
      <a:schemeClr val="accent3">
        <a:tint val="50000"/>
      </a:schemeClr>
      <a:schemeClr val="accent4">
        <a:tint val="50000"/>
      </a:schemeClr>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schemeClr val="accent3"/>
      <a:schemeClr val="accent4"/>
      <a:schemeClr val="accent5"/>
      <a:schemeClr val="accent6"/>
    </dgm:fillClrLst>
    <dgm:linClrLst meth="cycle">
      <a:schemeClr val="lt1"/>
    </dgm:linClrLst>
    <dgm:effectClrLst/>
    <dgm:txLinClrLst/>
    <dgm:txFillClrLst/>
    <dgm:txEffectClrLst/>
  </dgm:styleLbl>
  <dgm:styleLbl name="f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b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sibTrans1D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a:schemeClr val="accent3"/>
    </dgm:fillClrLst>
    <dgm:linClrLst meth="repeat">
      <a:schemeClr val="lt1"/>
    </dgm:linClrLst>
    <dgm:effectClrLst/>
    <dgm:txLinClrLst/>
    <dgm:txFillClrLst/>
    <dgm:txEffectClrLst/>
  </dgm:styleLbl>
  <dgm:styleLbl name="asst3">
    <dgm:fillClrLst>
      <a:schemeClr val="accent4"/>
    </dgm:fillClrLst>
    <dgm:linClrLst meth="repeat">
      <a:schemeClr val="lt1"/>
    </dgm:linClrLst>
    <dgm:effectClrLst/>
    <dgm:txLinClrLst/>
    <dgm:txFillClrLst/>
    <dgm:txEffectClrLst/>
  </dgm:styleLbl>
  <dgm:styleLbl name="asst4">
    <dgm:fillClrLst>
      <a:schemeClr val="accent5"/>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1"/>
    </dgm:linClrLst>
    <dgm:effectClrLst/>
    <dgm:txLinClrLst/>
    <dgm:txFillClrLst meth="repeat">
      <a:schemeClr val="tx1"/>
    </dgm:txFillClrLst>
    <dgm:txEffectClrLst/>
  </dgm:styleLbl>
  <dgm:styleLbl name="parChTrans1D2">
    <dgm:fillClrLst meth="repeat">
      <a:schemeClr val="accent3">
        <a:tint val="90000"/>
      </a:schemeClr>
    </dgm:fillClrLst>
    <dgm:linClrLst meth="repeat">
      <a:schemeClr val="accent2"/>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3"/>
    </dgm:linClrLst>
    <dgm:effectClrLst/>
    <dgm:txLinClrLst/>
    <dgm:txFillClrLst meth="repeat">
      <a:schemeClr val="tx1"/>
    </dgm:txFillClrLst>
    <dgm:txEffectClrLst/>
  </dgm:styleLbl>
  <dgm:styleLbl name="parChTrans1D4">
    <dgm:fillClrLst meth="repeat">
      <a:schemeClr val="accent5">
        <a:tint val="50000"/>
      </a:schemeClr>
    </dgm:fillClrLst>
    <dgm:linClrLst meth="repeat">
      <a:schemeClr val="accent4"/>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F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B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f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align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2"/>
    </dgm:linClrLst>
    <dgm:effectClrLst/>
    <dgm:txLinClrLst/>
    <dgm:txFillClrLst meth="repeat">
      <a:schemeClr val="dk1"/>
    </dgm:txFillClrLst>
    <dgm:txEffectClrLst/>
  </dgm:styleLbl>
  <dgm:styleLbl name="fgAcc3">
    <dgm:fillClrLst meth="repeat">
      <a:schemeClr val="lt1">
        <a:alpha val="90000"/>
      </a:schemeClr>
    </dgm:fillClrLst>
    <dgm:linClrLst>
      <a:schemeClr val="accent3"/>
    </dgm:linClrLst>
    <dgm:effectClrLst/>
    <dgm:txLinClrLst/>
    <dgm:txFillClrLst meth="repeat">
      <a:schemeClr val="dk1"/>
    </dgm:txFillClrLst>
    <dgm:txEffectClrLst/>
  </dgm:styleLbl>
  <dgm:styleLbl name="fgAcc4">
    <dgm:fillClrLst meth="repeat">
      <a:schemeClr val="lt1">
        <a:alpha val="90000"/>
      </a:schemeClr>
    </dgm:fillClrLst>
    <dgm:linClrLst>
      <a:schemeClr val="accent4"/>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colorful1#4">
  <dgm:title val=""/>
  <dgm:desc val=""/>
  <dgm:catLst>
    <dgm:cat type="colorful" pri="10100"/>
  </dgm:catLst>
  <dgm:styleLbl name="node0">
    <dgm:fillClrLst meth="repeat">
      <a:schemeClr val="accent1"/>
    </dgm:fillClrLst>
    <dgm:linClrLst meth="repeat">
      <a:schemeClr val="lt1"/>
    </dgm:linClrLst>
    <dgm:effectClrLst/>
    <dgm:txLinClrLst/>
    <dgm:txFillClrLst/>
    <dgm:txEffectClrLst/>
  </dgm:styleLbl>
  <dgm:styleLbl name="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alignNode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dgm:txEffectClrLst/>
  </dgm:styleLbl>
  <dgm:styleLbl name="ln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vennNode1">
    <dgm:fillClrLst meth="repeat">
      <a:schemeClr val="accent2">
        <a:alpha val="50000"/>
      </a:schemeClr>
      <a:schemeClr val="accent3">
        <a:alpha val="50000"/>
      </a:schemeClr>
      <a:schemeClr val="accent4">
        <a:alpha val="50000"/>
      </a:schemeClr>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2"/>
    </dgm:fillClrLst>
    <dgm:linClrLst meth="repeat">
      <a:schemeClr val="lt1"/>
    </dgm:linClrLst>
    <dgm:effectClrLst/>
    <dgm:txLinClrLst/>
    <dgm:txFillClrLst/>
    <dgm:txEffectClrLst/>
  </dgm:styleLbl>
  <dgm:styleLbl name="node3">
    <dgm:fillClrLst>
      <a:schemeClr val="accent3"/>
    </dgm:fillClrLst>
    <dgm:linClrLst meth="repeat">
      <a:schemeClr val="lt1"/>
    </dgm:linClrLst>
    <dgm:effectClrLst/>
    <dgm:txLinClrLst/>
    <dgm:txFillClrLst/>
    <dgm:txEffectClrLst/>
  </dgm:styleLbl>
  <dgm:styleLbl name="node4">
    <dgm:fillClrLst>
      <a:schemeClr val="accent4"/>
    </dgm:fillClrLst>
    <dgm:linClrLst meth="repeat">
      <a:schemeClr val="lt1"/>
    </dgm:linClrLst>
    <dgm:effectClrLst/>
    <dgm:txLinClrLst/>
    <dgm:txFillClrLst/>
    <dgm:txEffectClrLst/>
  </dgm:styleLbl>
  <dgm:styleLbl name="fgImgPlace1">
    <dgm:fillClrLst meth="repeat">
      <a:schemeClr val="accent2">
        <a:tint val="50000"/>
      </a:schemeClr>
      <a:schemeClr val="accent3">
        <a:tint val="50000"/>
      </a:schemeClr>
      <a:schemeClr val="accent4">
        <a:tint val="50000"/>
      </a:schemeClr>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schemeClr val="accent3"/>
      <a:schemeClr val="accent4"/>
      <a:schemeClr val="accent5"/>
      <a:schemeClr val="accent6"/>
    </dgm:fillClrLst>
    <dgm:linClrLst meth="cycle">
      <a:schemeClr val="lt1"/>
    </dgm:linClrLst>
    <dgm:effectClrLst/>
    <dgm:txLinClrLst/>
    <dgm:txFillClrLst/>
    <dgm:txEffectClrLst/>
  </dgm:styleLbl>
  <dgm:styleLbl name="f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b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sibTrans1D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a:schemeClr val="accent3"/>
    </dgm:fillClrLst>
    <dgm:linClrLst meth="repeat">
      <a:schemeClr val="lt1"/>
    </dgm:linClrLst>
    <dgm:effectClrLst/>
    <dgm:txLinClrLst/>
    <dgm:txFillClrLst/>
    <dgm:txEffectClrLst/>
  </dgm:styleLbl>
  <dgm:styleLbl name="asst3">
    <dgm:fillClrLst>
      <a:schemeClr val="accent4"/>
    </dgm:fillClrLst>
    <dgm:linClrLst meth="repeat">
      <a:schemeClr val="lt1"/>
    </dgm:linClrLst>
    <dgm:effectClrLst/>
    <dgm:txLinClrLst/>
    <dgm:txFillClrLst/>
    <dgm:txEffectClrLst/>
  </dgm:styleLbl>
  <dgm:styleLbl name="asst4">
    <dgm:fillClrLst>
      <a:schemeClr val="accent5"/>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1"/>
    </dgm:linClrLst>
    <dgm:effectClrLst/>
    <dgm:txLinClrLst/>
    <dgm:txFillClrLst meth="repeat">
      <a:schemeClr val="tx1"/>
    </dgm:txFillClrLst>
    <dgm:txEffectClrLst/>
  </dgm:styleLbl>
  <dgm:styleLbl name="parChTrans1D2">
    <dgm:fillClrLst meth="repeat">
      <a:schemeClr val="accent3">
        <a:tint val="90000"/>
      </a:schemeClr>
    </dgm:fillClrLst>
    <dgm:linClrLst meth="repeat">
      <a:schemeClr val="accent2"/>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3"/>
    </dgm:linClrLst>
    <dgm:effectClrLst/>
    <dgm:txLinClrLst/>
    <dgm:txFillClrLst meth="repeat">
      <a:schemeClr val="tx1"/>
    </dgm:txFillClrLst>
    <dgm:txEffectClrLst/>
  </dgm:styleLbl>
  <dgm:styleLbl name="parChTrans1D4">
    <dgm:fillClrLst meth="repeat">
      <a:schemeClr val="accent5">
        <a:tint val="50000"/>
      </a:schemeClr>
    </dgm:fillClrLst>
    <dgm:linClrLst meth="repeat">
      <a:schemeClr val="accent4"/>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F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B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f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align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2"/>
    </dgm:linClrLst>
    <dgm:effectClrLst/>
    <dgm:txLinClrLst/>
    <dgm:txFillClrLst meth="repeat">
      <a:schemeClr val="dk1"/>
    </dgm:txFillClrLst>
    <dgm:txEffectClrLst/>
  </dgm:styleLbl>
  <dgm:styleLbl name="fgAcc3">
    <dgm:fillClrLst meth="repeat">
      <a:schemeClr val="lt1">
        <a:alpha val="90000"/>
      </a:schemeClr>
    </dgm:fillClrLst>
    <dgm:linClrLst>
      <a:schemeClr val="accent3"/>
    </dgm:linClrLst>
    <dgm:effectClrLst/>
    <dgm:txLinClrLst/>
    <dgm:txFillClrLst meth="repeat">
      <a:schemeClr val="dk1"/>
    </dgm:txFillClrLst>
    <dgm:txEffectClrLst/>
  </dgm:styleLbl>
  <dgm:styleLbl name="fgAcc4">
    <dgm:fillClrLst meth="repeat">
      <a:schemeClr val="lt1">
        <a:alpha val="90000"/>
      </a:schemeClr>
    </dgm:fillClrLst>
    <dgm:linClrLst>
      <a:schemeClr val="accent4"/>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214CB41C-7DC8-46A2-AD35-11B815DA581B}" type="doc">
      <dgm:prSet loTypeId="urn:microsoft.com/office/officeart/2005/8/layout/target1" loCatId="relationship" qsTypeId="urn:microsoft.com/office/officeart/2005/8/quickstyle/3d6#2" qsCatId="3D" csTypeId="urn:microsoft.com/office/officeart/2005/8/colors/colorful1#3" csCatId="colorful" phldr="1"/>
      <dgm:spPr/>
    </dgm:pt>
    <dgm:pt modelId="{25EA7D6E-99F1-4462-B118-CD7F631F49DB}">
      <dgm:prSet phldrT="[Texte]"/>
      <dgm:spPr/>
      <dgm:t>
        <a:bodyPr/>
        <a:lstStyle/>
        <a:p>
          <a:r>
            <a:rPr lang="fr-FR"/>
            <a:t>garniture</a:t>
          </a:r>
        </a:p>
      </dgm:t>
    </dgm:pt>
    <dgm:pt modelId="{C54227E8-A1AC-4B33-A6D7-03C8C22EC5E9}" type="parTrans" cxnId="{5C706EF4-AFD2-4C44-BD03-3F7A7322A399}">
      <dgm:prSet/>
      <dgm:spPr/>
      <dgm:t>
        <a:bodyPr/>
        <a:lstStyle/>
        <a:p>
          <a:endParaRPr lang="fr-FR"/>
        </a:p>
      </dgm:t>
    </dgm:pt>
    <dgm:pt modelId="{8951920F-9618-44FC-94BD-50DA86F9EC65}" type="sibTrans" cxnId="{5C706EF4-AFD2-4C44-BD03-3F7A7322A399}">
      <dgm:prSet/>
      <dgm:spPr/>
      <dgm:t>
        <a:bodyPr/>
        <a:lstStyle/>
        <a:p>
          <a:endParaRPr lang="fr-FR"/>
        </a:p>
      </dgm:t>
    </dgm:pt>
    <dgm:pt modelId="{2DFB2CD0-6288-49B7-9A82-33943972DFBD}">
      <dgm:prSet phldrT="[Texte]"/>
      <dgm:spPr/>
      <dgm:t>
        <a:bodyPr/>
        <a:lstStyle/>
        <a:p>
          <a:r>
            <a:rPr lang="fr-FR"/>
            <a:t>appareil</a:t>
          </a:r>
        </a:p>
      </dgm:t>
    </dgm:pt>
    <dgm:pt modelId="{5AA3C0EA-9D6F-4303-8878-84FF02FFA866}" type="parTrans" cxnId="{360E47DC-E8AE-4906-B6D7-E528EC78DD8E}">
      <dgm:prSet/>
      <dgm:spPr/>
      <dgm:t>
        <a:bodyPr/>
        <a:lstStyle/>
        <a:p>
          <a:endParaRPr lang="fr-FR"/>
        </a:p>
      </dgm:t>
    </dgm:pt>
    <dgm:pt modelId="{CE9F76BE-ABDA-4D02-B8E7-628DB792F2AD}" type="sibTrans" cxnId="{360E47DC-E8AE-4906-B6D7-E528EC78DD8E}">
      <dgm:prSet/>
      <dgm:spPr/>
      <dgm:t>
        <a:bodyPr/>
        <a:lstStyle/>
        <a:p>
          <a:endParaRPr lang="fr-FR"/>
        </a:p>
      </dgm:t>
    </dgm:pt>
    <dgm:pt modelId="{39FAD670-BEE5-4DEC-810E-735C4DC1D039}">
      <dgm:prSet phldrT="[Texte]"/>
      <dgm:spPr/>
      <dgm:t>
        <a:bodyPr/>
        <a:lstStyle/>
        <a:p>
          <a:r>
            <a:rPr lang="fr-FR"/>
            <a:t>pate</a:t>
          </a:r>
        </a:p>
      </dgm:t>
    </dgm:pt>
    <dgm:pt modelId="{4EA035D7-ABB3-4A1A-A1AC-C84A9E89777E}" type="parTrans" cxnId="{4D1CC472-0C59-42CA-B556-E995FCA8C83F}">
      <dgm:prSet/>
      <dgm:spPr/>
      <dgm:t>
        <a:bodyPr/>
        <a:lstStyle/>
        <a:p>
          <a:endParaRPr lang="fr-FR"/>
        </a:p>
      </dgm:t>
    </dgm:pt>
    <dgm:pt modelId="{7198B2D1-F2EC-47D7-8D3B-417A07A01CFD}" type="sibTrans" cxnId="{4D1CC472-0C59-42CA-B556-E995FCA8C83F}">
      <dgm:prSet/>
      <dgm:spPr/>
      <dgm:t>
        <a:bodyPr/>
        <a:lstStyle/>
        <a:p>
          <a:endParaRPr lang="fr-FR"/>
        </a:p>
      </dgm:t>
    </dgm:pt>
    <dgm:pt modelId="{9D7DD4FB-464F-4BC0-AEC6-9816758D0E6D}" type="pres">
      <dgm:prSet presAssocID="{214CB41C-7DC8-46A2-AD35-11B815DA581B}" presName="composite" presStyleCnt="0">
        <dgm:presLayoutVars>
          <dgm:chMax val="5"/>
          <dgm:dir/>
          <dgm:resizeHandles val="exact"/>
        </dgm:presLayoutVars>
      </dgm:prSet>
      <dgm:spPr/>
    </dgm:pt>
    <dgm:pt modelId="{9F6578EC-0EA8-494C-ABE2-36BAEE9A18C4}" type="pres">
      <dgm:prSet presAssocID="{25EA7D6E-99F1-4462-B118-CD7F631F49DB}" presName="circle1" presStyleLbl="lnNode1" presStyleIdx="0" presStyleCnt="3" custScaleX="300926" custScaleY="284723" custLinFactNeighborX="17602" custLinFactNeighborY="35204"/>
      <dgm:spPr/>
    </dgm:pt>
    <dgm:pt modelId="{E9A320C5-9217-4BD7-9125-9DF9912C1300}" type="pres">
      <dgm:prSet presAssocID="{25EA7D6E-99F1-4462-B118-CD7F631F49DB}" presName="text1" presStyleLbl="revTx" presStyleIdx="0" presStyleCnt="3">
        <dgm:presLayoutVars>
          <dgm:bulletEnabled val="1"/>
        </dgm:presLayoutVars>
      </dgm:prSet>
      <dgm:spPr/>
    </dgm:pt>
    <dgm:pt modelId="{F0071ECC-22C7-4606-A1DC-EECA13F7ED1C}" type="pres">
      <dgm:prSet presAssocID="{25EA7D6E-99F1-4462-B118-CD7F631F49DB}" presName="line1" presStyleLbl="callout" presStyleIdx="0" presStyleCnt="6"/>
      <dgm:spPr/>
    </dgm:pt>
    <dgm:pt modelId="{3DD5EF9D-7C8B-46F9-9947-1A2E8E3674C2}" type="pres">
      <dgm:prSet presAssocID="{25EA7D6E-99F1-4462-B118-CD7F631F49DB}" presName="d1" presStyleLbl="callout" presStyleIdx="1" presStyleCnt="6"/>
      <dgm:spPr/>
    </dgm:pt>
    <dgm:pt modelId="{D1190DAD-5841-4615-998E-900BFF221814}" type="pres">
      <dgm:prSet presAssocID="{2DFB2CD0-6288-49B7-9A82-33943972DFBD}" presName="circle2" presStyleLbl="lnNode1" presStyleIdx="1" presStyleCnt="3" custScaleX="157407" custScaleY="156636"/>
      <dgm:spPr/>
    </dgm:pt>
    <dgm:pt modelId="{ED7C3A72-918F-4DBA-8C27-EBF5DF84000B}" type="pres">
      <dgm:prSet presAssocID="{2DFB2CD0-6288-49B7-9A82-33943972DFBD}" presName="text2" presStyleLbl="revTx" presStyleIdx="1" presStyleCnt="3">
        <dgm:presLayoutVars>
          <dgm:bulletEnabled val="1"/>
        </dgm:presLayoutVars>
      </dgm:prSet>
      <dgm:spPr/>
    </dgm:pt>
    <dgm:pt modelId="{A4D86D11-9E63-437A-A30B-93AF2E24557B}" type="pres">
      <dgm:prSet presAssocID="{2DFB2CD0-6288-49B7-9A82-33943972DFBD}" presName="line2" presStyleLbl="callout" presStyleIdx="2" presStyleCnt="6"/>
      <dgm:spPr/>
    </dgm:pt>
    <dgm:pt modelId="{A6F30462-8FBB-4858-BB15-629689765207}" type="pres">
      <dgm:prSet presAssocID="{2DFB2CD0-6288-49B7-9A82-33943972DFBD}" presName="d2" presStyleLbl="callout" presStyleIdx="3" presStyleCnt="6"/>
      <dgm:spPr/>
    </dgm:pt>
    <dgm:pt modelId="{BE22EF5A-D512-4CCB-9ACA-0274A5AFAA68}" type="pres">
      <dgm:prSet presAssocID="{39FAD670-BEE5-4DEC-810E-735C4DC1D039}" presName="circle3" presStyleLbl="lnNode1" presStyleIdx="2" presStyleCnt="3" custLinFactNeighborX="1760" custLinFactNeighborY="-5281"/>
      <dgm:spPr/>
    </dgm:pt>
    <dgm:pt modelId="{14F73FC4-6E68-476D-9180-080210AE3637}" type="pres">
      <dgm:prSet presAssocID="{39FAD670-BEE5-4DEC-810E-735C4DC1D039}" presName="text3" presStyleLbl="revTx" presStyleIdx="2" presStyleCnt="3" custLinFactNeighborX="-99133" custLinFactNeighborY="-6798">
        <dgm:presLayoutVars>
          <dgm:bulletEnabled val="1"/>
        </dgm:presLayoutVars>
      </dgm:prSet>
      <dgm:spPr/>
    </dgm:pt>
    <dgm:pt modelId="{D78CABE5-3F06-4918-8B9F-95537A2E4443}" type="pres">
      <dgm:prSet presAssocID="{39FAD670-BEE5-4DEC-810E-735C4DC1D039}" presName="line3" presStyleLbl="callout" presStyleIdx="4" presStyleCnt="6"/>
      <dgm:spPr/>
    </dgm:pt>
    <dgm:pt modelId="{CCF735EC-3542-4286-ADA4-38059AC52901}" type="pres">
      <dgm:prSet presAssocID="{39FAD670-BEE5-4DEC-810E-735C4DC1D039}" presName="d3" presStyleLbl="callout" presStyleIdx="5" presStyleCnt="6" custFlipVert="1" custFlipHor="1" custScaleX="33894" custScaleY="23491" custLinFactNeighborX="36384" custLinFactNeighborY="-38715"/>
      <dgm:spPr/>
    </dgm:pt>
  </dgm:ptLst>
  <dgm:cxnLst>
    <dgm:cxn modelId="{316C6969-96A9-4871-BA07-AE36B6A4B7D6}" type="presOf" srcId="{2DFB2CD0-6288-49B7-9A82-33943972DFBD}" destId="{ED7C3A72-918F-4DBA-8C27-EBF5DF84000B}" srcOrd="0" destOrd="0" presId="urn:microsoft.com/office/officeart/2005/8/layout/target1"/>
    <dgm:cxn modelId="{7235646A-18A9-415A-9FC0-CCAEAADCEFD8}" type="presOf" srcId="{39FAD670-BEE5-4DEC-810E-735C4DC1D039}" destId="{14F73FC4-6E68-476D-9180-080210AE3637}" srcOrd="0" destOrd="0" presId="urn:microsoft.com/office/officeart/2005/8/layout/target1"/>
    <dgm:cxn modelId="{4D1CC472-0C59-42CA-B556-E995FCA8C83F}" srcId="{214CB41C-7DC8-46A2-AD35-11B815DA581B}" destId="{39FAD670-BEE5-4DEC-810E-735C4DC1D039}" srcOrd="2" destOrd="0" parTransId="{4EA035D7-ABB3-4A1A-A1AC-C84A9E89777E}" sibTransId="{7198B2D1-F2EC-47D7-8D3B-417A07A01CFD}"/>
    <dgm:cxn modelId="{7506BDB9-57C0-4DD7-B5E5-AF8852734A1D}" type="presOf" srcId="{25EA7D6E-99F1-4462-B118-CD7F631F49DB}" destId="{E9A320C5-9217-4BD7-9125-9DF9912C1300}" srcOrd="0" destOrd="0" presId="urn:microsoft.com/office/officeart/2005/8/layout/target1"/>
    <dgm:cxn modelId="{360E47DC-E8AE-4906-B6D7-E528EC78DD8E}" srcId="{214CB41C-7DC8-46A2-AD35-11B815DA581B}" destId="{2DFB2CD0-6288-49B7-9A82-33943972DFBD}" srcOrd="1" destOrd="0" parTransId="{5AA3C0EA-9D6F-4303-8878-84FF02FFA866}" sibTransId="{CE9F76BE-ABDA-4D02-B8E7-628DB792F2AD}"/>
    <dgm:cxn modelId="{1FD977EC-8F32-4C9B-81C7-BA17BF7A14D0}" type="presOf" srcId="{214CB41C-7DC8-46A2-AD35-11B815DA581B}" destId="{9D7DD4FB-464F-4BC0-AEC6-9816758D0E6D}" srcOrd="0" destOrd="0" presId="urn:microsoft.com/office/officeart/2005/8/layout/target1"/>
    <dgm:cxn modelId="{5C706EF4-AFD2-4C44-BD03-3F7A7322A399}" srcId="{214CB41C-7DC8-46A2-AD35-11B815DA581B}" destId="{25EA7D6E-99F1-4462-B118-CD7F631F49DB}" srcOrd="0" destOrd="0" parTransId="{C54227E8-A1AC-4B33-A6D7-03C8C22EC5E9}" sibTransId="{8951920F-9618-44FC-94BD-50DA86F9EC65}"/>
    <dgm:cxn modelId="{9F6BCFE7-CBF3-45B8-BBD8-D4FF8F24D83B}" type="presParOf" srcId="{9D7DD4FB-464F-4BC0-AEC6-9816758D0E6D}" destId="{9F6578EC-0EA8-494C-ABE2-36BAEE9A18C4}" srcOrd="0" destOrd="0" presId="urn:microsoft.com/office/officeart/2005/8/layout/target1"/>
    <dgm:cxn modelId="{A100FF78-EE8C-4487-8204-5BDA5EC683BB}" type="presParOf" srcId="{9D7DD4FB-464F-4BC0-AEC6-9816758D0E6D}" destId="{E9A320C5-9217-4BD7-9125-9DF9912C1300}" srcOrd="1" destOrd="0" presId="urn:microsoft.com/office/officeart/2005/8/layout/target1"/>
    <dgm:cxn modelId="{BE9909A7-1369-4A8A-A81E-98AA57BDFA82}" type="presParOf" srcId="{9D7DD4FB-464F-4BC0-AEC6-9816758D0E6D}" destId="{F0071ECC-22C7-4606-A1DC-EECA13F7ED1C}" srcOrd="2" destOrd="0" presId="urn:microsoft.com/office/officeart/2005/8/layout/target1"/>
    <dgm:cxn modelId="{B8D85A26-D8E9-4F0F-9821-9DFE6BC17BF1}" type="presParOf" srcId="{9D7DD4FB-464F-4BC0-AEC6-9816758D0E6D}" destId="{3DD5EF9D-7C8B-46F9-9947-1A2E8E3674C2}" srcOrd="3" destOrd="0" presId="urn:microsoft.com/office/officeart/2005/8/layout/target1"/>
    <dgm:cxn modelId="{2A248D66-87C9-4D97-BDB7-C027009DDA14}" type="presParOf" srcId="{9D7DD4FB-464F-4BC0-AEC6-9816758D0E6D}" destId="{D1190DAD-5841-4615-998E-900BFF221814}" srcOrd="4" destOrd="0" presId="urn:microsoft.com/office/officeart/2005/8/layout/target1"/>
    <dgm:cxn modelId="{EBDA7410-B5CA-44B2-8235-15B1832BA843}" type="presParOf" srcId="{9D7DD4FB-464F-4BC0-AEC6-9816758D0E6D}" destId="{ED7C3A72-918F-4DBA-8C27-EBF5DF84000B}" srcOrd="5" destOrd="0" presId="urn:microsoft.com/office/officeart/2005/8/layout/target1"/>
    <dgm:cxn modelId="{79896A76-3E30-4E91-AF4F-6AAFEA5E9B8B}" type="presParOf" srcId="{9D7DD4FB-464F-4BC0-AEC6-9816758D0E6D}" destId="{A4D86D11-9E63-437A-A30B-93AF2E24557B}" srcOrd="6" destOrd="0" presId="urn:microsoft.com/office/officeart/2005/8/layout/target1"/>
    <dgm:cxn modelId="{FDA9FD70-1E7B-4D7A-A79D-51811A73B39C}" type="presParOf" srcId="{9D7DD4FB-464F-4BC0-AEC6-9816758D0E6D}" destId="{A6F30462-8FBB-4858-BB15-629689765207}" srcOrd="7" destOrd="0" presId="urn:microsoft.com/office/officeart/2005/8/layout/target1"/>
    <dgm:cxn modelId="{40E8C6B3-92D7-435D-980B-369DC389B9EF}" type="presParOf" srcId="{9D7DD4FB-464F-4BC0-AEC6-9816758D0E6D}" destId="{BE22EF5A-D512-4CCB-9ACA-0274A5AFAA68}" srcOrd="8" destOrd="0" presId="urn:microsoft.com/office/officeart/2005/8/layout/target1"/>
    <dgm:cxn modelId="{51F426DF-7578-480C-BA7F-0FDCB4FC7B63}" type="presParOf" srcId="{9D7DD4FB-464F-4BC0-AEC6-9816758D0E6D}" destId="{14F73FC4-6E68-476D-9180-080210AE3637}" srcOrd="9" destOrd="0" presId="urn:microsoft.com/office/officeart/2005/8/layout/target1"/>
    <dgm:cxn modelId="{964F7FF8-7250-4665-AF7F-6AB66AEBD7AC}" type="presParOf" srcId="{9D7DD4FB-464F-4BC0-AEC6-9816758D0E6D}" destId="{D78CABE5-3F06-4918-8B9F-95537A2E4443}" srcOrd="10" destOrd="0" presId="urn:microsoft.com/office/officeart/2005/8/layout/target1"/>
    <dgm:cxn modelId="{2B01513D-6891-49E3-A106-3D1226995830}" type="presParOf" srcId="{9D7DD4FB-464F-4BC0-AEC6-9816758D0E6D}" destId="{CCF735EC-3542-4286-ADA4-38059AC52901}" srcOrd="11" destOrd="0" presId="urn:microsoft.com/office/officeart/2005/8/layout/target1"/>
  </dgm:cxnLst>
  <dgm:bg/>
  <dgm:whole/>
  <dgm:extLst>
    <a:ext uri="http://schemas.microsoft.com/office/drawing/2008/diagram">
      <dsp:dataModelExt xmlns:dsp="http://schemas.microsoft.com/office/drawing/2008/diagram" relId="rId23"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214CB41C-7DC8-46A2-AD35-11B815DA581B}" type="doc">
      <dgm:prSet loTypeId="urn:microsoft.com/office/officeart/2005/8/layout/target1" loCatId="relationship" qsTypeId="urn:microsoft.com/office/officeart/2005/8/quickstyle/3d6#3" qsCatId="3D" csTypeId="urn:microsoft.com/office/officeart/2005/8/colors/colorful1#4" csCatId="colorful" phldr="1"/>
      <dgm:spPr/>
    </dgm:pt>
    <dgm:pt modelId="{25EA7D6E-99F1-4462-B118-CD7F631F49DB}">
      <dgm:prSet phldrT="[Texte]"/>
      <dgm:spPr/>
      <dgm:t>
        <a:bodyPr/>
        <a:lstStyle/>
        <a:p>
          <a:r>
            <a:rPr lang="fr-FR"/>
            <a:t>garniture</a:t>
          </a:r>
        </a:p>
      </dgm:t>
    </dgm:pt>
    <dgm:pt modelId="{C54227E8-A1AC-4B33-A6D7-03C8C22EC5E9}" type="parTrans" cxnId="{5C706EF4-AFD2-4C44-BD03-3F7A7322A399}">
      <dgm:prSet/>
      <dgm:spPr/>
      <dgm:t>
        <a:bodyPr/>
        <a:lstStyle/>
        <a:p>
          <a:endParaRPr lang="fr-FR"/>
        </a:p>
      </dgm:t>
    </dgm:pt>
    <dgm:pt modelId="{8951920F-9618-44FC-94BD-50DA86F9EC65}" type="sibTrans" cxnId="{5C706EF4-AFD2-4C44-BD03-3F7A7322A399}">
      <dgm:prSet/>
      <dgm:spPr/>
      <dgm:t>
        <a:bodyPr/>
        <a:lstStyle/>
        <a:p>
          <a:endParaRPr lang="fr-FR"/>
        </a:p>
      </dgm:t>
    </dgm:pt>
    <dgm:pt modelId="{2DFB2CD0-6288-49B7-9A82-33943972DFBD}">
      <dgm:prSet phldrT="[Texte]"/>
      <dgm:spPr/>
      <dgm:t>
        <a:bodyPr/>
        <a:lstStyle/>
        <a:p>
          <a:r>
            <a:rPr lang="fr-FR"/>
            <a:t>appareil</a:t>
          </a:r>
        </a:p>
      </dgm:t>
    </dgm:pt>
    <dgm:pt modelId="{5AA3C0EA-9D6F-4303-8878-84FF02FFA866}" type="parTrans" cxnId="{360E47DC-E8AE-4906-B6D7-E528EC78DD8E}">
      <dgm:prSet/>
      <dgm:spPr/>
      <dgm:t>
        <a:bodyPr/>
        <a:lstStyle/>
        <a:p>
          <a:endParaRPr lang="fr-FR"/>
        </a:p>
      </dgm:t>
    </dgm:pt>
    <dgm:pt modelId="{CE9F76BE-ABDA-4D02-B8E7-628DB792F2AD}" type="sibTrans" cxnId="{360E47DC-E8AE-4906-B6D7-E528EC78DD8E}">
      <dgm:prSet/>
      <dgm:spPr/>
      <dgm:t>
        <a:bodyPr/>
        <a:lstStyle/>
        <a:p>
          <a:endParaRPr lang="fr-FR"/>
        </a:p>
      </dgm:t>
    </dgm:pt>
    <dgm:pt modelId="{39FAD670-BEE5-4DEC-810E-735C4DC1D039}">
      <dgm:prSet phldrT="[Texte]"/>
      <dgm:spPr/>
      <dgm:t>
        <a:bodyPr/>
        <a:lstStyle/>
        <a:p>
          <a:r>
            <a:rPr lang="fr-FR"/>
            <a:t>pate</a:t>
          </a:r>
        </a:p>
      </dgm:t>
    </dgm:pt>
    <dgm:pt modelId="{4EA035D7-ABB3-4A1A-A1AC-C84A9E89777E}" type="parTrans" cxnId="{4D1CC472-0C59-42CA-B556-E995FCA8C83F}">
      <dgm:prSet/>
      <dgm:spPr/>
      <dgm:t>
        <a:bodyPr/>
        <a:lstStyle/>
        <a:p>
          <a:endParaRPr lang="fr-FR"/>
        </a:p>
      </dgm:t>
    </dgm:pt>
    <dgm:pt modelId="{7198B2D1-F2EC-47D7-8D3B-417A07A01CFD}" type="sibTrans" cxnId="{4D1CC472-0C59-42CA-B556-E995FCA8C83F}">
      <dgm:prSet/>
      <dgm:spPr/>
      <dgm:t>
        <a:bodyPr/>
        <a:lstStyle/>
        <a:p>
          <a:endParaRPr lang="fr-FR"/>
        </a:p>
      </dgm:t>
    </dgm:pt>
    <dgm:pt modelId="{9D7DD4FB-464F-4BC0-AEC6-9816758D0E6D}" type="pres">
      <dgm:prSet presAssocID="{214CB41C-7DC8-46A2-AD35-11B815DA581B}" presName="composite" presStyleCnt="0">
        <dgm:presLayoutVars>
          <dgm:chMax val="5"/>
          <dgm:dir/>
          <dgm:resizeHandles val="exact"/>
        </dgm:presLayoutVars>
      </dgm:prSet>
      <dgm:spPr/>
    </dgm:pt>
    <dgm:pt modelId="{9F6578EC-0EA8-494C-ABE2-36BAEE9A18C4}" type="pres">
      <dgm:prSet presAssocID="{25EA7D6E-99F1-4462-B118-CD7F631F49DB}" presName="circle1" presStyleLbl="lnNode1" presStyleIdx="0" presStyleCnt="3" custScaleX="300926" custScaleY="284723" custLinFactNeighborX="17602" custLinFactNeighborY="35204"/>
      <dgm:spPr/>
    </dgm:pt>
    <dgm:pt modelId="{E9A320C5-9217-4BD7-9125-9DF9912C1300}" type="pres">
      <dgm:prSet presAssocID="{25EA7D6E-99F1-4462-B118-CD7F631F49DB}" presName="text1" presStyleLbl="revTx" presStyleIdx="0" presStyleCnt="3">
        <dgm:presLayoutVars>
          <dgm:bulletEnabled val="1"/>
        </dgm:presLayoutVars>
      </dgm:prSet>
      <dgm:spPr/>
    </dgm:pt>
    <dgm:pt modelId="{F0071ECC-22C7-4606-A1DC-EECA13F7ED1C}" type="pres">
      <dgm:prSet presAssocID="{25EA7D6E-99F1-4462-B118-CD7F631F49DB}" presName="line1" presStyleLbl="callout" presStyleIdx="0" presStyleCnt="6"/>
      <dgm:spPr/>
    </dgm:pt>
    <dgm:pt modelId="{3DD5EF9D-7C8B-46F9-9947-1A2E8E3674C2}" type="pres">
      <dgm:prSet presAssocID="{25EA7D6E-99F1-4462-B118-CD7F631F49DB}" presName="d1" presStyleLbl="callout" presStyleIdx="1" presStyleCnt="6"/>
      <dgm:spPr/>
    </dgm:pt>
    <dgm:pt modelId="{D1190DAD-5841-4615-998E-900BFF221814}" type="pres">
      <dgm:prSet presAssocID="{2DFB2CD0-6288-49B7-9A82-33943972DFBD}" presName="circle2" presStyleLbl="lnNode1" presStyleIdx="1" presStyleCnt="3" custScaleX="157407" custScaleY="156636"/>
      <dgm:spPr/>
    </dgm:pt>
    <dgm:pt modelId="{ED7C3A72-918F-4DBA-8C27-EBF5DF84000B}" type="pres">
      <dgm:prSet presAssocID="{2DFB2CD0-6288-49B7-9A82-33943972DFBD}" presName="text2" presStyleLbl="revTx" presStyleIdx="1" presStyleCnt="3">
        <dgm:presLayoutVars>
          <dgm:bulletEnabled val="1"/>
        </dgm:presLayoutVars>
      </dgm:prSet>
      <dgm:spPr/>
    </dgm:pt>
    <dgm:pt modelId="{A4D86D11-9E63-437A-A30B-93AF2E24557B}" type="pres">
      <dgm:prSet presAssocID="{2DFB2CD0-6288-49B7-9A82-33943972DFBD}" presName="line2" presStyleLbl="callout" presStyleIdx="2" presStyleCnt="6"/>
      <dgm:spPr/>
    </dgm:pt>
    <dgm:pt modelId="{A6F30462-8FBB-4858-BB15-629689765207}" type="pres">
      <dgm:prSet presAssocID="{2DFB2CD0-6288-49B7-9A82-33943972DFBD}" presName="d2" presStyleLbl="callout" presStyleIdx="3" presStyleCnt="6"/>
      <dgm:spPr/>
    </dgm:pt>
    <dgm:pt modelId="{BE22EF5A-D512-4CCB-9ACA-0274A5AFAA68}" type="pres">
      <dgm:prSet presAssocID="{39FAD670-BEE5-4DEC-810E-735C4DC1D039}" presName="circle3" presStyleLbl="lnNode1" presStyleIdx="2" presStyleCnt="3" custLinFactNeighborX="1760" custLinFactNeighborY="-5281"/>
      <dgm:spPr/>
    </dgm:pt>
    <dgm:pt modelId="{14F73FC4-6E68-476D-9180-080210AE3637}" type="pres">
      <dgm:prSet presAssocID="{39FAD670-BEE5-4DEC-810E-735C4DC1D039}" presName="text3" presStyleLbl="revTx" presStyleIdx="2" presStyleCnt="3" custLinFactNeighborX="-99133" custLinFactNeighborY="-6798">
        <dgm:presLayoutVars>
          <dgm:bulletEnabled val="1"/>
        </dgm:presLayoutVars>
      </dgm:prSet>
      <dgm:spPr/>
    </dgm:pt>
    <dgm:pt modelId="{D78CABE5-3F06-4918-8B9F-95537A2E4443}" type="pres">
      <dgm:prSet presAssocID="{39FAD670-BEE5-4DEC-810E-735C4DC1D039}" presName="line3" presStyleLbl="callout" presStyleIdx="4" presStyleCnt="6"/>
      <dgm:spPr/>
    </dgm:pt>
    <dgm:pt modelId="{CCF735EC-3542-4286-ADA4-38059AC52901}" type="pres">
      <dgm:prSet presAssocID="{39FAD670-BEE5-4DEC-810E-735C4DC1D039}" presName="d3" presStyleLbl="callout" presStyleIdx="5" presStyleCnt="6" custFlipVert="1" custFlipHor="1" custScaleX="33894" custScaleY="23491" custLinFactNeighborX="36384" custLinFactNeighborY="-38715"/>
      <dgm:spPr/>
    </dgm:pt>
  </dgm:ptLst>
  <dgm:cxnLst>
    <dgm:cxn modelId="{BAAA2018-1343-4473-9D21-E930932679E9}" type="presOf" srcId="{25EA7D6E-99F1-4462-B118-CD7F631F49DB}" destId="{E9A320C5-9217-4BD7-9125-9DF9912C1300}" srcOrd="0" destOrd="0" presId="urn:microsoft.com/office/officeart/2005/8/layout/target1"/>
    <dgm:cxn modelId="{FC08012A-7585-441C-838B-9C8192D5CD01}" type="presOf" srcId="{2DFB2CD0-6288-49B7-9A82-33943972DFBD}" destId="{ED7C3A72-918F-4DBA-8C27-EBF5DF84000B}" srcOrd="0" destOrd="0" presId="urn:microsoft.com/office/officeart/2005/8/layout/target1"/>
    <dgm:cxn modelId="{91F83835-9289-4A8D-B252-AE78D844F29D}" type="presOf" srcId="{39FAD670-BEE5-4DEC-810E-735C4DC1D039}" destId="{14F73FC4-6E68-476D-9180-080210AE3637}" srcOrd="0" destOrd="0" presId="urn:microsoft.com/office/officeart/2005/8/layout/target1"/>
    <dgm:cxn modelId="{4D1CC472-0C59-42CA-B556-E995FCA8C83F}" srcId="{214CB41C-7DC8-46A2-AD35-11B815DA581B}" destId="{39FAD670-BEE5-4DEC-810E-735C4DC1D039}" srcOrd="2" destOrd="0" parTransId="{4EA035D7-ABB3-4A1A-A1AC-C84A9E89777E}" sibTransId="{7198B2D1-F2EC-47D7-8D3B-417A07A01CFD}"/>
    <dgm:cxn modelId="{6B9E34A1-A29E-4881-BC0A-3DC8E0FD2E88}" type="presOf" srcId="{214CB41C-7DC8-46A2-AD35-11B815DA581B}" destId="{9D7DD4FB-464F-4BC0-AEC6-9816758D0E6D}" srcOrd="0" destOrd="0" presId="urn:microsoft.com/office/officeart/2005/8/layout/target1"/>
    <dgm:cxn modelId="{360E47DC-E8AE-4906-B6D7-E528EC78DD8E}" srcId="{214CB41C-7DC8-46A2-AD35-11B815DA581B}" destId="{2DFB2CD0-6288-49B7-9A82-33943972DFBD}" srcOrd="1" destOrd="0" parTransId="{5AA3C0EA-9D6F-4303-8878-84FF02FFA866}" sibTransId="{CE9F76BE-ABDA-4D02-B8E7-628DB792F2AD}"/>
    <dgm:cxn modelId="{5C706EF4-AFD2-4C44-BD03-3F7A7322A399}" srcId="{214CB41C-7DC8-46A2-AD35-11B815DA581B}" destId="{25EA7D6E-99F1-4462-B118-CD7F631F49DB}" srcOrd="0" destOrd="0" parTransId="{C54227E8-A1AC-4B33-A6D7-03C8C22EC5E9}" sibTransId="{8951920F-9618-44FC-94BD-50DA86F9EC65}"/>
    <dgm:cxn modelId="{5405E420-3D8B-400C-9166-31654B0B86E2}" type="presParOf" srcId="{9D7DD4FB-464F-4BC0-AEC6-9816758D0E6D}" destId="{9F6578EC-0EA8-494C-ABE2-36BAEE9A18C4}" srcOrd="0" destOrd="0" presId="urn:microsoft.com/office/officeart/2005/8/layout/target1"/>
    <dgm:cxn modelId="{15843E47-62D6-42FB-B61B-E9661FA4103B}" type="presParOf" srcId="{9D7DD4FB-464F-4BC0-AEC6-9816758D0E6D}" destId="{E9A320C5-9217-4BD7-9125-9DF9912C1300}" srcOrd="1" destOrd="0" presId="urn:microsoft.com/office/officeart/2005/8/layout/target1"/>
    <dgm:cxn modelId="{F1F06408-ACED-49A9-B403-3906CB7E74EE}" type="presParOf" srcId="{9D7DD4FB-464F-4BC0-AEC6-9816758D0E6D}" destId="{F0071ECC-22C7-4606-A1DC-EECA13F7ED1C}" srcOrd="2" destOrd="0" presId="urn:microsoft.com/office/officeart/2005/8/layout/target1"/>
    <dgm:cxn modelId="{07ED5EC4-7C2B-4428-A13A-1848FA264D7B}" type="presParOf" srcId="{9D7DD4FB-464F-4BC0-AEC6-9816758D0E6D}" destId="{3DD5EF9D-7C8B-46F9-9947-1A2E8E3674C2}" srcOrd="3" destOrd="0" presId="urn:microsoft.com/office/officeart/2005/8/layout/target1"/>
    <dgm:cxn modelId="{DF2C3277-1FBA-4A6C-B611-195D2A1FA2A0}" type="presParOf" srcId="{9D7DD4FB-464F-4BC0-AEC6-9816758D0E6D}" destId="{D1190DAD-5841-4615-998E-900BFF221814}" srcOrd="4" destOrd="0" presId="urn:microsoft.com/office/officeart/2005/8/layout/target1"/>
    <dgm:cxn modelId="{6202992F-9AC2-4FE4-8629-10F579FFAE11}" type="presParOf" srcId="{9D7DD4FB-464F-4BC0-AEC6-9816758D0E6D}" destId="{ED7C3A72-918F-4DBA-8C27-EBF5DF84000B}" srcOrd="5" destOrd="0" presId="urn:microsoft.com/office/officeart/2005/8/layout/target1"/>
    <dgm:cxn modelId="{E271C101-F171-4D13-8684-1DB2943CC90E}" type="presParOf" srcId="{9D7DD4FB-464F-4BC0-AEC6-9816758D0E6D}" destId="{A4D86D11-9E63-437A-A30B-93AF2E24557B}" srcOrd="6" destOrd="0" presId="urn:microsoft.com/office/officeart/2005/8/layout/target1"/>
    <dgm:cxn modelId="{61A19CF0-2EC2-4BE7-8747-702DF8C182E9}" type="presParOf" srcId="{9D7DD4FB-464F-4BC0-AEC6-9816758D0E6D}" destId="{A6F30462-8FBB-4858-BB15-629689765207}" srcOrd="7" destOrd="0" presId="urn:microsoft.com/office/officeart/2005/8/layout/target1"/>
    <dgm:cxn modelId="{9A14BAB0-BB23-4982-9CF7-AE0E5D769589}" type="presParOf" srcId="{9D7DD4FB-464F-4BC0-AEC6-9816758D0E6D}" destId="{BE22EF5A-D512-4CCB-9ACA-0274A5AFAA68}" srcOrd="8" destOrd="0" presId="urn:microsoft.com/office/officeart/2005/8/layout/target1"/>
    <dgm:cxn modelId="{FC2A3279-BA9D-4F35-95D6-4E22CE6AD6BC}" type="presParOf" srcId="{9D7DD4FB-464F-4BC0-AEC6-9816758D0E6D}" destId="{14F73FC4-6E68-476D-9180-080210AE3637}" srcOrd="9" destOrd="0" presId="urn:microsoft.com/office/officeart/2005/8/layout/target1"/>
    <dgm:cxn modelId="{D4F9D334-474B-49DD-9BB0-2BBA698C9335}" type="presParOf" srcId="{9D7DD4FB-464F-4BC0-AEC6-9816758D0E6D}" destId="{D78CABE5-3F06-4918-8B9F-95537A2E4443}" srcOrd="10" destOrd="0" presId="urn:microsoft.com/office/officeart/2005/8/layout/target1"/>
    <dgm:cxn modelId="{47B36C34-B165-4FE0-8C27-ABD10A47139B}" type="presParOf" srcId="{9D7DD4FB-464F-4BC0-AEC6-9816758D0E6D}" destId="{CCF735EC-3542-4286-ADA4-38059AC52901}" srcOrd="11" destOrd="0" presId="urn:microsoft.com/office/officeart/2005/8/layout/target1"/>
  </dgm:cxnLst>
  <dgm:bg/>
  <dgm:whole/>
  <dgm:extLst>
    <a:ext uri="http://schemas.microsoft.com/office/drawing/2008/diagram">
      <dsp:dataModelExt xmlns:dsp="http://schemas.microsoft.com/office/drawing/2008/diagram" relId="rId23"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BE22EF5A-D512-4CCB-9ACA-0274A5AFAA68}">
      <dsp:nvSpPr>
        <dsp:cNvPr id="0" name=""/>
        <dsp:cNvSpPr/>
      </dsp:nvSpPr>
      <dsp:spPr>
        <a:xfrm>
          <a:off x="323143" y="539072"/>
          <a:ext cx="1921668" cy="1921668"/>
        </a:xfrm>
        <a:prstGeom prst="ellipse">
          <a:avLst/>
        </a:prstGeom>
        <a:solidFill>
          <a:schemeClr val="accent4">
            <a:hueOff val="0"/>
            <a:satOff val="0"/>
            <a:lumOff val="0"/>
            <a:alphaOff val="0"/>
          </a:schemeClr>
        </a:solidFill>
        <a:ln>
          <a:noFill/>
        </a:ln>
        <a:effectLst/>
        <a:sp3d prstMaterial="plastic">
          <a:bevelT w="50800" h="50800"/>
          <a:bevelB w="50800" h="50800"/>
        </a:sp3d>
      </dsp:spPr>
      <dsp:style>
        <a:lnRef idx="0">
          <a:scrgbClr r="0" g="0" b="0"/>
        </a:lnRef>
        <a:fillRef idx="1">
          <a:scrgbClr r="0" g="0" b="0"/>
        </a:fillRef>
        <a:effectRef idx="2">
          <a:scrgbClr r="0" g="0" b="0"/>
        </a:effectRef>
        <a:fontRef idx="minor">
          <a:schemeClr val="lt1"/>
        </a:fontRef>
      </dsp:style>
    </dsp:sp>
    <dsp:sp modelId="{D1190DAD-5841-4615-998E-900BFF221814}">
      <dsp:nvSpPr>
        <dsp:cNvPr id="0" name=""/>
        <dsp:cNvSpPr/>
      </dsp:nvSpPr>
      <dsp:spPr>
        <a:xfrm>
          <a:off x="342703" y="698383"/>
          <a:ext cx="1814904" cy="1806015"/>
        </a:xfrm>
        <a:prstGeom prst="ellipse">
          <a:avLst/>
        </a:prstGeom>
        <a:solidFill>
          <a:schemeClr val="accent3">
            <a:hueOff val="0"/>
            <a:satOff val="0"/>
            <a:lumOff val="0"/>
            <a:alphaOff val="0"/>
          </a:schemeClr>
        </a:solidFill>
        <a:ln>
          <a:noFill/>
        </a:ln>
        <a:effectLst/>
        <a:sp3d prstMaterial="plastic">
          <a:bevelT w="50800" h="50800"/>
          <a:bevelB w="50800" h="50800"/>
        </a:sp3d>
      </dsp:spPr>
      <dsp:style>
        <a:lnRef idx="0">
          <a:scrgbClr r="0" g="0" b="0"/>
        </a:lnRef>
        <a:fillRef idx="1">
          <a:scrgbClr r="0" g="0" b="0"/>
        </a:fillRef>
        <a:effectRef idx="2">
          <a:scrgbClr r="0" g="0" b="0"/>
        </a:effectRef>
        <a:fontRef idx="minor">
          <a:schemeClr val="lt1"/>
        </a:fontRef>
      </dsp:style>
    </dsp:sp>
    <dsp:sp modelId="{9F6578EC-0EA8-494C-ABE2-36BAEE9A18C4}">
      <dsp:nvSpPr>
        <dsp:cNvPr id="0" name=""/>
        <dsp:cNvSpPr/>
      </dsp:nvSpPr>
      <dsp:spPr>
        <a:xfrm>
          <a:off x="739526" y="1189548"/>
          <a:ext cx="1156560" cy="1094286"/>
        </a:xfrm>
        <a:prstGeom prst="ellipse">
          <a:avLst/>
        </a:prstGeom>
        <a:solidFill>
          <a:schemeClr val="accent2">
            <a:hueOff val="0"/>
            <a:satOff val="0"/>
            <a:lumOff val="0"/>
            <a:alphaOff val="0"/>
          </a:schemeClr>
        </a:solidFill>
        <a:ln>
          <a:noFill/>
        </a:ln>
        <a:effectLst/>
        <a:sp3d prstMaterial="plastic">
          <a:bevelT w="50800" h="50800"/>
          <a:bevelB w="50800" h="50800"/>
        </a:sp3d>
      </dsp:spPr>
      <dsp:style>
        <a:lnRef idx="0">
          <a:scrgbClr r="0" g="0" b="0"/>
        </a:lnRef>
        <a:fillRef idx="1">
          <a:scrgbClr r="0" g="0" b="0"/>
        </a:fillRef>
        <a:effectRef idx="2">
          <a:scrgbClr r="0" g="0" b="0"/>
        </a:effectRef>
        <a:fontRef idx="minor">
          <a:schemeClr val="lt1"/>
        </a:fontRef>
      </dsp:style>
    </dsp:sp>
    <dsp:sp modelId="{E9A320C5-9217-4BD7-9125-9DF9912C1300}">
      <dsp:nvSpPr>
        <dsp:cNvPr id="0" name=""/>
        <dsp:cNvSpPr/>
      </dsp:nvSpPr>
      <dsp:spPr>
        <a:xfrm>
          <a:off x="2531268" y="0"/>
          <a:ext cx="960834" cy="560486"/>
        </a:xfrm>
        <a:prstGeom prst="rect">
          <a:avLst/>
        </a:prstGeom>
        <a:solidFill>
          <a:schemeClr val="lt1">
            <a:alpha val="0"/>
            <a:hueOff val="0"/>
            <a:satOff val="0"/>
            <a:lumOff val="0"/>
            <a:alphaOff val="0"/>
          </a:schemeClr>
        </a:solidFill>
        <a:ln>
          <a:noFill/>
        </a:ln>
        <a:effectLst/>
      </dsp:spPr>
      <dsp:style>
        <a:lnRef idx="0">
          <a:scrgbClr r="0" g="0" b="0"/>
        </a:lnRef>
        <a:fillRef idx="1">
          <a:scrgbClr r="0" g="0" b="0"/>
        </a:fillRef>
        <a:effectRef idx="0">
          <a:scrgbClr r="0" g="0" b="0"/>
        </a:effectRef>
        <a:fontRef idx="minor"/>
      </dsp:style>
      <dsp:txBody>
        <a:bodyPr spcFirstLastPara="0" vert="horz" wrap="square" lIns="120904" tIns="21590" rIns="21590" bIns="21590" numCol="1" spcCol="1270" anchor="ctr" anchorCtr="0">
          <a:noAutofit/>
        </a:bodyPr>
        <a:lstStyle/>
        <a:p>
          <a:pPr marL="0" lvl="0" indent="0" algn="l" defTabSz="755650">
            <a:lnSpc>
              <a:spcPct val="90000"/>
            </a:lnSpc>
            <a:spcBef>
              <a:spcPct val="0"/>
            </a:spcBef>
            <a:spcAft>
              <a:spcPct val="35000"/>
            </a:spcAft>
            <a:buNone/>
          </a:pPr>
          <a:r>
            <a:rPr lang="fr-FR" sz="1700" kern="1200"/>
            <a:t>garniture</a:t>
          </a:r>
        </a:p>
      </dsp:txBody>
      <dsp:txXfrm>
        <a:off x="2531268" y="0"/>
        <a:ext cx="960834" cy="560486"/>
      </dsp:txXfrm>
    </dsp:sp>
    <dsp:sp modelId="{F0071ECC-22C7-4606-A1DC-EECA13F7ED1C}">
      <dsp:nvSpPr>
        <dsp:cNvPr id="0" name=""/>
        <dsp:cNvSpPr/>
      </dsp:nvSpPr>
      <dsp:spPr>
        <a:xfrm>
          <a:off x="2291060" y="280243"/>
          <a:ext cx="240208" cy="0"/>
        </a:xfrm>
        <a:prstGeom prst="line">
          <a:avLst/>
        </a:prstGeom>
        <a:solidFill>
          <a:schemeClr val="accent2">
            <a:hueOff val="0"/>
            <a:satOff val="0"/>
            <a:lumOff val="0"/>
            <a:alphaOff val="0"/>
          </a:schemeClr>
        </a:solidFill>
        <a:ln w="12700" cap="flat" cmpd="sng" algn="ctr">
          <a:solidFill>
            <a:schemeClr val="accent2">
              <a:tint val="50000"/>
              <a:hueOff val="0"/>
              <a:satOff val="0"/>
              <a:lumOff val="0"/>
              <a:alphaOff val="0"/>
            </a:schemeClr>
          </a:solidFill>
          <a:prstDash val="solid"/>
          <a:miter lim="800000"/>
        </a:ln>
        <a:effectLst/>
        <a:sp3d z="75000" prstMaterial="plastic"/>
      </dsp:spPr>
      <dsp:style>
        <a:lnRef idx="2">
          <a:scrgbClr r="0" g="0" b="0"/>
        </a:lnRef>
        <a:fillRef idx="1">
          <a:scrgbClr r="0" g="0" b="0"/>
        </a:fillRef>
        <a:effectRef idx="0">
          <a:scrgbClr r="0" g="0" b="0"/>
        </a:effectRef>
        <a:fontRef idx="minor"/>
      </dsp:style>
    </dsp:sp>
    <dsp:sp modelId="{3DD5EF9D-7C8B-46F9-9947-1A2E8E3674C2}">
      <dsp:nvSpPr>
        <dsp:cNvPr id="0" name=""/>
        <dsp:cNvSpPr/>
      </dsp:nvSpPr>
      <dsp:spPr>
        <a:xfrm rot="5400000">
          <a:off x="1109714" y="421005"/>
          <a:ext cx="1320826" cy="1039943"/>
        </a:xfrm>
        <a:prstGeom prst="line">
          <a:avLst/>
        </a:prstGeom>
        <a:solidFill>
          <a:schemeClr val="accent2">
            <a:hueOff val="0"/>
            <a:satOff val="0"/>
            <a:lumOff val="0"/>
            <a:alphaOff val="0"/>
          </a:schemeClr>
        </a:solidFill>
        <a:ln w="12700" cap="flat" cmpd="sng" algn="ctr">
          <a:solidFill>
            <a:schemeClr val="accent2">
              <a:tint val="50000"/>
              <a:hueOff val="0"/>
              <a:satOff val="0"/>
              <a:lumOff val="0"/>
              <a:alphaOff val="0"/>
            </a:schemeClr>
          </a:solidFill>
          <a:prstDash val="solid"/>
          <a:miter lim="800000"/>
        </a:ln>
        <a:effectLst/>
        <a:sp3d z="75000" prstMaterial="plastic"/>
      </dsp:spPr>
      <dsp:style>
        <a:lnRef idx="2">
          <a:scrgbClr r="0" g="0" b="0"/>
        </a:lnRef>
        <a:fillRef idx="1">
          <a:scrgbClr r="0" g="0" b="0"/>
        </a:fillRef>
        <a:effectRef idx="0">
          <a:scrgbClr r="0" g="0" b="0"/>
        </a:effectRef>
        <a:fontRef idx="minor"/>
      </dsp:style>
    </dsp:sp>
    <dsp:sp modelId="{ED7C3A72-918F-4DBA-8C27-EBF5DF84000B}">
      <dsp:nvSpPr>
        <dsp:cNvPr id="0" name=""/>
        <dsp:cNvSpPr/>
      </dsp:nvSpPr>
      <dsp:spPr>
        <a:xfrm>
          <a:off x="2531268" y="560486"/>
          <a:ext cx="960834" cy="560486"/>
        </a:xfrm>
        <a:prstGeom prst="rect">
          <a:avLst/>
        </a:prstGeom>
        <a:solidFill>
          <a:schemeClr val="lt1">
            <a:alpha val="0"/>
            <a:hueOff val="0"/>
            <a:satOff val="0"/>
            <a:lumOff val="0"/>
            <a:alphaOff val="0"/>
          </a:schemeClr>
        </a:solidFill>
        <a:ln>
          <a:noFill/>
        </a:ln>
        <a:effectLst/>
      </dsp:spPr>
      <dsp:style>
        <a:lnRef idx="0">
          <a:scrgbClr r="0" g="0" b="0"/>
        </a:lnRef>
        <a:fillRef idx="1">
          <a:scrgbClr r="0" g="0" b="0"/>
        </a:fillRef>
        <a:effectRef idx="0">
          <a:scrgbClr r="0" g="0" b="0"/>
        </a:effectRef>
        <a:fontRef idx="minor"/>
      </dsp:style>
      <dsp:txBody>
        <a:bodyPr spcFirstLastPara="0" vert="horz" wrap="square" lIns="120904" tIns="21590" rIns="21590" bIns="21590" numCol="1" spcCol="1270" anchor="ctr" anchorCtr="0">
          <a:noAutofit/>
        </a:bodyPr>
        <a:lstStyle/>
        <a:p>
          <a:pPr marL="0" lvl="0" indent="0" algn="l" defTabSz="755650">
            <a:lnSpc>
              <a:spcPct val="90000"/>
            </a:lnSpc>
            <a:spcBef>
              <a:spcPct val="0"/>
            </a:spcBef>
            <a:spcAft>
              <a:spcPct val="35000"/>
            </a:spcAft>
            <a:buNone/>
          </a:pPr>
          <a:r>
            <a:rPr lang="fr-FR" sz="1700" kern="1200"/>
            <a:t>appareil</a:t>
          </a:r>
        </a:p>
      </dsp:txBody>
      <dsp:txXfrm>
        <a:off x="2531268" y="560486"/>
        <a:ext cx="960834" cy="560486"/>
      </dsp:txXfrm>
    </dsp:sp>
    <dsp:sp modelId="{A4D86D11-9E63-437A-A30B-93AF2E24557B}">
      <dsp:nvSpPr>
        <dsp:cNvPr id="0" name=""/>
        <dsp:cNvSpPr/>
      </dsp:nvSpPr>
      <dsp:spPr>
        <a:xfrm>
          <a:off x="2291060" y="840730"/>
          <a:ext cx="240208" cy="0"/>
        </a:xfrm>
        <a:prstGeom prst="line">
          <a:avLst/>
        </a:prstGeom>
        <a:solidFill>
          <a:schemeClr val="accent2">
            <a:hueOff val="0"/>
            <a:satOff val="0"/>
            <a:lumOff val="0"/>
            <a:alphaOff val="0"/>
          </a:schemeClr>
        </a:solidFill>
        <a:ln w="12700" cap="flat" cmpd="sng" algn="ctr">
          <a:solidFill>
            <a:schemeClr val="accent2">
              <a:tint val="50000"/>
              <a:hueOff val="0"/>
              <a:satOff val="0"/>
              <a:lumOff val="0"/>
              <a:alphaOff val="0"/>
            </a:schemeClr>
          </a:solidFill>
          <a:prstDash val="solid"/>
          <a:miter lim="800000"/>
        </a:ln>
        <a:effectLst/>
        <a:sp3d z="75000" prstMaterial="plastic"/>
      </dsp:spPr>
      <dsp:style>
        <a:lnRef idx="2">
          <a:scrgbClr r="0" g="0" b="0"/>
        </a:lnRef>
        <a:fillRef idx="1">
          <a:scrgbClr r="0" g="0" b="0"/>
        </a:fillRef>
        <a:effectRef idx="0">
          <a:scrgbClr r="0" g="0" b="0"/>
        </a:effectRef>
        <a:fontRef idx="minor"/>
      </dsp:style>
    </dsp:sp>
    <dsp:sp modelId="{A6F30462-8FBB-4858-BB15-629689765207}">
      <dsp:nvSpPr>
        <dsp:cNvPr id="0" name=""/>
        <dsp:cNvSpPr/>
      </dsp:nvSpPr>
      <dsp:spPr>
        <a:xfrm rot="5400000">
          <a:off x="1393224" y="972748"/>
          <a:ext cx="1029245" cy="764503"/>
        </a:xfrm>
        <a:prstGeom prst="line">
          <a:avLst/>
        </a:prstGeom>
        <a:solidFill>
          <a:schemeClr val="accent2">
            <a:hueOff val="0"/>
            <a:satOff val="0"/>
            <a:lumOff val="0"/>
            <a:alphaOff val="0"/>
          </a:schemeClr>
        </a:solidFill>
        <a:ln w="12700" cap="flat" cmpd="sng" algn="ctr">
          <a:solidFill>
            <a:schemeClr val="accent2">
              <a:tint val="50000"/>
              <a:hueOff val="0"/>
              <a:satOff val="0"/>
              <a:lumOff val="0"/>
              <a:alphaOff val="0"/>
            </a:schemeClr>
          </a:solidFill>
          <a:prstDash val="solid"/>
          <a:miter lim="800000"/>
        </a:ln>
        <a:effectLst/>
        <a:sp3d z="75000" prstMaterial="plastic"/>
      </dsp:spPr>
      <dsp:style>
        <a:lnRef idx="2">
          <a:scrgbClr r="0" g="0" b="0"/>
        </a:lnRef>
        <a:fillRef idx="1">
          <a:scrgbClr r="0" g="0" b="0"/>
        </a:fillRef>
        <a:effectRef idx="0">
          <a:scrgbClr r="0" g="0" b="0"/>
        </a:effectRef>
        <a:fontRef idx="minor"/>
      </dsp:style>
    </dsp:sp>
    <dsp:sp modelId="{14F73FC4-6E68-476D-9180-080210AE3637}">
      <dsp:nvSpPr>
        <dsp:cNvPr id="0" name=""/>
        <dsp:cNvSpPr/>
      </dsp:nvSpPr>
      <dsp:spPr>
        <a:xfrm>
          <a:off x="1578764" y="1082871"/>
          <a:ext cx="960834" cy="560486"/>
        </a:xfrm>
        <a:prstGeom prst="rect">
          <a:avLst/>
        </a:prstGeom>
        <a:solidFill>
          <a:schemeClr val="lt1">
            <a:alpha val="0"/>
            <a:hueOff val="0"/>
            <a:satOff val="0"/>
            <a:lumOff val="0"/>
            <a:alphaOff val="0"/>
          </a:schemeClr>
        </a:solidFill>
        <a:ln>
          <a:noFill/>
        </a:ln>
        <a:effectLst/>
      </dsp:spPr>
      <dsp:style>
        <a:lnRef idx="0">
          <a:scrgbClr r="0" g="0" b="0"/>
        </a:lnRef>
        <a:fillRef idx="1">
          <a:scrgbClr r="0" g="0" b="0"/>
        </a:fillRef>
        <a:effectRef idx="0">
          <a:scrgbClr r="0" g="0" b="0"/>
        </a:effectRef>
        <a:fontRef idx="minor"/>
      </dsp:style>
      <dsp:txBody>
        <a:bodyPr spcFirstLastPara="0" vert="horz" wrap="square" lIns="120904" tIns="21590" rIns="21590" bIns="21590" numCol="1" spcCol="1270" anchor="ctr" anchorCtr="0">
          <a:noAutofit/>
        </a:bodyPr>
        <a:lstStyle/>
        <a:p>
          <a:pPr marL="0" lvl="0" indent="0" algn="l" defTabSz="755650">
            <a:lnSpc>
              <a:spcPct val="90000"/>
            </a:lnSpc>
            <a:spcBef>
              <a:spcPct val="0"/>
            </a:spcBef>
            <a:spcAft>
              <a:spcPct val="35000"/>
            </a:spcAft>
            <a:buNone/>
          </a:pPr>
          <a:r>
            <a:rPr lang="fr-FR" sz="1700" kern="1200"/>
            <a:t>pate</a:t>
          </a:r>
        </a:p>
      </dsp:txBody>
      <dsp:txXfrm>
        <a:off x="1578764" y="1082871"/>
        <a:ext cx="960834" cy="560486"/>
      </dsp:txXfrm>
    </dsp:sp>
    <dsp:sp modelId="{D78CABE5-3F06-4918-8B9F-95537A2E4443}">
      <dsp:nvSpPr>
        <dsp:cNvPr id="0" name=""/>
        <dsp:cNvSpPr/>
      </dsp:nvSpPr>
      <dsp:spPr>
        <a:xfrm>
          <a:off x="2291060" y="1401216"/>
          <a:ext cx="240208" cy="0"/>
        </a:xfrm>
        <a:prstGeom prst="line">
          <a:avLst/>
        </a:prstGeom>
        <a:solidFill>
          <a:schemeClr val="accent2">
            <a:hueOff val="0"/>
            <a:satOff val="0"/>
            <a:lumOff val="0"/>
            <a:alphaOff val="0"/>
          </a:schemeClr>
        </a:solidFill>
        <a:ln w="12700" cap="flat" cmpd="sng" algn="ctr">
          <a:solidFill>
            <a:schemeClr val="accent2">
              <a:tint val="50000"/>
              <a:hueOff val="0"/>
              <a:satOff val="0"/>
              <a:lumOff val="0"/>
              <a:alphaOff val="0"/>
            </a:schemeClr>
          </a:solidFill>
          <a:prstDash val="solid"/>
          <a:miter lim="800000"/>
        </a:ln>
        <a:effectLst/>
        <a:sp3d z="75000" prstMaterial="plastic"/>
      </dsp:spPr>
      <dsp:style>
        <a:lnRef idx="2">
          <a:scrgbClr r="0" g="0" b="0"/>
        </a:lnRef>
        <a:fillRef idx="1">
          <a:scrgbClr r="0" g="0" b="0"/>
        </a:fillRef>
        <a:effectRef idx="0">
          <a:scrgbClr r="0" g="0" b="0"/>
        </a:effectRef>
        <a:fontRef idx="minor"/>
      </dsp:style>
    </dsp:sp>
    <dsp:sp modelId="{CCF735EC-3542-4286-ADA4-38059AC52901}">
      <dsp:nvSpPr>
        <dsp:cNvPr id="0" name=""/>
        <dsp:cNvSpPr/>
      </dsp:nvSpPr>
      <dsp:spPr>
        <a:xfrm rot="5400000" flipH="1" flipV="1">
          <a:off x="2136336" y="1400999"/>
          <a:ext cx="172743" cy="165763"/>
        </a:xfrm>
        <a:prstGeom prst="line">
          <a:avLst/>
        </a:prstGeom>
        <a:solidFill>
          <a:schemeClr val="accent2">
            <a:hueOff val="0"/>
            <a:satOff val="0"/>
            <a:lumOff val="0"/>
            <a:alphaOff val="0"/>
          </a:schemeClr>
        </a:solidFill>
        <a:ln w="12700" cap="flat" cmpd="sng" algn="ctr">
          <a:solidFill>
            <a:schemeClr val="accent2">
              <a:tint val="50000"/>
              <a:hueOff val="0"/>
              <a:satOff val="0"/>
              <a:lumOff val="0"/>
              <a:alphaOff val="0"/>
            </a:schemeClr>
          </a:solidFill>
          <a:prstDash val="solid"/>
          <a:miter lim="800000"/>
        </a:ln>
        <a:effectLst/>
        <a:sp3d z="75000" prstMaterial="plastic"/>
      </dsp:spPr>
      <dsp:style>
        <a:lnRef idx="2">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BE22EF5A-D512-4CCB-9ACA-0274A5AFAA68}">
      <dsp:nvSpPr>
        <dsp:cNvPr id="0" name=""/>
        <dsp:cNvSpPr/>
      </dsp:nvSpPr>
      <dsp:spPr>
        <a:xfrm>
          <a:off x="323143" y="539072"/>
          <a:ext cx="1921668" cy="1921668"/>
        </a:xfrm>
        <a:prstGeom prst="ellipse">
          <a:avLst/>
        </a:prstGeom>
        <a:solidFill>
          <a:schemeClr val="accent4">
            <a:hueOff val="0"/>
            <a:satOff val="0"/>
            <a:lumOff val="0"/>
            <a:alphaOff val="0"/>
          </a:schemeClr>
        </a:solidFill>
        <a:ln>
          <a:noFill/>
        </a:ln>
        <a:effectLst/>
        <a:sp3d prstMaterial="plastic">
          <a:bevelT w="50800" h="50800"/>
          <a:bevelB w="50800" h="50800"/>
        </a:sp3d>
      </dsp:spPr>
      <dsp:style>
        <a:lnRef idx="0">
          <a:scrgbClr r="0" g="0" b="0"/>
        </a:lnRef>
        <a:fillRef idx="1">
          <a:scrgbClr r="0" g="0" b="0"/>
        </a:fillRef>
        <a:effectRef idx="2">
          <a:scrgbClr r="0" g="0" b="0"/>
        </a:effectRef>
        <a:fontRef idx="minor">
          <a:schemeClr val="lt1"/>
        </a:fontRef>
      </dsp:style>
    </dsp:sp>
    <dsp:sp modelId="{D1190DAD-5841-4615-998E-900BFF221814}">
      <dsp:nvSpPr>
        <dsp:cNvPr id="0" name=""/>
        <dsp:cNvSpPr/>
      </dsp:nvSpPr>
      <dsp:spPr>
        <a:xfrm>
          <a:off x="342703" y="698383"/>
          <a:ext cx="1814904" cy="1806015"/>
        </a:xfrm>
        <a:prstGeom prst="ellipse">
          <a:avLst/>
        </a:prstGeom>
        <a:solidFill>
          <a:schemeClr val="accent3">
            <a:hueOff val="0"/>
            <a:satOff val="0"/>
            <a:lumOff val="0"/>
            <a:alphaOff val="0"/>
          </a:schemeClr>
        </a:solidFill>
        <a:ln>
          <a:noFill/>
        </a:ln>
        <a:effectLst/>
        <a:sp3d prstMaterial="plastic">
          <a:bevelT w="50800" h="50800"/>
          <a:bevelB w="50800" h="50800"/>
        </a:sp3d>
      </dsp:spPr>
      <dsp:style>
        <a:lnRef idx="0">
          <a:scrgbClr r="0" g="0" b="0"/>
        </a:lnRef>
        <a:fillRef idx="1">
          <a:scrgbClr r="0" g="0" b="0"/>
        </a:fillRef>
        <a:effectRef idx="2">
          <a:scrgbClr r="0" g="0" b="0"/>
        </a:effectRef>
        <a:fontRef idx="minor">
          <a:schemeClr val="lt1"/>
        </a:fontRef>
      </dsp:style>
    </dsp:sp>
    <dsp:sp modelId="{9F6578EC-0EA8-494C-ABE2-36BAEE9A18C4}">
      <dsp:nvSpPr>
        <dsp:cNvPr id="0" name=""/>
        <dsp:cNvSpPr/>
      </dsp:nvSpPr>
      <dsp:spPr>
        <a:xfrm>
          <a:off x="739526" y="1189548"/>
          <a:ext cx="1156560" cy="1094286"/>
        </a:xfrm>
        <a:prstGeom prst="ellipse">
          <a:avLst/>
        </a:prstGeom>
        <a:solidFill>
          <a:schemeClr val="accent2">
            <a:hueOff val="0"/>
            <a:satOff val="0"/>
            <a:lumOff val="0"/>
            <a:alphaOff val="0"/>
          </a:schemeClr>
        </a:solidFill>
        <a:ln>
          <a:noFill/>
        </a:ln>
        <a:effectLst/>
        <a:sp3d prstMaterial="plastic">
          <a:bevelT w="50800" h="50800"/>
          <a:bevelB w="50800" h="50800"/>
        </a:sp3d>
      </dsp:spPr>
      <dsp:style>
        <a:lnRef idx="0">
          <a:scrgbClr r="0" g="0" b="0"/>
        </a:lnRef>
        <a:fillRef idx="1">
          <a:scrgbClr r="0" g="0" b="0"/>
        </a:fillRef>
        <a:effectRef idx="2">
          <a:scrgbClr r="0" g="0" b="0"/>
        </a:effectRef>
        <a:fontRef idx="minor">
          <a:schemeClr val="lt1"/>
        </a:fontRef>
      </dsp:style>
    </dsp:sp>
    <dsp:sp modelId="{E9A320C5-9217-4BD7-9125-9DF9912C1300}">
      <dsp:nvSpPr>
        <dsp:cNvPr id="0" name=""/>
        <dsp:cNvSpPr/>
      </dsp:nvSpPr>
      <dsp:spPr>
        <a:xfrm>
          <a:off x="2531268" y="0"/>
          <a:ext cx="960834" cy="560486"/>
        </a:xfrm>
        <a:prstGeom prst="rect">
          <a:avLst/>
        </a:prstGeom>
        <a:solidFill>
          <a:schemeClr val="lt1">
            <a:alpha val="0"/>
            <a:hueOff val="0"/>
            <a:satOff val="0"/>
            <a:lumOff val="0"/>
            <a:alphaOff val="0"/>
          </a:schemeClr>
        </a:solidFill>
        <a:ln>
          <a:noFill/>
        </a:ln>
        <a:effectLst/>
      </dsp:spPr>
      <dsp:style>
        <a:lnRef idx="0">
          <a:scrgbClr r="0" g="0" b="0"/>
        </a:lnRef>
        <a:fillRef idx="1">
          <a:scrgbClr r="0" g="0" b="0"/>
        </a:fillRef>
        <a:effectRef idx="0">
          <a:scrgbClr r="0" g="0" b="0"/>
        </a:effectRef>
        <a:fontRef idx="minor"/>
      </dsp:style>
      <dsp:txBody>
        <a:bodyPr spcFirstLastPara="0" vert="horz" wrap="square" lIns="120904" tIns="21590" rIns="21590" bIns="21590" numCol="1" spcCol="1270" anchor="ctr" anchorCtr="0">
          <a:noAutofit/>
        </a:bodyPr>
        <a:lstStyle/>
        <a:p>
          <a:pPr marL="0" lvl="0" indent="0" algn="l" defTabSz="755650">
            <a:lnSpc>
              <a:spcPct val="90000"/>
            </a:lnSpc>
            <a:spcBef>
              <a:spcPct val="0"/>
            </a:spcBef>
            <a:spcAft>
              <a:spcPct val="35000"/>
            </a:spcAft>
            <a:buNone/>
          </a:pPr>
          <a:r>
            <a:rPr lang="fr-FR" sz="1700" kern="1200"/>
            <a:t>garniture</a:t>
          </a:r>
        </a:p>
      </dsp:txBody>
      <dsp:txXfrm>
        <a:off x="2531268" y="0"/>
        <a:ext cx="960834" cy="560486"/>
      </dsp:txXfrm>
    </dsp:sp>
    <dsp:sp modelId="{F0071ECC-22C7-4606-A1DC-EECA13F7ED1C}">
      <dsp:nvSpPr>
        <dsp:cNvPr id="0" name=""/>
        <dsp:cNvSpPr/>
      </dsp:nvSpPr>
      <dsp:spPr>
        <a:xfrm>
          <a:off x="2291060" y="280243"/>
          <a:ext cx="240208" cy="0"/>
        </a:xfrm>
        <a:prstGeom prst="line">
          <a:avLst/>
        </a:prstGeom>
        <a:solidFill>
          <a:schemeClr val="accent2">
            <a:hueOff val="0"/>
            <a:satOff val="0"/>
            <a:lumOff val="0"/>
            <a:alphaOff val="0"/>
          </a:schemeClr>
        </a:solidFill>
        <a:ln w="12700" cap="flat" cmpd="sng" algn="ctr">
          <a:solidFill>
            <a:schemeClr val="accent2">
              <a:tint val="50000"/>
              <a:hueOff val="0"/>
              <a:satOff val="0"/>
              <a:lumOff val="0"/>
              <a:alphaOff val="0"/>
            </a:schemeClr>
          </a:solidFill>
          <a:prstDash val="solid"/>
          <a:miter lim="800000"/>
        </a:ln>
        <a:effectLst/>
        <a:sp3d z="75000" prstMaterial="plastic"/>
      </dsp:spPr>
      <dsp:style>
        <a:lnRef idx="2">
          <a:scrgbClr r="0" g="0" b="0"/>
        </a:lnRef>
        <a:fillRef idx="1">
          <a:scrgbClr r="0" g="0" b="0"/>
        </a:fillRef>
        <a:effectRef idx="0">
          <a:scrgbClr r="0" g="0" b="0"/>
        </a:effectRef>
        <a:fontRef idx="minor"/>
      </dsp:style>
    </dsp:sp>
    <dsp:sp modelId="{3DD5EF9D-7C8B-46F9-9947-1A2E8E3674C2}">
      <dsp:nvSpPr>
        <dsp:cNvPr id="0" name=""/>
        <dsp:cNvSpPr/>
      </dsp:nvSpPr>
      <dsp:spPr>
        <a:xfrm rot="5400000">
          <a:off x="1109714" y="421005"/>
          <a:ext cx="1320826" cy="1039943"/>
        </a:xfrm>
        <a:prstGeom prst="line">
          <a:avLst/>
        </a:prstGeom>
        <a:solidFill>
          <a:schemeClr val="accent2">
            <a:hueOff val="0"/>
            <a:satOff val="0"/>
            <a:lumOff val="0"/>
            <a:alphaOff val="0"/>
          </a:schemeClr>
        </a:solidFill>
        <a:ln w="12700" cap="flat" cmpd="sng" algn="ctr">
          <a:solidFill>
            <a:schemeClr val="accent2">
              <a:tint val="50000"/>
              <a:hueOff val="0"/>
              <a:satOff val="0"/>
              <a:lumOff val="0"/>
              <a:alphaOff val="0"/>
            </a:schemeClr>
          </a:solidFill>
          <a:prstDash val="solid"/>
          <a:miter lim="800000"/>
        </a:ln>
        <a:effectLst/>
        <a:sp3d z="75000" prstMaterial="plastic"/>
      </dsp:spPr>
      <dsp:style>
        <a:lnRef idx="2">
          <a:scrgbClr r="0" g="0" b="0"/>
        </a:lnRef>
        <a:fillRef idx="1">
          <a:scrgbClr r="0" g="0" b="0"/>
        </a:fillRef>
        <a:effectRef idx="0">
          <a:scrgbClr r="0" g="0" b="0"/>
        </a:effectRef>
        <a:fontRef idx="minor"/>
      </dsp:style>
    </dsp:sp>
    <dsp:sp modelId="{ED7C3A72-918F-4DBA-8C27-EBF5DF84000B}">
      <dsp:nvSpPr>
        <dsp:cNvPr id="0" name=""/>
        <dsp:cNvSpPr/>
      </dsp:nvSpPr>
      <dsp:spPr>
        <a:xfrm>
          <a:off x="2531268" y="560486"/>
          <a:ext cx="960834" cy="560486"/>
        </a:xfrm>
        <a:prstGeom prst="rect">
          <a:avLst/>
        </a:prstGeom>
        <a:solidFill>
          <a:schemeClr val="lt1">
            <a:alpha val="0"/>
            <a:hueOff val="0"/>
            <a:satOff val="0"/>
            <a:lumOff val="0"/>
            <a:alphaOff val="0"/>
          </a:schemeClr>
        </a:solidFill>
        <a:ln>
          <a:noFill/>
        </a:ln>
        <a:effectLst/>
      </dsp:spPr>
      <dsp:style>
        <a:lnRef idx="0">
          <a:scrgbClr r="0" g="0" b="0"/>
        </a:lnRef>
        <a:fillRef idx="1">
          <a:scrgbClr r="0" g="0" b="0"/>
        </a:fillRef>
        <a:effectRef idx="0">
          <a:scrgbClr r="0" g="0" b="0"/>
        </a:effectRef>
        <a:fontRef idx="minor"/>
      </dsp:style>
      <dsp:txBody>
        <a:bodyPr spcFirstLastPara="0" vert="horz" wrap="square" lIns="120904" tIns="21590" rIns="21590" bIns="21590" numCol="1" spcCol="1270" anchor="ctr" anchorCtr="0">
          <a:noAutofit/>
        </a:bodyPr>
        <a:lstStyle/>
        <a:p>
          <a:pPr marL="0" lvl="0" indent="0" algn="l" defTabSz="755650">
            <a:lnSpc>
              <a:spcPct val="90000"/>
            </a:lnSpc>
            <a:spcBef>
              <a:spcPct val="0"/>
            </a:spcBef>
            <a:spcAft>
              <a:spcPct val="35000"/>
            </a:spcAft>
            <a:buNone/>
          </a:pPr>
          <a:r>
            <a:rPr lang="fr-FR" sz="1700" kern="1200"/>
            <a:t>appareil</a:t>
          </a:r>
        </a:p>
      </dsp:txBody>
      <dsp:txXfrm>
        <a:off x="2531268" y="560486"/>
        <a:ext cx="960834" cy="560486"/>
      </dsp:txXfrm>
    </dsp:sp>
    <dsp:sp modelId="{A4D86D11-9E63-437A-A30B-93AF2E24557B}">
      <dsp:nvSpPr>
        <dsp:cNvPr id="0" name=""/>
        <dsp:cNvSpPr/>
      </dsp:nvSpPr>
      <dsp:spPr>
        <a:xfrm>
          <a:off x="2291060" y="840730"/>
          <a:ext cx="240208" cy="0"/>
        </a:xfrm>
        <a:prstGeom prst="line">
          <a:avLst/>
        </a:prstGeom>
        <a:solidFill>
          <a:schemeClr val="accent2">
            <a:hueOff val="0"/>
            <a:satOff val="0"/>
            <a:lumOff val="0"/>
            <a:alphaOff val="0"/>
          </a:schemeClr>
        </a:solidFill>
        <a:ln w="12700" cap="flat" cmpd="sng" algn="ctr">
          <a:solidFill>
            <a:schemeClr val="accent2">
              <a:tint val="50000"/>
              <a:hueOff val="0"/>
              <a:satOff val="0"/>
              <a:lumOff val="0"/>
              <a:alphaOff val="0"/>
            </a:schemeClr>
          </a:solidFill>
          <a:prstDash val="solid"/>
          <a:miter lim="800000"/>
        </a:ln>
        <a:effectLst/>
        <a:sp3d z="75000" prstMaterial="plastic"/>
      </dsp:spPr>
      <dsp:style>
        <a:lnRef idx="2">
          <a:scrgbClr r="0" g="0" b="0"/>
        </a:lnRef>
        <a:fillRef idx="1">
          <a:scrgbClr r="0" g="0" b="0"/>
        </a:fillRef>
        <a:effectRef idx="0">
          <a:scrgbClr r="0" g="0" b="0"/>
        </a:effectRef>
        <a:fontRef idx="minor"/>
      </dsp:style>
    </dsp:sp>
    <dsp:sp modelId="{A6F30462-8FBB-4858-BB15-629689765207}">
      <dsp:nvSpPr>
        <dsp:cNvPr id="0" name=""/>
        <dsp:cNvSpPr/>
      </dsp:nvSpPr>
      <dsp:spPr>
        <a:xfrm rot="5400000">
          <a:off x="1393224" y="972748"/>
          <a:ext cx="1029245" cy="764503"/>
        </a:xfrm>
        <a:prstGeom prst="line">
          <a:avLst/>
        </a:prstGeom>
        <a:solidFill>
          <a:schemeClr val="accent2">
            <a:hueOff val="0"/>
            <a:satOff val="0"/>
            <a:lumOff val="0"/>
            <a:alphaOff val="0"/>
          </a:schemeClr>
        </a:solidFill>
        <a:ln w="12700" cap="flat" cmpd="sng" algn="ctr">
          <a:solidFill>
            <a:schemeClr val="accent2">
              <a:tint val="50000"/>
              <a:hueOff val="0"/>
              <a:satOff val="0"/>
              <a:lumOff val="0"/>
              <a:alphaOff val="0"/>
            </a:schemeClr>
          </a:solidFill>
          <a:prstDash val="solid"/>
          <a:miter lim="800000"/>
        </a:ln>
        <a:effectLst/>
        <a:sp3d z="75000" prstMaterial="plastic"/>
      </dsp:spPr>
      <dsp:style>
        <a:lnRef idx="2">
          <a:scrgbClr r="0" g="0" b="0"/>
        </a:lnRef>
        <a:fillRef idx="1">
          <a:scrgbClr r="0" g="0" b="0"/>
        </a:fillRef>
        <a:effectRef idx="0">
          <a:scrgbClr r="0" g="0" b="0"/>
        </a:effectRef>
        <a:fontRef idx="minor"/>
      </dsp:style>
    </dsp:sp>
    <dsp:sp modelId="{14F73FC4-6E68-476D-9180-080210AE3637}">
      <dsp:nvSpPr>
        <dsp:cNvPr id="0" name=""/>
        <dsp:cNvSpPr/>
      </dsp:nvSpPr>
      <dsp:spPr>
        <a:xfrm>
          <a:off x="1578764" y="1082871"/>
          <a:ext cx="960834" cy="560486"/>
        </a:xfrm>
        <a:prstGeom prst="rect">
          <a:avLst/>
        </a:prstGeom>
        <a:solidFill>
          <a:schemeClr val="lt1">
            <a:alpha val="0"/>
            <a:hueOff val="0"/>
            <a:satOff val="0"/>
            <a:lumOff val="0"/>
            <a:alphaOff val="0"/>
          </a:schemeClr>
        </a:solidFill>
        <a:ln>
          <a:noFill/>
        </a:ln>
        <a:effectLst/>
      </dsp:spPr>
      <dsp:style>
        <a:lnRef idx="0">
          <a:scrgbClr r="0" g="0" b="0"/>
        </a:lnRef>
        <a:fillRef idx="1">
          <a:scrgbClr r="0" g="0" b="0"/>
        </a:fillRef>
        <a:effectRef idx="0">
          <a:scrgbClr r="0" g="0" b="0"/>
        </a:effectRef>
        <a:fontRef idx="minor"/>
      </dsp:style>
      <dsp:txBody>
        <a:bodyPr spcFirstLastPara="0" vert="horz" wrap="square" lIns="120904" tIns="21590" rIns="21590" bIns="21590" numCol="1" spcCol="1270" anchor="ctr" anchorCtr="0">
          <a:noAutofit/>
        </a:bodyPr>
        <a:lstStyle/>
        <a:p>
          <a:pPr marL="0" lvl="0" indent="0" algn="l" defTabSz="755650">
            <a:lnSpc>
              <a:spcPct val="90000"/>
            </a:lnSpc>
            <a:spcBef>
              <a:spcPct val="0"/>
            </a:spcBef>
            <a:spcAft>
              <a:spcPct val="35000"/>
            </a:spcAft>
            <a:buNone/>
          </a:pPr>
          <a:r>
            <a:rPr lang="fr-FR" sz="1700" kern="1200"/>
            <a:t>pate</a:t>
          </a:r>
        </a:p>
      </dsp:txBody>
      <dsp:txXfrm>
        <a:off x="1578764" y="1082871"/>
        <a:ext cx="960834" cy="560486"/>
      </dsp:txXfrm>
    </dsp:sp>
    <dsp:sp modelId="{D78CABE5-3F06-4918-8B9F-95537A2E4443}">
      <dsp:nvSpPr>
        <dsp:cNvPr id="0" name=""/>
        <dsp:cNvSpPr/>
      </dsp:nvSpPr>
      <dsp:spPr>
        <a:xfrm>
          <a:off x="2291060" y="1401216"/>
          <a:ext cx="240208" cy="0"/>
        </a:xfrm>
        <a:prstGeom prst="line">
          <a:avLst/>
        </a:prstGeom>
        <a:solidFill>
          <a:schemeClr val="accent2">
            <a:hueOff val="0"/>
            <a:satOff val="0"/>
            <a:lumOff val="0"/>
            <a:alphaOff val="0"/>
          </a:schemeClr>
        </a:solidFill>
        <a:ln w="12700" cap="flat" cmpd="sng" algn="ctr">
          <a:solidFill>
            <a:schemeClr val="accent2">
              <a:tint val="50000"/>
              <a:hueOff val="0"/>
              <a:satOff val="0"/>
              <a:lumOff val="0"/>
              <a:alphaOff val="0"/>
            </a:schemeClr>
          </a:solidFill>
          <a:prstDash val="solid"/>
          <a:miter lim="800000"/>
        </a:ln>
        <a:effectLst/>
        <a:sp3d z="75000" prstMaterial="plastic"/>
      </dsp:spPr>
      <dsp:style>
        <a:lnRef idx="2">
          <a:scrgbClr r="0" g="0" b="0"/>
        </a:lnRef>
        <a:fillRef idx="1">
          <a:scrgbClr r="0" g="0" b="0"/>
        </a:fillRef>
        <a:effectRef idx="0">
          <a:scrgbClr r="0" g="0" b="0"/>
        </a:effectRef>
        <a:fontRef idx="minor"/>
      </dsp:style>
    </dsp:sp>
    <dsp:sp modelId="{CCF735EC-3542-4286-ADA4-38059AC52901}">
      <dsp:nvSpPr>
        <dsp:cNvPr id="0" name=""/>
        <dsp:cNvSpPr/>
      </dsp:nvSpPr>
      <dsp:spPr>
        <a:xfrm rot="5400000" flipH="1" flipV="1">
          <a:off x="2136336" y="1400999"/>
          <a:ext cx="172743" cy="165763"/>
        </a:xfrm>
        <a:prstGeom prst="line">
          <a:avLst/>
        </a:prstGeom>
        <a:solidFill>
          <a:schemeClr val="accent2">
            <a:hueOff val="0"/>
            <a:satOff val="0"/>
            <a:lumOff val="0"/>
            <a:alphaOff val="0"/>
          </a:schemeClr>
        </a:solidFill>
        <a:ln w="12700" cap="flat" cmpd="sng" algn="ctr">
          <a:solidFill>
            <a:schemeClr val="accent2">
              <a:tint val="50000"/>
              <a:hueOff val="0"/>
              <a:satOff val="0"/>
              <a:lumOff val="0"/>
              <a:alphaOff val="0"/>
            </a:schemeClr>
          </a:solidFill>
          <a:prstDash val="solid"/>
          <a:miter lim="800000"/>
        </a:ln>
        <a:effectLst/>
        <a:sp3d z="75000" prstMaterial="plastic"/>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target1">
  <dgm:title val=""/>
  <dgm:desc val=""/>
  <dgm:catLst>
    <dgm:cat type="relationship" pri="25000"/>
    <dgm:cat type="convert" pri="2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composite">
    <dgm:varLst>
      <dgm:chMax val="5"/>
      <dgm:dir/>
      <dgm:resizeHandles val="exact"/>
    </dgm:varLst>
    <dgm:alg type="composite">
      <dgm:param type="ar" val="1.25"/>
    </dgm:alg>
    <dgm:shape xmlns:r="http://schemas.openxmlformats.org/officeDocument/2006/relationships" r:blip="">
      <dgm:adjLst/>
    </dgm:shape>
    <dgm:presOf/>
    <dgm:choose name="Name0">
      <dgm:if name="Name1" func="var" arg="dir" op="equ" val="norm">
        <dgm:choose name="Name2">
          <dgm:if name="Name3" axis="ch" ptType="node" func="cnt" op="equ" val="0">
            <dgm:constrLst/>
          </dgm:if>
          <dgm:if name="Name4" axis="ch" ptType="node" func="cnt" op="equ" val="1">
            <dgm:constrLst>
              <dgm:constr type="primFontSz" for="des" ptType="node" op="equ" val="65"/>
              <dgm:constr type="w" for="ch" forName="circle1" refType="w" fact="0.6"/>
              <dgm:constr type="h" for="ch" forName="circle1" refType="w" refFor="ch" refForName="circle1"/>
              <dgm:constr type="ctrX" for="ch" forName="circle1" refType="w" fact="0.3"/>
              <dgm:constr type="ctrY" for="ch" forName="circle1" refType="h" fact="0.625"/>
              <dgm:constr type="w" for="ch" forName="text1" refType="w" fact="0.3"/>
              <dgm:constr type="h" for="ch" forName="text1" refType="h" fact="0.3125"/>
              <dgm:constr type="r" for="ch" forName="text1" refType="w"/>
              <dgm:constr type="t" for="ch" forName="text1"/>
              <dgm:constr type="l" for="ch" forName="line1" refType="w" fact="0.625"/>
              <dgm:constr type="ctrY" for="ch" forName="line1" refType="ctrY" refFor="ch" refForName="text1"/>
              <dgm:constr type="r" for="ch" forName="line1" refType="l" refFor="ch" refForName="text1"/>
              <dgm:constr type="h" for="ch" forName="line1"/>
              <dgm:constr type="l" for="ch" forName="d1" refType="w" fact="0.3"/>
              <dgm:constr type="b" for="ch" forName="d1" refType="h" fact="0.625"/>
              <dgm:constr type="w" for="ch" forName="d1" refType="w" fact="0.32475"/>
              <dgm:constr type="h" for="ch" forName="d1" refType="h" fact="0.469"/>
            </dgm:constrLst>
          </dgm:if>
          <dgm:if name="Name5" axis="ch" ptType="node" func="cnt" op="equ" val="2">
            <dgm:constrLst>
              <dgm:constr type="primFontSz" for="des" ptType="node" op="equ" val="65"/>
              <dgm:constr type="w" for="ch" forName="circle1" refType="w" fact="0.2"/>
              <dgm:constr type="h" for="ch" forName="circle1" refType="w" refFor="ch" refForName="circle1"/>
              <dgm:constr type="ctrX" for="ch" forName="circle1" refType="w" fact="0.3"/>
              <dgm:constr type="ctrY" for="ch" forName="circle1" refType="h" fact="0.625"/>
              <dgm:constr type="w" for="ch" forName="text1" refType="w" fact="0.3"/>
              <dgm:constr type="h" for="ch" forName="text1" refType="h" fact="0.3125"/>
              <dgm:constr type="r" for="ch" forName="text1" refType="w"/>
              <dgm:constr type="t" for="ch" forName="text1"/>
              <dgm:constr type="l" for="ch" forName="line1" refType="w" fact="0.625"/>
              <dgm:constr type="ctrY" for="ch" forName="line1" refType="ctrY" refFor="ch" refForName="text1"/>
              <dgm:constr type="w" for="ch" forName="line1" refType="w" fact="0.075"/>
              <dgm:constr type="h" for="ch" forName="line1"/>
              <dgm:constr type="l" for="ch" forName="d1" refType="w" fact="0.3"/>
              <dgm:constr type="b" for="ch" forName="d1" refType="h" fact="0.625"/>
              <dgm:constr type="w" for="ch" forName="d1" refType="w" fact="0.32475"/>
              <dgm:constr type="h" for="ch" forName="d1" refType="h" fact="0.469"/>
              <dgm:constr type="w" for="ch" forName="circle2" refType="w" fact="0.6"/>
              <dgm:constr type="h" for="ch" forName="circle2" refType="w" refFor="ch" refForName="circle2"/>
              <dgm:constr type="ctrX" for="ch" forName="circle2" refType="w" fact="0.3"/>
              <dgm:constr type="ctrY" for="ch" forName="circle2" refType="h" fact="0.625"/>
              <dgm:constr type="w" for="ch" forName="text2" refType="w" fact="0.3"/>
              <dgm:constr type="h" for="ch" forName="text2" refType="h" fact="0.3125"/>
              <dgm:constr type="r" for="ch" forName="text2" refType="w"/>
              <dgm:constr type="t" for="ch" forName="text2" refType="b" refFor="ch" refForName="text1"/>
              <dgm:constr type="l" for="ch" forName="line2" refType="w" fact="0.625"/>
              <dgm:constr type="ctrY" for="ch" forName="line2" refType="ctrY" refFor="ch" refForName="text2"/>
              <dgm:constr type="w" for="ch" forName="line2" refType="w" fact="0.075"/>
              <dgm:constr type="h" for="ch" forName="line2"/>
              <dgm:constr type="l" for="ch" forName="d2" refType="w" fact="0.44325"/>
              <dgm:constr type="b" for="ch" forName="d2" refType="h" fact="0.7975"/>
              <dgm:constr type="w" for="ch" forName="d2" refType="w" fact="0.1815"/>
              <dgm:constr type="h" for="ch" forName="d2" refType="h" fact="0.3283"/>
            </dgm:constrLst>
          </dgm:if>
          <dgm:if name="Name6" axis="ch" ptType="node" func="cnt" op="equ" val="3">
            <dgm:constrLst>
              <dgm:constr type="primFontSz" for="des" ptType="node" op="equ" val="65"/>
              <dgm:constr type="w" for="ch" forName="circle1" refType="w" fact="0.12"/>
              <dgm:constr type="h" for="ch" forName="circle1" refType="w" refFor="ch" refForName="circle1"/>
              <dgm:constr type="ctrX" for="ch" forName="circle1" refType="w" fact="0.3"/>
              <dgm:constr type="ctrY" for="ch" forName="circle1" refType="h" fact="0.625"/>
              <dgm:constr type="w" for="ch" forName="text1" refType="w" fact="0.3"/>
              <dgm:constr type="h" for="ch" forName="text1" refType="h" fact="0.21875"/>
              <dgm:constr type="r" for="ch" forName="text1" refType="w"/>
              <dgm:constr type="t" for="ch" forName="text1"/>
              <dgm:constr type="l" for="ch" forName="line1" refType="w" fact="0.625"/>
              <dgm:constr type="ctrY" for="ch" forName="line1" refType="ctrY" refFor="ch" refForName="text1"/>
              <dgm:constr type="w" for="ch" forName="line1" refType="w" fact="0.075"/>
              <dgm:constr type="h" for="ch" forName="line1"/>
              <dgm:constr type="l" for="ch" forName="d1" refType="w" fact="0.3"/>
              <dgm:constr type="b" for="ch" forName="d1" refType="h" fact="0.625"/>
              <dgm:constr type="w" for="ch" forName="d1" refType="w" fact="0.3247"/>
              <dgm:constr type="h" for="ch" forName="d1" refType="h" fact="0.5155"/>
              <dgm:constr type="w" for="ch" forName="circle2" refType="w" fact="0.36"/>
              <dgm:constr type="h" for="ch" forName="circle2" refType="w" refFor="ch" refForName="circle2"/>
              <dgm:constr type="ctrX" for="ch" forName="circle2" refType="w" fact="0.3"/>
              <dgm:constr type="ctrY" for="ch" forName="circle2" refType="h" fact="0.625"/>
              <dgm:constr type="w" for="ch" forName="text2" refType="w" fact="0.3"/>
              <dgm:constr type="h" for="ch" forName="text2" refType="h" fact="0.21875"/>
              <dgm:constr type="r" for="ch" forName="text2" refType="w"/>
              <dgm:constr type="t" for="ch" forName="text2" refType="b" refFor="ch" refForName="text1"/>
              <dgm:constr type="l" for="ch" forName="line2" refType="w" fact="0.625"/>
              <dgm:constr type="ctrY" for="ch" forName="line2" refType="ctrY" refFor="ch" refForName="text2"/>
              <dgm:constr type="w" for="ch" forName="line2" refType="w" fact="0.075"/>
              <dgm:constr type="h" for="ch" forName="line2"/>
              <dgm:constr type="l" for="ch" forName="d2" refType="w" fact="0.386"/>
              <dgm:constr type="b" for="ch" forName="d2" refType="h" fact="0.72969"/>
              <dgm:constr type="w" for="ch" forName="d2" refType="w" fact="0.2387"/>
              <dgm:constr type="h" for="ch" forName="d2" refType="h" fact="0.4017"/>
              <dgm:constr type="w" for="ch" forName="circle3" refType="w" fact="0.6"/>
              <dgm:constr type="h" for="ch" forName="circle3" refType="w" refFor="ch" refForName="circle3"/>
              <dgm:constr type="ctrX" for="ch" forName="circle3" refType="ctrX" refFor="ch" refForName="circle1"/>
              <dgm:constr type="ctrY" for="ch" forName="circle3" refType="ctrY" refFor="ch" refForName="circle1"/>
              <dgm:constr type="w" for="ch" forName="text3" refType="w" fact="0.3"/>
              <dgm:constr type="h" for="ch" forName="text3" refType="h" fact="0.21875"/>
              <dgm:constr type="r" for="ch" forName="text3" refType="w"/>
              <dgm:constr type="t" for="ch" forName="text3" refType="b" refFor="ch" refForName="text2"/>
              <dgm:constr type="l" for="ch" forName="line3" refType="w" fact="0.625"/>
              <dgm:constr type="ctrY" for="ch" forName="line3" refType="ctrY" refFor="ch" refForName="text3"/>
              <dgm:constr type="w" for="ch" forName="line3" refType="w" fact="0.075"/>
              <dgm:constr type="h" for="ch" forName="line3"/>
              <dgm:constr type="l" for="ch" forName="d3" refType="w" fact="0.47175"/>
              <dgm:constr type="b" for="ch" forName="d3" refType="h" fact="0.83375"/>
              <dgm:constr type="w" for="ch" forName="d3" refType="w" fact="0.1527"/>
              <dgm:constr type="h" for="ch" forName="d3" refType="h" fact="0.287"/>
            </dgm:constrLst>
          </dgm:if>
          <dgm:if name="Name7" axis="ch" ptType="node" func="cnt" op="equ" val="4">
            <dgm:constrLst>
              <dgm:constr type="primFontSz" for="des" ptType="node" op="equ" val="65"/>
              <dgm:constr type="w" for="ch" forName="circle1" refType="w" fact="0.0857"/>
              <dgm:constr type="h" for="ch" forName="circle1" refType="w" refFor="ch" refForName="circle1"/>
              <dgm:constr type="ctrX" for="ch" forName="circle1" refType="w" fact="0.3"/>
              <dgm:constr type="ctrY" for="ch" forName="circle1" refType="h" fact="0.625"/>
              <dgm:constr type="w" for="ch" forName="text1" refType="w" fact="0.3"/>
              <dgm:constr type="h" for="ch" forName="text1" refType="h" fact="0.17938"/>
              <dgm:constr type="r" for="ch" forName="text1" refType="w"/>
              <dgm:constr type="t" for="ch" forName="text1"/>
              <dgm:constr type="l" for="ch" forName="line1" refType="w" fact="0.625"/>
              <dgm:constr type="ctrY" for="ch" forName="line1" refType="ctrY" refFor="ch" refForName="text1"/>
              <dgm:constr type="w" for="ch" forName="line1" refType="w" fact="0.075"/>
              <dgm:constr type="h" for="ch" forName="line1"/>
              <dgm:constr type="l" for="ch" forName="d1" refType="w" fact="0.295"/>
              <dgm:constr type="b" for="ch" forName="d1" refType="h" fact="0.62"/>
              <dgm:constr type="w" for="ch" forName="d1" refType="w" fact="0.33"/>
              <dgm:constr type="h" for="ch" forName="d1" refType="h" fact="0.53"/>
              <dgm:constr type="w" for="ch" forName="circle2" refType="w" fact="0.2571"/>
              <dgm:constr type="h" for="ch" forName="circle2" refType="w" refFor="ch" refForName="circle2"/>
              <dgm:constr type="ctrX" for="ch" forName="circle2" refType="w" fact="0.3"/>
              <dgm:constr type="ctrY" for="ch" forName="circle2" refType="h" fact="0.625"/>
              <dgm:constr type="w" for="ch" forName="text2" refType="w" fact="0.3"/>
              <dgm:constr type="h" for="ch" forName="text2" refType="h" fact="0.17938"/>
              <dgm:constr type="r" for="ch" forName="text2" refType="w"/>
              <dgm:constr type="t" for="ch" forName="text2" refType="b" refFor="ch" refForName="text1"/>
              <dgm:constr type="l" for="ch" forName="line2" refType="w" fact="0.625"/>
              <dgm:constr type="ctrY" for="ch" forName="line2" refType="ctrY" refFor="ch" refForName="text2"/>
              <dgm:constr type="w" for="ch" forName="line2" refType="w" fact="0.075"/>
              <dgm:constr type="h" for="ch" forName="line2"/>
              <dgm:constr type="l" for="ch" forName="d2" refType="w" fact="0.36625"/>
              <dgm:constr type="b" for="ch" forName="d2" refType="h" fact="0.70438"/>
              <dgm:constr type="w" for="ch" forName="d2" refType="w" fact="0.2585"/>
              <dgm:constr type="h" for="ch" forName="d2" refType="h" fact="0.43525"/>
              <dgm:constr type="w" for="ch" forName="circle3" refType="w" fact="0.4285"/>
              <dgm:constr type="h" for="ch" forName="circle3" refType="w" refFor="ch" refForName="circle3"/>
              <dgm:constr type="ctrX" for="ch" forName="circle3" refType="ctrX" refFor="ch" refForName="circle1"/>
              <dgm:constr type="ctrY" for="ch" forName="circle3" refType="ctrY" refFor="ch" refForName="circle1"/>
              <dgm:constr type="w" for="ch" forName="text3" refType="w" fact="0.3"/>
              <dgm:constr type="h" for="ch" forName="text3" refType="h" fact="0.17938"/>
              <dgm:constr type="r" for="ch" forName="text3" refType="w"/>
              <dgm:constr type="t" for="ch" forName="text3" refType="b" refFor="ch" refForName="text2"/>
              <dgm:constr type="l" for="ch" forName="line3" refType="w" fact="0.625"/>
              <dgm:constr type="ctrY" for="ch" forName="line3" refType="ctrY" refFor="ch" refForName="text3"/>
              <dgm:constr type="w" for="ch" forName="line3" refType="w" fact="0.075"/>
              <dgm:constr type="h" for="ch" forName="line3"/>
              <dgm:constr type="l" for="ch" forName="d3" refType="w" fact="0.4255"/>
              <dgm:constr type="b" for="ch" forName="d3" refType="h" fact="0.78031"/>
              <dgm:constr type="w" for="ch" forName="d3" refType="w" fact="0.1995"/>
              <dgm:constr type="h" for="ch" forName="d3" refType="h" fact="0.332"/>
              <dgm:constr type="w" for="ch" forName="circle4" refType="w" fact="0.6"/>
              <dgm:constr type="h" for="ch" forName="circle4" refType="w" refFor="ch" refForName="circle4"/>
              <dgm:constr type="ctrX" for="ch" forName="circle4" refType="ctrX" refFor="ch" refForName="circle1"/>
              <dgm:constr type="ctrY" for="ch" forName="circle4" refType="ctrY" refFor="ch" refForName="circle1"/>
              <dgm:constr type="w" for="ch" forName="text4" refType="w" fact="0.3"/>
              <dgm:constr type="h" for="ch" forName="text4" refType="h" fact="0.17938"/>
              <dgm:constr type="r" for="ch" forName="text4" refType="w"/>
              <dgm:constr type="t" for="ch" forName="text4" refType="b" refFor="ch" refForName="text3"/>
              <dgm:constr type="l" for="ch" forName="line4" refType="w" fact="0.625"/>
              <dgm:constr type="ctrY" for="ch" forName="line4" refType="ctrY" refFor="ch" refForName="text4"/>
              <dgm:constr type="w" for="ch" forName="line4" refType="w" fact="0.075"/>
              <dgm:constr type="h" for="ch" forName="line4"/>
              <dgm:constr type="l" for="ch" forName="d4" refType="w" fact="0.48525"/>
              <dgm:constr type="b" for="ch" forName="d4" refType="h" fact="0.85594"/>
              <dgm:constr type="w" for="ch" forName="d4" refType="w" fact="0.1394"/>
              <dgm:constr type="h" for="ch" forName="d4" refType="h" fact="0.2282"/>
            </dgm:constrLst>
          </dgm:if>
          <dgm:if name="Name8" axis="ch" ptType="node" func="cnt" op="gte" val="5">
            <dgm:constrLst>
              <dgm:constr type="primFontSz" for="des" ptType="node" op="equ" val="65"/>
              <dgm:constr type="w" for="ch" forName="circle1" refType="w" fact="0.0667"/>
              <dgm:constr type="h" for="ch" forName="circle1" refType="w" refFor="ch" refForName="circle1"/>
              <dgm:constr type="ctrX" for="ch" forName="circle1" refType="w" fact="0.3"/>
              <dgm:constr type="ctrY" for="ch" forName="circle1" refType="h" fact="0.625"/>
              <dgm:constr type="w" for="ch" forName="text1" refType="w" fact="0.3"/>
              <dgm:constr type="h" for="ch" forName="text1" refType="h" fact="0.1324"/>
              <dgm:constr type="r" for="ch" forName="text1" refType="w"/>
              <dgm:constr type="ctrY" for="ch" forName="text1" refType="h" fact="0.13"/>
              <dgm:constr type="l" for="ch" forName="line1" refType="w" fact="0.625"/>
              <dgm:constr type="ctrY" for="ch" forName="line1" refType="ctrY" refFor="ch" refForName="text1"/>
              <dgm:constr type="w" for="ch" forName="line1" refType="w" fact="0.075"/>
              <dgm:constr type="h" for="ch" forName="line1"/>
              <dgm:constr type="l" for="ch" forName="d1" refType="w" fact="0.3"/>
              <dgm:constr type="b" for="ch" forName="d1" refType="h" fact="0.625"/>
              <dgm:constr type="w" for="ch" forName="d1" refType="w" fact="0.3245"/>
              <dgm:constr type="h" for="ch" forName="d1" refType="h" fact="0.495"/>
              <dgm:constr type="w" for="ch" forName="circle2" refType="w" fact="0.2"/>
              <dgm:constr type="h" for="ch" forName="circle2" refType="w" refFor="ch" refForName="circle2"/>
              <dgm:constr type="ctrX" for="ch" forName="circle2" refType="w" fact="0.3"/>
              <dgm:constr type="ctrY" for="ch" forName="circle2" refType="h" fact="0.625"/>
              <dgm:constr type="w" for="ch" forName="text2" refType="w" fact="0.3"/>
              <dgm:constr type="h" for="ch" forName="text2" refType="h" fact="0.1324"/>
              <dgm:constr type="r" for="ch" forName="text2" refType="w"/>
              <dgm:constr type="ctrY" for="ch" forName="text2" refType="h" fact="0.27"/>
              <dgm:constr type="l" for="ch" forName="line2" refType="w" fact="0.625"/>
              <dgm:constr type="ctrY" for="ch" forName="line2" refType="ctrY" refFor="ch" refForName="text2"/>
              <dgm:constr type="w" for="ch" forName="line2" refType="w" fact="0.075"/>
              <dgm:constr type="h" for="ch" forName="line2"/>
              <dgm:constr type="l" for="ch" forName="d2" refType="w" fact="0.3498"/>
              <dgm:constr type="b" for="ch" forName="d2" refType="h" fact="0.682"/>
              <dgm:constr type="w" for="ch" forName="d2" refType="w" fact="0.275"/>
              <dgm:constr type="h" for="ch" forName="d2" refType="h" fact="0.41215"/>
              <dgm:constr type="w" for="ch" forName="circle3" refType="w" fact="0.3334"/>
              <dgm:constr type="h" for="ch" forName="circle3" refType="w" refFor="ch" refForName="circle3"/>
              <dgm:constr type="ctrX" for="ch" forName="circle3" refType="ctrX" refFor="ch" refForName="circle1"/>
              <dgm:constr type="ctrY" for="ch" forName="circle3" refType="ctrY" refFor="ch" refForName="circle1"/>
              <dgm:constr type="w" for="ch" forName="text3" refType="w" fact="0.3"/>
              <dgm:constr type="h" for="ch" forName="text3" refType="h" fact="0.1324"/>
              <dgm:constr type="r" for="ch" forName="text3" refType="w"/>
              <dgm:constr type="ctrY" for="ch" forName="text3" refType="h" fact="0.41"/>
              <dgm:constr type="l" for="ch" forName="line3" refType="w" fact="0.625"/>
              <dgm:constr type="ctrY" for="ch" forName="line3" refType="ctrY" refFor="ch" refForName="text3"/>
              <dgm:constr type="w" for="ch" forName="line3" refType="w" fact="0.075"/>
              <dgm:constr type="h" for="ch" forName="line3"/>
              <dgm:constr type="l" for="ch" forName="d3" refType="w" fact="0.394"/>
              <dgm:constr type="b" for="ch" forName="d3" refType="h" fact="0.735"/>
              <dgm:constr type="w" for="ch" forName="d3" refType="w" fact="0.231"/>
              <dgm:constr type="h" for="ch" forName="d3" refType="h" fact="0.325"/>
              <dgm:constr type="w" for="ch" forName="circle4" refType="w" fact="0.4667"/>
              <dgm:constr type="h" for="ch" forName="circle4" refType="w" refFor="ch" refForName="circle4"/>
              <dgm:constr type="ctrX" for="ch" forName="circle4" refType="ctrX" refFor="ch" refForName="circle1"/>
              <dgm:constr type="ctrY" for="ch" forName="circle4" refType="ctrY" refFor="ch" refForName="circle1"/>
              <dgm:constr type="w" for="ch" forName="text4" refType="w" fact="0.3"/>
              <dgm:constr type="h" for="ch" forName="text4" refType="h" fact="0.1324"/>
              <dgm:constr type="r" for="ch" forName="text4" refType="w"/>
              <dgm:constr type="ctrY" for="ch" forName="text4" refType="h" fact="0.547"/>
              <dgm:constr type="l" for="ch" forName="line4" refType="w" fact="0.625"/>
              <dgm:constr type="ctrY" for="ch" forName="line4" refType="ctrY" refFor="ch" refForName="text4"/>
              <dgm:constr type="w" for="ch" forName="line4" refType="w" fact="0.075"/>
              <dgm:constr type="h" for="ch" forName="line4"/>
              <dgm:constr type="l" for="ch" forName="d4" refType="w" fact="0.446"/>
              <dgm:constr type="b" for="ch" forName="d4" refType="h" fact="0.795"/>
              <dgm:constr type="w" for="ch" forName="d4" refType="w" fact="0.179"/>
              <dgm:constr type="h" for="ch" forName="d4" refType="h" fact="0.248"/>
              <dgm:constr type="w" for="ch" forName="circle5" refType="w" fact="0.6"/>
              <dgm:constr type="h" for="ch" forName="circle5" refType="w" refFor="ch" refForName="circle5"/>
              <dgm:constr type="ctrX" for="ch" forName="circle5" refType="ctrX" refFor="ch" refForName="circle1"/>
              <dgm:constr type="ctrY" for="ch" forName="circle5" refType="ctrY" refFor="ch" refForName="circle1"/>
              <dgm:constr type="w" for="ch" forName="text5" refType="w" fact="0.3"/>
              <dgm:constr type="h" for="ch" forName="text5" refType="h" fact="0.1324"/>
              <dgm:constr type="r" for="ch" forName="text5" refType="w"/>
              <dgm:constr type="ctrY" for="ch" forName="text5" refType="h" fact="0.68"/>
              <dgm:constr type="l" for="ch" forName="line5" refType="w" fact="0.625"/>
              <dgm:constr type="ctrY" for="ch" forName="line5" refType="ctrY" refFor="ch" refForName="text5"/>
              <dgm:constr type="w" for="ch" forName="line5" refType="w" fact="0.075"/>
              <dgm:constr type="h" for="ch" forName="line5"/>
              <dgm:constr type="l" for="ch" forName="d5" refType="w" fact="0.495"/>
              <dgm:constr type="b" for="ch" forName="d5" refType="h" fact="0.855"/>
              <dgm:constr type="w" for="ch" forName="d5" refType="w" fact="0.13"/>
              <dgm:constr type="h" for="ch" forName="d5" refType="h" fact="0.175"/>
            </dgm:constrLst>
          </dgm:if>
          <dgm:else name="Name9"/>
        </dgm:choose>
      </dgm:if>
      <dgm:else name="Name10">
        <dgm:choose name="Name11">
          <dgm:if name="Name12" axis="ch" ptType="node" func="cnt" op="equ" val="0">
            <dgm:constrLst/>
          </dgm:if>
          <dgm:if name="Name13" axis="ch" ptType="node" func="cnt" op="equ" val="1">
            <dgm:constrLst>
              <dgm:constr type="primFontSz" for="des" ptType="node" op="equ" val="65"/>
              <dgm:constr type="w" for="ch" forName="circle1" refType="w" fact="0.6"/>
              <dgm:constr type="h" for="ch" forName="circle1" refType="w" refFor="ch" refForName="circle1"/>
              <dgm:constr type="ctrX" for="ch" forName="circle1" refType="w" fact="0.7"/>
              <dgm:constr type="ctrY" for="ch" forName="circle1" refType="h" fact="0.625"/>
              <dgm:constr type="w" for="ch" forName="text1" refType="w" fact="0.3"/>
              <dgm:constr type="h" for="ch" forName="text1" refType="h" fact="0.3125"/>
              <dgm:constr type="l" for="ch" forName="text1"/>
              <dgm:constr type="t" for="ch" forName="text1"/>
              <dgm:constr type="l" for="ch" forName="line1" refType="r" refFor="ch" refForName="text1"/>
              <dgm:constr type="ctrY" for="ch" forName="line1" refType="ctrY" refFor="ch" refForName="text1"/>
              <dgm:constr type="r" for="ch" forName="line1" refType="w" fact="0.375"/>
              <dgm:constr type="h" for="ch" forName="line1"/>
              <dgm:constr type="r" for="ch" forName="d1" refType="w" fact="0.7"/>
              <dgm:constr type="b" for="ch" forName="d1" refType="h" fact="0.625"/>
              <dgm:constr type="w" for="ch" forName="d1" refType="w" fact="0.32475"/>
              <dgm:constr type="h" for="ch" forName="d1" refType="h" fact="0.469"/>
            </dgm:constrLst>
          </dgm:if>
          <dgm:if name="Name14" axis="ch" ptType="node" func="cnt" op="equ" val="2">
            <dgm:constrLst>
              <dgm:constr type="primFontSz" for="des" ptType="node" op="equ" val="65"/>
              <dgm:constr type="w" for="ch" forName="circle1" refType="w" fact="0.2"/>
              <dgm:constr type="h" for="ch" forName="circle1" refType="w" refFor="ch" refForName="circle1"/>
              <dgm:constr type="ctrX" for="ch" forName="circle1" refType="w" fact="0.7"/>
              <dgm:constr type="ctrY" for="ch" forName="circle1" refType="h" fact="0.625"/>
              <dgm:constr type="w" for="ch" forName="text1" refType="w" fact="0.3"/>
              <dgm:constr type="h" for="ch" forName="text1" refType="h" fact="0.3125"/>
              <dgm:constr type="l" for="ch" forName="text1"/>
              <dgm:constr type="t" for="ch" forName="text1"/>
              <dgm:constr type="l" for="ch" forName="line1" refType="r" refFor="ch" refForName="text1"/>
              <dgm:constr type="ctrY" for="ch" forName="line1" refType="ctrY" refFor="ch" refForName="text1"/>
              <dgm:constr type="r" for="ch" forName="line1" refType="w" fact="0.375"/>
              <dgm:constr type="h" for="ch" forName="line1"/>
              <dgm:constr type="r" for="ch" forName="d1" refType="w" fact="0.7"/>
              <dgm:constr type="b" for="ch" forName="d1" refType="h" fact="0.625"/>
              <dgm:constr type="w" for="ch" forName="d1" refType="w" fact="0.32475"/>
              <dgm:constr type="h" for="ch" forName="d1" refType="h" fact="0.469"/>
              <dgm:constr type="w" for="ch" forName="circle2" refType="w" fact="0.6"/>
              <dgm:constr type="h" for="ch" forName="circle2" refType="w" refFor="ch" refForName="circle2"/>
              <dgm:constr type="ctrX" for="ch" forName="circle2" refType="w" fact="0.7"/>
              <dgm:constr type="ctrY" for="ch" forName="circle2" refType="h" fact="0.625"/>
              <dgm:constr type="w" for="ch" forName="text2" refType="w" fact="0.3"/>
              <dgm:constr type="h" for="ch" forName="text2" refType="h" fact="0.3125"/>
              <dgm:constr type="l" for="ch" forName="text2"/>
              <dgm:constr type="t" for="ch" forName="text2" refType="b" refFor="ch" refForName="text1"/>
              <dgm:constr type="l" for="ch" forName="line2" refType="r" refFor="ch" refForName="text2"/>
              <dgm:constr type="ctrY" for="ch" forName="line2" refType="ctrY" refFor="ch" refForName="text2"/>
              <dgm:constr type="r" for="ch" forName="line2" refType="w" fact="0.375"/>
              <dgm:constr type="h" for="ch" forName="line2"/>
              <dgm:constr type="r" for="ch" forName="d2" refType="w" fact="0.55675"/>
              <dgm:constr type="b" for="ch" forName="d2" refType="h" fact="0.7975"/>
              <dgm:constr type="w" for="ch" forName="d2" refType="w" fact="0.1815"/>
              <dgm:constr type="h" for="ch" forName="d2" refType="h" fact="0.3283"/>
            </dgm:constrLst>
          </dgm:if>
          <dgm:if name="Name15" axis="ch" ptType="node" func="cnt" op="equ" val="3">
            <dgm:constrLst>
              <dgm:constr type="primFontSz" for="des" ptType="node" op="equ" val="65"/>
              <dgm:constr type="w" for="ch" forName="circle1" refType="w" fact="0.12"/>
              <dgm:constr type="h" for="ch" forName="circle1" refType="w" refFor="ch" refForName="circle1"/>
              <dgm:constr type="ctrX" for="ch" forName="circle1" refType="w" fact="0.7"/>
              <dgm:constr type="ctrY" for="ch" forName="circle1" refType="h" fact="0.625"/>
              <dgm:constr type="w" for="ch" forName="text1" refType="w" fact="0.3"/>
              <dgm:constr type="h" for="ch" forName="text1" refType="h" fact="0.21875"/>
              <dgm:constr type="l" for="ch" forName="text1"/>
              <dgm:constr type="t" for="ch" forName="text1"/>
              <dgm:constr type="l" for="ch" forName="line1" refType="r" refFor="ch" refForName="text1"/>
              <dgm:constr type="ctrY" for="ch" forName="line1" refType="ctrY" refFor="ch" refForName="text1"/>
              <dgm:constr type="r" for="ch" forName="line1" refType="w" fact="0.375"/>
              <dgm:constr type="h" for="ch" forName="line1"/>
              <dgm:constr type="r" for="ch" forName="d1" refType="w" fact="0.7"/>
              <dgm:constr type="b" for="ch" forName="d1" refType="h" fact="0.625"/>
              <dgm:constr type="w" for="ch" forName="d1" refType="w" fact="0.3247"/>
              <dgm:constr type="h" for="ch" forName="d1" refType="h" fact="0.5155"/>
              <dgm:constr type="w" for="ch" forName="circle2" refType="w" fact="0.36"/>
              <dgm:constr type="h" for="ch" forName="circle2" refType="w" refFor="ch" refForName="circle2"/>
              <dgm:constr type="ctrX" for="ch" forName="circle2" refType="w" fact="0.7"/>
              <dgm:constr type="ctrY" for="ch" forName="circle2" refType="h" fact="0.625"/>
              <dgm:constr type="w" for="ch" forName="text2" refType="w" fact="0.3"/>
              <dgm:constr type="h" for="ch" forName="text2" refType="h" fact="0.21875"/>
              <dgm:constr type="l" for="ch" forName="text2"/>
              <dgm:constr type="t" for="ch" forName="text2" refType="b" refFor="ch" refForName="text1"/>
              <dgm:constr type="l" for="ch" forName="line2" refType="r" refFor="ch" refForName="text2"/>
              <dgm:constr type="ctrY" for="ch" forName="line2" refType="ctrY" refFor="ch" refForName="text2"/>
              <dgm:constr type="r" for="ch" forName="line2" refType="w" fact="0.375"/>
              <dgm:constr type="h" for="ch" forName="line2"/>
              <dgm:constr type="r" for="ch" forName="d2" refType="w" fact="0.614"/>
              <dgm:constr type="b" for="ch" forName="d2" refType="h" fact="0.72969"/>
              <dgm:constr type="w" for="ch" forName="d2" refType="w" fact="0.2387"/>
              <dgm:constr type="h" for="ch" forName="d2" refType="h" fact="0.4017"/>
              <dgm:constr type="w" for="ch" forName="circle3" refType="w" fact="0.6"/>
              <dgm:constr type="h" for="ch" forName="circle3" refType="w" refFor="ch" refForName="circle3"/>
              <dgm:constr type="ctrX" for="ch" forName="circle3" refType="ctrX" refFor="ch" refForName="circle1"/>
              <dgm:constr type="ctrY" for="ch" forName="circle3" refType="ctrY" refFor="ch" refForName="circle1"/>
              <dgm:constr type="w" for="ch" forName="text3" refType="w" fact="0.3"/>
              <dgm:constr type="h" for="ch" forName="text3" refType="h" fact="0.21875"/>
              <dgm:constr type="l" for="ch" forName="text3"/>
              <dgm:constr type="t" for="ch" forName="text3" refType="b" refFor="ch" refForName="text2"/>
              <dgm:constr type="l" for="ch" forName="line3" refType="r" refFor="ch" refForName="text3"/>
              <dgm:constr type="ctrY" for="ch" forName="line3" refType="ctrY" refFor="ch" refForName="text3"/>
              <dgm:constr type="r" for="ch" forName="line3" refType="w" fact="0.375"/>
              <dgm:constr type="h" for="ch" forName="line3"/>
              <dgm:constr type="r" for="ch" forName="d3" refType="w" fact="0.52825"/>
              <dgm:constr type="b" for="ch" forName="d3" refType="h" fact="0.83375"/>
              <dgm:constr type="w" for="ch" forName="d3" refType="w" fact="0.1527"/>
              <dgm:constr type="h" for="ch" forName="d3" refType="h" fact="0.287"/>
            </dgm:constrLst>
          </dgm:if>
          <dgm:if name="Name16" axis="ch" ptType="node" func="cnt" op="equ" val="4">
            <dgm:constrLst>
              <dgm:constr type="primFontSz" for="des" ptType="node" op="equ" val="65"/>
              <dgm:constr type="w" for="ch" forName="circle1" refType="w" fact="0.0857"/>
              <dgm:constr type="h" for="ch" forName="circle1" refType="w" refFor="ch" refForName="circle1"/>
              <dgm:constr type="ctrX" for="ch" forName="circle1" refType="w" fact="0.7"/>
              <dgm:constr type="ctrY" for="ch" forName="circle1" refType="h" fact="0.625"/>
              <dgm:constr type="w" for="ch" forName="text1" refType="w" fact="0.3"/>
              <dgm:constr type="h" for="ch" forName="text1" refType="h" fact="0.17938"/>
              <dgm:constr type="l" for="ch" forName="text1"/>
              <dgm:constr type="t" for="ch" forName="text1"/>
              <dgm:constr type="l" for="ch" forName="line1" refType="r" refFor="ch" refForName="text1"/>
              <dgm:constr type="ctrY" for="ch" forName="line1" refType="ctrY" refFor="ch" refForName="text1"/>
              <dgm:constr type="r" for="ch" forName="line1" refType="w" fact="0.375"/>
              <dgm:constr type="h" for="ch" forName="line1"/>
              <dgm:constr type="r" for="ch" forName="d1" refType="w" fact="0.705"/>
              <dgm:constr type="b" for="ch" forName="d1" refType="h" fact="0.62"/>
              <dgm:constr type="w" for="ch" forName="d1" refType="w" fact="0.33"/>
              <dgm:constr type="h" for="ch" forName="d1" refType="h" fact="0.53"/>
              <dgm:constr type="w" for="ch" forName="circle2" refType="w" fact="0.2571"/>
              <dgm:constr type="h" for="ch" forName="circle2" refType="w" refFor="ch" refForName="circle2"/>
              <dgm:constr type="ctrX" for="ch" forName="circle2" refType="w" fact="0.7"/>
              <dgm:constr type="ctrY" for="ch" forName="circle2" refType="h" fact="0.625"/>
              <dgm:constr type="w" for="ch" forName="text2" refType="w" fact="0.3"/>
              <dgm:constr type="h" for="ch" forName="text2" refType="h" fact="0.17938"/>
              <dgm:constr type="l" for="ch" forName="text2"/>
              <dgm:constr type="t" for="ch" forName="text2" refType="b" refFor="ch" refForName="text1"/>
              <dgm:constr type="l" for="ch" forName="line2" refType="r" refFor="ch" refForName="text2"/>
              <dgm:constr type="ctrY" for="ch" forName="line2" refType="ctrY" refFor="ch" refForName="text2"/>
              <dgm:constr type="r" for="ch" forName="line2" refType="w" fact="0.375"/>
              <dgm:constr type="h" for="ch" forName="line2"/>
              <dgm:constr type="r" for="ch" forName="d2" refType="w" fact="0.63375"/>
              <dgm:constr type="b" for="ch" forName="d2" refType="h" fact="0.70438"/>
              <dgm:constr type="w" for="ch" forName="d2" refType="w" fact="0.2585"/>
              <dgm:constr type="h" for="ch" forName="d2" refType="h" fact="0.43525"/>
              <dgm:constr type="w" for="ch" forName="circle3" refType="w" fact="0.4285"/>
              <dgm:constr type="h" for="ch" forName="circle3" refType="w" refFor="ch" refForName="circle3"/>
              <dgm:constr type="ctrX" for="ch" forName="circle3" refType="ctrX" refFor="ch" refForName="circle1"/>
              <dgm:constr type="ctrY" for="ch" forName="circle3" refType="ctrY" refFor="ch" refForName="circle1"/>
              <dgm:constr type="w" for="ch" forName="text3" refType="w" fact="0.3"/>
              <dgm:constr type="h" for="ch" forName="text3" refType="h" fact="0.17938"/>
              <dgm:constr type="l" for="ch" forName="text3"/>
              <dgm:constr type="t" for="ch" forName="text3" refType="b" refFor="ch" refForName="text2"/>
              <dgm:constr type="l" for="ch" forName="line3" refType="r" refFor="ch" refForName="text3"/>
              <dgm:constr type="ctrY" for="ch" forName="line3" refType="ctrY" refFor="ch" refForName="text3"/>
              <dgm:constr type="r" for="ch" forName="line3" refType="w" fact="0.375"/>
              <dgm:constr type="h" for="ch" forName="line3"/>
              <dgm:constr type="r" for="ch" forName="d3" refType="w" fact="0.5745"/>
              <dgm:constr type="b" for="ch" forName="d3" refType="h" fact="0.78031"/>
              <dgm:constr type="w" for="ch" forName="d3" refType="w" fact="0.1995"/>
              <dgm:constr type="h" for="ch" forName="d3" refType="h" fact="0.332"/>
              <dgm:constr type="w" for="ch" forName="circle4" refType="w" fact="0.6"/>
              <dgm:constr type="h" for="ch" forName="circle4" refType="w" refFor="ch" refForName="circle4"/>
              <dgm:constr type="ctrX" for="ch" forName="circle4" refType="ctrX" refFor="ch" refForName="circle1"/>
              <dgm:constr type="ctrY" for="ch" forName="circle4" refType="ctrY" refFor="ch" refForName="circle1"/>
              <dgm:constr type="w" for="ch" forName="text4" refType="w" fact="0.3"/>
              <dgm:constr type="h" for="ch" forName="text4" refType="h" fact="0.17938"/>
              <dgm:constr type="l" for="ch" forName="text4"/>
              <dgm:constr type="t" for="ch" forName="text4" refType="b" refFor="ch" refForName="text3"/>
              <dgm:constr type="l" for="ch" forName="line4" refType="r" refFor="ch" refForName="text4"/>
              <dgm:constr type="ctrY" for="ch" forName="line4" refType="ctrY" refFor="ch" refForName="text4"/>
              <dgm:constr type="r" for="ch" forName="line4" refType="w" fact="0.375"/>
              <dgm:constr type="h" for="ch" forName="line4"/>
              <dgm:constr type="r" for="ch" forName="d4" refType="w" fact="0.51475"/>
              <dgm:constr type="b" for="ch" forName="d4" refType="h" fact="0.85594"/>
              <dgm:constr type="w" for="ch" forName="d4" refType="w" fact="0.1394"/>
              <dgm:constr type="h" for="ch" forName="d4" refType="h" fact="0.2282"/>
            </dgm:constrLst>
          </dgm:if>
          <dgm:if name="Name17" axis="ch" ptType="node" func="cnt" op="gte" val="5">
            <dgm:constrLst>
              <dgm:constr type="primFontSz" for="des" ptType="node" op="equ" val="65"/>
              <dgm:constr type="w" for="ch" forName="circle1" refType="w" fact="0.0667"/>
              <dgm:constr type="h" for="ch" forName="circle1" refType="w" refFor="ch" refForName="circle1"/>
              <dgm:constr type="ctrX" for="ch" forName="circle1" refType="w" fact="0.7"/>
              <dgm:constr type="ctrY" for="ch" forName="circle1" refType="h" fact="0.625"/>
              <dgm:constr type="w" for="ch" forName="text1" refType="w" fact="0.3"/>
              <dgm:constr type="h" for="ch" forName="text1" refType="h" fact="0.1324"/>
              <dgm:constr type="l" for="ch" forName="text1"/>
              <dgm:constr type="ctrY" for="ch" forName="text1" refType="h" fact="0.13"/>
              <dgm:constr type="l" for="ch" forName="line1" refType="r" refFor="ch" refForName="text1"/>
              <dgm:constr type="ctrY" for="ch" forName="line1" refType="ctrY" refFor="ch" refForName="text1"/>
              <dgm:constr type="r" for="ch" forName="line1" refType="w" fact="0.375"/>
              <dgm:constr type="h" for="ch" forName="line1"/>
              <dgm:constr type="r" for="ch" forName="d1" refType="w" fact="0.7"/>
              <dgm:constr type="b" for="ch" forName="d1" refType="h" fact="0.625"/>
              <dgm:constr type="w" for="ch" forName="d1" refType="w" fact="0.3245"/>
              <dgm:constr type="h" for="ch" forName="d1" refType="h" fact="0.495"/>
              <dgm:constr type="w" for="ch" forName="circle2" refType="w" fact="0.2"/>
              <dgm:constr type="h" for="ch" forName="circle2" refType="w" refFor="ch" refForName="circle2"/>
              <dgm:constr type="ctrX" for="ch" forName="circle2" refType="w" fact="0.7"/>
              <dgm:constr type="ctrY" for="ch" forName="circle2" refType="h" fact="0.625"/>
              <dgm:constr type="w" for="ch" forName="text2" refType="w" fact="0.3"/>
              <dgm:constr type="h" for="ch" forName="text2" refType="h" fact="0.1324"/>
              <dgm:constr type="l" for="ch" forName="text2"/>
              <dgm:constr type="ctrY" for="ch" forName="text2" refType="h" fact="0.27"/>
              <dgm:constr type="l" for="ch" forName="line2" refType="r" refFor="ch" refForName="text2"/>
              <dgm:constr type="ctrY" for="ch" forName="line2" refType="ctrY" refFor="ch" refForName="text2"/>
              <dgm:constr type="r" for="ch" forName="line2" refType="w" fact="0.375"/>
              <dgm:constr type="h" for="ch" forName="line2"/>
              <dgm:constr type="r" for="ch" forName="d2" refType="w" fact="0.6502"/>
              <dgm:constr type="b" for="ch" forName="d2" refType="h" fact="0.682"/>
              <dgm:constr type="w" for="ch" forName="d2" refType="w" fact="0.275"/>
              <dgm:constr type="h" for="ch" forName="d2" refType="h" fact="0.41215"/>
              <dgm:constr type="w" for="ch" forName="circle3" refType="w" fact="0.3334"/>
              <dgm:constr type="h" for="ch" forName="circle3" refType="w" refFor="ch" refForName="circle3"/>
              <dgm:constr type="ctrX" for="ch" forName="circle3" refType="ctrX" refFor="ch" refForName="circle1"/>
              <dgm:constr type="ctrY" for="ch" forName="circle3" refType="ctrY" refFor="ch" refForName="circle1"/>
              <dgm:constr type="w" for="ch" forName="text3" refType="w" fact="0.3"/>
              <dgm:constr type="h" for="ch" forName="text3" refType="h" fact="0.1324"/>
              <dgm:constr type="l" for="ch" forName="text3"/>
              <dgm:constr type="ctrY" for="ch" forName="text3" refType="h" fact="0.41"/>
              <dgm:constr type="l" for="ch" forName="line3" refType="r" refFor="ch" refForName="text3"/>
              <dgm:constr type="ctrY" for="ch" forName="line3" refType="ctrY" refFor="ch" refForName="text3"/>
              <dgm:constr type="r" for="ch" forName="line3" refType="w" fact="0.375"/>
              <dgm:constr type="h" for="ch" forName="line3"/>
              <dgm:constr type="r" for="ch" forName="d3" refType="w" fact="0.606"/>
              <dgm:constr type="b" for="ch" forName="d3" refType="h" fact="0.735"/>
              <dgm:constr type="w" for="ch" forName="d3" refType="w" fact="0.231"/>
              <dgm:constr type="h" for="ch" forName="d3" refType="h" fact="0.325"/>
              <dgm:constr type="w" for="ch" forName="circle4" refType="w" fact="0.4667"/>
              <dgm:constr type="h" for="ch" forName="circle4" refType="w" refFor="ch" refForName="circle4"/>
              <dgm:constr type="ctrX" for="ch" forName="circle4" refType="ctrX" refFor="ch" refForName="circle1"/>
              <dgm:constr type="ctrY" for="ch" forName="circle4" refType="ctrY" refFor="ch" refForName="circle1"/>
              <dgm:constr type="w" for="ch" forName="text4" refType="w" fact="0.3"/>
              <dgm:constr type="h" for="ch" forName="text4" refType="h" fact="0.1324"/>
              <dgm:constr type="l" for="ch" forName="text4"/>
              <dgm:constr type="ctrY" for="ch" forName="text4" refType="h" fact="0.547"/>
              <dgm:constr type="l" for="ch" forName="line4" refType="r" refFor="ch" refForName="text4"/>
              <dgm:constr type="ctrY" for="ch" forName="line4" refType="ctrY" refFor="ch" refForName="text4"/>
              <dgm:constr type="r" for="ch" forName="line4" refType="w" fact="0.375"/>
              <dgm:constr type="h" for="ch" forName="line4"/>
              <dgm:constr type="r" for="ch" forName="d4" refType="w" fact="0.554"/>
              <dgm:constr type="b" for="ch" forName="d4" refType="h" fact="0.795"/>
              <dgm:constr type="w" for="ch" forName="d4" refType="w" fact="0.179"/>
              <dgm:constr type="h" for="ch" forName="d4" refType="h" fact="0.248"/>
              <dgm:constr type="w" for="ch" forName="circle5" refType="w" fact="0.6"/>
              <dgm:constr type="h" for="ch" forName="circle5" refType="w" refFor="ch" refForName="circle5"/>
              <dgm:constr type="ctrX" for="ch" forName="circle5" refType="ctrX" refFor="ch" refForName="circle1"/>
              <dgm:constr type="ctrY" for="ch" forName="circle5" refType="ctrY" refFor="ch" refForName="circle1"/>
              <dgm:constr type="w" for="ch" forName="text5" refType="w" fact="0.3"/>
              <dgm:constr type="h" for="ch" forName="text5" refType="h" fact="0.1324"/>
              <dgm:constr type="l" for="ch" forName="text5"/>
              <dgm:constr type="ctrY" for="ch" forName="text5" refType="h" fact="0.68"/>
              <dgm:constr type="l" for="ch" forName="line5" refType="r" refFor="ch" refForName="text5"/>
              <dgm:constr type="ctrY" for="ch" forName="line5" refType="ctrY" refFor="ch" refForName="text5"/>
              <dgm:constr type="r" for="ch" forName="line5" refType="w" fact="0.375"/>
              <dgm:constr type="h" for="ch" forName="line5"/>
              <dgm:constr type="r" for="ch" forName="d5" refType="w" fact="0.505"/>
              <dgm:constr type="b" for="ch" forName="d5" refType="h" fact="0.855"/>
              <dgm:constr type="w" for="ch" forName="d5" refType="w" fact="0.13"/>
              <dgm:constr type="h" for="ch" forName="d5" refType="h" fact="0.175"/>
            </dgm:constrLst>
          </dgm:if>
          <dgm:else name="Name18"/>
        </dgm:choose>
      </dgm:else>
    </dgm:choose>
    <dgm:ruleLst/>
    <dgm:forEach name="Name19" axis="ch" ptType="node" cnt="1">
      <dgm:layoutNode name="circle1" styleLbl="lnNode1">
        <dgm:alg type="sp"/>
        <dgm:shape xmlns:r="http://schemas.openxmlformats.org/officeDocument/2006/relationships" type="ellipse" r:blip="">
          <dgm:adjLst/>
        </dgm:shape>
        <dgm:presOf/>
        <dgm:constrLst/>
        <dgm:ruleLst/>
      </dgm:layoutNode>
      <dgm:layoutNode name="text1" styleLbl="revTx">
        <dgm:varLst>
          <dgm:bulletEnabled val="1"/>
        </dgm:varLst>
        <dgm:choose name="Name20">
          <dgm:if name="Name21" func="var" arg="dir" op="equ" val="norm">
            <dgm:choose name="Name22">
              <dgm:if name="Name23" axis="root des" ptType="all node" func="maxDepth" op="gt" val="1">
                <dgm:alg type="tx">
                  <dgm:param type="parTxLTRAlign" val="l"/>
                  <dgm:param type="parTxRTLAlign" val="r"/>
                </dgm:alg>
              </dgm:if>
              <dgm:else name="Name24">
                <dgm:alg type="tx">
                  <dgm:param type="parTxLTRAlign" val="l"/>
                  <dgm:param type="parTxRTLAlign" val="l"/>
                </dgm:alg>
              </dgm:else>
            </dgm:choose>
          </dgm:if>
          <dgm:else name="Name25">
            <dgm:choose name="Name26">
              <dgm:if name="Name27" axis="root des" ptType="all node" func="maxDepth" op="gt" val="1">
                <dgm:alg type="tx">
                  <dgm:param type="parTxLTRAlign" val="l"/>
                  <dgm:param type="parTxRTLAlign" val="r"/>
                </dgm:alg>
              </dgm:if>
              <dgm:else name="Name28">
                <dgm:alg type="tx">
                  <dgm:param type="parTxLTRAlign" val="r"/>
                  <dgm:param type="parTxRTLAlign" val="r"/>
                </dgm:alg>
              </dgm:else>
            </dgm:choose>
          </dgm:else>
        </dgm:choose>
        <dgm:shape xmlns:r="http://schemas.openxmlformats.org/officeDocument/2006/relationships" type="rect" r:blip="">
          <dgm:adjLst/>
        </dgm:shape>
        <dgm:presOf axis="desOrSelf" ptType="node"/>
        <dgm:choose name="Name29">
          <dgm:if name="Name30" func="var" arg="dir" op="equ" val="norm">
            <dgm:constrLst>
              <dgm:constr type="tMarg" refType="primFontSz" fact="0.1"/>
              <dgm:constr type="bMarg" refType="primFontSz" fact="0.1"/>
              <dgm:constr type="rMarg" refType="primFontSz" fact="0.1"/>
            </dgm:constrLst>
          </dgm:if>
          <dgm:else name="Name31">
            <dgm:constrLst>
              <dgm:constr type="tMarg" refType="primFontSz" fact="0.1"/>
              <dgm:constr type="bMarg" refType="primFontSz" fact="0.1"/>
              <dgm:constr type="lMarg" refType="primFontSz" fact="0.1"/>
            </dgm:constrLst>
          </dgm:else>
        </dgm:choose>
        <dgm:ruleLst>
          <dgm:rule type="primFontSz" val="5" fact="NaN" max="NaN"/>
        </dgm:ruleLst>
      </dgm:layoutNode>
      <dgm:layoutNode name="line1" styleLbl="callout">
        <dgm:alg type="sp"/>
        <dgm:shape xmlns:r="http://schemas.openxmlformats.org/officeDocument/2006/relationships" type="line" r:blip="">
          <dgm:adjLst/>
        </dgm:shape>
        <dgm:presOf/>
        <dgm:constrLst/>
        <dgm:ruleLst/>
      </dgm:layoutNode>
      <dgm:layoutNode name="d1" styleLbl="callout">
        <dgm:alg type="sp"/>
        <dgm:choose name="Name32">
          <dgm:if name="Name33" func="var" arg="dir" op="equ" val="norm">
            <dgm:shape xmlns:r="http://schemas.openxmlformats.org/officeDocument/2006/relationships" rot="90" type="line" r:blip="">
              <dgm:adjLst/>
            </dgm:shape>
          </dgm:if>
          <dgm:else name="Name34">
            <dgm:shape xmlns:r="http://schemas.openxmlformats.org/officeDocument/2006/relationships" rot="180" type="line" r:blip="">
              <dgm:adjLst/>
            </dgm:shape>
          </dgm:else>
        </dgm:choose>
        <dgm:presOf/>
        <dgm:constrLst/>
        <dgm:ruleLst/>
      </dgm:layoutNode>
    </dgm:forEach>
    <dgm:forEach name="Name35" axis="ch" ptType="node" st="2" cnt="1">
      <dgm:layoutNode name="circle2" styleLbl="lnNode1">
        <dgm:alg type="sp"/>
        <dgm:shape xmlns:r="http://schemas.openxmlformats.org/officeDocument/2006/relationships" type="ellipse" r:blip="" zOrderOff="-5">
          <dgm:adjLst/>
        </dgm:shape>
        <dgm:presOf/>
        <dgm:constrLst/>
        <dgm:ruleLst/>
      </dgm:layoutNode>
      <dgm:layoutNode name="text2" styleLbl="revTx">
        <dgm:varLst>
          <dgm:bulletEnabled val="1"/>
        </dgm:varLst>
        <dgm:choose name="Name36">
          <dgm:if name="Name37" func="var" arg="dir" op="equ" val="norm">
            <dgm:choose name="Name38">
              <dgm:if name="Name39" axis="root des" ptType="all node" func="maxDepth" op="gt" val="1">
                <dgm:alg type="tx">
                  <dgm:param type="parTxLTRAlign" val="l"/>
                  <dgm:param type="parTxRTLAlign" val="r"/>
                </dgm:alg>
              </dgm:if>
              <dgm:else name="Name40">
                <dgm:alg type="tx">
                  <dgm:param type="parTxLTRAlign" val="l"/>
                  <dgm:param type="parTxRTLAlign" val="l"/>
                </dgm:alg>
              </dgm:else>
            </dgm:choose>
          </dgm:if>
          <dgm:else name="Name41">
            <dgm:choose name="Name42">
              <dgm:if name="Name43" axis="root des" ptType="all node" func="maxDepth" op="gt" val="1">
                <dgm:alg type="tx">
                  <dgm:param type="parTxLTRAlign" val="l"/>
                  <dgm:param type="parTxRTLAlign" val="r"/>
                </dgm:alg>
              </dgm:if>
              <dgm:else name="Name44">
                <dgm:alg type="tx">
                  <dgm:param type="parTxLTRAlign" val="r"/>
                  <dgm:param type="parTxRTLAlign" val="r"/>
                </dgm:alg>
              </dgm:else>
            </dgm:choose>
          </dgm:else>
        </dgm:choose>
        <dgm:shape xmlns:r="http://schemas.openxmlformats.org/officeDocument/2006/relationships" type="rect" r:blip="">
          <dgm:adjLst/>
        </dgm:shape>
        <dgm:presOf axis="desOrSelf" ptType="node"/>
        <dgm:choose name="Name45">
          <dgm:if name="Name46" func="var" arg="dir" op="equ" val="norm">
            <dgm:constrLst>
              <dgm:constr type="tMarg" refType="primFontSz" fact="0.1"/>
              <dgm:constr type="bMarg" refType="primFontSz" fact="0.1"/>
              <dgm:constr type="rMarg" refType="primFontSz" fact="0.1"/>
            </dgm:constrLst>
          </dgm:if>
          <dgm:else name="Name47">
            <dgm:constrLst>
              <dgm:constr type="tMarg" refType="primFontSz" fact="0.1"/>
              <dgm:constr type="bMarg" refType="primFontSz" fact="0.1"/>
              <dgm:constr type="lMarg" refType="primFontSz" fact="0.1"/>
            </dgm:constrLst>
          </dgm:else>
        </dgm:choose>
        <dgm:ruleLst>
          <dgm:rule type="primFontSz" val="5" fact="NaN" max="NaN"/>
        </dgm:ruleLst>
      </dgm:layoutNode>
      <dgm:layoutNode name="line2" styleLbl="callout">
        <dgm:alg type="sp"/>
        <dgm:shape xmlns:r="http://schemas.openxmlformats.org/officeDocument/2006/relationships" type="line" r:blip="">
          <dgm:adjLst/>
        </dgm:shape>
        <dgm:presOf/>
        <dgm:constrLst/>
        <dgm:ruleLst/>
      </dgm:layoutNode>
      <dgm:layoutNode name="d2" styleLbl="callout">
        <dgm:alg type="sp"/>
        <dgm:choose name="Name48">
          <dgm:if name="Name49" func="var" arg="dir" op="equ" val="norm">
            <dgm:shape xmlns:r="http://schemas.openxmlformats.org/officeDocument/2006/relationships" rot="90" type="line" r:blip="">
              <dgm:adjLst/>
            </dgm:shape>
          </dgm:if>
          <dgm:else name="Name50">
            <dgm:shape xmlns:r="http://schemas.openxmlformats.org/officeDocument/2006/relationships" rot="180" type="line" r:blip="">
              <dgm:adjLst/>
            </dgm:shape>
          </dgm:else>
        </dgm:choose>
        <dgm:presOf/>
        <dgm:constrLst/>
        <dgm:ruleLst/>
      </dgm:layoutNode>
    </dgm:forEach>
    <dgm:forEach name="Name51" axis="ch" ptType="node" st="3" cnt="1">
      <dgm:layoutNode name="circle3" styleLbl="lnNode1">
        <dgm:alg type="sp"/>
        <dgm:shape xmlns:r="http://schemas.openxmlformats.org/officeDocument/2006/relationships" type="ellipse" r:blip="" zOrderOff="-10">
          <dgm:adjLst/>
        </dgm:shape>
        <dgm:presOf/>
        <dgm:constrLst/>
        <dgm:ruleLst/>
      </dgm:layoutNode>
      <dgm:layoutNode name="text3" styleLbl="revTx">
        <dgm:varLst>
          <dgm:bulletEnabled val="1"/>
        </dgm:varLst>
        <dgm:choose name="Name52">
          <dgm:if name="Name53" func="var" arg="dir" op="equ" val="norm">
            <dgm:choose name="Name54">
              <dgm:if name="Name55" axis="root des" ptType="all node" func="maxDepth" op="gt" val="1">
                <dgm:alg type="tx">
                  <dgm:param type="parTxLTRAlign" val="l"/>
                  <dgm:param type="parTxRTLAlign" val="r"/>
                </dgm:alg>
              </dgm:if>
              <dgm:else name="Name56">
                <dgm:alg type="tx">
                  <dgm:param type="parTxLTRAlign" val="l"/>
                  <dgm:param type="parTxRTLAlign" val="l"/>
                </dgm:alg>
              </dgm:else>
            </dgm:choose>
          </dgm:if>
          <dgm:else name="Name57">
            <dgm:choose name="Name58">
              <dgm:if name="Name59" axis="root des" ptType="all node" func="maxDepth" op="gt" val="1">
                <dgm:alg type="tx">
                  <dgm:param type="parTxLTRAlign" val="l"/>
                  <dgm:param type="parTxRTLAlign" val="r"/>
                </dgm:alg>
              </dgm:if>
              <dgm:else name="Name60">
                <dgm:alg type="tx">
                  <dgm:param type="parTxLTRAlign" val="r"/>
                  <dgm:param type="parTxRTLAlign" val="r"/>
                </dgm:alg>
              </dgm:else>
            </dgm:choose>
          </dgm:else>
        </dgm:choose>
        <dgm:shape xmlns:r="http://schemas.openxmlformats.org/officeDocument/2006/relationships" type="rect" r:blip="">
          <dgm:adjLst/>
        </dgm:shape>
        <dgm:presOf axis="desOrSelf" ptType="node"/>
        <dgm:choose name="Name61">
          <dgm:if name="Name62" func="var" arg="dir" op="equ" val="norm">
            <dgm:constrLst>
              <dgm:constr type="tMarg" refType="primFontSz" fact="0.1"/>
              <dgm:constr type="bMarg" refType="primFontSz" fact="0.1"/>
              <dgm:constr type="rMarg" refType="primFontSz" fact="0.1"/>
            </dgm:constrLst>
          </dgm:if>
          <dgm:else name="Name63">
            <dgm:constrLst>
              <dgm:constr type="tMarg" refType="primFontSz" fact="0.1"/>
              <dgm:constr type="bMarg" refType="primFontSz" fact="0.1"/>
              <dgm:constr type="lMarg" refType="primFontSz" fact="0.1"/>
            </dgm:constrLst>
          </dgm:else>
        </dgm:choose>
        <dgm:ruleLst>
          <dgm:rule type="primFontSz" val="5" fact="NaN" max="NaN"/>
        </dgm:ruleLst>
      </dgm:layoutNode>
      <dgm:layoutNode name="line3" styleLbl="callout">
        <dgm:alg type="sp"/>
        <dgm:shape xmlns:r="http://schemas.openxmlformats.org/officeDocument/2006/relationships" type="line" r:blip="">
          <dgm:adjLst/>
        </dgm:shape>
        <dgm:presOf/>
        <dgm:constrLst/>
        <dgm:ruleLst/>
      </dgm:layoutNode>
      <dgm:layoutNode name="d3" styleLbl="callout">
        <dgm:alg type="sp"/>
        <dgm:choose name="Name64">
          <dgm:if name="Name65" func="var" arg="dir" op="equ" val="norm">
            <dgm:shape xmlns:r="http://schemas.openxmlformats.org/officeDocument/2006/relationships" rot="90" type="line" r:blip="">
              <dgm:adjLst/>
            </dgm:shape>
          </dgm:if>
          <dgm:else name="Name66">
            <dgm:shape xmlns:r="http://schemas.openxmlformats.org/officeDocument/2006/relationships" rot="180" type="line" r:blip="">
              <dgm:adjLst/>
            </dgm:shape>
          </dgm:else>
        </dgm:choose>
        <dgm:presOf/>
        <dgm:constrLst/>
        <dgm:ruleLst/>
      </dgm:layoutNode>
    </dgm:forEach>
    <dgm:forEach name="Name67" axis="ch" ptType="node" st="4" cnt="1">
      <dgm:layoutNode name="circle4" styleLbl="lnNode1">
        <dgm:alg type="sp"/>
        <dgm:shape xmlns:r="http://schemas.openxmlformats.org/officeDocument/2006/relationships" type="ellipse" r:blip="" zOrderOff="-15">
          <dgm:adjLst/>
        </dgm:shape>
        <dgm:presOf/>
        <dgm:constrLst/>
        <dgm:ruleLst/>
      </dgm:layoutNode>
      <dgm:layoutNode name="text4" styleLbl="revTx">
        <dgm:varLst>
          <dgm:bulletEnabled val="1"/>
        </dgm:varLst>
        <dgm:choose name="Name68">
          <dgm:if name="Name69" func="var" arg="dir" op="equ" val="norm">
            <dgm:choose name="Name70">
              <dgm:if name="Name71" axis="root des" ptType="all node" func="maxDepth" op="gt" val="1">
                <dgm:alg type="tx">
                  <dgm:param type="parTxLTRAlign" val="l"/>
                  <dgm:param type="parTxRTLAlign" val="r"/>
                </dgm:alg>
              </dgm:if>
              <dgm:else name="Name72">
                <dgm:alg type="tx">
                  <dgm:param type="parTxLTRAlign" val="l"/>
                  <dgm:param type="parTxRTLAlign" val="l"/>
                </dgm:alg>
              </dgm:else>
            </dgm:choose>
          </dgm:if>
          <dgm:else name="Name73">
            <dgm:choose name="Name74">
              <dgm:if name="Name75" axis="root des" ptType="all node" func="maxDepth" op="gt" val="1">
                <dgm:alg type="tx">
                  <dgm:param type="parTxLTRAlign" val="l"/>
                  <dgm:param type="parTxRTLAlign" val="r"/>
                </dgm:alg>
              </dgm:if>
              <dgm:else name="Name76">
                <dgm:alg type="tx">
                  <dgm:param type="parTxLTRAlign" val="r"/>
                  <dgm:param type="parTxRTLAlign" val="r"/>
                </dgm:alg>
              </dgm:else>
            </dgm:choose>
          </dgm:else>
        </dgm:choose>
        <dgm:shape xmlns:r="http://schemas.openxmlformats.org/officeDocument/2006/relationships" type="rect" r:blip="">
          <dgm:adjLst/>
        </dgm:shape>
        <dgm:presOf axis="desOrSelf" ptType="node"/>
        <dgm:choose name="Name77">
          <dgm:if name="Name78" func="var" arg="dir" op="equ" val="norm">
            <dgm:constrLst>
              <dgm:constr type="tMarg" refType="primFontSz" fact="0.1"/>
              <dgm:constr type="bMarg" refType="primFontSz" fact="0.1"/>
              <dgm:constr type="rMarg" refType="primFontSz" fact="0.1"/>
            </dgm:constrLst>
          </dgm:if>
          <dgm:else name="Name79">
            <dgm:constrLst>
              <dgm:constr type="tMarg" refType="primFontSz" fact="0.1"/>
              <dgm:constr type="bMarg" refType="primFontSz" fact="0.1"/>
              <dgm:constr type="lMarg" refType="primFontSz" fact="0.1"/>
            </dgm:constrLst>
          </dgm:else>
        </dgm:choose>
        <dgm:ruleLst>
          <dgm:rule type="primFontSz" val="5" fact="NaN" max="NaN"/>
        </dgm:ruleLst>
      </dgm:layoutNode>
      <dgm:layoutNode name="line4" styleLbl="callout">
        <dgm:alg type="sp"/>
        <dgm:shape xmlns:r="http://schemas.openxmlformats.org/officeDocument/2006/relationships" type="line" r:blip="">
          <dgm:adjLst/>
        </dgm:shape>
        <dgm:presOf/>
        <dgm:constrLst/>
        <dgm:ruleLst/>
      </dgm:layoutNode>
      <dgm:layoutNode name="d4" styleLbl="callout">
        <dgm:alg type="sp"/>
        <dgm:choose name="Name80">
          <dgm:if name="Name81" func="var" arg="dir" op="equ" val="norm">
            <dgm:shape xmlns:r="http://schemas.openxmlformats.org/officeDocument/2006/relationships" rot="90" type="line" r:blip="">
              <dgm:adjLst/>
            </dgm:shape>
          </dgm:if>
          <dgm:else name="Name82">
            <dgm:shape xmlns:r="http://schemas.openxmlformats.org/officeDocument/2006/relationships" rot="180" type="line" r:blip="">
              <dgm:adjLst/>
            </dgm:shape>
          </dgm:else>
        </dgm:choose>
        <dgm:presOf/>
        <dgm:constrLst/>
        <dgm:ruleLst/>
      </dgm:layoutNode>
    </dgm:forEach>
    <dgm:forEach name="Name83" axis="ch" ptType="node" st="5" cnt="1">
      <dgm:layoutNode name="circle5" styleLbl="lnNode1">
        <dgm:alg type="sp"/>
        <dgm:shape xmlns:r="http://schemas.openxmlformats.org/officeDocument/2006/relationships" type="ellipse" r:blip="" zOrderOff="-20">
          <dgm:adjLst/>
        </dgm:shape>
        <dgm:presOf/>
        <dgm:constrLst/>
        <dgm:ruleLst/>
      </dgm:layoutNode>
      <dgm:layoutNode name="text5" styleLbl="revTx">
        <dgm:varLst>
          <dgm:bulletEnabled val="1"/>
        </dgm:varLst>
        <dgm:choose name="Name84">
          <dgm:if name="Name85" func="var" arg="dir" op="equ" val="norm">
            <dgm:choose name="Name86">
              <dgm:if name="Name87" axis="root des" ptType="all node" func="maxDepth" op="gt" val="1">
                <dgm:alg type="tx">
                  <dgm:param type="parTxLTRAlign" val="l"/>
                  <dgm:param type="parTxRTLAlign" val="r"/>
                </dgm:alg>
              </dgm:if>
              <dgm:else name="Name88">
                <dgm:alg type="tx">
                  <dgm:param type="parTxLTRAlign" val="l"/>
                  <dgm:param type="parTxRTLAlign" val="l"/>
                </dgm:alg>
              </dgm:else>
            </dgm:choose>
          </dgm:if>
          <dgm:else name="Name89">
            <dgm:choose name="Name90">
              <dgm:if name="Name91" axis="root des" ptType="all node" func="maxDepth" op="gt" val="1">
                <dgm:alg type="tx">
                  <dgm:param type="parTxLTRAlign" val="l"/>
                  <dgm:param type="parTxRTLAlign" val="r"/>
                </dgm:alg>
              </dgm:if>
              <dgm:else name="Name92">
                <dgm:alg type="tx">
                  <dgm:param type="parTxLTRAlign" val="r"/>
                  <dgm:param type="parTxRTLAlign" val="r"/>
                </dgm:alg>
              </dgm:else>
            </dgm:choose>
          </dgm:else>
        </dgm:choose>
        <dgm:shape xmlns:r="http://schemas.openxmlformats.org/officeDocument/2006/relationships" type="rect" r:blip="">
          <dgm:adjLst/>
        </dgm:shape>
        <dgm:presOf axis="desOrSelf" ptType="node"/>
        <dgm:choose name="Name93">
          <dgm:if name="Name94" func="var" arg="dir" op="equ" val="norm">
            <dgm:constrLst>
              <dgm:constr type="tMarg" refType="primFontSz" fact="0.1"/>
              <dgm:constr type="bMarg" refType="primFontSz" fact="0.1"/>
              <dgm:constr type="rMarg" refType="primFontSz" fact="0.1"/>
            </dgm:constrLst>
          </dgm:if>
          <dgm:else name="Name95">
            <dgm:constrLst>
              <dgm:constr type="tMarg" refType="primFontSz" fact="0.1"/>
              <dgm:constr type="bMarg" refType="primFontSz" fact="0.1"/>
              <dgm:constr type="lMarg" refType="primFontSz" fact="0.1"/>
            </dgm:constrLst>
          </dgm:else>
        </dgm:choose>
        <dgm:ruleLst>
          <dgm:rule type="primFontSz" val="5" fact="NaN" max="NaN"/>
        </dgm:ruleLst>
      </dgm:layoutNode>
      <dgm:layoutNode name="line5" styleLbl="callout">
        <dgm:alg type="sp"/>
        <dgm:shape xmlns:r="http://schemas.openxmlformats.org/officeDocument/2006/relationships" type="line" r:blip="">
          <dgm:adjLst/>
        </dgm:shape>
        <dgm:presOf/>
        <dgm:constrLst/>
        <dgm:ruleLst/>
      </dgm:layoutNode>
      <dgm:layoutNode name="d5" styleLbl="callout">
        <dgm:alg type="sp"/>
        <dgm:choose name="Name96">
          <dgm:if name="Name97" func="var" arg="dir" op="equ" val="norm">
            <dgm:shape xmlns:r="http://schemas.openxmlformats.org/officeDocument/2006/relationships" rot="90" type="line" r:blip="">
              <dgm:adjLst/>
            </dgm:shape>
          </dgm:if>
          <dgm:else name="Name98">
            <dgm:shape xmlns:r="http://schemas.openxmlformats.org/officeDocument/2006/relationships" rot="180" type="line" r:blip="">
              <dgm:adjLst/>
            </dgm:shape>
          </dgm:else>
        </dgm:choose>
        <dgm:presOf/>
        <dgm:constrLst/>
        <dgm:ruleLst/>
      </dgm:layoutNode>
    </dgm:forEach>
  </dgm:layoutNode>
</dgm:layoutDef>
</file>

<file path=xl/diagrams/layout2.xml><?xml version="1.0" encoding="utf-8"?>
<dgm:layoutDef xmlns:dgm="http://schemas.openxmlformats.org/drawingml/2006/diagram" xmlns:a="http://schemas.openxmlformats.org/drawingml/2006/main" uniqueId="urn:microsoft.com/office/officeart/2005/8/layout/target1">
  <dgm:title val=""/>
  <dgm:desc val=""/>
  <dgm:catLst>
    <dgm:cat type="relationship" pri="25000"/>
    <dgm:cat type="convert" pri="2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composite">
    <dgm:varLst>
      <dgm:chMax val="5"/>
      <dgm:dir/>
      <dgm:resizeHandles val="exact"/>
    </dgm:varLst>
    <dgm:alg type="composite">
      <dgm:param type="ar" val="1.25"/>
    </dgm:alg>
    <dgm:shape xmlns:r="http://schemas.openxmlformats.org/officeDocument/2006/relationships" r:blip="">
      <dgm:adjLst/>
    </dgm:shape>
    <dgm:presOf/>
    <dgm:choose name="Name0">
      <dgm:if name="Name1" func="var" arg="dir" op="equ" val="norm">
        <dgm:choose name="Name2">
          <dgm:if name="Name3" axis="ch" ptType="node" func="cnt" op="equ" val="0">
            <dgm:constrLst/>
          </dgm:if>
          <dgm:if name="Name4" axis="ch" ptType="node" func="cnt" op="equ" val="1">
            <dgm:constrLst>
              <dgm:constr type="primFontSz" for="des" ptType="node" op="equ" val="65"/>
              <dgm:constr type="w" for="ch" forName="circle1" refType="w" fact="0.6"/>
              <dgm:constr type="h" for="ch" forName="circle1" refType="w" refFor="ch" refForName="circle1"/>
              <dgm:constr type="ctrX" for="ch" forName="circle1" refType="w" fact="0.3"/>
              <dgm:constr type="ctrY" for="ch" forName="circle1" refType="h" fact="0.625"/>
              <dgm:constr type="w" for="ch" forName="text1" refType="w" fact="0.3"/>
              <dgm:constr type="h" for="ch" forName="text1" refType="h" fact="0.3125"/>
              <dgm:constr type="r" for="ch" forName="text1" refType="w"/>
              <dgm:constr type="t" for="ch" forName="text1"/>
              <dgm:constr type="l" for="ch" forName="line1" refType="w" fact="0.625"/>
              <dgm:constr type="ctrY" for="ch" forName="line1" refType="ctrY" refFor="ch" refForName="text1"/>
              <dgm:constr type="r" for="ch" forName="line1" refType="l" refFor="ch" refForName="text1"/>
              <dgm:constr type="h" for="ch" forName="line1"/>
              <dgm:constr type="l" for="ch" forName="d1" refType="w" fact="0.3"/>
              <dgm:constr type="b" for="ch" forName="d1" refType="h" fact="0.625"/>
              <dgm:constr type="w" for="ch" forName="d1" refType="w" fact="0.32475"/>
              <dgm:constr type="h" for="ch" forName="d1" refType="h" fact="0.469"/>
            </dgm:constrLst>
          </dgm:if>
          <dgm:if name="Name5" axis="ch" ptType="node" func="cnt" op="equ" val="2">
            <dgm:constrLst>
              <dgm:constr type="primFontSz" for="des" ptType="node" op="equ" val="65"/>
              <dgm:constr type="w" for="ch" forName="circle1" refType="w" fact="0.2"/>
              <dgm:constr type="h" for="ch" forName="circle1" refType="w" refFor="ch" refForName="circle1"/>
              <dgm:constr type="ctrX" for="ch" forName="circle1" refType="w" fact="0.3"/>
              <dgm:constr type="ctrY" for="ch" forName="circle1" refType="h" fact="0.625"/>
              <dgm:constr type="w" for="ch" forName="text1" refType="w" fact="0.3"/>
              <dgm:constr type="h" for="ch" forName="text1" refType="h" fact="0.3125"/>
              <dgm:constr type="r" for="ch" forName="text1" refType="w"/>
              <dgm:constr type="t" for="ch" forName="text1"/>
              <dgm:constr type="l" for="ch" forName="line1" refType="w" fact="0.625"/>
              <dgm:constr type="ctrY" for="ch" forName="line1" refType="ctrY" refFor="ch" refForName="text1"/>
              <dgm:constr type="w" for="ch" forName="line1" refType="w" fact="0.075"/>
              <dgm:constr type="h" for="ch" forName="line1"/>
              <dgm:constr type="l" for="ch" forName="d1" refType="w" fact="0.3"/>
              <dgm:constr type="b" for="ch" forName="d1" refType="h" fact="0.625"/>
              <dgm:constr type="w" for="ch" forName="d1" refType="w" fact="0.32475"/>
              <dgm:constr type="h" for="ch" forName="d1" refType="h" fact="0.469"/>
              <dgm:constr type="w" for="ch" forName="circle2" refType="w" fact="0.6"/>
              <dgm:constr type="h" for="ch" forName="circle2" refType="w" refFor="ch" refForName="circle2"/>
              <dgm:constr type="ctrX" for="ch" forName="circle2" refType="w" fact="0.3"/>
              <dgm:constr type="ctrY" for="ch" forName="circle2" refType="h" fact="0.625"/>
              <dgm:constr type="w" for="ch" forName="text2" refType="w" fact="0.3"/>
              <dgm:constr type="h" for="ch" forName="text2" refType="h" fact="0.3125"/>
              <dgm:constr type="r" for="ch" forName="text2" refType="w"/>
              <dgm:constr type="t" for="ch" forName="text2" refType="b" refFor="ch" refForName="text1"/>
              <dgm:constr type="l" for="ch" forName="line2" refType="w" fact="0.625"/>
              <dgm:constr type="ctrY" for="ch" forName="line2" refType="ctrY" refFor="ch" refForName="text2"/>
              <dgm:constr type="w" for="ch" forName="line2" refType="w" fact="0.075"/>
              <dgm:constr type="h" for="ch" forName="line2"/>
              <dgm:constr type="l" for="ch" forName="d2" refType="w" fact="0.44325"/>
              <dgm:constr type="b" for="ch" forName="d2" refType="h" fact="0.7975"/>
              <dgm:constr type="w" for="ch" forName="d2" refType="w" fact="0.1815"/>
              <dgm:constr type="h" for="ch" forName="d2" refType="h" fact="0.3283"/>
            </dgm:constrLst>
          </dgm:if>
          <dgm:if name="Name6" axis="ch" ptType="node" func="cnt" op="equ" val="3">
            <dgm:constrLst>
              <dgm:constr type="primFontSz" for="des" ptType="node" op="equ" val="65"/>
              <dgm:constr type="w" for="ch" forName="circle1" refType="w" fact="0.12"/>
              <dgm:constr type="h" for="ch" forName="circle1" refType="w" refFor="ch" refForName="circle1"/>
              <dgm:constr type="ctrX" for="ch" forName="circle1" refType="w" fact="0.3"/>
              <dgm:constr type="ctrY" for="ch" forName="circle1" refType="h" fact="0.625"/>
              <dgm:constr type="w" for="ch" forName="text1" refType="w" fact="0.3"/>
              <dgm:constr type="h" for="ch" forName="text1" refType="h" fact="0.21875"/>
              <dgm:constr type="r" for="ch" forName="text1" refType="w"/>
              <dgm:constr type="t" for="ch" forName="text1"/>
              <dgm:constr type="l" for="ch" forName="line1" refType="w" fact="0.625"/>
              <dgm:constr type="ctrY" for="ch" forName="line1" refType="ctrY" refFor="ch" refForName="text1"/>
              <dgm:constr type="w" for="ch" forName="line1" refType="w" fact="0.075"/>
              <dgm:constr type="h" for="ch" forName="line1"/>
              <dgm:constr type="l" for="ch" forName="d1" refType="w" fact="0.3"/>
              <dgm:constr type="b" for="ch" forName="d1" refType="h" fact="0.625"/>
              <dgm:constr type="w" for="ch" forName="d1" refType="w" fact="0.3247"/>
              <dgm:constr type="h" for="ch" forName="d1" refType="h" fact="0.5155"/>
              <dgm:constr type="w" for="ch" forName="circle2" refType="w" fact="0.36"/>
              <dgm:constr type="h" for="ch" forName="circle2" refType="w" refFor="ch" refForName="circle2"/>
              <dgm:constr type="ctrX" for="ch" forName="circle2" refType="w" fact="0.3"/>
              <dgm:constr type="ctrY" for="ch" forName="circle2" refType="h" fact="0.625"/>
              <dgm:constr type="w" for="ch" forName="text2" refType="w" fact="0.3"/>
              <dgm:constr type="h" for="ch" forName="text2" refType="h" fact="0.21875"/>
              <dgm:constr type="r" for="ch" forName="text2" refType="w"/>
              <dgm:constr type="t" for="ch" forName="text2" refType="b" refFor="ch" refForName="text1"/>
              <dgm:constr type="l" for="ch" forName="line2" refType="w" fact="0.625"/>
              <dgm:constr type="ctrY" for="ch" forName="line2" refType="ctrY" refFor="ch" refForName="text2"/>
              <dgm:constr type="w" for="ch" forName="line2" refType="w" fact="0.075"/>
              <dgm:constr type="h" for="ch" forName="line2"/>
              <dgm:constr type="l" for="ch" forName="d2" refType="w" fact="0.386"/>
              <dgm:constr type="b" for="ch" forName="d2" refType="h" fact="0.72969"/>
              <dgm:constr type="w" for="ch" forName="d2" refType="w" fact="0.2387"/>
              <dgm:constr type="h" for="ch" forName="d2" refType="h" fact="0.4017"/>
              <dgm:constr type="w" for="ch" forName="circle3" refType="w" fact="0.6"/>
              <dgm:constr type="h" for="ch" forName="circle3" refType="w" refFor="ch" refForName="circle3"/>
              <dgm:constr type="ctrX" for="ch" forName="circle3" refType="ctrX" refFor="ch" refForName="circle1"/>
              <dgm:constr type="ctrY" for="ch" forName="circle3" refType="ctrY" refFor="ch" refForName="circle1"/>
              <dgm:constr type="w" for="ch" forName="text3" refType="w" fact="0.3"/>
              <dgm:constr type="h" for="ch" forName="text3" refType="h" fact="0.21875"/>
              <dgm:constr type="r" for="ch" forName="text3" refType="w"/>
              <dgm:constr type="t" for="ch" forName="text3" refType="b" refFor="ch" refForName="text2"/>
              <dgm:constr type="l" for="ch" forName="line3" refType="w" fact="0.625"/>
              <dgm:constr type="ctrY" for="ch" forName="line3" refType="ctrY" refFor="ch" refForName="text3"/>
              <dgm:constr type="w" for="ch" forName="line3" refType="w" fact="0.075"/>
              <dgm:constr type="h" for="ch" forName="line3"/>
              <dgm:constr type="l" for="ch" forName="d3" refType="w" fact="0.47175"/>
              <dgm:constr type="b" for="ch" forName="d3" refType="h" fact="0.83375"/>
              <dgm:constr type="w" for="ch" forName="d3" refType="w" fact="0.1527"/>
              <dgm:constr type="h" for="ch" forName="d3" refType="h" fact="0.287"/>
            </dgm:constrLst>
          </dgm:if>
          <dgm:if name="Name7" axis="ch" ptType="node" func="cnt" op="equ" val="4">
            <dgm:constrLst>
              <dgm:constr type="primFontSz" for="des" ptType="node" op="equ" val="65"/>
              <dgm:constr type="w" for="ch" forName="circle1" refType="w" fact="0.0857"/>
              <dgm:constr type="h" for="ch" forName="circle1" refType="w" refFor="ch" refForName="circle1"/>
              <dgm:constr type="ctrX" for="ch" forName="circle1" refType="w" fact="0.3"/>
              <dgm:constr type="ctrY" for="ch" forName="circle1" refType="h" fact="0.625"/>
              <dgm:constr type="w" for="ch" forName="text1" refType="w" fact="0.3"/>
              <dgm:constr type="h" for="ch" forName="text1" refType="h" fact="0.17938"/>
              <dgm:constr type="r" for="ch" forName="text1" refType="w"/>
              <dgm:constr type="t" for="ch" forName="text1"/>
              <dgm:constr type="l" for="ch" forName="line1" refType="w" fact="0.625"/>
              <dgm:constr type="ctrY" for="ch" forName="line1" refType="ctrY" refFor="ch" refForName="text1"/>
              <dgm:constr type="w" for="ch" forName="line1" refType="w" fact="0.075"/>
              <dgm:constr type="h" for="ch" forName="line1"/>
              <dgm:constr type="l" for="ch" forName="d1" refType="w" fact="0.295"/>
              <dgm:constr type="b" for="ch" forName="d1" refType="h" fact="0.62"/>
              <dgm:constr type="w" for="ch" forName="d1" refType="w" fact="0.33"/>
              <dgm:constr type="h" for="ch" forName="d1" refType="h" fact="0.53"/>
              <dgm:constr type="w" for="ch" forName="circle2" refType="w" fact="0.2571"/>
              <dgm:constr type="h" for="ch" forName="circle2" refType="w" refFor="ch" refForName="circle2"/>
              <dgm:constr type="ctrX" for="ch" forName="circle2" refType="w" fact="0.3"/>
              <dgm:constr type="ctrY" for="ch" forName="circle2" refType="h" fact="0.625"/>
              <dgm:constr type="w" for="ch" forName="text2" refType="w" fact="0.3"/>
              <dgm:constr type="h" for="ch" forName="text2" refType="h" fact="0.17938"/>
              <dgm:constr type="r" for="ch" forName="text2" refType="w"/>
              <dgm:constr type="t" for="ch" forName="text2" refType="b" refFor="ch" refForName="text1"/>
              <dgm:constr type="l" for="ch" forName="line2" refType="w" fact="0.625"/>
              <dgm:constr type="ctrY" for="ch" forName="line2" refType="ctrY" refFor="ch" refForName="text2"/>
              <dgm:constr type="w" for="ch" forName="line2" refType="w" fact="0.075"/>
              <dgm:constr type="h" for="ch" forName="line2"/>
              <dgm:constr type="l" for="ch" forName="d2" refType="w" fact="0.36625"/>
              <dgm:constr type="b" for="ch" forName="d2" refType="h" fact="0.70438"/>
              <dgm:constr type="w" for="ch" forName="d2" refType="w" fact="0.2585"/>
              <dgm:constr type="h" for="ch" forName="d2" refType="h" fact="0.43525"/>
              <dgm:constr type="w" for="ch" forName="circle3" refType="w" fact="0.4285"/>
              <dgm:constr type="h" for="ch" forName="circle3" refType="w" refFor="ch" refForName="circle3"/>
              <dgm:constr type="ctrX" for="ch" forName="circle3" refType="ctrX" refFor="ch" refForName="circle1"/>
              <dgm:constr type="ctrY" for="ch" forName="circle3" refType="ctrY" refFor="ch" refForName="circle1"/>
              <dgm:constr type="w" for="ch" forName="text3" refType="w" fact="0.3"/>
              <dgm:constr type="h" for="ch" forName="text3" refType="h" fact="0.17938"/>
              <dgm:constr type="r" for="ch" forName="text3" refType="w"/>
              <dgm:constr type="t" for="ch" forName="text3" refType="b" refFor="ch" refForName="text2"/>
              <dgm:constr type="l" for="ch" forName="line3" refType="w" fact="0.625"/>
              <dgm:constr type="ctrY" for="ch" forName="line3" refType="ctrY" refFor="ch" refForName="text3"/>
              <dgm:constr type="w" for="ch" forName="line3" refType="w" fact="0.075"/>
              <dgm:constr type="h" for="ch" forName="line3"/>
              <dgm:constr type="l" for="ch" forName="d3" refType="w" fact="0.4255"/>
              <dgm:constr type="b" for="ch" forName="d3" refType="h" fact="0.78031"/>
              <dgm:constr type="w" for="ch" forName="d3" refType="w" fact="0.1995"/>
              <dgm:constr type="h" for="ch" forName="d3" refType="h" fact="0.332"/>
              <dgm:constr type="w" for="ch" forName="circle4" refType="w" fact="0.6"/>
              <dgm:constr type="h" for="ch" forName="circle4" refType="w" refFor="ch" refForName="circle4"/>
              <dgm:constr type="ctrX" for="ch" forName="circle4" refType="ctrX" refFor="ch" refForName="circle1"/>
              <dgm:constr type="ctrY" for="ch" forName="circle4" refType="ctrY" refFor="ch" refForName="circle1"/>
              <dgm:constr type="w" for="ch" forName="text4" refType="w" fact="0.3"/>
              <dgm:constr type="h" for="ch" forName="text4" refType="h" fact="0.17938"/>
              <dgm:constr type="r" for="ch" forName="text4" refType="w"/>
              <dgm:constr type="t" for="ch" forName="text4" refType="b" refFor="ch" refForName="text3"/>
              <dgm:constr type="l" for="ch" forName="line4" refType="w" fact="0.625"/>
              <dgm:constr type="ctrY" for="ch" forName="line4" refType="ctrY" refFor="ch" refForName="text4"/>
              <dgm:constr type="w" for="ch" forName="line4" refType="w" fact="0.075"/>
              <dgm:constr type="h" for="ch" forName="line4"/>
              <dgm:constr type="l" for="ch" forName="d4" refType="w" fact="0.48525"/>
              <dgm:constr type="b" for="ch" forName="d4" refType="h" fact="0.85594"/>
              <dgm:constr type="w" for="ch" forName="d4" refType="w" fact="0.1394"/>
              <dgm:constr type="h" for="ch" forName="d4" refType="h" fact="0.2282"/>
            </dgm:constrLst>
          </dgm:if>
          <dgm:if name="Name8" axis="ch" ptType="node" func="cnt" op="gte" val="5">
            <dgm:constrLst>
              <dgm:constr type="primFontSz" for="des" ptType="node" op="equ" val="65"/>
              <dgm:constr type="w" for="ch" forName="circle1" refType="w" fact="0.0667"/>
              <dgm:constr type="h" for="ch" forName="circle1" refType="w" refFor="ch" refForName="circle1"/>
              <dgm:constr type="ctrX" for="ch" forName="circle1" refType="w" fact="0.3"/>
              <dgm:constr type="ctrY" for="ch" forName="circle1" refType="h" fact="0.625"/>
              <dgm:constr type="w" for="ch" forName="text1" refType="w" fact="0.3"/>
              <dgm:constr type="h" for="ch" forName="text1" refType="h" fact="0.1324"/>
              <dgm:constr type="r" for="ch" forName="text1" refType="w"/>
              <dgm:constr type="ctrY" for="ch" forName="text1" refType="h" fact="0.13"/>
              <dgm:constr type="l" for="ch" forName="line1" refType="w" fact="0.625"/>
              <dgm:constr type="ctrY" for="ch" forName="line1" refType="ctrY" refFor="ch" refForName="text1"/>
              <dgm:constr type="w" for="ch" forName="line1" refType="w" fact="0.075"/>
              <dgm:constr type="h" for="ch" forName="line1"/>
              <dgm:constr type="l" for="ch" forName="d1" refType="w" fact="0.3"/>
              <dgm:constr type="b" for="ch" forName="d1" refType="h" fact="0.625"/>
              <dgm:constr type="w" for="ch" forName="d1" refType="w" fact="0.3245"/>
              <dgm:constr type="h" for="ch" forName="d1" refType="h" fact="0.495"/>
              <dgm:constr type="w" for="ch" forName="circle2" refType="w" fact="0.2"/>
              <dgm:constr type="h" for="ch" forName="circle2" refType="w" refFor="ch" refForName="circle2"/>
              <dgm:constr type="ctrX" for="ch" forName="circle2" refType="w" fact="0.3"/>
              <dgm:constr type="ctrY" for="ch" forName="circle2" refType="h" fact="0.625"/>
              <dgm:constr type="w" for="ch" forName="text2" refType="w" fact="0.3"/>
              <dgm:constr type="h" for="ch" forName="text2" refType="h" fact="0.1324"/>
              <dgm:constr type="r" for="ch" forName="text2" refType="w"/>
              <dgm:constr type="ctrY" for="ch" forName="text2" refType="h" fact="0.27"/>
              <dgm:constr type="l" for="ch" forName="line2" refType="w" fact="0.625"/>
              <dgm:constr type="ctrY" for="ch" forName="line2" refType="ctrY" refFor="ch" refForName="text2"/>
              <dgm:constr type="w" for="ch" forName="line2" refType="w" fact="0.075"/>
              <dgm:constr type="h" for="ch" forName="line2"/>
              <dgm:constr type="l" for="ch" forName="d2" refType="w" fact="0.3498"/>
              <dgm:constr type="b" for="ch" forName="d2" refType="h" fact="0.682"/>
              <dgm:constr type="w" for="ch" forName="d2" refType="w" fact="0.275"/>
              <dgm:constr type="h" for="ch" forName="d2" refType="h" fact="0.41215"/>
              <dgm:constr type="w" for="ch" forName="circle3" refType="w" fact="0.3334"/>
              <dgm:constr type="h" for="ch" forName="circle3" refType="w" refFor="ch" refForName="circle3"/>
              <dgm:constr type="ctrX" for="ch" forName="circle3" refType="ctrX" refFor="ch" refForName="circle1"/>
              <dgm:constr type="ctrY" for="ch" forName="circle3" refType="ctrY" refFor="ch" refForName="circle1"/>
              <dgm:constr type="w" for="ch" forName="text3" refType="w" fact="0.3"/>
              <dgm:constr type="h" for="ch" forName="text3" refType="h" fact="0.1324"/>
              <dgm:constr type="r" for="ch" forName="text3" refType="w"/>
              <dgm:constr type="ctrY" for="ch" forName="text3" refType="h" fact="0.41"/>
              <dgm:constr type="l" for="ch" forName="line3" refType="w" fact="0.625"/>
              <dgm:constr type="ctrY" for="ch" forName="line3" refType="ctrY" refFor="ch" refForName="text3"/>
              <dgm:constr type="w" for="ch" forName="line3" refType="w" fact="0.075"/>
              <dgm:constr type="h" for="ch" forName="line3"/>
              <dgm:constr type="l" for="ch" forName="d3" refType="w" fact="0.394"/>
              <dgm:constr type="b" for="ch" forName="d3" refType="h" fact="0.735"/>
              <dgm:constr type="w" for="ch" forName="d3" refType="w" fact="0.231"/>
              <dgm:constr type="h" for="ch" forName="d3" refType="h" fact="0.325"/>
              <dgm:constr type="w" for="ch" forName="circle4" refType="w" fact="0.4667"/>
              <dgm:constr type="h" for="ch" forName="circle4" refType="w" refFor="ch" refForName="circle4"/>
              <dgm:constr type="ctrX" for="ch" forName="circle4" refType="ctrX" refFor="ch" refForName="circle1"/>
              <dgm:constr type="ctrY" for="ch" forName="circle4" refType="ctrY" refFor="ch" refForName="circle1"/>
              <dgm:constr type="w" for="ch" forName="text4" refType="w" fact="0.3"/>
              <dgm:constr type="h" for="ch" forName="text4" refType="h" fact="0.1324"/>
              <dgm:constr type="r" for="ch" forName="text4" refType="w"/>
              <dgm:constr type="ctrY" for="ch" forName="text4" refType="h" fact="0.547"/>
              <dgm:constr type="l" for="ch" forName="line4" refType="w" fact="0.625"/>
              <dgm:constr type="ctrY" for="ch" forName="line4" refType="ctrY" refFor="ch" refForName="text4"/>
              <dgm:constr type="w" for="ch" forName="line4" refType="w" fact="0.075"/>
              <dgm:constr type="h" for="ch" forName="line4"/>
              <dgm:constr type="l" for="ch" forName="d4" refType="w" fact="0.446"/>
              <dgm:constr type="b" for="ch" forName="d4" refType="h" fact="0.795"/>
              <dgm:constr type="w" for="ch" forName="d4" refType="w" fact="0.179"/>
              <dgm:constr type="h" for="ch" forName="d4" refType="h" fact="0.248"/>
              <dgm:constr type="w" for="ch" forName="circle5" refType="w" fact="0.6"/>
              <dgm:constr type="h" for="ch" forName="circle5" refType="w" refFor="ch" refForName="circle5"/>
              <dgm:constr type="ctrX" for="ch" forName="circle5" refType="ctrX" refFor="ch" refForName="circle1"/>
              <dgm:constr type="ctrY" for="ch" forName="circle5" refType="ctrY" refFor="ch" refForName="circle1"/>
              <dgm:constr type="w" for="ch" forName="text5" refType="w" fact="0.3"/>
              <dgm:constr type="h" for="ch" forName="text5" refType="h" fact="0.1324"/>
              <dgm:constr type="r" for="ch" forName="text5" refType="w"/>
              <dgm:constr type="ctrY" for="ch" forName="text5" refType="h" fact="0.68"/>
              <dgm:constr type="l" for="ch" forName="line5" refType="w" fact="0.625"/>
              <dgm:constr type="ctrY" for="ch" forName="line5" refType="ctrY" refFor="ch" refForName="text5"/>
              <dgm:constr type="w" for="ch" forName="line5" refType="w" fact="0.075"/>
              <dgm:constr type="h" for="ch" forName="line5"/>
              <dgm:constr type="l" for="ch" forName="d5" refType="w" fact="0.495"/>
              <dgm:constr type="b" for="ch" forName="d5" refType="h" fact="0.855"/>
              <dgm:constr type="w" for="ch" forName="d5" refType="w" fact="0.13"/>
              <dgm:constr type="h" for="ch" forName="d5" refType="h" fact="0.175"/>
            </dgm:constrLst>
          </dgm:if>
          <dgm:else name="Name9"/>
        </dgm:choose>
      </dgm:if>
      <dgm:else name="Name10">
        <dgm:choose name="Name11">
          <dgm:if name="Name12" axis="ch" ptType="node" func="cnt" op="equ" val="0">
            <dgm:constrLst/>
          </dgm:if>
          <dgm:if name="Name13" axis="ch" ptType="node" func="cnt" op="equ" val="1">
            <dgm:constrLst>
              <dgm:constr type="primFontSz" for="des" ptType="node" op="equ" val="65"/>
              <dgm:constr type="w" for="ch" forName="circle1" refType="w" fact="0.6"/>
              <dgm:constr type="h" for="ch" forName="circle1" refType="w" refFor="ch" refForName="circle1"/>
              <dgm:constr type="ctrX" for="ch" forName="circle1" refType="w" fact="0.7"/>
              <dgm:constr type="ctrY" for="ch" forName="circle1" refType="h" fact="0.625"/>
              <dgm:constr type="w" for="ch" forName="text1" refType="w" fact="0.3"/>
              <dgm:constr type="h" for="ch" forName="text1" refType="h" fact="0.3125"/>
              <dgm:constr type="l" for="ch" forName="text1"/>
              <dgm:constr type="t" for="ch" forName="text1"/>
              <dgm:constr type="l" for="ch" forName="line1" refType="r" refFor="ch" refForName="text1"/>
              <dgm:constr type="ctrY" for="ch" forName="line1" refType="ctrY" refFor="ch" refForName="text1"/>
              <dgm:constr type="r" for="ch" forName="line1" refType="w" fact="0.375"/>
              <dgm:constr type="h" for="ch" forName="line1"/>
              <dgm:constr type="r" for="ch" forName="d1" refType="w" fact="0.7"/>
              <dgm:constr type="b" for="ch" forName="d1" refType="h" fact="0.625"/>
              <dgm:constr type="w" for="ch" forName="d1" refType="w" fact="0.32475"/>
              <dgm:constr type="h" for="ch" forName="d1" refType="h" fact="0.469"/>
            </dgm:constrLst>
          </dgm:if>
          <dgm:if name="Name14" axis="ch" ptType="node" func="cnt" op="equ" val="2">
            <dgm:constrLst>
              <dgm:constr type="primFontSz" for="des" ptType="node" op="equ" val="65"/>
              <dgm:constr type="w" for="ch" forName="circle1" refType="w" fact="0.2"/>
              <dgm:constr type="h" for="ch" forName="circle1" refType="w" refFor="ch" refForName="circle1"/>
              <dgm:constr type="ctrX" for="ch" forName="circle1" refType="w" fact="0.7"/>
              <dgm:constr type="ctrY" for="ch" forName="circle1" refType="h" fact="0.625"/>
              <dgm:constr type="w" for="ch" forName="text1" refType="w" fact="0.3"/>
              <dgm:constr type="h" for="ch" forName="text1" refType="h" fact="0.3125"/>
              <dgm:constr type="l" for="ch" forName="text1"/>
              <dgm:constr type="t" for="ch" forName="text1"/>
              <dgm:constr type="l" for="ch" forName="line1" refType="r" refFor="ch" refForName="text1"/>
              <dgm:constr type="ctrY" for="ch" forName="line1" refType="ctrY" refFor="ch" refForName="text1"/>
              <dgm:constr type="r" for="ch" forName="line1" refType="w" fact="0.375"/>
              <dgm:constr type="h" for="ch" forName="line1"/>
              <dgm:constr type="r" for="ch" forName="d1" refType="w" fact="0.7"/>
              <dgm:constr type="b" for="ch" forName="d1" refType="h" fact="0.625"/>
              <dgm:constr type="w" for="ch" forName="d1" refType="w" fact="0.32475"/>
              <dgm:constr type="h" for="ch" forName="d1" refType="h" fact="0.469"/>
              <dgm:constr type="w" for="ch" forName="circle2" refType="w" fact="0.6"/>
              <dgm:constr type="h" for="ch" forName="circle2" refType="w" refFor="ch" refForName="circle2"/>
              <dgm:constr type="ctrX" for="ch" forName="circle2" refType="w" fact="0.7"/>
              <dgm:constr type="ctrY" for="ch" forName="circle2" refType="h" fact="0.625"/>
              <dgm:constr type="w" for="ch" forName="text2" refType="w" fact="0.3"/>
              <dgm:constr type="h" for="ch" forName="text2" refType="h" fact="0.3125"/>
              <dgm:constr type="l" for="ch" forName="text2"/>
              <dgm:constr type="t" for="ch" forName="text2" refType="b" refFor="ch" refForName="text1"/>
              <dgm:constr type="l" for="ch" forName="line2" refType="r" refFor="ch" refForName="text2"/>
              <dgm:constr type="ctrY" for="ch" forName="line2" refType="ctrY" refFor="ch" refForName="text2"/>
              <dgm:constr type="r" for="ch" forName="line2" refType="w" fact="0.375"/>
              <dgm:constr type="h" for="ch" forName="line2"/>
              <dgm:constr type="r" for="ch" forName="d2" refType="w" fact="0.55675"/>
              <dgm:constr type="b" for="ch" forName="d2" refType="h" fact="0.7975"/>
              <dgm:constr type="w" for="ch" forName="d2" refType="w" fact="0.1815"/>
              <dgm:constr type="h" for="ch" forName="d2" refType="h" fact="0.3283"/>
            </dgm:constrLst>
          </dgm:if>
          <dgm:if name="Name15" axis="ch" ptType="node" func="cnt" op="equ" val="3">
            <dgm:constrLst>
              <dgm:constr type="primFontSz" for="des" ptType="node" op="equ" val="65"/>
              <dgm:constr type="w" for="ch" forName="circle1" refType="w" fact="0.12"/>
              <dgm:constr type="h" for="ch" forName="circle1" refType="w" refFor="ch" refForName="circle1"/>
              <dgm:constr type="ctrX" for="ch" forName="circle1" refType="w" fact="0.7"/>
              <dgm:constr type="ctrY" for="ch" forName="circle1" refType="h" fact="0.625"/>
              <dgm:constr type="w" for="ch" forName="text1" refType="w" fact="0.3"/>
              <dgm:constr type="h" for="ch" forName="text1" refType="h" fact="0.21875"/>
              <dgm:constr type="l" for="ch" forName="text1"/>
              <dgm:constr type="t" for="ch" forName="text1"/>
              <dgm:constr type="l" for="ch" forName="line1" refType="r" refFor="ch" refForName="text1"/>
              <dgm:constr type="ctrY" for="ch" forName="line1" refType="ctrY" refFor="ch" refForName="text1"/>
              <dgm:constr type="r" for="ch" forName="line1" refType="w" fact="0.375"/>
              <dgm:constr type="h" for="ch" forName="line1"/>
              <dgm:constr type="r" for="ch" forName="d1" refType="w" fact="0.7"/>
              <dgm:constr type="b" for="ch" forName="d1" refType="h" fact="0.625"/>
              <dgm:constr type="w" for="ch" forName="d1" refType="w" fact="0.3247"/>
              <dgm:constr type="h" for="ch" forName="d1" refType="h" fact="0.5155"/>
              <dgm:constr type="w" for="ch" forName="circle2" refType="w" fact="0.36"/>
              <dgm:constr type="h" for="ch" forName="circle2" refType="w" refFor="ch" refForName="circle2"/>
              <dgm:constr type="ctrX" for="ch" forName="circle2" refType="w" fact="0.7"/>
              <dgm:constr type="ctrY" for="ch" forName="circle2" refType="h" fact="0.625"/>
              <dgm:constr type="w" for="ch" forName="text2" refType="w" fact="0.3"/>
              <dgm:constr type="h" for="ch" forName="text2" refType="h" fact="0.21875"/>
              <dgm:constr type="l" for="ch" forName="text2"/>
              <dgm:constr type="t" for="ch" forName="text2" refType="b" refFor="ch" refForName="text1"/>
              <dgm:constr type="l" for="ch" forName="line2" refType="r" refFor="ch" refForName="text2"/>
              <dgm:constr type="ctrY" for="ch" forName="line2" refType="ctrY" refFor="ch" refForName="text2"/>
              <dgm:constr type="r" for="ch" forName="line2" refType="w" fact="0.375"/>
              <dgm:constr type="h" for="ch" forName="line2"/>
              <dgm:constr type="r" for="ch" forName="d2" refType="w" fact="0.614"/>
              <dgm:constr type="b" for="ch" forName="d2" refType="h" fact="0.72969"/>
              <dgm:constr type="w" for="ch" forName="d2" refType="w" fact="0.2387"/>
              <dgm:constr type="h" for="ch" forName="d2" refType="h" fact="0.4017"/>
              <dgm:constr type="w" for="ch" forName="circle3" refType="w" fact="0.6"/>
              <dgm:constr type="h" for="ch" forName="circle3" refType="w" refFor="ch" refForName="circle3"/>
              <dgm:constr type="ctrX" for="ch" forName="circle3" refType="ctrX" refFor="ch" refForName="circle1"/>
              <dgm:constr type="ctrY" for="ch" forName="circle3" refType="ctrY" refFor="ch" refForName="circle1"/>
              <dgm:constr type="w" for="ch" forName="text3" refType="w" fact="0.3"/>
              <dgm:constr type="h" for="ch" forName="text3" refType="h" fact="0.21875"/>
              <dgm:constr type="l" for="ch" forName="text3"/>
              <dgm:constr type="t" for="ch" forName="text3" refType="b" refFor="ch" refForName="text2"/>
              <dgm:constr type="l" for="ch" forName="line3" refType="r" refFor="ch" refForName="text3"/>
              <dgm:constr type="ctrY" for="ch" forName="line3" refType="ctrY" refFor="ch" refForName="text3"/>
              <dgm:constr type="r" for="ch" forName="line3" refType="w" fact="0.375"/>
              <dgm:constr type="h" for="ch" forName="line3"/>
              <dgm:constr type="r" for="ch" forName="d3" refType="w" fact="0.52825"/>
              <dgm:constr type="b" for="ch" forName="d3" refType="h" fact="0.83375"/>
              <dgm:constr type="w" for="ch" forName="d3" refType="w" fact="0.1527"/>
              <dgm:constr type="h" for="ch" forName="d3" refType="h" fact="0.287"/>
            </dgm:constrLst>
          </dgm:if>
          <dgm:if name="Name16" axis="ch" ptType="node" func="cnt" op="equ" val="4">
            <dgm:constrLst>
              <dgm:constr type="primFontSz" for="des" ptType="node" op="equ" val="65"/>
              <dgm:constr type="w" for="ch" forName="circle1" refType="w" fact="0.0857"/>
              <dgm:constr type="h" for="ch" forName="circle1" refType="w" refFor="ch" refForName="circle1"/>
              <dgm:constr type="ctrX" for="ch" forName="circle1" refType="w" fact="0.7"/>
              <dgm:constr type="ctrY" for="ch" forName="circle1" refType="h" fact="0.625"/>
              <dgm:constr type="w" for="ch" forName="text1" refType="w" fact="0.3"/>
              <dgm:constr type="h" for="ch" forName="text1" refType="h" fact="0.17938"/>
              <dgm:constr type="l" for="ch" forName="text1"/>
              <dgm:constr type="t" for="ch" forName="text1"/>
              <dgm:constr type="l" for="ch" forName="line1" refType="r" refFor="ch" refForName="text1"/>
              <dgm:constr type="ctrY" for="ch" forName="line1" refType="ctrY" refFor="ch" refForName="text1"/>
              <dgm:constr type="r" for="ch" forName="line1" refType="w" fact="0.375"/>
              <dgm:constr type="h" for="ch" forName="line1"/>
              <dgm:constr type="r" for="ch" forName="d1" refType="w" fact="0.705"/>
              <dgm:constr type="b" for="ch" forName="d1" refType="h" fact="0.62"/>
              <dgm:constr type="w" for="ch" forName="d1" refType="w" fact="0.33"/>
              <dgm:constr type="h" for="ch" forName="d1" refType="h" fact="0.53"/>
              <dgm:constr type="w" for="ch" forName="circle2" refType="w" fact="0.2571"/>
              <dgm:constr type="h" for="ch" forName="circle2" refType="w" refFor="ch" refForName="circle2"/>
              <dgm:constr type="ctrX" for="ch" forName="circle2" refType="w" fact="0.7"/>
              <dgm:constr type="ctrY" for="ch" forName="circle2" refType="h" fact="0.625"/>
              <dgm:constr type="w" for="ch" forName="text2" refType="w" fact="0.3"/>
              <dgm:constr type="h" for="ch" forName="text2" refType="h" fact="0.17938"/>
              <dgm:constr type="l" for="ch" forName="text2"/>
              <dgm:constr type="t" for="ch" forName="text2" refType="b" refFor="ch" refForName="text1"/>
              <dgm:constr type="l" for="ch" forName="line2" refType="r" refFor="ch" refForName="text2"/>
              <dgm:constr type="ctrY" for="ch" forName="line2" refType="ctrY" refFor="ch" refForName="text2"/>
              <dgm:constr type="r" for="ch" forName="line2" refType="w" fact="0.375"/>
              <dgm:constr type="h" for="ch" forName="line2"/>
              <dgm:constr type="r" for="ch" forName="d2" refType="w" fact="0.63375"/>
              <dgm:constr type="b" for="ch" forName="d2" refType="h" fact="0.70438"/>
              <dgm:constr type="w" for="ch" forName="d2" refType="w" fact="0.2585"/>
              <dgm:constr type="h" for="ch" forName="d2" refType="h" fact="0.43525"/>
              <dgm:constr type="w" for="ch" forName="circle3" refType="w" fact="0.4285"/>
              <dgm:constr type="h" for="ch" forName="circle3" refType="w" refFor="ch" refForName="circle3"/>
              <dgm:constr type="ctrX" for="ch" forName="circle3" refType="ctrX" refFor="ch" refForName="circle1"/>
              <dgm:constr type="ctrY" for="ch" forName="circle3" refType="ctrY" refFor="ch" refForName="circle1"/>
              <dgm:constr type="w" for="ch" forName="text3" refType="w" fact="0.3"/>
              <dgm:constr type="h" for="ch" forName="text3" refType="h" fact="0.17938"/>
              <dgm:constr type="l" for="ch" forName="text3"/>
              <dgm:constr type="t" for="ch" forName="text3" refType="b" refFor="ch" refForName="text2"/>
              <dgm:constr type="l" for="ch" forName="line3" refType="r" refFor="ch" refForName="text3"/>
              <dgm:constr type="ctrY" for="ch" forName="line3" refType="ctrY" refFor="ch" refForName="text3"/>
              <dgm:constr type="r" for="ch" forName="line3" refType="w" fact="0.375"/>
              <dgm:constr type="h" for="ch" forName="line3"/>
              <dgm:constr type="r" for="ch" forName="d3" refType="w" fact="0.5745"/>
              <dgm:constr type="b" for="ch" forName="d3" refType="h" fact="0.78031"/>
              <dgm:constr type="w" for="ch" forName="d3" refType="w" fact="0.1995"/>
              <dgm:constr type="h" for="ch" forName="d3" refType="h" fact="0.332"/>
              <dgm:constr type="w" for="ch" forName="circle4" refType="w" fact="0.6"/>
              <dgm:constr type="h" for="ch" forName="circle4" refType="w" refFor="ch" refForName="circle4"/>
              <dgm:constr type="ctrX" for="ch" forName="circle4" refType="ctrX" refFor="ch" refForName="circle1"/>
              <dgm:constr type="ctrY" for="ch" forName="circle4" refType="ctrY" refFor="ch" refForName="circle1"/>
              <dgm:constr type="w" for="ch" forName="text4" refType="w" fact="0.3"/>
              <dgm:constr type="h" for="ch" forName="text4" refType="h" fact="0.17938"/>
              <dgm:constr type="l" for="ch" forName="text4"/>
              <dgm:constr type="t" for="ch" forName="text4" refType="b" refFor="ch" refForName="text3"/>
              <dgm:constr type="l" for="ch" forName="line4" refType="r" refFor="ch" refForName="text4"/>
              <dgm:constr type="ctrY" for="ch" forName="line4" refType="ctrY" refFor="ch" refForName="text4"/>
              <dgm:constr type="r" for="ch" forName="line4" refType="w" fact="0.375"/>
              <dgm:constr type="h" for="ch" forName="line4"/>
              <dgm:constr type="r" for="ch" forName="d4" refType="w" fact="0.51475"/>
              <dgm:constr type="b" for="ch" forName="d4" refType="h" fact="0.85594"/>
              <dgm:constr type="w" for="ch" forName="d4" refType="w" fact="0.1394"/>
              <dgm:constr type="h" for="ch" forName="d4" refType="h" fact="0.2282"/>
            </dgm:constrLst>
          </dgm:if>
          <dgm:if name="Name17" axis="ch" ptType="node" func="cnt" op="gte" val="5">
            <dgm:constrLst>
              <dgm:constr type="primFontSz" for="des" ptType="node" op="equ" val="65"/>
              <dgm:constr type="w" for="ch" forName="circle1" refType="w" fact="0.0667"/>
              <dgm:constr type="h" for="ch" forName="circle1" refType="w" refFor="ch" refForName="circle1"/>
              <dgm:constr type="ctrX" for="ch" forName="circle1" refType="w" fact="0.7"/>
              <dgm:constr type="ctrY" for="ch" forName="circle1" refType="h" fact="0.625"/>
              <dgm:constr type="w" for="ch" forName="text1" refType="w" fact="0.3"/>
              <dgm:constr type="h" for="ch" forName="text1" refType="h" fact="0.1324"/>
              <dgm:constr type="l" for="ch" forName="text1"/>
              <dgm:constr type="ctrY" for="ch" forName="text1" refType="h" fact="0.13"/>
              <dgm:constr type="l" for="ch" forName="line1" refType="r" refFor="ch" refForName="text1"/>
              <dgm:constr type="ctrY" for="ch" forName="line1" refType="ctrY" refFor="ch" refForName="text1"/>
              <dgm:constr type="r" for="ch" forName="line1" refType="w" fact="0.375"/>
              <dgm:constr type="h" for="ch" forName="line1"/>
              <dgm:constr type="r" for="ch" forName="d1" refType="w" fact="0.7"/>
              <dgm:constr type="b" for="ch" forName="d1" refType="h" fact="0.625"/>
              <dgm:constr type="w" for="ch" forName="d1" refType="w" fact="0.3245"/>
              <dgm:constr type="h" for="ch" forName="d1" refType="h" fact="0.495"/>
              <dgm:constr type="w" for="ch" forName="circle2" refType="w" fact="0.2"/>
              <dgm:constr type="h" for="ch" forName="circle2" refType="w" refFor="ch" refForName="circle2"/>
              <dgm:constr type="ctrX" for="ch" forName="circle2" refType="w" fact="0.7"/>
              <dgm:constr type="ctrY" for="ch" forName="circle2" refType="h" fact="0.625"/>
              <dgm:constr type="w" for="ch" forName="text2" refType="w" fact="0.3"/>
              <dgm:constr type="h" for="ch" forName="text2" refType="h" fact="0.1324"/>
              <dgm:constr type="l" for="ch" forName="text2"/>
              <dgm:constr type="ctrY" for="ch" forName="text2" refType="h" fact="0.27"/>
              <dgm:constr type="l" for="ch" forName="line2" refType="r" refFor="ch" refForName="text2"/>
              <dgm:constr type="ctrY" for="ch" forName="line2" refType="ctrY" refFor="ch" refForName="text2"/>
              <dgm:constr type="r" for="ch" forName="line2" refType="w" fact="0.375"/>
              <dgm:constr type="h" for="ch" forName="line2"/>
              <dgm:constr type="r" for="ch" forName="d2" refType="w" fact="0.6502"/>
              <dgm:constr type="b" for="ch" forName="d2" refType="h" fact="0.682"/>
              <dgm:constr type="w" for="ch" forName="d2" refType="w" fact="0.275"/>
              <dgm:constr type="h" for="ch" forName="d2" refType="h" fact="0.41215"/>
              <dgm:constr type="w" for="ch" forName="circle3" refType="w" fact="0.3334"/>
              <dgm:constr type="h" for="ch" forName="circle3" refType="w" refFor="ch" refForName="circle3"/>
              <dgm:constr type="ctrX" for="ch" forName="circle3" refType="ctrX" refFor="ch" refForName="circle1"/>
              <dgm:constr type="ctrY" for="ch" forName="circle3" refType="ctrY" refFor="ch" refForName="circle1"/>
              <dgm:constr type="w" for="ch" forName="text3" refType="w" fact="0.3"/>
              <dgm:constr type="h" for="ch" forName="text3" refType="h" fact="0.1324"/>
              <dgm:constr type="l" for="ch" forName="text3"/>
              <dgm:constr type="ctrY" for="ch" forName="text3" refType="h" fact="0.41"/>
              <dgm:constr type="l" for="ch" forName="line3" refType="r" refFor="ch" refForName="text3"/>
              <dgm:constr type="ctrY" for="ch" forName="line3" refType="ctrY" refFor="ch" refForName="text3"/>
              <dgm:constr type="r" for="ch" forName="line3" refType="w" fact="0.375"/>
              <dgm:constr type="h" for="ch" forName="line3"/>
              <dgm:constr type="r" for="ch" forName="d3" refType="w" fact="0.606"/>
              <dgm:constr type="b" for="ch" forName="d3" refType="h" fact="0.735"/>
              <dgm:constr type="w" for="ch" forName="d3" refType="w" fact="0.231"/>
              <dgm:constr type="h" for="ch" forName="d3" refType="h" fact="0.325"/>
              <dgm:constr type="w" for="ch" forName="circle4" refType="w" fact="0.4667"/>
              <dgm:constr type="h" for="ch" forName="circle4" refType="w" refFor="ch" refForName="circle4"/>
              <dgm:constr type="ctrX" for="ch" forName="circle4" refType="ctrX" refFor="ch" refForName="circle1"/>
              <dgm:constr type="ctrY" for="ch" forName="circle4" refType="ctrY" refFor="ch" refForName="circle1"/>
              <dgm:constr type="w" for="ch" forName="text4" refType="w" fact="0.3"/>
              <dgm:constr type="h" for="ch" forName="text4" refType="h" fact="0.1324"/>
              <dgm:constr type="l" for="ch" forName="text4"/>
              <dgm:constr type="ctrY" for="ch" forName="text4" refType="h" fact="0.547"/>
              <dgm:constr type="l" for="ch" forName="line4" refType="r" refFor="ch" refForName="text4"/>
              <dgm:constr type="ctrY" for="ch" forName="line4" refType="ctrY" refFor="ch" refForName="text4"/>
              <dgm:constr type="r" for="ch" forName="line4" refType="w" fact="0.375"/>
              <dgm:constr type="h" for="ch" forName="line4"/>
              <dgm:constr type="r" for="ch" forName="d4" refType="w" fact="0.554"/>
              <dgm:constr type="b" for="ch" forName="d4" refType="h" fact="0.795"/>
              <dgm:constr type="w" for="ch" forName="d4" refType="w" fact="0.179"/>
              <dgm:constr type="h" for="ch" forName="d4" refType="h" fact="0.248"/>
              <dgm:constr type="w" for="ch" forName="circle5" refType="w" fact="0.6"/>
              <dgm:constr type="h" for="ch" forName="circle5" refType="w" refFor="ch" refForName="circle5"/>
              <dgm:constr type="ctrX" for="ch" forName="circle5" refType="ctrX" refFor="ch" refForName="circle1"/>
              <dgm:constr type="ctrY" for="ch" forName="circle5" refType="ctrY" refFor="ch" refForName="circle1"/>
              <dgm:constr type="w" for="ch" forName="text5" refType="w" fact="0.3"/>
              <dgm:constr type="h" for="ch" forName="text5" refType="h" fact="0.1324"/>
              <dgm:constr type="l" for="ch" forName="text5"/>
              <dgm:constr type="ctrY" for="ch" forName="text5" refType="h" fact="0.68"/>
              <dgm:constr type="l" for="ch" forName="line5" refType="r" refFor="ch" refForName="text5"/>
              <dgm:constr type="ctrY" for="ch" forName="line5" refType="ctrY" refFor="ch" refForName="text5"/>
              <dgm:constr type="r" for="ch" forName="line5" refType="w" fact="0.375"/>
              <dgm:constr type="h" for="ch" forName="line5"/>
              <dgm:constr type="r" for="ch" forName="d5" refType="w" fact="0.505"/>
              <dgm:constr type="b" for="ch" forName="d5" refType="h" fact="0.855"/>
              <dgm:constr type="w" for="ch" forName="d5" refType="w" fact="0.13"/>
              <dgm:constr type="h" for="ch" forName="d5" refType="h" fact="0.175"/>
            </dgm:constrLst>
          </dgm:if>
          <dgm:else name="Name18"/>
        </dgm:choose>
      </dgm:else>
    </dgm:choose>
    <dgm:ruleLst/>
    <dgm:forEach name="Name19" axis="ch" ptType="node" cnt="1">
      <dgm:layoutNode name="circle1" styleLbl="lnNode1">
        <dgm:alg type="sp"/>
        <dgm:shape xmlns:r="http://schemas.openxmlformats.org/officeDocument/2006/relationships" type="ellipse" r:blip="">
          <dgm:adjLst/>
        </dgm:shape>
        <dgm:presOf/>
        <dgm:constrLst/>
        <dgm:ruleLst/>
      </dgm:layoutNode>
      <dgm:layoutNode name="text1" styleLbl="revTx">
        <dgm:varLst>
          <dgm:bulletEnabled val="1"/>
        </dgm:varLst>
        <dgm:choose name="Name20">
          <dgm:if name="Name21" func="var" arg="dir" op="equ" val="norm">
            <dgm:choose name="Name22">
              <dgm:if name="Name23" axis="root des" ptType="all node" func="maxDepth" op="gt" val="1">
                <dgm:alg type="tx">
                  <dgm:param type="parTxLTRAlign" val="l"/>
                  <dgm:param type="parTxRTLAlign" val="r"/>
                </dgm:alg>
              </dgm:if>
              <dgm:else name="Name24">
                <dgm:alg type="tx">
                  <dgm:param type="parTxLTRAlign" val="l"/>
                  <dgm:param type="parTxRTLAlign" val="l"/>
                </dgm:alg>
              </dgm:else>
            </dgm:choose>
          </dgm:if>
          <dgm:else name="Name25">
            <dgm:choose name="Name26">
              <dgm:if name="Name27" axis="root des" ptType="all node" func="maxDepth" op="gt" val="1">
                <dgm:alg type="tx">
                  <dgm:param type="parTxLTRAlign" val="l"/>
                  <dgm:param type="parTxRTLAlign" val="r"/>
                </dgm:alg>
              </dgm:if>
              <dgm:else name="Name28">
                <dgm:alg type="tx">
                  <dgm:param type="parTxLTRAlign" val="r"/>
                  <dgm:param type="parTxRTLAlign" val="r"/>
                </dgm:alg>
              </dgm:else>
            </dgm:choose>
          </dgm:else>
        </dgm:choose>
        <dgm:shape xmlns:r="http://schemas.openxmlformats.org/officeDocument/2006/relationships" type="rect" r:blip="">
          <dgm:adjLst/>
        </dgm:shape>
        <dgm:presOf axis="desOrSelf" ptType="node"/>
        <dgm:choose name="Name29">
          <dgm:if name="Name30" func="var" arg="dir" op="equ" val="norm">
            <dgm:constrLst>
              <dgm:constr type="tMarg" refType="primFontSz" fact="0.1"/>
              <dgm:constr type="bMarg" refType="primFontSz" fact="0.1"/>
              <dgm:constr type="rMarg" refType="primFontSz" fact="0.1"/>
            </dgm:constrLst>
          </dgm:if>
          <dgm:else name="Name31">
            <dgm:constrLst>
              <dgm:constr type="tMarg" refType="primFontSz" fact="0.1"/>
              <dgm:constr type="bMarg" refType="primFontSz" fact="0.1"/>
              <dgm:constr type="lMarg" refType="primFontSz" fact="0.1"/>
            </dgm:constrLst>
          </dgm:else>
        </dgm:choose>
        <dgm:ruleLst>
          <dgm:rule type="primFontSz" val="5" fact="NaN" max="NaN"/>
        </dgm:ruleLst>
      </dgm:layoutNode>
      <dgm:layoutNode name="line1" styleLbl="callout">
        <dgm:alg type="sp"/>
        <dgm:shape xmlns:r="http://schemas.openxmlformats.org/officeDocument/2006/relationships" type="line" r:blip="">
          <dgm:adjLst/>
        </dgm:shape>
        <dgm:presOf/>
        <dgm:constrLst/>
        <dgm:ruleLst/>
      </dgm:layoutNode>
      <dgm:layoutNode name="d1" styleLbl="callout">
        <dgm:alg type="sp"/>
        <dgm:choose name="Name32">
          <dgm:if name="Name33" func="var" arg="dir" op="equ" val="norm">
            <dgm:shape xmlns:r="http://schemas.openxmlformats.org/officeDocument/2006/relationships" rot="90" type="line" r:blip="">
              <dgm:adjLst/>
            </dgm:shape>
          </dgm:if>
          <dgm:else name="Name34">
            <dgm:shape xmlns:r="http://schemas.openxmlformats.org/officeDocument/2006/relationships" rot="180" type="line" r:blip="">
              <dgm:adjLst/>
            </dgm:shape>
          </dgm:else>
        </dgm:choose>
        <dgm:presOf/>
        <dgm:constrLst/>
        <dgm:ruleLst/>
      </dgm:layoutNode>
    </dgm:forEach>
    <dgm:forEach name="Name35" axis="ch" ptType="node" st="2" cnt="1">
      <dgm:layoutNode name="circle2" styleLbl="lnNode1">
        <dgm:alg type="sp"/>
        <dgm:shape xmlns:r="http://schemas.openxmlformats.org/officeDocument/2006/relationships" type="ellipse" r:blip="" zOrderOff="-5">
          <dgm:adjLst/>
        </dgm:shape>
        <dgm:presOf/>
        <dgm:constrLst/>
        <dgm:ruleLst/>
      </dgm:layoutNode>
      <dgm:layoutNode name="text2" styleLbl="revTx">
        <dgm:varLst>
          <dgm:bulletEnabled val="1"/>
        </dgm:varLst>
        <dgm:choose name="Name36">
          <dgm:if name="Name37" func="var" arg="dir" op="equ" val="norm">
            <dgm:choose name="Name38">
              <dgm:if name="Name39" axis="root des" ptType="all node" func="maxDepth" op="gt" val="1">
                <dgm:alg type="tx">
                  <dgm:param type="parTxLTRAlign" val="l"/>
                  <dgm:param type="parTxRTLAlign" val="r"/>
                </dgm:alg>
              </dgm:if>
              <dgm:else name="Name40">
                <dgm:alg type="tx">
                  <dgm:param type="parTxLTRAlign" val="l"/>
                  <dgm:param type="parTxRTLAlign" val="l"/>
                </dgm:alg>
              </dgm:else>
            </dgm:choose>
          </dgm:if>
          <dgm:else name="Name41">
            <dgm:choose name="Name42">
              <dgm:if name="Name43" axis="root des" ptType="all node" func="maxDepth" op="gt" val="1">
                <dgm:alg type="tx">
                  <dgm:param type="parTxLTRAlign" val="l"/>
                  <dgm:param type="parTxRTLAlign" val="r"/>
                </dgm:alg>
              </dgm:if>
              <dgm:else name="Name44">
                <dgm:alg type="tx">
                  <dgm:param type="parTxLTRAlign" val="r"/>
                  <dgm:param type="parTxRTLAlign" val="r"/>
                </dgm:alg>
              </dgm:else>
            </dgm:choose>
          </dgm:else>
        </dgm:choose>
        <dgm:shape xmlns:r="http://schemas.openxmlformats.org/officeDocument/2006/relationships" type="rect" r:blip="">
          <dgm:adjLst/>
        </dgm:shape>
        <dgm:presOf axis="desOrSelf" ptType="node"/>
        <dgm:choose name="Name45">
          <dgm:if name="Name46" func="var" arg="dir" op="equ" val="norm">
            <dgm:constrLst>
              <dgm:constr type="tMarg" refType="primFontSz" fact="0.1"/>
              <dgm:constr type="bMarg" refType="primFontSz" fact="0.1"/>
              <dgm:constr type="rMarg" refType="primFontSz" fact="0.1"/>
            </dgm:constrLst>
          </dgm:if>
          <dgm:else name="Name47">
            <dgm:constrLst>
              <dgm:constr type="tMarg" refType="primFontSz" fact="0.1"/>
              <dgm:constr type="bMarg" refType="primFontSz" fact="0.1"/>
              <dgm:constr type="lMarg" refType="primFontSz" fact="0.1"/>
            </dgm:constrLst>
          </dgm:else>
        </dgm:choose>
        <dgm:ruleLst>
          <dgm:rule type="primFontSz" val="5" fact="NaN" max="NaN"/>
        </dgm:ruleLst>
      </dgm:layoutNode>
      <dgm:layoutNode name="line2" styleLbl="callout">
        <dgm:alg type="sp"/>
        <dgm:shape xmlns:r="http://schemas.openxmlformats.org/officeDocument/2006/relationships" type="line" r:blip="">
          <dgm:adjLst/>
        </dgm:shape>
        <dgm:presOf/>
        <dgm:constrLst/>
        <dgm:ruleLst/>
      </dgm:layoutNode>
      <dgm:layoutNode name="d2" styleLbl="callout">
        <dgm:alg type="sp"/>
        <dgm:choose name="Name48">
          <dgm:if name="Name49" func="var" arg="dir" op="equ" val="norm">
            <dgm:shape xmlns:r="http://schemas.openxmlformats.org/officeDocument/2006/relationships" rot="90" type="line" r:blip="">
              <dgm:adjLst/>
            </dgm:shape>
          </dgm:if>
          <dgm:else name="Name50">
            <dgm:shape xmlns:r="http://schemas.openxmlformats.org/officeDocument/2006/relationships" rot="180" type="line" r:blip="">
              <dgm:adjLst/>
            </dgm:shape>
          </dgm:else>
        </dgm:choose>
        <dgm:presOf/>
        <dgm:constrLst/>
        <dgm:ruleLst/>
      </dgm:layoutNode>
    </dgm:forEach>
    <dgm:forEach name="Name51" axis="ch" ptType="node" st="3" cnt="1">
      <dgm:layoutNode name="circle3" styleLbl="lnNode1">
        <dgm:alg type="sp"/>
        <dgm:shape xmlns:r="http://schemas.openxmlformats.org/officeDocument/2006/relationships" type="ellipse" r:blip="" zOrderOff="-10">
          <dgm:adjLst/>
        </dgm:shape>
        <dgm:presOf/>
        <dgm:constrLst/>
        <dgm:ruleLst/>
      </dgm:layoutNode>
      <dgm:layoutNode name="text3" styleLbl="revTx">
        <dgm:varLst>
          <dgm:bulletEnabled val="1"/>
        </dgm:varLst>
        <dgm:choose name="Name52">
          <dgm:if name="Name53" func="var" arg="dir" op="equ" val="norm">
            <dgm:choose name="Name54">
              <dgm:if name="Name55" axis="root des" ptType="all node" func="maxDepth" op="gt" val="1">
                <dgm:alg type="tx">
                  <dgm:param type="parTxLTRAlign" val="l"/>
                  <dgm:param type="parTxRTLAlign" val="r"/>
                </dgm:alg>
              </dgm:if>
              <dgm:else name="Name56">
                <dgm:alg type="tx">
                  <dgm:param type="parTxLTRAlign" val="l"/>
                  <dgm:param type="parTxRTLAlign" val="l"/>
                </dgm:alg>
              </dgm:else>
            </dgm:choose>
          </dgm:if>
          <dgm:else name="Name57">
            <dgm:choose name="Name58">
              <dgm:if name="Name59" axis="root des" ptType="all node" func="maxDepth" op="gt" val="1">
                <dgm:alg type="tx">
                  <dgm:param type="parTxLTRAlign" val="l"/>
                  <dgm:param type="parTxRTLAlign" val="r"/>
                </dgm:alg>
              </dgm:if>
              <dgm:else name="Name60">
                <dgm:alg type="tx">
                  <dgm:param type="parTxLTRAlign" val="r"/>
                  <dgm:param type="parTxRTLAlign" val="r"/>
                </dgm:alg>
              </dgm:else>
            </dgm:choose>
          </dgm:else>
        </dgm:choose>
        <dgm:shape xmlns:r="http://schemas.openxmlformats.org/officeDocument/2006/relationships" type="rect" r:blip="">
          <dgm:adjLst/>
        </dgm:shape>
        <dgm:presOf axis="desOrSelf" ptType="node"/>
        <dgm:choose name="Name61">
          <dgm:if name="Name62" func="var" arg="dir" op="equ" val="norm">
            <dgm:constrLst>
              <dgm:constr type="tMarg" refType="primFontSz" fact="0.1"/>
              <dgm:constr type="bMarg" refType="primFontSz" fact="0.1"/>
              <dgm:constr type="rMarg" refType="primFontSz" fact="0.1"/>
            </dgm:constrLst>
          </dgm:if>
          <dgm:else name="Name63">
            <dgm:constrLst>
              <dgm:constr type="tMarg" refType="primFontSz" fact="0.1"/>
              <dgm:constr type="bMarg" refType="primFontSz" fact="0.1"/>
              <dgm:constr type="lMarg" refType="primFontSz" fact="0.1"/>
            </dgm:constrLst>
          </dgm:else>
        </dgm:choose>
        <dgm:ruleLst>
          <dgm:rule type="primFontSz" val="5" fact="NaN" max="NaN"/>
        </dgm:ruleLst>
      </dgm:layoutNode>
      <dgm:layoutNode name="line3" styleLbl="callout">
        <dgm:alg type="sp"/>
        <dgm:shape xmlns:r="http://schemas.openxmlformats.org/officeDocument/2006/relationships" type="line" r:blip="">
          <dgm:adjLst/>
        </dgm:shape>
        <dgm:presOf/>
        <dgm:constrLst/>
        <dgm:ruleLst/>
      </dgm:layoutNode>
      <dgm:layoutNode name="d3" styleLbl="callout">
        <dgm:alg type="sp"/>
        <dgm:choose name="Name64">
          <dgm:if name="Name65" func="var" arg="dir" op="equ" val="norm">
            <dgm:shape xmlns:r="http://schemas.openxmlformats.org/officeDocument/2006/relationships" rot="90" type="line" r:blip="">
              <dgm:adjLst/>
            </dgm:shape>
          </dgm:if>
          <dgm:else name="Name66">
            <dgm:shape xmlns:r="http://schemas.openxmlformats.org/officeDocument/2006/relationships" rot="180" type="line" r:blip="">
              <dgm:adjLst/>
            </dgm:shape>
          </dgm:else>
        </dgm:choose>
        <dgm:presOf/>
        <dgm:constrLst/>
        <dgm:ruleLst/>
      </dgm:layoutNode>
    </dgm:forEach>
    <dgm:forEach name="Name67" axis="ch" ptType="node" st="4" cnt="1">
      <dgm:layoutNode name="circle4" styleLbl="lnNode1">
        <dgm:alg type="sp"/>
        <dgm:shape xmlns:r="http://schemas.openxmlformats.org/officeDocument/2006/relationships" type="ellipse" r:blip="" zOrderOff="-15">
          <dgm:adjLst/>
        </dgm:shape>
        <dgm:presOf/>
        <dgm:constrLst/>
        <dgm:ruleLst/>
      </dgm:layoutNode>
      <dgm:layoutNode name="text4" styleLbl="revTx">
        <dgm:varLst>
          <dgm:bulletEnabled val="1"/>
        </dgm:varLst>
        <dgm:choose name="Name68">
          <dgm:if name="Name69" func="var" arg="dir" op="equ" val="norm">
            <dgm:choose name="Name70">
              <dgm:if name="Name71" axis="root des" ptType="all node" func="maxDepth" op="gt" val="1">
                <dgm:alg type="tx">
                  <dgm:param type="parTxLTRAlign" val="l"/>
                  <dgm:param type="parTxRTLAlign" val="r"/>
                </dgm:alg>
              </dgm:if>
              <dgm:else name="Name72">
                <dgm:alg type="tx">
                  <dgm:param type="parTxLTRAlign" val="l"/>
                  <dgm:param type="parTxRTLAlign" val="l"/>
                </dgm:alg>
              </dgm:else>
            </dgm:choose>
          </dgm:if>
          <dgm:else name="Name73">
            <dgm:choose name="Name74">
              <dgm:if name="Name75" axis="root des" ptType="all node" func="maxDepth" op="gt" val="1">
                <dgm:alg type="tx">
                  <dgm:param type="parTxLTRAlign" val="l"/>
                  <dgm:param type="parTxRTLAlign" val="r"/>
                </dgm:alg>
              </dgm:if>
              <dgm:else name="Name76">
                <dgm:alg type="tx">
                  <dgm:param type="parTxLTRAlign" val="r"/>
                  <dgm:param type="parTxRTLAlign" val="r"/>
                </dgm:alg>
              </dgm:else>
            </dgm:choose>
          </dgm:else>
        </dgm:choose>
        <dgm:shape xmlns:r="http://schemas.openxmlformats.org/officeDocument/2006/relationships" type="rect" r:blip="">
          <dgm:adjLst/>
        </dgm:shape>
        <dgm:presOf axis="desOrSelf" ptType="node"/>
        <dgm:choose name="Name77">
          <dgm:if name="Name78" func="var" arg="dir" op="equ" val="norm">
            <dgm:constrLst>
              <dgm:constr type="tMarg" refType="primFontSz" fact="0.1"/>
              <dgm:constr type="bMarg" refType="primFontSz" fact="0.1"/>
              <dgm:constr type="rMarg" refType="primFontSz" fact="0.1"/>
            </dgm:constrLst>
          </dgm:if>
          <dgm:else name="Name79">
            <dgm:constrLst>
              <dgm:constr type="tMarg" refType="primFontSz" fact="0.1"/>
              <dgm:constr type="bMarg" refType="primFontSz" fact="0.1"/>
              <dgm:constr type="lMarg" refType="primFontSz" fact="0.1"/>
            </dgm:constrLst>
          </dgm:else>
        </dgm:choose>
        <dgm:ruleLst>
          <dgm:rule type="primFontSz" val="5" fact="NaN" max="NaN"/>
        </dgm:ruleLst>
      </dgm:layoutNode>
      <dgm:layoutNode name="line4" styleLbl="callout">
        <dgm:alg type="sp"/>
        <dgm:shape xmlns:r="http://schemas.openxmlformats.org/officeDocument/2006/relationships" type="line" r:blip="">
          <dgm:adjLst/>
        </dgm:shape>
        <dgm:presOf/>
        <dgm:constrLst/>
        <dgm:ruleLst/>
      </dgm:layoutNode>
      <dgm:layoutNode name="d4" styleLbl="callout">
        <dgm:alg type="sp"/>
        <dgm:choose name="Name80">
          <dgm:if name="Name81" func="var" arg="dir" op="equ" val="norm">
            <dgm:shape xmlns:r="http://schemas.openxmlformats.org/officeDocument/2006/relationships" rot="90" type="line" r:blip="">
              <dgm:adjLst/>
            </dgm:shape>
          </dgm:if>
          <dgm:else name="Name82">
            <dgm:shape xmlns:r="http://schemas.openxmlformats.org/officeDocument/2006/relationships" rot="180" type="line" r:blip="">
              <dgm:adjLst/>
            </dgm:shape>
          </dgm:else>
        </dgm:choose>
        <dgm:presOf/>
        <dgm:constrLst/>
        <dgm:ruleLst/>
      </dgm:layoutNode>
    </dgm:forEach>
    <dgm:forEach name="Name83" axis="ch" ptType="node" st="5" cnt="1">
      <dgm:layoutNode name="circle5" styleLbl="lnNode1">
        <dgm:alg type="sp"/>
        <dgm:shape xmlns:r="http://schemas.openxmlformats.org/officeDocument/2006/relationships" type="ellipse" r:blip="" zOrderOff="-20">
          <dgm:adjLst/>
        </dgm:shape>
        <dgm:presOf/>
        <dgm:constrLst/>
        <dgm:ruleLst/>
      </dgm:layoutNode>
      <dgm:layoutNode name="text5" styleLbl="revTx">
        <dgm:varLst>
          <dgm:bulletEnabled val="1"/>
        </dgm:varLst>
        <dgm:choose name="Name84">
          <dgm:if name="Name85" func="var" arg="dir" op="equ" val="norm">
            <dgm:choose name="Name86">
              <dgm:if name="Name87" axis="root des" ptType="all node" func="maxDepth" op="gt" val="1">
                <dgm:alg type="tx">
                  <dgm:param type="parTxLTRAlign" val="l"/>
                  <dgm:param type="parTxRTLAlign" val="r"/>
                </dgm:alg>
              </dgm:if>
              <dgm:else name="Name88">
                <dgm:alg type="tx">
                  <dgm:param type="parTxLTRAlign" val="l"/>
                  <dgm:param type="parTxRTLAlign" val="l"/>
                </dgm:alg>
              </dgm:else>
            </dgm:choose>
          </dgm:if>
          <dgm:else name="Name89">
            <dgm:choose name="Name90">
              <dgm:if name="Name91" axis="root des" ptType="all node" func="maxDepth" op="gt" val="1">
                <dgm:alg type="tx">
                  <dgm:param type="parTxLTRAlign" val="l"/>
                  <dgm:param type="parTxRTLAlign" val="r"/>
                </dgm:alg>
              </dgm:if>
              <dgm:else name="Name92">
                <dgm:alg type="tx">
                  <dgm:param type="parTxLTRAlign" val="r"/>
                  <dgm:param type="parTxRTLAlign" val="r"/>
                </dgm:alg>
              </dgm:else>
            </dgm:choose>
          </dgm:else>
        </dgm:choose>
        <dgm:shape xmlns:r="http://schemas.openxmlformats.org/officeDocument/2006/relationships" type="rect" r:blip="">
          <dgm:adjLst/>
        </dgm:shape>
        <dgm:presOf axis="desOrSelf" ptType="node"/>
        <dgm:choose name="Name93">
          <dgm:if name="Name94" func="var" arg="dir" op="equ" val="norm">
            <dgm:constrLst>
              <dgm:constr type="tMarg" refType="primFontSz" fact="0.1"/>
              <dgm:constr type="bMarg" refType="primFontSz" fact="0.1"/>
              <dgm:constr type="rMarg" refType="primFontSz" fact="0.1"/>
            </dgm:constrLst>
          </dgm:if>
          <dgm:else name="Name95">
            <dgm:constrLst>
              <dgm:constr type="tMarg" refType="primFontSz" fact="0.1"/>
              <dgm:constr type="bMarg" refType="primFontSz" fact="0.1"/>
              <dgm:constr type="lMarg" refType="primFontSz" fact="0.1"/>
            </dgm:constrLst>
          </dgm:else>
        </dgm:choose>
        <dgm:ruleLst>
          <dgm:rule type="primFontSz" val="5" fact="NaN" max="NaN"/>
        </dgm:ruleLst>
      </dgm:layoutNode>
      <dgm:layoutNode name="line5" styleLbl="callout">
        <dgm:alg type="sp"/>
        <dgm:shape xmlns:r="http://schemas.openxmlformats.org/officeDocument/2006/relationships" type="line" r:blip="">
          <dgm:adjLst/>
        </dgm:shape>
        <dgm:presOf/>
        <dgm:constrLst/>
        <dgm:ruleLst/>
      </dgm:layoutNode>
      <dgm:layoutNode name="d5" styleLbl="callout">
        <dgm:alg type="sp"/>
        <dgm:choose name="Name96">
          <dgm:if name="Name97" func="var" arg="dir" op="equ" val="norm">
            <dgm:shape xmlns:r="http://schemas.openxmlformats.org/officeDocument/2006/relationships" rot="90" type="line" r:blip="">
              <dgm:adjLst/>
            </dgm:shape>
          </dgm:if>
          <dgm:else name="Name98">
            <dgm:shape xmlns:r="http://schemas.openxmlformats.org/officeDocument/2006/relationships" rot="180" type="line" r:blip="">
              <dgm:adjLst/>
            </dgm:shape>
          </dgm:else>
        </dgm:choose>
        <dgm:presOf/>
        <dgm:constrLst/>
        <dgm:ruleLst/>
      </dgm:layoutNode>
    </dgm:forEach>
  </dgm:layoutNode>
</dgm:layoutDef>
</file>

<file path=xl/diagrams/quickStyle1.xml><?xml version="1.0" encoding="utf-8"?>
<dgm:styleDef xmlns:dgm="http://schemas.openxmlformats.org/drawingml/2006/diagram" xmlns:a="http://schemas.openxmlformats.org/drawingml/2006/main" uniqueId="urn:microsoft.com/office/officeart/2005/8/quickstyle/3d6#2">
  <dgm:title val=""/>
  <dgm:desc val=""/>
  <dgm:catLst>
    <dgm:cat type="3D" pri="11600"/>
  </dgm:catLst>
  <dgm:scene3d>
    <a:camera prst="perspectiveRelaxedModerately" zoom="92000"/>
    <a:lightRig rig="balanced" dir="t">
      <a:rot lat="0" lon="0" rev="12700000"/>
    </a:lightRig>
  </dgm:scene3d>
  <dgm:styleLbl name="node0">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lnNode1">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vennNode1">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tx1"/>
      </a:fontRef>
    </dgm:style>
  </dgm:styleLbl>
  <dgm:styleLbl name="alignNode1">
    <dgm:scene3d>
      <a:camera prst="orthographicFront"/>
      <a:lightRig rig="threePt" dir="t"/>
    </dgm:scene3d>
    <dgm:sp3d prstMaterial="plastic">
      <a:bevelT w="50800" h="50800"/>
      <a:bevelB w="50800" h="50800"/>
    </dgm:sp3d>
    <dgm:txPr/>
    <dgm:style>
      <a:lnRef idx="1">
        <a:scrgbClr r="0" g="0" b="0"/>
      </a:lnRef>
      <a:fillRef idx="1">
        <a:scrgbClr r="0" g="0" b="0"/>
      </a:fillRef>
      <a:effectRef idx="2">
        <a:scrgbClr r="0" g="0" b="0"/>
      </a:effectRef>
      <a:fontRef idx="minor">
        <a:schemeClr val="lt1"/>
      </a:fontRef>
    </dgm:style>
  </dgm:styleLbl>
  <dgm:styleLbl name="node1">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node2">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node3">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node4">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fgImgPlace1">
    <dgm:scene3d>
      <a:camera prst="orthographicFront"/>
      <a:lightRig rig="threePt" dir="t"/>
    </dgm:scene3d>
    <dgm:sp3d z="50080" prstMaterial="plastic">
      <a:bevelT w="50800" h="50800"/>
      <a:bevelB w="50800" h="50800"/>
    </dgm:sp3d>
    <dgm:txPr/>
    <dgm:style>
      <a:lnRef idx="0">
        <a:scrgbClr r="0" g="0" b="0"/>
      </a:lnRef>
      <a:fillRef idx="1">
        <a:scrgbClr r="0" g="0" b="0"/>
      </a:fillRef>
      <a:effectRef idx="2">
        <a:scrgbClr r="0" g="0" b="0"/>
      </a:effectRef>
      <a:fontRef idx="minor"/>
    </dgm:style>
  </dgm:styleLbl>
  <dgm:styleLbl name="alignImgPlace1">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dgm:style>
  </dgm:styleLbl>
  <dgm:styleLbl name="bgImgPlace1">
    <dgm:scene3d>
      <a:camera prst="orthographicFront"/>
      <a:lightRig rig="threePt" dir="t"/>
    </dgm:scene3d>
    <dgm:sp3d z="-54000" prstMaterial="plastic">
      <a:bevelT w="50800" h="50800"/>
      <a:bevelB w="50800" h="50800"/>
    </dgm:sp3d>
    <dgm:txPr/>
    <dgm:style>
      <a:lnRef idx="0">
        <a:scrgbClr r="0" g="0" b="0"/>
      </a:lnRef>
      <a:fillRef idx="1">
        <a:scrgbClr r="0" g="0" b="0"/>
      </a:fillRef>
      <a:effectRef idx="2">
        <a:scrgbClr r="0" g="0" b="0"/>
      </a:effectRef>
      <a:fontRef idx="minor"/>
    </dgm:style>
  </dgm:styleLbl>
  <dgm:styleLbl name="sibTrans2D1">
    <dgm:scene3d>
      <a:camera prst="orthographicFront"/>
      <a:lightRig rig="threePt" dir="t"/>
    </dgm:scene3d>
    <dgm:sp3d z="-25400" prstMaterial="plastic">
      <a:bevelT w="25400" h="25400"/>
      <a:bevelB w="25400" h="25400"/>
    </dgm:sp3d>
    <dgm:txPr/>
    <dgm:style>
      <a:lnRef idx="1">
        <a:scrgbClr r="0" g="0" b="0"/>
      </a:lnRef>
      <a:fillRef idx="1">
        <a:scrgbClr r="0" g="0" b="0"/>
      </a:fillRef>
      <a:effectRef idx="2">
        <a:scrgbClr r="0" g="0" b="0"/>
      </a:effectRef>
      <a:fontRef idx="minor">
        <a:schemeClr val="lt1"/>
      </a:fontRef>
    </dgm:style>
  </dgm:styleLbl>
  <dgm:styleLbl name="fgSibTrans2D1">
    <dgm:scene3d>
      <a:camera prst="orthographicFront"/>
      <a:lightRig rig="threePt" dir="t"/>
    </dgm:scene3d>
    <dgm:sp3d z="50080" prstMaterial="plastic">
      <a:bevelT w="25400" h="25400"/>
      <a:bevelB w="25400" h="25400"/>
    </dgm:sp3d>
    <dgm:txPr/>
    <dgm:style>
      <a:lnRef idx="1">
        <a:scrgbClr r="0" g="0" b="0"/>
      </a:lnRef>
      <a:fillRef idx="1">
        <a:scrgbClr r="0" g="0" b="0"/>
      </a:fillRef>
      <a:effectRef idx="2">
        <a:scrgbClr r="0" g="0" b="0"/>
      </a:effectRef>
      <a:fontRef idx="minor">
        <a:schemeClr val="lt1"/>
      </a:fontRef>
    </dgm:style>
  </dgm:styleLbl>
  <dgm:styleLbl name="bgSibTrans2D1">
    <dgm:scene3d>
      <a:camera prst="orthographicFront"/>
      <a:lightRig rig="threePt" dir="t"/>
    </dgm:scene3d>
    <dgm:sp3d z="-54080" prstMaterial="plastic">
      <a:bevelT w="25400" h="25400"/>
      <a:bevelB w="25400" h="25400"/>
    </dgm:sp3d>
    <dgm:txPr/>
    <dgm:style>
      <a:lnRef idx="1">
        <a:scrgbClr r="0" g="0" b="0"/>
      </a:lnRef>
      <a:fillRef idx="1">
        <a:scrgbClr r="0" g="0" b="0"/>
      </a:fillRef>
      <a:effectRef idx="2">
        <a:scrgbClr r="0" g="0" b="0"/>
      </a:effectRef>
      <a:fontRef idx="minor">
        <a:schemeClr val="lt1"/>
      </a:fontRef>
    </dgm:style>
  </dgm:styleLbl>
  <dgm:styleLbl name="sibTrans1D1">
    <dgm:scene3d>
      <a:camera prst="orthographicFront"/>
      <a:lightRig rig="threePt" dir="t"/>
    </dgm:scene3d>
    <dgm:sp3d z="-25400" prstMaterial="plastic"/>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z="75000" prstMaterial="plastic"/>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asst1">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asst2">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asst3">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parChTrans2D1">
    <dgm:scene3d>
      <a:camera prst="orthographicFront"/>
      <a:lightRig rig="threePt" dir="t"/>
    </dgm:scene3d>
    <dgm:sp3d z="-25400" prstMaterial="plastic">
      <a:bevelT w="25400" h="25400"/>
      <a:bevelB w="25400" h="25400"/>
    </dgm:sp3d>
    <dgm:txPr/>
    <dgm:style>
      <a:lnRef idx="0">
        <a:scrgbClr r="0" g="0" b="0"/>
      </a:lnRef>
      <a:fillRef idx="1">
        <a:scrgbClr r="0" g="0" b="0"/>
      </a:fillRef>
      <a:effectRef idx="2">
        <a:scrgbClr r="0" g="0" b="0"/>
      </a:effectRef>
      <a:fontRef idx="minor">
        <a:schemeClr val="lt1"/>
      </a:fontRef>
    </dgm:style>
  </dgm:styleLbl>
  <dgm:styleLbl name="parChTrans2D2">
    <dgm:scene3d>
      <a:camera prst="orthographicFront"/>
      <a:lightRig rig="threePt" dir="t"/>
    </dgm:scene3d>
    <dgm:sp3d z="-25400" prstMaterial="plastic">
      <a:bevelT w="25400" h="25400"/>
      <a:bevelB w="25400" h="25400"/>
    </dgm:sp3d>
    <dgm:txPr/>
    <dgm:style>
      <a:lnRef idx="0">
        <a:scrgbClr r="0" g="0" b="0"/>
      </a:lnRef>
      <a:fillRef idx="1">
        <a:scrgbClr r="0" g="0" b="0"/>
      </a:fillRef>
      <a:effectRef idx="2">
        <a:scrgbClr r="0" g="0" b="0"/>
      </a:effectRef>
      <a:fontRef idx="minor">
        <a:schemeClr val="lt1"/>
      </a:fontRef>
    </dgm:style>
  </dgm:styleLbl>
  <dgm:styleLbl name="parChTrans2D3">
    <dgm:scene3d>
      <a:camera prst="orthographicFront"/>
      <a:lightRig rig="threePt" dir="t"/>
    </dgm:scene3d>
    <dgm:sp3d z="-25400" prstMaterial="plastic">
      <a:bevelT w="25400" h="25400"/>
      <a:bevelB w="25400" h="25400"/>
    </dgm:sp3d>
    <dgm:txPr/>
    <dgm:style>
      <a:lnRef idx="0">
        <a:scrgbClr r="0" g="0" b="0"/>
      </a:lnRef>
      <a:fillRef idx="1">
        <a:scrgbClr r="0" g="0" b="0"/>
      </a:fillRef>
      <a:effectRef idx="2">
        <a:scrgbClr r="0" g="0" b="0"/>
      </a:effectRef>
      <a:fontRef idx="minor">
        <a:schemeClr val="lt1"/>
      </a:fontRef>
    </dgm:style>
  </dgm:styleLbl>
  <dgm:styleLbl name="parChTrans2D4">
    <dgm:scene3d>
      <a:camera prst="orthographicFront"/>
      <a:lightRig rig="threePt" dir="t"/>
    </dgm:scene3d>
    <dgm:sp3d z="-25400" prstMaterial="plastic">
      <a:bevelT w="25400" h="25400"/>
      <a:bevelB w="25400" h="25400"/>
    </dgm:sp3d>
    <dgm:txPr/>
    <dgm:style>
      <a:lnRef idx="0">
        <a:scrgbClr r="0" g="0" b="0"/>
      </a:lnRef>
      <a:fillRef idx="1">
        <a:scrgbClr r="0" g="0" b="0"/>
      </a:fillRef>
      <a:effectRef idx="2">
        <a:scrgbClr r="0" g="0" b="0"/>
      </a:effectRef>
      <a:fontRef idx="minor">
        <a:schemeClr val="lt1"/>
      </a:fontRef>
    </dgm:style>
  </dgm:styleLbl>
  <dgm:styleLbl name="parChTrans1D1">
    <dgm:scene3d>
      <a:camera prst="orthographicFront"/>
      <a:lightRig rig="threePt" dir="t"/>
    </dgm:scene3d>
    <dgm:sp3d z="-25400" prstMaterial="plastic"/>
    <dgm:txPr/>
    <dgm:style>
      <a:lnRef idx="2">
        <a:scrgbClr r="0" g="0" b="0"/>
      </a:lnRef>
      <a:fillRef idx="0">
        <a:scrgbClr r="0" g="0" b="0"/>
      </a:fillRef>
      <a:effectRef idx="0">
        <a:scrgbClr r="0" g="0" b="0"/>
      </a:effectRef>
      <a:fontRef idx="minor">
        <a:schemeClr val="tx1"/>
      </a:fontRef>
    </dgm:style>
  </dgm:styleLbl>
  <dgm:styleLbl name="parChTrans1D2">
    <dgm:scene3d>
      <a:camera prst="orthographicFront"/>
      <a:lightRig rig="threePt" dir="t"/>
    </dgm:scene3d>
    <dgm:sp3d z="-25400" prstMaterial="plastic"/>
    <dgm:txPr/>
    <dgm:style>
      <a:lnRef idx="2">
        <a:scrgbClr r="0" g="0" b="0"/>
      </a:lnRef>
      <a:fillRef idx="0">
        <a:scrgbClr r="0" g="0" b="0"/>
      </a:fillRef>
      <a:effectRef idx="0">
        <a:scrgbClr r="0" g="0" b="0"/>
      </a:effectRef>
      <a:fontRef idx="minor">
        <a:schemeClr val="tx1"/>
      </a:fontRef>
    </dgm:style>
  </dgm:styleLbl>
  <dgm:styleLbl name="parChTrans1D3">
    <dgm:scene3d>
      <a:camera prst="orthographicFront"/>
      <a:lightRig rig="threePt" dir="t"/>
    </dgm:scene3d>
    <dgm:sp3d z="-25400" prstMaterial="plastic"/>
    <dgm:txPr/>
    <dgm:style>
      <a:lnRef idx="2">
        <a:scrgbClr r="0" g="0" b="0"/>
      </a:lnRef>
      <a:fillRef idx="0">
        <a:scrgbClr r="0" g="0" b="0"/>
      </a:fillRef>
      <a:effectRef idx="0">
        <a:scrgbClr r="0" g="0" b="0"/>
      </a:effectRef>
      <a:fontRef idx="minor">
        <a:schemeClr val="tx1"/>
      </a:fontRef>
    </dgm:style>
  </dgm:styleLbl>
  <dgm:styleLbl name="parChTrans1D4">
    <dgm:scene3d>
      <a:camera prst="orthographicFront"/>
      <a:lightRig rig="threePt" dir="t"/>
    </dgm:scene3d>
    <dgm:sp3d z="-25400" prstMaterial="plastic"/>
    <dgm:txPr/>
    <dgm:style>
      <a:lnRef idx="2">
        <a:scrgbClr r="0" g="0" b="0"/>
      </a:lnRef>
      <a:fillRef idx="0">
        <a:scrgbClr r="0" g="0" b="0"/>
      </a:fillRef>
      <a:effectRef idx="0">
        <a:scrgbClr r="0" g="0" b="0"/>
      </a:effectRef>
      <a:fontRef idx="minor">
        <a:schemeClr val="tx1"/>
      </a:fontRef>
    </dgm:style>
  </dgm:styleLbl>
  <dgm:styleLbl name="fgAcc1">
    <dgm:scene3d>
      <a:camera prst="orthographicFront"/>
      <a:lightRig rig="threePt" dir="t"/>
    </dgm:scene3d>
    <dgm:sp3d z="50080" prstMaterial="plastic">
      <a:bevelT w="25400" h="25400"/>
      <a:bevelB w="25400" h="25400"/>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z="-152400" prstMaterial="plastic">
      <a:bevelT w="25400" h="25400"/>
      <a:bevelB w="25400" h="25400"/>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prstMaterial="plastic">
      <a:bevelT w="25400" h="25400"/>
      <a:bevelB w="25400" h="25400"/>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prstMaterial="plastic">
      <a:bevelT w="50800" h="50800"/>
      <a:bevelB w="50800" h="50800"/>
    </dgm:sp3d>
    <dgm:txPr/>
    <dgm:style>
      <a:lnRef idx="1">
        <a:scrgbClr r="0" g="0" b="0"/>
      </a:lnRef>
      <a:fillRef idx="1">
        <a:scrgbClr r="0" g="0" b="0"/>
      </a:fillRef>
      <a:effectRef idx="2">
        <a:scrgbClr r="0" g="0" b="0"/>
      </a:effectRef>
      <a:fontRef idx="minor"/>
    </dgm:style>
  </dgm:styleLbl>
  <dgm:styleLbl name="bgAcc1">
    <dgm:scene3d>
      <a:camera prst="orthographicFront"/>
      <a:lightRig rig="threePt" dir="t"/>
    </dgm:scene3d>
    <dgm:sp3d z="-152400" prstMaterial="plastic">
      <a:bevelT w="25400" h="25400"/>
      <a:bevelB w="25400" h="25400"/>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z="152400" prstMaterial="plastic">
      <a:bevelT w="25400" h="25400"/>
      <a:bevelB w="25400" h="25400"/>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prstMaterial="plastic">
      <a:bevelT w="25400" h="25400"/>
      <a:bevelB w="25400" h="25400"/>
    </dgm:sp3d>
    <dgm:txPr/>
    <dgm:style>
      <a:lnRef idx="1">
        <a:scrgbClr r="0" g="0" b="0"/>
      </a:lnRef>
      <a:fillRef idx="1">
        <a:scrgbClr r="0" g="0" b="0"/>
      </a:fillRef>
      <a:effectRef idx="2">
        <a:scrgbClr r="0" g="0" b="0"/>
      </a:effectRef>
      <a:fontRef idx="minor"/>
    </dgm:style>
  </dgm:styleLbl>
  <dgm:styleLbl name="solidBgAcc1">
    <dgm:scene3d>
      <a:camera prst="orthographicFront"/>
      <a:lightRig rig="threePt" dir="t"/>
    </dgm:scene3d>
    <dgm:sp3d z="-152400" prstMaterial="plastic">
      <a:bevelT w="25400" h="25400"/>
      <a:bevelB w="25400" h="25400"/>
    </dgm:sp3d>
    <dgm:txPr/>
    <dgm:style>
      <a:lnRef idx="1">
        <a:scrgbClr r="0" g="0" b="0"/>
      </a:lnRef>
      <a:fillRef idx="1">
        <a:scrgbClr r="0" g="0" b="0"/>
      </a:fillRef>
      <a:effectRef idx="2">
        <a:scrgbClr r="0" g="0" b="0"/>
      </a:effectRef>
      <a:fontRef idx="minor"/>
    </dgm:style>
  </dgm:styleLbl>
  <dgm:styleLbl name="fgAccFollowNode1">
    <dgm:scene3d>
      <a:camera prst="orthographicFront"/>
      <a:lightRig rig="threePt" dir="t"/>
    </dgm:scene3d>
    <dgm:sp3d z="50080" prstMaterial="plastic">
      <a:bevelT w="25400" h="25400"/>
      <a:bevelB w="25400" h="25400"/>
    </dgm:sp3d>
    <dgm:txPr/>
    <dgm:style>
      <a:lnRef idx="0">
        <a:scrgbClr r="0" g="0" b="0"/>
      </a:lnRef>
      <a:fillRef idx="1">
        <a:scrgbClr r="0" g="0" b="0"/>
      </a:fillRef>
      <a:effectRef idx="2">
        <a:scrgbClr r="0" g="0" b="0"/>
      </a:effectRef>
      <a:fontRef idx="minor"/>
    </dgm:style>
  </dgm:styleLbl>
  <dgm:styleLbl name="alignAccFollowNode1">
    <dgm:scene3d>
      <a:camera prst="orthographicFront"/>
      <a:lightRig rig="threePt" dir="t"/>
    </dgm:scene3d>
    <dgm:sp3d prstMaterial="plastic">
      <a:bevelT w="25400" h="25400"/>
      <a:bevelB w="25400" h="25400"/>
    </dgm:sp3d>
    <dgm:txPr/>
    <dgm:style>
      <a:lnRef idx="0">
        <a:scrgbClr r="0" g="0" b="0"/>
      </a:lnRef>
      <a:fillRef idx="1">
        <a:scrgbClr r="0" g="0" b="0"/>
      </a:fillRef>
      <a:effectRef idx="2">
        <a:scrgbClr r="0" g="0" b="0"/>
      </a:effectRef>
      <a:fontRef idx="minor"/>
    </dgm:style>
  </dgm:styleLbl>
  <dgm:styleLbl name="bgAccFollowNode1">
    <dgm:scene3d>
      <a:camera prst="orthographicFront"/>
      <a:lightRig rig="threePt" dir="t"/>
    </dgm:scene3d>
    <dgm:sp3d z="-152400" prstMaterial="plastic">
      <a:bevelT w="25400" h="25400"/>
      <a:bevelB w="25400" h="25400"/>
    </dgm:sp3d>
    <dgm:txPr/>
    <dgm:style>
      <a:lnRef idx="0">
        <a:scrgbClr r="0" g="0" b="0"/>
      </a:lnRef>
      <a:fillRef idx="1">
        <a:scrgbClr r="0" g="0" b="0"/>
      </a:fillRef>
      <a:effectRef idx="2">
        <a:scrgbClr r="0" g="0" b="0"/>
      </a:effectRef>
      <a:fontRef idx="minor"/>
    </dgm:style>
  </dgm:styleLbl>
  <dgm:styleLbl name="fgAcc0">
    <dgm:scene3d>
      <a:camera prst="orthographicFront"/>
      <a:lightRig rig="threePt" dir="t"/>
    </dgm:scene3d>
    <dgm:sp3d z="50080" prstMaterial="plastic">
      <a:bevelT w="25400" h="25400"/>
      <a:bevelB w="25400" h="25400"/>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z="50080" prstMaterial="plastic">
      <a:bevelT w="25400" h="25400"/>
      <a:bevelB w="25400" h="25400"/>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z="50080" prstMaterial="plastic">
      <a:bevelT w="25400" h="25400"/>
      <a:bevelB w="25400" h="25400"/>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z="50080" prstMaterial="plastic">
      <a:bevelT w="25400" h="25400"/>
      <a:bevelB w="25400" h="25400"/>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z="-152400" prstMaterial="plastic">
      <a:bevelT w="25400" h="25400"/>
      <a:bevelB w="25400" h="25400"/>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dgm:style>
  </dgm:styleLbl>
  <dgm:styleLbl name="trBgShp">
    <dgm:scene3d>
      <a:camera prst="orthographicFront"/>
      <a:lightRig rig="threePt" dir="t"/>
    </dgm:scene3d>
    <dgm:sp3d z="-10400" extrusionH="12700" prstMaterial="plastic"/>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z="50080" prstMaterial="plastic">
      <a:bevelT w="50800" h="50800"/>
      <a:bevelB w="50800" h="50800"/>
    </dgm:sp3d>
    <dgm:txPr/>
    <dgm:style>
      <a:lnRef idx="0">
        <a:scrgbClr r="0" g="0" b="0"/>
      </a:lnRef>
      <a:fillRef idx="1">
        <a:scrgbClr r="0" g="0" b="0"/>
      </a:fillRef>
      <a:effectRef idx="2">
        <a:scrgbClr r="0" g="0" b="0"/>
      </a:effectRef>
      <a:fontRef idx="minor"/>
    </dgm:style>
  </dgm:styleLbl>
  <dgm:styleLbl name="revTx">
    <dgm:scene3d>
      <a:camera prst="orthographicFront"/>
      <a:lightRig rig="threePt" dir="t"/>
    </dgm:scene3d>
    <dgm:sp3d/>
    <dgm:txPr/>
    <dgm:style>
      <a:lnRef idx="0">
        <a:scrgbClr r="0" g="0" b="0"/>
      </a:lnRef>
      <a:fillRef idx="1">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3d6#3">
  <dgm:title val=""/>
  <dgm:desc val=""/>
  <dgm:catLst>
    <dgm:cat type="3D" pri="11600"/>
  </dgm:catLst>
  <dgm:scene3d>
    <a:camera prst="perspectiveRelaxedModerately" zoom="92000"/>
    <a:lightRig rig="balanced" dir="t">
      <a:rot lat="0" lon="0" rev="12700000"/>
    </a:lightRig>
  </dgm:scene3d>
  <dgm:styleLbl name="node0">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lnNode1">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vennNode1">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tx1"/>
      </a:fontRef>
    </dgm:style>
  </dgm:styleLbl>
  <dgm:styleLbl name="alignNode1">
    <dgm:scene3d>
      <a:camera prst="orthographicFront"/>
      <a:lightRig rig="threePt" dir="t"/>
    </dgm:scene3d>
    <dgm:sp3d prstMaterial="plastic">
      <a:bevelT w="50800" h="50800"/>
      <a:bevelB w="50800" h="50800"/>
    </dgm:sp3d>
    <dgm:txPr/>
    <dgm:style>
      <a:lnRef idx="1">
        <a:scrgbClr r="0" g="0" b="0"/>
      </a:lnRef>
      <a:fillRef idx="1">
        <a:scrgbClr r="0" g="0" b="0"/>
      </a:fillRef>
      <a:effectRef idx="2">
        <a:scrgbClr r="0" g="0" b="0"/>
      </a:effectRef>
      <a:fontRef idx="minor">
        <a:schemeClr val="lt1"/>
      </a:fontRef>
    </dgm:style>
  </dgm:styleLbl>
  <dgm:styleLbl name="node1">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node2">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node3">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node4">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fgImgPlace1">
    <dgm:scene3d>
      <a:camera prst="orthographicFront"/>
      <a:lightRig rig="threePt" dir="t"/>
    </dgm:scene3d>
    <dgm:sp3d z="50080" prstMaterial="plastic">
      <a:bevelT w="50800" h="50800"/>
      <a:bevelB w="50800" h="50800"/>
    </dgm:sp3d>
    <dgm:txPr/>
    <dgm:style>
      <a:lnRef idx="0">
        <a:scrgbClr r="0" g="0" b="0"/>
      </a:lnRef>
      <a:fillRef idx="1">
        <a:scrgbClr r="0" g="0" b="0"/>
      </a:fillRef>
      <a:effectRef idx="2">
        <a:scrgbClr r="0" g="0" b="0"/>
      </a:effectRef>
      <a:fontRef idx="minor"/>
    </dgm:style>
  </dgm:styleLbl>
  <dgm:styleLbl name="alignImgPlace1">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dgm:style>
  </dgm:styleLbl>
  <dgm:styleLbl name="bgImgPlace1">
    <dgm:scene3d>
      <a:camera prst="orthographicFront"/>
      <a:lightRig rig="threePt" dir="t"/>
    </dgm:scene3d>
    <dgm:sp3d z="-54000" prstMaterial="plastic">
      <a:bevelT w="50800" h="50800"/>
      <a:bevelB w="50800" h="50800"/>
    </dgm:sp3d>
    <dgm:txPr/>
    <dgm:style>
      <a:lnRef idx="0">
        <a:scrgbClr r="0" g="0" b="0"/>
      </a:lnRef>
      <a:fillRef idx="1">
        <a:scrgbClr r="0" g="0" b="0"/>
      </a:fillRef>
      <a:effectRef idx="2">
        <a:scrgbClr r="0" g="0" b="0"/>
      </a:effectRef>
      <a:fontRef idx="minor"/>
    </dgm:style>
  </dgm:styleLbl>
  <dgm:styleLbl name="sibTrans2D1">
    <dgm:scene3d>
      <a:camera prst="orthographicFront"/>
      <a:lightRig rig="threePt" dir="t"/>
    </dgm:scene3d>
    <dgm:sp3d z="-25400" prstMaterial="plastic">
      <a:bevelT w="25400" h="25400"/>
      <a:bevelB w="25400" h="25400"/>
    </dgm:sp3d>
    <dgm:txPr/>
    <dgm:style>
      <a:lnRef idx="1">
        <a:scrgbClr r="0" g="0" b="0"/>
      </a:lnRef>
      <a:fillRef idx="1">
        <a:scrgbClr r="0" g="0" b="0"/>
      </a:fillRef>
      <a:effectRef idx="2">
        <a:scrgbClr r="0" g="0" b="0"/>
      </a:effectRef>
      <a:fontRef idx="minor">
        <a:schemeClr val="lt1"/>
      </a:fontRef>
    </dgm:style>
  </dgm:styleLbl>
  <dgm:styleLbl name="fgSibTrans2D1">
    <dgm:scene3d>
      <a:camera prst="orthographicFront"/>
      <a:lightRig rig="threePt" dir="t"/>
    </dgm:scene3d>
    <dgm:sp3d z="50080" prstMaterial="plastic">
      <a:bevelT w="25400" h="25400"/>
      <a:bevelB w="25400" h="25400"/>
    </dgm:sp3d>
    <dgm:txPr/>
    <dgm:style>
      <a:lnRef idx="1">
        <a:scrgbClr r="0" g="0" b="0"/>
      </a:lnRef>
      <a:fillRef idx="1">
        <a:scrgbClr r="0" g="0" b="0"/>
      </a:fillRef>
      <a:effectRef idx="2">
        <a:scrgbClr r="0" g="0" b="0"/>
      </a:effectRef>
      <a:fontRef idx="minor">
        <a:schemeClr val="lt1"/>
      </a:fontRef>
    </dgm:style>
  </dgm:styleLbl>
  <dgm:styleLbl name="bgSibTrans2D1">
    <dgm:scene3d>
      <a:camera prst="orthographicFront"/>
      <a:lightRig rig="threePt" dir="t"/>
    </dgm:scene3d>
    <dgm:sp3d z="-54080" prstMaterial="plastic">
      <a:bevelT w="25400" h="25400"/>
      <a:bevelB w="25400" h="25400"/>
    </dgm:sp3d>
    <dgm:txPr/>
    <dgm:style>
      <a:lnRef idx="1">
        <a:scrgbClr r="0" g="0" b="0"/>
      </a:lnRef>
      <a:fillRef idx="1">
        <a:scrgbClr r="0" g="0" b="0"/>
      </a:fillRef>
      <a:effectRef idx="2">
        <a:scrgbClr r="0" g="0" b="0"/>
      </a:effectRef>
      <a:fontRef idx="minor">
        <a:schemeClr val="lt1"/>
      </a:fontRef>
    </dgm:style>
  </dgm:styleLbl>
  <dgm:styleLbl name="sibTrans1D1">
    <dgm:scene3d>
      <a:camera prst="orthographicFront"/>
      <a:lightRig rig="threePt" dir="t"/>
    </dgm:scene3d>
    <dgm:sp3d z="-25400" prstMaterial="plastic"/>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z="75000" prstMaterial="plastic"/>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asst1">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asst2">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asst3">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parChTrans2D1">
    <dgm:scene3d>
      <a:camera prst="orthographicFront"/>
      <a:lightRig rig="threePt" dir="t"/>
    </dgm:scene3d>
    <dgm:sp3d z="-25400" prstMaterial="plastic">
      <a:bevelT w="25400" h="25400"/>
      <a:bevelB w="25400" h="25400"/>
    </dgm:sp3d>
    <dgm:txPr/>
    <dgm:style>
      <a:lnRef idx="0">
        <a:scrgbClr r="0" g="0" b="0"/>
      </a:lnRef>
      <a:fillRef idx="1">
        <a:scrgbClr r="0" g="0" b="0"/>
      </a:fillRef>
      <a:effectRef idx="2">
        <a:scrgbClr r="0" g="0" b="0"/>
      </a:effectRef>
      <a:fontRef idx="minor">
        <a:schemeClr val="lt1"/>
      </a:fontRef>
    </dgm:style>
  </dgm:styleLbl>
  <dgm:styleLbl name="parChTrans2D2">
    <dgm:scene3d>
      <a:camera prst="orthographicFront"/>
      <a:lightRig rig="threePt" dir="t"/>
    </dgm:scene3d>
    <dgm:sp3d z="-25400" prstMaterial="plastic">
      <a:bevelT w="25400" h="25400"/>
      <a:bevelB w="25400" h="25400"/>
    </dgm:sp3d>
    <dgm:txPr/>
    <dgm:style>
      <a:lnRef idx="0">
        <a:scrgbClr r="0" g="0" b="0"/>
      </a:lnRef>
      <a:fillRef idx="1">
        <a:scrgbClr r="0" g="0" b="0"/>
      </a:fillRef>
      <a:effectRef idx="2">
        <a:scrgbClr r="0" g="0" b="0"/>
      </a:effectRef>
      <a:fontRef idx="minor">
        <a:schemeClr val="lt1"/>
      </a:fontRef>
    </dgm:style>
  </dgm:styleLbl>
  <dgm:styleLbl name="parChTrans2D3">
    <dgm:scene3d>
      <a:camera prst="orthographicFront"/>
      <a:lightRig rig="threePt" dir="t"/>
    </dgm:scene3d>
    <dgm:sp3d z="-25400" prstMaterial="plastic">
      <a:bevelT w="25400" h="25400"/>
      <a:bevelB w="25400" h="25400"/>
    </dgm:sp3d>
    <dgm:txPr/>
    <dgm:style>
      <a:lnRef idx="0">
        <a:scrgbClr r="0" g="0" b="0"/>
      </a:lnRef>
      <a:fillRef idx="1">
        <a:scrgbClr r="0" g="0" b="0"/>
      </a:fillRef>
      <a:effectRef idx="2">
        <a:scrgbClr r="0" g="0" b="0"/>
      </a:effectRef>
      <a:fontRef idx="minor">
        <a:schemeClr val="lt1"/>
      </a:fontRef>
    </dgm:style>
  </dgm:styleLbl>
  <dgm:styleLbl name="parChTrans2D4">
    <dgm:scene3d>
      <a:camera prst="orthographicFront"/>
      <a:lightRig rig="threePt" dir="t"/>
    </dgm:scene3d>
    <dgm:sp3d z="-25400" prstMaterial="plastic">
      <a:bevelT w="25400" h="25400"/>
      <a:bevelB w="25400" h="25400"/>
    </dgm:sp3d>
    <dgm:txPr/>
    <dgm:style>
      <a:lnRef idx="0">
        <a:scrgbClr r="0" g="0" b="0"/>
      </a:lnRef>
      <a:fillRef idx="1">
        <a:scrgbClr r="0" g="0" b="0"/>
      </a:fillRef>
      <a:effectRef idx="2">
        <a:scrgbClr r="0" g="0" b="0"/>
      </a:effectRef>
      <a:fontRef idx="minor">
        <a:schemeClr val="lt1"/>
      </a:fontRef>
    </dgm:style>
  </dgm:styleLbl>
  <dgm:styleLbl name="parChTrans1D1">
    <dgm:scene3d>
      <a:camera prst="orthographicFront"/>
      <a:lightRig rig="threePt" dir="t"/>
    </dgm:scene3d>
    <dgm:sp3d z="-25400" prstMaterial="plastic"/>
    <dgm:txPr/>
    <dgm:style>
      <a:lnRef idx="2">
        <a:scrgbClr r="0" g="0" b="0"/>
      </a:lnRef>
      <a:fillRef idx="0">
        <a:scrgbClr r="0" g="0" b="0"/>
      </a:fillRef>
      <a:effectRef idx="0">
        <a:scrgbClr r="0" g="0" b="0"/>
      </a:effectRef>
      <a:fontRef idx="minor">
        <a:schemeClr val="tx1"/>
      </a:fontRef>
    </dgm:style>
  </dgm:styleLbl>
  <dgm:styleLbl name="parChTrans1D2">
    <dgm:scene3d>
      <a:camera prst="orthographicFront"/>
      <a:lightRig rig="threePt" dir="t"/>
    </dgm:scene3d>
    <dgm:sp3d z="-25400" prstMaterial="plastic"/>
    <dgm:txPr/>
    <dgm:style>
      <a:lnRef idx="2">
        <a:scrgbClr r="0" g="0" b="0"/>
      </a:lnRef>
      <a:fillRef idx="0">
        <a:scrgbClr r="0" g="0" b="0"/>
      </a:fillRef>
      <a:effectRef idx="0">
        <a:scrgbClr r="0" g="0" b="0"/>
      </a:effectRef>
      <a:fontRef idx="minor">
        <a:schemeClr val="tx1"/>
      </a:fontRef>
    </dgm:style>
  </dgm:styleLbl>
  <dgm:styleLbl name="parChTrans1D3">
    <dgm:scene3d>
      <a:camera prst="orthographicFront"/>
      <a:lightRig rig="threePt" dir="t"/>
    </dgm:scene3d>
    <dgm:sp3d z="-25400" prstMaterial="plastic"/>
    <dgm:txPr/>
    <dgm:style>
      <a:lnRef idx="2">
        <a:scrgbClr r="0" g="0" b="0"/>
      </a:lnRef>
      <a:fillRef idx="0">
        <a:scrgbClr r="0" g="0" b="0"/>
      </a:fillRef>
      <a:effectRef idx="0">
        <a:scrgbClr r="0" g="0" b="0"/>
      </a:effectRef>
      <a:fontRef idx="minor">
        <a:schemeClr val="tx1"/>
      </a:fontRef>
    </dgm:style>
  </dgm:styleLbl>
  <dgm:styleLbl name="parChTrans1D4">
    <dgm:scene3d>
      <a:camera prst="orthographicFront"/>
      <a:lightRig rig="threePt" dir="t"/>
    </dgm:scene3d>
    <dgm:sp3d z="-25400" prstMaterial="plastic"/>
    <dgm:txPr/>
    <dgm:style>
      <a:lnRef idx="2">
        <a:scrgbClr r="0" g="0" b="0"/>
      </a:lnRef>
      <a:fillRef idx="0">
        <a:scrgbClr r="0" g="0" b="0"/>
      </a:fillRef>
      <a:effectRef idx="0">
        <a:scrgbClr r="0" g="0" b="0"/>
      </a:effectRef>
      <a:fontRef idx="minor">
        <a:schemeClr val="tx1"/>
      </a:fontRef>
    </dgm:style>
  </dgm:styleLbl>
  <dgm:styleLbl name="fgAcc1">
    <dgm:scene3d>
      <a:camera prst="orthographicFront"/>
      <a:lightRig rig="threePt" dir="t"/>
    </dgm:scene3d>
    <dgm:sp3d z="50080" prstMaterial="plastic">
      <a:bevelT w="25400" h="25400"/>
      <a:bevelB w="25400" h="25400"/>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z="-152400" prstMaterial="plastic">
      <a:bevelT w="25400" h="25400"/>
      <a:bevelB w="25400" h="25400"/>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prstMaterial="plastic">
      <a:bevelT w="25400" h="25400"/>
      <a:bevelB w="25400" h="25400"/>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prstMaterial="plastic">
      <a:bevelT w="50800" h="50800"/>
      <a:bevelB w="50800" h="50800"/>
    </dgm:sp3d>
    <dgm:txPr/>
    <dgm:style>
      <a:lnRef idx="1">
        <a:scrgbClr r="0" g="0" b="0"/>
      </a:lnRef>
      <a:fillRef idx="1">
        <a:scrgbClr r="0" g="0" b="0"/>
      </a:fillRef>
      <a:effectRef idx="2">
        <a:scrgbClr r="0" g="0" b="0"/>
      </a:effectRef>
      <a:fontRef idx="minor"/>
    </dgm:style>
  </dgm:styleLbl>
  <dgm:styleLbl name="bgAcc1">
    <dgm:scene3d>
      <a:camera prst="orthographicFront"/>
      <a:lightRig rig="threePt" dir="t"/>
    </dgm:scene3d>
    <dgm:sp3d z="-152400" prstMaterial="plastic">
      <a:bevelT w="25400" h="25400"/>
      <a:bevelB w="25400" h="25400"/>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z="152400" prstMaterial="plastic">
      <a:bevelT w="25400" h="25400"/>
      <a:bevelB w="25400" h="25400"/>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prstMaterial="plastic">
      <a:bevelT w="25400" h="25400"/>
      <a:bevelB w="25400" h="25400"/>
    </dgm:sp3d>
    <dgm:txPr/>
    <dgm:style>
      <a:lnRef idx="1">
        <a:scrgbClr r="0" g="0" b="0"/>
      </a:lnRef>
      <a:fillRef idx="1">
        <a:scrgbClr r="0" g="0" b="0"/>
      </a:fillRef>
      <a:effectRef idx="2">
        <a:scrgbClr r="0" g="0" b="0"/>
      </a:effectRef>
      <a:fontRef idx="minor"/>
    </dgm:style>
  </dgm:styleLbl>
  <dgm:styleLbl name="solidBgAcc1">
    <dgm:scene3d>
      <a:camera prst="orthographicFront"/>
      <a:lightRig rig="threePt" dir="t"/>
    </dgm:scene3d>
    <dgm:sp3d z="-152400" prstMaterial="plastic">
      <a:bevelT w="25400" h="25400"/>
      <a:bevelB w="25400" h="25400"/>
    </dgm:sp3d>
    <dgm:txPr/>
    <dgm:style>
      <a:lnRef idx="1">
        <a:scrgbClr r="0" g="0" b="0"/>
      </a:lnRef>
      <a:fillRef idx="1">
        <a:scrgbClr r="0" g="0" b="0"/>
      </a:fillRef>
      <a:effectRef idx="2">
        <a:scrgbClr r="0" g="0" b="0"/>
      </a:effectRef>
      <a:fontRef idx="minor"/>
    </dgm:style>
  </dgm:styleLbl>
  <dgm:styleLbl name="fgAccFollowNode1">
    <dgm:scene3d>
      <a:camera prst="orthographicFront"/>
      <a:lightRig rig="threePt" dir="t"/>
    </dgm:scene3d>
    <dgm:sp3d z="50080" prstMaterial="plastic">
      <a:bevelT w="25400" h="25400"/>
      <a:bevelB w="25400" h="25400"/>
    </dgm:sp3d>
    <dgm:txPr/>
    <dgm:style>
      <a:lnRef idx="0">
        <a:scrgbClr r="0" g="0" b="0"/>
      </a:lnRef>
      <a:fillRef idx="1">
        <a:scrgbClr r="0" g="0" b="0"/>
      </a:fillRef>
      <a:effectRef idx="2">
        <a:scrgbClr r="0" g="0" b="0"/>
      </a:effectRef>
      <a:fontRef idx="minor"/>
    </dgm:style>
  </dgm:styleLbl>
  <dgm:styleLbl name="alignAccFollowNode1">
    <dgm:scene3d>
      <a:camera prst="orthographicFront"/>
      <a:lightRig rig="threePt" dir="t"/>
    </dgm:scene3d>
    <dgm:sp3d prstMaterial="plastic">
      <a:bevelT w="25400" h="25400"/>
      <a:bevelB w="25400" h="25400"/>
    </dgm:sp3d>
    <dgm:txPr/>
    <dgm:style>
      <a:lnRef idx="0">
        <a:scrgbClr r="0" g="0" b="0"/>
      </a:lnRef>
      <a:fillRef idx="1">
        <a:scrgbClr r="0" g="0" b="0"/>
      </a:fillRef>
      <a:effectRef idx="2">
        <a:scrgbClr r="0" g="0" b="0"/>
      </a:effectRef>
      <a:fontRef idx="minor"/>
    </dgm:style>
  </dgm:styleLbl>
  <dgm:styleLbl name="bgAccFollowNode1">
    <dgm:scene3d>
      <a:camera prst="orthographicFront"/>
      <a:lightRig rig="threePt" dir="t"/>
    </dgm:scene3d>
    <dgm:sp3d z="-152400" prstMaterial="plastic">
      <a:bevelT w="25400" h="25400"/>
      <a:bevelB w="25400" h="25400"/>
    </dgm:sp3d>
    <dgm:txPr/>
    <dgm:style>
      <a:lnRef idx="0">
        <a:scrgbClr r="0" g="0" b="0"/>
      </a:lnRef>
      <a:fillRef idx="1">
        <a:scrgbClr r="0" g="0" b="0"/>
      </a:fillRef>
      <a:effectRef idx="2">
        <a:scrgbClr r="0" g="0" b="0"/>
      </a:effectRef>
      <a:fontRef idx="minor"/>
    </dgm:style>
  </dgm:styleLbl>
  <dgm:styleLbl name="fgAcc0">
    <dgm:scene3d>
      <a:camera prst="orthographicFront"/>
      <a:lightRig rig="threePt" dir="t"/>
    </dgm:scene3d>
    <dgm:sp3d z="50080" prstMaterial="plastic">
      <a:bevelT w="25400" h="25400"/>
      <a:bevelB w="25400" h="25400"/>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z="50080" prstMaterial="plastic">
      <a:bevelT w="25400" h="25400"/>
      <a:bevelB w="25400" h="25400"/>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z="50080" prstMaterial="plastic">
      <a:bevelT w="25400" h="25400"/>
      <a:bevelB w="25400" h="25400"/>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z="50080" prstMaterial="plastic">
      <a:bevelT w="25400" h="25400"/>
      <a:bevelB w="25400" h="25400"/>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z="-152400" prstMaterial="plastic">
      <a:bevelT w="25400" h="25400"/>
      <a:bevelB w="25400" h="25400"/>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dgm:style>
  </dgm:styleLbl>
  <dgm:styleLbl name="trBgShp">
    <dgm:scene3d>
      <a:camera prst="orthographicFront"/>
      <a:lightRig rig="threePt" dir="t"/>
    </dgm:scene3d>
    <dgm:sp3d z="-10400" extrusionH="12700" prstMaterial="plastic"/>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z="50080" prstMaterial="plastic">
      <a:bevelT w="50800" h="50800"/>
      <a:bevelB w="50800" h="50800"/>
    </dgm:sp3d>
    <dgm:txPr/>
    <dgm:style>
      <a:lnRef idx="0">
        <a:scrgbClr r="0" g="0" b="0"/>
      </a:lnRef>
      <a:fillRef idx="1">
        <a:scrgbClr r="0" g="0" b="0"/>
      </a:fillRef>
      <a:effectRef idx="2">
        <a:scrgbClr r="0" g="0" b="0"/>
      </a:effectRef>
      <a:fontRef idx="minor"/>
    </dgm:style>
  </dgm:styleLbl>
  <dgm:styleLbl name="revTx">
    <dgm:scene3d>
      <a:camera prst="orthographicFront"/>
      <a:lightRig rig="threePt" dir="t"/>
    </dgm:scene3d>
    <dgm:sp3d/>
    <dgm:txPr/>
    <dgm:style>
      <a:lnRef idx="0">
        <a:scrgbClr r="0" g="0" b="0"/>
      </a:lnRef>
      <a:fillRef idx="1">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8.jpeg"/><Relationship Id="rId7" Type="http://schemas.openxmlformats.org/officeDocument/2006/relationships/image" Target="../media/image22.jpeg"/><Relationship Id="rId2" Type="http://schemas.openxmlformats.org/officeDocument/2006/relationships/image" Target="../media/image17.jpeg"/><Relationship Id="rId1" Type="http://schemas.openxmlformats.org/officeDocument/2006/relationships/image" Target="../media/image16.jpeg"/><Relationship Id="rId6" Type="http://schemas.openxmlformats.org/officeDocument/2006/relationships/image" Target="../media/image21.jpeg"/><Relationship Id="rId5" Type="http://schemas.openxmlformats.org/officeDocument/2006/relationships/image" Target="../media/image20.png"/><Relationship Id="rId4" Type="http://schemas.openxmlformats.org/officeDocument/2006/relationships/image" Target="../media/image19.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image" Target="../media/image2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16.xml.rels><?xml version="1.0" encoding="UTF-8" standalone="yes"?>
<Relationships xmlns="http://schemas.openxmlformats.org/package/2006/relationships"><Relationship Id="rId8" Type="http://schemas.openxmlformats.org/officeDocument/2006/relationships/image" Target="../media/image32.jpeg"/><Relationship Id="rId13" Type="http://schemas.openxmlformats.org/officeDocument/2006/relationships/image" Target="../media/image37.png"/><Relationship Id="rId18" Type="http://schemas.openxmlformats.org/officeDocument/2006/relationships/image" Target="../media/image42.png"/><Relationship Id="rId26" Type="http://schemas.openxmlformats.org/officeDocument/2006/relationships/image" Target="../media/image45.png"/><Relationship Id="rId3" Type="http://schemas.openxmlformats.org/officeDocument/2006/relationships/image" Target="../media/image27.png"/><Relationship Id="rId21" Type="http://schemas.openxmlformats.org/officeDocument/2006/relationships/diagramQuickStyle" Target="../diagrams/quickStyle1.xml"/><Relationship Id="rId7" Type="http://schemas.openxmlformats.org/officeDocument/2006/relationships/image" Target="../media/image31.png"/><Relationship Id="rId12" Type="http://schemas.openxmlformats.org/officeDocument/2006/relationships/image" Target="../media/image36.png"/><Relationship Id="rId17" Type="http://schemas.openxmlformats.org/officeDocument/2006/relationships/image" Target="../media/image41.png"/><Relationship Id="rId25" Type="http://schemas.openxmlformats.org/officeDocument/2006/relationships/image" Target="../media/image44.png"/><Relationship Id="rId2" Type="http://schemas.openxmlformats.org/officeDocument/2006/relationships/image" Target="../media/image26.png"/><Relationship Id="rId16" Type="http://schemas.openxmlformats.org/officeDocument/2006/relationships/image" Target="../media/image40.png"/><Relationship Id="rId20" Type="http://schemas.openxmlformats.org/officeDocument/2006/relationships/diagramLayout" Target="../diagrams/layout1.xml"/><Relationship Id="rId1" Type="http://schemas.openxmlformats.org/officeDocument/2006/relationships/image" Target="../media/image25.png"/><Relationship Id="rId6" Type="http://schemas.openxmlformats.org/officeDocument/2006/relationships/image" Target="../media/image30.png"/><Relationship Id="rId11" Type="http://schemas.openxmlformats.org/officeDocument/2006/relationships/image" Target="../media/image35.png"/><Relationship Id="rId24" Type="http://schemas.openxmlformats.org/officeDocument/2006/relationships/image" Target="../media/image43.png"/><Relationship Id="rId5" Type="http://schemas.openxmlformats.org/officeDocument/2006/relationships/image" Target="../media/image29.png"/><Relationship Id="rId15" Type="http://schemas.openxmlformats.org/officeDocument/2006/relationships/image" Target="../media/image39.png"/><Relationship Id="rId23" Type="http://schemas.microsoft.com/office/2007/relationships/diagramDrawing" Target="../diagrams/drawing1.xml"/><Relationship Id="rId28" Type="http://schemas.openxmlformats.org/officeDocument/2006/relationships/image" Target="../media/image47.png"/><Relationship Id="rId10" Type="http://schemas.openxmlformats.org/officeDocument/2006/relationships/image" Target="../media/image34.png"/><Relationship Id="rId19" Type="http://schemas.openxmlformats.org/officeDocument/2006/relationships/diagramData" Target="../diagrams/data1.xml"/><Relationship Id="rId4" Type="http://schemas.openxmlformats.org/officeDocument/2006/relationships/image" Target="../media/image28.png"/><Relationship Id="rId9" Type="http://schemas.openxmlformats.org/officeDocument/2006/relationships/image" Target="../media/image33.png"/><Relationship Id="rId14" Type="http://schemas.openxmlformats.org/officeDocument/2006/relationships/image" Target="../media/image38.png"/><Relationship Id="rId22" Type="http://schemas.openxmlformats.org/officeDocument/2006/relationships/diagramColors" Target="../diagrams/colors1.xml"/><Relationship Id="rId27" Type="http://schemas.openxmlformats.org/officeDocument/2006/relationships/image" Target="../media/image46.png"/></Relationships>
</file>

<file path=xl/drawings/_rels/drawing17.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18.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11.png"/><Relationship Id="rId1" Type="http://schemas.openxmlformats.org/officeDocument/2006/relationships/image" Target="../media/image10.png"/></Relationships>
</file>

<file path=xl/drawings/_rels/drawing19.x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3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2" Type="http://schemas.openxmlformats.org/officeDocument/2006/relationships/image" Target="../media/image47.png"/><Relationship Id="rId1" Type="http://schemas.openxmlformats.org/officeDocument/2006/relationships/image" Target="../media/image46.png"/></Relationships>
</file>

<file path=xl/drawings/_rels/drawing21.xml.rels><?xml version="1.0" encoding="UTF-8" standalone="yes"?>
<Relationships xmlns="http://schemas.openxmlformats.org/package/2006/relationships"><Relationship Id="rId3" Type="http://schemas.openxmlformats.org/officeDocument/2006/relationships/image" Target="../media/image50.png"/><Relationship Id="rId2" Type="http://schemas.openxmlformats.org/officeDocument/2006/relationships/image" Target="../media/image49.png"/><Relationship Id="rId1" Type="http://schemas.openxmlformats.org/officeDocument/2006/relationships/image" Target="../media/image48.png"/><Relationship Id="rId4" Type="http://schemas.openxmlformats.org/officeDocument/2006/relationships/image" Target="../media/image51.png"/></Relationships>
</file>

<file path=xl/drawings/_rels/drawing22.xml.rels><?xml version="1.0" encoding="UTF-8" standalone="yes"?>
<Relationships xmlns="http://schemas.openxmlformats.org/package/2006/relationships"><Relationship Id="rId8" Type="http://schemas.openxmlformats.org/officeDocument/2006/relationships/image" Target="../media/image58.png"/><Relationship Id="rId3" Type="http://schemas.openxmlformats.org/officeDocument/2006/relationships/image" Target="../media/image54.png"/><Relationship Id="rId7" Type="http://schemas.openxmlformats.org/officeDocument/2006/relationships/image" Target="../media/image6.png"/><Relationship Id="rId2" Type="http://schemas.openxmlformats.org/officeDocument/2006/relationships/image" Target="../media/image53.png"/><Relationship Id="rId1" Type="http://schemas.openxmlformats.org/officeDocument/2006/relationships/image" Target="../media/image52.png"/><Relationship Id="rId6" Type="http://schemas.openxmlformats.org/officeDocument/2006/relationships/image" Target="../media/image57.png"/><Relationship Id="rId5" Type="http://schemas.openxmlformats.org/officeDocument/2006/relationships/image" Target="../media/image56.png"/><Relationship Id="rId10" Type="http://schemas.openxmlformats.org/officeDocument/2006/relationships/image" Target="../media/image60.png"/><Relationship Id="rId4" Type="http://schemas.openxmlformats.org/officeDocument/2006/relationships/image" Target="../media/image55.png"/><Relationship Id="rId9" Type="http://schemas.openxmlformats.org/officeDocument/2006/relationships/image" Target="../media/image59.png"/></Relationships>
</file>

<file path=xl/drawings/_rels/drawing23.xml.rels><?xml version="1.0" encoding="UTF-8" standalone="yes"?>
<Relationships xmlns="http://schemas.openxmlformats.org/package/2006/relationships"><Relationship Id="rId8" Type="http://schemas.openxmlformats.org/officeDocument/2006/relationships/image" Target="../media/image32.jpeg"/><Relationship Id="rId13" Type="http://schemas.openxmlformats.org/officeDocument/2006/relationships/image" Target="../media/image37.png"/><Relationship Id="rId18" Type="http://schemas.openxmlformats.org/officeDocument/2006/relationships/image" Target="../media/image42.png"/><Relationship Id="rId26" Type="http://schemas.openxmlformats.org/officeDocument/2006/relationships/image" Target="../media/image45.png"/><Relationship Id="rId3" Type="http://schemas.openxmlformats.org/officeDocument/2006/relationships/image" Target="../media/image27.png"/><Relationship Id="rId21" Type="http://schemas.openxmlformats.org/officeDocument/2006/relationships/diagramQuickStyle" Target="../diagrams/quickStyle2.xml"/><Relationship Id="rId7" Type="http://schemas.openxmlformats.org/officeDocument/2006/relationships/image" Target="../media/image31.png"/><Relationship Id="rId12" Type="http://schemas.openxmlformats.org/officeDocument/2006/relationships/image" Target="../media/image36.png"/><Relationship Id="rId17" Type="http://schemas.openxmlformats.org/officeDocument/2006/relationships/image" Target="../media/image41.png"/><Relationship Id="rId25" Type="http://schemas.openxmlformats.org/officeDocument/2006/relationships/image" Target="../media/image44.png"/><Relationship Id="rId2" Type="http://schemas.openxmlformats.org/officeDocument/2006/relationships/image" Target="../media/image26.png"/><Relationship Id="rId16" Type="http://schemas.openxmlformats.org/officeDocument/2006/relationships/image" Target="../media/image40.png"/><Relationship Id="rId20" Type="http://schemas.openxmlformats.org/officeDocument/2006/relationships/diagramLayout" Target="../diagrams/layout2.xml"/><Relationship Id="rId1" Type="http://schemas.openxmlformats.org/officeDocument/2006/relationships/image" Target="../media/image25.png"/><Relationship Id="rId6" Type="http://schemas.openxmlformats.org/officeDocument/2006/relationships/image" Target="../media/image30.png"/><Relationship Id="rId11" Type="http://schemas.openxmlformats.org/officeDocument/2006/relationships/image" Target="../media/image35.png"/><Relationship Id="rId24" Type="http://schemas.openxmlformats.org/officeDocument/2006/relationships/image" Target="../media/image43.png"/><Relationship Id="rId5" Type="http://schemas.openxmlformats.org/officeDocument/2006/relationships/image" Target="../media/image29.png"/><Relationship Id="rId15" Type="http://schemas.openxmlformats.org/officeDocument/2006/relationships/image" Target="../media/image39.png"/><Relationship Id="rId23" Type="http://schemas.microsoft.com/office/2007/relationships/diagramDrawing" Target="../diagrams/drawing2.xml"/><Relationship Id="rId28" Type="http://schemas.openxmlformats.org/officeDocument/2006/relationships/image" Target="../media/image47.png"/><Relationship Id="rId10" Type="http://schemas.openxmlformats.org/officeDocument/2006/relationships/image" Target="../media/image34.png"/><Relationship Id="rId19" Type="http://schemas.openxmlformats.org/officeDocument/2006/relationships/diagramData" Target="../diagrams/data2.xml"/><Relationship Id="rId4" Type="http://schemas.openxmlformats.org/officeDocument/2006/relationships/image" Target="../media/image28.png"/><Relationship Id="rId9" Type="http://schemas.openxmlformats.org/officeDocument/2006/relationships/image" Target="../media/image33.png"/><Relationship Id="rId14" Type="http://schemas.openxmlformats.org/officeDocument/2006/relationships/image" Target="../media/image38.png"/><Relationship Id="rId22" Type="http://schemas.openxmlformats.org/officeDocument/2006/relationships/diagramColors" Target="../diagrams/colors2.xml"/><Relationship Id="rId27" Type="http://schemas.openxmlformats.org/officeDocument/2006/relationships/image" Target="../media/image46.png"/></Relationships>
</file>

<file path=xl/drawings/_rels/drawing24.xml.rels><?xml version="1.0" encoding="UTF-8" standalone="yes"?>
<Relationships xmlns="http://schemas.openxmlformats.org/package/2006/relationships"><Relationship Id="rId3" Type="http://schemas.openxmlformats.org/officeDocument/2006/relationships/image" Target="../media/image62.png"/><Relationship Id="rId2" Type="http://schemas.openxmlformats.org/officeDocument/2006/relationships/image" Target="../media/image61.png"/><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4"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67</xdr:row>
      <xdr:rowOff>1</xdr:rowOff>
    </xdr:from>
    <xdr:to>
      <xdr:col>2</xdr:col>
      <xdr:colOff>314325</xdr:colOff>
      <xdr:row>72</xdr:row>
      <xdr:rowOff>117209</xdr:rowOff>
    </xdr:to>
    <xdr:pic>
      <xdr:nvPicPr>
        <xdr:cNvPr id="2" name="Image 1">
          <a:extLst>
            <a:ext uri="{FF2B5EF4-FFF2-40B4-BE49-F238E27FC236}">
              <a16:creationId xmlns:a16="http://schemas.microsoft.com/office/drawing/2014/main" id="{BC882D00-ECED-4E6D-8ADC-8C4716E725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13287376"/>
          <a:ext cx="1076325" cy="10697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657225</xdr:colOff>
      <xdr:row>0</xdr:row>
      <xdr:rowOff>133350</xdr:rowOff>
    </xdr:from>
    <xdr:to>
      <xdr:col>11</xdr:col>
      <xdr:colOff>391658</xdr:colOff>
      <xdr:row>6</xdr:row>
      <xdr:rowOff>57304</xdr:rowOff>
    </xdr:to>
    <xdr:pic>
      <xdr:nvPicPr>
        <xdr:cNvPr id="3" name="Image 2">
          <a:extLst>
            <a:ext uri="{FF2B5EF4-FFF2-40B4-BE49-F238E27FC236}">
              <a16:creationId xmlns:a16="http://schemas.microsoft.com/office/drawing/2014/main" id="{9C05299F-9D62-469C-9398-9BC5E4EE5542}"/>
            </a:ext>
          </a:extLst>
        </xdr:cNvPr>
        <xdr:cNvPicPr>
          <a:picLocks noChangeAspect="1"/>
        </xdr:cNvPicPr>
      </xdr:nvPicPr>
      <xdr:blipFill>
        <a:blip xmlns:r="http://schemas.openxmlformats.org/officeDocument/2006/relationships" r:embed="rId2"/>
        <a:stretch>
          <a:fillRect/>
        </a:stretch>
      </xdr:blipFill>
      <xdr:spPr>
        <a:xfrm>
          <a:off x="657225" y="133350"/>
          <a:ext cx="8116433" cy="110505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424815</xdr:colOff>
      <xdr:row>27</xdr:row>
      <xdr:rowOff>152400</xdr:rowOff>
    </xdr:from>
    <xdr:to>
      <xdr:col>8</xdr:col>
      <xdr:colOff>409575</xdr:colOff>
      <xdr:row>32</xdr:row>
      <xdr:rowOff>53340</xdr:rowOff>
    </xdr:to>
    <xdr:sp macro="" textlink="">
      <xdr:nvSpPr>
        <xdr:cNvPr id="2" name="AutoShape 1">
          <a:extLst>
            <a:ext uri="{FF2B5EF4-FFF2-40B4-BE49-F238E27FC236}">
              <a16:creationId xmlns:a16="http://schemas.microsoft.com/office/drawing/2014/main" id="{2A88AB6D-3F70-4AAC-8BF6-BC99F2D65201}"/>
            </a:ext>
          </a:extLst>
        </xdr:cNvPr>
        <xdr:cNvSpPr>
          <a:spLocks noChangeArrowheads="1"/>
        </xdr:cNvSpPr>
      </xdr:nvSpPr>
      <xdr:spPr bwMode="auto">
        <a:xfrm>
          <a:off x="5711190" y="5867400"/>
          <a:ext cx="3756660" cy="948690"/>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fr-FR" sz="900" b="0" i="0" u="none" strike="noStrike" baseline="0">
              <a:solidFill>
                <a:srgbClr val="FF0000"/>
              </a:solidFill>
              <a:latin typeface="Times New Roman"/>
              <a:cs typeface="Times New Roman"/>
            </a:rPr>
            <a:t>eau de cuisson à 82°c</a:t>
          </a:r>
        </a:p>
      </xdr:txBody>
    </xdr:sp>
    <xdr:clientData/>
  </xdr:twoCellAnchor>
  <xdr:twoCellAnchor>
    <xdr:from>
      <xdr:col>5</xdr:col>
      <xdr:colOff>628650</xdr:colOff>
      <xdr:row>27</xdr:row>
      <xdr:rowOff>95250</xdr:rowOff>
    </xdr:from>
    <xdr:to>
      <xdr:col>8</xdr:col>
      <xdr:colOff>419100</xdr:colOff>
      <xdr:row>27</xdr:row>
      <xdr:rowOff>95250</xdr:rowOff>
    </xdr:to>
    <xdr:sp macro="" textlink="">
      <xdr:nvSpPr>
        <xdr:cNvPr id="3" name="Line 2">
          <a:extLst>
            <a:ext uri="{FF2B5EF4-FFF2-40B4-BE49-F238E27FC236}">
              <a16:creationId xmlns:a16="http://schemas.microsoft.com/office/drawing/2014/main" id="{27FDEB0E-9FB1-4556-BFDE-FE2EDDB42091}"/>
            </a:ext>
          </a:extLst>
        </xdr:cNvPr>
        <xdr:cNvSpPr>
          <a:spLocks noChangeShapeType="1"/>
        </xdr:cNvSpPr>
      </xdr:nvSpPr>
      <xdr:spPr bwMode="auto">
        <a:xfrm>
          <a:off x="5915025" y="5810250"/>
          <a:ext cx="3562350" cy="0"/>
        </a:xfrm>
        <a:prstGeom prst="line">
          <a:avLst/>
        </a:prstGeom>
        <a:noFill/>
        <a:ln w="28575">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19050</xdr:colOff>
      <xdr:row>24</xdr:row>
      <xdr:rowOff>142875</xdr:rowOff>
    </xdr:from>
    <xdr:to>
      <xdr:col>7</xdr:col>
      <xdr:colOff>1219200</xdr:colOff>
      <xdr:row>27</xdr:row>
      <xdr:rowOff>28575</xdr:rowOff>
    </xdr:to>
    <xdr:sp macro="" textlink="">
      <xdr:nvSpPr>
        <xdr:cNvPr id="4" name="Line 3">
          <a:extLst>
            <a:ext uri="{FF2B5EF4-FFF2-40B4-BE49-F238E27FC236}">
              <a16:creationId xmlns:a16="http://schemas.microsoft.com/office/drawing/2014/main" id="{05E13218-0CC0-4BBA-948E-06ED4FAEC6BE}"/>
            </a:ext>
          </a:extLst>
        </xdr:cNvPr>
        <xdr:cNvSpPr>
          <a:spLocks noChangeShapeType="1"/>
        </xdr:cNvSpPr>
      </xdr:nvSpPr>
      <xdr:spPr bwMode="auto">
        <a:xfrm flipV="1">
          <a:off x="7820025" y="5229225"/>
          <a:ext cx="1200150" cy="514350"/>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116205</xdr:colOff>
      <xdr:row>2</xdr:row>
      <xdr:rowOff>7620</xdr:rowOff>
    </xdr:from>
    <xdr:to>
      <xdr:col>8</xdr:col>
      <xdr:colOff>642027</xdr:colOff>
      <xdr:row>4</xdr:row>
      <xdr:rowOff>193548</xdr:rowOff>
    </xdr:to>
    <xdr:sp macro="" textlink="">
      <xdr:nvSpPr>
        <xdr:cNvPr id="5" name="Bulle ronde 4">
          <a:extLst>
            <a:ext uri="{FF2B5EF4-FFF2-40B4-BE49-F238E27FC236}">
              <a16:creationId xmlns:a16="http://schemas.microsoft.com/office/drawing/2014/main" id="{A4B677E7-3AF6-428D-85FD-9A7082E7D489}"/>
            </a:ext>
          </a:extLst>
        </xdr:cNvPr>
        <xdr:cNvSpPr/>
      </xdr:nvSpPr>
      <xdr:spPr bwMode="auto">
        <a:xfrm>
          <a:off x="7917180" y="483870"/>
          <a:ext cx="1783122" cy="605028"/>
        </a:xfrm>
        <a:prstGeom prst="wedgeEllipseCallout">
          <a:avLst>
            <a:gd name="adj1" fmla="val -65787"/>
            <a:gd name="adj2" fmla="val 32649"/>
          </a:avLst>
        </a:prstGeom>
        <a:ln>
          <a:headEnd type="none" w="med" len="med"/>
          <a:tailEnd type="none" w="med" len="med"/>
        </a:ln>
      </xdr:spPr>
      <xdr:style>
        <a:lnRef idx="1">
          <a:schemeClr val="accent3"/>
        </a:lnRef>
        <a:fillRef idx="2">
          <a:schemeClr val="accent3"/>
        </a:fillRef>
        <a:effectRef idx="1">
          <a:schemeClr val="accent3"/>
        </a:effectRef>
        <a:fontRef idx="minor">
          <a:schemeClr val="dk1"/>
        </a:fontRef>
      </xdr:style>
      <xdr:txBody>
        <a:bodyPr vertOverflow="clip" wrap="square" lIns="18288" tIns="0" rIns="0" bIns="0" rtlCol="0" anchor="ctr" upright="1"/>
        <a:lstStyle/>
        <a:p>
          <a:pPr algn="ctr"/>
          <a:r>
            <a:rPr lang="fr-FR" sz="1100">
              <a:solidFill>
                <a:srgbClr val="FF0000"/>
              </a:solidFill>
            </a:rPr>
            <a:t>Mettre</a:t>
          </a:r>
          <a:r>
            <a:rPr lang="fr-FR" sz="1100" baseline="0">
              <a:solidFill>
                <a:srgbClr val="FF0000"/>
              </a:solidFill>
            </a:rPr>
            <a:t> le poids de fabrication</a:t>
          </a:r>
          <a:endParaRPr lang="fr-FR" sz="1100">
            <a:solidFill>
              <a:srgbClr val="FF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424815</xdr:colOff>
      <xdr:row>27</xdr:row>
      <xdr:rowOff>152400</xdr:rowOff>
    </xdr:from>
    <xdr:to>
      <xdr:col>8</xdr:col>
      <xdr:colOff>409575</xdr:colOff>
      <xdr:row>32</xdr:row>
      <xdr:rowOff>53340</xdr:rowOff>
    </xdr:to>
    <xdr:sp macro="" textlink="">
      <xdr:nvSpPr>
        <xdr:cNvPr id="2" name="AutoShape 1">
          <a:extLst>
            <a:ext uri="{FF2B5EF4-FFF2-40B4-BE49-F238E27FC236}">
              <a16:creationId xmlns:a16="http://schemas.microsoft.com/office/drawing/2014/main" id="{FD6F6358-CAAC-4F2F-A605-48DDC8C4F701}"/>
            </a:ext>
          </a:extLst>
        </xdr:cNvPr>
        <xdr:cNvSpPr>
          <a:spLocks noChangeArrowheads="1"/>
        </xdr:cNvSpPr>
      </xdr:nvSpPr>
      <xdr:spPr bwMode="auto">
        <a:xfrm>
          <a:off x="5787390" y="6086475"/>
          <a:ext cx="3528060" cy="996315"/>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fr-FR" sz="900" b="0" i="0" u="none" strike="noStrike" baseline="0">
              <a:solidFill>
                <a:srgbClr val="FF0000"/>
              </a:solidFill>
              <a:latin typeface="Times New Roman"/>
              <a:cs typeface="Times New Roman"/>
            </a:rPr>
            <a:t>eau de cuisson à 82°c</a:t>
          </a:r>
        </a:p>
      </xdr:txBody>
    </xdr:sp>
    <xdr:clientData/>
  </xdr:twoCellAnchor>
  <xdr:twoCellAnchor>
    <xdr:from>
      <xdr:col>5</xdr:col>
      <xdr:colOff>495300</xdr:colOff>
      <xdr:row>27</xdr:row>
      <xdr:rowOff>123825</xdr:rowOff>
    </xdr:from>
    <xdr:to>
      <xdr:col>8</xdr:col>
      <xdr:colOff>285750</xdr:colOff>
      <xdr:row>27</xdr:row>
      <xdr:rowOff>123825</xdr:rowOff>
    </xdr:to>
    <xdr:sp macro="" textlink="">
      <xdr:nvSpPr>
        <xdr:cNvPr id="3" name="Line 2">
          <a:extLst>
            <a:ext uri="{FF2B5EF4-FFF2-40B4-BE49-F238E27FC236}">
              <a16:creationId xmlns:a16="http://schemas.microsoft.com/office/drawing/2014/main" id="{12A68640-F4DE-468D-BEAE-30ED80E849E4}"/>
            </a:ext>
          </a:extLst>
        </xdr:cNvPr>
        <xdr:cNvSpPr>
          <a:spLocks noChangeShapeType="1"/>
        </xdr:cNvSpPr>
      </xdr:nvSpPr>
      <xdr:spPr bwMode="auto">
        <a:xfrm>
          <a:off x="5857875" y="6057900"/>
          <a:ext cx="3333750" cy="0"/>
        </a:xfrm>
        <a:prstGeom prst="line">
          <a:avLst/>
        </a:prstGeom>
        <a:noFill/>
        <a:ln w="28575">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390525</xdr:colOff>
      <xdr:row>24</xdr:row>
      <xdr:rowOff>171450</xdr:rowOff>
    </xdr:from>
    <xdr:to>
      <xdr:col>8</xdr:col>
      <xdr:colOff>333375</xdr:colOff>
      <xdr:row>27</xdr:row>
      <xdr:rowOff>57150</xdr:rowOff>
    </xdr:to>
    <xdr:sp macro="" textlink="">
      <xdr:nvSpPr>
        <xdr:cNvPr id="4" name="Line 3">
          <a:extLst>
            <a:ext uri="{FF2B5EF4-FFF2-40B4-BE49-F238E27FC236}">
              <a16:creationId xmlns:a16="http://schemas.microsoft.com/office/drawing/2014/main" id="{84120F39-2A16-44D0-ABFA-C8FE583CFADF}"/>
            </a:ext>
          </a:extLst>
        </xdr:cNvPr>
        <xdr:cNvSpPr>
          <a:spLocks noChangeShapeType="1"/>
        </xdr:cNvSpPr>
      </xdr:nvSpPr>
      <xdr:spPr bwMode="auto">
        <a:xfrm flipV="1">
          <a:off x="8191500" y="5448300"/>
          <a:ext cx="1047750" cy="542925"/>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300990</xdr:colOff>
      <xdr:row>1</xdr:row>
      <xdr:rowOff>236220</xdr:rowOff>
    </xdr:from>
    <xdr:to>
      <xdr:col>9</xdr:col>
      <xdr:colOff>539115</xdr:colOff>
      <xdr:row>4</xdr:row>
      <xdr:rowOff>76200</xdr:rowOff>
    </xdr:to>
    <xdr:sp macro="" textlink="">
      <xdr:nvSpPr>
        <xdr:cNvPr id="5" name="Bulle ronde 4">
          <a:extLst>
            <a:ext uri="{FF2B5EF4-FFF2-40B4-BE49-F238E27FC236}">
              <a16:creationId xmlns:a16="http://schemas.microsoft.com/office/drawing/2014/main" id="{3E91D7E6-2419-4B88-B58D-E03AD137FADE}"/>
            </a:ext>
          </a:extLst>
        </xdr:cNvPr>
        <xdr:cNvSpPr/>
      </xdr:nvSpPr>
      <xdr:spPr bwMode="auto">
        <a:xfrm>
          <a:off x="8101965" y="455295"/>
          <a:ext cx="2447925" cy="516255"/>
        </a:xfrm>
        <a:prstGeom prst="wedgeEllipseCallout">
          <a:avLst>
            <a:gd name="adj1" fmla="val -81603"/>
            <a:gd name="adj2" fmla="val 51826"/>
          </a:avLst>
        </a:prstGeom>
        <a:ln>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wrap="square" lIns="18288" tIns="0" rIns="0" bIns="0" rtlCol="0" anchor="ctr" upright="1"/>
        <a:lstStyle/>
        <a:p>
          <a:pPr algn="ctr"/>
          <a:r>
            <a:rPr lang="fr-FR" sz="1100"/>
            <a:t>Mettre le poids de fabrication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415290</xdr:colOff>
      <xdr:row>27</xdr:row>
      <xdr:rowOff>152400</xdr:rowOff>
    </xdr:from>
    <xdr:to>
      <xdr:col>8</xdr:col>
      <xdr:colOff>409585</xdr:colOff>
      <xdr:row>32</xdr:row>
      <xdr:rowOff>53340</xdr:rowOff>
    </xdr:to>
    <xdr:sp macro="" textlink="">
      <xdr:nvSpPr>
        <xdr:cNvPr id="2" name="AutoShape 1">
          <a:extLst>
            <a:ext uri="{FF2B5EF4-FFF2-40B4-BE49-F238E27FC236}">
              <a16:creationId xmlns:a16="http://schemas.microsoft.com/office/drawing/2014/main" id="{C3EB641A-BD01-49E6-91F1-826359816802}"/>
            </a:ext>
          </a:extLst>
        </xdr:cNvPr>
        <xdr:cNvSpPr>
          <a:spLocks noChangeArrowheads="1"/>
        </xdr:cNvSpPr>
      </xdr:nvSpPr>
      <xdr:spPr bwMode="auto">
        <a:xfrm>
          <a:off x="5492115" y="6096000"/>
          <a:ext cx="3509020" cy="996315"/>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fr-FR" sz="900" b="0" i="0" u="none" strike="noStrike" baseline="0">
              <a:solidFill>
                <a:srgbClr val="FF0000"/>
              </a:solidFill>
              <a:latin typeface="Times New Roman"/>
              <a:cs typeface="Times New Roman"/>
            </a:rPr>
            <a:t>eau de cuisson à 82°c</a:t>
          </a:r>
        </a:p>
      </xdr:txBody>
    </xdr:sp>
    <xdr:clientData/>
  </xdr:twoCellAnchor>
  <xdr:twoCellAnchor>
    <xdr:from>
      <xdr:col>5</xdr:col>
      <xdr:colOff>542925</xdr:colOff>
      <xdr:row>27</xdr:row>
      <xdr:rowOff>114300</xdr:rowOff>
    </xdr:from>
    <xdr:to>
      <xdr:col>8</xdr:col>
      <xdr:colOff>333375</xdr:colOff>
      <xdr:row>27</xdr:row>
      <xdr:rowOff>114300</xdr:rowOff>
    </xdr:to>
    <xdr:sp macro="" textlink="">
      <xdr:nvSpPr>
        <xdr:cNvPr id="3" name="Line 3">
          <a:extLst>
            <a:ext uri="{FF2B5EF4-FFF2-40B4-BE49-F238E27FC236}">
              <a16:creationId xmlns:a16="http://schemas.microsoft.com/office/drawing/2014/main" id="{428A2810-46E3-4D9E-A578-3559BA8EB634}"/>
            </a:ext>
          </a:extLst>
        </xdr:cNvPr>
        <xdr:cNvSpPr>
          <a:spLocks noChangeShapeType="1"/>
        </xdr:cNvSpPr>
      </xdr:nvSpPr>
      <xdr:spPr bwMode="auto">
        <a:xfrm>
          <a:off x="5619750" y="6057900"/>
          <a:ext cx="3305175" cy="0"/>
        </a:xfrm>
        <a:prstGeom prst="line">
          <a:avLst/>
        </a:prstGeom>
        <a:noFill/>
        <a:ln w="28575">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38100</xdr:colOff>
      <xdr:row>25</xdr:row>
      <xdr:rowOff>38100</xdr:rowOff>
    </xdr:from>
    <xdr:to>
      <xdr:col>7</xdr:col>
      <xdr:colOff>847725</xdr:colOff>
      <xdr:row>27</xdr:row>
      <xdr:rowOff>123825</xdr:rowOff>
    </xdr:to>
    <xdr:sp macro="" textlink="">
      <xdr:nvSpPr>
        <xdr:cNvPr id="4" name="Line 4">
          <a:extLst>
            <a:ext uri="{FF2B5EF4-FFF2-40B4-BE49-F238E27FC236}">
              <a16:creationId xmlns:a16="http://schemas.microsoft.com/office/drawing/2014/main" id="{74180BFE-31FB-4355-A421-68CD34C1FDFF}"/>
            </a:ext>
          </a:extLst>
        </xdr:cNvPr>
        <xdr:cNvSpPr>
          <a:spLocks noChangeShapeType="1"/>
        </xdr:cNvSpPr>
      </xdr:nvSpPr>
      <xdr:spPr bwMode="auto">
        <a:xfrm flipV="1">
          <a:off x="7458075" y="5543550"/>
          <a:ext cx="809625" cy="523875"/>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177165</xdr:colOff>
      <xdr:row>2</xdr:row>
      <xdr:rowOff>53340</xdr:rowOff>
    </xdr:from>
    <xdr:to>
      <xdr:col>8</xdr:col>
      <xdr:colOff>741088</xdr:colOff>
      <xdr:row>4</xdr:row>
      <xdr:rowOff>124968</xdr:rowOff>
    </xdr:to>
    <xdr:sp macro="" textlink="">
      <xdr:nvSpPr>
        <xdr:cNvPr id="5" name="Bulle ronde 4">
          <a:extLst>
            <a:ext uri="{FF2B5EF4-FFF2-40B4-BE49-F238E27FC236}">
              <a16:creationId xmlns:a16="http://schemas.microsoft.com/office/drawing/2014/main" id="{C38CE643-F98A-458B-8D83-7631692593E9}"/>
            </a:ext>
          </a:extLst>
        </xdr:cNvPr>
        <xdr:cNvSpPr/>
      </xdr:nvSpPr>
      <xdr:spPr bwMode="auto">
        <a:xfrm>
          <a:off x="7597140" y="520065"/>
          <a:ext cx="1735498" cy="509778"/>
        </a:xfrm>
        <a:prstGeom prst="wedgeEllipseCallout">
          <a:avLst>
            <a:gd name="adj1" fmla="val -66373"/>
            <a:gd name="adj2" fmla="val 46179"/>
          </a:avLst>
        </a:prstGeom>
        <a:ln>
          <a:headEnd type="none" w="med" len="med"/>
          <a:tailEnd type="none" w="med" len="med"/>
        </a:ln>
      </xdr:spPr>
      <xdr:style>
        <a:lnRef idx="1">
          <a:schemeClr val="accent3"/>
        </a:lnRef>
        <a:fillRef idx="2">
          <a:schemeClr val="accent3"/>
        </a:fillRef>
        <a:effectRef idx="1">
          <a:schemeClr val="accent3"/>
        </a:effectRef>
        <a:fontRef idx="minor">
          <a:schemeClr val="dk1"/>
        </a:fontRef>
      </xdr:style>
      <xdr:txBody>
        <a:bodyPr vertOverflow="clip" wrap="square" lIns="18288" tIns="0" rIns="0" bIns="0" rtlCol="0" anchor="ctr" upright="1"/>
        <a:lstStyle/>
        <a:p>
          <a:pPr algn="ctr"/>
          <a:r>
            <a:rPr lang="fr-FR" sz="1100">
              <a:solidFill>
                <a:srgbClr val="FF0000"/>
              </a:solidFill>
            </a:rPr>
            <a:t>Mettre le poids de fabrication</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31</xdr:row>
      <xdr:rowOff>0</xdr:rowOff>
    </xdr:from>
    <xdr:to>
      <xdr:col>9</xdr:col>
      <xdr:colOff>428625</xdr:colOff>
      <xdr:row>46</xdr:row>
      <xdr:rowOff>152400</xdr:rowOff>
    </xdr:to>
    <xdr:pic>
      <xdr:nvPicPr>
        <xdr:cNvPr id="2" name="Image 1" descr="1.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00025"/>
          <a:ext cx="6029325" cy="321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219075</xdr:colOff>
      <xdr:row>31</xdr:row>
      <xdr:rowOff>38100</xdr:rowOff>
    </xdr:from>
    <xdr:to>
      <xdr:col>15</xdr:col>
      <xdr:colOff>266700</xdr:colOff>
      <xdr:row>46</xdr:row>
      <xdr:rowOff>123825</xdr:rowOff>
    </xdr:to>
    <xdr:pic>
      <xdr:nvPicPr>
        <xdr:cNvPr id="3" name="Image 2" descr="2.jp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91375" y="9086850"/>
          <a:ext cx="3857625" cy="3152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53</xdr:row>
      <xdr:rowOff>0</xdr:rowOff>
    </xdr:from>
    <xdr:to>
      <xdr:col>5</xdr:col>
      <xdr:colOff>476250</xdr:colOff>
      <xdr:row>69</xdr:row>
      <xdr:rowOff>123825</xdr:rowOff>
    </xdr:to>
    <xdr:pic>
      <xdr:nvPicPr>
        <xdr:cNvPr id="5" name="Image 4" descr="olid lev.jpg">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467350"/>
          <a:ext cx="3638550" cy="332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50801</xdr:colOff>
      <xdr:row>21</xdr:row>
      <xdr:rowOff>69850</xdr:rowOff>
    </xdr:from>
    <xdr:to>
      <xdr:col>10</xdr:col>
      <xdr:colOff>22966</xdr:colOff>
      <xdr:row>27</xdr:row>
      <xdr:rowOff>136702</xdr:rowOff>
    </xdr:to>
    <xdr:pic>
      <xdr:nvPicPr>
        <xdr:cNvPr id="6" name="Image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336801" y="2717800"/>
          <a:ext cx="5306165" cy="1267002"/>
        </a:xfrm>
        <a:prstGeom prst="rect">
          <a:avLst/>
        </a:prstGeom>
      </xdr:spPr>
    </xdr:pic>
    <xdr:clientData/>
  </xdr:twoCellAnchor>
  <xdr:twoCellAnchor editAs="oneCell">
    <xdr:from>
      <xdr:col>6</xdr:col>
      <xdr:colOff>317501</xdr:colOff>
      <xdr:row>53</xdr:row>
      <xdr:rowOff>41276</xdr:rowOff>
    </xdr:from>
    <xdr:to>
      <xdr:col>13</xdr:col>
      <xdr:colOff>99140</xdr:colOff>
      <xdr:row>71</xdr:row>
      <xdr:rowOff>184673</xdr:rowOff>
    </xdr:to>
    <xdr:pic>
      <xdr:nvPicPr>
        <xdr:cNvPr id="7" name="Image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889501" y="9156701"/>
          <a:ext cx="5115639" cy="3743847"/>
        </a:xfrm>
        <a:prstGeom prst="rect">
          <a:avLst/>
        </a:prstGeom>
      </xdr:spPr>
    </xdr:pic>
    <xdr:clientData/>
  </xdr:twoCellAnchor>
  <xdr:twoCellAnchor editAs="oneCell">
    <xdr:from>
      <xdr:col>0</xdr:col>
      <xdr:colOff>0</xdr:colOff>
      <xdr:row>75</xdr:row>
      <xdr:rowOff>0</xdr:rowOff>
    </xdr:from>
    <xdr:to>
      <xdr:col>7</xdr:col>
      <xdr:colOff>47625</xdr:colOff>
      <xdr:row>92</xdr:row>
      <xdr:rowOff>57150</xdr:rowOff>
    </xdr:to>
    <xdr:pic>
      <xdr:nvPicPr>
        <xdr:cNvPr id="9" name="Image 8" descr="OLIDA PARIS 1855 a 1991.jpg">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16859250"/>
          <a:ext cx="4733925" cy="3457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75</xdr:row>
      <xdr:rowOff>0</xdr:rowOff>
    </xdr:from>
    <xdr:to>
      <xdr:col>14</xdr:col>
      <xdr:colOff>476250</xdr:colOff>
      <xdr:row>91</xdr:row>
      <xdr:rowOff>190500</xdr:rowOff>
    </xdr:to>
    <xdr:pic>
      <xdr:nvPicPr>
        <xdr:cNvPr id="11" name="Image 10" descr="OLIDA 1855 à 1991.jpg">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334000" y="16859250"/>
          <a:ext cx="5810250" cy="3390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161925</xdr:colOff>
      <xdr:row>23</xdr:row>
      <xdr:rowOff>104775</xdr:rowOff>
    </xdr:to>
    <xdr:pic>
      <xdr:nvPicPr>
        <xdr:cNvPr id="2" name="Image 1" descr="OLIDA PARIS 1855 a 1991.jpg">
          <a:extLst>
            <a:ext uri="{FF2B5EF4-FFF2-40B4-BE49-F238E27FC236}">
              <a16:creationId xmlns:a16="http://schemas.microsoft.com/office/drawing/2014/main" id="{051A73F7-800E-44E2-BF37-7582E3614F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38125"/>
          <a:ext cx="4276725" cy="3457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152400</xdr:colOff>
      <xdr:row>1</xdr:row>
      <xdr:rowOff>19050</xdr:rowOff>
    </xdr:from>
    <xdr:to>
      <xdr:col>15</xdr:col>
      <xdr:colOff>628650</xdr:colOff>
      <xdr:row>23</xdr:row>
      <xdr:rowOff>57150</xdr:rowOff>
    </xdr:to>
    <xdr:pic>
      <xdr:nvPicPr>
        <xdr:cNvPr id="3" name="Image 2" descr="OLIDA 1855 à 1991.jpg">
          <a:extLst>
            <a:ext uri="{FF2B5EF4-FFF2-40B4-BE49-F238E27FC236}">
              <a16:creationId xmlns:a16="http://schemas.microsoft.com/office/drawing/2014/main" id="{88848348-6E95-48AE-9462-6091F5DE375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38800" y="257175"/>
          <a:ext cx="5276850" cy="3390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590550</xdr:colOff>
      <xdr:row>20</xdr:row>
      <xdr:rowOff>95250</xdr:rowOff>
    </xdr:to>
    <xdr:pic>
      <xdr:nvPicPr>
        <xdr:cNvPr id="2" name="Image 1" descr="olid lev.jpg">
          <a:extLst>
            <a:ext uri="{FF2B5EF4-FFF2-40B4-BE49-F238E27FC236}">
              <a16:creationId xmlns:a16="http://schemas.microsoft.com/office/drawing/2014/main" id="{3F63DE82-837F-4FD4-8E8E-F1DCE3BC7D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333750" cy="332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390525</xdr:colOff>
      <xdr:row>421</xdr:row>
      <xdr:rowOff>114300</xdr:rowOff>
    </xdr:from>
    <xdr:to>
      <xdr:col>4</xdr:col>
      <xdr:colOff>723900</xdr:colOff>
      <xdr:row>430</xdr:row>
      <xdr:rowOff>161925</xdr:rowOff>
    </xdr:to>
    <xdr:pic>
      <xdr:nvPicPr>
        <xdr:cNvPr id="2" name="Picture 3" descr="http://www.educastream.com/IMG/Image/volumes21a.png">
          <a:extLst>
            <a:ext uri="{FF2B5EF4-FFF2-40B4-BE49-F238E27FC236}">
              <a16:creationId xmlns:a16="http://schemas.microsoft.com/office/drawing/2014/main" id="{77F19E7E-876A-49BD-8BAB-A319580154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103060500"/>
          <a:ext cx="3476625" cy="192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238126</xdr:colOff>
      <xdr:row>831</xdr:row>
      <xdr:rowOff>95250</xdr:rowOff>
    </xdr:from>
    <xdr:to>
      <xdr:col>2</xdr:col>
      <xdr:colOff>171450</xdr:colOff>
      <xdr:row>839</xdr:row>
      <xdr:rowOff>34391</xdr:rowOff>
    </xdr:to>
    <xdr:pic>
      <xdr:nvPicPr>
        <xdr:cNvPr id="3" name="Image 2">
          <a:extLst>
            <a:ext uri="{FF2B5EF4-FFF2-40B4-BE49-F238E27FC236}">
              <a16:creationId xmlns:a16="http://schemas.microsoft.com/office/drawing/2014/main" id="{95E33C6C-5E89-4BBF-AF7B-CFBED0E4ECE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8126" y="187194825"/>
          <a:ext cx="1228724" cy="1920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295275</xdr:colOff>
      <xdr:row>844</xdr:row>
      <xdr:rowOff>66675</xdr:rowOff>
    </xdr:from>
    <xdr:to>
      <xdr:col>2</xdr:col>
      <xdr:colOff>666750</xdr:colOff>
      <xdr:row>847</xdr:row>
      <xdr:rowOff>0</xdr:rowOff>
    </xdr:to>
    <xdr:pic>
      <xdr:nvPicPr>
        <xdr:cNvPr id="4" name="Image 3">
          <a:extLst>
            <a:ext uri="{FF2B5EF4-FFF2-40B4-BE49-F238E27FC236}">
              <a16:creationId xmlns:a16="http://schemas.microsoft.com/office/drawing/2014/main" id="{EBF4ECAF-AFBC-4905-81AD-AA324073698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90675" y="190385700"/>
          <a:ext cx="3714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851</xdr:row>
      <xdr:rowOff>28575</xdr:rowOff>
    </xdr:from>
    <xdr:to>
      <xdr:col>2</xdr:col>
      <xdr:colOff>409575</xdr:colOff>
      <xdr:row>853</xdr:row>
      <xdr:rowOff>209550</xdr:rowOff>
    </xdr:to>
    <xdr:pic>
      <xdr:nvPicPr>
        <xdr:cNvPr id="5" name="Image 4">
          <a:extLst>
            <a:ext uri="{FF2B5EF4-FFF2-40B4-BE49-F238E27FC236}">
              <a16:creationId xmlns:a16="http://schemas.microsoft.com/office/drawing/2014/main" id="{FA5AC788-5E79-41C8-8392-8BAEEEF634E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0" y="192081150"/>
          <a:ext cx="3714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858</xdr:row>
      <xdr:rowOff>19050</xdr:rowOff>
    </xdr:from>
    <xdr:to>
      <xdr:col>2</xdr:col>
      <xdr:colOff>409575</xdr:colOff>
      <xdr:row>860</xdr:row>
      <xdr:rowOff>200025</xdr:rowOff>
    </xdr:to>
    <xdr:pic>
      <xdr:nvPicPr>
        <xdr:cNvPr id="6" name="Image 5">
          <a:extLst>
            <a:ext uri="{FF2B5EF4-FFF2-40B4-BE49-F238E27FC236}">
              <a16:creationId xmlns:a16="http://schemas.microsoft.com/office/drawing/2014/main" id="{37B7C190-9A2D-4F07-95A5-6A85748988C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193805175"/>
          <a:ext cx="3714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76200</xdr:colOff>
      <xdr:row>842</xdr:row>
      <xdr:rowOff>0</xdr:rowOff>
    </xdr:from>
    <xdr:to>
      <xdr:col>1</xdr:col>
      <xdr:colOff>676275</xdr:colOff>
      <xdr:row>845</xdr:row>
      <xdr:rowOff>38100</xdr:rowOff>
    </xdr:to>
    <xdr:pic>
      <xdr:nvPicPr>
        <xdr:cNvPr id="7" name="Image 8">
          <a:extLst>
            <a:ext uri="{FF2B5EF4-FFF2-40B4-BE49-F238E27FC236}">
              <a16:creationId xmlns:a16="http://schemas.microsoft.com/office/drawing/2014/main" id="{7015ADE1-4383-4FA1-86D6-6F7DA593EBC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3850" y="189823725"/>
          <a:ext cx="60007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466725</xdr:colOff>
      <xdr:row>845</xdr:row>
      <xdr:rowOff>76200</xdr:rowOff>
    </xdr:from>
    <xdr:to>
      <xdr:col>3</xdr:col>
      <xdr:colOff>762000</xdr:colOff>
      <xdr:row>847</xdr:row>
      <xdr:rowOff>171450</xdr:rowOff>
    </xdr:to>
    <xdr:pic>
      <xdr:nvPicPr>
        <xdr:cNvPr id="8" name="Image 13">
          <a:extLst>
            <a:ext uri="{FF2B5EF4-FFF2-40B4-BE49-F238E27FC236}">
              <a16:creationId xmlns:a16="http://schemas.microsoft.com/office/drawing/2014/main" id="{A2581454-16D4-4239-AA37-42A9FDAD42D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809875" y="190642875"/>
          <a:ext cx="2952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390525</xdr:colOff>
      <xdr:row>851</xdr:row>
      <xdr:rowOff>228600</xdr:rowOff>
    </xdr:from>
    <xdr:to>
      <xdr:col>3</xdr:col>
      <xdr:colOff>676275</xdr:colOff>
      <xdr:row>854</xdr:row>
      <xdr:rowOff>85725</xdr:rowOff>
    </xdr:to>
    <xdr:pic>
      <xdr:nvPicPr>
        <xdr:cNvPr id="9" name="Image 18">
          <a:extLst>
            <a:ext uri="{FF2B5EF4-FFF2-40B4-BE49-F238E27FC236}">
              <a16:creationId xmlns:a16="http://schemas.microsoft.com/office/drawing/2014/main" id="{FD8F301D-9B66-4147-9046-0C36245E138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733675" y="192281175"/>
          <a:ext cx="285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858</xdr:row>
      <xdr:rowOff>28575</xdr:rowOff>
    </xdr:from>
    <xdr:to>
      <xdr:col>2</xdr:col>
      <xdr:colOff>409575</xdr:colOff>
      <xdr:row>860</xdr:row>
      <xdr:rowOff>209550</xdr:rowOff>
    </xdr:to>
    <xdr:pic>
      <xdr:nvPicPr>
        <xdr:cNvPr id="10" name="Image 19">
          <a:extLst>
            <a:ext uri="{FF2B5EF4-FFF2-40B4-BE49-F238E27FC236}">
              <a16:creationId xmlns:a16="http://schemas.microsoft.com/office/drawing/2014/main" id="{35C0BD14-C18C-497C-A30E-D7D0198B927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0" y="193814700"/>
          <a:ext cx="3714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428625</xdr:colOff>
      <xdr:row>858</xdr:row>
      <xdr:rowOff>238125</xdr:rowOff>
    </xdr:from>
    <xdr:to>
      <xdr:col>3</xdr:col>
      <xdr:colOff>714375</xdr:colOff>
      <xdr:row>861</xdr:row>
      <xdr:rowOff>104775</xdr:rowOff>
    </xdr:to>
    <xdr:pic>
      <xdr:nvPicPr>
        <xdr:cNvPr id="11" name="Image 22">
          <a:extLst>
            <a:ext uri="{FF2B5EF4-FFF2-40B4-BE49-F238E27FC236}">
              <a16:creationId xmlns:a16="http://schemas.microsoft.com/office/drawing/2014/main" id="{1823CB91-9E8A-4045-A7F9-3ADAC622811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771775" y="19402425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866</xdr:row>
      <xdr:rowOff>19050</xdr:rowOff>
    </xdr:from>
    <xdr:to>
      <xdr:col>2</xdr:col>
      <xdr:colOff>409575</xdr:colOff>
      <xdr:row>868</xdr:row>
      <xdr:rowOff>200025</xdr:rowOff>
    </xdr:to>
    <xdr:pic>
      <xdr:nvPicPr>
        <xdr:cNvPr id="12" name="Image 30">
          <a:extLst>
            <a:ext uri="{FF2B5EF4-FFF2-40B4-BE49-F238E27FC236}">
              <a16:creationId xmlns:a16="http://schemas.microsoft.com/office/drawing/2014/main" id="{6566C6A7-2249-4A19-99B0-BF501266391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195786375"/>
          <a:ext cx="3714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866</xdr:row>
      <xdr:rowOff>28575</xdr:rowOff>
    </xdr:from>
    <xdr:to>
      <xdr:col>2</xdr:col>
      <xdr:colOff>409575</xdr:colOff>
      <xdr:row>868</xdr:row>
      <xdr:rowOff>209550</xdr:rowOff>
    </xdr:to>
    <xdr:pic>
      <xdr:nvPicPr>
        <xdr:cNvPr id="13" name="Image 31">
          <a:extLst>
            <a:ext uri="{FF2B5EF4-FFF2-40B4-BE49-F238E27FC236}">
              <a16:creationId xmlns:a16="http://schemas.microsoft.com/office/drawing/2014/main" id="{75A89201-E5F9-426F-BA0B-F7CB7DDB2B7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0" y="195795900"/>
          <a:ext cx="3714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409575</xdr:colOff>
      <xdr:row>867</xdr:row>
      <xdr:rowOff>28575</xdr:rowOff>
    </xdr:from>
    <xdr:to>
      <xdr:col>3</xdr:col>
      <xdr:colOff>695325</xdr:colOff>
      <xdr:row>869</xdr:row>
      <xdr:rowOff>161925</xdr:rowOff>
    </xdr:to>
    <xdr:pic>
      <xdr:nvPicPr>
        <xdr:cNvPr id="14" name="Image 34">
          <a:extLst>
            <a:ext uri="{FF2B5EF4-FFF2-40B4-BE49-F238E27FC236}">
              <a16:creationId xmlns:a16="http://schemas.microsoft.com/office/drawing/2014/main" id="{ADCC3AA4-1D2C-4B27-914F-25540EB9D8A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752725" y="1960435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85725</xdr:colOff>
      <xdr:row>842</xdr:row>
      <xdr:rowOff>76200</xdr:rowOff>
    </xdr:from>
    <xdr:to>
      <xdr:col>7</xdr:col>
      <xdr:colOff>438150</xdr:colOff>
      <xdr:row>844</xdr:row>
      <xdr:rowOff>142875</xdr:rowOff>
    </xdr:to>
    <xdr:pic>
      <xdr:nvPicPr>
        <xdr:cNvPr id="15" name="Image 2">
          <a:extLst>
            <a:ext uri="{FF2B5EF4-FFF2-40B4-BE49-F238E27FC236}">
              <a16:creationId xmlns:a16="http://schemas.microsoft.com/office/drawing/2014/main" id="{7CC7208E-EDB6-4851-8327-B8D1FB813CC4}"/>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619875" y="189899925"/>
          <a:ext cx="3524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57150</xdr:colOff>
      <xdr:row>844</xdr:row>
      <xdr:rowOff>295275</xdr:rowOff>
    </xdr:from>
    <xdr:to>
      <xdr:col>7</xdr:col>
      <xdr:colOff>371475</xdr:colOff>
      <xdr:row>847</xdr:row>
      <xdr:rowOff>219075</xdr:rowOff>
    </xdr:to>
    <xdr:pic>
      <xdr:nvPicPr>
        <xdr:cNvPr id="16" name="Image 37">
          <a:extLst>
            <a:ext uri="{FF2B5EF4-FFF2-40B4-BE49-F238E27FC236}">
              <a16:creationId xmlns:a16="http://schemas.microsoft.com/office/drawing/2014/main" id="{3364452D-AC26-4788-81B2-8658480214B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591300" y="190566675"/>
          <a:ext cx="3143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848</xdr:row>
      <xdr:rowOff>0</xdr:rowOff>
    </xdr:from>
    <xdr:to>
      <xdr:col>7</xdr:col>
      <xdr:colOff>314325</xdr:colOff>
      <xdr:row>850</xdr:row>
      <xdr:rowOff>219075</xdr:rowOff>
    </xdr:to>
    <xdr:pic>
      <xdr:nvPicPr>
        <xdr:cNvPr id="17" name="Image 39">
          <a:extLst>
            <a:ext uri="{FF2B5EF4-FFF2-40B4-BE49-F238E27FC236}">
              <a16:creationId xmlns:a16="http://schemas.microsoft.com/office/drawing/2014/main" id="{802C0939-BD16-444D-8D53-B30F4AB4A1D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534150" y="191309625"/>
          <a:ext cx="3143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893</xdr:row>
      <xdr:rowOff>0</xdr:rowOff>
    </xdr:from>
    <xdr:to>
      <xdr:col>7</xdr:col>
      <xdr:colOff>314325</xdr:colOff>
      <xdr:row>896</xdr:row>
      <xdr:rowOff>142875</xdr:rowOff>
    </xdr:to>
    <xdr:pic>
      <xdr:nvPicPr>
        <xdr:cNvPr id="18" name="Image 40">
          <a:extLst>
            <a:ext uri="{FF2B5EF4-FFF2-40B4-BE49-F238E27FC236}">
              <a16:creationId xmlns:a16="http://schemas.microsoft.com/office/drawing/2014/main" id="{11A3A6D5-8D5A-4469-A8CF-8EB3DDDE2BD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534150" y="201958575"/>
          <a:ext cx="3143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852</xdr:row>
      <xdr:rowOff>0</xdr:rowOff>
    </xdr:from>
    <xdr:to>
      <xdr:col>7</xdr:col>
      <xdr:colOff>314325</xdr:colOff>
      <xdr:row>854</xdr:row>
      <xdr:rowOff>219075</xdr:rowOff>
    </xdr:to>
    <xdr:pic>
      <xdr:nvPicPr>
        <xdr:cNvPr id="19" name="Image 41">
          <a:extLst>
            <a:ext uri="{FF2B5EF4-FFF2-40B4-BE49-F238E27FC236}">
              <a16:creationId xmlns:a16="http://schemas.microsoft.com/office/drawing/2014/main" id="{75033949-0DF7-4CA3-93BA-F0C802FA48FB}"/>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534150" y="192300225"/>
          <a:ext cx="3143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854</xdr:row>
      <xdr:rowOff>0</xdr:rowOff>
    </xdr:from>
    <xdr:to>
      <xdr:col>7</xdr:col>
      <xdr:colOff>314325</xdr:colOff>
      <xdr:row>856</xdr:row>
      <xdr:rowOff>219075</xdr:rowOff>
    </xdr:to>
    <xdr:pic>
      <xdr:nvPicPr>
        <xdr:cNvPr id="20" name="Image 43">
          <a:extLst>
            <a:ext uri="{FF2B5EF4-FFF2-40B4-BE49-F238E27FC236}">
              <a16:creationId xmlns:a16="http://schemas.microsoft.com/office/drawing/2014/main" id="{B5596C40-5B68-4D20-A996-F0FA695125F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534150" y="192795525"/>
          <a:ext cx="3143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38100</xdr:colOff>
      <xdr:row>855</xdr:row>
      <xdr:rowOff>276225</xdr:rowOff>
    </xdr:from>
    <xdr:to>
      <xdr:col>7</xdr:col>
      <xdr:colOff>352425</xdr:colOff>
      <xdr:row>858</xdr:row>
      <xdr:rowOff>219075</xdr:rowOff>
    </xdr:to>
    <xdr:pic>
      <xdr:nvPicPr>
        <xdr:cNvPr id="21" name="Image 44">
          <a:extLst>
            <a:ext uri="{FF2B5EF4-FFF2-40B4-BE49-F238E27FC236}">
              <a16:creationId xmlns:a16="http://schemas.microsoft.com/office/drawing/2014/main" id="{E399DAC4-D832-4BDB-9E7D-73DB1129FE63}"/>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572250" y="193290825"/>
          <a:ext cx="3143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152400</xdr:colOff>
      <xdr:row>19</xdr:row>
      <xdr:rowOff>9525</xdr:rowOff>
    </xdr:from>
    <xdr:to>
      <xdr:col>16</xdr:col>
      <xdr:colOff>180975</xdr:colOff>
      <xdr:row>21</xdr:row>
      <xdr:rowOff>219075</xdr:rowOff>
    </xdr:to>
    <xdr:sp macro="" textlink="">
      <xdr:nvSpPr>
        <xdr:cNvPr id="22" name="Bulle ronde 21">
          <a:extLst>
            <a:ext uri="{FF2B5EF4-FFF2-40B4-BE49-F238E27FC236}">
              <a16:creationId xmlns:a16="http://schemas.microsoft.com/office/drawing/2014/main" id="{CD99B988-351B-4009-BBA4-82854ED09E06}"/>
            </a:ext>
          </a:extLst>
        </xdr:cNvPr>
        <xdr:cNvSpPr/>
      </xdr:nvSpPr>
      <xdr:spPr bwMode="auto">
        <a:xfrm>
          <a:off x="14020800" y="4572000"/>
          <a:ext cx="1895475" cy="609600"/>
        </a:xfrm>
        <a:prstGeom prst="wedgeEllipseCallout">
          <a:avLst>
            <a:gd name="adj1" fmla="val -66373"/>
            <a:gd name="adj2" fmla="val 46179"/>
          </a:avLst>
        </a:prstGeom>
        <a:gradFill flip="none" rotWithShape="1">
          <a:gsLst>
            <a:gs pos="0">
              <a:schemeClr val="accent4">
                <a:lumMod val="5000"/>
                <a:lumOff val="95000"/>
              </a:schemeClr>
            </a:gs>
            <a:gs pos="74000">
              <a:schemeClr val="accent4">
                <a:lumMod val="45000"/>
                <a:lumOff val="55000"/>
              </a:schemeClr>
            </a:gs>
            <a:gs pos="83000">
              <a:schemeClr val="accent4">
                <a:lumMod val="45000"/>
                <a:lumOff val="55000"/>
              </a:schemeClr>
            </a:gs>
            <a:gs pos="100000">
              <a:schemeClr val="accent4">
                <a:lumMod val="30000"/>
                <a:lumOff val="70000"/>
              </a:schemeClr>
            </a:gs>
          </a:gsLst>
          <a:lin ang="5400000" scaled="1"/>
          <a:tileRect/>
        </a:gradFill>
        <a:ln>
          <a:headEnd type="none" w="med" len="med"/>
          <a:tailEnd type="none" w="med" len="med"/>
        </a:ln>
      </xdr:spPr>
      <xdr:style>
        <a:lnRef idx="1">
          <a:schemeClr val="accent3"/>
        </a:lnRef>
        <a:fillRef idx="2">
          <a:schemeClr val="accent3"/>
        </a:fillRef>
        <a:effectRef idx="1">
          <a:schemeClr val="accent3"/>
        </a:effectRef>
        <a:fontRef idx="minor">
          <a:schemeClr val="dk1"/>
        </a:fontRef>
      </xdr:style>
      <xdr:txBody>
        <a:bodyPr vertOverflow="clip" wrap="square" lIns="18288" tIns="0" rIns="0" bIns="0" rtlCol="0" anchor="ctr" upright="1"/>
        <a:lstStyle/>
        <a:p>
          <a:pPr algn="ctr"/>
          <a:r>
            <a:rPr lang="fr-FR" sz="1100">
              <a:solidFill>
                <a:srgbClr val="0070C0"/>
              </a:solidFill>
            </a:rPr>
            <a:t>Saisissez le poids de</a:t>
          </a:r>
          <a:r>
            <a:rPr lang="fr-FR" sz="1100" baseline="0">
              <a:solidFill>
                <a:srgbClr val="0070C0"/>
              </a:solidFill>
            </a:rPr>
            <a:t> </a:t>
          </a:r>
          <a:r>
            <a:rPr lang="fr-FR" sz="1100">
              <a:solidFill>
                <a:srgbClr val="0070C0"/>
              </a:solidFill>
            </a:rPr>
            <a:t>fabrication</a:t>
          </a:r>
        </a:p>
      </xdr:txBody>
    </xdr:sp>
    <xdr:clientData/>
  </xdr:twoCellAnchor>
  <xdr:twoCellAnchor>
    <xdr:from>
      <xdr:col>14</xdr:col>
      <xdr:colOff>0</xdr:colOff>
      <xdr:row>25</xdr:row>
      <xdr:rowOff>0</xdr:rowOff>
    </xdr:from>
    <xdr:to>
      <xdr:col>16</xdr:col>
      <xdr:colOff>133350</xdr:colOff>
      <xdr:row>31</xdr:row>
      <xdr:rowOff>66675</xdr:rowOff>
    </xdr:to>
    <xdr:sp macro="" textlink="">
      <xdr:nvSpPr>
        <xdr:cNvPr id="23" name="AutoShape 1">
          <a:extLst>
            <a:ext uri="{FF2B5EF4-FFF2-40B4-BE49-F238E27FC236}">
              <a16:creationId xmlns:a16="http://schemas.microsoft.com/office/drawing/2014/main" id="{108E8649-84FD-4865-9FBF-A29DADDCA928}"/>
            </a:ext>
          </a:extLst>
        </xdr:cNvPr>
        <xdr:cNvSpPr>
          <a:spLocks noChangeArrowheads="1"/>
        </xdr:cNvSpPr>
      </xdr:nvSpPr>
      <xdr:spPr bwMode="auto">
        <a:xfrm>
          <a:off x="13868400" y="5819775"/>
          <a:ext cx="2000250" cy="1323975"/>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fr-FR" sz="900" b="0" i="0" u="none" strike="noStrike" baseline="0">
              <a:solidFill>
                <a:srgbClr val="FF0000"/>
              </a:solidFill>
              <a:latin typeface="Times New Roman"/>
              <a:cs typeface="Times New Roman"/>
            </a:rPr>
            <a:t>Saisissez le texte que vous voulez</a:t>
          </a:r>
        </a:p>
      </xdr:txBody>
    </xdr:sp>
    <xdr:clientData/>
  </xdr:twoCellAnchor>
  <xdr:twoCellAnchor editAs="oneCell">
    <xdr:from>
      <xdr:col>12</xdr:col>
      <xdr:colOff>971550</xdr:colOff>
      <xdr:row>610</xdr:row>
      <xdr:rowOff>66675</xdr:rowOff>
    </xdr:from>
    <xdr:to>
      <xdr:col>16</xdr:col>
      <xdr:colOff>371475</xdr:colOff>
      <xdr:row>618</xdr:row>
      <xdr:rowOff>28575</xdr:rowOff>
    </xdr:to>
    <xdr:pic>
      <xdr:nvPicPr>
        <xdr:cNvPr id="24" name="Image 23" descr="Résultats de pourcentage dans la colonne D">
          <a:extLst>
            <a:ext uri="{FF2B5EF4-FFF2-40B4-BE49-F238E27FC236}">
              <a16:creationId xmlns:a16="http://schemas.microsoft.com/office/drawing/2014/main" id="{786A2126-32BF-4FF7-AFBB-23441ECF6BA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744450" y="142179675"/>
          <a:ext cx="3362325" cy="156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547</xdr:row>
      <xdr:rowOff>114300</xdr:rowOff>
    </xdr:from>
    <xdr:to>
      <xdr:col>8</xdr:col>
      <xdr:colOff>734586</xdr:colOff>
      <xdr:row>555</xdr:row>
      <xdr:rowOff>47887</xdr:rowOff>
    </xdr:to>
    <xdr:pic>
      <xdr:nvPicPr>
        <xdr:cNvPr id="25" name="Image 24">
          <a:extLst>
            <a:ext uri="{FF2B5EF4-FFF2-40B4-BE49-F238E27FC236}">
              <a16:creationId xmlns:a16="http://schemas.microsoft.com/office/drawing/2014/main" id="{43646128-0FB5-4F0E-9B49-821E4E2B05CD}"/>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0" y="128701800"/>
          <a:ext cx="8316486" cy="1876687"/>
        </a:xfrm>
        <a:prstGeom prst="rect">
          <a:avLst/>
        </a:prstGeom>
      </xdr:spPr>
    </xdr:pic>
    <xdr:clientData/>
  </xdr:twoCellAnchor>
  <xdr:twoCellAnchor editAs="oneCell">
    <xdr:from>
      <xdr:col>3</xdr:col>
      <xdr:colOff>304800</xdr:colOff>
      <xdr:row>82</xdr:row>
      <xdr:rowOff>200025</xdr:rowOff>
    </xdr:from>
    <xdr:to>
      <xdr:col>3</xdr:col>
      <xdr:colOff>666750</xdr:colOff>
      <xdr:row>82</xdr:row>
      <xdr:rowOff>561975</xdr:rowOff>
    </xdr:to>
    <xdr:pic>
      <xdr:nvPicPr>
        <xdr:cNvPr id="26" name="Picture">
          <a:extLst>
            <a:ext uri="{FF2B5EF4-FFF2-40B4-BE49-F238E27FC236}">
              <a16:creationId xmlns:a16="http://schemas.microsoft.com/office/drawing/2014/main" id="{4050E80F-7528-4F8D-967C-1958F0FD4935}"/>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647950" y="18373725"/>
          <a:ext cx="3619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238125</xdr:colOff>
      <xdr:row>82</xdr:row>
      <xdr:rowOff>180974</xdr:rowOff>
    </xdr:from>
    <xdr:to>
      <xdr:col>4</xdr:col>
      <xdr:colOff>647700</xdr:colOff>
      <xdr:row>82</xdr:row>
      <xdr:rowOff>552449</xdr:rowOff>
    </xdr:to>
    <xdr:pic>
      <xdr:nvPicPr>
        <xdr:cNvPr id="27" name="Picture">
          <a:extLst>
            <a:ext uri="{FF2B5EF4-FFF2-40B4-BE49-F238E27FC236}">
              <a16:creationId xmlns:a16="http://schemas.microsoft.com/office/drawing/2014/main" id="{5F186A3D-86D1-4355-AEC5-4CB3F705891D}"/>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629025" y="18354674"/>
          <a:ext cx="4095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209550</xdr:colOff>
      <xdr:row>82</xdr:row>
      <xdr:rowOff>142874</xdr:rowOff>
    </xdr:from>
    <xdr:to>
      <xdr:col>5</xdr:col>
      <xdr:colOff>581025</xdr:colOff>
      <xdr:row>82</xdr:row>
      <xdr:rowOff>552449</xdr:rowOff>
    </xdr:to>
    <xdr:pic>
      <xdr:nvPicPr>
        <xdr:cNvPr id="28" name="Picture">
          <a:extLst>
            <a:ext uri="{FF2B5EF4-FFF2-40B4-BE49-F238E27FC236}">
              <a16:creationId xmlns:a16="http://schemas.microsoft.com/office/drawing/2014/main" id="{9B31F0A6-D4C6-4127-8DB8-44E8137CBF5F}"/>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648200" y="18316574"/>
          <a:ext cx="37147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104775</xdr:colOff>
      <xdr:row>82</xdr:row>
      <xdr:rowOff>171450</xdr:rowOff>
    </xdr:from>
    <xdr:to>
      <xdr:col>6</xdr:col>
      <xdr:colOff>523875</xdr:colOff>
      <xdr:row>82</xdr:row>
      <xdr:rowOff>561975</xdr:rowOff>
    </xdr:to>
    <xdr:pic>
      <xdr:nvPicPr>
        <xdr:cNvPr id="29" name="Picture">
          <a:extLst>
            <a:ext uri="{FF2B5EF4-FFF2-40B4-BE49-F238E27FC236}">
              <a16:creationId xmlns:a16="http://schemas.microsoft.com/office/drawing/2014/main" id="{14F5F6EB-5351-4D7C-8FE6-154B5DD7D08D}"/>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591175" y="18345150"/>
          <a:ext cx="4191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171450</xdr:colOff>
      <xdr:row>82</xdr:row>
      <xdr:rowOff>161925</xdr:rowOff>
    </xdr:from>
    <xdr:to>
      <xdr:col>7</xdr:col>
      <xdr:colOff>533400</xdr:colOff>
      <xdr:row>82</xdr:row>
      <xdr:rowOff>533400</xdr:rowOff>
    </xdr:to>
    <xdr:pic>
      <xdr:nvPicPr>
        <xdr:cNvPr id="30" name="Picture">
          <a:extLst>
            <a:ext uri="{FF2B5EF4-FFF2-40B4-BE49-F238E27FC236}">
              <a16:creationId xmlns:a16="http://schemas.microsoft.com/office/drawing/2014/main" id="{4EEDCF52-075C-41A9-8102-B5B9D837F32C}"/>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705600" y="18335625"/>
          <a:ext cx="3619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142875</xdr:colOff>
      <xdr:row>82</xdr:row>
      <xdr:rowOff>190500</xdr:rowOff>
    </xdr:from>
    <xdr:to>
      <xdr:col>8</xdr:col>
      <xdr:colOff>571500</xdr:colOff>
      <xdr:row>82</xdr:row>
      <xdr:rowOff>552450</xdr:rowOff>
    </xdr:to>
    <xdr:pic>
      <xdr:nvPicPr>
        <xdr:cNvPr id="31" name="Picture">
          <a:extLst>
            <a:ext uri="{FF2B5EF4-FFF2-40B4-BE49-F238E27FC236}">
              <a16:creationId xmlns:a16="http://schemas.microsoft.com/office/drawing/2014/main" id="{20D85D77-FCC6-49A9-83E6-1F908B6F364D}"/>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724775" y="18364200"/>
          <a:ext cx="4286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228600</xdr:colOff>
      <xdr:row>82</xdr:row>
      <xdr:rowOff>180975</xdr:rowOff>
    </xdr:from>
    <xdr:to>
      <xdr:col>9</xdr:col>
      <xdr:colOff>552450</xdr:colOff>
      <xdr:row>82</xdr:row>
      <xdr:rowOff>533400</xdr:rowOff>
    </xdr:to>
    <xdr:pic>
      <xdr:nvPicPr>
        <xdr:cNvPr id="32" name="Picture">
          <a:extLst>
            <a:ext uri="{FF2B5EF4-FFF2-40B4-BE49-F238E27FC236}">
              <a16:creationId xmlns:a16="http://schemas.microsoft.com/office/drawing/2014/main" id="{EBB37F12-3311-4BAE-A865-0FBB5567981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8858250" y="18354675"/>
          <a:ext cx="32385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123825</xdr:colOff>
      <xdr:row>82</xdr:row>
      <xdr:rowOff>171450</xdr:rowOff>
    </xdr:from>
    <xdr:to>
      <xdr:col>10</xdr:col>
      <xdr:colOff>476250</xdr:colOff>
      <xdr:row>82</xdr:row>
      <xdr:rowOff>542925</xdr:rowOff>
    </xdr:to>
    <xdr:pic>
      <xdr:nvPicPr>
        <xdr:cNvPr id="33" name="Picture">
          <a:extLst>
            <a:ext uri="{FF2B5EF4-FFF2-40B4-BE49-F238E27FC236}">
              <a16:creationId xmlns:a16="http://schemas.microsoft.com/office/drawing/2014/main" id="{085570C7-BE1F-477D-80B1-995273DD7F6D}"/>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9801225" y="18345150"/>
          <a:ext cx="3524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428625</xdr:colOff>
      <xdr:row>82</xdr:row>
      <xdr:rowOff>180975</xdr:rowOff>
    </xdr:from>
    <xdr:to>
      <xdr:col>2</xdr:col>
      <xdr:colOff>781050</xdr:colOff>
      <xdr:row>82</xdr:row>
      <xdr:rowOff>561975</xdr:rowOff>
    </xdr:to>
    <xdr:pic>
      <xdr:nvPicPr>
        <xdr:cNvPr id="34" name="Picture">
          <a:extLst>
            <a:ext uri="{FF2B5EF4-FFF2-40B4-BE49-F238E27FC236}">
              <a16:creationId xmlns:a16="http://schemas.microsoft.com/office/drawing/2014/main" id="{57C1A342-1CF3-4CA3-BE1C-42E7C4FA02CC}"/>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724025" y="18354675"/>
          <a:ext cx="35242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619124</xdr:colOff>
      <xdr:row>206</xdr:row>
      <xdr:rowOff>133350</xdr:rowOff>
    </xdr:from>
    <xdr:to>
      <xdr:col>5</xdr:col>
      <xdr:colOff>209549</xdr:colOff>
      <xdr:row>216</xdr:row>
      <xdr:rowOff>219075</xdr:rowOff>
    </xdr:to>
    <xdr:graphicFrame macro="">
      <xdr:nvGraphicFramePr>
        <xdr:cNvPr id="35" name="Diagramme 34">
          <a:extLst>
            <a:ext uri="{FF2B5EF4-FFF2-40B4-BE49-F238E27FC236}">
              <a16:creationId xmlns:a16="http://schemas.microsoft.com/office/drawing/2014/main" id="{B3F30FFB-8773-478A-B577-1AADEDD8D576}"/>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9" r:lo="rId20" r:qs="rId21" r:cs="rId22"/>
        </a:graphicData>
      </a:graphic>
    </xdr:graphicFrame>
    <xdr:clientData/>
  </xdr:twoCellAnchor>
  <xdr:twoCellAnchor editAs="oneCell">
    <xdr:from>
      <xdr:col>1</xdr:col>
      <xdr:colOff>793750</xdr:colOff>
      <xdr:row>234</xdr:row>
      <xdr:rowOff>117476</xdr:rowOff>
    </xdr:from>
    <xdr:to>
      <xdr:col>3</xdr:col>
      <xdr:colOff>1000125</xdr:colOff>
      <xdr:row>235</xdr:row>
      <xdr:rowOff>89279</xdr:rowOff>
    </xdr:to>
    <xdr:pic>
      <xdr:nvPicPr>
        <xdr:cNvPr id="36" name="Image 35">
          <a:extLst>
            <a:ext uri="{FF2B5EF4-FFF2-40B4-BE49-F238E27FC236}">
              <a16:creationId xmlns:a16="http://schemas.microsoft.com/office/drawing/2014/main" id="{EA0815AC-4A6E-4C63-A62D-FFEC301E7C04}"/>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041400" y="55667276"/>
          <a:ext cx="2301875" cy="1505328"/>
        </a:xfrm>
        <a:prstGeom prst="rect">
          <a:avLst/>
        </a:prstGeom>
      </xdr:spPr>
    </xdr:pic>
    <xdr:clientData/>
  </xdr:twoCellAnchor>
  <xdr:twoCellAnchor editAs="oneCell">
    <xdr:from>
      <xdr:col>10</xdr:col>
      <xdr:colOff>342900</xdr:colOff>
      <xdr:row>234</xdr:row>
      <xdr:rowOff>247650</xdr:rowOff>
    </xdr:from>
    <xdr:to>
      <xdr:col>12</xdr:col>
      <xdr:colOff>466725</xdr:colOff>
      <xdr:row>234</xdr:row>
      <xdr:rowOff>1301997</xdr:rowOff>
    </xdr:to>
    <xdr:pic>
      <xdr:nvPicPr>
        <xdr:cNvPr id="37" name="Image 36" descr="http://s1.lemde.fr/medias/web/1.2.686/img/friends/logos/logo_chef_simon_97x22.png">
          <a:extLst>
            <a:ext uri="{FF2B5EF4-FFF2-40B4-BE49-F238E27FC236}">
              <a16:creationId xmlns:a16="http://schemas.microsoft.com/office/drawing/2014/main" id="{090982EE-EE8B-4B41-A289-176E921B64C5}"/>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10020300" y="55797450"/>
          <a:ext cx="2219325" cy="10543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346077</xdr:colOff>
      <xdr:row>234</xdr:row>
      <xdr:rowOff>231778</xdr:rowOff>
    </xdr:from>
    <xdr:to>
      <xdr:col>16</xdr:col>
      <xdr:colOff>466725</xdr:colOff>
      <xdr:row>234</xdr:row>
      <xdr:rowOff>1368434</xdr:rowOff>
    </xdr:to>
    <xdr:pic>
      <xdr:nvPicPr>
        <xdr:cNvPr id="38" name="Image 37">
          <a:extLst>
            <a:ext uri="{FF2B5EF4-FFF2-40B4-BE49-F238E27FC236}">
              <a16:creationId xmlns:a16="http://schemas.microsoft.com/office/drawing/2014/main" id="{B96AD47C-9CD4-4035-B7E1-5CAA381FA3EE}"/>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4214477" y="55781578"/>
          <a:ext cx="1987548" cy="1136656"/>
        </a:xfrm>
        <a:prstGeom prst="rect">
          <a:avLst/>
        </a:prstGeom>
      </xdr:spPr>
    </xdr:pic>
    <xdr:clientData/>
  </xdr:twoCellAnchor>
  <xdr:twoCellAnchor editAs="oneCell">
    <xdr:from>
      <xdr:col>1</xdr:col>
      <xdr:colOff>323850</xdr:colOff>
      <xdr:row>275</xdr:row>
      <xdr:rowOff>152400</xdr:rowOff>
    </xdr:from>
    <xdr:to>
      <xdr:col>3</xdr:col>
      <xdr:colOff>676617</xdr:colOff>
      <xdr:row>286</xdr:row>
      <xdr:rowOff>105149</xdr:rowOff>
    </xdr:to>
    <xdr:pic>
      <xdr:nvPicPr>
        <xdr:cNvPr id="39" name="Image 38">
          <a:extLst>
            <a:ext uri="{FF2B5EF4-FFF2-40B4-BE49-F238E27FC236}">
              <a16:creationId xmlns:a16="http://schemas.microsoft.com/office/drawing/2014/main" id="{95A0B718-F11B-4873-9F16-2A9DFD7E7025}"/>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571500" y="67703700"/>
          <a:ext cx="2448267" cy="2676899"/>
        </a:xfrm>
        <a:prstGeom prst="rect">
          <a:avLst/>
        </a:prstGeom>
      </xdr:spPr>
    </xdr:pic>
    <xdr:clientData/>
  </xdr:twoCellAnchor>
  <xdr:twoCellAnchor editAs="oneCell">
    <xdr:from>
      <xdr:col>3</xdr:col>
      <xdr:colOff>971550</xdr:colOff>
      <xdr:row>278</xdr:row>
      <xdr:rowOff>0</xdr:rowOff>
    </xdr:from>
    <xdr:to>
      <xdr:col>6</xdr:col>
      <xdr:colOff>428988</xdr:colOff>
      <xdr:row>284</xdr:row>
      <xdr:rowOff>200260</xdr:rowOff>
    </xdr:to>
    <xdr:pic>
      <xdr:nvPicPr>
        <xdr:cNvPr id="40" name="Image 39">
          <a:extLst>
            <a:ext uri="{FF2B5EF4-FFF2-40B4-BE49-F238E27FC236}">
              <a16:creationId xmlns:a16="http://schemas.microsoft.com/office/drawing/2014/main" id="{2C735FFE-3E96-45B5-9C4B-030E58235A50}"/>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3314700" y="68294250"/>
          <a:ext cx="2600688" cy="16861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23</xdr:col>
      <xdr:colOff>323850</xdr:colOff>
      <xdr:row>199</xdr:row>
      <xdr:rowOff>0</xdr:rowOff>
    </xdr:from>
    <xdr:to>
      <xdr:col>23</xdr:col>
      <xdr:colOff>323850</xdr:colOff>
      <xdr:row>199</xdr:row>
      <xdr:rowOff>0</xdr:rowOff>
    </xdr:to>
    <xdr:sp macro="" textlink="">
      <xdr:nvSpPr>
        <xdr:cNvPr id="2" name="Line 7">
          <a:extLst>
            <a:ext uri="{FF2B5EF4-FFF2-40B4-BE49-F238E27FC236}">
              <a16:creationId xmlns:a16="http://schemas.microsoft.com/office/drawing/2014/main" id="{63F70FE0-650F-4520-8BBC-0C0B39CB29C1}"/>
            </a:ext>
          </a:extLst>
        </xdr:cNvPr>
        <xdr:cNvSpPr>
          <a:spLocks noChangeShapeType="1"/>
        </xdr:cNvSpPr>
      </xdr:nvSpPr>
      <xdr:spPr bwMode="auto">
        <a:xfrm>
          <a:off x="73475850" y="74780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188</xdr:row>
      <xdr:rowOff>0</xdr:rowOff>
    </xdr:from>
    <xdr:to>
      <xdr:col>23</xdr:col>
      <xdr:colOff>323850</xdr:colOff>
      <xdr:row>188</xdr:row>
      <xdr:rowOff>0</xdr:rowOff>
    </xdr:to>
    <xdr:sp macro="" textlink="">
      <xdr:nvSpPr>
        <xdr:cNvPr id="3" name="Line 7">
          <a:extLst>
            <a:ext uri="{FF2B5EF4-FFF2-40B4-BE49-F238E27FC236}">
              <a16:creationId xmlns:a16="http://schemas.microsoft.com/office/drawing/2014/main" id="{137FE221-9E7C-4558-89E6-B0DA5ADB03F0}"/>
            </a:ext>
          </a:extLst>
        </xdr:cNvPr>
        <xdr:cNvSpPr>
          <a:spLocks noChangeShapeType="1"/>
        </xdr:cNvSpPr>
      </xdr:nvSpPr>
      <xdr:spPr bwMode="auto">
        <a:xfrm>
          <a:off x="73475850" y="70589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196</xdr:row>
      <xdr:rowOff>0</xdr:rowOff>
    </xdr:from>
    <xdr:to>
      <xdr:col>23</xdr:col>
      <xdr:colOff>323850</xdr:colOff>
      <xdr:row>196</xdr:row>
      <xdr:rowOff>0</xdr:rowOff>
    </xdr:to>
    <xdr:sp macro="" textlink="">
      <xdr:nvSpPr>
        <xdr:cNvPr id="4" name="Line 7">
          <a:extLst>
            <a:ext uri="{FF2B5EF4-FFF2-40B4-BE49-F238E27FC236}">
              <a16:creationId xmlns:a16="http://schemas.microsoft.com/office/drawing/2014/main" id="{D50DCCC8-1019-40A0-9E3D-C820A87DF77D}"/>
            </a:ext>
          </a:extLst>
        </xdr:cNvPr>
        <xdr:cNvSpPr>
          <a:spLocks noChangeShapeType="1"/>
        </xdr:cNvSpPr>
      </xdr:nvSpPr>
      <xdr:spPr bwMode="auto">
        <a:xfrm>
          <a:off x="73475850" y="73637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323850</xdr:colOff>
      <xdr:row>199</xdr:row>
      <xdr:rowOff>0</xdr:rowOff>
    </xdr:from>
    <xdr:to>
      <xdr:col>29</xdr:col>
      <xdr:colOff>323850</xdr:colOff>
      <xdr:row>199</xdr:row>
      <xdr:rowOff>0</xdr:rowOff>
    </xdr:to>
    <xdr:sp macro="" textlink="">
      <xdr:nvSpPr>
        <xdr:cNvPr id="5" name="Line 7">
          <a:extLst>
            <a:ext uri="{FF2B5EF4-FFF2-40B4-BE49-F238E27FC236}">
              <a16:creationId xmlns:a16="http://schemas.microsoft.com/office/drawing/2014/main" id="{D79E65F3-11C4-4012-A65C-8EDFD99ABCA0}"/>
            </a:ext>
          </a:extLst>
        </xdr:cNvPr>
        <xdr:cNvSpPr>
          <a:spLocks noChangeShapeType="1"/>
        </xdr:cNvSpPr>
      </xdr:nvSpPr>
      <xdr:spPr bwMode="auto">
        <a:xfrm>
          <a:off x="89763600" y="74780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323850</xdr:colOff>
      <xdr:row>188</xdr:row>
      <xdr:rowOff>0</xdr:rowOff>
    </xdr:from>
    <xdr:to>
      <xdr:col>29</xdr:col>
      <xdr:colOff>323850</xdr:colOff>
      <xdr:row>188</xdr:row>
      <xdr:rowOff>0</xdr:rowOff>
    </xdr:to>
    <xdr:sp macro="" textlink="">
      <xdr:nvSpPr>
        <xdr:cNvPr id="6" name="Line 7">
          <a:extLst>
            <a:ext uri="{FF2B5EF4-FFF2-40B4-BE49-F238E27FC236}">
              <a16:creationId xmlns:a16="http://schemas.microsoft.com/office/drawing/2014/main" id="{3A7A304B-E1AD-41DB-8E8A-95BD504B87DF}"/>
            </a:ext>
          </a:extLst>
        </xdr:cNvPr>
        <xdr:cNvSpPr>
          <a:spLocks noChangeShapeType="1"/>
        </xdr:cNvSpPr>
      </xdr:nvSpPr>
      <xdr:spPr bwMode="auto">
        <a:xfrm>
          <a:off x="89763600" y="70589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323850</xdr:colOff>
      <xdr:row>196</xdr:row>
      <xdr:rowOff>0</xdr:rowOff>
    </xdr:from>
    <xdr:to>
      <xdr:col>29</xdr:col>
      <xdr:colOff>323850</xdr:colOff>
      <xdr:row>196</xdr:row>
      <xdr:rowOff>0</xdr:rowOff>
    </xdr:to>
    <xdr:sp macro="" textlink="">
      <xdr:nvSpPr>
        <xdr:cNvPr id="7" name="Line 7">
          <a:extLst>
            <a:ext uri="{FF2B5EF4-FFF2-40B4-BE49-F238E27FC236}">
              <a16:creationId xmlns:a16="http://schemas.microsoft.com/office/drawing/2014/main" id="{E3C5F2BB-D0C9-469F-8D84-10326A1A0DCC}"/>
            </a:ext>
          </a:extLst>
        </xdr:cNvPr>
        <xdr:cNvSpPr>
          <a:spLocks noChangeShapeType="1"/>
        </xdr:cNvSpPr>
      </xdr:nvSpPr>
      <xdr:spPr bwMode="auto">
        <a:xfrm>
          <a:off x="89763600" y="73637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202</xdr:row>
      <xdr:rowOff>0</xdr:rowOff>
    </xdr:from>
    <xdr:to>
      <xdr:col>23</xdr:col>
      <xdr:colOff>323850</xdr:colOff>
      <xdr:row>202</xdr:row>
      <xdr:rowOff>0</xdr:rowOff>
    </xdr:to>
    <xdr:sp macro="" textlink="">
      <xdr:nvSpPr>
        <xdr:cNvPr id="8" name="Line 7">
          <a:extLst>
            <a:ext uri="{FF2B5EF4-FFF2-40B4-BE49-F238E27FC236}">
              <a16:creationId xmlns:a16="http://schemas.microsoft.com/office/drawing/2014/main" id="{74CF84E7-F975-4622-BDF5-58A27A17596A}"/>
            </a:ext>
          </a:extLst>
        </xdr:cNvPr>
        <xdr:cNvSpPr>
          <a:spLocks noChangeShapeType="1"/>
        </xdr:cNvSpPr>
      </xdr:nvSpPr>
      <xdr:spPr bwMode="auto">
        <a:xfrm>
          <a:off x="73475850" y="75923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191</xdr:row>
      <xdr:rowOff>0</xdr:rowOff>
    </xdr:from>
    <xdr:to>
      <xdr:col>23</xdr:col>
      <xdr:colOff>323850</xdr:colOff>
      <xdr:row>191</xdr:row>
      <xdr:rowOff>0</xdr:rowOff>
    </xdr:to>
    <xdr:sp macro="" textlink="">
      <xdr:nvSpPr>
        <xdr:cNvPr id="9" name="Line 7">
          <a:extLst>
            <a:ext uri="{FF2B5EF4-FFF2-40B4-BE49-F238E27FC236}">
              <a16:creationId xmlns:a16="http://schemas.microsoft.com/office/drawing/2014/main" id="{3BB0DADB-C54D-44AF-8E02-389C5E58BA6B}"/>
            </a:ext>
          </a:extLst>
        </xdr:cNvPr>
        <xdr:cNvSpPr>
          <a:spLocks noChangeShapeType="1"/>
        </xdr:cNvSpPr>
      </xdr:nvSpPr>
      <xdr:spPr bwMode="auto">
        <a:xfrm>
          <a:off x="73475850" y="71732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199</xdr:row>
      <xdr:rowOff>0</xdr:rowOff>
    </xdr:from>
    <xdr:to>
      <xdr:col>23</xdr:col>
      <xdr:colOff>323850</xdr:colOff>
      <xdr:row>199</xdr:row>
      <xdr:rowOff>0</xdr:rowOff>
    </xdr:to>
    <xdr:sp macro="" textlink="">
      <xdr:nvSpPr>
        <xdr:cNvPr id="10" name="Line 7">
          <a:extLst>
            <a:ext uri="{FF2B5EF4-FFF2-40B4-BE49-F238E27FC236}">
              <a16:creationId xmlns:a16="http://schemas.microsoft.com/office/drawing/2014/main" id="{89C594A4-65F8-479E-B552-84DDA3FF8FEF}"/>
            </a:ext>
          </a:extLst>
        </xdr:cNvPr>
        <xdr:cNvSpPr>
          <a:spLocks noChangeShapeType="1"/>
        </xdr:cNvSpPr>
      </xdr:nvSpPr>
      <xdr:spPr bwMode="auto">
        <a:xfrm>
          <a:off x="73475850" y="74780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323850</xdr:colOff>
      <xdr:row>202</xdr:row>
      <xdr:rowOff>0</xdr:rowOff>
    </xdr:from>
    <xdr:to>
      <xdr:col>29</xdr:col>
      <xdr:colOff>323850</xdr:colOff>
      <xdr:row>202</xdr:row>
      <xdr:rowOff>0</xdr:rowOff>
    </xdr:to>
    <xdr:sp macro="" textlink="">
      <xdr:nvSpPr>
        <xdr:cNvPr id="11" name="Line 7">
          <a:extLst>
            <a:ext uri="{FF2B5EF4-FFF2-40B4-BE49-F238E27FC236}">
              <a16:creationId xmlns:a16="http://schemas.microsoft.com/office/drawing/2014/main" id="{6AE2F7FA-6BEB-441C-ACFC-759979826590}"/>
            </a:ext>
          </a:extLst>
        </xdr:cNvPr>
        <xdr:cNvSpPr>
          <a:spLocks noChangeShapeType="1"/>
        </xdr:cNvSpPr>
      </xdr:nvSpPr>
      <xdr:spPr bwMode="auto">
        <a:xfrm>
          <a:off x="89763600" y="75923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323850</xdr:colOff>
      <xdr:row>191</xdr:row>
      <xdr:rowOff>0</xdr:rowOff>
    </xdr:from>
    <xdr:to>
      <xdr:col>29</xdr:col>
      <xdr:colOff>323850</xdr:colOff>
      <xdr:row>191</xdr:row>
      <xdr:rowOff>0</xdr:rowOff>
    </xdr:to>
    <xdr:sp macro="" textlink="">
      <xdr:nvSpPr>
        <xdr:cNvPr id="12" name="Line 7">
          <a:extLst>
            <a:ext uri="{FF2B5EF4-FFF2-40B4-BE49-F238E27FC236}">
              <a16:creationId xmlns:a16="http://schemas.microsoft.com/office/drawing/2014/main" id="{3DFD12C0-A80A-4BF8-BBB7-65AF4D23E758}"/>
            </a:ext>
          </a:extLst>
        </xdr:cNvPr>
        <xdr:cNvSpPr>
          <a:spLocks noChangeShapeType="1"/>
        </xdr:cNvSpPr>
      </xdr:nvSpPr>
      <xdr:spPr bwMode="auto">
        <a:xfrm>
          <a:off x="89763600" y="71732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323850</xdr:colOff>
      <xdr:row>199</xdr:row>
      <xdr:rowOff>0</xdr:rowOff>
    </xdr:from>
    <xdr:to>
      <xdr:col>29</xdr:col>
      <xdr:colOff>323850</xdr:colOff>
      <xdr:row>199</xdr:row>
      <xdr:rowOff>0</xdr:rowOff>
    </xdr:to>
    <xdr:sp macro="" textlink="">
      <xdr:nvSpPr>
        <xdr:cNvPr id="13" name="Line 7">
          <a:extLst>
            <a:ext uri="{FF2B5EF4-FFF2-40B4-BE49-F238E27FC236}">
              <a16:creationId xmlns:a16="http://schemas.microsoft.com/office/drawing/2014/main" id="{604D8A0C-4E43-4BBA-B05B-A4CE80B4E86D}"/>
            </a:ext>
          </a:extLst>
        </xdr:cNvPr>
        <xdr:cNvSpPr>
          <a:spLocks noChangeShapeType="1"/>
        </xdr:cNvSpPr>
      </xdr:nvSpPr>
      <xdr:spPr bwMode="auto">
        <a:xfrm>
          <a:off x="89763600" y="74780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201</xdr:row>
      <xdr:rowOff>0</xdr:rowOff>
    </xdr:from>
    <xdr:to>
      <xdr:col>23</xdr:col>
      <xdr:colOff>323850</xdr:colOff>
      <xdr:row>201</xdr:row>
      <xdr:rowOff>0</xdr:rowOff>
    </xdr:to>
    <xdr:sp macro="" textlink="">
      <xdr:nvSpPr>
        <xdr:cNvPr id="14" name="Line 7">
          <a:extLst>
            <a:ext uri="{FF2B5EF4-FFF2-40B4-BE49-F238E27FC236}">
              <a16:creationId xmlns:a16="http://schemas.microsoft.com/office/drawing/2014/main" id="{C6E9F1A4-E2B6-4F2E-A15A-6F428F6B1721}"/>
            </a:ext>
          </a:extLst>
        </xdr:cNvPr>
        <xdr:cNvSpPr>
          <a:spLocks noChangeShapeType="1"/>
        </xdr:cNvSpPr>
      </xdr:nvSpPr>
      <xdr:spPr bwMode="auto">
        <a:xfrm>
          <a:off x="73475850" y="75542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190</xdr:row>
      <xdr:rowOff>0</xdr:rowOff>
    </xdr:from>
    <xdr:to>
      <xdr:col>23</xdr:col>
      <xdr:colOff>323850</xdr:colOff>
      <xdr:row>190</xdr:row>
      <xdr:rowOff>0</xdr:rowOff>
    </xdr:to>
    <xdr:sp macro="" textlink="">
      <xdr:nvSpPr>
        <xdr:cNvPr id="15" name="Line 7">
          <a:extLst>
            <a:ext uri="{FF2B5EF4-FFF2-40B4-BE49-F238E27FC236}">
              <a16:creationId xmlns:a16="http://schemas.microsoft.com/office/drawing/2014/main" id="{58FD1549-D223-4DE8-B639-E4E43CAEB4CA}"/>
            </a:ext>
          </a:extLst>
        </xdr:cNvPr>
        <xdr:cNvSpPr>
          <a:spLocks noChangeShapeType="1"/>
        </xdr:cNvSpPr>
      </xdr:nvSpPr>
      <xdr:spPr bwMode="auto">
        <a:xfrm>
          <a:off x="73475850" y="7135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323850</xdr:colOff>
      <xdr:row>198</xdr:row>
      <xdr:rowOff>0</xdr:rowOff>
    </xdr:from>
    <xdr:to>
      <xdr:col>23</xdr:col>
      <xdr:colOff>323850</xdr:colOff>
      <xdr:row>198</xdr:row>
      <xdr:rowOff>0</xdr:rowOff>
    </xdr:to>
    <xdr:sp macro="" textlink="">
      <xdr:nvSpPr>
        <xdr:cNvPr id="16" name="Line 7">
          <a:extLst>
            <a:ext uri="{FF2B5EF4-FFF2-40B4-BE49-F238E27FC236}">
              <a16:creationId xmlns:a16="http://schemas.microsoft.com/office/drawing/2014/main" id="{A6E795AC-6646-4684-83A8-E8ECD00AF1C6}"/>
            </a:ext>
          </a:extLst>
        </xdr:cNvPr>
        <xdr:cNvSpPr>
          <a:spLocks noChangeShapeType="1"/>
        </xdr:cNvSpPr>
      </xdr:nvSpPr>
      <xdr:spPr bwMode="auto">
        <a:xfrm>
          <a:off x="73475850" y="74399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323850</xdr:colOff>
      <xdr:row>201</xdr:row>
      <xdr:rowOff>0</xdr:rowOff>
    </xdr:from>
    <xdr:to>
      <xdr:col>29</xdr:col>
      <xdr:colOff>323850</xdr:colOff>
      <xdr:row>201</xdr:row>
      <xdr:rowOff>0</xdr:rowOff>
    </xdr:to>
    <xdr:sp macro="" textlink="">
      <xdr:nvSpPr>
        <xdr:cNvPr id="17" name="Line 7">
          <a:extLst>
            <a:ext uri="{FF2B5EF4-FFF2-40B4-BE49-F238E27FC236}">
              <a16:creationId xmlns:a16="http://schemas.microsoft.com/office/drawing/2014/main" id="{009A522E-F291-439C-A8AF-88F2BADC3A23}"/>
            </a:ext>
          </a:extLst>
        </xdr:cNvPr>
        <xdr:cNvSpPr>
          <a:spLocks noChangeShapeType="1"/>
        </xdr:cNvSpPr>
      </xdr:nvSpPr>
      <xdr:spPr bwMode="auto">
        <a:xfrm>
          <a:off x="89763600" y="75542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323850</xdr:colOff>
      <xdr:row>190</xdr:row>
      <xdr:rowOff>0</xdr:rowOff>
    </xdr:from>
    <xdr:to>
      <xdr:col>29</xdr:col>
      <xdr:colOff>323850</xdr:colOff>
      <xdr:row>190</xdr:row>
      <xdr:rowOff>0</xdr:rowOff>
    </xdr:to>
    <xdr:sp macro="" textlink="">
      <xdr:nvSpPr>
        <xdr:cNvPr id="18" name="Line 7">
          <a:extLst>
            <a:ext uri="{FF2B5EF4-FFF2-40B4-BE49-F238E27FC236}">
              <a16:creationId xmlns:a16="http://schemas.microsoft.com/office/drawing/2014/main" id="{C12693E7-4448-4BAD-A548-67FC47A7E074}"/>
            </a:ext>
          </a:extLst>
        </xdr:cNvPr>
        <xdr:cNvSpPr>
          <a:spLocks noChangeShapeType="1"/>
        </xdr:cNvSpPr>
      </xdr:nvSpPr>
      <xdr:spPr bwMode="auto">
        <a:xfrm>
          <a:off x="89763600" y="7135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323850</xdr:colOff>
      <xdr:row>198</xdr:row>
      <xdr:rowOff>0</xdr:rowOff>
    </xdr:from>
    <xdr:to>
      <xdr:col>29</xdr:col>
      <xdr:colOff>323850</xdr:colOff>
      <xdr:row>198</xdr:row>
      <xdr:rowOff>0</xdr:rowOff>
    </xdr:to>
    <xdr:sp macro="" textlink="">
      <xdr:nvSpPr>
        <xdr:cNvPr id="19" name="Line 7">
          <a:extLst>
            <a:ext uri="{FF2B5EF4-FFF2-40B4-BE49-F238E27FC236}">
              <a16:creationId xmlns:a16="http://schemas.microsoft.com/office/drawing/2014/main" id="{4A8BAB04-F370-48D4-9A79-6B2A72E6898E}"/>
            </a:ext>
          </a:extLst>
        </xdr:cNvPr>
        <xdr:cNvSpPr>
          <a:spLocks noChangeShapeType="1"/>
        </xdr:cNvSpPr>
      </xdr:nvSpPr>
      <xdr:spPr bwMode="auto">
        <a:xfrm>
          <a:off x="89763600" y="74399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18</xdr:col>
      <xdr:colOff>457200</xdr:colOff>
      <xdr:row>8</xdr:row>
      <xdr:rowOff>28575</xdr:rowOff>
    </xdr:from>
    <xdr:to>
      <xdr:col>18</xdr:col>
      <xdr:colOff>923925</xdr:colOff>
      <xdr:row>8</xdr:row>
      <xdr:rowOff>355764</xdr:rowOff>
    </xdr:to>
    <xdr:pic>
      <xdr:nvPicPr>
        <xdr:cNvPr id="20" name="Image 19">
          <a:extLst>
            <a:ext uri="{FF2B5EF4-FFF2-40B4-BE49-F238E27FC236}">
              <a16:creationId xmlns:a16="http://schemas.microsoft.com/office/drawing/2014/main" id="{0EA0DB25-3FB1-4E41-9337-9DE1E5D72446}"/>
            </a:ext>
          </a:extLst>
        </xdr:cNvPr>
        <xdr:cNvPicPr>
          <a:picLocks noChangeAspect="1"/>
        </xdr:cNvPicPr>
      </xdr:nvPicPr>
      <xdr:blipFill>
        <a:blip xmlns:r="http://schemas.openxmlformats.org/officeDocument/2006/relationships" r:embed="rId1"/>
        <a:stretch>
          <a:fillRect/>
        </a:stretch>
      </xdr:blipFill>
      <xdr:spPr>
        <a:xfrm>
          <a:off x="52187475" y="2038350"/>
          <a:ext cx="466725" cy="327189"/>
        </a:xfrm>
        <a:prstGeom prst="rect">
          <a:avLst/>
        </a:prstGeom>
      </xdr:spPr>
    </xdr:pic>
    <xdr:clientData/>
  </xdr:twoCellAnchor>
  <xdr:twoCellAnchor editAs="oneCell">
    <xdr:from>
      <xdr:col>23</xdr:col>
      <xdr:colOff>257175</xdr:colOff>
      <xdr:row>8</xdr:row>
      <xdr:rowOff>76200</xdr:rowOff>
    </xdr:from>
    <xdr:to>
      <xdr:col>23</xdr:col>
      <xdr:colOff>624028</xdr:colOff>
      <xdr:row>8</xdr:row>
      <xdr:rowOff>333375</xdr:rowOff>
    </xdr:to>
    <xdr:pic>
      <xdr:nvPicPr>
        <xdr:cNvPr id="21" name="Image 20">
          <a:extLst>
            <a:ext uri="{FF2B5EF4-FFF2-40B4-BE49-F238E27FC236}">
              <a16:creationId xmlns:a16="http://schemas.microsoft.com/office/drawing/2014/main" id="{27D5B343-2B22-4776-9563-50E698BDC1CA}"/>
            </a:ext>
          </a:extLst>
        </xdr:cNvPr>
        <xdr:cNvPicPr>
          <a:picLocks noChangeAspect="1"/>
        </xdr:cNvPicPr>
      </xdr:nvPicPr>
      <xdr:blipFill>
        <a:blip xmlns:r="http://schemas.openxmlformats.org/officeDocument/2006/relationships" r:embed="rId1"/>
        <a:stretch>
          <a:fillRect/>
        </a:stretch>
      </xdr:blipFill>
      <xdr:spPr>
        <a:xfrm>
          <a:off x="73409175" y="2085975"/>
          <a:ext cx="366853" cy="257175"/>
        </a:xfrm>
        <a:prstGeom prst="rect">
          <a:avLst/>
        </a:prstGeom>
      </xdr:spPr>
    </xdr:pic>
    <xdr:clientData/>
  </xdr:twoCellAnchor>
  <xdr:twoCellAnchor editAs="oneCell">
    <xdr:from>
      <xdr:col>24</xdr:col>
      <xdr:colOff>266700</xdr:colOff>
      <xdr:row>8</xdr:row>
      <xdr:rowOff>38100</xdr:rowOff>
    </xdr:from>
    <xdr:to>
      <xdr:col>24</xdr:col>
      <xdr:colOff>637760</xdr:colOff>
      <xdr:row>8</xdr:row>
      <xdr:rowOff>304800</xdr:rowOff>
    </xdr:to>
    <xdr:pic>
      <xdr:nvPicPr>
        <xdr:cNvPr id="22" name="Image 21">
          <a:extLst>
            <a:ext uri="{FF2B5EF4-FFF2-40B4-BE49-F238E27FC236}">
              <a16:creationId xmlns:a16="http://schemas.microsoft.com/office/drawing/2014/main" id="{BCB94CA4-758B-4EAF-AC1A-171069A00934}"/>
            </a:ext>
          </a:extLst>
        </xdr:cNvPr>
        <xdr:cNvPicPr>
          <a:picLocks noChangeAspect="1"/>
        </xdr:cNvPicPr>
      </xdr:nvPicPr>
      <xdr:blipFill>
        <a:blip xmlns:r="http://schemas.openxmlformats.org/officeDocument/2006/relationships" r:embed="rId2"/>
        <a:stretch>
          <a:fillRect/>
        </a:stretch>
      </xdr:blipFill>
      <xdr:spPr>
        <a:xfrm>
          <a:off x="75466575" y="2047875"/>
          <a:ext cx="371060" cy="266700"/>
        </a:xfrm>
        <a:prstGeom prst="rect">
          <a:avLst/>
        </a:prstGeom>
      </xdr:spPr>
    </xdr:pic>
    <xdr:clientData/>
  </xdr:twoCellAnchor>
  <xdr:twoCellAnchor editAs="oneCell">
    <xdr:from>
      <xdr:col>19</xdr:col>
      <xdr:colOff>276224</xdr:colOff>
      <xdr:row>8</xdr:row>
      <xdr:rowOff>9525</xdr:rowOff>
    </xdr:from>
    <xdr:to>
      <xdr:col>19</xdr:col>
      <xdr:colOff>828675</xdr:colOff>
      <xdr:row>8</xdr:row>
      <xdr:rowOff>338138</xdr:rowOff>
    </xdr:to>
    <xdr:pic>
      <xdr:nvPicPr>
        <xdr:cNvPr id="23" name="Image 22">
          <a:extLst>
            <a:ext uri="{FF2B5EF4-FFF2-40B4-BE49-F238E27FC236}">
              <a16:creationId xmlns:a16="http://schemas.microsoft.com/office/drawing/2014/main" id="{58DE1EF2-4D07-4196-A054-B6251130728E}"/>
            </a:ext>
          </a:extLst>
        </xdr:cNvPr>
        <xdr:cNvPicPr>
          <a:picLocks noChangeAspect="1"/>
        </xdr:cNvPicPr>
      </xdr:nvPicPr>
      <xdr:blipFill>
        <a:blip xmlns:r="http://schemas.openxmlformats.org/officeDocument/2006/relationships" r:embed="rId2"/>
        <a:stretch>
          <a:fillRect/>
        </a:stretch>
      </xdr:blipFill>
      <xdr:spPr>
        <a:xfrm>
          <a:off x="58654949" y="2019300"/>
          <a:ext cx="552451" cy="328613"/>
        </a:xfrm>
        <a:prstGeom prst="rect">
          <a:avLst/>
        </a:prstGeom>
      </xdr:spPr>
    </xdr:pic>
    <xdr:clientData/>
  </xdr:twoCellAnchor>
  <xdr:twoCellAnchor editAs="oneCell">
    <xdr:from>
      <xdr:col>20</xdr:col>
      <xdr:colOff>276225</xdr:colOff>
      <xdr:row>8</xdr:row>
      <xdr:rowOff>66676</xdr:rowOff>
    </xdr:from>
    <xdr:to>
      <xdr:col>20</xdr:col>
      <xdr:colOff>695325</xdr:colOff>
      <xdr:row>8</xdr:row>
      <xdr:rowOff>356822</xdr:rowOff>
    </xdr:to>
    <xdr:pic>
      <xdr:nvPicPr>
        <xdr:cNvPr id="24" name="Image 23">
          <a:extLst>
            <a:ext uri="{FF2B5EF4-FFF2-40B4-BE49-F238E27FC236}">
              <a16:creationId xmlns:a16="http://schemas.microsoft.com/office/drawing/2014/main" id="{CBA673A2-4F72-4FF3-B4BB-45701A04B253}"/>
            </a:ext>
          </a:extLst>
        </xdr:cNvPr>
        <xdr:cNvPicPr>
          <a:picLocks noChangeAspect="1"/>
        </xdr:cNvPicPr>
      </xdr:nvPicPr>
      <xdr:blipFill>
        <a:blip xmlns:r="http://schemas.openxmlformats.org/officeDocument/2006/relationships" r:embed="rId3"/>
        <a:stretch>
          <a:fillRect/>
        </a:stretch>
      </xdr:blipFill>
      <xdr:spPr>
        <a:xfrm>
          <a:off x="65303400" y="2076451"/>
          <a:ext cx="419100" cy="290146"/>
        </a:xfrm>
        <a:prstGeom prst="rect">
          <a:avLst/>
        </a:prstGeom>
      </xdr:spPr>
    </xdr:pic>
    <xdr:clientData/>
  </xdr:twoCellAnchor>
  <xdr:twoCellAnchor editAs="oneCell">
    <xdr:from>
      <xdr:col>25</xdr:col>
      <xdr:colOff>266700</xdr:colOff>
      <xdr:row>8</xdr:row>
      <xdr:rowOff>76201</xdr:rowOff>
    </xdr:from>
    <xdr:to>
      <xdr:col>25</xdr:col>
      <xdr:colOff>581025</xdr:colOff>
      <xdr:row>8</xdr:row>
      <xdr:rowOff>293811</xdr:rowOff>
    </xdr:to>
    <xdr:pic>
      <xdr:nvPicPr>
        <xdr:cNvPr id="25" name="Image 24">
          <a:extLst>
            <a:ext uri="{FF2B5EF4-FFF2-40B4-BE49-F238E27FC236}">
              <a16:creationId xmlns:a16="http://schemas.microsoft.com/office/drawing/2014/main" id="{85941EF8-0901-4C54-8CFF-012988D47F7F}"/>
            </a:ext>
          </a:extLst>
        </xdr:cNvPr>
        <xdr:cNvPicPr>
          <a:picLocks noChangeAspect="1"/>
        </xdr:cNvPicPr>
      </xdr:nvPicPr>
      <xdr:blipFill>
        <a:blip xmlns:r="http://schemas.openxmlformats.org/officeDocument/2006/relationships" r:embed="rId3"/>
        <a:stretch>
          <a:fillRect/>
        </a:stretch>
      </xdr:blipFill>
      <xdr:spPr>
        <a:xfrm>
          <a:off x="77514450" y="2085976"/>
          <a:ext cx="314325" cy="217610"/>
        </a:xfrm>
        <a:prstGeom prst="rect">
          <a:avLst/>
        </a:prstGeom>
      </xdr:spPr>
    </xdr:pic>
    <xdr:clientData/>
  </xdr:twoCellAnchor>
  <xdr:twoCellAnchor editAs="oneCell">
    <xdr:from>
      <xdr:col>29</xdr:col>
      <xdr:colOff>1504950</xdr:colOff>
      <xdr:row>8</xdr:row>
      <xdr:rowOff>57150</xdr:rowOff>
    </xdr:from>
    <xdr:to>
      <xdr:col>29</xdr:col>
      <xdr:colOff>1871803</xdr:colOff>
      <xdr:row>8</xdr:row>
      <xdr:rowOff>314325</xdr:rowOff>
    </xdr:to>
    <xdr:pic>
      <xdr:nvPicPr>
        <xdr:cNvPr id="26" name="Image 25">
          <a:extLst>
            <a:ext uri="{FF2B5EF4-FFF2-40B4-BE49-F238E27FC236}">
              <a16:creationId xmlns:a16="http://schemas.microsoft.com/office/drawing/2014/main" id="{636541E7-62F3-4FD8-82EA-8C1DA509CED4}"/>
            </a:ext>
          </a:extLst>
        </xdr:cNvPr>
        <xdr:cNvPicPr>
          <a:picLocks noChangeAspect="1"/>
        </xdr:cNvPicPr>
      </xdr:nvPicPr>
      <xdr:blipFill>
        <a:blip xmlns:r="http://schemas.openxmlformats.org/officeDocument/2006/relationships" r:embed="rId1"/>
        <a:stretch>
          <a:fillRect/>
        </a:stretch>
      </xdr:blipFill>
      <xdr:spPr>
        <a:xfrm>
          <a:off x="90944700" y="2066925"/>
          <a:ext cx="366853" cy="257175"/>
        </a:xfrm>
        <a:prstGeom prst="rect">
          <a:avLst/>
        </a:prstGeom>
      </xdr:spPr>
    </xdr:pic>
    <xdr:clientData/>
  </xdr:twoCellAnchor>
  <xdr:twoCellAnchor editAs="oneCell">
    <xdr:from>
      <xdr:col>12</xdr:col>
      <xdr:colOff>76200</xdr:colOff>
      <xdr:row>8</xdr:row>
      <xdr:rowOff>19051</xdr:rowOff>
    </xdr:from>
    <xdr:to>
      <xdr:col>12</xdr:col>
      <xdr:colOff>447675</xdr:colOff>
      <xdr:row>8</xdr:row>
      <xdr:rowOff>356565</xdr:rowOff>
    </xdr:to>
    <xdr:pic>
      <xdr:nvPicPr>
        <xdr:cNvPr id="27" name="Image 26">
          <a:extLst>
            <a:ext uri="{FF2B5EF4-FFF2-40B4-BE49-F238E27FC236}">
              <a16:creationId xmlns:a16="http://schemas.microsoft.com/office/drawing/2014/main" id="{85D6D0B0-195B-4419-BB4F-6D7FFFD34943}"/>
            </a:ext>
          </a:extLst>
        </xdr:cNvPr>
        <xdr:cNvPicPr>
          <a:picLocks noChangeAspect="1"/>
        </xdr:cNvPicPr>
      </xdr:nvPicPr>
      <xdr:blipFill>
        <a:blip xmlns:r="http://schemas.openxmlformats.org/officeDocument/2006/relationships" r:embed="rId1"/>
        <a:stretch>
          <a:fillRect/>
        </a:stretch>
      </xdr:blipFill>
      <xdr:spPr>
        <a:xfrm>
          <a:off x="31556325" y="2028826"/>
          <a:ext cx="371475" cy="337514"/>
        </a:xfrm>
        <a:prstGeom prst="rect">
          <a:avLst/>
        </a:prstGeom>
      </xdr:spPr>
    </xdr:pic>
    <xdr:clientData/>
  </xdr:twoCellAnchor>
  <xdr:twoCellAnchor editAs="oneCell">
    <xdr:from>
      <xdr:col>13</xdr:col>
      <xdr:colOff>123825</xdr:colOff>
      <xdr:row>8</xdr:row>
      <xdr:rowOff>19050</xdr:rowOff>
    </xdr:from>
    <xdr:to>
      <xdr:col>13</xdr:col>
      <xdr:colOff>475517</xdr:colOff>
      <xdr:row>8</xdr:row>
      <xdr:rowOff>352425</xdr:rowOff>
    </xdr:to>
    <xdr:pic>
      <xdr:nvPicPr>
        <xdr:cNvPr id="28" name="Image 27">
          <a:extLst>
            <a:ext uri="{FF2B5EF4-FFF2-40B4-BE49-F238E27FC236}">
              <a16:creationId xmlns:a16="http://schemas.microsoft.com/office/drawing/2014/main" id="{A4F3ACE5-1A44-4895-BA80-5D6D424242D9}"/>
            </a:ext>
          </a:extLst>
        </xdr:cNvPr>
        <xdr:cNvPicPr>
          <a:picLocks noChangeAspect="1"/>
        </xdr:cNvPicPr>
      </xdr:nvPicPr>
      <xdr:blipFill>
        <a:blip xmlns:r="http://schemas.openxmlformats.org/officeDocument/2006/relationships" r:embed="rId2"/>
        <a:stretch>
          <a:fillRect/>
        </a:stretch>
      </xdr:blipFill>
      <xdr:spPr>
        <a:xfrm>
          <a:off x="36118800" y="2028825"/>
          <a:ext cx="351692" cy="333375"/>
        </a:xfrm>
        <a:prstGeom prst="rect">
          <a:avLst/>
        </a:prstGeom>
      </xdr:spPr>
    </xdr:pic>
    <xdr:clientData/>
  </xdr:twoCellAnchor>
  <xdr:twoCellAnchor editAs="oneCell">
    <xdr:from>
      <xdr:col>14</xdr:col>
      <xdr:colOff>104776</xdr:colOff>
      <xdr:row>8</xdr:row>
      <xdr:rowOff>38101</xdr:rowOff>
    </xdr:from>
    <xdr:to>
      <xdr:col>14</xdr:col>
      <xdr:colOff>419100</xdr:colOff>
      <xdr:row>8</xdr:row>
      <xdr:rowOff>327742</xdr:rowOff>
    </xdr:to>
    <xdr:pic>
      <xdr:nvPicPr>
        <xdr:cNvPr id="29" name="Image 28">
          <a:extLst>
            <a:ext uri="{FF2B5EF4-FFF2-40B4-BE49-F238E27FC236}">
              <a16:creationId xmlns:a16="http://schemas.microsoft.com/office/drawing/2014/main" id="{FA725AB7-F34B-47C3-B33A-7F7C1CA1ACDD}"/>
            </a:ext>
          </a:extLst>
        </xdr:cNvPr>
        <xdr:cNvPicPr>
          <a:picLocks noChangeAspect="1"/>
        </xdr:cNvPicPr>
      </xdr:nvPicPr>
      <xdr:blipFill>
        <a:blip xmlns:r="http://schemas.openxmlformats.org/officeDocument/2006/relationships" r:embed="rId3"/>
        <a:stretch>
          <a:fillRect/>
        </a:stretch>
      </xdr:blipFill>
      <xdr:spPr>
        <a:xfrm>
          <a:off x="40614601" y="2047876"/>
          <a:ext cx="314324" cy="289641"/>
        </a:xfrm>
        <a:prstGeom prst="rect">
          <a:avLst/>
        </a:prstGeom>
      </xdr:spPr>
    </xdr:pic>
    <xdr:clientData/>
  </xdr:twoCellAnchor>
  <xdr:twoCellAnchor editAs="oneCell">
    <xdr:from>
      <xdr:col>2</xdr:col>
      <xdr:colOff>723900</xdr:colOff>
      <xdr:row>8</xdr:row>
      <xdr:rowOff>19050</xdr:rowOff>
    </xdr:from>
    <xdr:to>
      <xdr:col>2</xdr:col>
      <xdr:colOff>1095375</xdr:colOff>
      <xdr:row>8</xdr:row>
      <xdr:rowOff>356564</xdr:rowOff>
    </xdr:to>
    <xdr:pic>
      <xdr:nvPicPr>
        <xdr:cNvPr id="30" name="Image 29">
          <a:extLst>
            <a:ext uri="{FF2B5EF4-FFF2-40B4-BE49-F238E27FC236}">
              <a16:creationId xmlns:a16="http://schemas.microsoft.com/office/drawing/2014/main" id="{3E929568-0936-4492-9B2F-6B2EFE0DFDC2}"/>
            </a:ext>
          </a:extLst>
        </xdr:cNvPr>
        <xdr:cNvPicPr>
          <a:picLocks noChangeAspect="1"/>
        </xdr:cNvPicPr>
      </xdr:nvPicPr>
      <xdr:blipFill>
        <a:blip xmlns:r="http://schemas.openxmlformats.org/officeDocument/2006/relationships" r:embed="rId1"/>
        <a:stretch>
          <a:fillRect/>
        </a:stretch>
      </xdr:blipFill>
      <xdr:spPr>
        <a:xfrm>
          <a:off x="1800225" y="2028825"/>
          <a:ext cx="371475" cy="337514"/>
        </a:xfrm>
        <a:prstGeom prst="rect">
          <a:avLst/>
        </a:prstGeom>
      </xdr:spPr>
    </xdr:pic>
    <xdr:clientData/>
  </xdr:twoCellAnchor>
  <xdr:twoCellAnchor editAs="oneCell">
    <xdr:from>
      <xdr:col>3</xdr:col>
      <xdr:colOff>504825</xdr:colOff>
      <xdr:row>8</xdr:row>
      <xdr:rowOff>38100</xdr:rowOff>
    </xdr:from>
    <xdr:to>
      <xdr:col>3</xdr:col>
      <xdr:colOff>856517</xdr:colOff>
      <xdr:row>8</xdr:row>
      <xdr:rowOff>371475</xdr:rowOff>
    </xdr:to>
    <xdr:pic>
      <xdr:nvPicPr>
        <xdr:cNvPr id="31" name="Image 30">
          <a:extLst>
            <a:ext uri="{FF2B5EF4-FFF2-40B4-BE49-F238E27FC236}">
              <a16:creationId xmlns:a16="http://schemas.microsoft.com/office/drawing/2014/main" id="{33769E4D-3160-4A34-9A4B-F88C4189F883}"/>
            </a:ext>
          </a:extLst>
        </xdr:cNvPr>
        <xdr:cNvPicPr>
          <a:picLocks noChangeAspect="1"/>
        </xdr:cNvPicPr>
      </xdr:nvPicPr>
      <xdr:blipFill>
        <a:blip xmlns:r="http://schemas.openxmlformats.org/officeDocument/2006/relationships" r:embed="rId2"/>
        <a:stretch>
          <a:fillRect/>
        </a:stretch>
      </xdr:blipFill>
      <xdr:spPr>
        <a:xfrm>
          <a:off x="5619750" y="2047875"/>
          <a:ext cx="351692" cy="333375"/>
        </a:xfrm>
        <a:prstGeom prst="rect">
          <a:avLst/>
        </a:prstGeom>
      </xdr:spPr>
    </xdr:pic>
    <xdr:clientData/>
  </xdr:twoCellAnchor>
  <xdr:twoCellAnchor editAs="oneCell">
    <xdr:from>
      <xdr:col>4</xdr:col>
      <xdr:colOff>219075</xdr:colOff>
      <xdr:row>8</xdr:row>
      <xdr:rowOff>57150</xdr:rowOff>
    </xdr:from>
    <xdr:to>
      <xdr:col>4</xdr:col>
      <xdr:colOff>533399</xdr:colOff>
      <xdr:row>8</xdr:row>
      <xdr:rowOff>346791</xdr:rowOff>
    </xdr:to>
    <xdr:pic>
      <xdr:nvPicPr>
        <xdr:cNvPr id="32" name="Image 31">
          <a:extLst>
            <a:ext uri="{FF2B5EF4-FFF2-40B4-BE49-F238E27FC236}">
              <a16:creationId xmlns:a16="http://schemas.microsoft.com/office/drawing/2014/main" id="{BAC5021C-98DE-4DAC-A319-2D89A92D407D}"/>
            </a:ext>
          </a:extLst>
        </xdr:cNvPr>
        <xdr:cNvPicPr>
          <a:picLocks noChangeAspect="1"/>
        </xdr:cNvPicPr>
      </xdr:nvPicPr>
      <xdr:blipFill>
        <a:blip xmlns:r="http://schemas.openxmlformats.org/officeDocument/2006/relationships" r:embed="rId3"/>
        <a:stretch>
          <a:fillRect/>
        </a:stretch>
      </xdr:blipFill>
      <xdr:spPr>
        <a:xfrm>
          <a:off x="8715375" y="2066925"/>
          <a:ext cx="314324" cy="289641"/>
        </a:xfrm>
        <a:prstGeom prst="rect">
          <a:avLst/>
        </a:prstGeom>
      </xdr:spPr>
    </xdr:pic>
    <xdr:clientData/>
  </xdr:twoCellAnchor>
  <xdr:twoCellAnchor editAs="oneCell">
    <xdr:from>
      <xdr:col>7</xdr:col>
      <xdr:colOff>4219575</xdr:colOff>
      <xdr:row>11</xdr:row>
      <xdr:rowOff>38100</xdr:rowOff>
    </xdr:from>
    <xdr:to>
      <xdr:col>7</xdr:col>
      <xdr:colOff>4591050</xdr:colOff>
      <xdr:row>11</xdr:row>
      <xdr:rowOff>375614</xdr:rowOff>
    </xdr:to>
    <xdr:pic>
      <xdr:nvPicPr>
        <xdr:cNvPr id="33" name="Image 32">
          <a:extLst>
            <a:ext uri="{FF2B5EF4-FFF2-40B4-BE49-F238E27FC236}">
              <a16:creationId xmlns:a16="http://schemas.microsoft.com/office/drawing/2014/main" id="{FC9420E1-5653-4D0F-8B12-2523A8897360}"/>
            </a:ext>
          </a:extLst>
        </xdr:cNvPr>
        <xdr:cNvPicPr>
          <a:picLocks noChangeAspect="1"/>
        </xdr:cNvPicPr>
      </xdr:nvPicPr>
      <xdr:blipFill>
        <a:blip xmlns:r="http://schemas.openxmlformats.org/officeDocument/2006/relationships" r:embed="rId1"/>
        <a:stretch>
          <a:fillRect/>
        </a:stretch>
      </xdr:blipFill>
      <xdr:spPr>
        <a:xfrm>
          <a:off x="17364075" y="3190875"/>
          <a:ext cx="371475" cy="337514"/>
        </a:xfrm>
        <a:prstGeom prst="rect">
          <a:avLst/>
        </a:prstGeom>
      </xdr:spPr>
    </xdr:pic>
    <xdr:clientData/>
  </xdr:twoCellAnchor>
  <xdr:twoCellAnchor editAs="oneCell">
    <xdr:from>
      <xdr:col>8</xdr:col>
      <xdr:colOff>2286000</xdr:colOff>
      <xdr:row>11</xdr:row>
      <xdr:rowOff>38100</xdr:rowOff>
    </xdr:from>
    <xdr:to>
      <xdr:col>8</xdr:col>
      <xdr:colOff>2637692</xdr:colOff>
      <xdr:row>11</xdr:row>
      <xdr:rowOff>371475</xdr:rowOff>
    </xdr:to>
    <xdr:pic>
      <xdr:nvPicPr>
        <xdr:cNvPr id="34" name="Image 33">
          <a:extLst>
            <a:ext uri="{FF2B5EF4-FFF2-40B4-BE49-F238E27FC236}">
              <a16:creationId xmlns:a16="http://schemas.microsoft.com/office/drawing/2014/main" id="{7D2432BF-A087-4A34-A810-9A5322DD735D}"/>
            </a:ext>
          </a:extLst>
        </xdr:cNvPr>
        <xdr:cNvPicPr>
          <a:picLocks noChangeAspect="1"/>
        </xdr:cNvPicPr>
      </xdr:nvPicPr>
      <xdr:blipFill>
        <a:blip xmlns:r="http://schemas.openxmlformats.org/officeDocument/2006/relationships" r:embed="rId2"/>
        <a:stretch>
          <a:fillRect/>
        </a:stretch>
      </xdr:blipFill>
      <xdr:spPr>
        <a:xfrm>
          <a:off x="22488525" y="3190875"/>
          <a:ext cx="351692" cy="333375"/>
        </a:xfrm>
        <a:prstGeom prst="rect">
          <a:avLst/>
        </a:prstGeom>
      </xdr:spPr>
    </xdr:pic>
    <xdr:clientData/>
  </xdr:twoCellAnchor>
  <xdr:twoCellAnchor editAs="oneCell">
    <xdr:from>
      <xdr:col>9</xdr:col>
      <xdr:colOff>3486150</xdr:colOff>
      <xdr:row>11</xdr:row>
      <xdr:rowOff>47625</xdr:rowOff>
    </xdr:from>
    <xdr:to>
      <xdr:col>9</xdr:col>
      <xdr:colOff>3800474</xdr:colOff>
      <xdr:row>11</xdr:row>
      <xdr:rowOff>337266</xdr:rowOff>
    </xdr:to>
    <xdr:pic>
      <xdr:nvPicPr>
        <xdr:cNvPr id="35" name="Image 34">
          <a:extLst>
            <a:ext uri="{FF2B5EF4-FFF2-40B4-BE49-F238E27FC236}">
              <a16:creationId xmlns:a16="http://schemas.microsoft.com/office/drawing/2014/main" id="{9422438E-3FE7-49BE-8D7A-0C731F962DC3}"/>
            </a:ext>
          </a:extLst>
        </xdr:cNvPr>
        <xdr:cNvPicPr>
          <a:picLocks noChangeAspect="1"/>
        </xdr:cNvPicPr>
      </xdr:nvPicPr>
      <xdr:blipFill>
        <a:blip xmlns:r="http://schemas.openxmlformats.org/officeDocument/2006/relationships" r:embed="rId3"/>
        <a:stretch>
          <a:fillRect/>
        </a:stretch>
      </xdr:blipFill>
      <xdr:spPr>
        <a:xfrm>
          <a:off x="28108275" y="3200400"/>
          <a:ext cx="314324" cy="28964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14</xdr:col>
      <xdr:colOff>323850</xdr:colOff>
      <xdr:row>145</xdr:row>
      <xdr:rowOff>0</xdr:rowOff>
    </xdr:from>
    <xdr:to>
      <xdr:col>14</xdr:col>
      <xdr:colOff>323850</xdr:colOff>
      <xdr:row>145</xdr:row>
      <xdr:rowOff>0</xdr:rowOff>
    </xdr:to>
    <xdr:sp macro="" textlink="">
      <xdr:nvSpPr>
        <xdr:cNvPr id="2" name="Line 7">
          <a:extLst>
            <a:ext uri="{FF2B5EF4-FFF2-40B4-BE49-F238E27FC236}">
              <a16:creationId xmlns:a16="http://schemas.microsoft.com/office/drawing/2014/main" id="{62389B1A-F530-4579-8AC0-1E97D70378B3}"/>
            </a:ext>
          </a:extLst>
        </xdr:cNvPr>
        <xdr:cNvSpPr>
          <a:spLocks noChangeShapeType="1"/>
        </xdr:cNvSpPr>
      </xdr:nvSpPr>
      <xdr:spPr bwMode="auto">
        <a:xfrm>
          <a:off x="27546300" y="54206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323850</xdr:colOff>
      <xdr:row>121</xdr:row>
      <xdr:rowOff>0</xdr:rowOff>
    </xdr:from>
    <xdr:to>
      <xdr:col>14</xdr:col>
      <xdr:colOff>323850</xdr:colOff>
      <xdr:row>121</xdr:row>
      <xdr:rowOff>0</xdr:rowOff>
    </xdr:to>
    <xdr:sp macro="" textlink="">
      <xdr:nvSpPr>
        <xdr:cNvPr id="3" name="Line 7">
          <a:extLst>
            <a:ext uri="{FF2B5EF4-FFF2-40B4-BE49-F238E27FC236}">
              <a16:creationId xmlns:a16="http://schemas.microsoft.com/office/drawing/2014/main" id="{B127E5F5-F2A2-4270-90A0-8B8E9B612E27}"/>
            </a:ext>
          </a:extLst>
        </xdr:cNvPr>
        <xdr:cNvSpPr>
          <a:spLocks noChangeShapeType="1"/>
        </xdr:cNvSpPr>
      </xdr:nvSpPr>
      <xdr:spPr bwMode="auto">
        <a:xfrm>
          <a:off x="27546300" y="45062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323850</xdr:colOff>
      <xdr:row>183</xdr:row>
      <xdr:rowOff>0</xdr:rowOff>
    </xdr:from>
    <xdr:to>
      <xdr:col>14</xdr:col>
      <xdr:colOff>323850</xdr:colOff>
      <xdr:row>183</xdr:row>
      <xdr:rowOff>0</xdr:rowOff>
    </xdr:to>
    <xdr:sp macro="" textlink="">
      <xdr:nvSpPr>
        <xdr:cNvPr id="4" name="Line 7">
          <a:extLst>
            <a:ext uri="{FF2B5EF4-FFF2-40B4-BE49-F238E27FC236}">
              <a16:creationId xmlns:a16="http://schemas.microsoft.com/office/drawing/2014/main" id="{538690F2-8D2B-4EF1-ACC3-7E9BA3F625AB}"/>
            </a:ext>
          </a:extLst>
        </xdr:cNvPr>
        <xdr:cNvSpPr>
          <a:spLocks noChangeShapeType="1"/>
        </xdr:cNvSpPr>
      </xdr:nvSpPr>
      <xdr:spPr bwMode="auto">
        <a:xfrm>
          <a:off x="27546300" y="68684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323850</xdr:colOff>
      <xdr:row>142</xdr:row>
      <xdr:rowOff>0</xdr:rowOff>
    </xdr:from>
    <xdr:to>
      <xdr:col>14</xdr:col>
      <xdr:colOff>323850</xdr:colOff>
      <xdr:row>142</xdr:row>
      <xdr:rowOff>0</xdr:rowOff>
    </xdr:to>
    <xdr:sp macro="" textlink="">
      <xdr:nvSpPr>
        <xdr:cNvPr id="5" name="Line 7">
          <a:extLst>
            <a:ext uri="{FF2B5EF4-FFF2-40B4-BE49-F238E27FC236}">
              <a16:creationId xmlns:a16="http://schemas.microsoft.com/office/drawing/2014/main" id="{CDC94307-9200-4C1D-87BA-2F620FDEB149}"/>
            </a:ext>
          </a:extLst>
        </xdr:cNvPr>
        <xdr:cNvSpPr>
          <a:spLocks noChangeShapeType="1"/>
        </xdr:cNvSpPr>
      </xdr:nvSpPr>
      <xdr:spPr bwMode="auto">
        <a:xfrm>
          <a:off x="27546300" y="53063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323850</xdr:colOff>
      <xdr:row>111</xdr:row>
      <xdr:rowOff>0</xdr:rowOff>
    </xdr:from>
    <xdr:to>
      <xdr:col>14</xdr:col>
      <xdr:colOff>323850</xdr:colOff>
      <xdr:row>111</xdr:row>
      <xdr:rowOff>0</xdr:rowOff>
    </xdr:to>
    <xdr:sp macro="" textlink="">
      <xdr:nvSpPr>
        <xdr:cNvPr id="6" name="Line 7">
          <a:extLst>
            <a:ext uri="{FF2B5EF4-FFF2-40B4-BE49-F238E27FC236}">
              <a16:creationId xmlns:a16="http://schemas.microsoft.com/office/drawing/2014/main" id="{659A8802-61C9-4628-A363-DC2C2B090C9E}"/>
            </a:ext>
          </a:extLst>
        </xdr:cNvPr>
        <xdr:cNvSpPr>
          <a:spLocks noChangeShapeType="1"/>
        </xdr:cNvSpPr>
      </xdr:nvSpPr>
      <xdr:spPr bwMode="auto">
        <a:xfrm>
          <a:off x="27546300" y="41252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323850</xdr:colOff>
      <xdr:row>144</xdr:row>
      <xdr:rowOff>0</xdr:rowOff>
    </xdr:from>
    <xdr:to>
      <xdr:col>14</xdr:col>
      <xdr:colOff>323850</xdr:colOff>
      <xdr:row>144</xdr:row>
      <xdr:rowOff>0</xdr:rowOff>
    </xdr:to>
    <xdr:sp macro="" textlink="">
      <xdr:nvSpPr>
        <xdr:cNvPr id="7" name="Line 7">
          <a:extLst>
            <a:ext uri="{FF2B5EF4-FFF2-40B4-BE49-F238E27FC236}">
              <a16:creationId xmlns:a16="http://schemas.microsoft.com/office/drawing/2014/main" id="{44DF4B94-CCEB-4C4D-9FA1-2C02D091DC2B}"/>
            </a:ext>
          </a:extLst>
        </xdr:cNvPr>
        <xdr:cNvSpPr>
          <a:spLocks noChangeShapeType="1"/>
        </xdr:cNvSpPr>
      </xdr:nvSpPr>
      <xdr:spPr bwMode="auto">
        <a:xfrm>
          <a:off x="27546300" y="53825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323850</xdr:colOff>
      <xdr:row>120</xdr:row>
      <xdr:rowOff>0</xdr:rowOff>
    </xdr:from>
    <xdr:to>
      <xdr:col>14</xdr:col>
      <xdr:colOff>323850</xdr:colOff>
      <xdr:row>120</xdr:row>
      <xdr:rowOff>0</xdr:rowOff>
    </xdr:to>
    <xdr:sp macro="" textlink="">
      <xdr:nvSpPr>
        <xdr:cNvPr id="8" name="Line 7">
          <a:extLst>
            <a:ext uri="{FF2B5EF4-FFF2-40B4-BE49-F238E27FC236}">
              <a16:creationId xmlns:a16="http://schemas.microsoft.com/office/drawing/2014/main" id="{8906C386-ED5F-411F-BF51-2E2CED2F17E5}"/>
            </a:ext>
          </a:extLst>
        </xdr:cNvPr>
        <xdr:cNvSpPr>
          <a:spLocks noChangeShapeType="1"/>
        </xdr:cNvSpPr>
      </xdr:nvSpPr>
      <xdr:spPr bwMode="auto">
        <a:xfrm>
          <a:off x="27546300" y="44681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323850</xdr:colOff>
      <xdr:row>182</xdr:row>
      <xdr:rowOff>0</xdr:rowOff>
    </xdr:from>
    <xdr:to>
      <xdr:col>14</xdr:col>
      <xdr:colOff>323850</xdr:colOff>
      <xdr:row>182</xdr:row>
      <xdr:rowOff>0</xdr:rowOff>
    </xdr:to>
    <xdr:sp macro="" textlink="">
      <xdr:nvSpPr>
        <xdr:cNvPr id="9" name="Line 7">
          <a:extLst>
            <a:ext uri="{FF2B5EF4-FFF2-40B4-BE49-F238E27FC236}">
              <a16:creationId xmlns:a16="http://schemas.microsoft.com/office/drawing/2014/main" id="{610F6B65-71B7-4A08-BF47-0E6D49502107}"/>
            </a:ext>
          </a:extLst>
        </xdr:cNvPr>
        <xdr:cNvSpPr>
          <a:spLocks noChangeShapeType="1"/>
        </xdr:cNvSpPr>
      </xdr:nvSpPr>
      <xdr:spPr bwMode="auto">
        <a:xfrm>
          <a:off x="27546300" y="68303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323850</xdr:colOff>
      <xdr:row>141</xdr:row>
      <xdr:rowOff>0</xdr:rowOff>
    </xdr:from>
    <xdr:to>
      <xdr:col>14</xdr:col>
      <xdr:colOff>323850</xdr:colOff>
      <xdr:row>141</xdr:row>
      <xdr:rowOff>0</xdr:rowOff>
    </xdr:to>
    <xdr:sp macro="" textlink="">
      <xdr:nvSpPr>
        <xdr:cNvPr id="10" name="Line 7">
          <a:extLst>
            <a:ext uri="{FF2B5EF4-FFF2-40B4-BE49-F238E27FC236}">
              <a16:creationId xmlns:a16="http://schemas.microsoft.com/office/drawing/2014/main" id="{BC85B8C7-FB7D-4598-A5B9-5EB51DCF5467}"/>
            </a:ext>
          </a:extLst>
        </xdr:cNvPr>
        <xdr:cNvSpPr>
          <a:spLocks noChangeShapeType="1"/>
        </xdr:cNvSpPr>
      </xdr:nvSpPr>
      <xdr:spPr bwMode="auto">
        <a:xfrm>
          <a:off x="27546300" y="52682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323850</xdr:colOff>
      <xdr:row>111</xdr:row>
      <xdr:rowOff>0</xdr:rowOff>
    </xdr:from>
    <xdr:to>
      <xdr:col>14</xdr:col>
      <xdr:colOff>323850</xdr:colOff>
      <xdr:row>111</xdr:row>
      <xdr:rowOff>0</xdr:rowOff>
    </xdr:to>
    <xdr:sp macro="" textlink="">
      <xdr:nvSpPr>
        <xdr:cNvPr id="11" name="Line 7">
          <a:extLst>
            <a:ext uri="{FF2B5EF4-FFF2-40B4-BE49-F238E27FC236}">
              <a16:creationId xmlns:a16="http://schemas.microsoft.com/office/drawing/2014/main" id="{E74E47B2-E241-4476-97F0-B572A7AC6E83}"/>
            </a:ext>
          </a:extLst>
        </xdr:cNvPr>
        <xdr:cNvSpPr>
          <a:spLocks noChangeShapeType="1"/>
        </xdr:cNvSpPr>
      </xdr:nvSpPr>
      <xdr:spPr bwMode="auto">
        <a:xfrm>
          <a:off x="27546300" y="41252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4</xdr:col>
      <xdr:colOff>1533525</xdr:colOff>
      <xdr:row>6</xdr:row>
      <xdr:rowOff>57151</xdr:rowOff>
    </xdr:from>
    <xdr:to>
      <xdr:col>4</xdr:col>
      <xdr:colOff>2085976</xdr:colOff>
      <xdr:row>6</xdr:row>
      <xdr:rowOff>361951</xdr:rowOff>
    </xdr:to>
    <xdr:pic>
      <xdr:nvPicPr>
        <xdr:cNvPr id="12" name="Image 11">
          <a:extLst>
            <a:ext uri="{FF2B5EF4-FFF2-40B4-BE49-F238E27FC236}">
              <a16:creationId xmlns:a16="http://schemas.microsoft.com/office/drawing/2014/main" id="{AF625B23-5550-422F-B1D2-B168A4AC46CC}"/>
            </a:ext>
          </a:extLst>
        </xdr:cNvPr>
        <xdr:cNvPicPr>
          <a:picLocks noChangeAspect="1"/>
        </xdr:cNvPicPr>
      </xdr:nvPicPr>
      <xdr:blipFill>
        <a:blip xmlns:r="http://schemas.openxmlformats.org/officeDocument/2006/relationships" r:embed="rId1"/>
        <a:stretch>
          <a:fillRect/>
        </a:stretch>
      </xdr:blipFill>
      <xdr:spPr>
        <a:xfrm>
          <a:off x="8924925" y="1304926"/>
          <a:ext cx="552451" cy="304800"/>
        </a:xfrm>
        <a:prstGeom prst="rect">
          <a:avLst/>
        </a:prstGeom>
      </xdr:spPr>
    </xdr:pic>
    <xdr:clientData/>
  </xdr:twoCellAnchor>
  <xdr:twoCellAnchor editAs="oneCell">
    <xdr:from>
      <xdr:col>6</xdr:col>
      <xdr:colOff>1000125</xdr:colOff>
      <xdr:row>6</xdr:row>
      <xdr:rowOff>95250</xdr:rowOff>
    </xdr:from>
    <xdr:to>
      <xdr:col>6</xdr:col>
      <xdr:colOff>1419225</xdr:colOff>
      <xdr:row>7</xdr:row>
      <xdr:rowOff>4396</xdr:rowOff>
    </xdr:to>
    <xdr:pic>
      <xdr:nvPicPr>
        <xdr:cNvPr id="13" name="Image 12">
          <a:extLst>
            <a:ext uri="{FF2B5EF4-FFF2-40B4-BE49-F238E27FC236}">
              <a16:creationId xmlns:a16="http://schemas.microsoft.com/office/drawing/2014/main" id="{E2244EE9-0842-4D25-B5D0-4DD7E745B850}"/>
            </a:ext>
          </a:extLst>
        </xdr:cNvPr>
        <xdr:cNvPicPr>
          <a:picLocks noChangeAspect="1"/>
        </xdr:cNvPicPr>
      </xdr:nvPicPr>
      <xdr:blipFill>
        <a:blip xmlns:r="http://schemas.openxmlformats.org/officeDocument/2006/relationships" r:embed="rId2"/>
        <a:stretch>
          <a:fillRect/>
        </a:stretch>
      </xdr:blipFill>
      <xdr:spPr>
        <a:xfrm>
          <a:off x="14077950" y="1343025"/>
          <a:ext cx="419100" cy="290146"/>
        </a:xfrm>
        <a:prstGeom prst="rect">
          <a:avLst/>
        </a:prstGeom>
      </xdr:spPr>
    </xdr:pic>
    <xdr:clientData/>
  </xdr:twoCellAnchor>
  <xdr:twoCellAnchor editAs="oneCell">
    <xdr:from>
      <xdr:col>2</xdr:col>
      <xdr:colOff>971550</xdr:colOff>
      <xdr:row>6</xdr:row>
      <xdr:rowOff>47625</xdr:rowOff>
    </xdr:from>
    <xdr:to>
      <xdr:col>2</xdr:col>
      <xdr:colOff>1433513</xdr:colOff>
      <xdr:row>6</xdr:row>
      <xdr:rowOff>371475</xdr:rowOff>
    </xdr:to>
    <xdr:pic>
      <xdr:nvPicPr>
        <xdr:cNvPr id="14" name="Image 13">
          <a:extLst>
            <a:ext uri="{FF2B5EF4-FFF2-40B4-BE49-F238E27FC236}">
              <a16:creationId xmlns:a16="http://schemas.microsoft.com/office/drawing/2014/main" id="{FAFAA5E0-1957-4218-8D78-9892E928BBE8}"/>
            </a:ext>
          </a:extLst>
        </xdr:cNvPr>
        <xdr:cNvPicPr>
          <a:picLocks noChangeAspect="1"/>
        </xdr:cNvPicPr>
      </xdr:nvPicPr>
      <xdr:blipFill>
        <a:blip xmlns:r="http://schemas.openxmlformats.org/officeDocument/2006/relationships" r:embed="rId3"/>
        <a:stretch>
          <a:fillRect/>
        </a:stretch>
      </xdr:blipFill>
      <xdr:spPr>
        <a:xfrm>
          <a:off x="2447925" y="1295400"/>
          <a:ext cx="461963" cy="323850"/>
        </a:xfrm>
        <a:prstGeom prst="rect">
          <a:avLst/>
        </a:prstGeom>
      </xdr:spPr>
    </xdr:pic>
    <xdr:clientData/>
  </xdr:twoCellAnchor>
  <xdr:twoCellAnchor editAs="oneCell">
    <xdr:from>
      <xdr:col>16</xdr:col>
      <xdr:colOff>1676400</xdr:colOff>
      <xdr:row>5</xdr:row>
      <xdr:rowOff>238125</xdr:rowOff>
    </xdr:from>
    <xdr:to>
      <xdr:col>17</xdr:col>
      <xdr:colOff>180976</xdr:colOff>
      <xdr:row>6</xdr:row>
      <xdr:rowOff>276225</xdr:rowOff>
    </xdr:to>
    <xdr:pic>
      <xdr:nvPicPr>
        <xdr:cNvPr id="15" name="Image 14">
          <a:extLst>
            <a:ext uri="{FF2B5EF4-FFF2-40B4-BE49-F238E27FC236}">
              <a16:creationId xmlns:a16="http://schemas.microsoft.com/office/drawing/2014/main" id="{EC273681-2570-41F6-B02F-7E1B4B71D00E}"/>
            </a:ext>
          </a:extLst>
        </xdr:cNvPr>
        <xdr:cNvPicPr>
          <a:picLocks noChangeAspect="1"/>
        </xdr:cNvPicPr>
      </xdr:nvPicPr>
      <xdr:blipFill>
        <a:blip xmlns:r="http://schemas.openxmlformats.org/officeDocument/2006/relationships" r:embed="rId1"/>
        <a:stretch>
          <a:fillRect/>
        </a:stretch>
      </xdr:blipFill>
      <xdr:spPr>
        <a:xfrm>
          <a:off x="33661350" y="1219200"/>
          <a:ext cx="552451" cy="304800"/>
        </a:xfrm>
        <a:prstGeom prst="rect">
          <a:avLst/>
        </a:prstGeom>
      </xdr:spPr>
    </xdr:pic>
    <xdr:clientData/>
  </xdr:twoCellAnchor>
  <xdr:twoCellAnchor editAs="oneCell">
    <xdr:from>
      <xdr:col>15</xdr:col>
      <xdr:colOff>647700</xdr:colOff>
      <xdr:row>6</xdr:row>
      <xdr:rowOff>66675</xdr:rowOff>
    </xdr:from>
    <xdr:to>
      <xdr:col>15</xdr:col>
      <xdr:colOff>1109663</xdr:colOff>
      <xdr:row>7</xdr:row>
      <xdr:rowOff>9525</xdr:rowOff>
    </xdr:to>
    <xdr:pic>
      <xdr:nvPicPr>
        <xdr:cNvPr id="16" name="Image 15">
          <a:extLst>
            <a:ext uri="{FF2B5EF4-FFF2-40B4-BE49-F238E27FC236}">
              <a16:creationId xmlns:a16="http://schemas.microsoft.com/office/drawing/2014/main" id="{16DE910B-9C73-497E-A3E1-8CC2844BACC2}"/>
            </a:ext>
          </a:extLst>
        </xdr:cNvPr>
        <xdr:cNvPicPr>
          <a:picLocks noChangeAspect="1"/>
        </xdr:cNvPicPr>
      </xdr:nvPicPr>
      <xdr:blipFill>
        <a:blip xmlns:r="http://schemas.openxmlformats.org/officeDocument/2006/relationships" r:embed="rId3"/>
        <a:stretch>
          <a:fillRect/>
        </a:stretch>
      </xdr:blipFill>
      <xdr:spPr>
        <a:xfrm>
          <a:off x="29918025" y="1314450"/>
          <a:ext cx="461963" cy="323850"/>
        </a:xfrm>
        <a:prstGeom prst="rect">
          <a:avLst/>
        </a:prstGeom>
      </xdr:spPr>
    </xdr:pic>
    <xdr:clientData/>
  </xdr:twoCellAnchor>
  <xdr:twoCellAnchor editAs="oneCell">
    <xdr:from>
      <xdr:col>18</xdr:col>
      <xdr:colOff>1038225</xdr:colOff>
      <xdr:row>6</xdr:row>
      <xdr:rowOff>19050</xdr:rowOff>
    </xdr:from>
    <xdr:to>
      <xdr:col>18</xdr:col>
      <xdr:colOff>1457325</xdr:colOff>
      <xdr:row>6</xdr:row>
      <xdr:rowOff>309196</xdr:rowOff>
    </xdr:to>
    <xdr:pic>
      <xdr:nvPicPr>
        <xdr:cNvPr id="17" name="Image 16">
          <a:extLst>
            <a:ext uri="{FF2B5EF4-FFF2-40B4-BE49-F238E27FC236}">
              <a16:creationId xmlns:a16="http://schemas.microsoft.com/office/drawing/2014/main" id="{7F640517-CA65-44A3-B81D-7FF57AD5AAA0}"/>
            </a:ext>
          </a:extLst>
        </xdr:cNvPr>
        <xdr:cNvPicPr>
          <a:picLocks noChangeAspect="1"/>
        </xdr:cNvPicPr>
      </xdr:nvPicPr>
      <xdr:blipFill>
        <a:blip xmlns:r="http://schemas.openxmlformats.org/officeDocument/2006/relationships" r:embed="rId2"/>
        <a:stretch>
          <a:fillRect/>
        </a:stretch>
      </xdr:blipFill>
      <xdr:spPr>
        <a:xfrm>
          <a:off x="37785675" y="1266825"/>
          <a:ext cx="419100" cy="29014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oneCellAnchor>
    <xdr:from>
      <xdr:col>13</xdr:col>
      <xdr:colOff>66675</xdr:colOff>
      <xdr:row>145</xdr:row>
      <xdr:rowOff>47625</xdr:rowOff>
    </xdr:from>
    <xdr:ext cx="3362325" cy="1562100"/>
    <xdr:pic>
      <xdr:nvPicPr>
        <xdr:cNvPr id="2" name="Image 1" descr="Résultats de pourcentage dans la colonne D">
          <a:extLst>
            <a:ext uri="{FF2B5EF4-FFF2-40B4-BE49-F238E27FC236}">
              <a16:creationId xmlns:a16="http://schemas.microsoft.com/office/drawing/2014/main" id="{5F8C40D4-96E7-4F05-A9D6-43239A6C7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1400" y="32718375"/>
          <a:ext cx="3362325" cy="15621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83</xdr:row>
      <xdr:rowOff>123825</xdr:rowOff>
    </xdr:from>
    <xdr:ext cx="8316486" cy="1876687"/>
    <xdr:pic>
      <xdr:nvPicPr>
        <xdr:cNvPr id="3" name="Image 2">
          <a:extLst>
            <a:ext uri="{FF2B5EF4-FFF2-40B4-BE49-F238E27FC236}">
              <a16:creationId xmlns:a16="http://schemas.microsoft.com/office/drawing/2014/main" id="{C1C82073-849C-4E71-8C38-8B2048ECEDB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57200" y="18859500"/>
          <a:ext cx="8316486" cy="187668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25</xdr:col>
      <xdr:colOff>331918</xdr:colOff>
      <xdr:row>75</xdr:row>
      <xdr:rowOff>482600</xdr:rowOff>
    </xdr:from>
    <xdr:to>
      <xdr:col>28</xdr:col>
      <xdr:colOff>219231</xdr:colOff>
      <xdr:row>79</xdr:row>
      <xdr:rowOff>251085</xdr:rowOff>
    </xdr:to>
    <xdr:pic>
      <xdr:nvPicPr>
        <xdr:cNvPr id="3" name="Picture 1">
          <a:extLst>
            <a:ext uri="{FF2B5EF4-FFF2-40B4-BE49-F238E27FC236}">
              <a16:creationId xmlns:a16="http://schemas.microsoft.com/office/drawing/2014/main" id="{22C7C20C-3FBB-4113-B5DB-D212981F0B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474118" y="34188400"/>
          <a:ext cx="2173313" cy="1800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oneCellAnchor>
    <xdr:from>
      <xdr:col>9</xdr:col>
      <xdr:colOff>304800</xdr:colOff>
      <xdr:row>59</xdr:row>
      <xdr:rowOff>66675</xdr:rowOff>
    </xdr:from>
    <xdr:ext cx="2448267" cy="2676899"/>
    <xdr:pic>
      <xdr:nvPicPr>
        <xdr:cNvPr id="2" name="Image 1">
          <a:extLst>
            <a:ext uri="{FF2B5EF4-FFF2-40B4-BE49-F238E27FC236}">
              <a16:creationId xmlns:a16="http://schemas.microsoft.com/office/drawing/2014/main" id="{9537AE7B-CCF4-4378-91FB-F0567C4C4D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81950" y="16087725"/>
          <a:ext cx="2448267" cy="2676899"/>
        </a:xfrm>
        <a:prstGeom prst="rect">
          <a:avLst/>
        </a:prstGeom>
      </xdr:spPr>
    </xdr:pic>
    <xdr:clientData/>
  </xdr:oneCellAnchor>
  <xdr:oneCellAnchor>
    <xdr:from>
      <xdr:col>12</xdr:col>
      <xdr:colOff>276225</xdr:colOff>
      <xdr:row>60</xdr:row>
      <xdr:rowOff>104775</xdr:rowOff>
    </xdr:from>
    <xdr:ext cx="2600688" cy="1686160"/>
    <xdr:pic>
      <xdr:nvPicPr>
        <xdr:cNvPr id="3" name="Image 2">
          <a:extLst>
            <a:ext uri="{FF2B5EF4-FFF2-40B4-BE49-F238E27FC236}">
              <a16:creationId xmlns:a16="http://schemas.microsoft.com/office/drawing/2014/main" id="{E88D9796-EBC4-4D02-B4AD-86824066C26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239375" y="16392525"/>
          <a:ext cx="2600688" cy="1686160"/>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5</xdr:col>
      <xdr:colOff>476250</xdr:colOff>
      <xdr:row>82</xdr:row>
      <xdr:rowOff>28575</xdr:rowOff>
    </xdr:from>
    <xdr:ext cx="2791215" cy="3553321"/>
    <xdr:pic>
      <xdr:nvPicPr>
        <xdr:cNvPr id="2" name="Image 1">
          <a:extLst>
            <a:ext uri="{FF2B5EF4-FFF2-40B4-BE49-F238E27FC236}">
              <a16:creationId xmlns:a16="http://schemas.microsoft.com/office/drawing/2014/main" id="{95BE190C-7F3C-4A41-8D92-CFDD320C604F}"/>
            </a:ext>
          </a:extLst>
        </xdr:cNvPr>
        <xdr:cNvPicPr>
          <a:picLocks noChangeAspect="1"/>
        </xdr:cNvPicPr>
      </xdr:nvPicPr>
      <xdr:blipFill>
        <a:blip xmlns:r="http://schemas.openxmlformats.org/officeDocument/2006/relationships" r:embed="rId1"/>
        <a:stretch>
          <a:fillRect/>
        </a:stretch>
      </xdr:blipFill>
      <xdr:spPr>
        <a:xfrm>
          <a:off x="8639175" y="16659225"/>
          <a:ext cx="2791215" cy="3553321"/>
        </a:xfrm>
        <a:prstGeom prst="rect">
          <a:avLst/>
        </a:prstGeom>
      </xdr:spPr>
    </xdr:pic>
    <xdr:clientData/>
  </xdr:oneCellAnchor>
  <xdr:oneCellAnchor>
    <xdr:from>
      <xdr:col>6</xdr:col>
      <xdr:colOff>2990850</xdr:colOff>
      <xdr:row>82</xdr:row>
      <xdr:rowOff>142875</xdr:rowOff>
    </xdr:from>
    <xdr:ext cx="2543530" cy="3057952"/>
    <xdr:pic>
      <xdr:nvPicPr>
        <xdr:cNvPr id="3" name="Image 2">
          <a:extLst>
            <a:ext uri="{FF2B5EF4-FFF2-40B4-BE49-F238E27FC236}">
              <a16:creationId xmlns:a16="http://schemas.microsoft.com/office/drawing/2014/main" id="{2DC41DDB-E9EB-476A-A052-179AD5EEACE3}"/>
            </a:ext>
          </a:extLst>
        </xdr:cNvPr>
        <xdr:cNvPicPr>
          <a:picLocks noChangeAspect="1"/>
        </xdr:cNvPicPr>
      </xdr:nvPicPr>
      <xdr:blipFill>
        <a:blip xmlns:r="http://schemas.openxmlformats.org/officeDocument/2006/relationships" r:embed="rId2"/>
        <a:stretch>
          <a:fillRect/>
        </a:stretch>
      </xdr:blipFill>
      <xdr:spPr>
        <a:xfrm>
          <a:off x="13687425" y="16773525"/>
          <a:ext cx="2543530" cy="3057952"/>
        </a:xfrm>
        <a:prstGeom prst="rect">
          <a:avLst/>
        </a:prstGeom>
      </xdr:spPr>
    </xdr:pic>
    <xdr:clientData/>
  </xdr:oneCellAnchor>
  <xdr:oneCellAnchor>
    <xdr:from>
      <xdr:col>5</xdr:col>
      <xdr:colOff>371475</xdr:colOff>
      <xdr:row>101</xdr:row>
      <xdr:rowOff>171450</xdr:rowOff>
    </xdr:from>
    <xdr:ext cx="2619741" cy="3458058"/>
    <xdr:pic>
      <xdr:nvPicPr>
        <xdr:cNvPr id="4" name="Image 3">
          <a:extLst>
            <a:ext uri="{FF2B5EF4-FFF2-40B4-BE49-F238E27FC236}">
              <a16:creationId xmlns:a16="http://schemas.microsoft.com/office/drawing/2014/main" id="{9833AD76-7EF3-4A11-8417-E9571037EBA9}"/>
            </a:ext>
          </a:extLst>
        </xdr:cNvPr>
        <xdr:cNvPicPr>
          <a:picLocks noChangeAspect="1"/>
        </xdr:cNvPicPr>
      </xdr:nvPicPr>
      <xdr:blipFill>
        <a:blip xmlns:r="http://schemas.openxmlformats.org/officeDocument/2006/relationships" r:embed="rId3"/>
        <a:stretch>
          <a:fillRect/>
        </a:stretch>
      </xdr:blipFill>
      <xdr:spPr>
        <a:xfrm>
          <a:off x="8534400" y="20564475"/>
          <a:ext cx="2619741" cy="3458058"/>
        </a:xfrm>
        <a:prstGeom prst="rect">
          <a:avLst/>
        </a:prstGeom>
      </xdr:spPr>
    </xdr:pic>
    <xdr:clientData/>
  </xdr:oneCellAnchor>
  <xdr:oneCellAnchor>
    <xdr:from>
      <xdr:col>6</xdr:col>
      <xdr:colOff>2009775</xdr:colOff>
      <xdr:row>101</xdr:row>
      <xdr:rowOff>19050</xdr:rowOff>
    </xdr:from>
    <xdr:ext cx="3629532" cy="2953162"/>
    <xdr:pic>
      <xdr:nvPicPr>
        <xdr:cNvPr id="5" name="Image 4">
          <a:extLst>
            <a:ext uri="{FF2B5EF4-FFF2-40B4-BE49-F238E27FC236}">
              <a16:creationId xmlns:a16="http://schemas.microsoft.com/office/drawing/2014/main" id="{7AC1252C-824B-4670-85C2-B31FFB313704}"/>
            </a:ext>
          </a:extLst>
        </xdr:cNvPr>
        <xdr:cNvPicPr>
          <a:picLocks noChangeAspect="1"/>
        </xdr:cNvPicPr>
      </xdr:nvPicPr>
      <xdr:blipFill>
        <a:blip xmlns:r="http://schemas.openxmlformats.org/officeDocument/2006/relationships" r:embed="rId4"/>
        <a:stretch>
          <a:fillRect/>
        </a:stretch>
      </xdr:blipFill>
      <xdr:spPr>
        <a:xfrm>
          <a:off x="12706350" y="20412075"/>
          <a:ext cx="3629532" cy="2953162"/>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twoCellAnchor editAs="oneCell">
    <xdr:from>
      <xdr:col>19</xdr:col>
      <xdr:colOff>184151</xdr:colOff>
      <xdr:row>13</xdr:row>
      <xdr:rowOff>60325</xdr:rowOff>
    </xdr:from>
    <xdr:to>
      <xdr:col>19</xdr:col>
      <xdr:colOff>727152</xdr:colOff>
      <xdr:row>14</xdr:row>
      <xdr:rowOff>41356</xdr:rowOff>
    </xdr:to>
    <xdr:pic>
      <xdr:nvPicPr>
        <xdr:cNvPr id="2" name="Image 1">
          <a:extLst>
            <a:ext uri="{FF2B5EF4-FFF2-40B4-BE49-F238E27FC236}">
              <a16:creationId xmlns:a16="http://schemas.microsoft.com/office/drawing/2014/main" id="{B7007DC9-94C2-4891-AF5C-2372CFC1C0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852401" y="4365625"/>
          <a:ext cx="543001" cy="581106"/>
        </a:xfrm>
        <a:prstGeom prst="rect">
          <a:avLst/>
        </a:prstGeom>
      </xdr:spPr>
    </xdr:pic>
    <xdr:clientData/>
  </xdr:twoCellAnchor>
  <xdr:twoCellAnchor editAs="oneCell">
    <xdr:from>
      <xdr:col>21</xdr:col>
      <xdr:colOff>146050</xdr:colOff>
      <xdr:row>13</xdr:row>
      <xdr:rowOff>69851</xdr:rowOff>
    </xdr:from>
    <xdr:to>
      <xdr:col>21</xdr:col>
      <xdr:colOff>717630</xdr:colOff>
      <xdr:row>14</xdr:row>
      <xdr:rowOff>31829</xdr:rowOff>
    </xdr:to>
    <xdr:pic>
      <xdr:nvPicPr>
        <xdr:cNvPr id="3" name="Image 2">
          <a:extLst>
            <a:ext uri="{FF2B5EF4-FFF2-40B4-BE49-F238E27FC236}">
              <a16:creationId xmlns:a16="http://schemas.microsoft.com/office/drawing/2014/main" id="{0C00CC94-7230-4379-9B5E-CDEE915D0DA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138275" y="4375151"/>
          <a:ext cx="571580" cy="562053"/>
        </a:xfrm>
        <a:prstGeom prst="rect">
          <a:avLst/>
        </a:prstGeom>
      </xdr:spPr>
    </xdr:pic>
    <xdr:clientData/>
  </xdr:twoCellAnchor>
  <xdr:twoCellAnchor editAs="oneCell">
    <xdr:from>
      <xdr:col>22</xdr:col>
      <xdr:colOff>136526</xdr:colOff>
      <xdr:row>13</xdr:row>
      <xdr:rowOff>31751</xdr:rowOff>
    </xdr:from>
    <xdr:to>
      <xdr:col>22</xdr:col>
      <xdr:colOff>698579</xdr:colOff>
      <xdr:row>13</xdr:row>
      <xdr:rowOff>593804</xdr:rowOff>
    </xdr:to>
    <xdr:pic>
      <xdr:nvPicPr>
        <xdr:cNvPr id="4" name="Image 3">
          <a:extLst>
            <a:ext uri="{FF2B5EF4-FFF2-40B4-BE49-F238E27FC236}">
              <a16:creationId xmlns:a16="http://schemas.microsoft.com/office/drawing/2014/main" id="{4D56B208-B6F7-4384-B435-6B8C3FC79B5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4890751" y="4337051"/>
          <a:ext cx="562053" cy="562053"/>
        </a:xfrm>
        <a:prstGeom prst="rect">
          <a:avLst/>
        </a:prstGeom>
      </xdr:spPr>
    </xdr:pic>
    <xdr:clientData/>
  </xdr:twoCellAnchor>
  <xdr:twoCellAnchor editAs="oneCell">
    <xdr:from>
      <xdr:col>27</xdr:col>
      <xdr:colOff>114300</xdr:colOff>
      <xdr:row>25</xdr:row>
      <xdr:rowOff>104776</xdr:rowOff>
    </xdr:from>
    <xdr:to>
      <xdr:col>29</xdr:col>
      <xdr:colOff>314325</xdr:colOff>
      <xdr:row>26</xdr:row>
      <xdr:rowOff>196970</xdr:rowOff>
    </xdr:to>
    <xdr:pic>
      <xdr:nvPicPr>
        <xdr:cNvPr id="5" name="Image 4">
          <a:extLst>
            <a:ext uri="{FF2B5EF4-FFF2-40B4-BE49-F238E27FC236}">
              <a16:creationId xmlns:a16="http://schemas.microsoft.com/office/drawing/2014/main" id="{15877F53-AFA5-4C77-9B92-EF96114E0EA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8678525" y="11163301"/>
          <a:ext cx="1724025" cy="6827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171450</xdr:colOff>
      <xdr:row>24</xdr:row>
      <xdr:rowOff>19050</xdr:rowOff>
    </xdr:from>
    <xdr:to>
      <xdr:col>29</xdr:col>
      <xdr:colOff>209550</xdr:colOff>
      <xdr:row>25</xdr:row>
      <xdr:rowOff>47119</xdr:rowOff>
    </xdr:to>
    <xdr:pic>
      <xdr:nvPicPr>
        <xdr:cNvPr id="6" name="Image 5">
          <a:extLst>
            <a:ext uri="{FF2B5EF4-FFF2-40B4-BE49-F238E27FC236}">
              <a16:creationId xmlns:a16="http://schemas.microsoft.com/office/drawing/2014/main" id="{7A617A13-AD75-4C80-9429-029AAED13ABA}"/>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8735675" y="10487025"/>
          <a:ext cx="1562100" cy="6186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0</xdr:colOff>
      <xdr:row>13</xdr:row>
      <xdr:rowOff>0</xdr:rowOff>
    </xdr:from>
    <xdr:to>
      <xdr:col>26</xdr:col>
      <xdr:colOff>647700</xdr:colOff>
      <xdr:row>14</xdr:row>
      <xdr:rowOff>47625</xdr:rowOff>
    </xdr:to>
    <xdr:pic>
      <xdr:nvPicPr>
        <xdr:cNvPr id="7" name="Image 6" descr="Mango sur Google Android 12L">
          <a:extLst>
            <a:ext uri="{FF2B5EF4-FFF2-40B4-BE49-F238E27FC236}">
              <a16:creationId xmlns:a16="http://schemas.microsoft.com/office/drawing/2014/main" id="{FD807AE5-5A37-4AC1-8A1A-305B1D509B8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802225" y="4305300"/>
          <a:ext cx="64770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323850</xdr:colOff>
      <xdr:row>13</xdr:row>
      <xdr:rowOff>47625</xdr:rowOff>
    </xdr:from>
    <xdr:to>
      <xdr:col>25</xdr:col>
      <xdr:colOff>66745</xdr:colOff>
      <xdr:row>14</xdr:row>
      <xdr:rowOff>9603</xdr:rowOff>
    </xdr:to>
    <xdr:pic>
      <xdr:nvPicPr>
        <xdr:cNvPr id="8" name="Image 7">
          <a:extLst>
            <a:ext uri="{FF2B5EF4-FFF2-40B4-BE49-F238E27FC236}">
              <a16:creationId xmlns:a16="http://schemas.microsoft.com/office/drawing/2014/main" id="{7D58736C-096B-4DDB-983E-D2972ACA6EE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6602075" y="4352925"/>
          <a:ext cx="504895" cy="562053"/>
        </a:xfrm>
        <a:prstGeom prst="rect">
          <a:avLst/>
        </a:prstGeom>
      </xdr:spPr>
    </xdr:pic>
    <xdr:clientData/>
  </xdr:twoCellAnchor>
  <xdr:twoCellAnchor editAs="oneCell">
    <xdr:from>
      <xdr:col>18</xdr:col>
      <xdr:colOff>0</xdr:colOff>
      <xdr:row>13</xdr:row>
      <xdr:rowOff>0</xdr:rowOff>
    </xdr:from>
    <xdr:to>
      <xdr:col>18</xdr:col>
      <xdr:colOff>571580</xdr:colOff>
      <xdr:row>13</xdr:row>
      <xdr:rowOff>571580</xdr:rowOff>
    </xdr:to>
    <xdr:pic>
      <xdr:nvPicPr>
        <xdr:cNvPr id="9" name="Image 8">
          <a:extLst>
            <a:ext uri="{FF2B5EF4-FFF2-40B4-BE49-F238E27FC236}">
              <a16:creationId xmlns:a16="http://schemas.microsoft.com/office/drawing/2014/main" id="{97D31F45-8CE6-44B6-AD59-5EF7048E72B8}"/>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1458575" y="4305300"/>
          <a:ext cx="571580" cy="571580"/>
        </a:xfrm>
        <a:prstGeom prst="rect">
          <a:avLst/>
        </a:prstGeom>
      </xdr:spPr>
    </xdr:pic>
    <xdr:clientData/>
  </xdr:twoCellAnchor>
  <xdr:twoCellAnchor editAs="oneCell">
    <xdr:from>
      <xdr:col>17</xdr:col>
      <xdr:colOff>0</xdr:colOff>
      <xdr:row>13</xdr:row>
      <xdr:rowOff>0</xdr:rowOff>
    </xdr:from>
    <xdr:to>
      <xdr:col>17</xdr:col>
      <xdr:colOff>562053</xdr:colOff>
      <xdr:row>13</xdr:row>
      <xdr:rowOff>562053</xdr:rowOff>
    </xdr:to>
    <xdr:pic>
      <xdr:nvPicPr>
        <xdr:cNvPr id="10" name="Image 9">
          <a:extLst>
            <a:ext uri="{FF2B5EF4-FFF2-40B4-BE49-F238E27FC236}">
              <a16:creationId xmlns:a16="http://schemas.microsoft.com/office/drawing/2014/main" id="{45721E6C-F615-46C0-9865-F8FC43668913}"/>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0696575" y="4305300"/>
          <a:ext cx="562053" cy="562053"/>
        </a:xfrm>
        <a:prstGeom prst="rect">
          <a:avLst/>
        </a:prstGeom>
      </xdr:spPr>
    </xdr:pic>
    <xdr:clientData/>
  </xdr:twoCellAnchor>
  <xdr:twoCellAnchor editAs="oneCell">
    <xdr:from>
      <xdr:col>21</xdr:col>
      <xdr:colOff>0</xdr:colOff>
      <xdr:row>20</xdr:row>
      <xdr:rowOff>0</xdr:rowOff>
    </xdr:from>
    <xdr:to>
      <xdr:col>28</xdr:col>
      <xdr:colOff>261489</xdr:colOff>
      <xdr:row>21</xdr:row>
      <xdr:rowOff>320675</xdr:rowOff>
    </xdr:to>
    <xdr:pic>
      <xdr:nvPicPr>
        <xdr:cNvPr id="11" name="Image 10">
          <a:extLst>
            <a:ext uri="{FF2B5EF4-FFF2-40B4-BE49-F238E27FC236}">
              <a16:creationId xmlns:a16="http://schemas.microsoft.com/office/drawing/2014/main" id="{1F5E55E6-FA84-4F7E-9871-42EFD9640E7F}"/>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3992225" y="8105775"/>
          <a:ext cx="5595489" cy="91122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390525</xdr:colOff>
      <xdr:row>423</xdr:row>
      <xdr:rowOff>114300</xdr:rowOff>
    </xdr:from>
    <xdr:to>
      <xdr:col>4</xdr:col>
      <xdr:colOff>723900</xdr:colOff>
      <xdr:row>432</xdr:row>
      <xdr:rowOff>161925</xdr:rowOff>
    </xdr:to>
    <xdr:pic>
      <xdr:nvPicPr>
        <xdr:cNvPr id="2" name="Picture 3" descr="http://www.educastream.com/IMG/Image/volumes21a.pn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103670100"/>
          <a:ext cx="3476625" cy="192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238126</xdr:colOff>
      <xdr:row>851</xdr:row>
      <xdr:rowOff>95250</xdr:rowOff>
    </xdr:from>
    <xdr:to>
      <xdr:col>2</xdr:col>
      <xdr:colOff>171450</xdr:colOff>
      <xdr:row>859</xdr:row>
      <xdr:rowOff>34391</xdr:rowOff>
    </xdr:to>
    <xdr:pic>
      <xdr:nvPicPr>
        <xdr:cNvPr id="3" name="Imag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8126" y="192890775"/>
          <a:ext cx="1228724" cy="1920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295275</xdr:colOff>
      <xdr:row>864</xdr:row>
      <xdr:rowOff>66675</xdr:rowOff>
    </xdr:from>
    <xdr:to>
      <xdr:col>2</xdr:col>
      <xdr:colOff>666750</xdr:colOff>
      <xdr:row>867</xdr:row>
      <xdr:rowOff>0</xdr:rowOff>
    </xdr:to>
    <xdr:pic>
      <xdr:nvPicPr>
        <xdr:cNvPr id="4" name="Imag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90675" y="196081650"/>
          <a:ext cx="3714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871</xdr:row>
      <xdr:rowOff>28575</xdr:rowOff>
    </xdr:from>
    <xdr:to>
      <xdr:col>2</xdr:col>
      <xdr:colOff>409575</xdr:colOff>
      <xdr:row>873</xdr:row>
      <xdr:rowOff>209550</xdr:rowOff>
    </xdr:to>
    <xdr:pic>
      <xdr:nvPicPr>
        <xdr:cNvPr id="5" name="Imag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0" y="197777100"/>
          <a:ext cx="3714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878</xdr:row>
      <xdr:rowOff>19050</xdr:rowOff>
    </xdr:from>
    <xdr:to>
      <xdr:col>2</xdr:col>
      <xdr:colOff>409575</xdr:colOff>
      <xdr:row>880</xdr:row>
      <xdr:rowOff>200025</xdr:rowOff>
    </xdr:to>
    <xdr:pic>
      <xdr:nvPicPr>
        <xdr:cNvPr id="6" name="Image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199501125"/>
          <a:ext cx="3714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76200</xdr:colOff>
      <xdr:row>862</xdr:row>
      <xdr:rowOff>0</xdr:rowOff>
    </xdr:from>
    <xdr:to>
      <xdr:col>1</xdr:col>
      <xdr:colOff>676275</xdr:colOff>
      <xdr:row>865</xdr:row>
      <xdr:rowOff>38100</xdr:rowOff>
    </xdr:to>
    <xdr:pic>
      <xdr:nvPicPr>
        <xdr:cNvPr id="7" name="Image 8">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3850" y="195519675"/>
          <a:ext cx="60007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466725</xdr:colOff>
      <xdr:row>865</xdr:row>
      <xdr:rowOff>76200</xdr:rowOff>
    </xdr:from>
    <xdr:to>
      <xdr:col>3</xdr:col>
      <xdr:colOff>762000</xdr:colOff>
      <xdr:row>867</xdr:row>
      <xdr:rowOff>171450</xdr:rowOff>
    </xdr:to>
    <xdr:pic>
      <xdr:nvPicPr>
        <xdr:cNvPr id="8" name="Image 13">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809875" y="196338825"/>
          <a:ext cx="2952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390525</xdr:colOff>
      <xdr:row>871</xdr:row>
      <xdr:rowOff>228600</xdr:rowOff>
    </xdr:from>
    <xdr:to>
      <xdr:col>3</xdr:col>
      <xdr:colOff>676275</xdr:colOff>
      <xdr:row>874</xdr:row>
      <xdr:rowOff>85725</xdr:rowOff>
    </xdr:to>
    <xdr:pic>
      <xdr:nvPicPr>
        <xdr:cNvPr id="9" name="Image 1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733675" y="197977125"/>
          <a:ext cx="285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878</xdr:row>
      <xdr:rowOff>28575</xdr:rowOff>
    </xdr:from>
    <xdr:to>
      <xdr:col>2</xdr:col>
      <xdr:colOff>409575</xdr:colOff>
      <xdr:row>880</xdr:row>
      <xdr:rowOff>209550</xdr:rowOff>
    </xdr:to>
    <xdr:pic>
      <xdr:nvPicPr>
        <xdr:cNvPr id="10" name="Image 1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0" y="199510650"/>
          <a:ext cx="3714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428625</xdr:colOff>
      <xdr:row>878</xdr:row>
      <xdr:rowOff>238125</xdr:rowOff>
    </xdr:from>
    <xdr:to>
      <xdr:col>3</xdr:col>
      <xdr:colOff>714375</xdr:colOff>
      <xdr:row>881</xdr:row>
      <xdr:rowOff>104775</xdr:rowOff>
    </xdr:to>
    <xdr:pic>
      <xdr:nvPicPr>
        <xdr:cNvPr id="11" name="Image 22">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771775" y="199720200"/>
          <a:ext cx="2857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886</xdr:row>
      <xdr:rowOff>19050</xdr:rowOff>
    </xdr:from>
    <xdr:to>
      <xdr:col>2</xdr:col>
      <xdr:colOff>409575</xdr:colOff>
      <xdr:row>888</xdr:row>
      <xdr:rowOff>200025</xdr:rowOff>
    </xdr:to>
    <xdr:pic>
      <xdr:nvPicPr>
        <xdr:cNvPr id="12" name="Image 30">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482325"/>
          <a:ext cx="3714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886</xdr:row>
      <xdr:rowOff>28575</xdr:rowOff>
    </xdr:from>
    <xdr:to>
      <xdr:col>2</xdr:col>
      <xdr:colOff>409575</xdr:colOff>
      <xdr:row>888</xdr:row>
      <xdr:rowOff>209550</xdr:rowOff>
    </xdr:to>
    <xdr:pic>
      <xdr:nvPicPr>
        <xdr:cNvPr id="13" name="Image 31">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0" y="201491850"/>
          <a:ext cx="3714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409575</xdr:colOff>
      <xdr:row>887</xdr:row>
      <xdr:rowOff>28575</xdr:rowOff>
    </xdr:from>
    <xdr:to>
      <xdr:col>3</xdr:col>
      <xdr:colOff>695325</xdr:colOff>
      <xdr:row>889</xdr:row>
      <xdr:rowOff>161925</xdr:rowOff>
    </xdr:to>
    <xdr:pic>
      <xdr:nvPicPr>
        <xdr:cNvPr id="14" name="Image 34">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752725" y="2017395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85725</xdr:colOff>
      <xdr:row>862</xdr:row>
      <xdr:rowOff>76200</xdr:rowOff>
    </xdr:from>
    <xdr:to>
      <xdr:col>7</xdr:col>
      <xdr:colOff>438150</xdr:colOff>
      <xdr:row>864</xdr:row>
      <xdr:rowOff>142875</xdr:rowOff>
    </xdr:to>
    <xdr:pic>
      <xdr:nvPicPr>
        <xdr:cNvPr id="15" name="Image 2">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619875" y="195595875"/>
          <a:ext cx="3524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57150</xdr:colOff>
      <xdr:row>864</xdr:row>
      <xdr:rowOff>295275</xdr:rowOff>
    </xdr:from>
    <xdr:to>
      <xdr:col>7</xdr:col>
      <xdr:colOff>371475</xdr:colOff>
      <xdr:row>867</xdr:row>
      <xdr:rowOff>219075</xdr:rowOff>
    </xdr:to>
    <xdr:pic>
      <xdr:nvPicPr>
        <xdr:cNvPr id="16" name="Image 37">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591300" y="196262625"/>
          <a:ext cx="3143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868</xdr:row>
      <xdr:rowOff>0</xdr:rowOff>
    </xdr:from>
    <xdr:to>
      <xdr:col>7</xdr:col>
      <xdr:colOff>314325</xdr:colOff>
      <xdr:row>870</xdr:row>
      <xdr:rowOff>219075</xdr:rowOff>
    </xdr:to>
    <xdr:pic>
      <xdr:nvPicPr>
        <xdr:cNvPr id="17" name="Image 39">
          <a:extLst>
            <a:ext uri="{FF2B5EF4-FFF2-40B4-BE49-F238E27FC236}">
              <a16:creationId xmlns:a16="http://schemas.microsoft.com/office/drawing/2014/main" id="{00000000-0008-0000-0500-000011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534150" y="197005575"/>
          <a:ext cx="3143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590550</xdr:colOff>
      <xdr:row>889</xdr:row>
      <xdr:rowOff>209550</xdr:rowOff>
    </xdr:from>
    <xdr:to>
      <xdr:col>6</xdr:col>
      <xdr:colOff>904875</xdr:colOff>
      <xdr:row>892</xdr:row>
      <xdr:rowOff>180975</xdr:rowOff>
    </xdr:to>
    <xdr:pic>
      <xdr:nvPicPr>
        <xdr:cNvPr id="18" name="Image 40">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076950" y="202415775"/>
          <a:ext cx="3143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872</xdr:row>
      <xdr:rowOff>0</xdr:rowOff>
    </xdr:from>
    <xdr:to>
      <xdr:col>7</xdr:col>
      <xdr:colOff>314325</xdr:colOff>
      <xdr:row>874</xdr:row>
      <xdr:rowOff>219075</xdr:rowOff>
    </xdr:to>
    <xdr:pic>
      <xdr:nvPicPr>
        <xdr:cNvPr id="19" name="Image 41">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534150" y="197996175"/>
          <a:ext cx="3143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874</xdr:row>
      <xdr:rowOff>0</xdr:rowOff>
    </xdr:from>
    <xdr:to>
      <xdr:col>7</xdr:col>
      <xdr:colOff>314325</xdr:colOff>
      <xdr:row>876</xdr:row>
      <xdr:rowOff>219075</xdr:rowOff>
    </xdr:to>
    <xdr:pic>
      <xdr:nvPicPr>
        <xdr:cNvPr id="20" name="Image 43">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534150" y="198491475"/>
          <a:ext cx="3143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38100</xdr:colOff>
      <xdr:row>875</xdr:row>
      <xdr:rowOff>276225</xdr:rowOff>
    </xdr:from>
    <xdr:to>
      <xdr:col>7</xdr:col>
      <xdr:colOff>352425</xdr:colOff>
      <xdr:row>878</xdr:row>
      <xdr:rowOff>219075</xdr:rowOff>
    </xdr:to>
    <xdr:pic>
      <xdr:nvPicPr>
        <xdr:cNvPr id="21" name="Image 44">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572250" y="198986775"/>
          <a:ext cx="3143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152400</xdr:colOff>
      <xdr:row>19</xdr:row>
      <xdr:rowOff>9525</xdr:rowOff>
    </xdr:from>
    <xdr:to>
      <xdr:col>16</xdr:col>
      <xdr:colOff>180975</xdr:colOff>
      <xdr:row>21</xdr:row>
      <xdr:rowOff>219075</xdr:rowOff>
    </xdr:to>
    <xdr:sp macro="" textlink="">
      <xdr:nvSpPr>
        <xdr:cNvPr id="22" name="Bulle ronde 21">
          <a:extLst>
            <a:ext uri="{FF2B5EF4-FFF2-40B4-BE49-F238E27FC236}">
              <a16:creationId xmlns:a16="http://schemas.microsoft.com/office/drawing/2014/main" id="{00000000-0008-0000-0500-000016000000}"/>
            </a:ext>
          </a:extLst>
        </xdr:cNvPr>
        <xdr:cNvSpPr/>
      </xdr:nvSpPr>
      <xdr:spPr bwMode="auto">
        <a:xfrm>
          <a:off x="14020800" y="4572000"/>
          <a:ext cx="1895475" cy="609600"/>
        </a:xfrm>
        <a:prstGeom prst="wedgeEllipseCallout">
          <a:avLst>
            <a:gd name="adj1" fmla="val -66373"/>
            <a:gd name="adj2" fmla="val 46179"/>
          </a:avLst>
        </a:prstGeom>
        <a:gradFill flip="none" rotWithShape="1">
          <a:gsLst>
            <a:gs pos="0">
              <a:schemeClr val="accent4">
                <a:lumMod val="5000"/>
                <a:lumOff val="95000"/>
              </a:schemeClr>
            </a:gs>
            <a:gs pos="74000">
              <a:schemeClr val="accent4">
                <a:lumMod val="45000"/>
                <a:lumOff val="55000"/>
              </a:schemeClr>
            </a:gs>
            <a:gs pos="83000">
              <a:schemeClr val="accent4">
                <a:lumMod val="45000"/>
                <a:lumOff val="55000"/>
              </a:schemeClr>
            </a:gs>
            <a:gs pos="100000">
              <a:schemeClr val="accent4">
                <a:lumMod val="30000"/>
                <a:lumOff val="70000"/>
              </a:schemeClr>
            </a:gs>
          </a:gsLst>
          <a:lin ang="5400000" scaled="1"/>
          <a:tileRect/>
        </a:gradFill>
        <a:ln>
          <a:headEnd type="none" w="med" len="med"/>
          <a:tailEnd type="none" w="med" len="med"/>
        </a:ln>
      </xdr:spPr>
      <xdr:style>
        <a:lnRef idx="1">
          <a:schemeClr val="accent3"/>
        </a:lnRef>
        <a:fillRef idx="2">
          <a:schemeClr val="accent3"/>
        </a:fillRef>
        <a:effectRef idx="1">
          <a:schemeClr val="accent3"/>
        </a:effectRef>
        <a:fontRef idx="minor">
          <a:schemeClr val="dk1"/>
        </a:fontRef>
      </xdr:style>
      <xdr:txBody>
        <a:bodyPr vertOverflow="clip" wrap="square" lIns="18288" tIns="0" rIns="0" bIns="0" rtlCol="0" anchor="ctr" upright="1"/>
        <a:lstStyle/>
        <a:p>
          <a:pPr algn="ctr"/>
          <a:r>
            <a:rPr lang="fr-FR" sz="1100">
              <a:solidFill>
                <a:srgbClr val="0070C0"/>
              </a:solidFill>
            </a:rPr>
            <a:t>Saisissez le poids de</a:t>
          </a:r>
          <a:r>
            <a:rPr lang="fr-FR" sz="1100" baseline="0">
              <a:solidFill>
                <a:srgbClr val="0070C0"/>
              </a:solidFill>
            </a:rPr>
            <a:t> </a:t>
          </a:r>
          <a:r>
            <a:rPr lang="fr-FR" sz="1100">
              <a:solidFill>
                <a:srgbClr val="0070C0"/>
              </a:solidFill>
            </a:rPr>
            <a:t>fabrication</a:t>
          </a:r>
        </a:p>
      </xdr:txBody>
    </xdr:sp>
    <xdr:clientData/>
  </xdr:twoCellAnchor>
  <xdr:twoCellAnchor>
    <xdr:from>
      <xdr:col>14</xdr:col>
      <xdr:colOff>0</xdr:colOff>
      <xdr:row>25</xdr:row>
      <xdr:rowOff>0</xdr:rowOff>
    </xdr:from>
    <xdr:to>
      <xdr:col>16</xdr:col>
      <xdr:colOff>133350</xdr:colOff>
      <xdr:row>31</xdr:row>
      <xdr:rowOff>66675</xdr:rowOff>
    </xdr:to>
    <xdr:sp macro="" textlink="">
      <xdr:nvSpPr>
        <xdr:cNvPr id="23" name="AutoShape 1">
          <a:extLst>
            <a:ext uri="{FF2B5EF4-FFF2-40B4-BE49-F238E27FC236}">
              <a16:creationId xmlns:a16="http://schemas.microsoft.com/office/drawing/2014/main" id="{00000000-0008-0000-0500-000017000000}"/>
            </a:ext>
          </a:extLst>
        </xdr:cNvPr>
        <xdr:cNvSpPr>
          <a:spLocks noChangeArrowheads="1"/>
        </xdr:cNvSpPr>
      </xdr:nvSpPr>
      <xdr:spPr bwMode="auto">
        <a:xfrm>
          <a:off x="13868400" y="5819775"/>
          <a:ext cx="2000250" cy="1323975"/>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fr-FR" sz="900" b="0" i="0" u="none" strike="noStrike" baseline="0">
              <a:solidFill>
                <a:srgbClr val="FF0000"/>
              </a:solidFill>
              <a:latin typeface="Times New Roman"/>
              <a:cs typeface="Times New Roman"/>
            </a:rPr>
            <a:t>Saisissez le texte que vous voulez</a:t>
          </a:r>
        </a:p>
      </xdr:txBody>
    </xdr:sp>
    <xdr:clientData/>
  </xdr:twoCellAnchor>
  <xdr:twoCellAnchor editAs="oneCell">
    <xdr:from>
      <xdr:col>12</xdr:col>
      <xdr:colOff>971550</xdr:colOff>
      <xdr:row>612</xdr:row>
      <xdr:rowOff>66675</xdr:rowOff>
    </xdr:from>
    <xdr:to>
      <xdr:col>16</xdr:col>
      <xdr:colOff>371475</xdr:colOff>
      <xdr:row>620</xdr:row>
      <xdr:rowOff>28575</xdr:rowOff>
    </xdr:to>
    <xdr:pic>
      <xdr:nvPicPr>
        <xdr:cNvPr id="24" name="Image 23" descr="Résultats de pourcentage dans la colonne D">
          <a:extLst>
            <a:ext uri="{FF2B5EF4-FFF2-40B4-BE49-F238E27FC236}">
              <a16:creationId xmlns:a16="http://schemas.microsoft.com/office/drawing/2014/main" id="{00000000-0008-0000-0500-000018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744450" y="142789275"/>
          <a:ext cx="3362325" cy="156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549</xdr:row>
      <xdr:rowOff>114300</xdr:rowOff>
    </xdr:from>
    <xdr:to>
      <xdr:col>8</xdr:col>
      <xdr:colOff>734586</xdr:colOff>
      <xdr:row>557</xdr:row>
      <xdr:rowOff>47887</xdr:rowOff>
    </xdr:to>
    <xdr:pic>
      <xdr:nvPicPr>
        <xdr:cNvPr id="25" name="Image 24">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0" y="129311400"/>
          <a:ext cx="8316486" cy="1876687"/>
        </a:xfrm>
        <a:prstGeom prst="rect">
          <a:avLst/>
        </a:prstGeom>
      </xdr:spPr>
    </xdr:pic>
    <xdr:clientData/>
  </xdr:twoCellAnchor>
  <xdr:twoCellAnchor editAs="oneCell">
    <xdr:from>
      <xdr:col>3</xdr:col>
      <xdr:colOff>304800</xdr:colOff>
      <xdr:row>84</xdr:row>
      <xdr:rowOff>200025</xdr:rowOff>
    </xdr:from>
    <xdr:to>
      <xdr:col>3</xdr:col>
      <xdr:colOff>666750</xdr:colOff>
      <xdr:row>84</xdr:row>
      <xdr:rowOff>561975</xdr:rowOff>
    </xdr:to>
    <xdr:pic>
      <xdr:nvPicPr>
        <xdr:cNvPr id="26" name="Picture">
          <a:extLst>
            <a:ext uri="{FF2B5EF4-FFF2-40B4-BE49-F238E27FC236}">
              <a16:creationId xmlns:a16="http://schemas.microsoft.com/office/drawing/2014/main" id="{00000000-0008-0000-0500-00001A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647950" y="18983325"/>
          <a:ext cx="3619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238125</xdr:colOff>
      <xdr:row>84</xdr:row>
      <xdr:rowOff>180974</xdr:rowOff>
    </xdr:from>
    <xdr:to>
      <xdr:col>4</xdr:col>
      <xdr:colOff>647700</xdr:colOff>
      <xdr:row>84</xdr:row>
      <xdr:rowOff>552449</xdr:rowOff>
    </xdr:to>
    <xdr:pic>
      <xdr:nvPicPr>
        <xdr:cNvPr id="27" name="Picture">
          <a:extLst>
            <a:ext uri="{FF2B5EF4-FFF2-40B4-BE49-F238E27FC236}">
              <a16:creationId xmlns:a16="http://schemas.microsoft.com/office/drawing/2014/main" id="{00000000-0008-0000-0500-00001B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629025" y="18964274"/>
          <a:ext cx="4095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209550</xdr:colOff>
      <xdr:row>84</xdr:row>
      <xdr:rowOff>142874</xdr:rowOff>
    </xdr:from>
    <xdr:to>
      <xdr:col>5</xdr:col>
      <xdr:colOff>581025</xdr:colOff>
      <xdr:row>84</xdr:row>
      <xdr:rowOff>552449</xdr:rowOff>
    </xdr:to>
    <xdr:pic>
      <xdr:nvPicPr>
        <xdr:cNvPr id="28" name="Picture">
          <a:extLst>
            <a:ext uri="{FF2B5EF4-FFF2-40B4-BE49-F238E27FC236}">
              <a16:creationId xmlns:a16="http://schemas.microsoft.com/office/drawing/2014/main" id="{00000000-0008-0000-0500-00001C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648200" y="18926174"/>
          <a:ext cx="37147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104775</xdr:colOff>
      <xdr:row>84</xdr:row>
      <xdr:rowOff>171450</xdr:rowOff>
    </xdr:from>
    <xdr:to>
      <xdr:col>6</xdr:col>
      <xdr:colOff>523875</xdr:colOff>
      <xdr:row>84</xdr:row>
      <xdr:rowOff>561975</xdr:rowOff>
    </xdr:to>
    <xdr:pic>
      <xdr:nvPicPr>
        <xdr:cNvPr id="29" name="Picture">
          <a:extLst>
            <a:ext uri="{FF2B5EF4-FFF2-40B4-BE49-F238E27FC236}">
              <a16:creationId xmlns:a16="http://schemas.microsoft.com/office/drawing/2014/main" id="{00000000-0008-0000-0500-00001D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591175" y="18954750"/>
          <a:ext cx="4191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171450</xdr:colOff>
      <xdr:row>84</xdr:row>
      <xdr:rowOff>161925</xdr:rowOff>
    </xdr:from>
    <xdr:to>
      <xdr:col>7</xdr:col>
      <xdr:colOff>533400</xdr:colOff>
      <xdr:row>84</xdr:row>
      <xdr:rowOff>533400</xdr:rowOff>
    </xdr:to>
    <xdr:pic>
      <xdr:nvPicPr>
        <xdr:cNvPr id="30" name="Picture">
          <a:extLst>
            <a:ext uri="{FF2B5EF4-FFF2-40B4-BE49-F238E27FC236}">
              <a16:creationId xmlns:a16="http://schemas.microsoft.com/office/drawing/2014/main" id="{00000000-0008-0000-0500-00001E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705600" y="18945225"/>
          <a:ext cx="3619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142875</xdr:colOff>
      <xdr:row>84</xdr:row>
      <xdr:rowOff>190500</xdr:rowOff>
    </xdr:from>
    <xdr:to>
      <xdr:col>8</xdr:col>
      <xdr:colOff>571500</xdr:colOff>
      <xdr:row>84</xdr:row>
      <xdr:rowOff>552450</xdr:rowOff>
    </xdr:to>
    <xdr:pic>
      <xdr:nvPicPr>
        <xdr:cNvPr id="31" name="Picture">
          <a:extLst>
            <a:ext uri="{FF2B5EF4-FFF2-40B4-BE49-F238E27FC236}">
              <a16:creationId xmlns:a16="http://schemas.microsoft.com/office/drawing/2014/main" id="{00000000-0008-0000-0500-00001F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724775" y="18973800"/>
          <a:ext cx="4286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228600</xdr:colOff>
      <xdr:row>84</xdr:row>
      <xdr:rowOff>180975</xdr:rowOff>
    </xdr:from>
    <xdr:to>
      <xdr:col>9</xdr:col>
      <xdr:colOff>552450</xdr:colOff>
      <xdr:row>84</xdr:row>
      <xdr:rowOff>533400</xdr:rowOff>
    </xdr:to>
    <xdr:pic>
      <xdr:nvPicPr>
        <xdr:cNvPr id="32" name="Picture">
          <a:extLst>
            <a:ext uri="{FF2B5EF4-FFF2-40B4-BE49-F238E27FC236}">
              <a16:creationId xmlns:a16="http://schemas.microsoft.com/office/drawing/2014/main" id="{00000000-0008-0000-0500-0000200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8858250" y="18964275"/>
          <a:ext cx="32385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123825</xdr:colOff>
      <xdr:row>84</xdr:row>
      <xdr:rowOff>171450</xdr:rowOff>
    </xdr:from>
    <xdr:to>
      <xdr:col>10</xdr:col>
      <xdr:colOff>476250</xdr:colOff>
      <xdr:row>84</xdr:row>
      <xdr:rowOff>542925</xdr:rowOff>
    </xdr:to>
    <xdr:pic>
      <xdr:nvPicPr>
        <xdr:cNvPr id="33" name="Picture">
          <a:extLst>
            <a:ext uri="{FF2B5EF4-FFF2-40B4-BE49-F238E27FC236}">
              <a16:creationId xmlns:a16="http://schemas.microsoft.com/office/drawing/2014/main" id="{00000000-0008-0000-0500-00002100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9801225" y="18954750"/>
          <a:ext cx="3524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428625</xdr:colOff>
      <xdr:row>84</xdr:row>
      <xdr:rowOff>180975</xdr:rowOff>
    </xdr:from>
    <xdr:to>
      <xdr:col>2</xdr:col>
      <xdr:colOff>781050</xdr:colOff>
      <xdr:row>84</xdr:row>
      <xdr:rowOff>561975</xdr:rowOff>
    </xdr:to>
    <xdr:pic>
      <xdr:nvPicPr>
        <xdr:cNvPr id="34" name="Picture">
          <a:extLst>
            <a:ext uri="{FF2B5EF4-FFF2-40B4-BE49-F238E27FC236}">
              <a16:creationId xmlns:a16="http://schemas.microsoft.com/office/drawing/2014/main" id="{00000000-0008-0000-0500-0000220000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724025" y="18964275"/>
          <a:ext cx="35242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619124</xdr:colOff>
      <xdr:row>208</xdr:row>
      <xdr:rowOff>133350</xdr:rowOff>
    </xdr:from>
    <xdr:to>
      <xdr:col>5</xdr:col>
      <xdr:colOff>209549</xdr:colOff>
      <xdr:row>218</xdr:row>
      <xdr:rowOff>219075</xdr:rowOff>
    </xdr:to>
    <xdr:graphicFrame macro="">
      <xdr:nvGraphicFramePr>
        <xdr:cNvPr id="35" name="Diagramme 34">
          <a:extLst>
            <a:ext uri="{FF2B5EF4-FFF2-40B4-BE49-F238E27FC236}">
              <a16:creationId xmlns:a16="http://schemas.microsoft.com/office/drawing/2014/main" id="{00000000-0008-0000-0500-00002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9" r:lo="rId20" r:qs="rId21" r:cs="rId22"/>
        </a:graphicData>
      </a:graphic>
    </xdr:graphicFrame>
    <xdr:clientData/>
  </xdr:twoCellAnchor>
  <xdr:twoCellAnchor editAs="oneCell">
    <xdr:from>
      <xdr:col>1</xdr:col>
      <xdr:colOff>793750</xdr:colOff>
      <xdr:row>236</xdr:row>
      <xdr:rowOff>117476</xdr:rowOff>
    </xdr:from>
    <xdr:to>
      <xdr:col>3</xdr:col>
      <xdr:colOff>1000125</xdr:colOff>
      <xdr:row>237</xdr:row>
      <xdr:rowOff>89279</xdr:rowOff>
    </xdr:to>
    <xdr:pic>
      <xdr:nvPicPr>
        <xdr:cNvPr id="36" name="Image 35">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041400" y="56276876"/>
          <a:ext cx="2301875" cy="1505328"/>
        </a:xfrm>
        <a:prstGeom prst="rect">
          <a:avLst/>
        </a:prstGeom>
      </xdr:spPr>
    </xdr:pic>
    <xdr:clientData/>
  </xdr:twoCellAnchor>
  <xdr:twoCellAnchor editAs="oneCell">
    <xdr:from>
      <xdr:col>10</xdr:col>
      <xdr:colOff>342900</xdr:colOff>
      <xdr:row>236</xdr:row>
      <xdr:rowOff>247650</xdr:rowOff>
    </xdr:from>
    <xdr:to>
      <xdr:col>12</xdr:col>
      <xdr:colOff>466725</xdr:colOff>
      <xdr:row>236</xdr:row>
      <xdr:rowOff>1301997</xdr:rowOff>
    </xdr:to>
    <xdr:pic>
      <xdr:nvPicPr>
        <xdr:cNvPr id="37" name="Image 36" descr="http://s1.lemde.fr/medias/web/1.2.686/img/friends/logos/logo_chef_simon_97x22.png">
          <a:extLst>
            <a:ext uri="{FF2B5EF4-FFF2-40B4-BE49-F238E27FC236}">
              <a16:creationId xmlns:a16="http://schemas.microsoft.com/office/drawing/2014/main" id="{00000000-0008-0000-0500-00002500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10020300" y="56407050"/>
          <a:ext cx="2219325" cy="10543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346077</xdr:colOff>
      <xdr:row>236</xdr:row>
      <xdr:rowOff>231778</xdr:rowOff>
    </xdr:from>
    <xdr:to>
      <xdr:col>16</xdr:col>
      <xdr:colOff>466725</xdr:colOff>
      <xdr:row>236</xdr:row>
      <xdr:rowOff>1368434</xdr:rowOff>
    </xdr:to>
    <xdr:pic>
      <xdr:nvPicPr>
        <xdr:cNvPr id="38" name="Image 37">
          <a:extLst>
            <a:ext uri="{FF2B5EF4-FFF2-40B4-BE49-F238E27FC236}">
              <a16:creationId xmlns:a16="http://schemas.microsoft.com/office/drawing/2014/main" id="{00000000-0008-0000-0500-000026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4214477" y="56391178"/>
          <a:ext cx="1987548" cy="1136656"/>
        </a:xfrm>
        <a:prstGeom prst="rect">
          <a:avLst/>
        </a:prstGeom>
      </xdr:spPr>
    </xdr:pic>
    <xdr:clientData/>
  </xdr:twoCellAnchor>
  <xdr:twoCellAnchor editAs="oneCell">
    <xdr:from>
      <xdr:col>1</xdr:col>
      <xdr:colOff>323850</xdr:colOff>
      <xdr:row>277</xdr:row>
      <xdr:rowOff>152400</xdr:rowOff>
    </xdr:from>
    <xdr:to>
      <xdr:col>3</xdr:col>
      <xdr:colOff>676617</xdr:colOff>
      <xdr:row>288</xdr:row>
      <xdr:rowOff>105149</xdr:rowOff>
    </xdr:to>
    <xdr:pic>
      <xdr:nvPicPr>
        <xdr:cNvPr id="39" name="Image 38">
          <a:extLst>
            <a:ext uri="{FF2B5EF4-FFF2-40B4-BE49-F238E27FC236}">
              <a16:creationId xmlns:a16="http://schemas.microsoft.com/office/drawing/2014/main" id="{00000000-0008-0000-0500-000027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571500" y="68313300"/>
          <a:ext cx="2448267" cy="2676899"/>
        </a:xfrm>
        <a:prstGeom prst="rect">
          <a:avLst/>
        </a:prstGeom>
      </xdr:spPr>
    </xdr:pic>
    <xdr:clientData/>
  </xdr:twoCellAnchor>
  <xdr:twoCellAnchor editAs="oneCell">
    <xdr:from>
      <xdr:col>3</xdr:col>
      <xdr:colOff>971550</xdr:colOff>
      <xdr:row>280</xdr:row>
      <xdr:rowOff>0</xdr:rowOff>
    </xdr:from>
    <xdr:to>
      <xdr:col>6</xdr:col>
      <xdr:colOff>428988</xdr:colOff>
      <xdr:row>286</xdr:row>
      <xdr:rowOff>200260</xdr:rowOff>
    </xdr:to>
    <xdr:pic>
      <xdr:nvPicPr>
        <xdr:cNvPr id="40" name="Image 39">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3314700" y="68903850"/>
          <a:ext cx="2600688" cy="168616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20</xdr:col>
      <xdr:colOff>763718</xdr:colOff>
      <xdr:row>221</xdr:row>
      <xdr:rowOff>0</xdr:rowOff>
    </xdr:from>
    <xdr:to>
      <xdr:col>22</xdr:col>
      <xdr:colOff>828831</xdr:colOff>
      <xdr:row>226</xdr:row>
      <xdr:rowOff>200285</xdr:rowOff>
    </xdr:to>
    <xdr:pic>
      <xdr:nvPicPr>
        <xdr:cNvPr id="2" name="Picture 1">
          <a:extLst>
            <a:ext uri="{FF2B5EF4-FFF2-40B4-BE49-F238E27FC236}">
              <a16:creationId xmlns:a16="http://schemas.microsoft.com/office/drawing/2014/main" id="{5E77FB0F-FD07-43D4-B7B9-65B4A9FD95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718718" y="72761475"/>
          <a:ext cx="2160613" cy="177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981075</xdr:colOff>
      <xdr:row>188</xdr:row>
      <xdr:rowOff>12701</xdr:rowOff>
    </xdr:from>
    <xdr:to>
      <xdr:col>10</xdr:col>
      <xdr:colOff>292100</xdr:colOff>
      <xdr:row>192</xdr:row>
      <xdr:rowOff>203200</xdr:rowOff>
    </xdr:to>
    <xdr:pic>
      <xdr:nvPicPr>
        <xdr:cNvPr id="3" name="Image 2">
          <a:extLst>
            <a:ext uri="{FF2B5EF4-FFF2-40B4-BE49-F238E27FC236}">
              <a16:creationId xmlns:a16="http://schemas.microsoft.com/office/drawing/2014/main" id="{9DC2C41A-40F1-4140-9725-6BEA4E1B2FB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28825" y="62401451"/>
          <a:ext cx="8740775" cy="1447799"/>
        </a:xfrm>
        <a:prstGeom prst="rect">
          <a:avLst/>
        </a:prstGeom>
      </xdr:spPr>
    </xdr:pic>
    <xdr:clientData/>
  </xdr:twoCellAnchor>
  <xdr:twoCellAnchor editAs="oneCell">
    <xdr:from>
      <xdr:col>2</xdr:col>
      <xdr:colOff>50801</xdr:colOff>
      <xdr:row>198</xdr:row>
      <xdr:rowOff>203201</xdr:rowOff>
    </xdr:from>
    <xdr:to>
      <xdr:col>9</xdr:col>
      <xdr:colOff>317500</xdr:colOff>
      <xdr:row>219</xdr:row>
      <xdr:rowOff>254000</xdr:rowOff>
    </xdr:to>
    <xdr:pic>
      <xdr:nvPicPr>
        <xdr:cNvPr id="4" name="Image 3">
          <a:extLst>
            <a:ext uri="{FF2B5EF4-FFF2-40B4-BE49-F238E27FC236}">
              <a16:creationId xmlns:a16="http://schemas.microsoft.com/office/drawing/2014/main" id="{C3B0EE99-DE1D-41CD-BE36-F60F2977FE3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146301" y="65735201"/>
          <a:ext cx="7600949" cy="66516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228599</xdr:colOff>
      <xdr:row>83</xdr:row>
      <xdr:rowOff>9525</xdr:rowOff>
    </xdr:from>
    <xdr:to>
      <xdr:col>4</xdr:col>
      <xdr:colOff>636737</xdr:colOff>
      <xdr:row>84</xdr:row>
      <xdr:rowOff>150963</xdr:rowOff>
    </xdr:to>
    <xdr:pic>
      <xdr:nvPicPr>
        <xdr:cNvPr id="2" name="Image 1" descr="Google (Android 12L)">
          <a:extLst>
            <a:ext uri="{FF2B5EF4-FFF2-40B4-BE49-F238E27FC236}">
              <a16:creationId xmlns:a16="http://schemas.microsoft.com/office/drawing/2014/main" id="{DE6C13A9-25D8-4EFD-8CD7-690FAC9C1B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5936220" flipH="1" flipV="1">
          <a:off x="3009899" y="23993475"/>
          <a:ext cx="408138" cy="4081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142875</xdr:colOff>
      <xdr:row>83</xdr:row>
      <xdr:rowOff>0</xdr:rowOff>
    </xdr:from>
    <xdr:to>
      <xdr:col>5</xdr:col>
      <xdr:colOff>447675</xdr:colOff>
      <xdr:row>84</xdr:row>
      <xdr:rowOff>38100</xdr:rowOff>
    </xdr:to>
    <xdr:pic>
      <xdr:nvPicPr>
        <xdr:cNvPr id="3" name="Image 2" descr="🔗 Lien">
          <a:extLst>
            <a:ext uri="{FF2B5EF4-FFF2-40B4-BE49-F238E27FC236}">
              <a16:creationId xmlns:a16="http://schemas.microsoft.com/office/drawing/2014/main" id="{4C3934DC-A529-45D9-9363-D00282DB9CE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00" y="2398395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83</xdr:row>
      <xdr:rowOff>1</xdr:rowOff>
    </xdr:from>
    <xdr:to>
      <xdr:col>6</xdr:col>
      <xdr:colOff>333375</xdr:colOff>
      <xdr:row>84</xdr:row>
      <xdr:rowOff>104417</xdr:rowOff>
    </xdr:to>
    <xdr:pic>
      <xdr:nvPicPr>
        <xdr:cNvPr id="4" name="Image 3">
          <a:extLst>
            <a:ext uri="{FF2B5EF4-FFF2-40B4-BE49-F238E27FC236}">
              <a16:creationId xmlns:a16="http://schemas.microsoft.com/office/drawing/2014/main" id="{21F9D192-657D-4594-8D25-827F374F07D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552950" y="23983951"/>
          <a:ext cx="333375" cy="371116"/>
        </a:xfrm>
        <a:prstGeom prst="rect">
          <a:avLst/>
        </a:prstGeom>
      </xdr:spPr>
    </xdr:pic>
    <xdr:clientData/>
  </xdr:twoCellAnchor>
  <xdr:oneCellAnchor>
    <xdr:from>
      <xdr:col>9</xdr:col>
      <xdr:colOff>0</xdr:colOff>
      <xdr:row>37</xdr:row>
      <xdr:rowOff>0</xdr:rowOff>
    </xdr:from>
    <xdr:ext cx="1438476" cy="781159"/>
    <xdr:pic>
      <xdr:nvPicPr>
        <xdr:cNvPr id="5" name="Image 4">
          <a:extLst>
            <a:ext uri="{FF2B5EF4-FFF2-40B4-BE49-F238E27FC236}">
              <a16:creationId xmlns:a16="http://schemas.microsoft.com/office/drawing/2014/main" id="{CFF049F4-72B2-4630-B2B2-5C34F63011D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467600" y="11715750"/>
          <a:ext cx="1438476" cy="781159"/>
        </a:xfrm>
        <a:prstGeom prst="rect">
          <a:avLst/>
        </a:prstGeom>
      </xdr:spPr>
    </xdr:pic>
    <xdr:clientData/>
  </xdr:oneCellAnchor>
  <xdr:oneCellAnchor>
    <xdr:from>
      <xdr:col>9</xdr:col>
      <xdr:colOff>0</xdr:colOff>
      <xdr:row>42</xdr:row>
      <xdr:rowOff>0</xdr:rowOff>
    </xdr:from>
    <xdr:ext cx="3639058" cy="2133898"/>
    <xdr:pic>
      <xdr:nvPicPr>
        <xdr:cNvPr id="6" name="Image 5">
          <a:extLst>
            <a:ext uri="{FF2B5EF4-FFF2-40B4-BE49-F238E27FC236}">
              <a16:creationId xmlns:a16="http://schemas.microsoft.com/office/drawing/2014/main" id="{D56A5CD4-FAD3-427D-AF2D-4AF8F053E094}"/>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467600" y="13049250"/>
          <a:ext cx="3639058" cy="2133898"/>
        </a:xfrm>
        <a:prstGeom prst="rect">
          <a:avLst/>
        </a:prstGeom>
      </xdr:spPr>
    </xdr:pic>
    <xdr:clientData/>
  </xdr:oneCellAnchor>
  <xdr:twoCellAnchor editAs="oneCell">
    <xdr:from>
      <xdr:col>9</xdr:col>
      <xdr:colOff>844550</xdr:colOff>
      <xdr:row>4</xdr:row>
      <xdr:rowOff>22225</xdr:rowOff>
    </xdr:from>
    <xdr:to>
      <xdr:col>10</xdr:col>
      <xdr:colOff>392953</xdr:colOff>
      <xdr:row>5</xdr:row>
      <xdr:rowOff>323850</xdr:rowOff>
    </xdr:to>
    <xdr:pic>
      <xdr:nvPicPr>
        <xdr:cNvPr id="7" name="Image 6">
          <a:extLst>
            <a:ext uri="{FF2B5EF4-FFF2-40B4-BE49-F238E27FC236}">
              <a16:creationId xmlns:a16="http://schemas.microsoft.com/office/drawing/2014/main" id="{ABE35BE7-18A4-4D01-AF28-3CD3F2F2BDE3}"/>
            </a:ext>
          </a:extLst>
        </xdr:cNvPr>
        <xdr:cNvPicPr>
          <a:picLocks noChangeAspect="1"/>
        </xdr:cNvPicPr>
      </xdr:nvPicPr>
      <xdr:blipFill>
        <a:blip xmlns:r="http://schemas.openxmlformats.org/officeDocument/2006/relationships" r:embed="rId6"/>
        <a:stretch>
          <a:fillRect/>
        </a:stretch>
      </xdr:blipFill>
      <xdr:spPr>
        <a:xfrm>
          <a:off x="8312150" y="879475"/>
          <a:ext cx="815228" cy="568325"/>
        </a:xfrm>
        <a:prstGeom prst="rect">
          <a:avLst/>
        </a:prstGeom>
      </xdr:spPr>
    </xdr:pic>
    <xdr:clientData/>
  </xdr:twoCellAnchor>
  <xdr:twoCellAnchor editAs="oneCell">
    <xdr:from>
      <xdr:col>24</xdr:col>
      <xdr:colOff>73025</xdr:colOff>
      <xdr:row>4</xdr:row>
      <xdr:rowOff>165100</xdr:rowOff>
    </xdr:from>
    <xdr:to>
      <xdr:col>25</xdr:col>
      <xdr:colOff>3588</xdr:colOff>
      <xdr:row>6</xdr:row>
      <xdr:rowOff>127000</xdr:rowOff>
    </xdr:to>
    <xdr:pic>
      <xdr:nvPicPr>
        <xdr:cNvPr id="8" name="Image 7">
          <a:extLst>
            <a:ext uri="{FF2B5EF4-FFF2-40B4-BE49-F238E27FC236}">
              <a16:creationId xmlns:a16="http://schemas.microsoft.com/office/drawing/2014/main" id="{C9AE8A05-2FAC-4E2A-8AF1-13B8E39D81D4}"/>
            </a:ext>
          </a:extLst>
        </xdr:cNvPr>
        <xdr:cNvPicPr>
          <a:picLocks noChangeAspect="1"/>
        </xdr:cNvPicPr>
      </xdr:nvPicPr>
      <xdr:blipFill>
        <a:blip xmlns:r="http://schemas.openxmlformats.org/officeDocument/2006/relationships" r:embed="rId7"/>
        <a:stretch>
          <a:fillRect/>
        </a:stretch>
      </xdr:blipFill>
      <xdr:spPr>
        <a:xfrm>
          <a:off x="22685375" y="1022350"/>
          <a:ext cx="844963" cy="609600"/>
        </a:xfrm>
        <a:prstGeom prst="rect">
          <a:avLst/>
        </a:prstGeom>
      </xdr:spPr>
    </xdr:pic>
    <xdr:clientData/>
  </xdr:twoCellAnchor>
  <xdr:twoCellAnchor editAs="oneCell">
    <xdr:from>
      <xdr:col>40</xdr:col>
      <xdr:colOff>593725</xdr:colOff>
      <xdr:row>5</xdr:row>
      <xdr:rowOff>82550</xdr:rowOff>
    </xdr:from>
    <xdr:to>
      <xdr:col>41</xdr:col>
      <xdr:colOff>546221</xdr:colOff>
      <xdr:row>6</xdr:row>
      <xdr:rowOff>298534</xdr:rowOff>
    </xdr:to>
    <xdr:pic>
      <xdr:nvPicPr>
        <xdr:cNvPr id="9" name="Image 8">
          <a:extLst>
            <a:ext uri="{FF2B5EF4-FFF2-40B4-BE49-F238E27FC236}">
              <a16:creationId xmlns:a16="http://schemas.microsoft.com/office/drawing/2014/main" id="{A5FC3BC2-8D9D-4426-B581-00F1E6301663}"/>
            </a:ext>
          </a:extLst>
        </xdr:cNvPr>
        <xdr:cNvPicPr>
          <a:picLocks noChangeAspect="1"/>
        </xdr:cNvPicPr>
      </xdr:nvPicPr>
      <xdr:blipFill>
        <a:blip xmlns:r="http://schemas.openxmlformats.org/officeDocument/2006/relationships" r:embed="rId8"/>
        <a:stretch>
          <a:fillRect/>
        </a:stretch>
      </xdr:blipFill>
      <xdr:spPr>
        <a:xfrm>
          <a:off x="40151050" y="1206500"/>
          <a:ext cx="866896" cy="5969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9</xdr:row>
      <xdr:rowOff>33336</xdr:rowOff>
    </xdr:from>
    <xdr:to>
      <xdr:col>19</xdr:col>
      <xdr:colOff>342900</xdr:colOff>
      <xdr:row>33</xdr:row>
      <xdr:rowOff>0</xdr:rowOff>
    </xdr:to>
    <xdr:graphicFrame macro="">
      <xdr:nvGraphicFramePr>
        <xdr:cNvPr id="2" name="Graphique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oneCellAnchor>
    <xdr:from>
      <xdr:col>29</xdr:col>
      <xdr:colOff>819150</xdr:colOff>
      <xdr:row>53</xdr:row>
      <xdr:rowOff>238125</xdr:rowOff>
    </xdr:from>
    <xdr:ext cx="571500" cy="571500"/>
    <xdr:pic>
      <xdr:nvPicPr>
        <xdr:cNvPr id="11" name="Image 10">
          <a:extLst>
            <a:ext uri="{FF2B5EF4-FFF2-40B4-BE49-F238E27FC236}">
              <a16:creationId xmlns:a16="http://schemas.microsoft.com/office/drawing/2014/main" id="{F564E24C-E0BF-4B3D-B573-C44ECB5F1901}"/>
            </a:ext>
          </a:extLst>
        </xdr:cNvPr>
        <xdr:cNvPicPr>
          <a:picLocks noChangeAspect="1"/>
        </xdr:cNvPicPr>
      </xdr:nvPicPr>
      <xdr:blipFill>
        <a:blip xmlns:r="http://schemas.openxmlformats.org/officeDocument/2006/relationships" r:embed="rId1"/>
        <a:stretch>
          <a:fillRect/>
        </a:stretch>
      </xdr:blipFill>
      <xdr:spPr>
        <a:xfrm>
          <a:off x="26717625" y="14163675"/>
          <a:ext cx="571500" cy="571500"/>
        </a:xfrm>
        <a:prstGeom prst="rect">
          <a:avLst/>
        </a:prstGeom>
      </xdr:spPr>
    </xdr:pic>
    <xdr:clientData/>
  </xdr:oneCellAnchor>
  <xdr:oneCellAnchor>
    <xdr:from>
      <xdr:col>24</xdr:col>
      <xdr:colOff>142875</xdr:colOff>
      <xdr:row>82</xdr:row>
      <xdr:rowOff>247650</xdr:rowOff>
    </xdr:from>
    <xdr:ext cx="4873625" cy="1121830"/>
    <xdr:pic>
      <xdr:nvPicPr>
        <xdr:cNvPr id="12" name="Image 11">
          <a:extLst>
            <a:ext uri="{FF2B5EF4-FFF2-40B4-BE49-F238E27FC236}">
              <a16:creationId xmlns:a16="http://schemas.microsoft.com/office/drawing/2014/main" id="{3657C604-914F-477A-9776-D2210028CF74}"/>
            </a:ext>
          </a:extLst>
        </xdr:cNvPr>
        <xdr:cNvPicPr>
          <a:picLocks noChangeAspect="1"/>
        </xdr:cNvPicPr>
      </xdr:nvPicPr>
      <xdr:blipFill>
        <a:blip xmlns:r="http://schemas.openxmlformats.org/officeDocument/2006/relationships" r:embed="rId2"/>
        <a:stretch>
          <a:fillRect/>
        </a:stretch>
      </xdr:blipFill>
      <xdr:spPr>
        <a:xfrm>
          <a:off x="18630900" y="21907500"/>
          <a:ext cx="4873625" cy="1121830"/>
        </a:xfrm>
        <a:prstGeom prst="rect">
          <a:avLst/>
        </a:prstGeom>
      </xdr:spPr>
    </xdr:pic>
    <xdr:clientData/>
  </xdr:oneCellAnchor>
  <xdr:oneCellAnchor>
    <xdr:from>
      <xdr:col>23</xdr:col>
      <xdr:colOff>1295400</xdr:colOff>
      <xdr:row>167</xdr:row>
      <xdr:rowOff>200025</xdr:rowOff>
    </xdr:from>
    <xdr:ext cx="4366866" cy="2173604"/>
    <xdr:pic>
      <xdr:nvPicPr>
        <xdr:cNvPr id="13" name="Image 12">
          <a:extLst>
            <a:ext uri="{FF2B5EF4-FFF2-40B4-BE49-F238E27FC236}">
              <a16:creationId xmlns:a16="http://schemas.microsoft.com/office/drawing/2014/main" id="{84A5CEAB-0ADB-48EC-B3FE-D825472637D1}"/>
            </a:ext>
          </a:extLst>
        </xdr:cNvPr>
        <xdr:cNvPicPr>
          <a:picLocks noChangeAspect="1"/>
        </xdr:cNvPicPr>
      </xdr:nvPicPr>
      <xdr:blipFill>
        <a:blip xmlns:r="http://schemas.openxmlformats.org/officeDocument/2006/relationships" r:embed="rId3"/>
        <a:stretch>
          <a:fillRect/>
        </a:stretch>
      </xdr:blipFill>
      <xdr:spPr>
        <a:xfrm>
          <a:off x="18468975" y="44529375"/>
          <a:ext cx="4366866" cy="2173604"/>
        </a:xfrm>
        <a:prstGeom prst="rect">
          <a:avLst/>
        </a:prstGeom>
      </xdr:spPr>
    </xdr:pic>
    <xdr:clientData/>
  </xdr:oneCellAnchor>
  <xdr:twoCellAnchor editAs="oneCell">
    <xdr:from>
      <xdr:col>17</xdr:col>
      <xdr:colOff>0</xdr:colOff>
      <xdr:row>179</xdr:row>
      <xdr:rowOff>0</xdr:rowOff>
    </xdr:from>
    <xdr:to>
      <xdr:col>20</xdr:col>
      <xdr:colOff>614394</xdr:colOff>
      <xdr:row>182</xdr:row>
      <xdr:rowOff>0</xdr:rowOff>
    </xdr:to>
    <xdr:pic>
      <xdr:nvPicPr>
        <xdr:cNvPr id="14" name="Image 13">
          <a:extLst>
            <a:ext uri="{FF2B5EF4-FFF2-40B4-BE49-F238E27FC236}">
              <a16:creationId xmlns:a16="http://schemas.microsoft.com/office/drawing/2014/main" id="{6358C228-0D8B-4504-B09B-78ABC584C9F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782800" y="37633275"/>
          <a:ext cx="3186144" cy="8001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415290</xdr:colOff>
      <xdr:row>26</xdr:row>
      <xdr:rowOff>152400</xdr:rowOff>
    </xdr:from>
    <xdr:to>
      <xdr:col>8</xdr:col>
      <xdr:colOff>409585</xdr:colOff>
      <xdr:row>31</xdr:row>
      <xdr:rowOff>53340</xdr:rowOff>
    </xdr:to>
    <xdr:sp macro="" textlink="">
      <xdr:nvSpPr>
        <xdr:cNvPr id="2" name="AutoShape 1">
          <a:extLst>
            <a:ext uri="{FF2B5EF4-FFF2-40B4-BE49-F238E27FC236}">
              <a16:creationId xmlns:a16="http://schemas.microsoft.com/office/drawing/2014/main" id="{C466D721-1604-4384-A91E-C1736BBAEE31}"/>
            </a:ext>
          </a:extLst>
        </xdr:cNvPr>
        <xdr:cNvSpPr>
          <a:spLocks noChangeArrowheads="1"/>
        </xdr:cNvSpPr>
      </xdr:nvSpPr>
      <xdr:spPr bwMode="auto">
        <a:xfrm>
          <a:off x="5634990" y="5876925"/>
          <a:ext cx="3509020" cy="996315"/>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fr-FR" sz="900" b="0" i="0" u="none" strike="noStrike" baseline="0">
              <a:solidFill>
                <a:srgbClr val="FF0000"/>
              </a:solidFill>
              <a:latin typeface="Times New Roman"/>
              <a:cs typeface="Times New Roman"/>
            </a:rPr>
            <a:t>eau de cuisson à 82°c</a:t>
          </a:r>
        </a:p>
      </xdr:txBody>
    </xdr:sp>
    <xdr:clientData/>
  </xdr:twoCellAnchor>
  <xdr:twoCellAnchor>
    <xdr:from>
      <xdr:col>5</xdr:col>
      <xdr:colOff>542925</xdr:colOff>
      <xdr:row>26</xdr:row>
      <xdr:rowOff>114300</xdr:rowOff>
    </xdr:from>
    <xdr:to>
      <xdr:col>8</xdr:col>
      <xdr:colOff>333375</xdr:colOff>
      <xdr:row>26</xdr:row>
      <xdr:rowOff>114300</xdr:rowOff>
    </xdr:to>
    <xdr:sp macro="" textlink="">
      <xdr:nvSpPr>
        <xdr:cNvPr id="3" name="Line 3">
          <a:extLst>
            <a:ext uri="{FF2B5EF4-FFF2-40B4-BE49-F238E27FC236}">
              <a16:creationId xmlns:a16="http://schemas.microsoft.com/office/drawing/2014/main" id="{E43AB45B-71E7-49EB-B67E-95AD2BD37EEB}"/>
            </a:ext>
          </a:extLst>
        </xdr:cNvPr>
        <xdr:cNvSpPr>
          <a:spLocks noChangeShapeType="1"/>
        </xdr:cNvSpPr>
      </xdr:nvSpPr>
      <xdr:spPr bwMode="auto">
        <a:xfrm>
          <a:off x="5762625" y="5838825"/>
          <a:ext cx="3305175" cy="0"/>
        </a:xfrm>
        <a:prstGeom prst="line">
          <a:avLst/>
        </a:prstGeom>
        <a:noFill/>
        <a:ln w="28575">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38100</xdr:colOff>
      <xdr:row>24</xdr:row>
      <xdr:rowOff>38100</xdr:rowOff>
    </xdr:from>
    <xdr:to>
      <xdr:col>7</xdr:col>
      <xdr:colOff>847725</xdr:colOff>
      <xdr:row>26</xdr:row>
      <xdr:rowOff>123825</xdr:rowOff>
    </xdr:to>
    <xdr:sp macro="" textlink="">
      <xdr:nvSpPr>
        <xdr:cNvPr id="4" name="Line 4">
          <a:extLst>
            <a:ext uri="{FF2B5EF4-FFF2-40B4-BE49-F238E27FC236}">
              <a16:creationId xmlns:a16="http://schemas.microsoft.com/office/drawing/2014/main" id="{1F2C0C1D-BD37-4CBA-812D-77D4CB3C2EF8}"/>
            </a:ext>
          </a:extLst>
        </xdr:cNvPr>
        <xdr:cNvSpPr>
          <a:spLocks noChangeShapeType="1"/>
        </xdr:cNvSpPr>
      </xdr:nvSpPr>
      <xdr:spPr bwMode="auto">
        <a:xfrm flipV="1">
          <a:off x="7600950" y="5324475"/>
          <a:ext cx="809625" cy="523875"/>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177165</xdr:colOff>
      <xdr:row>2</xdr:row>
      <xdr:rowOff>53340</xdr:rowOff>
    </xdr:from>
    <xdr:to>
      <xdr:col>8</xdr:col>
      <xdr:colOff>741088</xdr:colOff>
      <xdr:row>4</xdr:row>
      <xdr:rowOff>124968</xdr:rowOff>
    </xdr:to>
    <xdr:sp macro="" textlink="">
      <xdr:nvSpPr>
        <xdr:cNvPr id="5" name="Bulle ronde 7">
          <a:extLst>
            <a:ext uri="{FF2B5EF4-FFF2-40B4-BE49-F238E27FC236}">
              <a16:creationId xmlns:a16="http://schemas.microsoft.com/office/drawing/2014/main" id="{558D3235-818B-4B4C-BDDA-6BD9FF72B1B9}"/>
            </a:ext>
          </a:extLst>
        </xdr:cNvPr>
        <xdr:cNvSpPr/>
      </xdr:nvSpPr>
      <xdr:spPr bwMode="auto">
        <a:xfrm>
          <a:off x="7740015" y="520065"/>
          <a:ext cx="1735498" cy="509778"/>
        </a:xfrm>
        <a:prstGeom prst="wedgeEllipseCallout">
          <a:avLst>
            <a:gd name="adj1" fmla="val -66373"/>
            <a:gd name="adj2" fmla="val 46179"/>
          </a:avLst>
        </a:prstGeom>
        <a:ln>
          <a:headEnd type="none" w="med" len="med"/>
          <a:tailEnd type="none" w="med" len="med"/>
        </a:ln>
      </xdr:spPr>
      <xdr:style>
        <a:lnRef idx="1">
          <a:schemeClr val="accent3"/>
        </a:lnRef>
        <a:fillRef idx="2">
          <a:schemeClr val="accent3"/>
        </a:fillRef>
        <a:effectRef idx="1">
          <a:schemeClr val="accent3"/>
        </a:effectRef>
        <a:fontRef idx="minor">
          <a:schemeClr val="dk1"/>
        </a:fontRef>
      </xdr:style>
      <xdr:txBody>
        <a:bodyPr vertOverflow="clip" wrap="square" lIns="18288" tIns="0" rIns="0" bIns="0" rtlCol="0" anchor="ctr" upright="1"/>
        <a:lstStyle/>
        <a:p>
          <a:pPr algn="ctr"/>
          <a:r>
            <a:rPr lang="fr-FR" sz="1100">
              <a:solidFill>
                <a:srgbClr val="FF0000"/>
              </a:solidFill>
            </a:rPr>
            <a:t>Mettre le poids de fabrication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424815</xdr:colOff>
      <xdr:row>26</xdr:row>
      <xdr:rowOff>152400</xdr:rowOff>
    </xdr:from>
    <xdr:to>
      <xdr:col>8</xdr:col>
      <xdr:colOff>409575</xdr:colOff>
      <xdr:row>31</xdr:row>
      <xdr:rowOff>53340</xdr:rowOff>
    </xdr:to>
    <xdr:sp macro="" textlink="">
      <xdr:nvSpPr>
        <xdr:cNvPr id="2" name="AutoShape 1">
          <a:extLst>
            <a:ext uri="{FF2B5EF4-FFF2-40B4-BE49-F238E27FC236}">
              <a16:creationId xmlns:a16="http://schemas.microsoft.com/office/drawing/2014/main" id="{AD8D1BF9-66B1-4479-86A7-176CB2A11AF6}"/>
            </a:ext>
          </a:extLst>
        </xdr:cNvPr>
        <xdr:cNvSpPr>
          <a:spLocks noChangeArrowheads="1"/>
        </xdr:cNvSpPr>
      </xdr:nvSpPr>
      <xdr:spPr bwMode="auto">
        <a:xfrm>
          <a:off x="5473065" y="5867400"/>
          <a:ext cx="3470910" cy="996315"/>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fr-FR" sz="900" b="0" i="0" u="none" strike="noStrike" baseline="0">
              <a:solidFill>
                <a:srgbClr val="FF0000"/>
              </a:solidFill>
              <a:latin typeface="Times New Roman"/>
              <a:cs typeface="Times New Roman"/>
            </a:rPr>
            <a:t>eau de cuisson à 82°c</a:t>
          </a:r>
        </a:p>
      </xdr:txBody>
    </xdr:sp>
    <xdr:clientData/>
  </xdr:twoCellAnchor>
  <xdr:twoCellAnchor>
    <xdr:from>
      <xdr:col>5</xdr:col>
      <xdr:colOff>600075</xdr:colOff>
      <xdr:row>26</xdr:row>
      <xdr:rowOff>123825</xdr:rowOff>
    </xdr:from>
    <xdr:to>
      <xdr:col>8</xdr:col>
      <xdr:colOff>381000</xdr:colOff>
      <xdr:row>26</xdr:row>
      <xdr:rowOff>123825</xdr:rowOff>
    </xdr:to>
    <xdr:sp macro="" textlink="">
      <xdr:nvSpPr>
        <xdr:cNvPr id="3" name="Line 2">
          <a:extLst>
            <a:ext uri="{FF2B5EF4-FFF2-40B4-BE49-F238E27FC236}">
              <a16:creationId xmlns:a16="http://schemas.microsoft.com/office/drawing/2014/main" id="{BBA2AA3A-4C9B-47D6-B957-04EFAF0E4CEF}"/>
            </a:ext>
          </a:extLst>
        </xdr:cNvPr>
        <xdr:cNvSpPr>
          <a:spLocks noChangeShapeType="1"/>
        </xdr:cNvSpPr>
      </xdr:nvSpPr>
      <xdr:spPr bwMode="auto">
        <a:xfrm>
          <a:off x="5648325" y="5838825"/>
          <a:ext cx="3267075" cy="0"/>
        </a:xfrm>
        <a:prstGeom prst="line">
          <a:avLst/>
        </a:prstGeom>
        <a:noFill/>
        <a:ln w="28575">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25</xdr:row>
      <xdr:rowOff>142875</xdr:rowOff>
    </xdr:from>
    <xdr:to>
      <xdr:col>8</xdr:col>
      <xdr:colOff>57150</xdr:colOff>
      <xdr:row>26</xdr:row>
      <xdr:rowOff>161925</xdr:rowOff>
    </xdr:to>
    <xdr:sp macro="" textlink="">
      <xdr:nvSpPr>
        <xdr:cNvPr id="4" name="Line 3">
          <a:extLst>
            <a:ext uri="{FF2B5EF4-FFF2-40B4-BE49-F238E27FC236}">
              <a16:creationId xmlns:a16="http://schemas.microsoft.com/office/drawing/2014/main" id="{CEB08282-458F-48C0-8712-640E76C32A9E}"/>
            </a:ext>
          </a:extLst>
        </xdr:cNvPr>
        <xdr:cNvSpPr>
          <a:spLocks noChangeShapeType="1"/>
        </xdr:cNvSpPr>
      </xdr:nvSpPr>
      <xdr:spPr bwMode="auto">
        <a:xfrm flipV="1">
          <a:off x="7372350" y="5638800"/>
          <a:ext cx="1219200" cy="238125"/>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541020</xdr:colOff>
      <xdr:row>2</xdr:row>
      <xdr:rowOff>137160</xdr:rowOff>
    </xdr:from>
    <xdr:to>
      <xdr:col>9</xdr:col>
      <xdr:colOff>131445</xdr:colOff>
      <xdr:row>4</xdr:row>
      <xdr:rowOff>198120</xdr:rowOff>
    </xdr:to>
    <xdr:sp macro="" textlink="">
      <xdr:nvSpPr>
        <xdr:cNvPr id="5" name="Bulle ronde 4">
          <a:extLst>
            <a:ext uri="{FF2B5EF4-FFF2-40B4-BE49-F238E27FC236}">
              <a16:creationId xmlns:a16="http://schemas.microsoft.com/office/drawing/2014/main" id="{F850F514-6D6C-4526-98CE-7D1FE1214525}"/>
            </a:ext>
          </a:extLst>
        </xdr:cNvPr>
        <xdr:cNvSpPr/>
      </xdr:nvSpPr>
      <xdr:spPr bwMode="auto">
        <a:xfrm>
          <a:off x="7913370" y="594360"/>
          <a:ext cx="1914525" cy="499110"/>
        </a:xfrm>
        <a:prstGeom prst="wedgeEllipseCallout">
          <a:avLst>
            <a:gd name="adj1" fmla="val -84551"/>
            <a:gd name="adj2" fmla="val 33169"/>
          </a:avLst>
        </a:prstGeom>
        <a:ln>
          <a:headEnd type="none" w="med" len="med"/>
          <a:tailEnd type="none" w="med" len="med"/>
        </a:ln>
      </xdr:spPr>
      <xdr:style>
        <a:lnRef idx="1">
          <a:schemeClr val="accent3"/>
        </a:lnRef>
        <a:fillRef idx="2">
          <a:schemeClr val="accent3"/>
        </a:fillRef>
        <a:effectRef idx="1">
          <a:schemeClr val="accent3"/>
        </a:effectRef>
        <a:fontRef idx="minor">
          <a:schemeClr val="dk1"/>
        </a:fontRef>
      </xdr:style>
      <xdr:txBody>
        <a:bodyPr vertOverflow="clip" wrap="square" lIns="18288" tIns="0" rIns="0" bIns="0" rtlCol="0" anchor="ctr" upright="1"/>
        <a:lstStyle/>
        <a:p>
          <a:pPr algn="ctr"/>
          <a:r>
            <a:rPr lang="fr-FR" sz="1100">
              <a:solidFill>
                <a:srgbClr val="FF0000"/>
              </a:solidFill>
            </a:rPr>
            <a:t>Mettre le poids de fabrication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424815</xdr:colOff>
      <xdr:row>26</xdr:row>
      <xdr:rowOff>152400</xdr:rowOff>
    </xdr:from>
    <xdr:to>
      <xdr:col>8</xdr:col>
      <xdr:colOff>409575</xdr:colOff>
      <xdr:row>31</xdr:row>
      <xdr:rowOff>53340</xdr:rowOff>
    </xdr:to>
    <xdr:sp macro="" textlink="">
      <xdr:nvSpPr>
        <xdr:cNvPr id="2" name="AutoShape 1">
          <a:extLst>
            <a:ext uri="{FF2B5EF4-FFF2-40B4-BE49-F238E27FC236}">
              <a16:creationId xmlns:a16="http://schemas.microsoft.com/office/drawing/2014/main" id="{9B5A46A2-B05B-447F-8925-173BBE3E9B7B}"/>
            </a:ext>
          </a:extLst>
        </xdr:cNvPr>
        <xdr:cNvSpPr>
          <a:spLocks noChangeArrowheads="1"/>
        </xdr:cNvSpPr>
      </xdr:nvSpPr>
      <xdr:spPr bwMode="auto">
        <a:xfrm>
          <a:off x="5663565" y="5162550"/>
          <a:ext cx="3385185" cy="853440"/>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fr-FR" sz="900" b="0" i="0" u="none" strike="noStrike" baseline="0">
              <a:solidFill>
                <a:srgbClr val="FF0000"/>
              </a:solidFill>
              <a:latin typeface="Times New Roman"/>
              <a:cs typeface="Times New Roman"/>
            </a:rPr>
            <a:t>eau de cuisson à 82°c</a:t>
          </a:r>
        </a:p>
      </xdr:txBody>
    </xdr:sp>
    <xdr:clientData/>
  </xdr:twoCellAnchor>
  <xdr:twoCellAnchor>
    <xdr:from>
      <xdr:col>5</xdr:col>
      <xdr:colOff>514350</xdr:colOff>
      <xdr:row>26</xdr:row>
      <xdr:rowOff>95250</xdr:rowOff>
    </xdr:from>
    <xdr:to>
      <xdr:col>8</xdr:col>
      <xdr:colOff>304800</xdr:colOff>
      <xdr:row>26</xdr:row>
      <xdr:rowOff>95250</xdr:rowOff>
    </xdr:to>
    <xdr:sp macro="" textlink="">
      <xdr:nvSpPr>
        <xdr:cNvPr id="3" name="Line 2">
          <a:extLst>
            <a:ext uri="{FF2B5EF4-FFF2-40B4-BE49-F238E27FC236}">
              <a16:creationId xmlns:a16="http://schemas.microsoft.com/office/drawing/2014/main" id="{BDDAC1B0-37FE-483D-BC98-0217892F360B}"/>
            </a:ext>
          </a:extLst>
        </xdr:cNvPr>
        <xdr:cNvSpPr>
          <a:spLocks noChangeShapeType="1"/>
        </xdr:cNvSpPr>
      </xdr:nvSpPr>
      <xdr:spPr bwMode="auto">
        <a:xfrm>
          <a:off x="5753100" y="5105400"/>
          <a:ext cx="3190875" cy="0"/>
        </a:xfrm>
        <a:prstGeom prst="line">
          <a:avLst/>
        </a:prstGeom>
        <a:noFill/>
        <a:ln w="28575">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24</xdr:row>
      <xdr:rowOff>95250</xdr:rowOff>
    </xdr:from>
    <xdr:to>
      <xdr:col>8</xdr:col>
      <xdr:colOff>95250</xdr:colOff>
      <xdr:row>26</xdr:row>
      <xdr:rowOff>104775</xdr:rowOff>
    </xdr:to>
    <xdr:sp macro="" textlink="">
      <xdr:nvSpPr>
        <xdr:cNvPr id="4" name="Line 3">
          <a:extLst>
            <a:ext uri="{FF2B5EF4-FFF2-40B4-BE49-F238E27FC236}">
              <a16:creationId xmlns:a16="http://schemas.microsoft.com/office/drawing/2014/main" id="{FCBF96FE-E433-4BA8-9727-67248503365D}"/>
            </a:ext>
          </a:extLst>
        </xdr:cNvPr>
        <xdr:cNvSpPr>
          <a:spLocks noChangeShapeType="1"/>
        </xdr:cNvSpPr>
      </xdr:nvSpPr>
      <xdr:spPr bwMode="auto">
        <a:xfrm flipV="1">
          <a:off x="7724775" y="4724400"/>
          <a:ext cx="1009650" cy="390525"/>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245745</xdr:colOff>
      <xdr:row>2</xdr:row>
      <xdr:rowOff>53340</xdr:rowOff>
    </xdr:from>
    <xdr:to>
      <xdr:col>8</xdr:col>
      <xdr:colOff>1057335</xdr:colOff>
      <xdr:row>4</xdr:row>
      <xdr:rowOff>114300</xdr:rowOff>
    </xdr:to>
    <xdr:sp macro="" textlink="">
      <xdr:nvSpPr>
        <xdr:cNvPr id="5" name="Bulle ronde 4">
          <a:extLst>
            <a:ext uri="{FF2B5EF4-FFF2-40B4-BE49-F238E27FC236}">
              <a16:creationId xmlns:a16="http://schemas.microsoft.com/office/drawing/2014/main" id="{34F612A0-5CB8-4006-8CA9-BA0EFEA66BF5}"/>
            </a:ext>
          </a:extLst>
        </xdr:cNvPr>
        <xdr:cNvSpPr/>
      </xdr:nvSpPr>
      <xdr:spPr bwMode="auto">
        <a:xfrm>
          <a:off x="7808595" y="491490"/>
          <a:ext cx="1887915" cy="441960"/>
        </a:xfrm>
        <a:prstGeom prst="wedgeEllipseCallout">
          <a:avLst>
            <a:gd name="adj1" fmla="val -79275"/>
            <a:gd name="adj2" fmla="val 49167"/>
          </a:avLst>
        </a:prstGeom>
        <a:ln>
          <a:headEnd type="none" w="med" len="med"/>
          <a:tailEnd type="none" w="med" len="med"/>
        </a:ln>
      </xdr:spPr>
      <xdr:style>
        <a:lnRef idx="1">
          <a:schemeClr val="accent3"/>
        </a:lnRef>
        <a:fillRef idx="2">
          <a:schemeClr val="accent3"/>
        </a:fillRef>
        <a:effectRef idx="1">
          <a:schemeClr val="accent3"/>
        </a:effectRef>
        <a:fontRef idx="minor">
          <a:schemeClr val="dk1"/>
        </a:fontRef>
      </xdr:style>
      <xdr:txBody>
        <a:bodyPr vertOverflow="clip" wrap="square" lIns="18288" tIns="0" rIns="0" bIns="0" rtlCol="0" anchor="ctr" upright="1"/>
        <a:lstStyle/>
        <a:p>
          <a:pPr algn="ctr"/>
          <a:r>
            <a:rPr lang="fr-FR" sz="1100">
              <a:solidFill>
                <a:srgbClr val="FF0000"/>
              </a:solidFill>
            </a:rPr>
            <a:t>Mettre le poids de fabrication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415290</xdr:colOff>
      <xdr:row>26</xdr:row>
      <xdr:rowOff>152400</xdr:rowOff>
    </xdr:from>
    <xdr:to>
      <xdr:col>8</xdr:col>
      <xdr:colOff>409585</xdr:colOff>
      <xdr:row>31</xdr:row>
      <xdr:rowOff>53340</xdr:rowOff>
    </xdr:to>
    <xdr:sp macro="" textlink="">
      <xdr:nvSpPr>
        <xdr:cNvPr id="2" name="AutoShape 1">
          <a:extLst>
            <a:ext uri="{FF2B5EF4-FFF2-40B4-BE49-F238E27FC236}">
              <a16:creationId xmlns:a16="http://schemas.microsoft.com/office/drawing/2014/main" id="{6741DB66-E05D-4FD6-9989-4CD8DCD0DFFA}"/>
            </a:ext>
          </a:extLst>
        </xdr:cNvPr>
        <xdr:cNvSpPr>
          <a:spLocks noChangeArrowheads="1"/>
        </xdr:cNvSpPr>
      </xdr:nvSpPr>
      <xdr:spPr bwMode="auto">
        <a:xfrm>
          <a:off x="5501640" y="5629275"/>
          <a:ext cx="3509020" cy="948690"/>
        </a:xfrm>
        <a:custGeom>
          <a:avLst/>
          <a:gdLst>
            <a:gd name="G0" fmla="+- 5400 0 0"/>
            <a:gd name="G1" fmla="+- 21600 0 5400"/>
            <a:gd name="G2" fmla="*/ 5400 1 2"/>
            <a:gd name="G3" fmla="+- 21600 0 G2"/>
            <a:gd name="G4" fmla="+/ 5400 21600 2"/>
            <a:gd name="G5" fmla="+/ G1 0 2"/>
            <a:gd name="G6" fmla="*/ 21600 21600 5400"/>
            <a:gd name="G7" fmla="*/ G6 1 2"/>
            <a:gd name="G8" fmla="+- 21600 0 G7"/>
            <a:gd name="G9" fmla="*/ 21600 1 2"/>
            <a:gd name="G10" fmla="+- 5400 0 G9"/>
            <a:gd name="G11" fmla="?: G10 G8 0"/>
            <a:gd name="G12" fmla="?: G10 G7 21600"/>
            <a:gd name="T0" fmla="*/ 18900 w 21600"/>
            <a:gd name="T1" fmla="*/ 10800 h 21600"/>
            <a:gd name="T2" fmla="*/ 10800 w 21600"/>
            <a:gd name="T3" fmla="*/ 21600 h 21600"/>
            <a:gd name="T4" fmla="*/ 2700 w 21600"/>
            <a:gd name="T5" fmla="*/ 10800 h 21600"/>
            <a:gd name="T6" fmla="*/ 10800 w 21600"/>
            <a:gd name="T7" fmla="*/ 0 h 21600"/>
            <a:gd name="T8" fmla="*/ 4500 w 21600"/>
            <a:gd name="T9" fmla="*/ 4500 h 21600"/>
            <a:gd name="T10" fmla="*/ 17100 w 21600"/>
            <a:gd name="T11" fmla="*/ 17100 h 21600"/>
          </a:gdLst>
          <a:ahLst/>
          <a:cxnLst>
            <a:cxn ang="0">
              <a:pos x="T0" y="T1"/>
            </a:cxn>
            <a:cxn ang="0">
              <a:pos x="T2" y="T3"/>
            </a:cxn>
            <a:cxn ang="0">
              <a:pos x="T4" y="T5"/>
            </a:cxn>
            <a:cxn ang="0">
              <a:pos x="T6" y="T7"/>
            </a:cxn>
          </a:cxnLst>
          <a:rect l="T8" t="T9" r="T10" b="T11"/>
          <a:pathLst>
            <a:path w="21600" h="21600">
              <a:moveTo>
                <a:pt x="0" y="0"/>
              </a:moveTo>
              <a:lnTo>
                <a:pt x="5400" y="21600"/>
              </a:lnTo>
              <a:lnTo>
                <a:pt x="16200" y="21600"/>
              </a:lnTo>
              <a:lnTo>
                <a:pt x="21600" y="0"/>
              </a:lnTo>
              <a:close/>
            </a:path>
          </a:pathLst>
        </a:cu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fr-FR" sz="900" b="0" i="0" u="none" strike="noStrike" baseline="0">
              <a:solidFill>
                <a:srgbClr val="FF0000"/>
              </a:solidFill>
              <a:latin typeface="Times New Roman"/>
              <a:cs typeface="Times New Roman"/>
            </a:rPr>
            <a:t>eau de cuisson à 82°c</a:t>
          </a:r>
        </a:p>
      </xdr:txBody>
    </xdr:sp>
    <xdr:clientData/>
  </xdr:twoCellAnchor>
  <xdr:twoCellAnchor>
    <xdr:from>
      <xdr:col>5</xdr:col>
      <xdr:colOff>485775</xdr:colOff>
      <xdr:row>26</xdr:row>
      <xdr:rowOff>114300</xdr:rowOff>
    </xdr:from>
    <xdr:to>
      <xdr:col>8</xdr:col>
      <xdr:colOff>276225</xdr:colOff>
      <xdr:row>26</xdr:row>
      <xdr:rowOff>114300</xdr:rowOff>
    </xdr:to>
    <xdr:sp macro="" textlink="">
      <xdr:nvSpPr>
        <xdr:cNvPr id="3" name="Line 2">
          <a:extLst>
            <a:ext uri="{FF2B5EF4-FFF2-40B4-BE49-F238E27FC236}">
              <a16:creationId xmlns:a16="http://schemas.microsoft.com/office/drawing/2014/main" id="{7025C571-54F1-4716-AC34-2D54DB752CBF}"/>
            </a:ext>
          </a:extLst>
        </xdr:cNvPr>
        <xdr:cNvSpPr>
          <a:spLocks noChangeShapeType="1"/>
        </xdr:cNvSpPr>
      </xdr:nvSpPr>
      <xdr:spPr bwMode="auto">
        <a:xfrm>
          <a:off x="5572125" y="5591175"/>
          <a:ext cx="3305175" cy="0"/>
        </a:xfrm>
        <a:prstGeom prst="line">
          <a:avLst/>
        </a:prstGeom>
        <a:noFill/>
        <a:ln w="28575">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66675</xdr:colOff>
      <xdr:row>25</xdr:row>
      <xdr:rowOff>171450</xdr:rowOff>
    </xdr:from>
    <xdr:to>
      <xdr:col>8</xdr:col>
      <xdr:colOff>238125</xdr:colOff>
      <xdr:row>26</xdr:row>
      <xdr:rowOff>57150</xdr:rowOff>
    </xdr:to>
    <xdr:sp macro="" textlink="">
      <xdr:nvSpPr>
        <xdr:cNvPr id="4" name="Line 3">
          <a:extLst>
            <a:ext uri="{FF2B5EF4-FFF2-40B4-BE49-F238E27FC236}">
              <a16:creationId xmlns:a16="http://schemas.microsoft.com/office/drawing/2014/main" id="{45BFEB5C-A10B-4A70-821B-416F447A9383}"/>
            </a:ext>
          </a:extLst>
        </xdr:cNvPr>
        <xdr:cNvSpPr>
          <a:spLocks noChangeShapeType="1"/>
        </xdr:cNvSpPr>
      </xdr:nvSpPr>
      <xdr:spPr bwMode="auto">
        <a:xfrm flipV="1">
          <a:off x="7496175" y="5438775"/>
          <a:ext cx="1343025" cy="95250"/>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377190</xdr:colOff>
      <xdr:row>2</xdr:row>
      <xdr:rowOff>68580</xdr:rowOff>
    </xdr:from>
    <xdr:to>
      <xdr:col>8</xdr:col>
      <xdr:colOff>889858</xdr:colOff>
      <xdr:row>4</xdr:row>
      <xdr:rowOff>198120</xdr:rowOff>
    </xdr:to>
    <xdr:sp macro="" textlink="">
      <xdr:nvSpPr>
        <xdr:cNvPr id="5" name="Bulle ronde 4">
          <a:extLst>
            <a:ext uri="{FF2B5EF4-FFF2-40B4-BE49-F238E27FC236}">
              <a16:creationId xmlns:a16="http://schemas.microsoft.com/office/drawing/2014/main" id="{D15BFE00-3685-4B78-A23E-5DA2AC2BAF63}"/>
            </a:ext>
          </a:extLst>
        </xdr:cNvPr>
        <xdr:cNvSpPr/>
      </xdr:nvSpPr>
      <xdr:spPr bwMode="auto">
        <a:xfrm>
          <a:off x="7806690" y="525780"/>
          <a:ext cx="1684243" cy="548640"/>
        </a:xfrm>
        <a:prstGeom prst="wedgeEllipseCallout">
          <a:avLst>
            <a:gd name="adj1" fmla="val -80345"/>
            <a:gd name="adj2" fmla="val 36654"/>
          </a:avLst>
        </a:prstGeom>
        <a:ln>
          <a:headEnd type="none" w="med" len="med"/>
          <a:tailEnd type="none" w="med" len="med"/>
        </a:ln>
      </xdr:spPr>
      <xdr:style>
        <a:lnRef idx="1">
          <a:schemeClr val="accent3"/>
        </a:lnRef>
        <a:fillRef idx="2">
          <a:schemeClr val="accent3"/>
        </a:fillRef>
        <a:effectRef idx="1">
          <a:schemeClr val="accent3"/>
        </a:effectRef>
        <a:fontRef idx="minor">
          <a:schemeClr val="dk1"/>
        </a:fontRef>
      </xdr:style>
      <xdr:txBody>
        <a:bodyPr vertOverflow="clip" wrap="square" lIns="18288" tIns="0" rIns="0" bIns="0" rtlCol="0" anchor="ctr" upright="1"/>
        <a:lstStyle/>
        <a:p>
          <a:pPr algn="ctr"/>
          <a:r>
            <a:rPr lang="fr-FR" sz="1100">
              <a:solidFill>
                <a:srgbClr val="FF0000"/>
              </a:solidFill>
            </a:rPr>
            <a:t>Mettre</a:t>
          </a:r>
          <a:r>
            <a:rPr lang="fr-FR" sz="1100" baseline="0">
              <a:solidFill>
                <a:srgbClr val="FF0000"/>
              </a:solidFill>
            </a:rPr>
            <a:t> le poids de fabrication</a:t>
          </a:r>
          <a:endParaRPr lang="fr-FR" sz="1100">
            <a:solidFill>
              <a:srgbClr val="FF0000"/>
            </a:solidFill>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8" Type="http://schemas.openxmlformats.org/officeDocument/2006/relationships/hyperlink" Target="http://www.diet-life.fr/visuellement-100-calories/" TargetMode="External"/><Relationship Id="rId3" Type="http://schemas.openxmlformats.org/officeDocument/2006/relationships/hyperlink" Target="https://www.lexpress.fr/styles/saveurs/" TargetMode="External"/><Relationship Id="rId7" Type="http://schemas.openxmlformats.org/officeDocument/2006/relationships/hyperlink" Target="http://www.uprt.fr/mesimages/fichiers-uprt/hop-alimentation/hop-photos-quantit%C3%A9s.pdf" TargetMode="External"/><Relationship Id="rId2" Type="http://schemas.openxmlformats.org/officeDocument/2006/relationships/hyperlink" Target="http://www.mamina.fr/2014/12/boudin-blanc-maison-pour-les-fetes.html" TargetMode="External"/><Relationship Id="rId1" Type="http://schemas.openxmlformats.org/officeDocument/2006/relationships/hyperlink" Target="http://www.cuisinealafrancaise.com/fr/2-poids-et-mesures" TargetMode="External"/><Relationship Id="rId6" Type="http://schemas.openxmlformats.org/officeDocument/2006/relationships/hyperlink" Target="http://michelmariette.over-blog.fr/" TargetMode="External"/><Relationship Id="rId11" Type="http://schemas.openxmlformats.org/officeDocument/2006/relationships/drawing" Target="../drawings/drawing5.xml"/><Relationship Id="rId5" Type="http://schemas.openxmlformats.org/officeDocument/2006/relationships/hyperlink" Target="https://www.academiedugout.fr/recettes/boudin-blanc-maison_9793_2" TargetMode="External"/><Relationship Id="rId10" Type="http://schemas.openxmlformats.org/officeDocument/2006/relationships/hyperlink" Target="https://www.bonbache.fr/syntheses-graphiques-excel-avec-les-emoticones-499.html" TargetMode="External"/><Relationship Id="rId4" Type="http://schemas.openxmlformats.org/officeDocument/2006/relationships/hyperlink" Target="http://www.canalblog.com/directory/Cuisine%20et%20Gastronomie/" TargetMode="External"/><Relationship Id="rId9" Type="http://schemas.openxmlformats.org/officeDocument/2006/relationships/hyperlink" Target="https://www.youtube.com/watch?v=8Lz6KCW3Nqo"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13.bin"/><Relationship Id="rId3" Type="http://schemas.openxmlformats.org/officeDocument/2006/relationships/hyperlink" Target="http://michelmariette.over-blog.fr/2016/12/gpao-salaison.html" TargetMode="External"/><Relationship Id="rId7" Type="http://schemas.openxmlformats.org/officeDocument/2006/relationships/hyperlink" Target="http://michelmariette.over-blog.fr/page/2" TargetMode="External"/><Relationship Id="rId2" Type="http://schemas.openxmlformats.org/officeDocument/2006/relationships/hyperlink" Target="http://michelmariette.over-blog.fr/contact" TargetMode="External"/><Relationship Id="rId1" Type="http://schemas.openxmlformats.org/officeDocument/2006/relationships/hyperlink" Target="http://michelmariette.over-blog.fr/" TargetMode="External"/><Relationship Id="rId6" Type="http://schemas.openxmlformats.org/officeDocument/2006/relationships/hyperlink" Target="http://michelmariette.over-blog.fr/article-gpao-de-la-salaison-40710259.html" TargetMode="External"/><Relationship Id="rId5" Type="http://schemas.openxmlformats.org/officeDocument/2006/relationships/hyperlink" Target="http://michelmariette.over-blog.fr/article-gpao-de-la-salaison-40710259.html" TargetMode="External"/><Relationship Id="rId4" Type="http://schemas.openxmlformats.org/officeDocument/2006/relationships/hyperlink" Target="https://www.google.fr/imgres?imgurl=http%3A%2F%2Fimg.over-blog-kiwi.com%2F0%2F66%2F94%2F37%2F201307%2Fob_538b28_1990-illkiirch-graffenstaden.jpg&amp;imgrefurl=http%3A%2F%2Fmichelmariette.over-blog.fr%2Farticle-gpao-de-la-salaison-40710259.html&amp;docid=n386JfQb6" TargetMode="External"/><Relationship Id="rId9" Type="http://schemas.openxmlformats.org/officeDocument/2006/relationships/drawing" Target="../drawings/drawing13.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cuisine-centrale17.fr/" TargetMode="External"/><Relationship Id="rId7" Type="http://schemas.openxmlformats.org/officeDocument/2006/relationships/hyperlink" Target="https://www.hotellerie-restauration.ac-versailles.fr/spip.php?article4551" TargetMode="External"/><Relationship Id="rId2" Type="http://schemas.openxmlformats.org/officeDocument/2006/relationships/hyperlink" Target="https://cuisine-centrale17.fr/" TargetMode="External"/><Relationship Id="rId1" Type="http://schemas.openxmlformats.org/officeDocument/2006/relationships/hyperlink" Target="https://www.hotellerie-restauration.ac-versailles.fr/spip.php?auteur69" TargetMode="External"/><Relationship Id="rId6" Type="http://schemas.openxmlformats.org/officeDocument/2006/relationships/hyperlink" Target="https://www.facebook.com/UPRT.fr" TargetMode="External"/><Relationship Id="rId5" Type="http://schemas.openxmlformats.org/officeDocument/2006/relationships/hyperlink" Target="https://cuisine-centrale17.fr/" TargetMode="External"/><Relationship Id="rId4" Type="http://schemas.openxmlformats.org/officeDocument/2006/relationships/hyperlink" Target="mailto:%20cuisine.centrale17@gmail.com"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3mfrance.fr/3M/fr_FR/post-it-notes/ideas/collaborate/" TargetMode="External"/></Relationships>
</file>

<file path=xl/worksheets/_rels/sheet23.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hyperlink" Target="https://support.office.com/fr-fr/article/Sp%C3%A9cifications-et-limites-relatives-%C3%A0-Excel-1672b34d-7043-467e-8e27-269d656771c3" TargetMode="External"/><Relationship Id="rId7" Type="http://schemas.openxmlformats.org/officeDocument/2006/relationships/hyperlink" Target="https://www.7-zip.fr/" TargetMode="External"/><Relationship Id="rId2" Type="http://schemas.openxmlformats.org/officeDocument/2006/relationships/hyperlink" Target="https://forum.excel-pratique.com/excel/fractionner-colonne-suivant-nombre-de-caracteres-t43147.html" TargetMode="External"/><Relationship Id="rId1" Type="http://schemas.openxmlformats.org/officeDocument/2006/relationships/hyperlink" Target="https://www.youtube.com/watch?v=ImOnZNKHBNU&amp;ab_channel=Tutech" TargetMode="External"/><Relationship Id="rId6" Type="http://schemas.openxmlformats.org/officeDocument/2006/relationships/hyperlink" Target="https://www.google.com/search?q=excel+audit-et-espionner-des-formules-sous-excel/&amp;rlz=1C1AVFC_enFR845FR845&amp;sxsrf=ALeKk00ZkuagfnESYXg-m2UrGlCtwMm4ng:1604142452301&amp;source=lnms&amp;tbm=vid&amp;sa=X&amp;ved=2ahUKEwjl6qao2N7sAhUr5eAKHeQECugQ_AUoAnoECAoQBA&amp;biw=1600&amp;bih=841" TargetMode="External"/><Relationship Id="rId5" Type="http://schemas.openxmlformats.org/officeDocument/2006/relationships/hyperlink" Target="http://lecompagnon.info/excel/analyse.htm" TargetMode="External"/><Relationship Id="rId4" Type="http://schemas.openxmlformats.org/officeDocument/2006/relationships/hyperlink" Target="https://support.office.com/fr-fr/article/Afficher-les-relations-entre-formules-et-cellules-a59bef2b-3701-46bf-8ff1-d3518771d507"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8" Type="http://schemas.openxmlformats.org/officeDocument/2006/relationships/hyperlink" Target="https://portal.health.fgov.be/pls/portal/docs/PAGE/INTERNET_PG/HOMEPAGE_MENU/ABOUTUS1_MENU/INSTITUTIONSAPPARENTEES1_MENU/HOGEGEZONDHEIDSRAAD1_MENU/ADVIEZENENAANBEVELINGEN1_MENU/ADVIEZENENAANBEVELINGEN1_DOCS/6545-2_POIDSETMESURES_FR_2005_2.PDF" TargetMode="External"/><Relationship Id="rId3" Type="http://schemas.openxmlformats.org/officeDocument/2006/relationships/hyperlink" Target="http://www.basesdelacuisine.com/Cadre1/z1/pp80.htm" TargetMode="External"/><Relationship Id="rId7" Type="http://schemas.openxmlformats.org/officeDocument/2006/relationships/hyperlink" Target="https://www.google.fr/webhp?sourceid=chrome-instant&amp;ion=1&amp;espv=2&amp;ie=UTF-8" TargetMode="External"/><Relationship Id="rId12" Type="http://schemas.openxmlformats.org/officeDocument/2006/relationships/printerSettings" Target="../printerSettings/printerSettings22.bin"/><Relationship Id="rId2" Type="http://schemas.openxmlformats.org/officeDocument/2006/relationships/hyperlink" Target="https://www.nubel.be/fra/default.aspx" TargetMode="External"/><Relationship Id="rId1" Type="http://schemas.openxmlformats.org/officeDocument/2006/relationships/hyperlink" Target="http://www.nubel.be/fra/manual/liste_des_denrees_alimentaires.asp" TargetMode="External"/><Relationship Id="rId6" Type="http://schemas.openxmlformats.org/officeDocument/2006/relationships/hyperlink" Target="http://dmcwilshim.canalblog.com/archives/2009/01/18/12131475.html" TargetMode="External"/><Relationship Id="rId11" Type="http://schemas.openxmlformats.org/officeDocument/2006/relationships/hyperlink" Target="https://www.lanutrition.fr/bien-dans-son-assiette/bien-manger/les-recommandations-de-lanutrition.fr/une-portion-cest-combien-" TargetMode="External"/><Relationship Id="rId5" Type="http://schemas.openxmlformats.org/officeDocument/2006/relationships/hyperlink" Target="http://etab.ac-poitiers.fr/lycee-hotelier-la-rochelle/IMG/pdf/Grammage_4.pdf" TargetMode="External"/><Relationship Id="rId10" Type="http://schemas.openxmlformats.org/officeDocument/2006/relationships/hyperlink" Target="http://www.astro.ulg.ac.be/cours/magain/stat/stat52.html" TargetMode="External"/><Relationship Id="rId4" Type="http://schemas.openxmlformats.org/officeDocument/2006/relationships/hyperlink" Target="http://lahalledepessac.com/content/14-fruits-et-legumes-frais-poids-moyen-d-une-piece" TargetMode="External"/><Relationship Id="rId9" Type="http://schemas.openxmlformats.org/officeDocument/2006/relationships/hyperlink" Target="http://www.aliments.org/poids.htm" TargetMode="External"/></Relationships>
</file>

<file path=xl/worksheets/_rels/sheet29.xml.rels><?xml version="1.0" encoding="UTF-8" standalone="yes"?>
<Relationships xmlns="http://schemas.openxmlformats.org/package/2006/relationships"><Relationship Id="rId117" Type="http://schemas.openxmlformats.org/officeDocument/2006/relationships/hyperlink" Target="http://matoumatheux.ac-rennes.fr/geom/solides/5/volcylindre.htm" TargetMode="External"/><Relationship Id="rId21" Type="http://schemas.openxmlformats.org/officeDocument/2006/relationships/hyperlink" Target="http://www.capte-les-maths.com/pourcentage/les_pourcentages_p6.php" TargetMode="External"/><Relationship Id="rId42" Type="http://schemas.openxmlformats.org/officeDocument/2006/relationships/hyperlink" Target="http://www.mdf-xlpages.com/modules/publisher/item.php?itemid=91" TargetMode="External"/><Relationship Id="rId63" Type="http://schemas.openxmlformats.org/officeDocument/2006/relationships/hyperlink" Target="http://www.crenoexpert.fr/flipbooks/expproduit/TABLEAUX-CALIBRES-FRUITS-2.pdf" TargetMode="External"/><Relationship Id="rId84" Type="http://schemas.openxmlformats.org/officeDocument/2006/relationships/hyperlink" Target="http://www.aufeminin.com/fiche/cuisine/f14522-gelatine-et-agar-gar-principes-et-utilisations.html" TargetMode="External"/><Relationship Id="rId16" Type="http://schemas.openxmlformats.org/officeDocument/2006/relationships/hyperlink" Target="http://fortimelp.fr/content/44-calculer-un-pourcentage" TargetMode="External"/><Relationship Id="rId107" Type="http://schemas.openxmlformats.org/officeDocument/2006/relationships/hyperlink" Target="http://matoumatheux.ac-rennes.fr/cours/mesures/convlong.htm" TargetMode="External"/><Relationship Id="rId11" Type="http://schemas.openxmlformats.org/officeDocument/2006/relationships/hyperlink" Target="https://www.deleze.name/marcel/culture/taux_composes/taux_simple.html" TargetMode="External"/><Relationship Id="rId32" Type="http://schemas.openxmlformats.org/officeDocument/2006/relationships/hyperlink" Target="http://excel.quebec/excel-formules-et-fonctions/" TargetMode="External"/><Relationship Id="rId37" Type="http://schemas.openxmlformats.org/officeDocument/2006/relationships/hyperlink" Target="http://www.mdf-xlpages.com/modules/publisher/item.php?itemid=149" TargetMode="External"/><Relationship Id="rId53" Type="http://schemas.openxmlformats.org/officeDocument/2006/relationships/hyperlink" Target="http://www.mdf-xlpages.com/modules/publisher/item.php?itemid=81" TargetMode="External"/><Relationship Id="rId58" Type="http://schemas.openxmlformats.org/officeDocument/2006/relationships/hyperlink" Target="http://www.mdf-xlpages.com/modules/publisher/item.php?itemid=63" TargetMode="External"/><Relationship Id="rId74" Type="http://schemas.openxmlformats.org/officeDocument/2006/relationships/hyperlink" Target="http://joseph.larmarange.net/IMG/pdf/memo_caracteres_speciaux_windows.pdf" TargetMode="External"/><Relationship Id="rId79" Type="http://schemas.openxmlformats.org/officeDocument/2006/relationships/hyperlink" Target="https://www.google.fr/search?q=visualiseur+d%27Emoji+et+de+symboles&amp;oq=visualiseur+d%27Emoji+et+de+symboles&amp;aqs=chrome..69i57.2156j0j8&amp;sourceid=chrome&amp;ie=UTF-8" TargetMode="External"/><Relationship Id="rId102" Type="http://schemas.openxmlformats.org/officeDocument/2006/relationships/hyperlink" Target="http://matoumatheux.ac-rennes.fr/num/proportionnalite/6/creme.htm" TargetMode="External"/><Relationship Id="rId123" Type="http://schemas.openxmlformats.org/officeDocument/2006/relationships/hyperlink" Target="http://webtv.ac-versailles.fr/restauration/Patisserie" TargetMode="External"/><Relationship Id="rId128" Type="http://schemas.openxmlformats.org/officeDocument/2006/relationships/hyperlink" Target="https://www.google.fr/search?q=wedding+cake&amp;espv=2&amp;biw=1600&amp;bih=861&amp;tbm=isch&amp;tbo=u&amp;source=univ&amp;sa=X&amp;ved=0ahUKEwiv0prUhKnKAhWB7xQKHddYAJ8QsAQIIQ&amp;dpr=0.9" TargetMode="External"/><Relationship Id="rId5" Type="http://schemas.openxmlformats.org/officeDocument/2006/relationships/hyperlink" Target="https://www.mathematiquesfaciles.com/pourcentages-calculer-un-pourcentage_2_19885.htm" TargetMode="External"/><Relationship Id="rId90" Type="http://schemas.openxmlformats.org/officeDocument/2006/relationships/hyperlink" Target="http://matoumatheux.ac-rennes.fr/num/probleme/classer.htm" TargetMode="External"/><Relationship Id="rId95" Type="http://schemas.openxmlformats.org/officeDocument/2006/relationships/hyperlink" Target="http://matoumatheux.ac-rennes.fr/num/fractions/6/cocktail1.htm" TargetMode="External"/><Relationship Id="rId22" Type="http://schemas.openxmlformats.org/officeDocument/2006/relationships/hyperlink" Target="https://www.youtube.com/watch?v=SgFaLduHeAE" TargetMode="External"/><Relationship Id="rId27" Type="http://schemas.openxmlformats.org/officeDocument/2006/relationships/hyperlink" Target="https://www.youtube.com/watch?v=PyDvkMr3qfg" TargetMode="External"/><Relationship Id="rId43" Type="http://schemas.openxmlformats.org/officeDocument/2006/relationships/hyperlink" Target="http://www.mdf-xlpages.com/modules/publisher/item.php?itemid=99" TargetMode="External"/><Relationship Id="rId48" Type="http://schemas.openxmlformats.org/officeDocument/2006/relationships/hyperlink" Target="http://www.mdf-xlpages.com/modules/publisher/item.php?itemid=84" TargetMode="External"/><Relationship Id="rId64" Type="http://schemas.openxmlformats.org/officeDocument/2006/relationships/hyperlink" Target="http://www.uprt.fr/mesimages/fichiers-uprt/ff-fiches-fabrication/ff-fiches-fabrication-maj-02-2015/ff-documents-divers-maj-02-2015/ff-fiches-apprentis-Patissiers-07-03-2016.xlsx" TargetMode="External"/><Relationship Id="rId69" Type="http://schemas.openxmlformats.org/officeDocument/2006/relationships/hyperlink" Target="http://www.cuisinealafrancaise.com/fr/2-poids-et-mesures" TargetMode="External"/><Relationship Id="rId113" Type="http://schemas.openxmlformats.org/officeDocument/2006/relationships/hyperlink" Target="http://matoumatheux.ac-rennes.fr/geom/cercle/5/aire.htm" TargetMode="External"/><Relationship Id="rId118" Type="http://schemas.openxmlformats.org/officeDocument/2006/relationships/hyperlink" Target="http://matoumatheux.ac-rennes.fr/num/puissances/gateau.htm" TargetMode="External"/><Relationship Id="rId134" Type="http://schemas.openxmlformats.org/officeDocument/2006/relationships/printerSettings" Target="../printerSettings/printerSettings23.bin"/><Relationship Id="rId80" Type="http://schemas.openxmlformats.org/officeDocument/2006/relationships/hyperlink" Target="http://fr.fonts2u.com/category.html?id=21" TargetMode="External"/><Relationship Id="rId85" Type="http://schemas.openxmlformats.org/officeDocument/2006/relationships/hyperlink" Target="http://chefsimon.lemonde.fr/additifs/agar-agar.html" TargetMode="External"/><Relationship Id="rId12" Type="http://schemas.openxmlformats.org/officeDocument/2006/relationships/hyperlink" Target="https://www.cmath.fr/cesite/presentation.php" TargetMode="External"/><Relationship Id="rId17" Type="http://schemas.openxmlformats.org/officeDocument/2006/relationships/hyperlink" Target="https://fr.wikihow.com/convertir-en-pourcentage" TargetMode="External"/><Relationship Id="rId33" Type="http://schemas.openxmlformats.org/officeDocument/2006/relationships/hyperlink" Target="https://www.maths-et-tiques.fr/telech/Pourcent.pdf" TargetMode="External"/><Relationship Id="rId38" Type="http://schemas.openxmlformats.org/officeDocument/2006/relationships/hyperlink" Target="http://www.mdf-xlpages.com/modules/publisher/item.php?itemid=152" TargetMode="External"/><Relationship Id="rId59" Type="http://schemas.openxmlformats.org/officeDocument/2006/relationships/hyperlink" Target="http://www.mdf-xlpages.com/modules/publisher/item.php?itemid=62" TargetMode="External"/><Relationship Id="rId103" Type="http://schemas.openxmlformats.org/officeDocument/2006/relationships/hyperlink" Target="http://matoumatheux.ac-rennes.fr/num/proportionnalite/6/gateauriz.htm" TargetMode="External"/><Relationship Id="rId108" Type="http://schemas.openxmlformats.org/officeDocument/2006/relationships/hyperlink" Target="http://matoumatheux.ac-rennes.fr/cours/mesures/convmasse.htm" TargetMode="External"/><Relationship Id="rId124" Type="http://schemas.openxmlformats.org/officeDocument/2006/relationships/hyperlink" Target="http://webtv.ac-versailles.fr/restauration/Patisserie" TargetMode="External"/><Relationship Id="rId129" Type="http://schemas.openxmlformats.org/officeDocument/2006/relationships/hyperlink" Target="https://www.youtube.com/results?search_query=wedding+cake" TargetMode="External"/><Relationship Id="rId54" Type="http://schemas.openxmlformats.org/officeDocument/2006/relationships/hyperlink" Target="http://www.mdf-xlpages.com/modules/publisher/item.php?itemid=82" TargetMode="External"/><Relationship Id="rId70" Type="http://schemas.openxmlformats.org/officeDocument/2006/relationships/hyperlink" Target="http://www.cuisinealafrancaise.com/fr/2-poids-et-mesures" TargetMode="External"/><Relationship Id="rId75" Type="http://schemas.openxmlformats.org/officeDocument/2006/relationships/hyperlink" Target="http://fr.fontriver.com/" TargetMode="External"/><Relationship Id="rId91" Type="http://schemas.openxmlformats.org/officeDocument/2006/relationships/hyperlink" Target="http://matoumatheux.ac-rennes.fr/num/probleme/seringue.htm" TargetMode="External"/><Relationship Id="rId96" Type="http://schemas.openxmlformats.org/officeDocument/2006/relationships/hyperlink" Target="http://matoumatheux.ac-rennes.fr/num/fractions/6/cocktail3.htm" TargetMode="External"/><Relationship Id="rId1" Type="http://schemas.openxmlformats.org/officeDocument/2006/relationships/hyperlink" Target="http://fr.answers.yahoo.com/question/index?qid=20090730080951AAKkgPl" TargetMode="External"/><Relationship Id="rId6" Type="http://schemas.openxmlformats.org/officeDocument/2006/relationships/hyperlink" Target="http://www.lyc-monnet-juvisy.ac-versailles.fr/Diapomath.pdf" TargetMode="External"/><Relationship Id="rId23" Type="http://schemas.openxmlformats.org/officeDocument/2006/relationships/hyperlink" Target="https://www.youtube.com/c/YMONKA" TargetMode="External"/><Relationship Id="rId28" Type="http://schemas.openxmlformats.org/officeDocument/2006/relationships/hyperlink" Target="https://www.youtube.com/watch?v=_PTjJ7UD4eo" TargetMode="External"/><Relationship Id="rId49" Type="http://schemas.openxmlformats.org/officeDocument/2006/relationships/hyperlink" Target="http://www.mdf-xlpages.com/modules/publisher/item.php?itemid=94" TargetMode="External"/><Relationship Id="rId114" Type="http://schemas.openxmlformats.org/officeDocument/2006/relationships/hyperlink" Target="http://matoumatheux.ac-rennes.fr/geom/cercle/5/rayon.htm" TargetMode="External"/><Relationship Id="rId119" Type="http://schemas.openxmlformats.org/officeDocument/2006/relationships/hyperlink" Target="http://matoumatheux.ac-rennes.fr/cours/volume/cylindre.htm" TargetMode="External"/><Relationship Id="rId44" Type="http://schemas.openxmlformats.org/officeDocument/2006/relationships/hyperlink" Target="http://www.mdf-xlpages.com/modules/publisher/item.php?itemid=98" TargetMode="External"/><Relationship Id="rId60" Type="http://schemas.openxmlformats.org/officeDocument/2006/relationships/hyperlink" Target="http://www.mdf-xlpages.com/modules/publisher/item.php?itemid=25" TargetMode="External"/><Relationship Id="rId65" Type="http://schemas.openxmlformats.org/officeDocument/2006/relationships/hyperlink" Target="http://www.uprt.fr/mesimages/fichiers-uprt/ff-fiches-fabrication/ff-fiches-fabrication-maj-02-2015/ff-documents-divers-maj-02-2015/ff-Croquis.xlsx" TargetMode="External"/><Relationship Id="rId81" Type="http://schemas.openxmlformats.org/officeDocument/2006/relationships/hyperlink" Target="https://www.google.fr/search?ei=BOQ0WvOSNImaU-OKg4gK&amp;q=caract%C3%A8res++Alphanum%C3%A9riques+cercl%C3%A9s&amp;oq=caract%C3%A8res++Alphanum%C3%A9riques+cercl%C3%A9s&amp;gs_l=psy-ab.12...11580.21189.0.23585.2.2.0.0.0.0.86.163.2.2.0....0...1c.1.64.psy-ab..0.0.0....0" TargetMode="External"/><Relationship Id="rId86" Type="http://schemas.openxmlformats.org/officeDocument/2006/relationships/hyperlink" Target="http://www.google.fr/url?sa=t&amp;rct=j&amp;q=&amp;esrc=s&amp;source=web&amp;cd=19&amp;ved=0CH0QFjAIOAo&amp;url=http%3A%2F%2Fwww.meilleurduchef.com%2Fcgi%2Fmdc%2Fl%2Ffr%2Frecette%2Fglacage-chocolat.html&amp;ei=qIqkUsLvBoO70QXB3IHICQ&amp;usg=AFQjCNEHNXUk5FtDq9jxg3vDAHRvvwqMHw&amp;sig2=gyPSYHO8vFYAfCmt_wkJrA&amp;cad=rja" TargetMode="External"/><Relationship Id="rId130" Type="http://schemas.openxmlformats.org/officeDocument/2006/relationships/hyperlink" Target="http://www.espacegraphique.com/blog/art-floral/faire-un-gateau-vegetal-avec-les-fleurs-du-jardin-2724" TargetMode="External"/><Relationship Id="rId135" Type="http://schemas.openxmlformats.org/officeDocument/2006/relationships/drawing" Target="../drawings/drawing16.xml"/><Relationship Id="rId13" Type="http://schemas.openxmlformats.org/officeDocument/2006/relationships/hyperlink" Target="https://www.cmath.fr/6eme/pourcentages/cours.php" TargetMode="External"/><Relationship Id="rId18" Type="http://schemas.openxmlformats.org/officeDocument/2006/relationships/hyperlink" Target="http://www.astuceshebdo.com/2012/03/comment-calculer-un-pourcentage-cas-n-1.html" TargetMode="External"/><Relationship Id="rId39" Type="http://schemas.openxmlformats.org/officeDocument/2006/relationships/hyperlink" Target="http://www.mdf-xlpages.com/modules/publisher/item.php?itemid=153" TargetMode="External"/><Relationship Id="rId109" Type="http://schemas.openxmlformats.org/officeDocument/2006/relationships/hyperlink" Target="http://matoumatheux.ac-rennes.fr/geom/cercle/Bebert11.htm" TargetMode="External"/><Relationship Id="rId34" Type="http://schemas.openxmlformats.org/officeDocument/2006/relationships/hyperlink" Target="http://www.maths-et-tiques.fr/index.php/cours-en-videos" TargetMode="External"/><Relationship Id="rId50" Type="http://schemas.openxmlformats.org/officeDocument/2006/relationships/hyperlink" Target="http://www.mdf-xlpages.com/modules/publisher/item.php?itemid=83" TargetMode="External"/><Relationship Id="rId55" Type="http://schemas.openxmlformats.org/officeDocument/2006/relationships/hyperlink" Target="http://www.mdf-xlpages.com/modules/publisher/item.php?itemid=90" TargetMode="External"/><Relationship Id="rId76" Type="http://schemas.openxmlformats.org/officeDocument/2006/relationships/hyperlink" Target="https://www.youtube.com/watch?v=wMgBzUHzKvM" TargetMode="External"/><Relationship Id="rId97" Type="http://schemas.openxmlformats.org/officeDocument/2006/relationships/hyperlink" Target="http://matoumatheux.ac-rennes.fr/num/fractions/6/cocktail4.htm" TargetMode="External"/><Relationship Id="rId104" Type="http://schemas.openxmlformats.org/officeDocument/2006/relationships/hyperlink" Target="http://matoumatheux.ac-rennes.fr/num/proportionnalite/6/far.htm" TargetMode="External"/><Relationship Id="rId120" Type="http://schemas.openxmlformats.org/officeDocument/2006/relationships/hyperlink" Target="http://matoumatheux.ac-rennes.fr/cours/aire/airerect.htm" TargetMode="External"/><Relationship Id="rId125" Type="http://schemas.openxmlformats.org/officeDocument/2006/relationships/hyperlink" Target="http://chefsimon.lemonde.fr/recettes/tag/dessert" TargetMode="External"/><Relationship Id="rId7" Type="http://schemas.openxmlformats.org/officeDocument/2006/relationships/hyperlink" Target="http://www.un-calcul.fr/calcul-comptabilite/comment-calculer-un-pourcentage-338" TargetMode="External"/><Relationship Id="rId71" Type="http://schemas.openxmlformats.org/officeDocument/2006/relationships/hyperlink" Target="https://pragmatice.net/kitinstit/3_installer_produire_polices_selection.htm" TargetMode="External"/><Relationship Id="rId92" Type="http://schemas.openxmlformats.org/officeDocument/2006/relationships/hyperlink" Target="http://matoumatheux.ac-rennes.fr/num/probleme/etiquettes.htm" TargetMode="External"/><Relationship Id="rId2" Type="http://schemas.openxmlformats.org/officeDocument/2006/relationships/hyperlink" Target="http://www.1001cocktails.com/magazine/savoir-faire/cocktails-a-etages" TargetMode="External"/><Relationship Id="rId29" Type="http://schemas.openxmlformats.org/officeDocument/2006/relationships/hyperlink" Target="https://www.youtube.com/watch?v=tSp2xkS-tKs" TargetMode="External"/><Relationship Id="rId24" Type="http://schemas.openxmlformats.org/officeDocument/2006/relationships/hyperlink" Target="https://www.youtube.com/watch?v=dWC54hCv0pc" TargetMode="External"/><Relationship Id="rId40" Type="http://schemas.openxmlformats.org/officeDocument/2006/relationships/hyperlink" Target="http://www.mdf-xlpages.com/modules/publisher/item.php?itemid=134" TargetMode="External"/><Relationship Id="rId45" Type="http://schemas.openxmlformats.org/officeDocument/2006/relationships/hyperlink" Target="http://www.mdf-xlpages.com/modules/publisher/item.php?itemid=86" TargetMode="External"/><Relationship Id="rId66" Type="http://schemas.openxmlformats.org/officeDocument/2006/relationships/hyperlink" Target="http://www.uprt.fr/mesimages/fichiers-uprt/ff-fiches-fabrication/ff-fiches-fabrication-maj-02-2015/ff-documents-divers-maj-02-2015/ff-qualiterecettes2007.xls" TargetMode="External"/><Relationship Id="rId87" Type="http://schemas.openxmlformats.org/officeDocument/2006/relationships/hyperlink" Target="http://www.google.fr/url?sa=t&amp;rct=j&amp;q=&amp;esrc=s&amp;source=web&amp;cd=15&amp;ved=0CGsQFjAEOAo&amp;url=http%3A%2F%2Fwww.lesoeufs.ca%2Foeufs101%2Fvoir%2F4%2Fintroduction-aux-oeufs&amp;ei=nISkUs3NCsjb0QXW8YD4CA&amp;usg=AFQjCNEzfLq8I4YY66TSMIK8fPhtE2eduw&amp;sig2=-EnHtzmGG8LO5qkFSlMiQA&amp;bvm=bv.57752919,d.d2k&amp;cad=rja" TargetMode="External"/><Relationship Id="rId110" Type="http://schemas.openxmlformats.org/officeDocument/2006/relationships/hyperlink" Target="http://matoumatheux.ac-rennes.fr/geom/cercle/Bebert21.htm" TargetMode="External"/><Relationship Id="rId115" Type="http://schemas.openxmlformats.org/officeDocument/2006/relationships/hyperlink" Target="http://matoumatheux.ac-rennes.fr/geom/cercle/5/couronne.htm" TargetMode="External"/><Relationship Id="rId131" Type="http://schemas.openxmlformats.org/officeDocument/2006/relationships/hyperlink" Target="http://www.cestmafournee.com/2013/06/quelles-quantites-pour-mon-moule.html" TargetMode="External"/><Relationship Id="rId61" Type="http://schemas.openxmlformats.org/officeDocument/2006/relationships/hyperlink" Target="http://excel.quebec/excel-formules-et-fonctions/" TargetMode="External"/><Relationship Id="rId82" Type="http://schemas.openxmlformats.org/officeDocument/2006/relationships/hyperlink" Target="http://www.uprt.fr/mesimages/fichiers-uprt/pt-procedures-techniques/PT-bonnes-pratiques.doc" TargetMode="External"/><Relationship Id="rId19" Type="http://schemas.openxmlformats.org/officeDocument/2006/relationships/hyperlink" Target="https://www.youtube.com/watch?v=dQafvb2O01U" TargetMode="External"/><Relationship Id="rId14" Type="http://schemas.openxmlformats.org/officeDocument/2006/relationships/hyperlink" Target="https://fr.wikipedia.org/wiki/Pourcentage" TargetMode="External"/><Relationship Id="rId30" Type="http://schemas.openxmlformats.org/officeDocument/2006/relationships/hyperlink" Target="https://web.archive.org/web/20150919082310/http:/www.excelabo.net/" TargetMode="External"/><Relationship Id="rId35" Type="http://schemas.openxmlformats.org/officeDocument/2006/relationships/hyperlink" Target="https://www.economie.gouv.fr/files/files/directions_services/dgccrf/documentation/publications/depliants/poidsbrut_poidsnet.pdf" TargetMode="External"/><Relationship Id="rId56" Type="http://schemas.openxmlformats.org/officeDocument/2006/relationships/hyperlink" Target="http://www.mdf-xlpages.com/modules/publisher/item.php?itemid=76" TargetMode="External"/><Relationship Id="rId77" Type="http://schemas.openxmlformats.org/officeDocument/2006/relationships/hyperlink" Target="https://www.google.fr/search?q=piffom%C3%A9trie&amp;ie=utf-8&amp;oe=utf-8&amp;client=firefox-b&amp;gfe_rd=cr&amp;dcr=0&amp;ei=yYrYWZrKMYfAaMTIipgK" TargetMode="External"/><Relationship Id="rId100" Type="http://schemas.openxmlformats.org/officeDocument/2006/relationships/hyperlink" Target="http://matoumatheux.ac-rennes.fr/num/fractions/6/menthe.htm" TargetMode="External"/><Relationship Id="rId105" Type="http://schemas.openxmlformats.org/officeDocument/2006/relationships/hyperlink" Target="http://matoumatheux.ac-rennes.fr/num/proportionnalite/6/boulangerie.htm" TargetMode="External"/><Relationship Id="rId126" Type="http://schemas.openxmlformats.org/officeDocument/2006/relationships/hyperlink" Target="https://www.google.fr/webhp?sourceid=chrome-instant&amp;ion=1&amp;espv=2&amp;ie=UTF-8" TargetMode="External"/><Relationship Id="rId8" Type="http://schemas.openxmlformats.org/officeDocument/2006/relationships/hyperlink" Target="http://calc.name/blog/comment-compter-le-pourcentage-de-tete-vite-et-facilement/" TargetMode="External"/><Relationship Id="rId51" Type="http://schemas.openxmlformats.org/officeDocument/2006/relationships/hyperlink" Target="http://www.mdf-xlpages.com/modules/publisher/item.php?itemid=87" TargetMode="External"/><Relationship Id="rId72" Type="http://schemas.openxmlformats.org/officeDocument/2006/relationships/hyperlink" Target="http://www.philing.net/" TargetMode="External"/><Relationship Id="rId93" Type="http://schemas.openxmlformats.org/officeDocument/2006/relationships/hyperlink" Target="http://matoumatheux.ac-rennes.fr/num/fractions/6/menthe1.htm" TargetMode="External"/><Relationship Id="rId98" Type="http://schemas.openxmlformats.org/officeDocument/2006/relationships/hyperlink" Target="http://matoumatheux.ac-rennes.fr/num/fractions/6/fractionsM.htm" TargetMode="External"/><Relationship Id="rId121" Type="http://schemas.openxmlformats.org/officeDocument/2006/relationships/hyperlink" Target="http://matoumatheux.ac-rennes.fr/num/diviseur/probleme1.htm" TargetMode="External"/><Relationship Id="rId3" Type="http://schemas.openxmlformats.org/officeDocument/2006/relationships/hyperlink" Target="http://www.aliments.org/poids.htm" TargetMode="External"/><Relationship Id="rId25" Type="http://schemas.openxmlformats.org/officeDocument/2006/relationships/hyperlink" Target="https://www.youtube.com/watch?v=psIZ0y_8VVc" TargetMode="External"/><Relationship Id="rId46" Type="http://schemas.openxmlformats.org/officeDocument/2006/relationships/hyperlink" Target="http://www.mdf-xlpages.com/modules/publisher/item.php?itemid=97" TargetMode="External"/><Relationship Id="rId67" Type="http://schemas.openxmlformats.org/officeDocument/2006/relationships/hyperlink" Target="http://www.uprt.fr/mesimages/fichiers-uprt/ff-fiches-fabrication/ff-fiches-fabrication-maj-02-2015/ff-documents-divers-maj-02-2015/ff-tableau-cuisson.pdf" TargetMode="External"/><Relationship Id="rId116" Type="http://schemas.openxmlformats.org/officeDocument/2006/relationships/hyperlink" Target="http://matoumatheux.ac-rennes.fr/geom/solides/5/airecylindre.htm" TargetMode="External"/><Relationship Id="rId20" Type="http://schemas.openxmlformats.org/officeDocument/2006/relationships/hyperlink" Target="https://www.youtube.com/watch?v=QTGvjmAhEHo" TargetMode="External"/><Relationship Id="rId41" Type="http://schemas.openxmlformats.org/officeDocument/2006/relationships/hyperlink" Target="http://www.mdf-xlpages.com/modules/publisher/item.php?itemid=105" TargetMode="External"/><Relationship Id="rId62" Type="http://schemas.openxmlformats.org/officeDocument/2006/relationships/hyperlink" Target="https://www.excel-downloads.com/resources/" TargetMode="External"/><Relationship Id="rId83" Type="http://schemas.openxmlformats.org/officeDocument/2006/relationships/hyperlink" Target="http://www.google.fr/url?sa=t&amp;rct=j&amp;q=&amp;esrc=s&amp;source=web&amp;cd=6&amp;ved=0CF4QFjAF&amp;url=http%3A%2F%2Fwww.salondublogculinaire.com%2Ft111382_feuilles-de-gelatine.htm&amp;ei=8ImkUqfoKqeS0AW9sICACQ&amp;usg=AFQjCNEc6KKZUXYcSTgjAvrRt2f6csBBuQ&amp;sig2=nBOHIqhSlud28pCjSyBh9g&amp;cad=rja" TargetMode="External"/><Relationship Id="rId88" Type="http://schemas.openxmlformats.org/officeDocument/2006/relationships/hyperlink" Target="http://matoumatheux.ac-rennes.fr/sommaire.php?niv=6" TargetMode="External"/><Relationship Id="rId111" Type="http://schemas.openxmlformats.org/officeDocument/2006/relationships/hyperlink" Target="http://matoumatheux.ac-rennes.fr/geom/cercle/chien.htm" TargetMode="External"/><Relationship Id="rId132" Type="http://schemas.openxmlformats.org/officeDocument/2006/relationships/hyperlink" Target="http://forum.excel-pratique.com/excel/donner-la-forme-de-carres-reguliers-a-toutes-les-cellules-t9229.html" TargetMode="External"/><Relationship Id="rId15" Type="http://schemas.openxmlformats.org/officeDocument/2006/relationships/hyperlink" Target="http://fabie.info.pagesperso-orange.fr/math/cours7.htm" TargetMode="External"/><Relationship Id="rId36" Type="http://schemas.openxmlformats.org/officeDocument/2006/relationships/hyperlink" Target="http://www.mdf-xlpages.com/modules/publisher/item.php?itemid=167" TargetMode="External"/><Relationship Id="rId57" Type="http://schemas.openxmlformats.org/officeDocument/2006/relationships/hyperlink" Target="http://www.mdf-xlpages.com/modules/publisher/item.php?itemid=64" TargetMode="External"/><Relationship Id="rId106" Type="http://schemas.openxmlformats.org/officeDocument/2006/relationships/hyperlink" Target="http://matoumatheux.ac-rennes.fr/geom/unite/mesureur.htm" TargetMode="External"/><Relationship Id="rId127" Type="http://schemas.openxmlformats.org/officeDocument/2006/relationships/hyperlink" Target="https://www.google.fr/search?q=cake+design&amp;espv=2&amp;biw=1600&amp;bih=861&amp;source=lnms&amp;tbm=isch&amp;sa=X&amp;sqi=2&amp;ved=0ahUKEwiWztWng6nKAhWMWRQKHbLuDEQQ_AUIBigB&amp;dpr=0.9" TargetMode="External"/><Relationship Id="rId10" Type="http://schemas.openxmlformats.org/officeDocument/2006/relationships/hyperlink" Target="http://www.slate.fr/story/82029/soldes-calculer-rabais" TargetMode="External"/><Relationship Id="rId31" Type="http://schemas.openxmlformats.org/officeDocument/2006/relationships/hyperlink" Target="http://www.mdf-xlpages.com/modules/publisher/" TargetMode="External"/><Relationship Id="rId52" Type="http://schemas.openxmlformats.org/officeDocument/2006/relationships/hyperlink" Target="http://www.mdf-xlpages.com/modules/publisher/item.php?itemid=85" TargetMode="External"/><Relationship Id="rId73" Type="http://schemas.openxmlformats.org/officeDocument/2006/relationships/hyperlink" Target="http://jacques-andre.fr/faqtypo/lessons.pdf" TargetMode="External"/><Relationship Id="rId78" Type="http://schemas.openxmlformats.org/officeDocument/2006/relationships/hyperlink" Target="http://unicode.org/" TargetMode="External"/><Relationship Id="rId94" Type="http://schemas.openxmlformats.org/officeDocument/2006/relationships/hyperlink" Target="http://matoumatheux.ac-rennes.fr/num/fractions/6/cocktail2.htm" TargetMode="External"/><Relationship Id="rId99" Type="http://schemas.openxmlformats.org/officeDocument/2006/relationships/hyperlink" Target="http://matoumatheux.ac-rennes.fr/num/fractions/6/fractionsM2.htm" TargetMode="External"/><Relationship Id="rId101" Type="http://schemas.openxmlformats.org/officeDocument/2006/relationships/hyperlink" Target="http://matoumatheux.ac-rennes.fr/num/fractions/6/poisson.htm" TargetMode="External"/><Relationship Id="rId122" Type="http://schemas.openxmlformats.org/officeDocument/2006/relationships/hyperlink" Target="http://matoumatheux.ac-rennes.fr/num/courbe/casserole.htm" TargetMode="External"/><Relationship Id="rId4" Type="http://schemas.openxmlformats.org/officeDocument/2006/relationships/hyperlink" Target="http://www.nubel.be/fra/manual/liste_des_denrees_alimentaires.asp" TargetMode="External"/><Relationship Id="rId9" Type="http://schemas.openxmlformats.org/officeDocument/2006/relationships/hyperlink" Target="http://www.capte-les-maths.com/pourcentage/les_pourcentages_p10.php" TargetMode="External"/><Relationship Id="rId26" Type="http://schemas.openxmlformats.org/officeDocument/2006/relationships/hyperlink" Target="https://www.youtube.com/watch?v=mGDjvAcvigc" TargetMode="External"/><Relationship Id="rId47" Type="http://schemas.openxmlformats.org/officeDocument/2006/relationships/hyperlink" Target="http://www.mdf-xlpages.com/modules/publisher/item.php?itemid=93" TargetMode="External"/><Relationship Id="rId68" Type="http://schemas.openxmlformats.org/officeDocument/2006/relationships/hyperlink" Target="http://miam-images.centerblog.net/rub-vaisselle-ustensiles-de-cuisson--3.html" TargetMode="External"/><Relationship Id="rId89" Type="http://schemas.openxmlformats.org/officeDocument/2006/relationships/hyperlink" Target="http://matoumatheux.ac-rennes.fr/num/numeration/doigt.htm" TargetMode="External"/><Relationship Id="rId112" Type="http://schemas.openxmlformats.org/officeDocument/2006/relationships/hyperlink" Target="http://matoumatheux.ac-rennes.fr/geom/solides/6/ruban.htm" TargetMode="External"/><Relationship Id="rId133" Type="http://schemas.openxmlformats.org/officeDocument/2006/relationships/hyperlink" Target="http://www.mylittlerecettes.com/cap-patissier-les-oeufs-en-patisseri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excel-downloads.com/remository/Download/Professionnels/Planification-et-gestion-de-projets/SPACE.html" TargetMode="External"/><Relationship Id="rId2" Type="http://schemas.openxmlformats.org/officeDocument/2006/relationships/hyperlink" Target="http://www.excel-downloads.com/forum/111720-space.html" TargetMode="External"/><Relationship Id="rId1" Type="http://schemas.openxmlformats.org/officeDocument/2006/relationships/hyperlink" Target="http://michelmariette.over-blog.fr/" TargetMode="External"/><Relationship Id="rId6" Type="http://schemas.openxmlformats.org/officeDocument/2006/relationships/drawing" Target="../drawings/drawing2.xml"/><Relationship Id="rId5" Type="http://schemas.openxmlformats.org/officeDocument/2006/relationships/hyperlink" Target="https://www.google.fr/search?q=piffom%C3%A9trie&amp;ie=utf-8&amp;oe=utf-8&amp;client=firefox-b&amp;gfe_rd=cr&amp;dcr=0&amp;ei=yYrYWZrKMYfAaMTIipgK" TargetMode="External"/><Relationship Id="rId4" Type="http://schemas.openxmlformats.org/officeDocument/2006/relationships/hyperlink" Target="https://www.google.fr/search?q=piffom%C3%A9trie&amp;ie=utf-8&amp;oe=utf-8&amp;client=firefox-b&amp;gfe_rd=cr&amp;dcr=0&amp;ei=yYrYWZrKMYfAaMTIipgK" TargetMode="External"/></Relationships>
</file>

<file path=xl/worksheets/_rels/sheet30.xml.rels><?xml version="1.0" encoding="UTF-8" standalone="yes"?>
<Relationships xmlns="http://schemas.openxmlformats.org/package/2006/relationships"><Relationship Id="rId3" Type="http://schemas.openxmlformats.org/officeDocument/2006/relationships/hyperlink" Target="https://www.encoreungateau.com/pourquoi-un-blog-de-patisserie/vocabulaire-du-patissier/" TargetMode="External"/><Relationship Id="rId2" Type="http://schemas.openxmlformats.org/officeDocument/2006/relationships/hyperlink" Target="https://devenirpatissier.fr/vocabulaire-professionnel/" TargetMode="External"/><Relationship Id="rId1" Type="http://schemas.openxmlformats.org/officeDocument/2006/relationships/hyperlink" Target="http://devenir.patissier.free.fr/cours-CAP-vocabulaire-professionnel-eleve.pdf" TargetMode="External"/><Relationship Id="rId5" Type="http://schemas.openxmlformats.org/officeDocument/2006/relationships/drawing" Target="../drawings/drawing17.xml"/><Relationship Id="rId4" Type="http://schemas.openxmlformats.org/officeDocument/2006/relationships/hyperlink" Target="https://www.mercotte.fr/lexique/termes-culinaires/" TargetMode="Externa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hyperlink" Target="https://www.mercotte.fr/lexique/termes-culinaires/" TargetMode="External"/></Relationships>
</file>

<file path=xl/worksheets/_rels/sheet32.xml.rels><?xml version="1.0" encoding="UTF-8" standalone="yes"?>
<Relationships xmlns="http://schemas.openxmlformats.org/package/2006/relationships"><Relationship Id="rId8" Type="http://schemas.openxmlformats.org/officeDocument/2006/relationships/hyperlink" Target="https://www.cmath.fr/6eme/pourcentages/cours.php" TargetMode="External"/><Relationship Id="rId13" Type="http://schemas.openxmlformats.org/officeDocument/2006/relationships/hyperlink" Target="https://www.youtube.com/watch?v=dQafvb2O01U" TargetMode="External"/><Relationship Id="rId18" Type="http://schemas.openxmlformats.org/officeDocument/2006/relationships/hyperlink" Target="https://www.youtube.com/watch?v=dWC54hCv0pc" TargetMode="External"/><Relationship Id="rId26" Type="http://schemas.openxmlformats.org/officeDocument/2006/relationships/hyperlink" Target="https://www.google.com/search?client=firefox-b-d&amp;sca_esv=564255901&amp;sxsrf=AB5stBihJ69cL1ng1vQDYXKmUFWjQYd6jQ:1694407722726&amp;q=dgccrf+Poids+brut+ou+poids+net+?+Ne+payer+pas+l%27emballage+!&amp;spell=1&amp;sa=X&amp;ved=2ahUKEwjRtKvT4KGBAxVJWqQEHb3mCrcQBSgAegQICBAB&amp;biw=1564&amp;bih=722&amp;dpr=1.2" TargetMode="External"/><Relationship Id="rId3" Type="http://schemas.openxmlformats.org/officeDocument/2006/relationships/hyperlink" Target="http://www.un-calcul.fr/calcul-comptabilite/comment-calculer-un-pourcentage-338" TargetMode="External"/><Relationship Id="rId21" Type="http://schemas.openxmlformats.org/officeDocument/2006/relationships/hyperlink" Target="https://www.youtube.com/watch?v=_PTjJ7UD4eo" TargetMode="External"/><Relationship Id="rId7" Type="http://schemas.openxmlformats.org/officeDocument/2006/relationships/hyperlink" Target="https://www.cmath.fr/cesite/presentation.php" TargetMode="External"/><Relationship Id="rId12" Type="http://schemas.openxmlformats.org/officeDocument/2006/relationships/hyperlink" Target="http://www.astuceshebdo.com/2012/03/comment-calculer-un-pourcentage-cas-n-1.html" TargetMode="External"/><Relationship Id="rId17" Type="http://schemas.openxmlformats.org/officeDocument/2006/relationships/hyperlink" Target="https://www.youtube.com/c/YMONKA" TargetMode="External"/><Relationship Id="rId25" Type="http://schemas.openxmlformats.org/officeDocument/2006/relationships/hyperlink" Target="https://www.google.com/search?q=comment-compter-le-pourcentage-de-tete-vite-et-facilement&amp;client=firefox-b-d&amp;sca_esv=564255901&amp;sxsrf=AB5stBht_2JMUoJjcN6G_I3PsSwWLfGaWQ:1694407223966&amp;source=lnms&amp;sa=X&amp;ved=2ahUKEwjSxMHl3qGBAxU6TaQEHfycCw8Q_AUoAHoECAEQAg&amp;biw=1564&amp;bih=722&amp;dpr=1.2" TargetMode="External"/><Relationship Id="rId2" Type="http://schemas.openxmlformats.org/officeDocument/2006/relationships/hyperlink" Target="http://www.lyc-monnet-juvisy.ac-versailles.fr/Diapomath.pdf" TargetMode="External"/><Relationship Id="rId16" Type="http://schemas.openxmlformats.org/officeDocument/2006/relationships/hyperlink" Target="https://www.youtube.com/watch?v=SgFaLduHeAE" TargetMode="External"/><Relationship Id="rId20" Type="http://schemas.openxmlformats.org/officeDocument/2006/relationships/hyperlink" Target="https://www.youtube.com/watch?v=mGDjvAcvigc" TargetMode="External"/><Relationship Id="rId1" Type="http://schemas.openxmlformats.org/officeDocument/2006/relationships/hyperlink" Target="https://www.mathematiquesfaciles.com/pourcentages-calculer-un-pourcentage_2_19885.htm" TargetMode="External"/><Relationship Id="rId6" Type="http://schemas.openxmlformats.org/officeDocument/2006/relationships/hyperlink" Target="https://www.deleze.name/marcel/culture/taux_composes/taux_simple.html" TargetMode="External"/><Relationship Id="rId11" Type="http://schemas.openxmlformats.org/officeDocument/2006/relationships/hyperlink" Target="https://fr.wikihow.com/convertir-en-pourcentage" TargetMode="External"/><Relationship Id="rId24" Type="http://schemas.openxmlformats.org/officeDocument/2006/relationships/hyperlink" Target="http://www.maths-et-tiques.fr/index.php/cours-en-videos" TargetMode="External"/><Relationship Id="rId5" Type="http://schemas.openxmlformats.org/officeDocument/2006/relationships/hyperlink" Target="http://www.slate.fr/story/82029/soldes-calculer-rabais" TargetMode="External"/><Relationship Id="rId15" Type="http://schemas.openxmlformats.org/officeDocument/2006/relationships/hyperlink" Target="http://www.capte-les-maths.com/pourcentage/les_pourcentages_p6.php" TargetMode="External"/><Relationship Id="rId23" Type="http://schemas.openxmlformats.org/officeDocument/2006/relationships/hyperlink" Target="https://www.maths-et-tiques.fr/telech/Pourcent.pdf" TargetMode="External"/><Relationship Id="rId10" Type="http://schemas.openxmlformats.org/officeDocument/2006/relationships/hyperlink" Target="http://fortimelp.fr/content/44-calculer-un-pourcentage" TargetMode="External"/><Relationship Id="rId19" Type="http://schemas.openxmlformats.org/officeDocument/2006/relationships/hyperlink" Target="https://www.youtube.com/watch?v=psIZ0y_8VVc" TargetMode="External"/><Relationship Id="rId4" Type="http://schemas.openxmlformats.org/officeDocument/2006/relationships/hyperlink" Target="http://www.capte-les-maths.com/pourcentage/les_pourcentages_p10.php" TargetMode="External"/><Relationship Id="rId9" Type="http://schemas.openxmlformats.org/officeDocument/2006/relationships/hyperlink" Target="https://fr.wikipedia.org/wiki/Pourcentage" TargetMode="External"/><Relationship Id="rId14" Type="http://schemas.openxmlformats.org/officeDocument/2006/relationships/hyperlink" Target="https://www.youtube.com/watch?v=QTGvjmAhEHo" TargetMode="External"/><Relationship Id="rId22" Type="http://schemas.openxmlformats.org/officeDocument/2006/relationships/hyperlink" Target="https://www.youtube.com/watch?v=tSp2xkS-tKs" TargetMode="External"/><Relationship Id="rId27" Type="http://schemas.openxmlformats.org/officeDocument/2006/relationships/drawing" Target="../drawings/drawing19.xml"/></Relationships>
</file>

<file path=xl/worksheets/_rels/sheet33.xml.rels><?xml version="1.0" encoding="UTF-8" standalone="yes"?>
<Relationships xmlns="http://schemas.openxmlformats.org/package/2006/relationships"><Relationship Id="rId8" Type="http://schemas.openxmlformats.org/officeDocument/2006/relationships/hyperlink" Target="https://www.excel-exercice.com/modulo-mod/" TargetMode="External"/><Relationship Id="rId13" Type="http://schemas.openxmlformats.org/officeDocument/2006/relationships/hyperlink" Target="https://www.google.com/search?client=firefox-b-d&amp;q=banque+d%27image+cuisine+patisserie+charcuterie+fromage" TargetMode="External"/><Relationship Id="rId3" Type="http://schemas.openxmlformats.org/officeDocument/2006/relationships/hyperlink" Target="https://www.dieteticien-nutritionniste-sante.com/conseils-alimentaires/a-telecharger/6545-2_POIDSETMESURES_FR_2005_2_4400388_fr.pdf" TargetMode="External"/><Relationship Id="rId7" Type="http://schemas.openxmlformats.org/officeDocument/2006/relationships/hyperlink" Target="https://www.youtube.com/watch?v=zSpH3J0RKUQ" TargetMode="External"/><Relationship Id="rId12" Type="http://schemas.openxmlformats.org/officeDocument/2006/relationships/hyperlink" Target="https://www.lesoeufs.ca/oeufs101/voir/4/introduction-aux-oeufs" TargetMode="External"/><Relationship Id="rId2" Type="http://schemas.openxmlformats.org/officeDocument/2006/relationships/hyperlink" Target="http://www.aliments.org/poids.htm" TargetMode="External"/><Relationship Id="rId1" Type="http://schemas.openxmlformats.org/officeDocument/2006/relationships/hyperlink" Target="https://fr.wikipedia.org/wiki/Gastro_Norm" TargetMode="External"/><Relationship Id="rId6" Type="http://schemas.openxmlformats.org/officeDocument/2006/relationships/hyperlink" Target="https://www.youtube.com/watch?v=oLiOogBFyqw" TargetMode="External"/><Relationship Id="rId11" Type="http://schemas.openxmlformats.org/officeDocument/2006/relationships/hyperlink" Target="https://www.meilleurduchef.com/fr/recette/glacage-brillant-chocolat.html" TargetMode="External"/><Relationship Id="rId5" Type="http://schemas.openxmlformats.org/officeDocument/2006/relationships/hyperlink" Target="http://miam-images.centerblog.net/rub-vaisselle-ustensiles-de-cuisson--3.html" TargetMode="External"/><Relationship Id="rId15" Type="http://schemas.openxmlformats.org/officeDocument/2006/relationships/drawing" Target="../drawings/drawing20.xml"/><Relationship Id="rId10" Type="http://schemas.openxmlformats.org/officeDocument/2006/relationships/hyperlink" Target="https://www.google.com/search?q=feuilles+de+g%C3%A9latine&amp;client=firefox-b-d&amp;sca_esv=564262174&amp;tbm=vid&amp;sxsrf=AB5stBhVwchfIVK22tzLW58_8S7u2IL_Rg:1694411797681&amp;source=lnms&amp;sa=X&amp;ved=2ahUKEwjp9bbq76GBAxWCTaQEHXZcBtcQ_AUoA3oECAIQBQ&amp;biw=1564&amp;bih=722&amp;dpr=1.2" TargetMode="External"/><Relationship Id="rId4" Type="http://schemas.openxmlformats.org/officeDocument/2006/relationships/hyperlink" Target="http://www.crenoexpert.fr/flipbooks/expproduit/TABLEAUX-CALIBRES-FRUITS-2.pdf" TargetMode="External"/><Relationship Id="rId9" Type="http://schemas.openxmlformats.org/officeDocument/2006/relationships/hyperlink" Target="https://www.google.com/search?q=g%C3%A9latine+et+agar-agar+principes+et+utilisations&amp;client=firefox-b-d&amp;sca_esv=564262174&amp;tbm=vid&amp;sxsrf=AB5stBizTm0AytiaSjIib_2tQMKOnr0Ang:1694411714355&amp;source=lnms&amp;sa=X&amp;ved=2ahUKEwjoidnC76GBAxWIdqQEHRtbAJsQ_AUoA3oECAQQBQ&amp;biw=1564&amp;bih=722&amp;dpr=1.2" TargetMode="External"/><Relationship Id="rId14" Type="http://schemas.openxmlformats.org/officeDocument/2006/relationships/hyperlink" Target="https://www.google.com/search?client=firefox-b-d&amp;q=Quelle+quantit%C3%A9+dans+mon+assiette+%3F"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dieteticienne.over-blog.com/article-pourcentage-de-dechets-des-viandes-97921565.html?utm_source=chatgpt.com" TargetMode="External"/><Relationship Id="rId3" Type="http://schemas.openxmlformats.org/officeDocument/2006/relationships/hyperlink" Target="https://www.facebook.com/DKcoaching.prepa/posts/conna%C3%AEtre-les-%C3%A9quivalences-poids-crucuit-voil%C3%A0-un-post-qui-jesp%C3%A8re-te-sembleras-/1103043807120035/" TargetMode="External"/><Relationship Id="rId7" Type="http://schemas.openxmlformats.org/officeDocument/2006/relationships/hyperlink" Target="https://fatsecretfrance.fr/astuces-et-conseils/equivalences-cru-cuit/" TargetMode="External"/><Relationship Id="rId12" Type="http://schemas.openxmlformats.org/officeDocument/2006/relationships/drawing" Target="../drawings/drawing21.xml"/><Relationship Id="rId2" Type="http://schemas.openxmlformats.org/officeDocument/2006/relationships/hyperlink" Target="https://guide-alimentaire.canada.ca/fr/" TargetMode="External"/><Relationship Id="rId1" Type="http://schemas.openxmlformats.org/officeDocument/2006/relationships/hyperlink" Target="https://books.google.fr/books?id=ldcKa0614jAC&amp;newbks=1&amp;newbks_redir=0&amp;printsec=frontcover" TargetMode="External"/><Relationship Id="rId6" Type="http://schemas.openxmlformats.org/officeDocument/2006/relationships/hyperlink" Target="https://www.facebook.com/ecolosophie/posts/toujours-int%C3%A9ressant-de-savoir-l%C3%A9quivalence-entre-cuit-et-cru/2819013355067283/" TargetMode="External"/><Relationship Id="rId11" Type="http://schemas.openxmlformats.org/officeDocument/2006/relationships/hyperlink" Target="https://goodfood.brussels/sites/default/files/inline-files/Vademecum%20cantines%20FR%20-%2020240828.pdf" TargetMode="External"/><Relationship Id="rId5" Type="http://schemas.openxmlformats.org/officeDocument/2006/relationships/hyperlink" Target="https://faq.croq-kilos.com/hc/fr/articles/360018894799-Equivalence-poids-cru-et-cuit" TargetMode="External"/><Relationship Id="rId10" Type="http://schemas.openxmlformats.org/officeDocument/2006/relationships/hyperlink" Target="https://goodfood.brussels/fr/news/modification-du-critere-de-lassiette-equilibree-grammages-de-viande-du-label-cantine-good-food?domain=cit" TargetMode="External"/><Relationship Id="rId4" Type="http://schemas.openxmlformats.org/officeDocument/2006/relationships/hyperlink" Target="https://fr.pinterest.com/brigittek80/equivalences-crucuit/" TargetMode="External"/><Relationship Id="rId9" Type="http://schemas.openxmlformats.org/officeDocument/2006/relationships/hyperlink" Target="https://environnement.brussels/citoyen/outils-et-donnees/sites-web-et-outils/lalimentation-durable-bruxelles" TargetMode="External"/></Relationships>
</file>

<file path=xl/worksheets/_rels/sheet35.xml.rels><?xml version="1.0" encoding="UTF-8" standalone="yes"?>
<Relationships xmlns="http://schemas.openxmlformats.org/package/2006/relationships"><Relationship Id="rId8" Type="http://schemas.openxmlformats.org/officeDocument/2006/relationships/hyperlink" Target="https://www.redacteur.com/blog/polices-ecriture-a-utiliser/" TargetMode="External"/><Relationship Id="rId13" Type="http://schemas.openxmlformats.org/officeDocument/2006/relationships/hyperlink" Target="https://www.canva.com/fr_fr/decouvrir/association-de-couleur-tendance-exemple/" TargetMode="External"/><Relationship Id="rId3" Type="http://schemas.openxmlformats.org/officeDocument/2006/relationships/hyperlink" Target="https://encycolorpedia.com/html" TargetMode="External"/><Relationship Id="rId7" Type="http://schemas.openxmlformats.org/officeDocument/2006/relationships/hyperlink" Target="https://blog.atalan.fr/grille-contrastes-accessibilite-charte-graphique/" TargetMode="External"/><Relationship Id="rId12" Type="http://schemas.openxmlformats.org/officeDocument/2006/relationships/hyperlink" Target="https://clickup.com/fr-FR/blog/202591/comment-faire-un-code-couleur-dans-excel" TargetMode="External"/><Relationship Id="rId2" Type="http://schemas.openxmlformats.org/officeDocument/2006/relationships/hyperlink" Target="https://encycolorpedia.com/websafe" TargetMode="External"/><Relationship Id="rId1" Type="http://schemas.openxmlformats.org/officeDocument/2006/relationships/hyperlink" Target="http://translate.google.fr/translate?hl=fr&amp;langpair=en|fr&amp;u=http://dmcritchie.mvps.org/excel/colors.htm" TargetMode="External"/><Relationship Id="rId6" Type="http://schemas.openxmlformats.org/officeDocument/2006/relationships/hyperlink" Target="https://www.tanaguru.com/contrastes-couleurs-choisir-combinaisons-accessibles/" TargetMode="External"/><Relationship Id="rId11" Type="http://schemas.openxmlformats.org/officeDocument/2006/relationships/hyperlink" Target="https://excel-downloads.com/forums/forum-excel.7/" TargetMode="External"/><Relationship Id="rId5" Type="http://schemas.openxmlformats.org/officeDocument/2006/relationships/hyperlink" Target="https://encycolorpedia.com/paints" TargetMode="External"/><Relationship Id="rId10" Type="http://schemas.openxmlformats.org/officeDocument/2006/relationships/hyperlink" Target="https://excel-pratique.com/fr/vba/liste-couleurs-rgb.php" TargetMode="External"/><Relationship Id="rId4" Type="http://schemas.openxmlformats.org/officeDocument/2006/relationships/hyperlink" Target="https://encycolorpedia.com/named" TargetMode="External"/><Relationship Id="rId9" Type="http://schemas.openxmlformats.org/officeDocument/2006/relationships/hyperlink" Target="https://www.iloveimg.com/fr" TargetMode="External"/><Relationship Id="rId14" Type="http://schemas.openxmlformats.org/officeDocument/2006/relationships/printerSettings" Target="../printerSettings/printerSettings24.bin"/></Relationships>
</file>

<file path=xl/worksheets/_rels/sheet36.xml.rels><?xml version="1.0" encoding="UTF-8" standalone="yes"?>
<Relationships xmlns="http://schemas.openxmlformats.org/package/2006/relationships"><Relationship Id="rId3" Type="http://schemas.openxmlformats.org/officeDocument/2006/relationships/hyperlink" Target="https://www.youtube.com/shorts/fBWGlwtdljc" TargetMode="External"/><Relationship Id="rId2" Type="http://schemas.openxmlformats.org/officeDocument/2006/relationships/hyperlink" Target="https://www.youtube.com/watch?v=aZ-SY0ORaoA" TargetMode="External"/><Relationship Id="rId1" Type="http://schemas.openxmlformats.org/officeDocument/2006/relationships/hyperlink" Target="https://www.youtube.com/watch?v=Lozx5O243Do" TargetMode="External"/><Relationship Id="rId6" Type="http://schemas.openxmlformats.org/officeDocument/2006/relationships/hyperlink" Target="https://chatgpt.com/share/67b0cbdb-19d8-8007-823f-c64157ad99cf" TargetMode="External"/><Relationship Id="rId5" Type="http://schemas.openxmlformats.org/officeDocument/2006/relationships/hyperlink" Target="https://youtu.be/wn3uinXeO-Y" TargetMode="External"/><Relationship Id="rId4" Type="http://schemas.openxmlformats.org/officeDocument/2006/relationships/hyperlink" Target="https://www.youtube.com/watch?v=Q_NLy_NQ86M&amp;list=PL_YIPTyDwH029le6-8T91wPfpqGH-iIIU" TargetMode="External"/></Relationships>
</file>

<file path=xl/worksheets/_rels/sheet37.xml.rels><?xml version="1.0" encoding="UTF-8" standalone="yes"?>
<Relationships xmlns="http://schemas.openxmlformats.org/package/2006/relationships"><Relationship Id="rId8" Type="http://schemas.openxmlformats.org/officeDocument/2006/relationships/hyperlink" Target="https://emojiterra.com/fr/liste-fr/" TargetMode="External"/><Relationship Id="rId13" Type="http://schemas.openxmlformats.org/officeDocument/2006/relationships/hyperlink" Target="https://fr.emojiguide.com/nourriture-boissons/" TargetMode="External"/><Relationship Id="rId3" Type="http://schemas.openxmlformats.org/officeDocument/2006/relationships/hyperlink" Target="https://www.facebook.com/GetEmoji/" TargetMode="External"/><Relationship Id="rId7" Type="http://schemas.openxmlformats.org/officeDocument/2006/relationships/hyperlink" Target="https://www.excel-exercice.com/ajouter-des-emojis-emoticones-dans-vos-formules-feuilles-graphiques/" TargetMode="External"/><Relationship Id="rId12" Type="http://schemas.openxmlformats.org/officeDocument/2006/relationships/hyperlink" Target="https://www.emojiall.com/fr/all-emojis" TargetMode="External"/><Relationship Id="rId2" Type="http://schemas.openxmlformats.org/officeDocument/2006/relationships/hyperlink" Target="https://emojipedia.org/" TargetMode="External"/><Relationship Id="rId1" Type="http://schemas.openxmlformats.org/officeDocument/2006/relationships/hyperlink" Target="https://www.excel-exercice.com/ajouter-des-emojis-emoticones-dans-vos-formules-feuilles-graphiques/" TargetMode="External"/><Relationship Id="rId6" Type="http://schemas.openxmlformats.org/officeDocument/2006/relationships/hyperlink" Target="https://www.youtube.com/watch?v=6YvO8zQjX6Y" TargetMode="External"/><Relationship Id="rId11" Type="http://schemas.openxmlformats.org/officeDocument/2006/relationships/hyperlink" Target="https://www.caracteres-speciaux.org/" TargetMode="External"/><Relationship Id="rId5" Type="http://schemas.openxmlformats.org/officeDocument/2006/relationships/hyperlink" Target="https://emojipedia.org/food-drink/" TargetMode="External"/><Relationship Id="rId15" Type="http://schemas.openxmlformats.org/officeDocument/2006/relationships/drawing" Target="../drawings/drawing22.xml"/><Relationship Id="rId10" Type="http://schemas.openxmlformats.org/officeDocument/2006/relationships/hyperlink" Target="https://emojis.wiki/fr/" TargetMode="External"/><Relationship Id="rId4" Type="http://schemas.openxmlformats.org/officeDocument/2006/relationships/hyperlink" Target="http://www.get-emoji.com/" TargetMode="External"/><Relationship Id="rId9" Type="http://schemas.openxmlformats.org/officeDocument/2006/relationships/hyperlink" Target="https://wprock.fr/t/emoji/" TargetMode="External"/><Relationship Id="rId14" Type="http://schemas.openxmlformats.org/officeDocument/2006/relationships/hyperlink" Target="https://emojiguide.org/fr/" TargetMode="External"/></Relationships>
</file>

<file path=xl/worksheets/_rels/sheet39.xml.rels><?xml version="1.0" encoding="UTF-8" standalone="yes"?>
<Relationships xmlns="http://schemas.openxmlformats.org/package/2006/relationships"><Relationship Id="rId117" Type="http://schemas.openxmlformats.org/officeDocument/2006/relationships/hyperlink" Target="http://matoumatheux.ac-rennes.fr/geom/solides/5/volcylindre.htm" TargetMode="External"/><Relationship Id="rId21" Type="http://schemas.openxmlformats.org/officeDocument/2006/relationships/hyperlink" Target="http://www.capte-les-maths.com/pourcentage/les_pourcentages_p6.php" TargetMode="External"/><Relationship Id="rId42" Type="http://schemas.openxmlformats.org/officeDocument/2006/relationships/hyperlink" Target="http://www.mdf-xlpages.com/modules/publisher/item.php?itemid=91" TargetMode="External"/><Relationship Id="rId63" Type="http://schemas.openxmlformats.org/officeDocument/2006/relationships/hyperlink" Target="http://www.crenoexpert.fr/flipbooks/expproduit/TABLEAUX-CALIBRES-FRUITS-2.pdf" TargetMode="External"/><Relationship Id="rId84" Type="http://schemas.openxmlformats.org/officeDocument/2006/relationships/hyperlink" Target="http://www.aufeminin.com/fiche/cuisine/f14522-gelatine-et-agar-gar-principes-et-utilisations.html" TargetMode="External"/><Relationship Id="rId16" Type="http://schemas.openxmlformats.org/officeDocument/2006/relationships/hyperlink" Target="http://fortimelp.fr/content/44-calculer-un-pourcentage" TargetMode="External"/><Relationship Id="rId107" Type="http://schemas.openxmlformats.org/officeDocument/2006/relationships/hyperlink" Target="http://matoumatheux.ac-rennes.fr/cours/mesures/convlong.htm" TargetMode="External"/><Relationship Id="rId11" Type="http://schemas.openxmlformats.org/officeDocument/2006/relationships/hyperlink" Target="https://www.deleze.name/marcel/culture/taux_composes/taux_simple.html" TargetMode="External"/><Relationship Id="rId32" Type="http://schemas.openxmlformats.org/officeDocument/2006/relationships/hyperlink" Target="http://excel.quebec/excel-formules-et-fonctions/" TargetMode="External"/><Relationship Id="rId37" Type="http://schemas.openxmlformats.org/officeDocument/2006/relationships/hyperlink" Target="http://www.mdf-xlpages.com/modules/publisher/item.php?itemid=149" TargetMode="External"/><Relationship Id="rId53" Type="http://schemas.openxmlformats.org/officeDocument/2006/relationships/hyperlink" Target="http://www.mdf-xlpages.com/modules/publisher/item.php?itemid=81" TargetMode="External"/><Relationship Id="rId58" Type="http://schemas.openxmlformats.org/officeDocument/2006/relationships/hyperlink" Target="http://www.mdf-xlpages.com/modules/publisher/item.php?itemid=63" TargetMode="External"/><Relationship Id="rId74" Type="http://schemas.openxmlformats.org/officeDocument/2006/relationships/hyperlink" Target="http://joseph.larmarange.net/IMG/pdf/memo_caracteres_speciaux_windows.pdf" TargetMode="External"/><Relationship Id="rId79" Type="http://schemas.openxmlformats.org/officeDocument/2006/relationships/hyperlink" Target="https://www.google.fr/search?q=visualiseur+d%27Emoji+et+de+symboles&amp;oq=visualiseur+d%27Emoji+et+de+symboles&amp;aqs=chrome..69i57.2156j0j8&amp;sourceid=chrome&amp;ie=UTF-8" TargetMode="External"/><Relationship Id="rId102" Type="http://schemas.openxmlformats.org/officeDocument/2006/relationships/hyperlink" Target="http://matoumatheux.ac-rennes.fr/num/proportionnalite/6/creme.htm" TargetMode="External"/><Relationship Id="rId123" Type="http://schemas.openxmlformats.org/officeDocument/2006/relationships/hyperlink" Target="http://webtv.ac-versailles.fr/restauration/Patisserie" TargetMode="External"/><Relationship Id="rId128" Type="http://schemas.openxmlformats.org/officeDocument/2006/relationships/hyperlink" Target="https://www.google.fr/search?q=wedding+cake&amp;espv=2&amp;biw=1600&amp;bih=861&amp;tbm=isch&amp;tbo=u&amp;source=univ&amp;sa=X&amp;ved=0ahUKEwiv0prUhKnKAhWB7xQKHddYAJ8QsAQIIQ&amp;dpr=0.9" TargetMode="External"/><Relationship Id="rId5" Type="http://schemas.openxmlformats.org/officeDocument/2006/relationships/hyperlink" Target="https://www.mathematiquesfaciles.com/pourcentages-calculer-un-pourcentage_2_19885.htm" TargetMode="External"/><Relationship Id="rId90" Type="http://schemas.openxmlformats.org/officeDocument/2006/relationships/hyperlink" Target="http://matoumatheux.ac-rennes.fr/num/probleme/classer.htm" TargetMode="External"/><Relationship Id="rId95" Type="http://schemas.openxmlformats.org/officeDocument/2006/relationships/hyperlink" Target="http://matoumatheux.ac-rennes.fr/num/fractions/6/cocktail1.htm" TargetMode="External"/><Relationship Id="rId22" Type="http://schemas.openxmlformats.org/officeDocument/2006/relationships/hyperlink" Target="https://www.youtube.com/watch?v=SgFaLduHeAE" TargetMode="External"/><Relationship Id="rId27" Type="http://schemas.openxmlformats.org/officeDocument/2006/relationships/hyperlink" Target="https://www.youtube.com/watch?v=PyDvkMr3qfg" TargetMode="External"/><Relationship Id="rId43" Type="http://schemas.openxmlformats.org/officeDocument/2006/relationships/hyperlink" Target="http://www.mdf-xlpages.com/modules/publisher/item.php?itemid=99" TargetMode="External"/><Relationship Id="rId48" Type="http://schemas.openxmlformats.org/officeDocument/2006/relationships/hyperlink" Target="http://www.mdf-xlpages.com/modules/publisher/item.php?itemid=84" TargetMode="External"/><Relationship Id="rId64" Type="http://schemas.openxmlformats.org/officeDocument/2006/relationships/hyperlink" Target="http://www.uprt.fr/mesimages/fichiers-uprt/ff-fiches-fabrication/ff-fiches-fabrication-maj-02-2015/ff-documents-divers-maj-02-2015/ff-fiches-apprentis-Patissiers-07-03-2016.xlsx" TargetMode="External"/><Relationship Id="rId69" Type="http://schemas.openxmlformats.org/officeDocument/2006/relationships/hyperlink" Target="http://www.cuisinealafrancaise.com/fr/2-poids-et-mesures" TargetMode="External"/><Relationship Id="rId113" Type="http://schemas.openxmlformats.org/officeDocument/2006/relationships/hyperlink" Target="http://matoumatheux.ac-rennes.fr/geom/cercle/5/aire.htm" TargetMode="External"/><Relationship Id="rId118" Type="http://schemas.openxmlformats.org/officeDocument/2006/relationships/hyperlink" Target="http://matoumatheux.ac-rennes.fr/num/puissances/gateau.htm" TargetMode="External"/><Relationship Id="rId134" Type="http://schemas.openxmlformats.org/officeDocument/2006/relationships/hyperlink" Target="http://www.uprt.fr/mesimages/fichiers-uprt/ff-fiches-fabrication/ff-documents-divers-maj-02-2015/ff-conditionnement.xls" TargetMode="External"/><Relationship Id="rId80" Type="http://schemas.openxmlformats.org/officeDocument/2006/relationships/hyperlink" Target="http://fr.fonts2u.com/category.html?id=21" TargetMode="External"/><Relationship Id="rId85" Type="http://schemas.openxmlformats.org/officeDocument/2006/relationships/hyperlink" Target="http://chefsimon.lemonde.fr/additifs/agar-agar.html" TargetMode="External"/><Relationship Id="rId12" Type="http://schemas.openxmlformats.org/officeDocument/2006/relationships/hyperlink" Target="https://www.cmath.fr/cesite/presentation.php" TargetMode="External"/><Relationship Id="rId17" Type="http://schemas.openxmlformats.org/officeDocument/2006/relationships/hyperlink" Target="https://fr.wikihow.com/convertir-en-pourcentage" TargetMode="External"/><Relationship Id="rId33" Type="http://schemas.openxmlformats.org/officeDocument/2006/relationships/hyperlink" Target="https://www.maths-et-tiques.fr/telech/Pourcent.pdf" TargetMode="External"/><Relationship Id="rId38" Type="http://schemas.openxmlformats.org/officeDocument/2006/relationships/hyperlink" Target="http://www.mdf-xlpages.com/modules/publisher/item.php?itemid=152" TargetMode="External"/><Relationship Id="rId59" Type="http://schemas.openxmlformats.org/officeDocument/2006/relationships/hyperlink" Target="http://www.mdf-xlpages.com/modules/publisher/item.php?itemid=62" TargetMode="External"/><Relationship Id="rId103" Type="http://schemas.openxmlformats.org/officeDocument/2006/relationships/hyperlink" Target="http://matoumatheux.ac-rennes.fr/num/proportionnalite/6/gateauriz.htm" TargetMode="External"/><Relationship Id="rId108" Type="http://schemas.openxmlformats.org/officeDocument/2006/relationships/hyperlink" Target="http://matoumatheux.ac-rennes.fr/cours/mesures/convmasse.htm" TargetMode="External"/><Relationship Id="rId124" Type="http://schemas.openxmlformats.org/officeDocument/2006/relationships/hyperlink" Target="http://webtv.ac-versailles.fr/restauration/Patisserie" TargetMode="External"/><Relationship Id="rId129" Type="http://schemas.openxmlformats.org/officeDocument/2006/relationships/hyperlink" Target="https://www.youtube.com/results?search_query=wedding+cake" TargetMode="External"/><Relationship Id="rId54" Type="http://schemas.openxmlformats.org/officeDocument/2006/relationships/hyperlink" Target="http://www.mdf-xlpages.com/modules/publisher/item.php?itemid=82" TargetMode="External"/><Relationship Id="rId70" Type="http://schemas.openxmlformats.org/officeDocument/2006/relationships/hyperlink" Target="http://www.cuisinealafrancaise.com/fr/2-poids-et-mesures" TargetMode="External"/><Relationship Id="rId75" Type="http://schemas.openxmlformats.org/officeDocument/2006/relationships/hyperlink" Target="http://fr.fontriver.com/" TargetMode="External"/><Relationship Id="rId91" Type="http://schemas.openxmlformats.org/officeDocument/2006/relationships/hyperlink" Target="http://matoumatheux.ac-rennes.fr/num/probleme/seringue.htm" TargetMode="External"/><Relationship Id="rId96" Type="http://schemas.openxmlformats.org/officeDocument/2006/relationships/hyperlink" Target="http://matoumatheux.ac-rennes.fr/num/fractions/6/cocktail3.htm" TargetMode="External"/><Relationship Id="rId1" Type="http://schemas.openxmlformats.org/officeDocument/2006/relationships/hyperlink" Target="http://fr.answers.yahoo.com/question/index?qid=20090730080951AAKkgPl" TargetMode="External"/><Relationship Id="rId6" Type="http://schemas.openxmlformats.org/officeDocument/2006/relationships/hyperlink" Target="http://www.lyc-monnet-juvisy.ac-versailles.fr/Diapomath.pdf" TargetMode="External"/><Relationship Id="rId23" Type="http://schemas.openxmlformats.org/officeDocument/2006/relationships/hyperlink" Target="https://www.youtube.com/c/YMONKA" TargetMode="External"/><Relationship Id="rId28" Type="http://schemas.openxmlformats.org/officeDocument/2006/relationships/hyperlink" Target="https://www.youtube.com/watch?v=_PTjJ7UD4eo" TargetMode="External"/><Relationship Id="rId49" Type="http://schemas.openxmlformats.org/officeDocument/2006/relationships/hyperlink" Target="http://www.mdf-xlpages.com/modules/publisher/item.php?itemid=94" TargetMode="External"/><Relationship Id="rId114" Type="http://schemas.openxmlformats.org/officeDocument/2006/relationships/hyperlink" Target="http://matoumatheux.ac-rennes.fr/geom/cercle/5/rayon.htm" TargetMode="External"/><Relationship Id="rId119" Type="http://schemas.openxmlformats.org/officeDocument/2006/relationships/hyperlink" Target="http://matoumatheux.ac-rennes.fr/cours/volume/cylindre.htm" TargetMode="External"/><Relationship Id="rId44" Type="http://schemas.openxmlformats.org/officeDocument/2006/relationships/hyperlink" Target="http://www.mdf-xlpages.com/modules/publisher/item.php?itemid=98" TargetMode="External"/><Relationship Id="rId60" Type="http://schemas.openxmlformats.org/officeDocument/2006/relationships/hyperlink" Target="http://www.mdf-xlpages.com/modules/publisher/item.php?itemid=25" TargetMode="External"/><Relationship Id="rId65" Type="http://schemas.openxmlformats.org/officeDocument/2006/relationships/hyperlink" Target="http://www.uprt.fr/mesimages/fichiers-uprt/ff-fiches-fabrication/ff-fiches-fabrication-maj-02-2015/ff-documents-divers-maj-02-2015/ff-Croquis.xlsx" TargetMode="External"/><Relationship Id="rId81" Type="http://schemas.openxmlformats.org/officeDocument/2006/relationships/hyperlink" Target="https://www.google.fr/search?ei=BOQ0WvOSNImaU-OKg4gK&amp;q=caract%C3%A8res++Alphanum%C3%A9riques+cercl%C3%A9s&amp;oq=caract%C3%A8res++Alphanum%C3%A9riques+cercl%C3%A9s&amp;gs_l=psy-ab.12...11580.21189.0.23585.2.2.0.0.0.0.86.163.2.2.0....0...1c.1.64.psy-ab..0.0.0....0" TargetMode="External"/><Relationship Id="rId86" Type="http://schemas.openxmlformats.org/officeDocument/2006/relationships/hyperlink" Target="http://www.google.fr/url?sa=t&amp;rct=j&amp;q=&amp;esrc=s&amp;source=web&amp;cd=19&amp;ved=0CH0QFjAIOAo&amp;url=http%3A%2F%2Fwww.meilleurduchef.com%2Fcgi%2Fmdc%2Fl%2Ffr%2Frecette%2Fglacage-chocolat.html&amp;ei=qIqkUsLvBoO70QXB3IHICQ&amp;usg=AFQjCNEHNXUk5FtDq9jxg3vDAHRvvwqMHw&amp;sig2=gyPSYHO8vFYAfCmt_wkJrA&amp;cad=rja" TargetMode="External"/><Relationship Id="rId130" Type="http://schemas.openxmlformats.org/officeDocument/2006/relationships/hyperlink" Target="http://www.espacegraphique.com/blog/art-floral/faire-un-gateau-vegetal-avec-les-fleurs-du-jardin-2724" TargetMode="External"/><Relationship Id="rId135" Type="http://schemas.openxmlformats.org/officeDocument/2006/relationships/printerSettings" Target="../printerSettings/printerSettings25.bin"/><Relationship Id="rId13" Type="http://schemas.openxmlformats.org/officeDocument/2006/relationships/hyperlink" Target="https://www.cmath.fr/6eme/pourcentages/cours.php" TargetMode="External"/><Relationship Id="rId18" Type="http://schemas.openxmlformats.org/officeDocument/2006/relationships/hyperlink" Target="http://www.astuceshebdo.com/2012/03/comment-calculer-un-pourcentage-cas-n-1.html" TargetMode="External"/><Relationship Id="rId39" Type="http://schemas.openxmlformats.org/officeDocument/2006/relationships/hyperlink" Target="http://www.mdf-xlpages.com/modules/publisher/item.php?itemid=153" TargetMode="External"/><Relationship Id="rId109" Type="http://schemas.openxmlformats.org/officeDocument/2006/relationships/hyperlink" Target="http://matoumatheux.ac-rennes.fr/geom/cercle/Bebert11.htm" TargetMode="External"/><Relationship Id="rId34" Type="http://schemas.openxmlformats.org/officeDocument/2006/relationships/hyperlink" Target="http://www.maths-et-tiques.fr/index.php/cours-en-videos" TargetMode="External"/><Relationship Id="rId50" Type="http://schemas.openxmlformats.org/officeDocument/2006/relationships/hyperlink" Target="http://www.mdf-xlpages.com/modules/publisher/item.php?itemid=83" TargetMode="External"/><Relationship Id="rId55" Type="http://schemas.openxmlformats.org/officeDocument/2006/relationships/hyperlink" Target="http://www.mdf-xlpages.com/modules/publisher/item.php?itemid=90" TargetMode="External"/><Relationship Id="rId76" Type="http://schemas.openxmlformats.org/officeDocument/2006/relationships/hyperlink" Target="https://www.youtube.com/watch?v=wMgBzUHzKvM" TargetMode="External"/><Relationship Id="rId97" Type="http://schemas.openxmlformats.org/officeDocument/2006/relationships/hyperlink" Target="http://matoumatheux.ac-rennes.fr/num/fractions/6/cocktail4.htm" TargetMode="External"/><Relationship Id="rId104" Type="http://schemas.openxmlformats.org/officeDocument/2006/relationships/hyperlink" Target="http://matoumatheux.ac-rennes.fr/num/proportionnalite/6/far.htm" TargetMode="External"/><Relationship Id="rId120" Type="http://schemas.openxmlformats.org/officeDocument/2006/relationships/hyperlink" Target="http://matoumatheux.ac-rennes.fr/cours/aire/airerect.htm" TargetMode="External"/><Relationship Id="rId125" Type="http://schemas.openxmlformats.org/officeDocument/2006/relationships/hyperlink" Target="http://chefsimon.lemonde.fr/recettes/tag/dessert" TargetMode="External"/><Relationship Id="rId7" Type="http://schemas.openxmlformats.org/officeDocument/2006/relationships/hyperlink" Target="http://www.un-calcul.fr/calcul-comptabilite/comment-calculer-un-pourcentage-338" TargetMode="External"/><Relationship Id="rId71" Type="http://schemas.openxmlformats.org/officeDocument/2006/relationships/hyperlink" Target="https://pragmatice.net/kitinstit/3_installer_produire_polices_selection.htm" TargetMode="External"/><Relationship Id="rId92" Type="http://schemas.openxmlformats.org/officeDocument/2006/relationships/hyperlink" Target="http://matoumatheux.ac-rennes.fr/num/probleme/etiquettes.htm" TargetMode="External"/><Relationship Id="rId2" Type="http://schemas.openxmlformats.org/officeDocument/2006/relationships/hyperlink" Target="http://www.1001cocktails.com/magazine/savoir-faire/cocktails-a-etages" TargetMode="External"/><Relationship Id="rId29" Type="http://schemas.openxmlformats.org/officeDocument/2006/relationships/hyperlink" Target="https://www.youtube.com/watch?v=tSp2xkS-tKs" TargetMode="External"/><Relationship Id="rId24" Type="http://schemas.openxmlformats.org/officeDocument/2006/relationships/hyperlink" Target="https://www.youtube.com/watch?v=dWC54hCv0pc" TargetMode="External"/><Relationship Id="rId40" Type="http://schemas.openxmlformats.org/officeDocument/2006/relationships/hyperlink" Target="http://www.mdf-xlpages.com/modules/publisher/item.php?itemid=134" TargetMode="External"/><Relationship Id="rId45" Type="http://schemas.openxmlformats.org/officeDocument/2006/relationships/hyperlink" Target="http://www.mdf-xlpages.com/modules/publisher/item.php?itemid=86" TargetMode="External"/><Relationship Id="rId66" Type="http://schemas.openxmlformats.org/officeDocument/2006/relationships/hyperlink" Target="http://www.uprt.fr/mesimages/fichiers-uprt/ff-fiches-fabrication/ff-fiches-fabrication-maj-02-2015/ff-documents-divers-maj-02-2015/ff-qualiterecettes2007.xls" TargetMode="External"/><Relationship Id="rId87" Type="http://schemas.openxmlformats.org/officeDocument/2006/relationships/hyperlink" Target="http://www.google.fr/url?sa=t&amp;rct=j&amp;q=&amp;esrc=s&amp;source=web&amp;cd=15&amp;ved=0CGsQFjAEOAo&amp;url=http%3A%2F%2Fwww.lesoeufs.ca%2Foeufs101%2Fvoir%2F4%2Fintroduction-aux-oeufs&amp;ei=nISkUs3NCsjb0QXW8YD4CA&amp;usg=AFQjCNEzfLq8I4YY66TSMIK8fPhtE2eduw&amp;sig2=-EnHtzmGG8LO5qkFSlMiQA&amp;bvm=bv.57752919,d.d2k&amp;cad=rja" TargetMode="External"/><Relationship Id="rId110" Type="http://schemas.openxmlformats.org/officeDocument/2006/relationships/hyperlink" Target="http://matoumatheux.ac-rennes.fr/geom/cercle/Bebert21.htm" TargetMode="External"/><Relationship Id="rId115" Type="http://schemas.openxmlformats.org/officeDocument/2006/relationships/hyperlink" Target="http://matoumatheux.ac-rennes.fr/geom/cercle/5/couronne.htm" TargetMode="External"/><Relationship Id="rId131" Type="http://schemas.openxmlformats.org/officeDocument/2006/relationships/hyperlink" Target="http://www.cestmafournee.com/2013/06/quelles-quantites-pour-mon-moule.html" TargetMode="External"/><Relationship Id="rId136" Type="http://schemas.openxmlformats.org/officeDocument/2006/relationships/drawing" Target="../drawings/drawing23.xml"/><Relationship Id="rId61" Type="http://schemas.openxmlformats.org/officeDocument/2006/relationships/hyperlink" Target="http://excel.quebec/excel-formules-et-fonctions/" TargetMode="External"/><Relationship Id="rId82" Type="http://schemas.openxmlformats.org/officeDocument/2006/relationships/hyperlink" Target="http://www.uprt.fr/mesimages/fichiers-uprt/pt-procedures-techniques/PT-bonnes-pratiques.doc" TargetMode="External"/><Relationship Id="rId19" Type="http://schemas.openxmlformats.org/officeDocument/2006/relationships/hyperlink" Target="https://www.youtube.com/watch?v=dQafvb2O01U" TargetMode="External"/><Relationship Id="rId14" Type="http://schemas.openxmlformats.org/officeDocument/2006/relationships/hyperlink" Target="https://fr.wikipedia.org/wiki/Pourcentage" TargetMode="External"/><Relationship Id="rId30" Type="http://schemas.openxmlformats.org/officeDocument/2006/relationships/hyperlink" Target="https://web.archive.org/web/20150919082310/http:/www.excelabo.net/" TargetMode="External"/><Relationship Id="rId35" Type="http://schemas.openxmlformats.org/officeDocument/2006/relationships/hyperlink" Target="https://www.economie.gouv.fr/files/files/directions_services/dgccrf/documentation/publications/depliants/poidsbrut_poidsnet.pdf" TargetMode="External"/><Relationship Id="rId56" Type="http://schemas.openxmlformats.org/officeDocument/2006/relationships/hyperlink" Target="http://www.mdf-xlpages.com/modules/publisher/item.php?itemid=76" TargetMode="External"/><Relationship Id="rId77" Type="http://schemas.openxmlformats.org/officeDocument/2006/relationships/hyperlink" Target="https://www.google.fr/search?q=piffom%C3%A9trie&amp;ie=utf-8&amp;oe=utf-8&amp;client=firefox-b&amp;gfe_rd=cr&amp;dcr=0&amp;ei=yYrYWZrKMYfAaMTIipgK" TargetMode="External"/><Relationship Id="rId100" Type="http://schemas.openxmlformats.org/officeDocument/2006/relationships/hyperlink" Target="http://matoumatheux.ac-rennes.fr/num/fractions/6/menthe.htm" TargetMode="External"/><Relationship Id="rId105" Type="http://schemas.openxmlformats.org/officeDocument/2006/relationships/hyperlink" Target="http://matoumatheux.ac-rennes.fr/num/proportionnalite/6/boulangerie.htm" TargetMode="External"/><Relationship Id="rId126" Type="http://schemas.openxmlformats.org/officeDocument/2006/relationships/hyperlink" Target="https://www.google.fr/webhp?sourceid=chrome-instant&amp;ion=1&amp;espv=2&amp;ie=UTF-8" TargetMode="External"/><Relationship Id="rId8" Type="http://schemas.openxmlformats.org/officeDocument/2006/relationships/hyperlink" Target="http://calc.name/blog/comment-compter-le-pourcentage-de-tete-vite-et-facilement/" TargetMode="External"/><Relationship Id="rId51" Type="http://schemas.openxmlformats.org/officeDocument/2006/relationships/hyperlink" Target="http://www.mdf-xlpages.com/modules/publisher/item.php?itemid=87" TargetMode="External"/><Relationship Id="rId72" Type="http://schemas.openxmlformats.org/officeDocument/2006/relationships/hyperlink" Target="http://www.philing.net/" TargetMode="External"/><Relationship Id="rId93" Type="http://schemas.openxmlformats.org/officeDocument/2006/relationships/hyperlink" Target="http://matoumatheux.ac-rennes.fr/num/fractions/6/menthe1.htm" TargetMode="External"/><Relationship Id="rId98" Type="http://schemas.openxmlformats.org/officeDocument/2006/relationships/hyperlink" Target="http://matoumatheux.ac-rennes.fr/num/fractions/6/fractionsM.htm" TargetMode="External"/><Relationship Id="rId121" Type="http://schemas.openxmlformats.org/officeDocument/2006/relationships/hyperlink" Target="http://matoumatheux.ac-rennes.fr/num/diviseur/probleme1.htm" TargetMode="External"/><Relationship Id="rId3" Type="http://schemas.openxmlformats.org/officeDocument/2006/relationships/hyperlink" Target="http://www.aliments.org/poids.htm" TargetMode="External"/><Relationship Id="rId25" Type="http://schemas.openxmlformats.org/officeDocument/2006/relationships/hyperlink" Target="https://www.youtube.com/watch?v=psIZ0y_8VVc" TargetMode="External"/><Relationship Id="rId46" Type="http://schemas.openxmlformats.org/officeDocument/2006/relationships/hyperlink" Target="http://www.mdf-xlpages.com/modules/publisher/item.php?itemid=97" TargetMode="External"/><Relationship Id="rId67" Type="http://schemas.openxmlformats.org/officeDocument/2006/relationships/hyperlink" Target="http://www.uprt.fr/mesimages/fichiers-uprt/ff-fiches-fabrication/ff-fiches-fabrication-maj-02-2015/ff-documents-divers-maj-02-2015/ff-tableau-cuisson.pdf" TargetMode="External"/><Relationship Id="rId116" Type="http://schemas.openxmlformats.org/officeDocument/2006/relationships/hyperlink" Target="http://matoumatheux.ac-rennes.fr/geom/solides/5/airecylindre.htm" TargetMode="External"/><Relationship Id="rId20" Type="http://schemas.openxmlformats.org/officeDocument/2006/relationships/hyperlink" Target="https://www.youtube.com/watch?v=QTGvjmAhEHo" TargetMode="External"/><Relationship Id="rId41" Type="http://schemas.openxmlformats.org/officeDocument/2006/relationships/hyperlink" Target="http://www.mdf-xlpages.com/modules/publisher/item.php?itemid=105" TargetMode="External"/><Relationship Id="rId62" Type="http://schemas.openxmlformats.org/officeDocument/2006/relationships/hyperlink" Target="https://www.excel-downloads.com/resources/" TargetMode="External"/><Relationship Id="rId83" Type="http://schemas.openxmlformats.org/officeDocument/2006/relationships/hyperlink" Target="http://www.google.fr/url?sa=t&amp;rct=j&amp;q=&amp;esrc=s&amp;source=web&amp;cd=6&amp;ved=0CF4QFjAF&amp;url=http%3A%2F%2Fwww.salondublogculinaire.com%2Ft111382_feuilles-de-gelatine.htm&amp;ei=8ImkUqfoKqeS0AW9sICACQ&amp;usg=AFQjCNEc6KKZUXYcSTgjAvrRt2f6csBBuQ&amp;sig2=nBOHIqhSlud28pCjSyBh9g&amp;cad=rja" TargetMode="External"/><Relationship Id="rId88" Type="http://schemas.openxmlformats.org/officeDocument/2006/relationships/hyperlink" Target="http://matoumatheux.ac-rennes.fr/sommaire.php?niv=6" TargetMode="External"/><Relationship Id="rId111" Type="http://schemas.openxmlformats.org/officeDocument/2006/relationships/hyperlink" Target="http://matoumatheux.ac-rennes.fr/geom/cercle/chien.htm" TargetMode="External"/><Relationship Id="rId132" Type="http://schemas.openxmlformats.org/officeDocument/2006/relationships/hyperlink" Target="http://forum.excel-pratique.com/excel/donner-la-forme-de-carres-reguliers-a-toutes-les-cellules-t9229.html" TargetMode="External"/><Relationship Id="rId15" Type="http://schemas.openxmlformats.org/officeDocument/2006/relationships/hyperlink" Target="http://fabie.info.pagesperso-orange.fr/math/cours7.htm" TargetMode="External"/><Relationship Id="rId36" Type="http://schemas.openxmlformats.org/officeDocument/2006/relationships/hyperlink" Target="http://www.mdf-xlpages.com/modules/publisher/item.php?itemid=167" TargetMode="External"/><Relationship Id="rId57" Type="http://schemas.openxmlformats.org/officeDocument/2006/relationships/hyperlink" Target="http://www.mdf-xlpages.com/modules/publisher/item.php?itemid=64" TargetMode="External"/><Relationship Id="rId106" Type="http://schemas.openxmlformats.org/officeDocument/2006/relationships/hyperlink" Target="http://matoumatheux.ac-rennes.fr/geom/unite/mesureur.htm" TargetMode="External"/><Relationship Id="rId127" Type="http://schemas.openxmlformats.org/officeDocument/2006/relationships/hyperlink" Target="https://www.google.fr/search?q=cake+design&amp;espv=2&amp;biw=1600&amp;bih=861&amp;source=lnms&amp;tbm=isch&amp;sa=X&amp;sqi=2&amp;ved=0ahUKEwiWztWng6nKAhWMWRQKHbLuDEQQ_AUIBigB&amp;dpr=0.9" TargetMode="External"/><Relationship Id="rId10" Type="http://schemas.openxmlformats.org/officeDocument/2006/relationships/hyperlink" Target="http://www.slate.fr/story/82029/soldes-calculer-rabais" TargetMode="External"/><Relationship Id="rId31" Type="http://schemas.openxmlformats.org/officeDocument/2006/relationships/hyperlink" Target="http://www.mdf-xlpages.com/modules/publisher/" TargetMode="External"/><Relationship Id="rId52" Type="http://schemas.openxmlformats.org/officeDocument/2006/relationships/hyperlink" Target="http://www.mdf-xlpages.com/modules/publisher/item.php?itemid=85" TargetMode="External"/><Relationship Id="rId73" Type="http://schemas.openxmlformats.org/officeDocument/2006/relationships/hyperlink" Target="http://jacques-andre.fr/faqtypo/lessons.pdf" TargetMode="External"/><Relationship Id="rId78" Type="http://schemas.openxmlformats.org/officeDocument/2006/relationships/hyperlink" Target="http://unicode.org/" TargetMode="External"/><Relationship Id="rId94" Type="http://schemas.openxmlformats.org/officeDocument/2006/relationships/hyperlink" Target="http://matoumatheux.ac-rennes.fr/num/fractions/6/cocktail2.htm" TargetMode="External"/><Relationship Id="rId99" Type="http://schemas.openxmlformats.org/officeDocument/2006/relationships/hyperlink" Target="http://matoumatheux.ac-rennes.fr/num/fractions/6/fractionsM2.htm" TargetMode="External"/><Relationship Id="rId101" Type="http://schemas.openxmlformats.org/officeDocument/2006/relationships/hyperlink" Target="http://matoumatheux.ac-rennes.fr/num/fractions/6/poisson.htm" TargetMode="External"/><Relationship Id="rId122" Type="http://schemas.openxmlformats.org/officeDocument/2006/relationships/hyperlink" Target="http://matoumatheux.ac-rennes.fr/num/courbe/casserole.htm" TargetMode="External"/><Relationship Id="rId4" Type="http://schemas.openxmlformats.org/officeDocument/2006/relationships/hyperlink" Target="http://www.nubel.be/fra/manual/liste_des_denrees_alimentaires.asp" TargetMode="External"/><Relationship Id="rId9" Type="http://schemas.openxmlformats.org/officeDocument/2006/relationships/hyperlink" Target="http://www.capte-les-maths.com/pourcentage/les_pourcentages_p10.php" TargetMode="External"/><Relationship Id="rId26" Type="http://schemas.openxmlformats.org/officeDocument/2006/relationships/hyperlink" Target="https://www.youtube.com/watch?v=mGDjvAcvigc" TargetMode="External"/><Relationship Id="rId47" Type="http://schemas.openxmlformats.org/officeDocument/2006/relationships/hyperlink" Target="http://www.mdf-xlpages.com/modules/publisher/item.php?itemid=93" TargetMode="External"/><Relationship Id="rId68" Type="http://schemas.openxmlformats.org/officeDocument/2006/relationships/hyperlink" Target="http://miam-images.centerblog.net/rub-vaisselle-ustensiles-de-cuisson--3.html" TargetMode="External"/><Relationship Id="rId89" Type="http://schemas.openxmlformats.org/officeDocument/2006/relationships/hyperlink" Target="http://matoumatheux.ac-rennes.fr/num/numeration/doigt.htm" TargetMode="External"/><Relationship Id="rId112" Type="http://schemas.openxmlformats.org/officeDocument/2006/relationships/hyperlink" Target="http://matoumatheux.ac-rennes.fr/geom/solides/6/ruban.htm" TargetMode="External"/><Relationship Id="rId133" Type="http://schemas.openxmlformats.org/officeDocument/2006/relationships/hyperlink" Target="http://www.mylittlerecettes.com/cap-patissier-les-oeufs-en-patisserie/"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www.cuisinealafrancaise.com/fr/2-poids-et-mesures" TargetMode="External"/><Relationship Id="rId2" Type="http://schemas.openxmlformats.org/officeDocument/2006/relationships/hyperlink" Target="https://www.clubic.com/telecharger-fiche189780-greenshot.html" TargetMode="External"/><Relationship Id="rId1" Type="http://schemas.openxmlformats.org/officeDocument/2006/relationships/hyperlink" Target="http://www.mdf-xlpages.com/modules/publisher/item.php?itemid=91" TargetMode="External"/><Relationship Id="rId5" Type="http://schemas.openxmlformats.org/officeDocument/2006/relationships/drawing" Target="../drawings/drawing24.xml"/><Relationship Id="rId4" Type="http://schemas.openxmlformats.org/officeDocument/2006/relationships/printerSettings" Target="../printerSettings/printerSettings26.bin"/></Relationships>
</file>

<file path=xl/worksheets/_rels/sheet41.xml.rels><?xml version="1.0" encoding="UTF-8" standalone="yes"?>
<Relationships xmlns="http://schemas.openxmlformats.org/package/2006/relationships"><Relationship Id="rId26" Type="http://schemas.openxmlformats.org/officeDocument/2006/relationships/hyperlink" Target="https://www.youtube.com/watch?v=t9BfPsVC5hk" TargetMode="External"/><Relationship Id="rId21" Type="http://schemas.openxmlformats.org/officeDocument/2006/relationships/hyperlink" Target="https://www.youtube.com/watch?v=_JzUgEGWuk0" TargetMode="External"/><Relationship Id="rId42" Type="http://schemas.openxmlformats.org/officeDocument/2006/relationships/hyperlink" Target="https://www.youtube.com/watch?v=jjhrpq-f-74&amp;t=102s" TargetMode="External"/><Relationship Id="rId47" Type="http://schemas.openxmlformats.org/officeDocument/2006/relationships/hyperlink" Target="https://www.excel-exercice.com/bordures/" TargetMode="External"/><Relationship Id="rId63" Type="http://schemas.openxmlformats.org/officeDocument/2006/relationships/hyperlink" Target="https://www.informatique-bureautique.com/moodle/mod/page/view.php?id=5026" TargetMode="External"/><Relationship Id="rId68" Type="http://schemas.openxmlformats.org/officeDocument/2006/relationships/hyperlink" Target="https://www.youtube.com/c/TutoDeRien/playlists" TargetMode="External"/><Relationship Id="rId2" Type="http://schemas.openxmlformats.org/officeDocument/2006/relationships/hyperlink" Target="https://support.microsoft.com/fr-fr/office/modifier-une-macro-ed9e8c3d-58fd-47a1-83eb-bdee680376bb" TargetMode="External"/><Relationship Id="rId16" Type="http://schemas.openxmlformats.org/officeDocument/2006/relationships/hyperlink" Target="https://cellulexcel.blogspot.com/p/somme.html" TargetMode="External"/><Relationship Id="rId29" Type="http://schemas.openxmlformats.org/officeDocument/2006/relationships/hyperlink" Target="https://www.youtube.com/watch?v=ign5pz_-R_I" TargetMode="External"/><Relationship Id="rId11" Type="http://schemas.openxmlformats.org/officeDocument/2006/relationships/hyperlink" Target="https://www.youtube.com/watch?v=Xvb1pAnQrts" TargetMode="External"/><Relationship Id="rId24" Type="http://schemas.openxmlformats.org/officeDocument/2006/relationships/hyperlink" Target="https://www.youtube.com/watch?v=PbUvODhmdxI" TargetMode="External"/><Relationship Id="rId32" Type="http://schemas.openxmlformats.org/officeDocument/2006/relationships/hyperlink" Target="https://www.youtube.com/watch?v=EbpC3cs2aTA" TargetMode="External"/><Relationship Id="rId37" Type="http://schemas.openxmlformats.org/officeDocument/2006/relationships/hyperlink" Target="https://www.youtube.com/watch?v=_uhXSrAkHXc" TargetMode="External"/><Relationship Id="rId40" Type="http://schemas.openxmlformats.org/officeDocument/2006/relationships/hyperlink" Target="https://www.excel-exercice.com/analyser-vos-formules-avec-f9/" TargetMode="External"/><Relationship Id="rId45" Type="http://schemas.openxmlformats.org/officeDocument/2006/relationships/hyperlink" Target="https://www.youtube.com/channel/UCmkKGwRm5LYN6zpgTVvNpdA/videos" TargetMode="External"/><Relationship Id="rId53" Type="http://schemas.openxmlformats.org/officeDocument/2006/relationships/hyperlink" Target="https://www.superprof.fr/blog/conseils-pratiques-en-maths/" TargetMode="External"/><Relationship Id="rId58" Type="http://schemas.openxmlformats.org/officeDocument/2006/relationships/hyperlink" Target="https://www.youtube.com/watch?v=li4XNespLxg" TargetMode="External"/><Relationship Id="rId66" Type="http://schemas.openxmlformats.org/officeDocument/2006/relationships/hyperlink" Target="https://www.youtube.com/user/ExcelExercice/videos" TargetMode="External"/><Relationship Id="rId74" Type="http://schemas.openxmlformats.org/officeDocument/2006/relationships/hyperlink" Target="https://www.excel-pratique.com/fr/fonctions-complementaires.php" TargetMode="External"/><Relationship Id="rId5" Type="http://schemas.openxmlformats.org/officeDocument/2006/relationships/hyperlink" Target="https://commentouvrir.com/extension/xlsm" TargetMode="External"/><Relationship Id="rId61" Type="http://schemas.openxmlformats.org/officeDocument/2006/relationships/hyperlink" Target="https://www.youtube.com/watch?v=HoP5kZ-f-EA&amp;ab_channel=excelexercice" TargetMode="External"/><Relationship Id="rId19" Type="http://schemas.openxmlformats.org/officeDocument/2006/relationships/hyperlink" Target="https://fr.extendoffice.com/documents/excel/1155-excel-count-sum-cells-by-color.html" TargetMode="External"/><Relationship Id="rId14" Type="http://schemas.openxmlformats.org/officeDocument/2006/relationships/hyperlink" Target="https://cellulexcel.blogspot.com/p/blog-page_22.html" TargetMode="External"/><Relationship Id="rId22" Type="http://schemas.openxmlformats.org/officeDocument/2006/relationships/hyperlink" Target="https://www.youtube.com/watch?v=xFOMtm4wRtE" TargetMode="External"/><Relationship Id="rId27" Type="http://schemas.openxmlformats.org/officeDocument/2006/relationships/hyperlink" Target="https://www.youtube.com/watch?v=wXenlFqrWWY" TargetMode="External"/><Relationship Id="rId30" Type="http://schemas.openxmlformats.org/officeDocument/2006/relationships/hyperlink" Target="https://www.youtube.com/watch?v=S_rTf5wWhr8" TargetMode="External"/><Relationship Id="rId35" Type="http://schemas.openxmlformats.org/officeDocument/2006/relationships/hyperlink" Target="https://www.youtube.com/watch?v=EbpC3cs2aTA" TargetMode="External"/><Relationship Id="rId43" Type="http://schemas.openxmlformats.org/officeDocument/2006/relationships/hyperlink" Target="https://www.youtube.com/c/ExcelFormation/videos" TargetMode="External"/><Relationship Id="rId48" Type="http://schemas.openxmlformats.org/officeDocument/2006/relationships/hyperlink" Target="https://www.excel-exercice.com/manipulation/" TargetMode="External"/><Relationship Id="rId56" Type="http://schemas.openxmlformats.org/officeDocument/2006/relationships/hyperlink" Target="https://forums.commentcamarche.net/forum/bureautique-25" TargetMode="External"/><Relationship Id="rId64" Type="http://schemas.openxmlformats.org/officeDocument/2006/relationships/hyperlink" Target="https://www.youtube.com/watch?v=yk_ypXvUaHo" TargetMode="External"/><Relationship Id="rId69" Type="http://schemas.openxmlformats.org/officeDocument/2006/relationships/hyperlink" Target="https://support.microsoft.com/fr-fr/excel" TargetMode="External"/><Relationship Id="rId8" Type="http://schemas.openxmlformats.org/officeDocument/2006/relationships/hyperlink" Target="https://www.youtube.com/watch?v=Cxs3l7_EI4I" TargetMode="External"/><Relationship Id="rId51" Type="http://schemas.openxmlformats.org/officeDocument/2006/relationships/hyperlink" Target="https://www.youtube.com/watch?v=cYONvEoCCF4" TargetMode="External"/><Relationship Id="rId72" Type="http://schemas.openxmlformats.org/officeDocument/2006/relationships/hyperlink" Target="https://support.office.com/fr-fr/article/d%C3%A9placer-ou-copier-des-feuilles-de-calcul-ou-des-donn%C3%A9es-de-feuille-de-calcul-47207967-bbb2-4e95-9b5c-3c174aa69328" TargetMode="External"/><Relationship Id="rId3" Type="http://schemas.openxmlformats.org/officeDocument/2006/relationships/hyperlink" Target="https://support.microsoft.com/fr-fr/office/enregistrer-une-macro-24a026ef-3145-4bf8-a5f2-2fc7889ff74a" TargetMode="External"/><Relationship Id="rId12" Type="http://schemas.openxmlformats.org/officeDocument/2006/relationships/hyperlink" Target="https://www.youtube.com/watch?v=eML_TISUYpw&amp;t=31s" TargetMode="External"/><Relationship Id="rId17" Type="http://schemas.openxmlformats.org/officeDocument/2006/relationships/hyperlink" Target="https://www.cours-gratuit.com/tutoriel-excel/tutoriel-excel-comment-compter-et-additionner-les-cellules-par-couleur" TargetMode="External"/><Relationship Id="rId25" Type="http://schemas.openxmlformats.org/officeDocument/2006/relationships/hyperlink" Target="https://www.youtube.com/watch?v=ljG0dl6aZOk" TargetMode="External"/><Relationship Id="rId33" Type="http://schemas.openxmlformats.org/officeDocument/2006/relationships/hyperlink" Target="https://www.youtube.com/watch?v=xyjZP4GMmSc" TargetMode="External"/><Relationship Id="rId38" Type="http://schemas.openxmlformats.org/officeDocument/2006/relationships/hyperlink" Target="https://www.excel-exercice.com/colorier-une-ligne-entiere/" TargetMode="External"/><Relationship Id="rId46" Type="http://schemas.openxmlformats.org/officeDocument/2006/relationships/hyperlink" Target="https://www.youtube.com/watch?v=um737ZwwwoU" TargetMode="External"/><Relationship Id="rId59" Type="http://schemas.openxmlformats.org/officeDocument/2006/relationships/hyperlink" Target="https://www.youtube.com/watch?v=YfGrccEQGKk" TargetMode="External"/><Relationship Id="rId67" Type="http://schemas.openxmlformats.org/officeDocument/2006/relationships/hyperlink" Target="https://www.youtube.com/channel/UCK4qfUuh9kpBByJFIMBPTtA/playlists" TargetMode="External"/><Relationship Id="rId20" Type="http://schemas.openxmlformats.org/officeDocument/2006/relationships/hyperlink" Target="https://www.excelformation.fr/formats-fichiers-excel.html" TargetMode="External"/><Relationship Id="rId41" Type="http://schemas.openxmlformats.org/officeDocument/2006/relationships/hyperlink" Target="https://cellulexcel.blogspot.com/p/excel-trucs-astuces.html" TargetMode="External"/><Relationship Id="rId54" Type="http://schemas.openxmlformats.org/officeDocument/2006/relationships/hyperlink" Target="https://www.ionos.fr/digitalguide/web-marketing/vendre-sur-internet/fonction-si-excel/" TargetMode="External"/><Relationship Id="rId62" Type="http://schemas.openxmlformats.org/officeDocument/2006/relationships/hyperlink" Target="https://support.office.com/fr-fr/article/combiner-le-texte-de-deux-cellules-ou-plus-en-une-cellule-81ba0946-ce78-42ed-b3c3-21340eb164a6" TargetMode="External"/><Relationship Id="rId70" Type="http://schemas.openxmlformats.org/officeDocument/2006/relationships/hyperlink" Target="https://www.youtube.com/c/K%C3%A9vinBrundu/videos" TargetMode="External"/><Relationship Id="rId75" Type="http://schemas.openxmlformats.org/officeDocument/2006/relationships/hyperlink" Target="http://excel.engalere.com/tags/" TargetMode="External"/><Relationship Id="rId1" Type="http://schemas.openxmlformats.org/officeDocument/2006/relationships/hyperlink" Target="https://www.excel-exercice.com/fichier-xls-ou-xlsx/" TargetMode="External"/><Relationship Id="rId6" Type="http://schemas.openxmlformats.org/officeDocument/2006/relationships/hyperlink" Target="https://www.youtube.com/watch?v=21oGa9Q92s4" TargetMode="External"/><Relationship Id="rId15" Type="http://schemas.openxmlformats.org/officeDocument/2006/relationships/hyperlink" Target="https://mccascabel.fr/carnet-de-recettes-personnalise/" TargetMode="External"/><Relationship Id="rId23" Type="http://schemas.openxmlformats.org/officeDocument/2006/relationships/hyperlink" Target="https://www.excel-exercice.com/colorier-une-ligne-entiere/" TargetMode="External"/><Relationship Id="rId28" Type="http://schemas.openxmlformats.org/officeDocument/2006/relationships/hyperlink" Target="https://www.youtube.com/watch?v=OQJzipM0rgU" TargetMode="External"/><Relationship Id="rId36" Type="http://schemas.openxmlformats.org/officeDocument/2006/relationships/hyperlink" Target="https://www.youtube.com/watch?v=zFR8-vdbebo" TargetMode="External"/><Relationship Id="rId49" Type="http://schemas.openxmlformats.org/officeDocument/2006/relationships/hyperlink" Target="https://www.excel-exercice.com/add-in/" TargetMode="External"/><Relationship Id="rId57" Type="http://schemas.openxmlformats.org/officeDocument/2006/relationships/hyperlink" Target="https://www.excel-exercice.com/trouver-les-liens-externes-dun-classeur/" TargetMode="External"/><Relationship Id="rId10" Type="http://schemas.openxmlformats.org/officeDocument/2006/relationships/hyperlink" Target="https://www.youtube.com/watch?v=ZEL3mVdUCcg" TargetMode="External"/><Relationship Id="rId31" Type="http://schemas.openxmlformats.org/officeDocument/2006/relationships/hyperlink" Target="https://www.youtube.com/watch?v=XB7PbjxQgiQ" TargetMode="External"/><Relationship Id="rId44" Type="http://schemas.openxmlformats.org/officeDocument/2006/relationships/hyperlink" Target="https://www.youtube.com/watch?v=OZoAZHIP-kk&amp;t=630s" TargetMode="External"/><Relationship Id="rId52" Type="http://schemas.openxmlformats.org/officeDocument/2006/relationships/hyperlink" Target="https://www.excel-exercice.com/" TargetMode="External"/><Relationship Id="rId60" Type="http://schemas.openxmlformats.org/officeDocument/2006/relationships/hyperlink" Target="http://www.mdf-xlpages.com/modules/publisher/item.php?itemid=91" TargetMode="External"/><Relationship Id="rId65" Type="http://schemas.openxmlformats.org/officeDocument/2006/relationships/hyperlink" Target="https://www.excel-exercice.com/somme-si-ens/" TargetMode="External"/><Relationship Id="rId73" Type="http://schemas.openxmlformats.org/officeDocument/2006/relationships/hyperlink" Target="https://support.office.com/fr-fr/article/puis-je-copier-une-feuille-de-calcul-du-classeur-actuel-5d8109a7-cba1-474f-b835-11cd89da99c0" TargetMode="External"/><Relationship Id="rId4" Type="http://schemas.openxmlformats.org/officeDocument/2006/relationships/hyperlink" Target="https://www.pcastuces.com/pratique/astuces/5664.htm" TargetMode="External"/><Relationship Id="rId9" Type="http://schemas.openxmlformats.org/officeDocument/2006/relationships/hyperlink" Target="https://www.youtube.com/c/lecompagnoninfo/videos" TargetMode="External"/><Relationship Id="rId13" Type="http://schemas.openxmlformats.org/officeDocument/2006/relationships/hyperlink" Target="https://www.youtube.com/watch?v=KK9rJpuHmZA" TargetMode="External"/><Relationship Id="rId18" Type="http://schemas.openxmlformats.org/officeDocument/2006/relationships/hyperlink" Target="https://www.youtube.com/watch?v=7amIEwzFoF0" TargetMode="External"/><Relationship Id="rId39" Type="http://schemas.openxmlformats.org/officeDocument/2006/relationships/hyperlink" Target="https://www.excel-exercice.com/creer-la-table-des-matieres-dun-classeur/" TargetMode="External"/><Relationship Id="rId34" Type="http://schemas.openxmlformats.org/officeDocument/2006/relationships/hyperlink" Target="https://www.youtube.com/watch?v=UnkKrv53fiA" TargetMode="External"/><Relationship Id="rId50" Type="http://schemas.openxmlformats.org/officeDocument/2006/relationships/hyperlink" Target="https://www.excel-exercice.com/nouveaute/" TargetMode="External"/><Relationship Id="rId55" Type="http://schemas.openxmlformats.org/officeDocument/2006/relationships/hyperlink" Target="https://www.ionos.fr/digitalguide/web-marketing/vendre-sur-internet/alternatives-gratuites-a-microsoft-excel/" TargetMode="External"/><Relationship Id="rId76" Type="http://schemas.openxmlformats.org/officeDocument/2006/relationships/printerSettings" Target="../printerSettings/printerSettings27.bin"/><Relationship Id="rId7" Type="http://schemas.openxmlformats.org/officeDocument/2006/relationships/hyperlink" Target="https://www.youtube.com/channel/UCoTqCeSunCB3-puwIicURbw" TargetMode="External"/><Relationship Id="rId71" Type="http://schemas.openxmlformats.org/officeDocument/2006/relationships/hyperlink" Target="https://www.youtube.com/watch?v=e2kzRDcW5iI"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www.uprt.fr/mesimages/fichiers-uprt/hop-alimentation/hop-photos-quantit%C3%A9s.pdf" TargetMode="External"/><Relationship Id="rId3" Type="http://schemas.openxmlformats.org/officeDocument/2006/relationships/hyperlink" Target="https://bepo.fr/wiki/Menu" TargetMode="External"/><Relationship Id="rId7" Type="http://schemas.openxmlformats.org/officeDocument/2006/relationships/hyperlink" Target="https://everything.fr.softonic.com/" TargetMode="External"/><Relationship Id="rId12" Type="http://schemas.openxmlformats.org/officeDocument/2006/relationships/drawing" Target="../drawings/drawing3.xml"/><Relationship Id="rId2" Type="http://schemas.openxmlformats.org/officeDocument/2006/relationships/hyperlink" Target="https://bepo.fr/wiki/Manuel" TargetMode="External"/><Relationship Id="rId1" Type="http://schemas.openxmlformats.org/officeDocument/2006/relationships/hyperlink" Target="http://www.symbole-clavier.com/" TargetMode="External"/><Relationship Id="rId6" Type="http://schemas.openxmlformats.org/officeDocument/2006/relationships/hyperlink" Target="https://www.youtube.com/watch?v=BEAwIv4fIw4" TargetMode="External"/><Relationship Id="rId11" Type="http://schemas.openxmlformats.org/officeDocument/2006/relationships/printerSettings" Target="../printerSettings/printerSettings1.bin"/><Relationship Id="rId5" Type="http://schemas.openxmlformats.org/officeDocument/2006/relationships/hyperlink" Target="https://www.premiers-clics.fr/cours-informatique/windows-convertir-un-cd-en-fichiers-mp3/" TargetMode="External"/><Relationship Id="rId10" Type="http://schemas.openxmlformats.org/officeDocument/2006/relationships/hyperlink" Target="https://www.youtube.com/watch?v=2TmdhLLUsOQ" TargetMode="External"/><Relationship Id="rId4" Type="http://schemas.openxmlformats.org/officeDocument/2006/relationships/hyperlink" Target="https://www.premiers-clics.fr/cours-informatique/windows-les-fonctionnalites-du-clavier/" TargetMode="External"/><Relationship Id="rId9" Type="http://schemas.openxmlformats.org/officeDocument/2006/relationships/hyperlink" Target="http://www.diet-life.fr/visuellement-100-calorie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michelmariette.over-blog.fr/" TargetMode="External"/><Relationship Id="rId1" Type="http://schemas.openxmlformats.org/officeDocument/2006/relationships/hyperlink" Target="http://michelmariette.over-blog.fr/" TargetMode="External"/><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onbache.fr/syntheses-graphiques-excel-avec-les-emoticones-499.html" TargetMode="External"/><Relationship Id="rId1" Type="http://schemas.openxmlformats.org/officeDocument/2006/relationships/hyperlink" Target="http://michelmariette.over-blog.fr/"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michelmariette.over-blog.fr/" TargetMode="External"/><Relationship Id="rId1" Type="http://schemas.openxmlformats.org/officeDocument/2006/relationships/hyperlink" Target="http://michelmariette.over-blog.fr/"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etab.ac-poitiers.fr/lycee-hotelier-la-rochelle/spip.php?article64" TargetMode="External"/><Relationship Id="rId2" Type="http://schemas.openxmlformats.org/officeDocument/2006/relationships/hyperlink" Target="http://michelmariette.over-blog.fr/" TargetMode="External"/><Relationship Id="rId1" Type="http://schemas.openxmlformats.org/officeDocument/2006/relationships/hyperlink" Target="http://michelmariette.over-blog.fr/" TargetMode="External"/><Relationship Id="rId5" Type="http://schemas.openxmlformats.org/officeDocument/2006/relationships/printerSettings" Target="../printerSettings/printerSettings5.bin"/><Relationship Id="rId4" Type="http://schemas.openxmlformats.org/officeDocument/2006/relationships/hyperlink" Target="http://etab.ac-poitiers.fr/lycee-hotelier-la-rochelle/spip.php?article6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5BEC3-A87E-423A-9145-F6D9E08D8A50}">
  <dimension ref="A1:CG1017"/>
  <sheetViews>
    <sheetView workbookViewId="0">
      <selection activeCell="T23" sqref="T23"/>
    </sheetView>
  </sheetViews>
  <sheetFormatPr baseColWidth="10" defaultColWidth="9.140625" defaultRowHeight="15"/>
  <cols>
    <col min="1" max="1" width="11.7109375" style="7622" customWidth="1"/>
    <col min="2" max="8" width="5.7109375" style="7622" hidden="1" customWidth="1"/>
    <col min="9" max="9" width="12.28515625" style="7622" customWidth="1"/>
    <col min="10" max="10" width="14" style="7622" customWidth="1"/>
    <col min="11" max="11" width="122.7109375" style="7622" customWidth="1"/>
    <col min="12" max="12" width="9" style="7622" customWidth="1"/>
    <col min="13" max="13" width="7.85546875" style="7622" customWidth="1"/>
    <col min="14" max="14" width="8.5703125" style="7622" customWidth="1"/>
    <col min="15" max="15" width="122.7109375" style="7622" customWidth="1"/>
    <col min="16" max="17" width="9" style="7622" customWidth="1"/>
    <col min="18" max="18" width="3" style="7622" customWidth="1"/>
    <col min="19" max="19" width="120.7109375" style="3170" customWidth="1"/>
    <col min="20" max="20" width="40" style="3170" customWidth="1"/>
    <col min="21" max="21" width="3" style="7622" customWidth="1"/>
    <col min="22" max="22" width="8" style="3170" customWidth="1"/>
    <col min="23" max="23" width="120.7109375" style="3170" customWidth="1"/>
    <col min="24" max="24" width="5" style="3170" customWidth="1"/>
    <col min="25" max="25" width="120.7109375" style="3170" customWidth="1"/>
    <col min="26" max="26" width="40" style="3170" customWidth="1"/>
    <col min="27" max="27" width="37.140625" style="3170" customWidth="1"/>
    <col min="28" max="28" width="28" style="3170" customWidth="1"/>
    <col min="29" max="29" width="16.28515625" style="3170" customWidth="1"/>
    <col min="30" max="30" width="14" style="3170" customWidth="1"/>
    <col min="31" max="31" width="24" style="3170" customWidth="1"/>
    <col min="32" max="35" width="14" style="3170" hidden="1" customWidth="1"/>
    <col min="36" max="82" width="13" style="3170" hidden="1" customWidth="1"/>
    <col min="83" max="83" width="36.5703125" style="3170" customWidth="1"/>
    <col min="84" max="85" width="9.140625" style="3170"/>
    <col min="86" max="16384" width="9.140625" style="7622"/>
  </cols>
  <sheetData>
    <row r="1" spans="1:83" ht="24" customHeight="1">
      <c r="A1" s="7619" t="str">
        <f>ADDRESS(ROW(),COLUMN(),4)</f>
        <v>A1</v>
      </c>
      <c r="B1" s="7620"/>
      <c r="C1" s="7621"/>
      <c r="D1" s="7621"/>
      <c r="E1" s="7621"/>
      <c r="F1" s="7621"/>
      <c r="G1" s="7621"/>
      <c r="H1" s="7621"/>
      <c r="I1" s="7621"/>
      <c r="J1" s="7745" t="str">
        <f>"Dans ce document collez votre texte "&amp;K15&amp;" et récupérez le "&amp;O15&amp;" ou "&amp;Y16</f>
        <v>Dans ce document collez votre texte COLONNE K et récupérez le COLONNE O ou COLONNE Y</v>
      </c>
      <c r="K1" s="7745"/>
      <c r="L1" s="7745"/>
      <c r="M1" s="7745"/>
      <c r="N1" s="7745"/>
      <c r="O1" s="7745"/>
      <c r="P1" s="7745"/>
      <c r="Q1" s="7745"/>
      <c r="S1" s="7692"/>
      <c r="T1" s="7692"/>
      <c r="V1" s="7692" t="s">
        <v>16247</v>
      </c>
      <c r="W1" s="7692"/>
      <c r="X1" s="7692"/>
      <c r="Y1" s="7692"/>
      <c r="Z1" s="7692"/>
      <c r="AA1" s="7692"/>
      <c r="AB1" s="7692"/>
      <c r="AC1" s="7692"/>
      <c r="AD1" s="7692"/>
      <c r="AE1" s="7692"/>
    </row>
    <row r="2" spans="1:83" ht="24" customHeight="1">
      <c r="A2" s="7746" t="s">
        <v>16248</v>
      </c>
      <c r="B2" s="7620"/>
      <c r="C2" s="7623"/>
      <c r="D2" s="7623"/>
      <c r="E2" s="7623"/>
      <c r="F2" s="7623"/>
      <c r="G2" s="7623"/>
      <c r="H2" s="7623"/>
      <c r="I2" s="7623"/>
      <c r="J2" s="7745"/>
      <c r="K2" s="7745"/>
      <c r="L2" s="7745"/>
      <c r="M2" s="7745"/>
      <c r="N2" s="7745"/>
      <c r="O2" s="7745"/>
      <c r="P2" s="7745"/>
      <c r="Q2" s="7745"/>
      <c r="S2" s="7693"/>
      <c r="T2" s="7693"/>
      <c r="V2" s="7693"/>
      <c r="W2" s="7693"/>
      <c r="X2" s="7693"/>
      <c r="Y2" s="7693"/>
      <c r="Z2" s="7693"/>
      <c r="AA2" s="7693"/>
      <c r="AB2" s="7693"/>
      <c r="AC2" s="7693"/>
      <c r="AD2" s="7693"/>
      <c r="AE2" s="7693"/>
      <c r="CE2" s="7624" t="s">
        <v>16245</v>
      </c>
    </row>
    <row r="3" spans="1:83" ht="24" customHeight="1">
      <c r="A3" s="7746"/>
      <c r="B3" s="7620" t="s">
        <v>16249</v>
      </c>
      <c r="C3" s="7623"/>
      <c r="D3" s="7623"/>
      <c r="E3" s="7623"/>
      <c r="F3" s="7623"/>
      <c r="G3" s="7623"/>
      <c r="H3" s="7623"/>
      <c r="I3" s="7623" t="s">
        <v>2371</v>
      </c>
      <c r="J3" s="7625" t="s">
        <v>2371</v>
      </c>
      <c r="K3" s="7626" t="s">
        <v>16250</v>
      </c>
      <c r="L3" s="7627"/>
      <c r="M3" s="7627"/>
      <c r="N3" s="7627"/>
      <c r="O3" s="7627"/>
      <c r="P3" s="7627"/>
      <c r="Q3" s="7627"/>
      <c r="CA3" s="7628" t="s">
        <v>16251</v>
      </c>
      <c r="CB3" s="7629" t="s">
        <v>15855</v>
      </c>
      <c r="CC3" s="7628" t="s">
        <v>16252</v>
      </c>
      <c r="CD3" s="7628" t="s">
        <v>16253</v>
      </c>
    </row>
    <row r="4" spans="1:83" ht="30" customHeight="1">
      <c r="B4" s="7630"/>
      <c r="C4" s="7630"/>
      <c r="D4" s="7630"/>
      <c r="E4" s="7630"/>
      <c r="F4" s="7630"/>
      <c r="G4" s="7630"/>
      <c r="H4" s="7630"/>
      <c r="I4" s="7630"/>
      <c r="J4" s="7747" t="str">
        <f>"Saisir le texte en "&amp;K15&amp;"  Régler la longueur en "&amp;ADDRESS(ROW(N10),COLUMN(N10),4)&amp;"    en option  Mettre un  X en  "&amp;ADDRESS(ROW(N11),COLUMN(N11),4)&amp;"  pour alléger une partie de la ponctuation."</f>
        <v>Saisir le texte en COLONNE K  Régler la longueur en N10    en option  Mettre un  X en  N11  pour alléger une partie de la ponctuation.</v>
      </c>
      <c r="K4" s="7747"/>
      <c r="L4" s="7747"/>
      <c r="M4" s="7747"/>
      <c r="N4" s="7747"/>
      <c r="O4" s="7747"/>
      <c r="P4" s="7747"/>
      <c r="Q4" s="7747"/>
      <c r="S4" s="7633"/>
      <c r="T4" s="7633"/>
      <c r="V4" s="7631"/>
      <c r="W4" s="7632" t="str">
        <f>"1. le texte de la "&amp;O15&amp;" est collé automatiquement dans la "&amp;W16</f>
        <v>1. le texte de la COLONNE O est collé automatiquement dans la COLONNE W</v>
      </c>
      <c r="X4" s="7633"/>
      <c r="Y4" s="7633"/>
      <c r="Z4" s="7633"/>
      <c r="AA4" s="7633"/>
      <c r="AB4" s="7633"/>
      <c r="AC4" s="7633"/>
      <c r="AD4" s="7633"/>
      <c r="AE4" s="7633"/>
      <c r="CA4" s="3170" t="s">
        <v>16254</v>
      </c>
      <c r="CB4" s="7634" t="s">
        <v>16255</v>
      </c>
      <c r="CC4" s="3170" t="s">
        <v>16256</v>
      </c>
      <c r="CD4" s="3170" t="s">
        <v>16257</v>
      </c>
    </row>
    <row r="5" spans="1:83" ht="21" customHeight="1">
      <c r="B5" s="7630"/>
      <c r="C5" s="7630"/>
      <c r="D5" s="7630"/>
      <c r="E5" s="7630"/>
      <c r="F5" s="7630"/>
      <c r="G5" s="7630"/>
      <c r="H5" s="7630"/>
      <c r="I5" s="7635" t="s">
        <v>16258</v>
      </c>
      <c r="J5" s="7636">
        <f ca="1">INDEX(CELL("largeur",J5),1,1)</f>
        <v>13</v>
      </c>
      <c r="K5" s="7636">
        <f ca="1">INDEX(CELL("largeur",K5),1,1)</f>
        <v>122</v>
      </c>
      <c r="L5" s="7636">
        <f ca="1">INDEX(CELL("largeur",L5),1,1)</f>
        <v>8</v>
      </c>
      <c r="M5" s="7630"/>
      <c r="N5" s="7636">
        <f ca="1">INDEX(CELL("largeur",N5),1,1)</f>
        <v>8</v>
      </c>
      <c r="O5" s="7636">
        <f ca="1">INDEX(CELL("largeur",O5),1,1)</f>
        <v>122</v>
      </c>
      <c r="P5" s="7636">
        <f ca="1">INDEX(CELL("largeur",P5),1,1)</f>
        <v>8</v>
      </c>
      <c r="Q5" s="7636">
        <f ca="1">INDEX(CELL("largeur",Q5),1,1)</f>
        <v>8</v>
      </c>
      <c r="S5" s="7633"/>
      <c r="T5" s="7633"/>
      <c r="V5" s="7631"/>
      <c r="W5" s="7632" t="str">
        <f>"2. Vérifier les résultats en colonnes "&amp;Y15&amp;" et "&amp;Z15</f>
        <v>2. Vérifier les résultats en colonnes Y et Z</v>
      </c>
      <c r="X5" s="7633"/>
      <c r="Y5" s="7633"/>
      <c r="Z5" s="7633"/>
      <c r="AA5" s="7633"/>
      <c r="AB5" s="7633"/>
      <c r="AC5" s="7633"/>
      <c r="AD5" s="7633"/>
      <c r="AE5" s="7637" t="s">
        <v>16259</v>
      </c>
      <c r="CA5" s="3170" t="s">
        <v>16254</v>
      </c>
      <c r="CB5" s="7634" t="s">
        <v>16255</v>
      </c>
      <c r="CC5" s="3170" t="s">
        <v>16260</v>
      </c>
      <c r="CD5" s="3170" t="s">
        <v>16261</v>
      </c>
      <c r="CE5" s="7638" t="s">
        <v>16262</v>
      </c>
    </row>
    <row r="6" spans="1:83" ht="21" customHeight="1">
      <c r="B6" s="7630"/>
      <c r="C6" s="7630"/>
      <c r="D6" s="7630"/>
      <c r="E6" s="7630"/>
      <c r="F6" s="7630"/>
      <c r="G6" s="7630"/>
      <c r="H6" s="7630"/>
      <c r="I6" s="7630"/>
      <c r="J6" s="7639"/>
      <c r="K6" s="7640" t="str">
        <f ca="1">" Largeur de cette colonne : "&amp;INDEX(CELL("largeur",K6),1,1)</f>
        <v xml:space="preserve"> Largeur de cette colonne : 122</v>
      </c>
      <c r="L6" s="7639"/>
      <c r="M6" s="7630"/>
      <c r="N6" s="7639"/>
      <c r="O6" s="7641" t="str">
        <f ca="1">" Largeur de cette colonne : " &amp; O5 &amp; IF(O5 &gt; N9, " - Colonne trop large de " &amp; (O5 - N9), IF(O5 &lt; N9, " - Élargissez la colonne à " &amp; N9, " Largeur correcte"))</f>
        <v xml:space="preserve"> Largeur de cette colonne : 122 Largeur correcte</v>
      </c>
      <c r="P6" s="7639"/>
      <c r="Q6" s="7639"/>
      <c r="S6" s="7633"/>
      <c r="T6" s="7633"/>
      <c r="V6" s="7631"/>
      <c r="W6" s="7632" t="str">
        <f>"3. Copier "&amp;Y15&amp;" : "&amp; Z15&amp;" puis coller dans la fiche recette avec Collage spécial &gt; Valeurs."</f>
        <v>3. Copier Y : Z puis coller dans la fiche recette avec Collage spécial &gt; Valeurs.</v>
      </c>
      <c r="X6" s="7633"/>
      <c r="Y6" s="7633"/>
      <c r="Z6" s="7633"/>
      <c r="AA6" s="7633"/>
      <c r="AB6" s="7633"/>
      <c r="AC6" s="7633"/>
      <c r="AD6" s="7633"/>
      <c r="AE6" s="7633"/>
      <c r="CA6" s="3170" t="s">
        <v>16254</v>
      </c>
      <c r="CB6" s="7634" t="s">
        <v>16255</v>
      </c>
      <c r="CC6" s="3170" t="s">
        <v>16263</v>
      </c>
      <c r="CD6" s="3170" t="s">
        <v>16264</v>
      </c>
      <c r="CE6" s="7642" t="s">
        <v>2370</v>
      </c>
    </row>
    <row r="7" spans="1:83" ht="21" customHeight="1">
      <c r="B7" s="7630"/>
      <c r="C7" s="7630"/>
      <c r="D7" s="7630"/>
      <c r="E7" s="7630"/>
      <c r="F7" s="7630"/>
      <c r="G7" s="7630"/>
      <c r="H7" s="7630"/>
      <c r="I7" s="7630"/>
      <c r="J7" s="7643" t="s">
        <v>11585</v>
      </c>
      <c r="K7" s="7644"/>
      <c r="L7" s="7644"/>
      <c r="M7" s="7630"/>
      <c r="N7" s="7748" t="s">
        <v>16265</v>
      </c>
      <c r="O7" s="7748"/>
      <c r="P7" s="7748"/>
      <c r="Q7" s="7748"/>
      <c r="S7" s="7633"/>
      <c r="T7" s="7633"/>
      <c r="V7" s="7631"/>
      <c r="W7" s="7632" t="s">
        <v>16266</v>
      </c>
      <c r="X7" s="7633"/>
      <c r="Y7" s="7633"/>
      <c r="Z7" s="7633"/>
      <c r="AA7" s="7633"/>
      <c r="AB7" s="7633"/>
      <c r="AC7" s="7633"/>
      <c r="AD7" s="7633"/>
      <c r="AE7" s="7633"/>
      <c r="CA7" s="3170" t="s">
        <v>16254</v>
      </c>
      <c r="CB7" s="7634" t="s">
        <v>16255</v>
      </c>
      <c r="CC7" s="3170" t="s">
        <v>16267</v>
      </c>
      <c r="CD7" s="3170" t="s">
        <v>16268</v>
      </c>
      <c r="CE7" s="7642" t="s">
        <v>2371</v>
      </c>
    </row>
    <row r="8" spans="1:83" ht="21" customHeight="1">
      <c r="B8" s="7630"/>
      <c r="C8" s="7630"/>
      <c r="D8" s="7630"/>
      <c r="E8" s="7630"/>
      <c r="F8" s="7630"/>
      <c r="G8" s="7630"/>
      <c r="H8" s="7630"/>
      <c r="I8" s="7630"/>
      <c r="J8" s="7645">
        <f>COUNTIF($K$18:$K$203,"&lt;&gt;")</f>
        <v>4</v>
      </c>
      <c r="K8" s="7646" t="s">
        <v>16269</v>
      </c>
      <c r="L8" s="7630"/>
      <c r="N8" s="7647"/>
      <c r="O8" s="7648" t="str">
        <f>"1️⃣ saisissez ou collez votre texte "&amp;K15</f>
        <v>1️⃣ saisissez ou collez votre texte COLONNE K</v>
      </c>
      <c r="P8" s="7630"/>
      <c r="Q8" s="7630"/>
      <c r="S8" s="12"/>
      <c r="T8" s="12"/>
      <c r="V8" s="12"/>
      <c r="W8" s="12"/>
      <c r="X8" s="12"/>
      <c r="Y8" s="12"/>
      <c r="Z8" s="12"/>
      <c r="AA8" s="12"/>
      <c r="AB8" s="12"/>
      <c r="AC8" s="12"/>
      <c r="AD8" s="12"/>
      <c r="AE8" s="12"/>
      <c r="CA8" s="3170" t="s">
        <v>16254</v>
      </c>
      <c r="CB8" s="7634" t="s">
        <v>16255</v>
      </c>
      <c r="CC8" s="3170" t="s">
        <v>16270</v>
      </c>
      <c r="CD8" s="3170" t="s">
        <v>16271</v>
      </c>
      <c r="CE8" s="7642" t="s">
        <v>2372</v>
      </c>
    </row>
    <row r="9" spans="1:83" ht="21" customHeight="1">
      <c r="B9" s="7630"/>
      <c r="C9" s="7630"/>
      <c r="D9" s="7630"/>
      <c r="E9" s="7630"/>
      <c r="F9" s="7630"/>
      <c r="G9" s="7630"/>
      <c r="H9" s="7630"/>
      <c r="I9" s="7630"/>
      <c r="J9" s="7645">
        <f>SUM($L$18:$L$203)</f>
        <v>611</v>
      </c>
      <c r="K9" s="7646" t="s">
        <v>16272</v>
      </c>
      <c r="L9" s="7630"/>
      <c r="M9" s="7649" t="str">
        <f>ADDRESS(ROW(N10),COLUMN(N10),4)&amp;" ►"</f>
        <v>N10 ►</v>
      </c>
      <c r="N9" s="7650">
        <v>122</v>
      </c>
      <c r="O9" s="7651" t="s">
        <v>16273</v>
      </c>
      <c r="P9" s="7630"/>
      <c r="Q9" s="7630"/>
      <c r="S9" s="7653"/>
      <c r="T9" s="7654"/>
      <c r="V9" s="7652"/>
      <c r="W9" s="7652" t="str">
        <f>"Colonnes utiles : "&amp; W15&amp;"  = saisie, "&amp;Y15&amp;" = texte à coller, "&amp; Z15&amp;" = allergènes détectés"</f>
        <v>Colonnes utiles : W  = saisie, Y = texte à coller, Z = allergènes détectés</v>
      </c>
      <c r="X9" s="7653"/>
      <c r="Y9" s="7653"/>
      <c r="Z9" s="7654"/>
      <c r="AA9" s="7654"/>
      <c r="AB9" s="7654"/>
      <c r="AC9" s="7654"/>
      <c r="AD9" s="7654"/>
      <c r="AE9" s="7654"/>
      <c r="CA9" s="3170" t="s">
        <v>16254</v>
      </c>
      <c r="CB9" s="7634" t="s">
        <v>16255</v>
      </c>
      <c r="CC9" s="3170" t="s">
        <v>16274</v>
      </c>
      <c r="CD9" s="3170" t="s">
        <v>16275</v>
      </c>
      <c r="CE9" s="7642" t="s">
        <v>2373</v>
      </c>
    </row>
    <row r="10" spans="1:83" ht="21" customHeight="1">
      <c r="B10" s="7630"/>
      <c r="C10" s="7630"/>
      <c r="D10" s="7630"/>
      <c r="E10" s="7630"/>
      <c r="F10" s="7630"/>
      <c r="G10" s="7630"/>
      <c r="H10" s="7630"/>
      <c r="I10" s="7630"/>
      <c r="J10" s="7645">
        <f>SUMPRODUCT(($K$18:$K$203&lt;&gt;"")*(LEN(TRIM($K$18:$K$203))-LEN(SUBSTITUTE(TRIM($K$18:$K$203)," ",""))+1))</f>
        <v>104</v>
      </c>
      <c r="K10" s="7646" t="s">
        <v>16276</v>
      </c>
      <c r="L10" s="7630"/>
      <c r="M10" s="7649" t="str">
        <f>ADDRESS(ROW(N11),COLUMN(N11),4)&amp;" ►"</f>
        <v>N11 ►</v>
      </c>
      <c r="N10" s="7655">
        <v>80</v>
      </c>
      <c r="O10" s="7651" t="s">
        <v>16277</v>
      </c>
      <c r="P10" s="7630"/>
      <c r="Q10" s="7630"/>
      <c r="S10" s="12"/>
      <c r="T10" s="12"/>
      <c r="V10" s="12"/>
      <c r="W10" s="12"/>
      <c r="X10" s="12"/>
      <c r="Y10" s="12"/>
      <c r="Z10" s="12"/>
      <c r="AA10" s="12"/>
      <c r="AB10" s="12"/>
      <c r="AC10" s="12"/>
      <c r="AD10" s="12"/>
      <c r="AE10" s="12"/>
      <c r="CA10" s="3170" t="s">
        <v>16254</v>
      </c>
      <c r="CB10" s="7634" t="s">
        <v>16255</v>
      </c>
      <c r="CC10" s="3170" t="s">
        <v>16278</v>
      </c>
      <c r="CD10" s="3170" t="s">
        <v>16279</v>
      </c>
      <c r="CE10" s="7656" t="s">
        <v>16280</v>
      </c>
    </row>
    <row r="11" spans="1:83" ht="21" customHeight="1">
      <c r="B11" s="7630"/>
      <c r="C11" s="7630"/>
      <c r="D11" s="7630"/>
      <c r="E11" s="7630"/>
      <c r="F11" s="7630"/>
      <c r="G11" s="7630"/>
      <c r="H11" s="7630"/>
      <c r="I11" s="7630"/>
      <c r="J11" s="7645">
        <f>COUNTIF($O$18:$O$1017,"&lt;&gt;")</f>
        <v>1000</v>
      </c>
      <c r="K11" s="7646" t="s">
        <v>16281</v>
      </c>
      <c r="L11" s="7630"/>
      <c r="M11" s="7649" t="str">
        <f>ADDRESS(ROW(N12),COLUMN(N12),4)&amp;" ►"</f>
        <v>N12 ►</v>
      </c>
      <c r="N11" s="7657"/>
      <c r="O11" s="7658" t="s">
        <v>16282</v>
      </c>
      <c r="P11" s="7630"/>
      <c r="Q11" s="7630"/>
      <c r="V11" s="7694" t="s">
        <v>16283</v>
      </c>
      <c r="CA11" s="3170" t="s">
        <v>16254</v>
      </c>
      <c r="CB11" s="7634" t="s">
        <v>16255</v>
      </c>
      <c r="CC11" s="3170" t="s">
        <v>16284</v>
      </c>
      <c r="CD11" s="3170" t="s">
        <v>16285</v>
      </c>
    </row>
    <row r="12" spans="1:83" ht="21" customHeight="1">
      <c r="B12" s="7630"/>
      <c r="C12" s="7630"/>
      <c r="D12" s="7630"/>
      <c r="E12" s="7630"/>
      <c r="F12" s="7630"/>
      <c r="G12" s="7630"/>
      <c r="H12" s="7630"/>
      <c r="I12" s="7630"/>
      <c r="J12" s="7645" t="str">
        <f>IF($H$1017&lt;&gt;"","Texte plus long que la zone de sortie","Prêt")</f>
        <v>Prêt</v>
      </c>
      <c r="K12" s="7646" t="s">
        <v>16286</v>
      </c>
      <c r="L12" s="7630"/>
      <c r="M12" s="7630"/>
      <c r="N12" s="7749" t="s">
        <v>16287</v>
      </c>
      <c r="O12" s="7749"/>
      <c r="P12" s="7749"/>
      <c r="Q12" s="7749"/>
      <c r="S12" s="12"/>
      <c r="T12" s="12"/>
      <c r="V12" s="12"/>
      <c r="W12" s="716" t="s">
        <v>16288</v>
      </c>
      <c r="X12" s="12"/>
      <c r="Y12" s="12"/>
      <c r="Z12" s="12"/>
      <c r="AA12" s="12"/>
      <c r="AB12" s="12"/>
      <c r="AC12" s="12"/>
      <c r="AD12" s="12"/>
      <c r="AE12" s="12"/>
      <c r="CA12" s="3170" t="s">
        <v>16254</v>
      </c>
      <c r="CB12" s="7634" t="s">
        <v>16255</v>
      </c>
      <c r="CC12" s="3170" t="s">
        <v>16289</v>
      </c>
      <c r="CD12" s="3170" t="s">
        <v>16290</v>
      </c>
    </row>
    <row r="13" spans="1:83" ht="21" customHeight="1">
      <c r="B13" s="7630"/>
      <c r="C13" s="7630"/>
      <c r="D13" s="7630"/>
      <c r="E13" s="7630"/>
      <c r="F13" s="7630"/>
      <c r="G13" s="7630"/>
      <c r="H13" s="7630"/>
      <c r="I13" s="7630"/>
      <c r="J13" s="7630"/>
      <c r="K13" s="7645"/>
      <c r="L13" s="7630"/>
      <c r="M13" s="7630"/>
      <c r="N13" s="7749"/>
      <c r="O13" s="7749"/>
      <c r="P13" s="7749"/>
      <c r="Q13" s="7749"/>
      <c r="S13" s="12"/>
      <c r="T13" s="12"/>
      <c r="V13" s="7659" t="s">
        <v>16291</v>
      </c>
      <c r="W13" s="12"/>
      <c r="X13" s="12"/>
      <c r="Y13" s="12"/>
      <c r="Z13" s="12"/>
      <c r="AA13" s="12"/>
      <c r="AB13" s="12"/>
      <c r="AC13" s="12"/>
      <c r="AD13" s="12"/>
      <c r="AE13" s="12"/>
      <c r="CA13" s="3170" t="s">
        <v>16254</v>
      </c>
      <c r="CB13" s="7634" t="s">
        <v>16255</v>
      </c>
      <c r="CC13" s="3170" t="s">
        <v>16292</v>
      </c>
      <c r="CD13" s="3170" t="s">
        <v>16293</v>
      </c>
    </row>
    <row r="14" spans="1:83" ht="21" customHeight="1">
      <c r="B14" s="7750" t="s">
        <v>16294</v>
      </c>
      <c r="C14" s="7750"/>
      <c r="D14" s="7750"/>
      <c r="E14" s="7750"/>
      <c r="F14" s="7750"/>
      <c r="G14" s="7750"/>
      <c r="H14" s="7750"/>
      <c r="I14" s="7750"/>
      <c r="J14" s="7750" t="s">
        <v>16295</v>
      </c>
      <c r="K14" s="7750"/>
      <c r="L14" s="7750"/>
      <c r="M14" s="7660"/>
      <c r="N14" s="7750" t="s">
        <v>16296</v>
      </c>
      <c r="O14" s="7750"/>
      <c r="P14" s="7750"/>
      <c r="Q14" s="7750"/>
      <c r="S14" s="12"/>
      <c r="T14" s="12"/>
      <c r="V14" s="7659" t="s">
        <v>16291</v>
      </c>
      <c r="W14" s="12"/>
      <c r="X14" s="12"/>
      <c r="Y14" s="12"/>
      <c r="Z14" s="12"/>
      <c r="AA14" s="12"/>
      <c r="AB14" s="12"/>
      <c r="AC14" s="12"/>
      <c r="AD14" s="12"/>
      <c r="AE14" s="12"/>
      <c r="CA14" s="3170" t="s">
        <v>16254</v>
      </c>
      <c r="CB14" s="7634" t="s">
        <v>16255</v>
      </c>
      <c r="CC14" s="3170" t="s">
        <v>16297</v>
      </c>
      <c r="CD14" s="3170" t="s">
        <v>16298</v>
      </c>
    </row>
    <row r="15" spans="1:83" ht="21" customHeight="1">
      <c r="B15" s="7661"/>
      <c r="C15" s="7661"/>
      <c r="D15" s="7661"/>
      <c r="E15" s="7661"/>
      <c r="F15" s="7661"/>
      <c r="G15" s="7661"/>
      <c r="H15" s="7661"/>
      <c r="I15" s="7661"/>
      <c r="J15" s="7662"/>
      <c r="K15" s="7663" t="str">
        <f>"COLONNE "&amp;SUBSTITUTE(ADDRESS(1,COLUMN(),4),"1","")</f>
        <v>COLONNE K</v>
      </c>
      <c r="L15" s="7662"/>
      <c r="M15" s="7630"/>
      <c r="N15" s="7695"/>
      <c r="O15" s="7696" t="str">
        <f>"COLONNE "&amp;SUBSTITUTE(ADDRESS(1,COLUMN(),4),"1","")</f>
        <v>COLONNE O</v>
      </c>
      <c r="P15" s="7695"/>
      <c r="Q15" s="7695"/>
      <c r="S15" s="7664" t="str">
        <f>"COLONNE "&amp;SUBSTITUTE(ADDRESS(1,COLUMN(),4),"1","")</f>
        <v>COLONNE S</v>
      </c>
      <c r="T15" s="7697" t="str">
        <f>SUBSTITUTE(ADDRESS(1,COLUMN(),4),"1","")</f>
        <v>T</v>
      </c>
      <c r="V15" s="7659"/>
      <c r="W15" s="674" t="str">
        <f>SUBSTITUTE(ADDRESS(1,COLUMN(),4),"1","")</f>
        <v>W</v>
      </c>
      <c r="X15" s="12"/>
      <c r="Y15" s="674" t="str">
        <f>SUBSTITUTE(ADDRESS(1,COLUMN(),4),"1","")</f>
        <v>Y</v>
      </c>
      <c r="Z15" s="674" t="str">
        <f>SUBSTITUTE(ADDRESS(1,COLUMN(),4),"1","")</f>
        <v>Z</v>
      </c>
      <c r="AA15" s="12"/>
      <c r="AB15" s="12"/>
      <c r="AC15" s="12"/>
      <c r="AD15" s="12"/>
      <c r="AE15" s="12"/>
      <c r="CA15" s="3170" t="s">
        <v>16254</v>
      </c>
      <c r="CB15" s="7634" t="s">
        <v>16255</v>
      </c>
      <c r="CC15" s="3170" t="s">
        <v>16299</v>
      </c>
      <c r="CD15" s="3170" t="s">
        <v>16300</v>
      </c>
    </row>
    <row r="16" spans="1:83" ht="21" customHeight="1">
      <c r="B16" s="7665" t="s">
        <v>16301</v>
      </c>
      <c r="C16" s="7666" t="s">
        <v>16302</v>
      </c>
      <c r="D16" s="7666" t="s">
        <v>16303</v>
      </c>
      <c r="E16" s="7666" t="s">
        <v>16304</v>
      </c>
      <c r="F16" s="7666" t="s">
        <v>16305</v>
      </c>
      <c r="G16" s="7666" t="s">
        <v>2727</v>
      </c>
      <c r="H16" s="7666" t="s">
        <v>16306</v>
      </c>
      <c r="I16" s="7666" t="s">
        <v>16307</v>
      </c>
      <c r="J16" s="7667" t="s">
        <v>511</v>
      </c>
      <c r="K16" s="7742" t="s">
        <v>16308</v>
      </c>
      <c r="L16" s="7667" t="s">
        <v>16309</v>
      </c>
      <c r="M16" s="7630"/>
      <c r="N16" s="7698" t="s">
        <v>511</v>
      </c>
      <c r="O16" s="7743" t="str">
        <f>"⚠️ COPIEZ / COLLEZ CE TEXTE SANS DÉTECTION D'ALLERGÈNES DANS VOTRE DOCUMENT (collage spécial 1.2.3 Valeur)"</f>
        <v>⚠️ COPIEZ / COLLEZ CE TEXTE SANS DÉTECTION D'ALLERGÈNES DANS VOTRE DOCUMENT (collage spécial 1.2.3 Valeur)</v>
      </c>
      <c r="P16" s="7698" t="s">
        <v>16310</v>
      </c>
      <c r="Q16" s="7698" t="s">
        <v>16309</v>
      </c>
      <c r="S16" s="7744" t="s">
        <v>16313</v>
      </c>
      <c r="T16" s="7699" t="str">
        <f>"COLONNE "&amp;SUBSTITUTE(ADDRESS(1,COLUMN(),4),"1","")</f>
        <v>COLONNE T</v>
      </c>
      <c r="V16" s="12"/>
      <c r="W16" s="7668" t="str">
        <f>"COLONNE "&amp;SUBSTITUTE(ADDRESS(1,COLUMN(),4),"1","")</f>
        <v>COLONNE W</v>
      </c>
      <c r="Y16" s="7668" t="str">
        <f>"COLONNE "&amp;SUBSTITUTE(ADDRESS(1,COLUMN(),4),"1","")</f>
        <v>COLONNE Y</v>
      </c>
      <c r="Z16" s="7668" t="str">
        <f>"COLONNE "&amp;SUBSTITUTE(ADDRESS(1,COLUMN(),4),"1","")</f>
        <v>COLONNE Z</v>
      </c>
      <c r="AA16" s="12"/>
      <c r="AB16" s="12"/>
      <c r="AC16" s="12"/>
      <c r="AD16" s="12"/>
      <c r="AE16" s="12"/>
      <c r="CA16" s="3170" t="s">
        <v>16254</v>
      </c>
      <c r="CB16" s="7634" t="s">
        <v>16255</v>
      </c>
      <c r="CC16" s="3170" t="s">
        <v>16311</v>
      </c>
      <c r="CD16" s="3170" t="s">
        <v>16312</v>
      </c>
    </row>
    <row r="17" spans="2:82" ht="20.100000000000001" customHeight="1">
      <c r="B17" s="7661"/>
      <c r="C17" s="7661"/>
      <c r="D17" s="7661"/>
      <c r="E17" s="7661"/>
      <c r="F17" s="7661"/>
      <c r="G17" s="7661"/>
      <c r="H17" s="7661"/>
      <c r="I17" s="7661"/>
      <c r="J17" s="7667"/>
      <c r="K17" s="7742"/>
      <c r="L17" s="7667"/>
      <c r="M17" s="7630"/>
      <c r="N17" s="7700"/>
      <c r="O17" s="7743"/>
      <c r="P17" s="7700"/>
      <c r="Q17" s="7700"/>
      <c r="S17" s="7744"/>
      <c r="T17" s="7701" t="s">
        <v>16314</v>
      </c>
      <c r="V17" s="7669" t="s">
        <v>2727</v>
      </c>
      <c r="W17" s="7669" t="str">
        <f>"Texte de la  "&amp;O15&amp;" liaison automatique"</f>
        <v>Texte de la  COLONNE O liaison automatique</v>
      </c>
      <c r="X17" s="7669"/>
      <c r="Y17" s="7670" t="s">
        <v>16313</v>
      </c>
      <c r="Z17" s="7671" t="s">
        <v>16314</v>
      </c>
      <c r="AA17" s="7669" t="s">
        <v>16315</v>
      </c>
      <c r="AB17" s="7669" t="s">
        <v>16316</v>
      </c>
      <c r="AC17" s="7669" t="s">
        <v>16317</v>
      </c>
      <c r="AD17" s="7669" t="s">
        <v>16318</v>
      </c>
      <c r="AE17" s="7669" t="s">
        <v>16319</v>
      </c>
      <c r="AF17" s="7628" t="s">
        <v>1144</v>
      </c>
      <c r="AG17" s="7628" t="s">
        <v>16320</v>
      </c>
      <c r="AH17" s="7628" t="s">
        <v>16321</v>
      </c>
      <c r="AI17" s="7628" t="s">
        <v>16322</v>
      </c>
      <c r="AJ17" s="7628" t="s">
        <v>16323</v>
      </c>
      <c r="AK17" s="7628" t="s">
        <v>16324</v>
      </c>
      <c r="AL17" s="7628" t="s">
        <v>16325</v>
      </c>
      <c r="AM17" s="7628" t="s">
        <v>16326</v>
      </c>
      <c r="AN17" s="7628" t="s">
        <v>16327</v>
      </c>
      <c r="AO17" s="7628" t="s">
        <v>16328</v>
      </c>
      <c r="AP17" s="7628" t="s">
        <v>16329</v>
      </c>
      <c r="AQ17" s="7628" t="s">
        <v>16330</v>
      </c>
      <c r="AR17" s="7628" t="s">
        <v>16331</v>
      </c>
      <c r="AS17" s="7628" t="s">
        <v>16332</v>
      </c>
      <c r="AT17" s="7628" t="s">
        <v>16333</v>
      </c>
      <c r="AU17" s="7628" t="s">
        <v>16334</v>
      </c>
      <c r="AV17" s="7628" t="s">
        <v>16335</v>
      </c>
      <c r="AW17" s="7628" t="s">
        <v>16336</v>
      </c>
      <c r="AX17" s="7628" t="s">
        <v>16337</v>
      </c>
      <c r="AY17" s="7628" t="s">
        <v>16338</v>
      </c>
      <c r="AZ17" s="7628" t="s">
        <v>16339</v>
      </c>
      <c r="BA17" s="7628" t="s">
        <v>16340</v>
      </c>
      <c r="BB17" s="7628" t="s">
        <v>16341</v>
      </c>
      <c r="BC17" s="7628" t="s">
        <v>16342</v>
      </c>
      <c r="BD17" s="7628" t="s">
        <v>16343</v>
      </c>
      <c r="BE17" s="7628" t="s">
        <v>16344</v>
      </c>
      <c r="BF17" s="7628" t="s">
        <v>16345</v>
      </c>
      <c r="BG17" s="7628" t="s">
        <v>16346</v>
      </c>
      <c r="BH17" s="7628" t="s">
        <v>16347</v>
      </c>
      <c r="BI17" s="7628" t="s">
        <v>16348</v>
      </c>
      <c r="BJ17" s="7628" t="s">
        <v>16349</v>
      </c>
      <c r="BK17" s="7628" t="s">
        <v>16350</v>
      </c>
      <c r="BL17" s="7628" t="s">
        <v>16351</v>
      </c>
      <c r="BM17" s="7628" t="s">
        <v>16352</v>
      </c>
      <c r="BN17" s="7628" t="s">
        <v>16353</v>
      </c>
      <c r="BO17" s="7628" t="s">
        <v>16354</v>
      </c>
      <c r="BP17" s="7628" t="s">
        <v>16355</v>
      </c>
      <c r="BQ17" s="7628" t="s">
        <v>16356</v>
      </c>
      <c r="BR17" s="7628" t="s">
        <v>16357</v>
      </c>
      <c r="BS17" s="7628" t="s">
        <v>16358</v>
      </c>
      <c r="BT17" s="7628" t="s">
        <v>16359</v>
      </c>
      <c r="BU17" s="7628" t="s">
        <v>16360</v>
      </c>
      <c r="BV17" s="7628" t="s">
        <v>16361</v>
      </c>
      <c r="BW17" s="7628" t="s">
        <v>16362</v>
      </c>
      <c r="BX17" s="7628" t="s">
        <v>16363</v>
      </c>
      <c r="CA17" s="3170" t="s">
        <v>16254</v>
      </c>
      <c r="CB17" s="7634" t="s">
        <v>16255</v>
      </c>
      <c r="CC17" s="3170" t="s">
        <v>16364</v>
      </c>
      <c r="CD17" s="3170" t="s">
        <v>16365</v>
      </c>
    </row>
    <row r="18" spans="2:82" ht="30" customHeight="1">
      <c r="B18" s="7661" t="str">
        <f t="shared" ref="B18:B81" si="0">IF(TRIM(SUBSTITUTE(K18,CHAR(160),""))="","",TRIM(SUBSTITUTE(SUBSTITUTE(SUBSTITUTE(SUBSTITUTE(CLEAN(K18),CHAR(160)," "),CHAR(9)," "),CHAR(10)," "),CHAR(13)," ")))</f>
        <v/>
      </c>
      <c r="C18" s="7661" t="str">
        <f t="shared" ref="C18:C81" si="1">IF(B18="","",TRIM(SUBSTITUTE(SUBSTITUTE(SUBSTITUTE(SUBSTITUTE(SUBSTITUTE(SUBSTITUTE(SUBSTITUTE(SUBSTITUTE(SUBSTITUTE(SUBSTITUTE(B18,","," "),";"," "),":"," "),"."," "),"?"," "), "!"," "),"/"," "), "("," "), ")"," "), "-"," ")))</f>
        <v/>
      </c>
      <c r="D18" s="7661" t="str">
        <f t="shared" ref="D18:D81" si="2">IF(UPPER(TRIM($N$11))="X",C18,B18)</f>
        <v/>
      </c>
      <c r="E18" s="7661">
        <f>IFERROR(MATCH(TRUE(),INDEX($K$18:$K$203&lt;&gt;"",0),0)+17,"")</f>
        <v>19</v>
      </c>
      <c r="F18" s="7661" t="str">
        <f>IF(E18="","",INDEX($D:$D,E18))</f>
        <v>Maigre de volaille</v>
      </c>
      <c r="G18" s="7661" t="str">
        <f t="shared" ref="G18:G81" si="3">IF(OR(F18="",M18=""),"",LEFT(F18,M18))</f>
        <v>Maigre de volaille</v>
      </c>
      <c r="H18" s="7672" t="str">
        <f t="shared" ref="H18:H81" si="4">IF(OR(F18="",M18=""),"",TRIM(MID(F18,M18+1,99999)))</f>
        <v/>
      </c>
      <c r="I18" s="7661" t="str">
        <f t="shared" ref="I18:I81" si="5">IF(AND(F18&lt;&gt;"",$N$10&gt;0,M18&gt;$N$10),"Mot &gt; limite","")</f>
        <v/>
      </c>
      <c r="J18" s="7673" t="str">
        <f>IF(K18="","",COUNTIF($K$18:K18,"&lt;&gt;"))</f>
        <v/>
      </c>
      <c r="K18" s="7674"/>
      <c r="L18" s="7673" t="str">
        <f t="shared" ref="L18:L81" si="6">IF(TRIM(SUBSTITUTE(K18,CHAR(160),""))="","",LEN(K18))</f>
        <v/>
      </c>
      <c r="M18" s="7630">
        <f t="shared" ref="M18:M81" si="7">IF(OR(F18="",$N$10="",$N$10&lt;=0),"",IF(LEN(F18)&lt;=$N$10,LEN(F18),IFERROR(FIND("♦",SUBSTITUTE(LEFT(F18,$N$10)," ","♦",LEN(LEFT(F18,$N$10))-LEN(SUBSTITUTE(LEFT(F18,$N$10)," ","")))),FIND(" ",F18&amp;" ",$N$10+1)-1)))</f>
        <v>18</v>
      </c>
      <c r="N18" s="7675">
        <f t="shared" ref="N18:N81" si="8">IF(O18="","",ROW()-17)</f>
        <v>1</v>
      </c>
      <c r="O18" s="7676" t="str">
        <f t="shared" ref="O18:O81" si="9">G18</f>
        <v>Maigre de volaille</v>
      </c>
      <c r="P18" s="7675">
        <f t="shared" ref="P18:P81" si="10">IF(O18="","",LEN(TRIM(O18))-LEN(SUBSTITUTE(TRIM(O18)," ",""))+1)</f>
        <v>3</v>
      </c>
      <c r="Q18" s="7675">
        <f t="shared" ref="Q18:Q81" si="11">IF(O18="","",LEN(O18))</f>
        <v>18</v>
      </c>
      <c r="S18" s="7679" t="str">
        <f>$Y$18</f>
        <v>Maigre de volaille</v>
      </c>
      <c r="T18" s="7680" t="str">
        <f t="shared" ref="T18:T81" si="12">Z18</f>
        <v/>
      </c>
      <c r="V18" s="7677">
        <f t="shared" ref="V18:V81" si="13">IF(W18="","",ROW())</f>
        <v>18</v>
      </c>
      <c r="W18" s="7678" t="str">
        <f>O18</f>
        <v>Maigre de volaille</v>
      </c>
      <c r="X18" s="7677" t="s">
        <v>2</v>
      </c>
      <c r="Y18" s="7702" t="str">
        <f t="shared" ref="Y18:Y81" si="14">IF(W18="","",TRIM(SUBSTITUTE(W18,"*",""))&amp;IF(COUNTIF(Z18,"*⚠*")&gt;0," *",""))</f>
        <v>Maigre de volaille</v>
      </c>
      <c r="Z18" s="7703" t="str">
        <f t="shared" ref="Z18:Z81" si="15">IF(W18="","",MID(IF(BI18&lt;&gt;""," • "&amp;BI18,"")&amp;IF(BK18&lt;&gt;""," • "&amp;BK18,"")&amp;IF(BL18&lt;&gt;""," • "&amp;BL18,"")&amp;IF(BM18&lt;&gt;""," • "&amp;BM18,"")&amp;IF(BN18&lt;&gt;""," • "&amp;BN18,"")&amp;IF(BO18&lt;&gt;""," • "&amp;BO18,"")&amp;IF(BP18&lt;&gt;""," • "&amp;BP18,"")&amp;IF(BR18&lt;&gt;""," • "&amp;BR18,"")&amp;IF(BS18&lt;&gt;""," • "&amp;BS18,"")&amp;IF(BT18&lt;&gt;""," • "&amp;BT18,"")&amp;IF(BU18&lt;&gt;""," • "&amp;BU18,"")&amp;IF(BV18&lt;&gt;""," • "&amp;BV18,"")&amp;IF(BW18&lt;&gt;""," • "&amp;BW18,"")&amp;IF(BX18&lt;&gt;""," • "&amp;BX18,""),4,32767))</f>
        <v/>
      </c>
      <c r="AA18" s="7681" t="str">
        <f t="shared" ref="AA18:AA81" si="16">IF(W18="","",TRIM(W18)&amp;IF(AC18&gt;0," *",""))</f>
        <v>Maigre de volaille</v>
      </c>
      <c r="AB18" s="7682" t="str">
        <f t="shared" ref="AB18:AB81" si="17">IF(W18="","",MID(IF(BJ18&lt;&gt;""," • "&amp;BJ18,"")&amp;IF(BQ18&lt;&gt;""," • "&amp;BQ18,""),4,32767))</f>
        <v/>
      </c>
      <c r="AC18" s="7677">
        <f t="shared" ref="AC18:AC81" si="18">IF(W18="","",--(BI18&lt;&gt;"")+--(BK18&lt;&gt;"")+--(BL18&lt;&gt;"")+--(BM18&lt;&gt;"")+--(BN18&lt;&gt;"")+--(BO18&lt;&gt;"")+--(BP18&lt;&gt;"")+--(BR18&lt;&gt;"")+--(BS18&lt;&gt;"")+--(BT18&lt;&gt;"")+--(BU18&lt;&gt;"")+--(BV18&lt;&gt;"")+--(BW18&lt;&gt;"")+--(BX18&lt;&gt;""))</f>
        <v>0</v>
      </c>
      <c r="AD18" s="7677">
        <f t="shared" ref="AD18:AD81" si="19">IF(W18="","",--(BJ18&lt;&gt;"")+--(BQ18&lt;&gt;""))</f>
        <v>0</v>
      </c>
      <c r="AE18" s="7682" t="str">
        <f t="shared" ref="AE18:AE81" si="20">IF(W18="","",IF(Z18&lt;&gt;"",Z18,IF(AB18&lt;&gt;"",AB18,"aucun match")))</f>
        <v>aucun match</v>
      </c>
      <c r="AF18" s="6625" t="str">
        <f t="shared" ref="AF18:AF81" si="21">IF(W18="","",LOWER(W18))</f>
        <v>maigre de volaille</v>
      </c>
      <c r="AG18" s="6625" t="str">
        <f t="shared" ref="AG18:AG81" si="22">IF(AF18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F18,"œ","oe"),"æ","ae"),"à","a"),"á","a"),"â","a"),"ä","a"),"ã","a"),"å","a"),"ç","c"),"è","e"),"é","e"),"ê","e"),"ë","e"),"ì","i"),"í","i"),"î","i"),"ï","i"),"ñ","n"),"ò","o"),"ó","o"),"ô","o"),"ö","o"),"õ","o"),"ù","u"),"ú","u"),"û","u"),"ü","u"),"ý","y"),"ÿ","y"))</f>
        <v>maigre de volaille</v>
      </c>
      <c r="AH18" s="6625" t="str">
        <f t="shared" ref="AH18:AH81" si="23">IF(AG18="","",SUBSTITUTE(SUBSTITUTE(SUBSTITUTE(SUBSTITUTE(SUBSTITUTE(SUBSTITUTE(SUBSTITUTE(SUBSTITUTE(SUBSTITUTE(SUBSTITUTE(SUBSTITUTE(SUBSTITUTE(SUBSTITUTE(SUBSTITUTE(SUBSTITUTE(SUBSTITUTE(SUBSTITUTE(AG18,CHAR(10)," "),CHAR(13)," "),","," "),"."," "),":"," "),"/"," "),"-"," "),"_"," "),CHAR(34)," "),CHAR(40)," "),CHAR(41)," "),CHAR(39)," "),"?"," "),"!"," "),"+"," "),"*"," "),"&amp;"," "))</f>
        <v>maigre de volaille</v>
      </c>
      <c r="AI18" s="6625" t="str">
        <f t="shared" ref="AI18:AI81" si="24">IF(AH18="",""," "&amp;TRIM(SUBSTITUTE(SUBSTITUTE(SUBSTITUTE(AH18,"  "," "),"  "," "),"  "," "))&amp;" ")</f>
        <v xml:space="preserve"> maigre de volaille </v>
      </c>
      <c r="AJ18" s="6625" cm="1">
        <f t="array" ref="AJ18">IF(W18="",0,SUMPRODUCT((CA4:CA795="Gluten")*(CB4:CB795="INFO")*(COUNTIF(AI18,"*"&amp;CC4:CC795&amp;"*")&gt;0)*1))</f>
        <v>0</v>
      </c>
      <c r="AK18" s="6625" cm="1">
        <f t="array" ref="AK18">IF(W18="",0,SUMPRODUCT((CA4:CA795="Gluten")*(CB4:CB795="EXCL")*(COUNTIF(AI18,"*"&amp;CC4:CC795&amp;"*")&gt;0)*1))</f>
        <v>0</v>
      </c>
      <c r="AL18" s="6625" cm="1">
        <f t="array" ref="AL18">IF(W18="",0,SUMPRODUCT((CA4:CA795="Gluten")*(CB4:CB795="ALERTE")*(COUNTIF(AI18,"*"&amp;CC4:CC795&amp;"*")&gt;0)*1))</f>
        <v>0</v>
      </c>
      <c r="AM18" s="6625" cm="1">
        <f t="array" ref="AM18">IF(W18="",0,SUMPRODUCT((CA4:CA795="Gluten")*(CB4:CB795="SUSP")*(COUNTIF(AI18,"*"&amp;CC4:CC795&amp;"*")&gt;0)*1))</f>
        <v>0</v>
      </c>
      <c r="AN18" s="6625" cm="1">
        <f t="array" ref="AN18">IF(W18="",0,SUMPRODUCT((CA4:CA795="Crustaces")*(CB4:CB795="ALERTE")*(COUNTIF(AI18,"*"&amp;CC4:CC795&amp;"*")&gt;0)*1))</f>
        <v>0</v>
      </c>
      <c r="AO18" s="6625" cm="1">
        <f t="array" ref="AO18">IF(W18="",0,SUMPRODUCT((CA4:CA795="Oeufs")*(CB4:CB795="ALERTE")*(COUNTIF(AI18,"*"&amp;CC4:CC795&amp;"*")&gt;0)*1))</f>
        <v>0</v>
      </c>
      <c r="AP18" s="6625" cm="1">
        <f t="array" ref="AP18">IF(W18="",0,SUMPRODUCT((CA4:CA795="Poissons")*(CB4:CB795="INFO")*(COUNTIF(AI18,"*"&amp;CC4:CC795&amp;"*")&gt;0)*1))</f>
        <v>0</v>
      </c>
      <c r="AQ18" s="6625" cm="1">
        <f t="array" ref="AQ18">IF(W18="",0,SUMPRODUCT((CA4:CA795="Poissons")*(CB4:CB795="EXCL")*(COUNTIF(AI18,"*"&amp;CC4:CC795&amp;"*")&gt;0)*1))</f>
        <v>0</v>
      </c>
      <c r="AR18" s="6625" cm="1">
        <f t="array" ref="AR18">IF(W18="",0,SUMPRODUCT((CA4:CA795="Poissons")*(CB4:CB795="ALERTE")*(COUNTIF(AI18,"*"&amp;CC4:CC795&amp;"*")&gt;0)*1))</f>
        <v>0</v>
      </c>
      <c r="AS18" s="6625" cm="1">
        <f t="array" ref="AS18">IF(W18="",0,SUMPRODUCT((CA4:CA795="Arachides")*(CB4:CB795="ALERTE")*(COUNTIF(AI18,"*"&amp;CC4:CC795&amp;"*")&gt;0)*1))</f>
        <v>0</v>
      </c>
      <c r="AT18" s="6625" cm="1">
        <f t="array" ref="AT18">IF(W18="",0,SUMPRODUCT((CA4:CA795="Soja")*(CB4:CB795="INFO")*(COUNTIF(AI18,"*"&amp;CC4:CC795&amp;"*")&gt;0)*1))</f>
        <v>0</v>
      </c>
      <c r="AU18" s="6625" cm="1">
        <f t="array" ref="AU18">IF(W18="",0,SUMPRODUCT((CA4:CA795="Soja")*(CB4:CB795="ALERTE")*(COUNTIF(AI18,"*"&amp;CC4:CC795&amp;"*")&gt;0)*1))</f>
        <v>0</v>
      </c>
      <c r="AV18" s="6625" cm="1">
        <f t="array" ref="AV18">IF(W18="",0,SUMPRODUCT((CA4:CA795="Lait")*(CB4:CB795="INFO")*(COUNTIF(AI18,"*"&amp;CC4:CC795&amp;"*")&gt;0)*1))</f>
        <v>0</v>
      </c>
      <c r="AW18" s="6625" cm="1">
        <f t="array" ref="AW18">IF(W18="",0,SUMPRODUCT((CA4:CA795="Lait")*(CB4:CB795="EXCL")*(COUNTIF(AI18,"*"&amp;CC4:CC795&amp;"*")&gt;0)*1))</f>
        <v>0</v>
      </c>
      <c r="AX18" s="6625" cm="1">
        <f t="array" ref="AX18">IF(W18="",0,SUMPRODUCT((CA4:CA795="Lait")*(CB4:CB795="ALERTE")*(COUNTIF(AI18,"*"&amp;CC4:CC795&amp;"*")&gt;0)*1))</f>
        <v>0</v>
      </c>
      <c r="AY18" s="6625" cm="1">
        <f t="array" ref="AY18">IF(W18="",0,SUMPRODUCT((CA4:CA795="Lait")*(CB4:CB795="SUSP")*(COUNTIF(AI18,"*"&amp;CC4:CC795&amp;"*")&gt;0)*1))</f>
        <v>0</v>
      </c>
      <c r="AZ18" s="6625" cm="1">
        <f t="array" ref="AZ18">IF(W18="",0,SUMPRODUCT((CA4:CA795="Fruits a coque")*(CB4:CB795="EXCL")*(COUNTIF(AI18,"*"&amp;CC4:CC795&amp;"*")&gt;0)*1))</f>
        <v>0</v>
      </c>
      <c r="BA18" s="6625" cm="1">
        <f t="array" ref="BA18">IF(W18="",0,SUMPRODUCT((CA4:CA795="Fruits a coque")*(CB4:CB795="ALERTE")*(COUNTIF(AI18,"*"&amp;CC4:CC795&amp;"*")&gt;0)*1))</f>
        <v>0</v>
      </c>
      <c r="BB18" s="6625" cm="1">
        <f t="array" ref="BB18">IF(W18="",0,SUMPRODUCT((CA4:CA795="Celeri")*(CB4:CB795="ALERTE")*(COUNTIF(AI18,"*"&amp;CC4:CC795&amp;"*")&gt;0)*1))</f>
        <v>0</v>
      </c>
      <c r="BC18" s="6625" cm="1">
        <f t="array" ref="BC18">IF(W18="",0,SUMPRODUCT((CA4:CA795="Moutarde")*(CB4:CB795="ALERTE")*(COUNTIF(AI18,"*"&amp;CC4:CC795&amp;"*")&gt;0)*1))</f>
        <v>0</v>
      </c>
      <c r="BD18" s="6625" cm="1">
        <f t="array" ref="BD18">IF(W18="",0,SUMPRODUCT((CA4:CA795="Sesame")*(CB4:CB795="ALERTE")*(COUNTIF(AI18,"*"&amp;CC4:CC795&amp;"*")&gt;0)*1))</f>
        <v>0</v>
      </c>
      <c r="BE18" s="6625" cm="1">
        <f t="array" ref="BE18">IF(W18="",0,SUMPRODUCT((CA4:CA795="Sulfites")*(CB4:CB795="ALERTE")*(COUNTIF(AI18,"*"&amp;CC4:CC795&amp;"*")&gt;0)*1))</f>
        <v>0</v>
      </c>
      <c r="BF18" s="6625" cm="1">
        <f t="array" ref="BF18">IF(W18="",0,SUMPRODUCT((CA4:CA795="Lupin")*(CB4:CB795="ALERTE")*(COUNTIF(AI18,"*"&amp;CC4:CC795&amp;"*")&gt;0)*1))</f>
        <v>0</v>
      </c>
      <c r="BG18" s="6625" cm="1">
        <f t="array" ref="BG18">IF(W18="",0,SUMPRODUCT((CA4:CA795="Mollusques")*(CB4:CB795="EXCL")*(COUNTIF(AI18,"*"&amp;CC4:CC795&amp;"*")&gt;0)*1))</f>
        <v>0</v>
      </c>
      <c r="BH18" s="6625" cm="1">
        <f t="array" ref="BH18">IF(W18="",0,SUMPRODUCT((CA4:CA795="Mollusques")*(CB4:CB795="ALERTE")*(COUNTIF(AI18,"*"&amp;CC4:CC795&amp;"*")&gt;0)*1))</f>
        <v>0</v>
      </c>
      <c r="BI18" s="6625" t="str">
        <f t="shared" ref="BI18:BI81" si="25">IF(W18="","",IF(AJ18&gt;0,"info Gluten",IF(AND(AL18&gt;0,AK18=0),"⚠ Gluten","")))</f>
        <v/>
      </c>
      <c r="BJ18" s="6625" t="str">
        <f t="shared" ref="BJ18:BJ81" si="26">IF(W18="","",IF(AND(BI18="",AM18&gt;0,AK18=0),"suspicion Gluten",""))</f>
        <v/>
      </c>
      <c r="BK18" s="6625" t="str">
        <f t="shared" ref="BK18:BK81" si="27">IF(W18="","",IF(AN18&gt;0,"⚠ Crustaces",""))</f>
        <v/>
      </c>
      <c r="BL18" s="6625" t="str">
        <f t="shared" ref="BL18:BL81" si="28">IF(W18="","",IF(AO18&gt;0,"⚠ Oeufs",""))</f>
        <v/>
      </c>
      <c r="BM18" s="6625" t="str">
        <f t="shared" ref="BM18:BM81" si="29">IF(W18="","",IF(AP18&gt;0,"info Poissons",IF(AND(AR18&gt;0,AQ18=0),"⚠ Poissons","")))</f>
        <v/>
      </c>
      <c r="BN18" s="6625" t="str">
        <f t="shared" ref="BN18:BN81" si="30">IF(W18="","",IF(AS18&gt;0,"⚠ Arachides",""))</f>
        <v/>
      </c>
      <c r="BO18" s="6625" t="str">
        <f t="shared" ref="BO18:BO81" si="31">IF(W18="","",IF(AT18&gt;0,"info Soja",IF(AU18&gt;0,"⚠ Soja","")))</f>
        <v/>
      </c>
      <c r="BP18" s="6625" t="str">
        <f t="shared" ref="BP18:BP81" si="32">IF(W18="","",IF(AV18&gt;0,"info Lait",IF(AND(AX18&gt;0,AW18=0),"⚠ Lait","")))</f>
        <v/>
      </c>
      <c r="BQ18" s="6625" t="str">
        <f t="shared" ref="BQ18:BQ81" si="33">IF(W18="","",IF(AND(BP18="",AY18&gt;0,AW18=0),"suspicion Lait",""))</f>
        <v/>
      </c>
      <c r="BR18" s="6625" t="str">
        <f t="shared" ref="BR18:BR81" si="34">IF(W18="","",IF(AND(BA18&gt;0,AZ18=0),"⚠ Fruits a coque",""))</f>
        <v/>
      </c>
      <c r="BS18" s="6625" t="str">
        <f t="shared" ref="BS18:BS81" si="35">IF(W18="","",IF(BB18&gt;0,"⚠ Celeri",""))</f>
        <v/>
      </c>
      <c r="BT18" s="6625" t="str">
        <f t="shared" ref="BT18:BT81" si="36">IF(W18="","",IF(BC18&gt;0,"⚠ Moutarde",""))</f>
        <v/>
      </c>
      <c r="BU18" s="6625" t="str">
        <f t="shared" ref="BU18:BU81" si="37">IF(W18="","",IF(BD18&gt;0,"⚠ Sesame",""))</f>
        <v/>
      </c>
      <c r="BV18" s="6625" t="str">
        <f t="shared" ref="BV18:BV81" si="38">IF(W18="","",IF(BE18&gt;0,"⚠ Sulfites",""))</f>
        <v/>
      </c>
      <c r="BW18" s="6625" t="str">
        <f t="shared" ref="BW18:BW81" si="39">IF(W18="","",IF(BF18&gt;0,"⚠ Lupin",""))</f>
        <v/>
      </c>
      <c r="BX18" s="6625" t="str">
        <f t="shared" ref="BX18:BX81" si="40">IF(W18="","",IF(AND(BH18&gt;0,BG18=0),"⚠ Mollusques",""))</f>
        <v/>
      </c>
      <c r="CA18" s="3170" t="s">
        <v>16254</v>
      </c>
      <c r="CB18" s="7634" t="s">
        <v>16255</v>
      </c>
      <c r="CC18" s="3170" t="s">
        <v>16366</v>
      </c>
      <c r="CD18" s="3170" t="s">
        <v>16367</v>
      </c>
    </row>
    <row r="19" spans="2:82" ht="30" customHeight="1">
      <c r="B19" s="7661" t="str">
        <f t="shared" si="0"/>
        <v>Maigre de volaille</v>
      </c>
      <c r="C19" s="7661" t="str">
        <f t="shared" si="1"/>
        <v>Maigre de volaille</v>
      </c>
      <c r="D19" s="7661" t="str">
        <f t="shared" si="2"/>
        <v>Maigre de volaille</v>
      </c>
      <c r="E19" s="7661">
        <f>IF(H18&lt;&gt;"",E18,IF(E18="","",IFERROR(MATCH(TRUE(),INDEX(INDEX($K:$K,E18+1):$K$203&lt;&gt;"",0),0)+E18,"")))</f>
        <v>20</v>
      </c>
      <c r="F19" s="7661" t="str">
        <f t="shared" ref="F19:F82" si="41">IF(E19="","",IF(H18&lt;&gt;"",H18,INDEX($D:$D,E19)))</f>
        <v>Lait entier 60°C ( aromatisé)</v>
      </c>
      <c r="G19" s="7661" t="str">
        <f t="shared" si="3"/>
        <v>Lait entier 60°C ( aromatisé)</v>
      </c>
      <c r="H19" s="7672" t="str">
        <f t="shared" si="4"/>
        <v/>
      </c>
      <c r="I19" s="7683" t="str">
        <f t="shared" si="5"/>
        <v/>
      </c>
      <c r="J19" s="7673">
        <f>IF(K19="","",COUNTIF($K$18:K19,"&lt;&gt;"))</f>
        <v>1</v>
      </c>
      <c r="K19" s="7674" t="s">
        <v>1255</v>
      </c>
      <c r="L19" s="7673">
        <f t="shared" si="6"/>
        <v>18</v>
      </c>
      <c r="M19" s="7630">
        <f t="shared" si="7"/>
        <v>29</v>
      </c>
      <c r="N19" s="7675">
        <f t="shared" si="8"/>
        <v>2</v>
      </c>
      <c r="O19" s="7684" t="str">
        <f t="shared" si="9"/>
        <v>Lait entier 60°C ( aromatisé)</v>
      </c>
      <c r="P19" s="7675">
        <f t="shared" si="10"/>
        <v>5</v>
      </c>
      <c r="Q19" s="7675">
        <f t="shared" si="11"/>
        <v>29</v>
      </c>
      <c r="S19" s="7679" t="str">
        <f t="shared" ref="S19:T82" si="42">Y19</f>
        <v>Lait entier 60°C ( aromatisé) *</v>
      </c>
      <c r="T19" s="7680" t="str">
        <f t="shared" si="12"/>
        <v>⚠ Lait</v>
      </c>
      <c r="V19" s="7677">
        <f t="shared" si="13"/>
        <v>19</v>
      </c>
      <c r="W19" s="7678" t="str">
        <f t="shared" ref="W19:W82" si="43">O19</f>
        <v>Lait entier 60°C ( aromatisé)</v>
      </c>
      <c r="X19" s="7677" t="s">
        <v>2</v>
      </c>
      <c r="Y19" s="7702" t="str">
        <f t="shared" si="14"/>
        <v>Lait entier 60°C ( aromatisé) *</v>
      </c>
      <c r="Z19" s="7703" t="str">
        <f t="shared" si="15"/>
        <v>⚠ Lait</v>
      </c>
      <c r="AA19" s="7681" t="str">
        <f t="shared" si="16"/>
        <v>Lait entier 60°C ( aromatisé) *</v>
      </c>
      <c r="AB19" s="7682" t="str">
        <f t="shared" si="17"/>
        <v/>
      </c>
      <c r="AC19" s="7677">
        <f t="shared" si="18"/>
        <v>1</v>
      </c>
      <c r="AD19" s="7677">
        <f t="shared" si="19"/>
        <v>0</v>
      </c>
      <c r="AE19" s="7682" t="str">
        <f t="shared" si="20"/>
        <v>⚠ Lait</v>
      </c>
      <c r="AF19" s="6625" t="str">
        <f t="shared" si="21"/>
        <v>lait entier 60°c ( aromatisé)</v>
      </c>
      <c r="AG19" s="6625" t="str">
        <f t="shared" si="22"/>
        <v>lait entier 60°c ( aromatise)</v>
      </c>
      <c r="AH19" s="6625" t="str">
        <f t="shared" si="23"/>
        <v xml:space="preserve">lait entier 60°c   aromatise </v>
      </c>
      <c r="AI19" s="6625" t="str">
        <f t="shared" si="24"/>
        <v xml:space="preserve"> lait entier 60°c aromatise </v>
      </c>
      <c r="AJ19" s="6625" cm="1">
        <f t="array" ref="AJ19">IF(W19="",0,SUMPRODUCT((CA4:CA795="Gluten")*(CB4:CB795="INFO")*(COUNTIF(AI19,"*"&amp;CC4:CC795&amp;"*")&gt;0)*1))</f>
        <v>0</v>
      </c>
      <c r="AK19" s="6625" cm="1">
        <f t="array" ref="AK19">IF(W19="",0,SUMPRODUCT((CA4:CA795="Gluten")*(CB4:CB795="EXCL")*(COUNTIF(AI19,"*"&amp;CC4:CC795&amp;"*")&gt;0)*1))</f>
        <v>0</v>
      </c>
      <c r="AL19" s="6625" cm="1">
        <f t="array" ref="AL19">IF(W19="",0,SUMPRODUCT((CA4:CA795="Gluten")*(CB4:CB795="ALERTE")*(COUNTIF(AI19,"*"&amp;CC4:CC795&amp;"*")&gt;0)*1))</f>
        <v>0</v>
      </c>
      <c r="AM19" s="6625" cm="1">
        <f t="array" ref="AM19">IF(W19="",0,SUMPRODUCT((CA4:CA795="Gluten")*(CB4:CB795="SUSP")*(COUNTIF(AI19,"*"&amp;CC4:CC795&amp;"*")&gt;0)*1))</f>
        <v>0</v>
      </c>
      <c r="AN19" s="6625" cm="1">
        <f t="array" ref="AN19">IF(W19="",0,SUMPRODUCT((CA4:CA795="Crustaces")*(CB4:CB795="ALERTE")*(COUNTIF(AI19,"*"&amp;CC4:CC795&amp;"*")&gt;0)*1))</f>
        <v>0</v>
      </c>
      <c r="AO19" s="6625" cm="1">
        <f t="array" ref="AO19">IF(W19="",0,SUMPRODUCT((CA4:CA795="Oeufs")*(CB4:CB795="ALERTE")*(COUNTIF(AI19,"*"&amp;CC4:CC795&amp;"*")&gt;0)*1))</f>
        <v>0</v>
      </c>
      <c r="AP19" s="6625" cm="1">
        <f t="array" ref="AP19">IF(W19="",0,SUMPRODUCT((CA4:CA795="Poissons")*(CB4:CB795="INFO")*(COUNTIF(AI19,"*"&amp;CC4:CC795&amp;"*")&gt;0)*1))</f>
        <v>0</v>
      </c>
      <c r="AQ19" s="6625" cm="1">
        <f t="array" ref="AQ19">IF(W19="",0,SUMPRODUCT((CA4:CA795="Poissons")*(CB4:CB795="EXCL")*(COUNTIF(AI19,"*"&amp;CC4:CC795&amp;"*")&gt;0)*1))</f>
        <v>0</v>
      </c>
      <c r="AR19" s="6625" cm="1">
        <f t="array" ref="AR19">IF(W19="",0,SUMPRODUCT((CA4:CA795="Poissons")*(CB4:CB795="ALERTE")*(COUNTIF(AI19,"*"&amp;CC4:CC795&amp;"*")&gt;0)*1))</f>
        <v>0</v>
      </c>
      <c r="AS19" s="6625" cm="1">
        <f t="array" ref="AS19">IF(W19="",0,SUMPRODUCT((CA4:CA795="Arachides")*(CB4:CB795="ALERTE")*(COUNTIF(AI19,"*"&amp;CC4:CC795&amp;"*")&gt;0)*1))</f>
        <v>0</v>
      </c>
      <c r="AT19" s="6625" cm="1">
        <f t="array" ref="AT19">IF(W19="",0,SUMPRODUCT((CA4:CA795="Soja")*(CB4:CB795="INFO")*(COUNTIF(AI19,"*"&amp;CC4:CC795&amp;"*")&gt;0)*1))</f>
        <v>0</v>
      </c>
      <c r="AU19" s="6625" cm="1">
        <f t="array" ref="AU19">IF(W19="",0,SUMPRODUCT((CA4:CA795="Soja")*(CB4:CB795="ALERTE")*(COUNTIF(AI19,"*"&amp;CC4:CC795&amp;"*")&gt;0)*1))</f>
        <v>0</v>
      </c>
      <c r="AV19" s="6625" cm="1">
        <f t="array" ref="AV19">IF(W19="",0,SUMPRODUCT((CA4:CA795="Lait")*(CB4:CB795="INFO")*(COUNTIF(AI19,"*"&amp;CC4:CC795&amp;"*")&gt;0)*1))</f>
        <v>0</v>
      </c>
      <c r="AW19" s="6625" cm="1">
        <f t="array" ref="AW19">IF(W19="",0,SUMPRODUCT((CA4:CA795="Lait")*(CB4:CB795="EXCL")*(COUNTIF(AI19,"*"&amp;CC4:CC795&amp;"*")&gt;0)*1))</f>
        <v>0</v>
      </c>
      <c r="AX19" s="6625" cm="1">
        <f t="array" ref="AX19">IF(W19="",0,SUMPRODUCT((CA4:CA795="Lait")*(CB4:CB795="ALERTE")*(COUNTIF(AI19,"*"&amp;CC4:CC795&amp;"*")&gt;0)*1))</f>
        <v>2</v>
      </c>
      <c r="AY19" s="6625" cm="1">
        <f t="array" ref="AY19">IF(W19="",0,SUMPRODUCT((CA4:CA795="Lait")*(CB4:CB795="SUSP")*(COUNTIF(AI19,"*"&amp;CC4:CC795&amp;"*")&gt;0)*1))</f>
        <v>0</v>
      </c>
      <c r="AZ19" s="6625" cm="1">
        <f t="array" ref="AZ19">IF(W19="",0,SUMPRODUCT((CA4:CA795="Fruits a coque")*(CB4:CB795="EXCL")*(COUNTIF(AI19,"*"&amp;CC4:CC795&amp;"*")&gt;0)*1))</f>
        <v>0</v>
      </c>
      <c r="BA19" s="6625" cm="1">
        <f t="array" ref="BA19">IF(W19="",0,SUMPRODUCT((CA4:CA795="Fruits a coque")*(CB4:CB795="ALERTE")*(COUNTIF(AI19,"*"&amp;CC4:CC795&amp;"*")&gt;0)*1))</f>
        <v>0</v>
      </c>
      <c r="BB19" s="6625" cm="1">
        <f t="array" ref="BB19">IF(W19="",0,SUMPRODUCT((CA4:CA795="Celeri")*(CB4:CB795="ALERTE")*(COUNTIF(AI19,"*"&amp;CC4:CC795&amp;"*")&gt;0)*1))</f>
        <v>0</v>
      </c>
      <c r="BC19" s="6625" cm="1">
        <f t="array" ref="BC19">IF(W19="",0,SUMPRODUCT((CA4:CA795="Moutarde")*(CB4:CB795="ALERTE")*(COUNTIF(AI19,"*"&amp;CC4:CC795&amp;"*")&gt;0)*1))</f>
        <v>0</v>
      </c>
      <c r="BD19" s="6625" cm="1">
        <f t="array" ref="BD19">IF(W19="",0,SUMPRODUCT((CA4:CA795="Sesame")*(CB4:CB795="ALERTE")*(COUNTIF(AI19,"*"&amp;CC4:CC795&amp;"*")&gt;0)*1))</f>
        <v>0</v>
      </c>
      <c r="BE19" s="6625" cm="1">
        <f t="array" ref="BE19">IF(W19="",0,SUMPRODUCT((CA4:CA795="Sulfites")*(CB4:CB795="ALERTE")*(COUNTIF(AI19,"*"&amp;CC4:CC795&amp;"*")&gt;0)*1))</f>
        <v>0</v>
      </c>
      <c r="BF19" s="6625" cm="1">
        <f t="array" ref="BF19">IF(W19="",0,SUMPRODUCT((CA4:CA795="Lupin")*(CB4:CB795="ALERTE")*(COUNTIF(AI19,"*"&amp;CC4:CC795&amp;"*")&gt;0)*1))</f>
        <v>0</v>
      </c>
      <c r="BG19" s="6625" cm="1">
        <f t="array" ref="BG19">IF(W19="",0,SUMPRODUCT((CA4:CA795="Mollusques")*(CB4:CB795="EXCL")*(COUNTIF(AI19,"*"&amp;CC4:CC795&amp;"*")&gt;0)*1))</f>
        <v>0</v>
      </c>
      <c r="BH19" s="6625" cm="1">
        <f t="array" ref="BH19">IF(W19="",0,SUMPRODUCT((CA4:CA795="Mollusques")*(CB4:CB795="ALERTE")*(COUNTIF(AI19,"*"&amp;CC4:CC795&amp;"*")&gt;0)*1))</f>
        <v>0</v>
      </c>
      <c r="BI19" s="6625" t="str">
        <f t="shared" si="25"/>
        <v/>
      </c>
      <c r="BJ19" s="6625" t="str">
        <f t="shared" si="26"/>
        <v/>
      </c>
      <c r="BK19" s="6625" t="str">
        <f t="shared" si="27"/>
        <v/>
      </c>
      <c r="BL19" s="6625" t="str">
        <f t="shared" si="28"/>
        <v/>
      </c>
      <c r="BM19" s="6625" t="str">
        <f t="shared" si="29"/>
        <v/>
      </c>
      <c r="BN19" s="6625" t="str">
        <f t="shared" si="30"/>
        <v/>
      </c>
      <c r="BO19" s="6625" t="str">
        <f t="shared" si="31"/>
        <v/>
      </c>
      <c r="BP19" s="6625" t="str">
        <f t="shared" si="32"/>
        <v>⚠ Lait</v>
      </c>
      <c r="BQ19" s="6625" t="str">
        <f t="shared" si="33"/>
        <v/>
      </c>
      <c r="BR19" s="6625" t="str">
        <f t="shared" si="34"/>
        <v/>
      </c>
      <c r="BS19" s="6625" t="str">
        <f t="shared" si="35"/>
        <v/>
      </c>
      <c r="BT19" s="6625" t="str">
        <f t="shared" si="36"/>
        <v/>
      </c>
      <c r="BU19" s="6625" t="str">
        <f t="shared" si="37"/>
        <v/>
      </c>
      <c r="BV19" s="6625" t="str">
        <f t="shared" si="38"/>
        <v/>
      </c>
      <c r="BW19" s="6625" t="str">
        <f t="shared" si="39"/>
        <v/>
      </c>
      <c r="BX19" s="6625" t="str">
        <f t="shared" si="40"/>
        <v/>
      </c>
      <c r="CA19" s="3170" t="s">
        <v>16254</v>
      </c>
      <c r="CB19" s="7634" t="s">
        <v>16255</v>
      </c>
      <c r="CC19" s="3170" t="s">
        <v>16368</v>
      </c>
      <c r="CD19" s="3170" t="s">
        <v>16369</v>
      </c>
    </row>
    <row r="20" spans="2:82" ht="30" customHeight="1">
      <c r="B20" s="7661" t="str">
        <f t="shared" si="0"/>
        <v>Lait entier 60°C ( aromatisé)</v>
      </c>
      <c r="C20" s="7661" t="str">
        <f t="shared" si="1"/>
        <v>Lait entier 60°C aromatisé</v>
      </c>
      <c r="D20" s="7661" t="str">
        <f t="shared" si="2"/>
        <v>Lait entier 60°C ( aromatisé)</v>
      </c>
      <c r="E20" s="7661">
        <f>IF(H19&lt;&gt;"",E19,IF(E19="","",IFERROR(MATCH(TRUE(),INDEX(INDEX($K:$K,E19+1):$K$203&lt;&gt;"",0),0)+E19,"")))</f>
        <v>91</v>
      </c>
      <c r="F20" s="7661" t="str">
        <f t="shared" si="41"/>
        <v>►&gt; &gt; &gt;</v>
      </c>
      <c r="G20" s="7661" t="str">
        <f t="shared" si="3"/>
        <v>►&gt; &gt; &gt;</v>
      </c>
      <c r="H20" s="7672" t="str">
        <f t="shared" si="4"/>
        <v/>
      </c>
      <c r="I20" s="7683" t="str">
        <f t="shared" si="5"/>
        <v/>
      </c>
      <c r="J20" s="7673">
        <f>IF(K20="","",COUNTIF($K$18:K20,"&lt;&gt;"))</f>
        <v>2</v>
      </c>
      <c r="K20" s="7674" t="s">
        <v>1258</v>
      </c>
      <c r="L20" s="7673">
        <f t="shared" si="6"/>
        <v>29</v>
      </c>
      <c r="M20" s="7630">
        <f t="shared" si="7"/>
        <v>6</v>
      </c>
      <c r="N20" s="7675">
        <f t="shared" si="8"/>
        <v>3</v>
      </c>
      <c r="O20" s="7676" t="str">
        <f t="shared" si="9"/>
        <v>►&gt; &gt; &gt;</v>
      </c>
      <c r="P20" s="7675">
        <f t="shared" si="10"/>
        <v>3</v>
      </c>
      <c r="Q20" s="7675">
        <f t="shared" si="11"/>
        <v>6</v>
      </c>
      <c r="S20" s="7679" t="str">
        <f t="shared" si="42"/>
        <v>►&gt; &gt; &gt;</v>
      </c>
      <c r="T20" s="7680" t="str">
        <f t="shared" si="12"/>
        <v/>
      </c>
      <c r="V20" s="7677">
        <f t="shared" si="13"/>
        <v>20</v>
      </c>
      <c r="W20" s="7678" t="str">
        <f t="shared" si="43"/>
        <v>►&gt; &gt; &gt;</v>
      </c>
      <c r="X20" s="7677" t="s">
        <v>2</v>
      </c>
      <c r="Y20" s="7702" t="str">
        <f t="shared" si="14"/>
        <v>►&gt; &gt; &gt;</v>
      </c>
      <c r="Z20" s="7703" t="str">
        <f t="shared" si="15"/>
        <v/>
      </c>
      <c r="AA20" s="7681" t="str">
        <f t="shared" si="16"/>
        <v>►&gt; &gt; &gt;</v>
      </c>
      <c r="AB20" s="7682" t="str">
        <f t="shared" si="17"/>
        <v/>
      </c>
      <c r="AC20" s="7677">
        <f t="shared" si="18"/>
        <v>0</v>
      </c>
      <c r="AD20" s="7677">
        <f t="shared" si="19"/>
        <v>0</v>
      </c>
      <c r="AE20" s="7682" t="str">
        <f t="shared" si="20"/>
        <v>aucun match</v>
      </c>
      <c r="AF20" s="6625" t="str">
        <f t="shared" si="21"/>
        <v>►&gt; &gt; &gt;</v>
      </c>
      <c r="AG20" s="6625" t="str">
        <f t="shared" si="22"/>
        <v>►&gt; &gt; &gt;</v>
      </c>
      <c r="AH20" s="6625" t="str">
        <f t="shared" si="23"/>
        <v>►&gt; &gt; &gt;</v>
      </c>
      <c r="AI20" s="6625" t="str">
        <f t="shared" si="24"/>
        <v xml:space="preserve"> ►&gt; &gt; &gt; </v>
      </c>
      <c r="AJ20" s="6625" cm="1">
        <f t="array" ref="AJ20">IF(W20="",0,SUMPRODUCT((CA4:CA795="Gluten")*(CB4:CB795="INFO")*(COUNTIF(AI20,"*"&amp;CC4:CC795&amp;"*")&gt;0)*1))</f>
        <v>0</v>
      </c>
      <c r="AK20" s="6625" cm="1">
        <f t="array" ref="AK20">IF(W20="",0,SUMPRODUCT((CA4:CA795="Gluten")*(CB4:CB795="EXCL")*(COUNTIF(AI20,"*"&amp;CC4:CC795&amp;"*")&gt;0)*1))</f>
        <v>0</v>
      </c>
      <c r="AL20" s="6625" cm="1">
        <f t="array" ref="AL20">IF(W20="",0,SUMPRODUCT((CA4:CA795="Gluten")*(CB4:CB795="ALERTE")*(COUNTIF(AI20,"*"&amp;CC4:CC795&amp;"*")&gt;0)*1))</f>
        <v>0</v>
      </c>
      <c r="AM20" s="6625" cm="1">
        <f t="array" ref="AM20">IF(W20="",0,SUMPRODUCT((CA4:CA795="Gluten")*(CB4:CB795="SUSP")*(COUNTIF(AI20,"*"&amp;CC4:CC795&amp;"*")&gt;0)*1))</f>
        <v>0</v>
      </c>
      <c r="AN20" s="6625" cm="1">
        <f t="array" ref="AN20">IF(W20="",0,SUMPRODUCT((CA4:CA795="Crustaces")*(CB4:CB795="ALERTE")*(COUNTIF(AI20,"*"&amp;CC4:CC795&amp;"*")&gt;0)*1))</f>
        <v>0</v>
      </c>
      <c r="AO20" s="6625" cm="1">
        <f t="array" ref="AO20">IF(W20="",0,SUMPRODUCT((CA4:CA795="Oeufs")*(CB4:CB795="ALERTE")*(COUNTIF(AI20,"*"&amp;CC4:CC795&amp;"*")&gt;0)*1))</f>
        <v>0</v>
      </c>
      <c r="AP20" s="6625" cm="1">
        <f t="array" ref="AP20">IF(W20="",0,SUMPRODUCT((CA4:CA795="Poissons")*(CB4:CB795="INFO")*(COUNTIF(AI20,"*"&amp;CC4:CC795&amp;"*")&gt;0)*1))</f>
        <v>0</v>
      </c>
      <c r="AQ20" s="6625" cm="1">
        <f t="array" ref="AQ20">IF(W20="",0,SUMPRODUCT((CA4:CA795="Poissons")*(CB4:CB795="EXCL")*(COUNTIF(AI20,"*"&amp;CC4:CC795&amp;"*")&gt;0)*1))</f>
        <v>0</v>
      </c>
      <c r="AR20" s="6625" cm="1">
        <f t="array" ref="AR20">IF(W20="",0,SUMPRODUCT((CA4:CA795="Poissons")*(CB4:CB795="ALERTE")*(COUNTIF(AI20,"*"&amp;CC4:CC795&amp;"*")&gt;0)*1))</f>
        <v>0</v>
      </c>
      <c r="AS20" s="6625" cm="1">
        <f t="array" ref="AS20">IF(W20="",0,SUMPRODUCT((CA4:CA795="Arachides")*(CB4:CB795="ALERTE")*(COUNTIF(AI20,"*"&amp;CC4:CC795&amp;"*")&gt;0)*1))</f>
        <v>0</v>
      </c>
      <c r="AT20" s="6625" cm="1">
        <f t="array" ref="AT20">IF(W20="",0,SUMPRODUCT((CA4:CA795="Soja")*(CB4:CB795="INFO")*(COUNTIF(AI20,"*"&amp;CC4:CC795&amp;"*")&gt;0)*1))</f>
        <v>0</v>
      </c>
      <c r="AU20" s="6625" cm="1">
        <f t="array" ref="AU20">IF(W20="",0,SUMPRODUCT((CA4:CA795="Soja")*(CB4:CB795="ALERTE")*(COUNTIF(AI20,"*"&amp;CC4:CC795&amp;"*")&gt;0)*1))</f>
        <v>0</v>
      </c>
      <c r="AV20" s="6625" cm="1">
        <f t="array" ref="AV20">IF(W20="",0,SUMPRODUCT((CA4:CA795="Lait")*(CB4:CB795="INFO")*(COUNTIF(AI20,"*"&amp;CC4:CC795&amp;"*")&gt;0)*1))</f>
        <v>0</v>
      </c>
      <c r="AW20" s="6625" cm="1">
        <f t="array" ref="AW20">IF(W20="",0,SUMPRODUCT((CA4:CA795="Lait")*(CB4:CB795="EXCL")*(COUNTIF(AI20,"*"&amp;CC4:CC795&amp;"*")&gt;0)*1))</f>
        <v>0</v>
      </c>
      <c r="AX20" s="6625" cm="1">
        <f t="array" ref="AX20">IF(W20="",0,SUMPRODUCT((CA4:CA795="Lait")*(CB4:CB795="ALERTE")*(COUNTIF(AI20,"*"&amp;CC4:CC795&amp;"*")&gt;0)*1))</f>
        <v>0</v>
      </c>
      <c r="AY20" s="6625" cm="1">
        <f t="array" ref="AY20">IF(W20="",0,SUMPRODUCT((CA4:CA795="Lait")*(CB4:CB795="SUSP")*(COUNTIF(AI20,"*"&amp;CC4:CC795&amp;"*")&gt;0)*1))</f>
        <v>0</v>
      </c>
      <c r="AZ20" s="6625" cm="1">
        <f t="array" ref="AZ20">IF(W20="",0,SUMPRODUCT((CA4:CA795="Fruits a coque")*(CB4:CB795="EXCL")*(COUNTIF(AI20,"*"&amp;CC4:CC795&amp;"*")&gt;0)*1))</f>
        <v>0</v>
      </c>
      <c r="BA20" s="6625" cm="1">
        <f t="array" ref="BA20">IF(W20="",0,SUMPRODUCT((CA4:CA795="Fruits a coque")*(CB4:CB795="ALERTE")*(COUNTIF(AI20,"*"&amp;CC4:CC795&amp;"*")&gt;0)*1))</f>
        <v>0</v>
      </c>
      <c r="BB20" s="6625" cm="1">
        <f t="array" ref="BB20">IF(W20="",0,SUMPRODUCT((CA4:CA795="Celeri")*(CB4:CB795="ALERTE")*(COUNTIF(AI20,"*"&amp;CC4:CC795&amp;"*")&gt;0)*1))</f>
        <v>0</v>
      </c>
      <c r="BC20" s="6625" cm="1">
        <f t="array" ref="BC20">IF(W20="",0,SUMPRODUCT((CA4:CA795="Moutarde")*(CB4:CB795="ALERTE")*(COUNTIF(AI20,"*"&amp;CC4:CC795&amp;"*")&gt;0)*1))</f>
        <v>0</v>
      </c>
      <c r="BD20" s="6625" cm="1">
        <f t="array" ref="BD20">IF(W20="",0,SUMPRODUCT((CA4:CA795="Sesame")*(CB4:CB795="ALERTE")*(COUNTIF(AI20,"*"&amp;CC4:CC795&amp;"*")&gt;0)*1))</f>
        <v>0</v>
      </c>
      <c r="BE20" s="6625" cm="1">
        <f t="array" ref="BE20">IF(W20="",0,SUMPRODUCT((CA4:CA795="Sulfites")*(CB4:CB795="ALERTE")*(COUNTIF(AI20,"*"&amp;CC4:CC795&amp;"*")&gt;0)*1))</f>
        <v>0</v>
      </c>
      <c r="BF20" s="6625" cm="1">
        <f t="array" ref="BF20">IF(W20="",0,SUMPRODUCT((CA4:CA795="Lupin")*(CB4:CB795="ALERTE")*(COUNTIF(AI20,"*"&amp;CC4:CC795&amp;"*")&gt;0)*1))</f>
        <v>0</v>
      </c>
      <c r="BG20" s="6625" cm="1">
        <f t="array" ref="BG20">IF(W20="",0,SUMPRODUCT((CA4:CA795="Mollusques")*(CB4:CB795="EXCL")*(COUNTIF(AI20,"*"&amp;CC4:CC795&amp;"*")&gt;0)*1))</f>
        <v>0</v>
      </c>
      <c r="BH20" s="6625" cm="1">
        <f t="array" ref="BH20">IF(W20="",0,SUMPRODUCT((CA4:CA795="Mollusques")*(CB4:CB795="ALERTE")*(COUNTIF(AI20,"*"&amp;CC4:CC795&amp;"*")&gt;0)*1))</f>
        <v>0</v>
      </c>
      <c r="BI20" s="6625" t="str">
        <f t="shared" si="25"/>
        <v/>
      </c>
      <c r="BJ20" s="6625" t="str">
        <f t="shared" si="26"/>
        <v/>
      </c>
      <c r="BK20" s="6625" t="str">
        <f t="shared" si="27"/>
        <v/>
      </c>
      <c r="BL20" s="6625" t="str">
        <f t="shared" si="28"/>
        <v/>
      </c>
      <c r="BM20" s="6625" t="str">
        <f t="shared" si="29"/>
        <v/>
      </c>
      <c r="BN20" s="6625" t="str">
        <f t="shared" si="30"/>
        <v/>
      </c>
      <c r="BO20" s="6625" t="str">
        <f t="shared" si="31"/>
        <v/>
      </c>
      <c r="BP20" s="6625" t="str">
        <f t="shared" si="32"/>
        <v/>
      </c>
      <c r="BQ20" s="6625" t="str">
        <f t="shared" si="33"/>
        <v/>
      </c>
      <c r="BR20" s="6625" t="str">
        <f t="shared" si="34"/>
        <v/>
      </c>
      <c r="BS20" s="6625" t="str">
        <f t="shared" si="35"/>
        <v/>
      </c>
      <c r="BT20" s="6625" t="str">
        <f t="shared" si="36"/>
        <v/>
      </c>
      <c r="BU20" s="6625" t="str">
        <f t="shared" si="37"/>
        <v/>
      </c>
      <c r="BV20" s="6625" t="str">
        <f t="shared" si="38"/>
        <v/>
      </c>
      <c r="BW20" s="6625" t="str">
        <f t="shared" si="39"/>
        <v/>
      </c>
      <c r="BX20" s="6625" t="str">
        <f t="shared" si="40"/>
        <v/>
      </c>
      <c r="CA20" s="3170" t="s">
        <v>16254</v>
      </c>
      <c r="CB20" s="7634" t="s">
        <v>16255</v>
      </c>
      <c r="CC20" s="3170" t="s">
        <v>16370</v>
      </c>
      <c r="CD20" s="3170" t="s">
        <v>16371</v>
      </c>
    </row>
    <row r="21" spans="2:82" ht="30" customHeight="1">
      <c r="B21" s="7661" t="str">
        <f t="shared" si="0"/>
        <v/>
      </c>
      <c r="C21" s="7661" t="str">
        <f t="shared" si="1"/>
        <v/>
      </c>
      <c r="D21" s="7661" t="str">
        <f t="shared" si="2"/>
        <v/>
      </c>
      <c r="E21" s="7661">
        <f>IF(H20&lt;&gt;"",E20,IF(E20="","",IFERROR(MATCH(TRUE(),INDEX(INDEX($K:$K,E20+1):$K$203&lt;&gt;"",0),0)+E20,"")))</f>
        <v>203</v>
      </c>
      <c r="F21" s="7661" t="str">
        <f t="shared" si="41"/>
        <v>Si vous récupérez du texte sur internet, collez-le d’abord dans la colonne 1️⃣ 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21" s="7661" t="str">
        <f t="shared" si="3"/>
        <v xml:space="preserve">Si vous récupérez du texte sur internet, collez-le d’abord dans la colonne 1️⃣ </v>
      </c>
      <c r="H21" s="7672" t="str">
        <f t="shared" si="4"/>
        <v>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I21" s="7683" t="str">
        <f t="shared" si="5"/>
        <v/>
      </c>
      <c r="J21" s="7673" t="str">
        <f>IF(K21="","",COUNTIF($K$18:K21,"&lt;&gt;"))</f>
        <v/>
      </c>
      <c r="K21" s="7674"/>
      <c r="L21" s="7673" t="str">
        <f t="shared" si="6"/>
        <v/>
      </c>
      <c r="M21" s="7630">
        <f t="shared" si="7"/>
        <v>79</v>
      </c>
      <c r="N21" s="7675">
        <f t="shared" si="8"/>
        <v>4</v>
      </c>
      <c r="O21" s="7676" t="str">
        <f t="shared" si="9"/>
        <v xml:space="preserve">Si vous récupérez du texte sur internet, collez-le d’abord dans la colonne 1️⃣ </v>
      </c>
      <c r="P21" s="7675">
        <f t="shared" si="10"/>
        <v>13</v>
      </c>
      <c r="Q21" s="7675">
        <f t="shared" si="11"/>
        <v>79</v>
      </c>
      <c r="S21" s="7679" t="str">
        <f t="shared" si="42"/>
        <v>Si vous récupérez du texte sur internet, collez-le d’abord dans la colonne 1️⃣</v>
      </c>
      <c r="T21" s="7680" t="str">
        <f t="shared" si="12"/>
        <v/>
      </c>
      <c r="V21" s="7677">
        <f t="shared" si="13"/>
        <v>21</v>
      </c>
      <c r="W21" s="7678" t="str">
        <f t="shared" si="43"/>
        <v xml:space="preserve">Si vous récupérez du texte sur internet, collez-le d’abord dans la colonne 1️⃣ </v>
      </c>
      <c r="X21" s="7677" t="s">
        <v>2</v>
      </c>
      <c r="Y21" s="7702" t="str">
        <f t="shared" si="14"/>
        <v>Si vous récupérez du texte sur internet, collez-le d’abord dans la colonne 1️⃣</v>
      </c>
      <c r="Z21" s="7703" t="str">
        <f t="shared" si="15"/>
        <v/>
      </c>
      <c r="AA21" s="7681" t="str">
        <f t="shared" si="16"/>
        <v>Si vous récupérez du texte sur internet, collez-le d’abord dans la colonne 1️⃣</v>
      </c>
      <c r="AB21" s="7682" t="str">
        <f t="shared" si="17"/>
        <v/>
      </c>
      <c r="AC21" s="7677">
        <f t="shared" si="18"/>
        <v>0</v>
      </c>
      <c r="AD21" s="7677">
        <f t="shared" si="19"/>
        <v>0</v>
      </c>
      <c r="AE21" s="7682" t="str">
        <f t="shared" si="20"/>
        <v>aucun match</v>
      </c>
      <c r="AF21" s="6625" t="str">
        <f t="shared" si="21"/>
        <v xml:space="preserve">si vous récupérez du texte sur internet, collez-le d’abord dans la colonne 1️⃣ </v>
      </c>
      <c r="AG21" s="6625" t="str">
        <f t="shared" si="22"/>
        <v xml:space="preserve">si vous recuperez du texte sur internet, collez-le d’abord dans la colonne 1️⃣ </v>
      </c>
      <c r="AH21" s="6625" t="str">
        <f t="shared" si="23"/>
        <v xml:space="preserve">si vous recuperez du texte sur internet  collez le d’abord dans la colonne 1️⃣ </v>
      </c>
      <c r="AI21" s="6625" t="str">
        <f t="shared" si="24"/>
        <v xml:space="preserve"> si vous recuperez du texte sur internet collez le d’abord dans la colonne 1️⃣ </v>
      </c>
      <c r="AJ21" s="6625" cm="1">
        <f t="array" ref="AJ21">IF(W21="",0,SUMPRODUCT((CA4:CA795="Gluten")*(CB4:CB795="INFO")*(COUNTIF(AI21,"*"&amp;CC4:CC795&amp;"*")&gt;0)*1))</f>
        <v>0</v>
      </c>
      <c r="AK21" s="6625" cm="1">
        <f t="array" ref="AK21">IF(W21="",0,SUMPRODUCT((CA4:CA795="Gluten")*(CB4:CB795="EXCL")*(COUNTIF(AI21,"*"&amp;CC4:CC795&amp;"*")&gt;0)*1))</f>
        <v>0</v>
      </c>
      <c r="AL21" s="6625" cm="1">
        <f t="array" ref="AL21">IF(W21="",0,SUMPRODUCT((CA4:CA795="Gluten")*(CB4:CB795="ALERTE")*(COUNTIF(AI21,"*"&amp;CC4:CC795&amp;"*")&gt;0)*1))</f>
        <v>0</v>
      </c>
      <c r="AM21" s="6625" cm="1">
        <f t="array" ref="AM21">IF(W21="",0,SUMPRODUCT((CA4:CA795="Gluten")*(CB4:CB795="SUSP")*(COUNTIF(AI21,"*"&amp;CC4:CC795&amp;"*")&gt;0)*1))</f>
        <v>0</v>
      </c>
      <c r="AN21" s="6625" cm="1">
        <f t="array" ref="AN21">IF(W21="",0,SUMPRODUCT((CA4:CA795="Crustaces")*(CB4:CB795="ALERTE")*(COUNTIF(AI21,"*"&amp;CC4:CC795&amp;"*")&gt;0)*1))</f>
        <v>0</v>
      </c>
      <c r="AO21" s="6625" cm="1">
        <f t="array" ref="AO21">IF(W21="",0,SUMPRODUCT((CA4:CA795="Oeufs")*(CB4:CB795="ALERTE")*(COUNTIF(AI21,"*"&amp;CC4:CC795&amp;"*")&gt;0)*1))</f>
        <v>0</v>
      </c>
      <c r="AP21" s="6625" cm="1">
        <f t="array" ref="AP21">IF(W21="",0,SUMPRODUCT((CA4:CA795="Poissons")*(CB4:CB795="INFO")*(COUNTIF(AI21,"*"&amp;CC4:CC795&amp;"*")&gt;0)*1))</f>
        <v>0</v>
      </c>
      <c r="AQ21" s="6625" cm="1">
        <f t="array" ref="AQ21">IF(W21="",0,SUMPRODUCT((CA4:CA795="Poissons")*(CB4:CB795="EXCL")*(COUNTIF(AI21,"*"&amp;CC4:CC795&amp;"*")&gt;0)*1))</f>
        <v>0</v>
      </c>
      <c r="AR21" s="6625" cm="1">
        <f t="array" ref="AR21">IF(W21="",0,SUMPRODUCT((CA4:CA795="Poissons")*(CB4:CB795="ALERTE")*(COUNTIF(AI21,"*"&amp;CC4:CC795&amp;"*")&gt;0)*1))</f>
        <v>0</v>
      </c>
      <c r="AS21" s="6625" cm="1">
        <f t="array" ref="AS21">IF(W21="",0,SUMPRODUCT((CA4:CA795="Arachides")*(CB4:CB795="ALERTE")*(COUNTIF(AI21,"*"&amp;CC4:CC795&amp;"*")&gt;0)*1))</f>
        <v>0</v>
      </c>
      <c r="AT21" s="6625" cm="1">
        <f t="array" ref="AT21">IF(W21="",0,SUMPRODUCT((CA4:CA795="Soja")*(CB4:CB795="INFO")*(COUNTIF(AI21,"*"&amp;CC4:CC795&amp;"*")&gt;0)*1))</f>
        <v>0</v>
      </c>
      <c r="AU21" s="6625" cm="1">
        <f t="array" ref="AU21">IF(W21="",0,SUMPRODUCT((CA4:CA795="Soja")*(CB4:CB795="ALERTE")*(COUNTIF(AI21,"*"&amp;CC4:CC795&amp;"*")&gt;0)*1))</f>
        <v>0</v>
      </c>
      <c r="AV21" s="6625" cm="1">
        <f t="array" ref="AV21">IF(W21="",0,SUMPRODUCT((CA4:CA795="Lait")*(CB4:CB795="INFO")*(COUNTIF(AI21,"*"&amp;CC4:CC795&amp;"*")&gt;0)*1))</f>
        <v>0</v>
      </c>
      <c r="AW21" s="6625" cm="1">
        <f t="array" ref="AW21">IF(W21="",0,SUMPRODUCT((CA4:CA795="Lait")*(CB4:CB795="EXCL")*(COUNTIF(AI21,"*"&amp;CC4:CC795&amp;"*")&gt;0)*1))</f>
        <v>0</v>
      </c>
      <c r="AX21" s="6625" cm="1">
        <f t="array" ref="AX21">IF(W21="",0,SUMPRODUCT((CA4:CA795="Lait")*(CB4:CB795="ALERTE")*(COUNTIF(AI21,"*"&amp;CC4:CC795&amp;"*")&gt;0)*1))</f>
        <v>0</v>
      </c>
      <c r="AY21" s="6625" cm="1">
        <f t="array" ref="AY21">IF(W21="",0,SUMPRODUCT((CA4:CA795="Lait")*(CB4:CB795="SUSP")*(COUNTIF(AI21,"*"&amp;CC4:CC795&amp;"*")&gt;0)*1))</f>
        <v>0</v>
      </c>
      <c r="AZ21" s="6625" cm="1">
        <f t="array" ref="AZ21">IF(W21="",0,SUMPRODUCT((CA4:CA795="Fruits a coque")*(CB4:CB795="EXCL")*(COUNTIF(AI21,"*"&amp;CC4:CC795&amp;"*")&gt;0)*1))</f>
        <v>0</v>
      </c>
      <c r="BA21" s="6625" cm="1">
        <f t="array" ref="BA21">IF(W21="",0,SUMPRODUCT((CA4:CA795="Fruits a coque")*(CB4:CB795="ALERTE")*(COUNTIF(AI21,"*"&amp;CC4:CC795&amp;"*")&gt;0)*1))</f>
        <v>0</v>
      </c>
      <c r="BB21" s="6625" cm="1">
        <f t="array" ref="BB21">IF(W21="",0,SUMPRODUCT((CA4:CA795="Celeri")*(CB4:CB795="ALERTE")*(COUNTIF(AI21,"*"&amp;CC4:CC795&amp;"*")&gt;0)*1))</f>
        <v>0</v>
      </c>
      <c r="BC21" s="6625" cm="1">
        <f t="array" ref="BC21">IF(W21="",0,SUMPRODUCT((CA4:CA795="Moutarde")*(CB4:CB795="ALERTE")*(COUNTIF(AI21,"*"&amp;CC4:CC795&amp;"*")&gt;0)*1))</f>
        <v>0</v>
      </c>
      <c r="BD21" s="6625" cm="1">
        <f t="array" ref="BD21">IF(W21="",0,SUMPRODUCT((CA4:CA795="Sesame")*(CB4:CB795="ALERTE")*(COUNTIF(AI21,"*"&amp;CC4:CC795&amp;"*")&gt;0)*1))</f>
        <v>0</v>
      </c>
      <c r="BE21" s="6625" cm="1">
        <f t="array" ref="BE21">IF(W21="",0,SUMPRODUCT((CA4:CA795="Sulfites")*(CB4:CB795="ALERTE")*(COUNTIF(AI21,"*"&amp;CC4:CC795&amp;"*")&gt;0)*1))</f>
        <v>0</v>
      </c>
      <c r="BF21" s="6625" cm="1">
        <f t="array" ref="BF21">IF(W21="",0,SUMPRODUCT((CA4:CA795="Lupin")*(CB4:CB795="ALERTE")*(COUNTIF(AI21,"*"&amp;CC4:CC795&amp;"*")&gt;0)*1))</f>
        <v>0</v>
      </c>
      <c r="BG21" s="6625" cm="1">
        <f t="array" ref="BG21">IF(W21="",0,SUMPRODUCT((CA4:CA795="Mollusques")*(CB4:CB795="EXCL")*(COUNTIF(AI21,"*"&amp;CC4:CC795&amp;"*")&gt;0)*1))</f>
        <v>0</v>
      </c>
      <c r="BH21" s="6625" cm="1">
        <f t="array" ref="BH21">IF(W21="",0,SUMPRODUCT((CA4:CA795="Mollusques")*(CB4:CB795="ALERTE")*(COUNTIF(AI21,"*"&amp;CC4:CC795&amp;"*")&gt;0)*1))</f>
        <v>0</v>
      </c>
      <c r="BI21" s="6625" t="str">
        <f t="shared" si="25"/>
        <v/>
      </c>
      <c r="BJ21" s="6625" t="str">
        <f t="shared" si="26"/>
        <v/>
      </c>
      <c r="BK21" s="6625" t="str">
        <f t="shared" si="27"/>
        <v/>
      </c>
      <c r="BL21" s="6625" t="str">
        <f t="shared" si="28"/>
        <v/>
      </c>
      <c r="BM21" s="6625" t="str">
        <f t="shared" si="29"/>
        <v/>
      </c>
      <c r="BN21" s="6625" t="str">
        <f t="shared" si="30"/>
        <v/>
      </c>
      <c r="BO21" s="6625" t="str">
        <f t="shared" si="31"/>
        <v/>
      </c>
      <c r="BP21" s="6625" t="str">
        <f t="shared" si="32"/>
        <v/>
      </c>
      <c r="BQ21" s="6625" t="str">
        <f t="shared" si="33"/>
        <v/>
      </c>
      <c r="BR21" s="6625" t="str">
        <f t="shared" si="34"/>
        <v/>
      </c>
      <c r="BS21" s="6625" t="str">
        <f t="shared" si="35"/>
        <v/>
      </c>
      <c r="BT21" s="6625" t="str">
        <f t="shared" si="36"/>
        <v/>
      </c>
      <c r="BU21" s="6625" t="str">
        <f t="shared" si="37"/>
        <v/>
      </c>
      <c r="BV21" s="6625" t="str">
        <f t="shared" si="38"/>
        <v/>
      </c>
      <c r="BW21" s="6625" t="str">
        <f t="shared" si="39"/>
        <v/>
      </c>
      <c r="BX21" s="6625" t="str">
        <f t="shared" si="40"/>
        <v/>
      </c>
      <c r="CA21" s="3170" t="s">
        <v>16254</v>
      </c>
      <c r="CB21" s="7634" t="s">
        <v>16255</v>
      </c>
      <c r="CC21" s="3170" t="s">
        <v>16372</v>
      </c>
      <c r="CD21" s="3170" t="s">
        <v>16373</v>
      </c>
    </row>
    <row r="22" spans="2:82" ht="30" customHeight="1">
      <c r="B22" s="7661" t="str">
        <f t="shared" si="0"/>
        <v/>
      </c>
      <c r="C22" s="7661" t="str">
        <f t="shared" si="1"/>
        <v/>
      </c>
      <c r="D22" s="7661" t="str">
        <f t="shared" si="2"/>
        <v/>
      </c>
      <c r="E22" s="7661">
        <f>IF(H21&lt;&gt;"",E21,IF(E21="","",IFERROR(MATCH(TRUE(),INDEX(INDEX($K:$K,E21+1):$K$203&lt;&gt;"",0),0)+E21,"")))</f>
        <v>203</v>
      </c>
      <c r="F22" s="7661" t="str">
        <f t="shared" si="41"/>
        <v>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22" s="7661" t="str">
        <f t="shared" si="3"/>
        <v xml:space="preserve">pour le “nettoyer” : cela supprime les espaces insécables, tabulations </v>
      </c>
      <c r="H22" s="7672" t="str">
        <f t="shared" si="4"/>
        <v>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I22" s="7683" t="str">
        <f t="shared" si="5"/>
        <v/>
      </c>
      <c r="J22" s="7673" t="str">
        <f>IF(K22="","",COUNTIF($K$18:K22,"&lt;&gt;"))</f>
        <v/>
      </c>
      <c r="K22" s="7674"/>
      <c r="L22" s="7673" t="str">
        <f t="shared" si="6"/>
        <v/>
      </c>
      <c r="M22" s="7630">
        <f t="shared" si="7"/>
        <v>71</v>
      </c>
      <c r="N22" s="7675">
        <f t="shared" si="8"/>
        <v>5</v>
      </c>
      <c r="O22" s="7676" t="str">
        <f t="shared" si="9"/>
        <v xml:space="preserve">pour le “nettoyer” : cela supprime les espaces insécables, tabulations </v>
      </c>
      <c r="P22" s="7675">
        <f t="shared" si="10"/>
        <v>10</v>
      </c>
      <c r="Q22" s="7675">
        <f t="shared" si="11"/>
        <v>71</v>
      </c>
      <c r="S22" s="7679" t="str">
        <f t="shared" si="42"/>
        <v>pour le “nettoyer” : cela supprime les espaces insécables, tabulations *</v>
      </c>
      <c r="T22" s="7680" t="str">
        <f t="shared" si="12"/>
        <v>⚠ Gluten</v>
      </c>
      <c r="V22" s="7677">
        <f t="shared" si="13"/>
        <v>22</v>
      </c>
      <c r="W22" s="7678" t="str">
        <f t="shared" si="43"/>
        <v xml:space="preserve">pour le “nettoyer” : cela supprime les espaces insécables, tabulations </v>
      </c>
      <c r="X22" s="7677" t="s">
        <v>2</v>
      </c>
      <c r="Y22" s="7702" t="str">
        <f t="shared" si="14"/>
        <v>pour le “nettoyer” : cela supprime les espaces insécables, tabulations *</v>
      </c>
      <c r="Z22" s="7703" t="str">
        <f t="shared" si="15"/>
        <v>⚠ Gluten</v>
      </c>
      <c r="AA22" s="7681" t="str">
        <f t="shared" si="16"/>
        <v>pour le “nettoyer” : cela supprime les espaces insécables, tabulations *</v>
      </c>
      <c r="AB22" s="7682" t="str">
        <f t="shared" si="17"/>
        <v/>
      </c>
      <c r="AC22" s="7677">
        <f t="shared" si="18"/>
        <v>1</v>
      </c>
      <c r="AD22" s="7677">
        <f t="shared" si="19"/>
        <v>0</v>
      </c>
      <c r="AE22" s="7682" t="str">
        <f t="shared" si="20"/>
        <v>⚠ Gluten</v>
      </c>
      <c r="AF22" s="6625" t="str">
        <f t="shared" si="21"/>
        <v xml:space="preserve">pour le “nettoyer” : cela supprime les espaces insécables, tabulations </v>
      </c>
      <c r="AG22" s="6625" t="str">
        <f t="shared" si="22"/>
        <v xml:space="preserve">pour le “nettoyer” : cela supprime les espaces insecables, tabulations </v>
      </c>
      <c r="AH22" s="6625" t="str">
        <f t="shared" si="23"/>
        <v xml:space="preserve">pour le “nettoyer”   cela supprime les espaces insecables  tabulations </v>
      </c>
      <c r="AI22" s="6625" t="str">
        <f t="shared" si="24"/>
        <v xml:space="preserve"> pour le “nettoyer” cela supprime les espaces insecables tabulations </v>
      </c>
      <c r="AJ22" s="6625" cm="1">
        <f t="array" ref="AJ22">IF(W22="",0,SUMPRODUCT((CA4:CA795="Gluten")*(CB4:CB795="INFO")*(COUNTIF(AI22,"*"&amp;CC4:CC795&amp;"*")&gt;0)*1))</f>
        <v>0</v>
      </c>
      <c r="AK22" s="6625" cm="1">
        <f t="array" ref="AK22">IF(W22="",0,SUMPRODUCT((CA4:CA795="Gluten")*(CB4:CB795="EXCL")*(COUNTIF(AI22,"*"&amp;CC4:CC795&amp;"*")&gt;0)*1))</f>
        <v>0</v>
      </c>
      <c r="AL22" s="6625" cm="1">
        <f t="array" ref="AL22">IF(W22="",0,SUMPRODUCT((CA4:CA795="Gluten")*(CB4:CB795="ALERTE")*(COUNTIF(AI22,"*"&amp;CC4:CC795&amp;"*")&gt;0)*1))</f>
        <v>1</v>
      </c>
      <c r="AM22" s="6625" cm="1">
        <f t="array" ref="AM22">IF(W22="",0,SUMPRODUCT((CA4:CA795="Gluten")*(CB4:CB795="SUSP")*(COUNTIF(AI22,"*"&amp;CC4:CC795&amp;"*")&gt;0)*1))</f>
        <v>0</v>
      </c>
      <c r="AN22" s="6625" cm="1">
        <f t="array" ref="AN22">IF(W22="",0,SUMPRODUCT((CA4:CA795="Crustaces")*(CB4:CB795="ALERTE")*(COUNTIF(AI22,"*"&amp;CC4:CC795&amp;"*")&gt;0)*1))</f>
        <v>0</v>
      </c>
      <c r="AO22" s="6625" cm="1">
        <f t="array" ref="AO22">IF(W22="",0,SUMPRODUCT((CA4:CA795="Oeufs")*(CB4:CB795="ALERTE")*(COUNTIF(AI22,"*"&amp;CC4:CC795&amp;"*")&gt;0)*1))</f>
        <v>0</v>
      </c>
      <c r="AP22" s="6625" cm="1">
        <f t="array" ref="AP22">IF(W22="",0,SUMPRODUCT((CA4:CA795="Poissons")*(CB4:CB795="INFO")*(COUNTIF(AI22,"*"&amp;CC4:CC795&amp;"*")&gt;0)*1))</f>
        <v>0</v>
      </c>
      <c r="AQ22" s="6625" cm="1">
        <f t="array" ref="AQ22">IF(W22="",0,SUMPRODUCT((CA4:CA795="Poissons")*(CB4:CB795="EXCL")*(COUNTIF(AI22,"*"&amp;CC4:CC795&amp;"*")&gt;0)*1))</f>
        <v>0</v>
      </c>
      <c r="AR22" s="6625" cm="1">
        <f t="array" ref="AR22">IF(W22="",0,SUMPRODUCT((CA4:CA795="Poissons")*(CB4:CB795="ALERTE")*(COUNTIF(AI22,"*"&amp;CC4:CC795&amp;"*")&gt;0)*1))</f>
        <v>0</v>
      </c>
      <c r="AS22" s="6625" cm="1">
        <f t="array" ref="AS22">IF(W22="",0,SUMPRODUCT((CA4:CA795="Arachides")*(CB4:CB795="ALERTE")*(COUNTIF(AI22,"*"&amp;CC4:CC795&amp;"*")&gt;0)*1))</f>
        <v>0</v>
      </c>
      <c r="AT22" s="6625" cm="1">
        <f t="array" ref="AT22">IF(W22="",0,SUMPRODUCT((CA4:CA795="Soja")*(CB4:CB795="INFO")*(COUNTIF(AI22,"*"&amp;CC4:CC795&amp;"*")&gt;0)*1))</f>
        <v>0</v>
      </c>
      <c r="AU22" s="6625" cm="1">
        <f t="array" ref="AU22">IF(W22="",0,SUMPRODUCT((CA4:CA795="Soja")*(CB4:CB795="ALERTE")*(COUNTIF(AI22,"*"&amp;CC4:CC795&amp;"*")&gt;0)*1))</f>
        <v>0</v>
      </c>
      <c r="AV22" s="6625" cm="1">
        <f t="array" ref="AV22">IF(W22="",0,SUMPRODUCT((CA4:CA795="Lait")*(CB4:CB795="INFO")*(COUNTIF(AI22,"*"&amp;CC4:CC795&amp;"*")&gt;0)*1))</f>
        <v>0</v>
      </c>
      <c r="AW22" s="6625" cm="1">
        <f t="array" ref="AW22">IF(W22="",0,SUMPRODUCT((CA4:CA795="Lait")*(CB4:CB795="EXCL")*(COUNTIF(AI22,"*"&amp;CC4:CC795&amp;"*")&gt;0)*1))</f>
        <v>0</v>
      </c>
      <c r="AX22" s="6625" cm="1">
        <f t="array" ref="AX22">IF(W22="",0,SUMPRODUCT((CA4:CA795="Lait")*(CB4:CB795="ALERTE")*(COUNTIF(AI22,"*"&amp;CC4:CC795&amp;"*")&gt;0)*1))</f>
        <v>0</v>
      </c>
      <c r="AY22" s="6625" cm="1">
        <f t="array" ref="AY22">IF(W22="",0,SUMPRODUCT((CA4:CA795="Lait")*(CB4:CB795="SUSP")*(COUNTIF(AI22,"*"&amp;CC4:CC795&amp;"*")&gt;0)*1))</f>
        <v>0</v>
      </c>
      <c r="AZ22" s="6625" cm="1">
        <f t="array" ref="AZ22">IF(W22="",0,SUMPRODUCT((CA4:CA795="Fruits a coque")*(CB4:CB795="EXCL")*(COUNTIF(AI22,"*"&amp;CC4:CC795&amp;"*")&gt;0)*1))</f>
        <v>0</v>
      </c>
      <c r="BA22" s="6625" cm="1">
        <f t="array" ref="BA22">IF(W22="",0,SUMPRODUCT((CA4:CA795="Fruits a coque")*(CB4:CB795="ALERTE")*(COUNTIF(AI22,"*"&amp;CC4:CC795&amp;"*")&gt;0)*1))</f>
        <v>0</v>
      </c>
      <c r="BB22" s="6625" cm="1">
        <f t="array" ref="BB22">IF(W22="",0,SUMPRODUCT((CA4:CA795="Celeri")*(CB4:CB795="ALERTE")*(COUNTIF(AI22,"*"&amp;CC4:CC795&amp;"*")&gt;0)*1))</f>
        <v>0</v>
      </c>
      <c r="BC22" s="6625" cm="1">
        <f t="array" ref="BC22">IF(W22="",0,SUMPRODUCT((CA4:CA795="Moutarde")*(CB4:CB795="ALERTE")*(COUNTIF(AI22,"*"&amp;CC4:CC795&amp;"*")&gt;0)*1))</f>
        <v>0</v>
      </c>
      <c r="BD22" s="6625" cm="1">
        <f t="array" ref="BD22">IF(W22="",0,SUMPRODUCT((CA4:CA795="Sesame")*(CB4:CB795="ALERTE")*(COUNTIF(AI22,"*"&amp;CC4:CC795&amp;"*")&gt;0)*1))</f>
        <v>0</v>
      </c>
      <c r="BE22" s="6625" cm="1">
        <f t="array" ref="BE22">IF(W22="",0,SUMPRODUCT((CA4:CA795="Sulfites")*(CB4:CB795="ALERTE")*(COUNTIF(AI22,"*"&amp;CC4:CC795&amp;"*")&gt;0)*1))</f>
        <v>0</v>
      </c>
      <c r="BF22" s="6625" cm="1">
        <f t="array" ref="BF22">IF(W22="",0,SUMPRODUCT((CA4:CA795="Lupin")*(CB4:CB795="ALERTE")*(COUNTIF(AI22,"*"&amp;CC4:CC795&amp;"*")&gt;0)*1))</f>
        <v>0</v>
      </c>
      <c r="BG22" s="6625" cm="1">
        <f t="array" ref="BG22">IF(W22="",0,SUMPRODUCT((CA4:CA795="Mollusques")*(CB4:CB795="EXCL")*(COUNTIF(AI22,"*"&amp;CC4:CC795&amp;"*")&gt;0)*1))</f>
        <v>0</v>
      </c>
      <c r="BH22" s="6625" cm="1">
        <f t="array" ref="BH22">IF(W22="",0,SUMPRODUCT((CA4:CA795="Mollusques")*(CB4:CB795="ALERTE")*(COUNTIF(AI22,"*"&amp;CC4:CC795&amp;"*")&gt;0)*1))</f>
        <v>0</v>
      </c>
      <c r="BI22" s="6625" t="str">
        <f t="shared" si="25"/>
        <v>⚠ Gluten</v>
      </c>
      <c r="BJ22" s="6625" t="str">
        <f t="shared" si="26"/>
        <v/>
      </c>
      <c r="BK22" s="6625" t="str">
        <f t="shared" si="27"/>
        <v/>
      </c>
      <c r="BL22" s="6625" t="str">
        <f t="shared" si="28"/>
        <v/>
      </c>
      <c r="BM22" s="6625" t="str">
        <f t="shared" si="29"/>
        <v/>
      </c>
      <c r="BN22" s="6625" t="str">
        <f t="shared" si="30"/>
        <v/>
      </c>
      <c r="BO22" s="6625" t="str">
        <f t="shared" si="31"/>
        <v/>
      </c>
      <c r="BP22" s="6625" t="str">
        <f t="shared" si="32"/>
        <v/>
      </c>
      <c r="BQ22" s="6625" t="str">
        <f t="shared" si="33"/>
        <v/>
      </c>
      <c r="BR22" s="6625" t="str">
        <f t="shared" si="34"/>
        <v/>
      </c>
      <c r="BS22" s="6625" t="str">
        <f t="shared" si="35"/>
        <v/>
      </c>
      <c r="BT22" s="6625" t="str">
        <f t="shared" si="36"/>
        <v/>
      </c>
      <c r="BU22" s="6625" t="str">
        <f t="shared" si="37"/>
        <v/>
      </c>
      <c r="BV22" s="6625" t="str">
        <f t="shared" si="38"/>
        <v/>
      </c>
      <c r="BW22" s="6625" t="str">
        <f t="shared" si="39"/>
        <v/>
      </c>
      <c r="BX22" s="6625" t="str">
        <f t="shared" si="40"/>
        <v/>
      </c>
      <c r="CA22" s="3170" t="s">
        <v>16254</v>
      </c>
      <c r="CB22" s="7634" t="s">
        <v>16255</v>
      </c>
      <c r="CC22" s="3170" t="s">
        <v>16374</v>
      </c>
      <c r="CD22" s="3170" t="s">
        <v>16375</v>
      </c>
    </row>
    <row r="23" spans="2:82" ht="30" customHeight="1">
      <c r="B23" s="7661" t="str">
        <f t="shared" si="0"/>
        <v/>
      </c>
      <c r="C23" s="7661" t="str">
        <f t="shared" si="1"/>
        <v/>
      </c>
      <c r="D23" s="7661" t="str">
        <f t="shared" si="2"/>
        <v/>
      </c>
      <c r="E23" s="7661">
        <f>IF(H22&lt;&gt;"",E22,IF(E22="","",IFERROR(MATCH(TRUE(),INDEX(INDEX($K:$K,E22+1):$K$203&lt;&gt;"",0),0)+E22,"")))</f>
        <v>203</v>
      </c>
      <c r="F23" s="7661" t="str">
        <f t="shared" si="41"/>
        <v>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23" s="7661" t="str">
        <f t="shared" si="3"/>
        <v xml:space="preserve">invisibles et autres “pollutions”.◄ 2️⃣ Saisissez la largeur du document dans </v>
      </c>
      <c r="H23" s="7672" t="str">
        <f t="shared" si="4"/>
        <v>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I23" s="7683" t="str">
        <f t="shared" si="5"/>
        <v/>
      </c>
      <c r="J23" s="7673" t="str">
        <f>IF(K23="","",COUNTIF($K$18:K23,"&lt;&gt;"))</f>
        <v/>
      </c>
      <c r="K23" s="7674"/>
      <c r="L23" s="7673" t="str">
        <f t="shared" si="6"/>
        <v/>
      </c>
      <c r="M23" s="7630">
        <f t="shared" si="7"/>
        <v>78</v>
      </c>
      <c r="N23" s="7675">
        <f t="shared" si="8"/>
        <v>6</v>
      </c>
      <c r="O23" s="7676" t="str">
        <f t="shared" si="9"/>
        <v xml:space="preserve">invisibles et autres “pollutions”.◄ 2️⃣ Saisissez la largeur du document dans </v>
      </c>
      <c r="P23" s="7675">
        <f t="shared" si="10"/>
        <v>11</v>
      </c>
      <c r="Q23" s="7675">
        <f t="shared" si="11"/>
        <v>78</v>
      </c>
      <c r="S23" s="7679" t="str">
        <f t="shared" si="42"/>
        <v>invisibles et autres “pollutions”.◄ 2️⃣ Saisissez la largeur du document dans *</v>
      </c>
      <c r="T23" s="7680" t="str">
        <f t="shared" si="12"/>
        <v>⚠ Gluten</v>
      </c>
      <c r="V23" s="7677">
        <f t="shared" si="13"/>
        <v>23</v>
      </c>
      <c r="W23" s="7678" t="str">
        <f t="shared" si="43"/>
        <v xml:space="preserve">invisibles et autres “pollutions”.◄ 2️⃣ Saisissez la largeur du document dans </v>
      </c>
      <c r="X23" s="7677" t="s">
        <v>2</v>
      </c>
      <c r="Y23" s="7702" t="str">
        <f t="shared" si="14"/>
        <v>invisibles et autres “pollutions”.◄ 2️⃣ Saisissez la largeur du document dans *</v>
      </c>
      <c r="Z23" s="7703" t="str">
        <f t="shared" si="15"/>
        <v>⚠ Gluten</v>
      </c>
      <c r="AA23" s="7681" t="str">
        <f t="shared" si="16"/>
        <v>invisibles et autres “pollutions”.◄ 2️⃣ Saisissez la largeur du document dans *</v>
      </c>
      <c r="AB23" s="7682" t="str">
        <f t="shared" si="17"/>
        <v/>
      </c>
      <c r="AC23" s="7677">
        <f t="shared" si="18"/>
        <v>1</v>
      </c>
      <c r="AD23" s="7677">
        <f t="shared" si="19"/>
        <v>0</v>
      </c>
      <c r="AE23" s="7682" t="str">
        <f t="shared" si="20"/>
        <v>⚠ Gluten</v>
      </c>
      <c r="AF23" s="6625" t="str">
        <f t="shared" si="21"/>
        <v xml:space="preserve">invisibles et autres “pollutions”.◄ 2️⃣ saisissez la largeur du document dans </v>
      </c>
      <c r="AG23" s="6625" t="str">
        <f t="shared" si="22"/>
        <v xml:space="preserve">invisibles et autres “pollutions”.◄ 2️⃣ saisissez la largeur du document dans </v>
      </c>
      <c r="AH23" s="6625" t="str">
        <f t="shared" si="23"/>
        <v xml:space="preserve">invisibles et autres “pollutions” ◄ 2️⃣ saisissez la largeur du document dans </v>
      </c>
      <c r="AI23" s="6625" t="str">
        <f t="shared" si="24"/>
        <v xml:space="preserve"> invisibles et autres “pollutions” ◄ 2️⃣ saisissez la largeur du document dans </v>
      </c>
      <c r="AJ23" s="6625" cm="1">
        <f t="array" ref="AJ23">IF(W23="",0,SUMPRODUCT((CA4:CA795="Gluten")*(CB4:CB795="INFO")*(COUNTIF(AI23,"*"&amp;CC4:CC795&amp;"*")&gt;0)*1))</f>
        <v>0</v>
      </c>
      <c r="AK23" s="6625" cm="1">
        <f t="array" ref="AK23">IF(W23="",0,SUMPRODUCT((CA4:CA795="Gluten")*(CB4:CB795="EXCL")*(COUNTIF(AI23,"*"&amp;CC4:CC795&amp;"*")&gt;0)*1))</f>
        <v>0</v>
      </c>
      <c r="AL23" s="6625" cm="1">
        <f t="array" ref="AL23">IF(W23="",0,SUMPRODUCT((CA4:CA795="Gluten")*(CB4:CB795="ALERTE")*(COUNTIF(AI23,"*"&amp;CC4:CC795&amp;"*")&gt;0)*1))</f>
        <v>1</v>
      </c>
      <c r="AM23" s="6625" cm="1">
        <f t="array" ref="AM23">IF(W23="",0,SUMPRODUCT((CA4:CA795="Gluten")*(CB4:CB795="SUSP")*(COUNTIF(AI23,"*"&amp;CC4:CC795&amp;"*")&gt;0)*1))</f>
        <v>0</v>
      </c>
      <c r="AN23" s="6625" cm="1">
        <f t="array" ref="AN23">IF(W23="",0,SUMPRODUCT((CA4:CA795="Crustaces")*(CB4:CB795="ALERTE")*(COUNTIF(AI23,"*"&amp;CC4:CC795&amp;"*")&gt;0)*1))</f>
        <v>0</v>
      </c>
      <c r="AO23" s="6625" cm="1">
        <f t="array" ref="AO23">IF(W23="",0,SUMPRODUCT((CA4:CA795="Oeufs")*(CB4:CB795="ALERTE")*(COUNTIF(AI23,"*"&amp;CC4:CC795&amp;"*")&gt;0)*1))</f>
        <v>0</v>
      </c>
      <c r="AP23" s="6625" cm="1">
        <f t="array" ref="AP23">IF(W23="",0,SUMPRODUCT((CA4:CA795="Poissons")*(CB4:CB795="INFO")*(COUNTIF(AI23,"*"&amp;CC4:CC795&amp;"*")&gt;0)*1))</f>
        <v>0</v>
      </c>
      <c r="AQ23" s="6625" cm="1">
        <f t="array" ref="AQ23">IF(W23="",0,SUMPRODUCT((CA4:CA795="Poissons")*(CB4:CB795="EXCL")*(COUNTIF(AI23,"*"&amp;CC4:CC795&amp;"*")&gt;0)*1))</f>
        <v>0</v>
      </c>
      <c r="AR23" s="6625" cm="1">
        <f t="array" ref="AR23">IF(W23="",0,SUMPRODUCT((CA4:CA795="Poissons")*(CB4:CB795="ALERTE")*(COUNTIF(AI23,"*"&amp;CC4:CC795&amp;"*")&gt;0)*1))</f>
        <v>0</v>
      </c>
      <c r="AS23" s="6625" cm="1">
        <f t="array" ref="AS23">IF(W23="",0,SUMPRODUCT((CA4:CA795="Arachides")*(CB4:CB795="ALERTE")*(COUNTIF(AI23,"*"&amp;CC4:CC795&amp;"*")&gt;0)*1))</f>
        <v>0</v>
      </c>
      <c r="AT23" s="6625" cm="1">
        <f t="array" ref="AT23">IF(W23="",0,SUMPRODUCT((CA4:CA795="Soja")*(CB4:CB795="INFO")*(COUNTIF(AI23,"*"&amp;CC4:CC795&amp;"*")&gt;0)*1))</f>
        <v>0</v>
      </c>
      <c r="AU23" s="6625" cm="1">
        <f t="array" ref="AU23">IF(W23="",0,SUMPRODUCT((CA4:CA795="Soja")*(CB4:CB795="ALERTE")*(COUNTIF(AI23,"*"&amp;CC4:CC795&amp;"*")&gt;0)*1))</f>
        <v>0</v>
      </c>
      <c r="AV23" s="6625" cm="1">
        <f t="array" ref="AV23">IF(W23="",0,SUMPRODUCT((CA4:CA795="Lait")*(CB4:CB795="INFO")*(COUNTIF(AI23,"*"&amp;CC4:CC795&amp;"*")&gt;0)*1))</f>
        <v>0</v>
      </c>
      <c r="AW23" s="6625" cm="1">
        <f t="array" ref="AW23">IF(W23="",0,SUMPRODUCT((CA4:CA795="Lait")*(CB4:CB795="EXCL")*(COUNTIF(AI23,"*"&amp;CC4:CC795&amp;"*")&gt;0)*1))</f>
        <v>0</v>
      </c>
      <c r="AX23" s="6625" cm="1">
        <f t="array" ref="AX23">IF(W23="",0,SUMPRODUCT((CA4:CA795="Lait")*(CB4:CB795="ALERTE")*(COUNTIF(AI23,"*"&amp;CC4:CC795&amp;"*")&gt;0)*1))</f>
        <v>0</v>
      </c>
      <c r="AY23" s="6625" cm="1">
        <f t="array" ref="AY23">IF(W23="",0,SUMPRODUCT((CA4:CA795="Lait")*(CB4:CB795="SUSP")*(COUNTIF(AI23,"*"&amp;CC4:CC795&amp;"*")&gt;0)*1))</f>
        <v>0</v>
      </c>
      <c r="AZ23" s="6625" cm="1">
        <f t="array" ref="AZ23">IF(W23="",0,SUMPRODUCT((CA4:CA795="Fruits a coque")*(CB4:CB795="EXCL")*(COUNTIF(AI23,"*"&amp;CC4:CC795&amp;"*")&gt;0)*1))</f>
        <v>0</v>
      </c>
      <c r="BA23" s="6625" cm="1">
        <f t="array" ref="BA23">IF(W23="",0,SUMPRODUCT((CA4:CA795="Fruits a coque")*(CB4:CB795="ALERTE")*(COUNTIF(AI23,"*"&amp;CC4:CC795&amp;"*")&gt;0)*1))</f>
        <v>0</v>
      </c>
      <c r="BB23" s="6625" cm="1">
        <f t="array" ref="BB23">IF(W23="",0,SUMPRODUCT((CA4:CA795="Celeri")*(CB4:CB795="ALERTE")*(COUNTIF(AI23,"*"&amp;CC4:CC795&amp;"*")&gt;0)*1))</f>
        <v>0</v>
      </c>
      <c r="BC23" s="6625" cm="1">
        <f t="array" ref="BC23">IF(W23="",0,SUMPRODUCT((CA4:CA795="Moutarde")*(CB4:CB795="ALERTE")*(COUNTIF(AI23,"*"&amp;CC4:CC795&amp;"*")&gt;0)*1))</f>
        <v>0</v>
      </c>
      <c r="BD23" s="6625" cm="1">
        <f t="array" ref="BD23">IF(W23="",0,SUMPRODUCT((CA4:CA795="Sesame")*(CB4:CB795="ALERTE")*(COUNTIF(AI23,"*"&amp;CC4:CC795&amp;"*")&gt;0)*1))</f>
        <v>0</v>
      </c>
      <c r="BE23" s="6625" cm="1">
        <f t="array" ref="BE23">IF(W23="",0,SUMPRODUCT((CA4:CA795="Sulfites")*(CB4:CB795="ALERTE")*(COUNTIF(AI23,"*"&amp;CC4:CC795&amp;"*")&gt;0)*1))</f>
        <v>0</v>
      </c>
      <c r="BF23" s="6625" cm="1">
        <f t="array" ref="BF23">IF(W23="",0,SUMPRODUCT((CA4:CA795="Lupin")*(CB4:CB795="ALERTE")*(COUNTIF(AI23,"*"&amp;CC4:CC795&amp;"*")&gt;0)*1))</f>
        <v>0</v>
      </c>
      <c r="BG23" s="6625" cm="1">
        <f t="array" ref="BG23">IF(W23="",0,SUMPRODUCT((CA4:CA795="Mollusques")*(CB4:CB795="EXCL")*(COUNTIF(AI23,"*"&amp;CC4:CC795&amp;"*")&gt;0)*1))</f>
        <v>0</v>
      </c>
      <c r="BH23" s="6625" cm="1">
        <f t="array" ref="BH23">IF(W23="",0,SUMPRODUCT((CA4:CA795="Mollusques")*(CB4:CB795="ALERTE")*(COUNTIF(AI23,"*"&amp;CC4:CC795&amp;"*")&gt;0)*1))</f>
        <v>0</v>
      </c>
      <c r="BI23" s="6625" t="str">
        <f t="shared" si="25"/>
        <v>⚠ Gluten</v>
      </c>
      <c r="BJ23" s="6625" t="str">
        <f t="shared" si="26"/>
        <v/>
      </c>
      <c r="BK23" s="6625" t="str">
        <f t="shared" si="27"/>
        <v/>
      </c>
      <c r="BL23" s="6625" t="str">
        <f t="shared" si="28"/>
        <v/>
      </c>
      <c r="BM23" s="6625" t="str">
        <f t="shared" si="29"/>
        <v/>
      </c>
      <c r="BN23" s="6625" t="str">
        <f t="shared" si="30"/>
        <v/>
      </c>
      <c r="BO23" s="6625" t="str">
        <f t="shared" si="31"/>
        <v/>
      </c>
      <c r="BP23" s="6625" t="str">
        <f t="shared" si="32"/>
        <v/>
      </c>
      <c r="BQ23" s="6625" t="str">
        <f t="shared" si="33"/>
        <v/>
      </c>
      <c r="BR23" s="6625" t="str">
        <f t="shared" si="34"/>
        <v/>
      </c>
      <c r="BS23" s="6625" t="str">
        <f t="shared" si="35"/>
        <v/>
      </c>
      <c r="BT23" s="6625" t="str">
        <f t="shared" si="36"/>
        <v/>
      </c>
      <c r="BU23" s="6625" t="str">
        <f t="shared" si="37"/>
        <v/>
      </c>
      <c r="BV23" s="6625" t="str">
        <f t="shared" si="38"/>
        <v/>
      </c>
      <c r="BW23" s="6625" t="str">
        <f t="shared" si="39"/>
        <v/>
      </c>
      <c r="BX23" s="6625" t="str">
        <f t="shared" si="40"/>
        <v/>
      </c>
      <c r="CA23" s="3170" t="s">
        <v>16254</v>
      </c>
      <c r="CB23" s="7634" t="s">
        <v>16255</v>
      </c>
      <c r="CC23" s="3170" t="s">
        <v>16376</v>
      </c>
      <c r="CD23" s="3170" t="s">
        <v>16377</v>
      </c>
    </row>
    <row r="24" spans="2:82" ht="30" customHeight="1">
      <c r="B24" s="7661" t="str">
        <f t="shared" si="0"/>
        <v/>
      </c>
      <c r="C24" s="7661" t="str">
        <f t="shared" si="1"/>
        <v/>
      </c>
      <c r="D24" s="7661" t="str">
        <f t="shared" si="2"/>
        <v/>
      </c>
      <c r="E24" s="7661">
        <f>IF(H23&lt;&gt;"",E23,IF(E23="","",IFERROR(MATCH(TRUE(),INDEX(INDEX($K:$K,E23+1):$K$203&lt;&gt;"",0),0)+E23,"")))</f>
        <v>203</v>
      </c>
      <c r="F24" s="7661" t="str">
        <f t="shared" si="41"/>
        <v>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24" s="7661" t="str">
        <f t="shared" si="3"/>
        <v xml:space="preserve">lequel vous collerez ensuite le texte. ◄ 3️⃣ saisissez un nombre de caractères </v>
      </c>
      <c r="H24" s="7672" t="str">
        <f t="shared" si="4"/>
        <v>par lignes ◄ 4️⃣ Si vous ne voulez pas de ponctuation saisissez un X dans la cellule - Ensuite, dans la colonne B copiez le texte nettoyé - puis dans votre document faites Collage spécial &gt; 1.2.3 Valeurs pour ne coller que le texte, sans formules.</v>
      </c>
      <c r="I24" s="7683" t="str">
        <f t="shared" si="5"/>
        <v/>
      </c>
      <c r="J24" s="7673" t="str">
        <f>IF(K24="","",COUNTIF($K$18:K24,"&lt;&gt;"))</f>
        <v/>
      </c>
      <c r="K24" s="7674"/>
      <c r="L24" s="7673" t="str">
        <f t="shared" si="6"/>
        <v/>
      </c>
      <c r="M24" s="7630">
        <f t="shared" si="7"/>
        <v>79</v>
      </c>
      <c r="N24" s="7675">
        <f t="shared" si="8"/>
        <v>7</v>
      </c>
      <c r="O24" s="7676" t="str">
        <f t="shared" si="9"/>
        <v xml:space="preserve">lequel vous collerez ensuite le texte. ◄ 3️⃣ saisissez un nombre de caractères </v>
      </c>
      <c r="P24" s="7675">
        <f t="shared" si="10"/>
        <v>13</v>
      </c>
      <c r="Q24" s="7675">
        <f t="shared" si="11"/>
        <v>79</v>
      </c>
      <c r="S24" s="7679" t="str">
        <f t="shared" si="42"/>
        <v>lequel vous collerez ensuite le texte. ◄ 3️⃣ saisissez un nombre de caractères</v>
      </c>
      <c r="T24" s="7680" t="str">
        <f t="shared" si="12"/>
        <v/>
      </c>
      <c r="V24" s="7677">
        <f t="shared" si="13"/>
        <v>24</v>
      </c>
      <c r="W24" s="7678" t="str">
        <f t="shared" si="43"/>
        <v xml:space="preserve">lequel vous collerez ensuite le texte. ◄ 3️⃣ saisissez un nombre de caractères </v>
      </c>
      <c r="X24" s="7677" t="s">
        <v>2</v>
      </c>
      <c r="Y24" s="7702" t="str">
        <f t="shared" si="14"/>
        <v>lequel vous collerez ensuite le texte. ◄ 3️⃣ saisissez un nombre de caractères</v>
      </c>
      <c r="Z24" s="7703" t="str">
        <f t="shared" si="15"/>
        <v/>
      </c>
      <c r="AA24" s="7681" t="str">
        <f t="shared" si="16"/>
        <v>lequel vous collerez ensuite le texte. ◄ 3️⃣ saisissez un nombre de caractères</v>
      </c>
      <c r="AB24" s="7682" t="str">
        <f t="shared" si="17"/>
        <v/>
      </c>
      <c r="AC24" s="7677">
        <f t="shared" si="18"/>
        <v>0</v>
      </c>
      <c r="AD24" s="7677">
        <f t="shared" si="19"/>
        <v>0</v>
      </c>
      <c r="AE24" s="7682" t="str">
        <f t="shared" si="20"/>
        <v>aucun match</v>
      </c>
      <c r="AF24" s="6625" t="str">
        <f t="shared" si="21"/>
        <v xml:space="preserve">lequel vous collerez ensuite le texte. ◄ 3️⃣ saisissez un nombre de caractères </v>
      </c>
      <c r="AG24" s="6625" t="str">
        <f t="shared" si="22"/>
        <v xml:space="preserve">lequel vous collerez ensuite le texte. ◄ 3️⃣ saisissez un nombre de caracteres </v>
      </c>
      <c r="AH24" s="6625" t="str">
        <f t="shared" si="23"/>
        <v xml:space="preserve">lequel vous collerez ensuite le texte  ◄ 3️⃣ saisissez un nombre de caracteres </v>
      </c>
      <c r="AI24" s="6625" t="str">
        <f t="shared" si="24"/>
        <v xml:space="preserve"> lequel vous collerez ensuite le texte ◄ 3️⃣ saisissez un nombre de caracteres </v>
      </c>
      <c r="AJ24" s="6625" cm="1">
        <f t="array" ref="AJ24">IF(W24="",0,SUMPRODUCT((CA4:CA795="Gluten")*(CB4:CB795="INFO")*(COUNTIF(AI24,"*"&amp;CC4:CC795&amp;"*")&gt;0)*1))</f>
        <v>0</v>
      </c>
      <c r="AK24" s="6625" cm="1">
        <f t="array" ref="AK24">IF(W24="",0,SUMPRODUCT((CA4:CA795="Gluten")*(CB4:CB795="EXCL")*(COUNTIF(AI24,"*"&amp;CC4:CC795&amp;"*")&gt;0)*1))</f>
        <v>0</v>
      </c>
      <c r="AL24" s="6625" cm="1">
        <f t="array" ref="AL24">IF(W24="",0,SUMPRODUCT((CA4:CA795="Gluten")*(CB4:CB795="ALERTE")*(COUNTIF(AI24,"*"&amp;CC4:CC795&amp;"*")&gt;0)*1))</f>
        <v>0</v>
      </c>
      <c r="AM24" s="6625" cm="1">
        <f t="array" ref="AM24">IF(W24="",0,SUMPRODUCT((CA4:CA795="Gluten")*(CB4:CB795="SUSP")*(COUNTIF(AI24,"*"&amp;CC4:CC795&amp;"*")&gt;0)*1))</f>
        <v>0</v>
      </c>
      <c r="AN24" s="6625" cm="1">
        <f t="array" ref="AN24">IF(W24="",0,SUMPRODUCT((CA4:CA795="Crustaces")*(CB4:CB795="ALERTE")*(COUNTIF(AI24,"*"&amp;CC4:CC795&amp;"*")&gt;0)*1))</f>
        <v>0</v>
      </c>
      <c r="AO24" s="6625" cm="1">
        <f t="array" ref="AO24">IF(W24="",0,SUMPRODUCT((CA4:CA795="Oeufs")*(CB4:CB795="ALERTE")*(COUNTIF(AI24,"*"&amp;CC4:CC795&amp;"*")&gt;0)*1))</f>
        <v>0</v>
      </c>
      <c r="AP24" s="6625" cm="1">
        <f t="array" ref="AP24">IF(W24="",0,SUMPRODUCT((CA4:CA795="Poissons")*(CB4:CB795="INFO")*(COUNTIF(AI24,"*"&amp;CC4:CC795&amp;"*")&gt;0)*1))</f>
        <v>0</v>
      </c>
      <c r="AQ24" s="6625" cm="1">
        <f t="array" ref="AQ24">IF(W24="",0,SUMPRODUCT((CA4:CA795="Poissons")*(CB4:CB795="EXCL")*(COUNTIF(AI24,"*"&amp;CC4:CC795&amp;"*")&gt;0)*1))</f>
        <v>0</v>
      </c>
      <c r="AR24" s="6625" cm="1">
        <f t="array" ref="AR24">IF(W24="",0,SUMPRODUCT((CA4:CA795="Poissons")*(CB4:CB795="ALERTE")*(COUNTIF(AI24,"*"&amp;CC4:CC795&amp;"*")&gt;0)*1))</f>
        <v>0</v>
      </c>
      <c r="AS24" s="6625" cm="1">
        <f t="array" ref="AS24">IF(W24="",0,SUMPRODUCT((CA4:CA795="Arachides")*(CB4:CB795="ALERTE")*(COUNTIF(AI24,"*"&amp;CC4:CC795&amp;"*")&gt;0)*1))</f>
        <v>0</v>
      </c>
      <c r="AT24" s="6625" cm="1">
        <f t="array" ref="AT24">IF(W24="",0,SUMPRODUCT((CA4:CA795="Soja")*(CB4:CB795="INFO")*(COUNTIF(AI24,"*"&amp;CC4:CC795&amp;"*")&gt;0)*1))</f>
        <v>0</v>
      </c>
      <c r="AU24" s="6625" cm="1">
        <f t="array" ref="AU24">IF(W24="",0,SUMPRODUCT((CA4:CA795="Soja")*(CB4:CB795="ALERTE")*(COUNTIF(AI24,"*"&amp;CC4:CC795&amp;"*")&gt;0)*1))</f>
        <v>0</v>
      </c>
      <c r="AV24" s="6625" cm="1">
        <f t="array" ref="AV24">IF(W24="",0,SUMPRODUCT((CA4:CA795="Lait")*(CB4:CB795="INFO")*(COUNTIF(AI24,"*"&amp;CC4:CC795&amp;"*")&gt;0)*1))</f>
        <v>0</v>
      </c>
      <c r="AW24" s="6625" cm="1">
        <f t="array" ref="AW24">IF(W24="",0,SUMPRODUCT((CA4:CA795="Lait")*(CB4:CB795="EXCL")*(COUNTIF(AI24,"*"&amp;CC4:CC795&amp;"*")&gt;0)*1))</f>
        <v>0</v>
      </c>
      <c r="AX24" s="6625" cm="1">
        <f t="array" ref="AX24">IF(W24="",0,SUMPRODUCT((CA4:CA795="Lait")*(CB4:CB795="ALERTE")*(COUNTIF(AI24,"*"&amp;CC4:CC795&amp;"*")&gt;0)*1))</f>
        <v>0</v>
      </c>
      <c r="AY24" s="6625" cm="1">
        <f t="array" ref="AY24">IF(W24="",0,SUMPRODUCT((CA4:CA795="Lait")*(CB4:CB795="SUSP")*(COUNTIF(AI24,"*"&amp;CC4:CC795&amp;"*")&gt;0)*1))</f>
        <v>0</v>
      </c>
      <c r="AZ24" s="6625" cm="1">
        <f t="array" ref="AZ24">IF(W24="",0,SUMPRODUCT((CA4:CA795="Fruits a coque")*(CB4:CB795="EXCL")*(COUNTIF(AI24,"*"&amp;CC4:CC795&amp;"*")&gt;0)*1))</f>
        <v>0</v>
      </c>
      <c r="BA24" s="6625" cm="1">
        <f t="array" ref="BA24">IF(W24="",0,SUMPRODUCT((CA4:CA795="Fruits a coque")*(CB4:CB795="ALERTE")*(COUNTIF(AI24,"*"&amp;CC4:CC795&amp;"*")&gt;0)*1))</f>
        <v>0</v>
      </c>
      <c r="BB24" s="6625" cm="1">
        <f t="array" ref="BB24">IF(W24="",0,SUMPRODUCT((CA4:CA795="Celeri")*(CB4:CB795="ALERTE")*(COUNTIF(AI24,"*"&amp;CC4:CC795&amp;"*")&gt;0)*1))</f>
        <v>0</v>
      </c>
      <c r="BC24" s="6625" cm="1">
        <f t="array" ref="BC24">IF(W24="",0,SUMPRODUCT((CA4:CA795="Moutarde")*(CB4:CB795="ALERTE")*(COUNTIF(AI24,"*"&amp;CC4:CC795&amp;"*")&gt;0)*1))</f>
        <v>0</v>
      </c>
      <c r="BD24" s="6625" cm="1">
        <f t="array" ref="BD24">IF(W24="",0,SUMPRODUCT((CA4:CA795="Sesame")*(CB4:CB795="ALERTE")*(COUNTIF(AI24,"*"&amp;CC4:CC795&amp;"*")&gt;0)*1))</f>
        <v>0</v>
      </c>
      <c r="BE24" s="6625" cm="1">
        <f t="array" ref="BE24">IF(W24="",0,SUMPRODUCT((CA4:CA795="Sulfites")*(CB4:CB795="ALERTE")*(COUNTIF(AI24,"*"&amp;CC4:CC795&amp;"*")&gt;0)*1))</f>
        <v>0</v>
      </c>
      <c r="BF24" s="6625" cm="1">
        <f t="array" ref="BF24">IF(W24="",0,SUMPRODUCT((CA4:CA795="Lupin")*(CB4:CB795="ALERTE")*(COUNTIF(AI24,"*"&amp;CC4:CC795&amp;"*")&gt;0)*1))</f>
        <v>0</v>
      </c>
      <c r="BG24" s="6625" cm="1">
        <f t="array" ref="BG24">IF(W24="",0,SUMPRODUCT((CA4:CA795="Mollusques")*(CB4:CB795="EXCL")*(COUNTIF(AI24,"*"&amp;CC4:CC795&amp;"*")&gt;0)*1))</f>
        <v>0</v>
      </c>
      <c r="BH24" s="6625" cm="1">
        <f t="array" ref="BH24">IF(W24="",0,SUMPRODUCT((CA4:CA795="Mollusques")*(CB4:CB795="ALERTE")*(COUNTIF(AI24,"*"&amp;CC4:CC795&amp;"*")&gt;0)*1))</f>
        <v>0</v>
      </c>
      <c r="BI24" s="6625" t="str">
        <f t="shared" si="25"/>
        <v/>
      </c>
      <c r="BJ24" s="6625" t="str">
        <f t="shared" si="26"/>
        <v/>
      </c>
      <c r="BK24" s="6625" t="str">
        <f t="shared" si="27"/>
        <v/>
      </c>
      <c r="BL24" s="6625" t="str">
        <f t="shared" si="28"/>
        <v/>
      </c>
      <c r="BM24" s="6625" t="str">
        <f t="shared" si="29"/>
        <v/>
      </c>
      <c r="BN24" s="6625" t="str">
        <f t="shared" si="30"/>
        <v/>
      </c>
      <c r="BO24" s="6625" t="str">
        <f t="shared" si="31"/>
        <v/>
      </c>
      <c r="BP24" s="6625" t="str">
        <f t="shared" si="32"/>
        <v/>
      </c>
      <c r="BQ24" s="6625" t="str">
        <f t="shared" si="33"/>
        <v/>
      </c>
      <c r="BR24" s="6625" t="str">
        <f t="shared" si="34"/>
        <v/>
      </c>
      <c r="BS24" s="6625" t="str">
        <f t="shared" si="35"/>
        <v/>
      </c>
      <c r="BT24" s="6625" t="str">
        <f t="shared" si="36"/>
        <v/>
      </c>
      <c r="BU24" s="6625" t="str">
        <f t="shared" si="37"/>
        <v/>
      </c>
      <c r="BV24" s="6625" t="str">
        <f t="shared" si="38"/>
        <v/>
      </c>
      <c r="BW24" s="6625" t="str">
        <f t="shared" si="39"/>
        <v/>
      </c>
      <c r="BX24" s="6625" t="str">
        <f t="shared" si="40"/>
        <v/>
      </c>
      <c r="CA24" s="3170" t="s">
        <v>16254</v>
      </c>
      <c r="CB24" s="7634" t="s">
        <v>16255</v>
      </c>
      <c r="CC24" s="3170" t="s">
        <v>16378</v>
      </c>
      <c r="CD24" s="3170" t="s">
        <v>16379</v>
      </c>
    </row>
    <row r="25" spans="2:82" ht="30" customHeight="1">
      <c r="B25" s="7661" t="str">
        <f t="shared" si="0"/>
        <v/>
      </c>
      <c r="C25" s="7661" t="str">
        <f t="shared" si="1"/>
        <v/>
      </c>
      <c r="D25" s="7661" t="str">
        <f t="shared" si="2"/>
        <v/>
      </c>
      <c r="E25" s="7661">
        <f>IF(H24&lt;&gt;"",E24,IF(E24="","",IFERROR(MATCH(TRUE(),INDEX(INDEX($K:$K,E24+1):$K$203&lt;&gt;"",0),0)+E24,"")))</f>
        <v>203</v>
      </c>
      <c r="F25" s="7661" t="str">
        <f t="shared" si="41"/>
        <v>par lignes ◄ 4️⃣ Si vous ne voulez pas de ponctuation saisissez un X dans la cellule - Ensuite, dans la colonne B copiez le texte nettoyé - puis dans votre document faites Collage spécial &gt; 1.2.3 Valeurs pour ne coller que le texte, sans formules.</v>
      </c>
      <c r="G25" s="7661" t="str">
        <f t="shared" si="3"/>
        <v xml:space="preserve">par lignes ◄ 4️⃣ Si vous ne voulez pas de ponctuation saisissez un X dans la </v>
      </c>
      <c r="H25" s="7672" t="str">
        <f t="shared" si="4"/>
        <v>cellule - Ensuite, dans la colonne B copiez le texte nettoyé - puis dans votre document faites Collage spécial &gt; 1.2.3 Valeurs pour ne coller que le texte, sans formules.</v>
      </c>
      <c r="I25" s="7683" t="str">
        <f t="shared" si="5"/>
        <v/>
      </c>
      <c r="J25" s="7673" t="str">
        <f>IF(K25="","",COUNTIF($K$18:K25,"&lt;&gt;"))</f>
        <v/>
      </c>
      <c r="K25" s="7674"/>
      <c r="L25" s="7673" t="str">
        <f t="shared" si="6"/>
        <v/>
      </c>
      <c r="M25" s="7630">
        <f t="shared" si="7"/>
        <v>77</v>
      </c>
      <c r="N25" s="7675">
        <f t="shared" si="8"/>
        <v>8</v>
      </c>
      <c r="O25" s="7676" t="str">
        <f t="shared" si="9"/>
        <v xml:space="preserve">par lignes ◄ 4️⃣ Si vous ne voulez pas de ponctuation saisissez un X dans la </v>
      </c>
      <c r="P25" s="7675">
        <f t="shared" si="10"/>
        <v>16</v>
      </c>
      <c r="Q25" s="7675">
        <f t="shared" si="11"/>
        <v>77</v>
      </c>
      <c r="S25" s="7679" t="str">
        <f t="shared" si="42"/>
        <v>par lignes ◄ 4️⃣ Si vous ne voulez pas de ponctuation saisissez un X dans la</v>
      </c>
      <c r="T25" s="7680" t="str">
        <f t="shared" si="12"/>
        <v/>
      </c>
      <c r="V25" s="7677">
        <f t="shared" si="13"/>
        <v>25</v>
      </c>
      <c r="W25" s="7678" t="str">
        <f t="shared" si="43"/>
        <v xml:space="preserve">par lignes ◄ 4️⃣ Si vous ne voulez pas de ponctuation saisissez un X dans la </v>
      </c>
      <c r="X25" s="7677" t="s">
        <v>2</v>
      </c>
      <c r="Y25" s="7702" t="str">
        <f t="shared" si="14"/>
        <v>par lignes ◄ 4️⃣ Si vous ne voulez pas de ponctuation saisissez un X dans la</v>
      </c>
      <c r="Z25" s="7703" t="str">
        <f t="shared" si="15"/>
        <v/>
      </c>
      <c r="AA25" s="7681" t="str">
        <f t="shared" si="16"/>
        <v>par lignes ◄ 4️⃣ Si vous ne voulez pas de ponctuation saisissez un X dans la</v>
      </c>
      <c r="AB25" s="7682" t="str">
        <f t="shared" si="17"/>
        <v/>
      </c>
      <c r="AC25" s="7677">
        <f t="shared" si="18"/>
        <v>0</v>
      </c>
      <c r="AD25" s="7677">
        <f t="shared" si="19"/>
        <v>0</v>
      </c>
      <c r="AE25" s="7682" t="str">
        <f t="shared" si="20"/>
        <v>aucun match</v>
      </c>
      <c r="AF25" s="6625" t="str">
        <f t="shared" si="21"/>
        <v xml:space="preserve">par lignes ◄ 4️⃣ si vous ne voulez pas de ponctuation saisissez un x dans la </v>
      </c>
      <c r="AG25" s="6625" t="str">
        <f t="shared" si="22"/>
        <v xml:space="preserve">par lignes ◄ 4️⃣ si vous ne voulez pas de ponctuation saisissez un x dans la </v>
      </c>
      <c r="AH25" s="6625" t="str">
        <f t="shared" si="23"/>
        <v xml:space="preserve">par lignes ◄ 4️⃣ si vous ne voulez pas de ponctuation saisissez un x dans la </v>
      </c>
      <c r="AI25" s="6625" t="str">
        <f t="shared" si="24"/>
        <v xml:space="preserve"> par lignes ◄ 4️⃣ si vous ne voulez pas de ponctuation saisissez un x dans la </v>
      </c>
      <c r="AJ25" s="6625" cm="1">
        <f t="array" ref="AJ25">IF(W25="",0,SUMPRODUCT((CA4:CA795="Gluten")*(CB4:CB795="INFO")*(COUNTIF(AI25,"*"&amp;CC4:CC795&amp;"*")&gt;0)*1))</f>
        <v>0</v>
      </c>
      <c r="AK25" s="6625" cm="1">
        <f t="array" ref="AK25">IF(W25="",0,SUMPRODUCT((CA4:CA795="Gluten")*(CB4:CB795="EXCL")*(COUNTIF(AI25,"*"&amp;CC4:CC795&amp;"*")&gt;0)*1))</f>
        <v>0</v>
      </c>
      <c r="AL25" s="6625" cm="1">
        <f t="array" ref="AL25">IF(W25="",0,SUMPRODUCT((CA4:CA795="Gluten")*(CB4:CB795="ALERTE")*(COUNTIF(AI25,"*"&amp;CC4:CC795&amp;"*")&gt;0)*1))</f>
        <v>0</v>
      </c>
      <c r="AM25" s="6625" cm="1">
        <f t="array" ref="AM25">IF(W25="",0,SUMPRODUCT((CA4:CA795="Gluten")*(CB4:CB795="SUSP")*(COUNTIF(AI25,"*"&amp;CC4:CC795&amp;"*")&gt;0)*1))</f>
        <v>0</v>
      </c>
      <c r="AN25" s="6625" cm="1">
        <f t="array" ref="AN25">IF(W25="",0,SUMPRODUCT((CA4:CA795="Crustaces")*(CB4:CB795="ALERTE")*(COUNTIF(AI25,"*"&amp;CC4:CC795&amp;"*")&gt;0)*1))</f>
        <v>0</v>
      </c>
      <c r="AO25" s="6625" cm="1">
        <f t="array" ref="AO25">IF(W25="",0,SUMPRODUCT((CA4:CA795="Oeufs")*(CB4:CB795="ALERTE")*(COUNTIF(AI25,"*"&amp;CC4:CC795&amp;"*")&gt;0)*1))</f>
        <v>0</v>
      </c>
      <c r="AP25" s="6625" cm="1">
        <f t="array" ref="AP25">IF(W25="",0,SUMPRODUCT((CA4:CA795="Poissons")*(CB4:CB795="INFO")*(COUNTIF(AI25,"*"&amp;CC4:CC795&amp;"*")&gt;0)*1))</f>
        <v>0</v>
      </c>
      <c r="AQ25" s="6625" cm="1">
        <f t="array" ref="AQ25">IF(W25="",0,SUMPRODUCT((CA4:CA795="Poissons")*(CB4:CB795="EXCL")*(COUNTIF(AI25,"*"&amp;CC4:CC795&amp;"*")&gt;0)*1))</f>
        <v>0</v>
      </c>
      <c r="AR25" s="6625" cm="1">
        <f t="array" ref="AR25">IF(W25="",0,SUMPRODUCT((CA4:CA795="Poissons")*(CB4:CB795="ALERTE")*(COUNTIF(AI25,"*"&amp;CC4:CC795&amp;"*")&gt;0)*1))</f>
        <v>0</v>
      </c>
      <c r="AS25" s="6625" cm="1">
        <f t="array" ref="AS25">IF(W25="",0,SUMPRODUCT((CA4:CA795="Arachides")*(CB4:CB795="ALERTE")*(COUNTIF(AI25,"*"&amp;CC4:CC795&amp;"*")&gt;0)*1))</f>
        <v>0</v>
      </c>
      <c r="AT25" s="6625" cm="1">
        <f t="array" ref="AT25">IF(W25="",0,SUMPRODUCT((CA4:CA795="Soja")*(CB4:CB795="INFO")*(COUNTIF(AI25,"*"&amp;CC4:CC795&amp;"*")&gt;0)*1))</f>
        <v>0</v>
      </c>
      <c r="AU25" s="6625" cm="1">
        <f t="array" ref="AU25">IF(W25="",0,SUMPRODUCT((CA4:CA795="Soja")*(CB4:CB795="ALERTE")*(COUNTIF(AI25,"*"&amp;CC4:CC795&amp;"*")&gt;0)*1))</f>
        <v>0</v>
      </c>
      <c r="AV25" s="6625" cm="1">
        <f t="array" ref="AV25">IF(W25="",0,SUMPRODUCT((CA4:CA795="Lait")*(CB4:CB795="INFO")*(COUNTIF(AI25,"*"&amp;CC4:CC795&amp;"*")&gt;0)*1))</f>
        <v>0</v>
      </c>
      <c r="AW25" s="6625" cm="1">
        <f t="array" ref="AW25">IF(W25="",0,SUMPRODUCT((CA4:CA795="Lait")*(CB4:CB795="EXCL")*(COUNTIF(AI25,"*"&amp;CC4:CC795&amp;"*")&gt;0)*1))</f>
        <v>0</v>
      </c>
      <c r="AX25" s="6625" cm="1">
        <f t="array" ref="AX25">IF(W25="",0,SUMPRODUCT((CA4:CA795="Lait")*(CB4:CB795="ALERTE")*(COUNTIF(AI25,"*"&amp;CC4:CC795&amp;"*")&gt;0)*1))</f>
        <v>0</v>
      </c>
      <c r="AY25" s="6625" cm="1">
        <f t="array" ref="AY25">IF(W25="",0,SUMPRODUCT((CA4:CA795="Lait")*(CB4:CB795="SUSP")*(COUNTIF(AI25,"*"&amp;CC4:CC795&amp;"*")&gt;0)*1))</f>
        <v>0</v>
      </c>
      <c r="AZ25" s="6625" cm="1">
        <f t="array" ref="AZ25">IF(W25="",0,SUMPRODUCT((CA4:CA795="Fruits a coque")*(CB4:CB795="EXCL")*(COUNTIF(AI25,"*"&amp;CC4:CC795&amp;"*")&gt;0)*1))</f>
        <v>0</v>
      </c>
      <c r="BA25" s="6625" cm="1">
        <f t="array" ref="BA25">IF(W25="",0,SUMPRODUCT((CA4:CA795="Fruits a coque")*(CB4:CB795="ALERTE")*(COUNTIF(AI25,"*"&amp;CC4:CC795&amp;"*")&gt;0)*1))</f>
        <v>0</v>
      </c>
      <c r="BB25" s="6625" cm="1">
        <f t="array" ref="BB25">IF(W25="",0,SUMPRODUCT((CA4:CA795="Celeri")*(CB4:CB795="ALERTE")*(COUNTIF(AI25,"*"&amp;CC4:CC795&amp;"*")&gt;0)*1))</f>
        <v>0</v>
      </c>
      <c r="BC25" s="6625" cm="1">
        <f t="array" ref="BC25">IF(W25="",0,SUMPRODUCT((CA4:CA795="Moutarde")*(CB4:CB795="ALERTE")*(COUNTIF(AI25,"*"&amp;CC4:CC795&amp;"*")&gt;0)*1))</f>
        <v>0</v>
      </c>
      <c r="BD25" s="6625" cm="1">
        <f t="array" ref="BD25">IF(W25="",0,SUMPRODUCT((CA4:CA795="Sesame")*(CB4:CB795="ALERTE")*(COUNTIF(AI25,"*"&amp;CC4:CC795&amp;"*")&gt;0)*1))</f>
        <v>0</v>
      </c>
      <c r="BE25" s="6625" cm="1">
        <f t="array" ref="BE25">IF(W25="",0,SUMPRODUCT((CA4:CA795="Sulfites")*(CB4:CB795="ALERTE")*(COUNTIF(AI25,"*"&amp;CC4:CC795&amp;"*")&gt;0)*1))</f>
        <v>0</v>
      </c>
      <c r="BF25" s="6625" cm="1">
        <f t="array" ref="BF25">IF(W25="",0,SUMPRODUCT((CA4:CA795="Lupin")*(CB4:CB795="ALERTE")*(COUNTIF(AI25,"*"&amp;CC4:CC795&amp;"*")&gt;0)*1))</f>
        <v>0</v>
      </c>
      <c r="BG25" s="6625" cm="1">
        <f t="array" ref="BG25">IF(W25="",0,SUMPRODUCT((CA4:CA795="Mollusques")*(CB4:CB795="EXCL")*(COUNTIF(AI25,"*"&amp;CC4:CC795&amp;"*")&gt;0)*1))</f>
        <v>0</v>
      </c>
      <c r="BH25" s="6625" cm="1">
        <f t="array" ref="BH25">IF(W25="",0,SUMPRODUCT((CA4:CA795="Mollusques")*(CB4:CB795="ALERTE")*(COUNTIF(AI25,"*"&amp;CC4:CC795&amp;"*")&gt;0)*1))</f>
        <v>0</v>
      </c>
      <c r="BI25" s="6625" t="str">
        <f t="shared" si="25"/>
        <v/>
      </c>
      <c r="BJ25" s="6625" t="str">
        <f t="shared" si="26"/>
        <v/>
      </c>
      <c r="BK25" s="6625" t="str">
        <f t="shared" si="27"/>
        <v/>
      </c>
      <c r="BL25" s="6625" t="str">
        <f t="shared" si="28"/>
        <v/>
      </c>
      <c r="BM25" s="6625" t="str">
        <f t="shared" si="29"/>
        <v/>
      </c>
      <c r="BN25" s="6625" t="str">
        <f t="shared" si="30"/>
        <v/>
      </c>
      <c r="BO25" s="6625" t="str">
        <f t="shared" si="31"/>
        <v/>
      </c>
      <c r="BP25" s="6625" t="str">
        <f t="shared" si="32"/>
        <v/>
      </c>
      <c r="BQ25" s="6625" t="str">
        <f t="shared" si="33"/>
        <v/>
      </c>
      <c r="BR25" s="6625" t="str">
        <f t="shared" si="34"/>
        <v/>
      </c>
      <c r="BS25" s="6625" t="str">
        <f t="shared" si="35"/>
        <v/>
      </c>
      <c r="BT25" s="6625" t="str">
        <f t="shared" si="36"/>
        <v/>
      </c>
      <c r="BU25" s="6625" t="str">
        <f t="shared" si="37"/>
        <v/>
      </c>
      <c r="BV25" s="6625" t="str">
        <f t="shared" si="38"/>
        <v/>
      </c>
      <c r="BW25" s="6625" t="str">
        <f t="shared" si="39"/>
        <v/>
      </c>
      <c r="BX25" s="6625" t="str">
        <f t="shared" si="40"/>
        <v/>
      </c>
      <c r="CA25" s="3170" t="s">
        <v>16254</v>
      </c>
      <c r="CB25" s="7634" t="s">
        <v>16255</v>
      </c>
      <c r="CC25" s="3170" t="s">
        <v>16380</v>
      </c>
      <c r="CD25" s="3170" t="s">
        <v>16381</v>
      </c>
    </row>
    <row r="26" spans="2:82" ht="30" customHeight="1">
      <c r="B26" s="7661" t="str">
        <f t="shared" si="0"/>
        <v/>
      </c>
      <c r="C26" s="7661" t="str">
        <f t="shared" si="1"/>
        <v/>
      </c>
      <c r="D26" s="7661" t="str">
        <f t="shared" si="2"/>
        <v/>
      </c>
      <c r="E26" s="7661">
        <f>IF(H25&lt;&gt;"",E25,IF(E25="","",IFERROR(MATCH(TRUE(),INDEX(INDEX($K:$K,E25+1):$K$203&lt;&gt;"",0),0)+E25,"")))</f>
        <v>203</v>
      </c>
      <c r="F26" s="7661" t="str">
        <f t="shared" si="41"/>
        <v>cellule - Ensuite, dans la colonne B copiez le texte nettoyé - puis dans votre document faites Collage spécial &gt; 1.2.3 Valeurs pour ne coller que le texte, sans formules.</v>
      </c>
      <c r="G26" s="7661" t="str">
        <f t="shared" si="3"/>
        <v xml:space="preserve">cellule - Ensuite, dans la colonne B copiez le texte nettoyé - puis dans votre </v>
      </c>
      <c r="H26" s="7672" t="str">
        <f t="shared" si="4"/>
        <v>document faites Collage spécial &gt; 1.2.3 Valeurs pour ne coller que le texte, sans formules.</v>
      </c>
      <c r="I26" s="7683" t="str">
        <f t="shared" si="5"/>
        <v/>
      </c>
      <c r="J26" s="7673" t="str">
        <f>IF(K26="","",COUNTIF($K$18:K26,"&lt;&gt;"))</f>
        <v/>
      </c>
      <c r="K26" s="7674"/>
      <c r="L26" s="7673" t="str">
        <f t="shared" si="6"/>
        <v/>
      </c>
      <c r="M26" s="7630">
        <f t="shared" si="7"/>
        <v>79</v>
      </c>
      <c r="N26" s="7675">
        <f t="shared" si="8"/>
        <v>9</v>
      </c>
      <c r="O26" s="7676" t="str">
        <f t="shared" si="9"/>
        <v xml:space="preserve">cellule - Ensuite, dans la colonne B copiez le texte nettoyé - puis dans votre </v>
      </c>
      <c r="P26" s="7675">
        <f t="shared" si="10"/>
        <v>15</v>
      </c>
      <c r="Q26" s="7675">
        <f t="shared" si="11"/>
        <v>79</v>
      </c>
      <c r="S26" s="7679" t="str">
        <f t="shared" si="42"/>
        <v>cellule - Ensuite, dans la colonne B copiez le texte nettoyé - puis dans votre</v>
      </c>
      <c r="T26" s="7680" t="str">
        <f t="shared" si="12"/>
        <v/>
      </c>
      <c r="V26" s="7677">
        <f t="shared" si="13"/>
        <v>26</v>
      </c>
      <c r="W26" s="7678" t="str">
        <f t="shared" si="43"/>
        <v xml:space="preserve">cellule - Ensuite, dans la colonne B copiez le texte nettoyé - puis dans votre </v>
      </c>
      <c r="X26" s="7677" t="s">
        <v>2</v>
      </c>
      <c r="Y26" s="7702" t="str">
        <f t="shared" si="14"/>
        <v>cellule - Ensuite, dans la colonne B copiez le texte nettoyé - puis dans votre</v>
      </c>
      <c r="Z26" s="7703" t="str">
        <f t="shared" si="15"/>
        <v/>
      </c>
      <c r="AA26" s="7681" t="str">
        <f t="shared" si="16"/>
        <v>cellule - Ensuite, dans la colonne B copiez le texte nettoyé - puis dans votre</v>
      </c>
      <c r="AB26" s="7682" t="str">
        <f t="shared" si="17"/>
        <v/>
      </c>
      <c r="AC26" s="7677">
        <f t="shared" si="18"/>
        <v>0</v>
      </c>
      <c r="AD26" s="7677">
        <f t="shared" si="19"/>
        <v>0</v>
      </c>
      <c r="AE26" s="7682" t="str">
        <f t="shared" si="20"/>
        <v>aucun match</v>
      </c>
      <c r="AF26" s="6625" t="str">
        <f t="shared" si="21"/>
        <v xml:space="preserve">cellule - ensuite, dans la colonne b copiez le texte nettoyé - puis dans votre </v>
      </c>
      <c r="AG26" s="6625" t="str">
        <f t="shared" si="22"/>
        <v xml:space="preserve">cellule - ensuite, dans la colonne b copiez le texte nettoye - puis dans votre </v>
      </c>
      <c r="AH26" s="6625" t="str">
        <f t="shared" si="23"/>
        <v xml:space="preserve">cellule   ensuite  dans la colonne b copiez le texte nettoye   puis dans votre </v>
      </c>
      <c r="AI26" s="6625" t="str">
        <f t="shared" si="24"/>
        <v xml:space="preserve"> cellule ensuite dans la colonne b copiez le texte nettoye puis dans votre </v>
      </c>
      <c r="AJ26" s="6625" cm="1">
        <f t="array" ref="AJ26">IF(W26="",0,SUMPRODUCT((CA4:CA795="Gluten")*(CB4:CB795="INFO")*(COUNTIF(AI26,"*"&amp;CC4:CC795&amp;"*")&gt;0)*1))</f>
        <v>0</v>
      </c>
      <c r="AK26" s="6625" cm="1">
        <f t="array" ref="AK26">IF(W26="",0,SUMPRODUCT((CA4:CA795="Gluten")*(CB4:CB795="EXCL")*(COUNTIF(AI26,"*"&amp;CC4:CC795&amp;"*")&gt;0)*1))</f>
        <v>0</v>
      </c>
      <c r="AL26" s="6625" cm="1">
        <f t="array" ref="AL26">IF(W26="",0,SUMPRODUCT((CA4:CA795="Gluten")*(CB4:CB795="ALERTE")*(COUNTIF(AI26,"*"&amp;CC4:CC795&amp;"*")&gt;0)*1))</f>
        <v>0</v>
      </c>
      <c r="AM26" s="6625" cm="1">
        <f t="array" ref="AM26">IF(W26="",0,SUMPRODUCT((CA4:CA795="Gluten")*(CB4:CB795="SUSP")*(COUNTIF(AI26,"*"&amp;CC4:CC795&amp;"*")&gt;0)*1))</f>
        <v>0</v>
      </c>
      <c r="AN26" s="6625" cm="1">
        <f t="array" ref="AN26">IF(W26="",0,SUMPRODUCT((CA4:CA795="Crustaces")*(CB4:CB795="ALERTE")*(COUNTIF(AI26,"*"&amp;CC4:CC795&amp;"*")&gt;0)*1))</f>
        <v>0</v>
      </c>
      <c r="AO26" s="6625" cm="1">
        <f t="array" ref="AO26">IF(W26="",0,SUMPRODUCT((CA4:CA795="Oeufs")*(CB4:CB795="ALERTE")*(COUNTIF(AI26,"*"&amp;CC4:CC795&amp;"*")&gt;0)*1))</f>
        <v>0</v>
      </c>
      <c r="AP26" s="6625" cm="1">
        <f t="array" ref="AP26">IF(W26="",0,SUMPRODUCT((CA4:CA795="Poissons")*(CB4:CB795="INFO")*(COUNTIF(AI26,"*"&amp;CC4:CC795&amp;"*")&gt;0)*1))</f>
        <v>0</v>
      </c>
      <c r="AQ26" s="6625" cm="1">
        <f t="array" ref="AQ26">IF(W26="",0,SUMPRODUCT((CA4:CA795="Poissons")*(CB4:CB795="EXCL")*(COUNTIF(AI26,"*"&amp;CC4:CC795&amp;"*")&gt;0)*1))</f>
        <v>0</v>
      </c>
      <c r="AR26" s="6625" cm="1">
        <f t="array" ref="AR26">IF(W26="",0,SUMPRODUCT((CA4:CA795="Poissons")*(CB4:CB795="ALERTE")*(COUNTIF(AI26,"*"&amp;CC4:CC795&amp;"*")&gt;0)*1))</f>
        <v>0</v>
      </c>
      <c r="AS26" s="6625" cm="1">
        <f t="array" ref="AS26">IF(W26="",0,SUMPRODUCT((CA4:CA795="Arachides")*(CB4:CB795="ALERTE")*(COUNTIF(AI26,"*"&amp;CC4:CC795&amp;"*")&gt;0)*1))</f>
        <v>0</v>
      </c>
      <c r="AT26" s="6625" cm="1">
        <f t="array" ref="AT26">IF(W26="",0,SUMPRODUCT((CA4:CA795="Soja")*(CB4:CB795="INFO")*(COUNTIF(AI26,"*"&amp;CC4:CC795&amp;"*")&gt;0)*1))</f>
        <v>0</v>
      </c>
      <c r="AU26" s="6625" cm="1">
        <f t="array" ref="AU26">IF(W26="",0,SUMPRODUCT((CA4:CA795="Soja")*(CB4:CB795="ALERTE")*(COUNTIF(AI26,"*"&amp;CC4:CC795&amp;"*")&gt;0)*1))</f>
        <v>0</v>
      </c>
      <c r="AV26" s="6625" cm="1">
        <f t="array" ref="AV26">IF(W26="",0,SUMPRODUCT((CA4:CA795="Lait")*(CB4:CB795="INFO")*(COUNTIF(AI26,"*"&amp;CC4:CC795&amp;"*")&gt;0)*1))</f>
        <v>0</v>
      </c>
      <c r="AW26" s="6625" cm="1">
        <f t="array" ref="AW26">IF(W26="",0,SUMPRODUCT((CA4:CA795="Lait")*(CB4:CB795="EXCL")*(COUNTIF(AI26,"*"&amp;CC4:CC795&amp;"*")&gt;0)*1))</f>
        <v>0</v>
      </c>
      <c r="AX26" s="6625" cm="1">
        <f t="array" ref="AX26">IF(W26="",0,SUMPRODUCT((CA4:CA795="Lait")*(CB4:CB795="ALERTE")*(COUNTIF(AI26,"*"&amp;CC4:CC795&amp;"*")&gt;0)*1))</f>
        <v>0</v>
      </c>
      <c r="AY26" s="6625" cm="1">
        <f t="array" ref="AY26">IF(W26="",0,SUMPRODUCT((CA4:CA795="Lait")*(CB4:CB795="SUSP")*(COUNTIF(AI26,"*"&amp;CC4:CC795&amp;"*")&gt;0)*1))</f>
        <v>0</v>
      </c>
      <c r="AZ26" s="6625" cm="1">
        <f t="array" ref="AZ26">IF(W26="",0,SUMPRODUCT((CA4:CA795="Fruits a coque")*(CB4:CB795="EXCL")*(COUNTIF(AI26,"*"&amp;CC4:CC795&amp;"*")&gt;0)*1))</f>
        <v>0</v>
      </c>
      <c r="BA26" s="6625" cm="1">
        <f t="array" ref="BA26">IF(W26="",0,SUMPRODUCT((CA4:CA795="Fruits a coque")*(CB4:CB795="ALERTE")*(COUNTIF(AI26,"*"&amp;CC4:CC795&amp;"*")&gt;0)*1))</f>
        <v>0</v>
      </c>
      <c r="BB26" s="6625" cm="1">
        <f t="array" ref="BB26">IF(W26="",0,SUMPRODUCT((CA4:CA795="Celeri")*(CB4:CB795="ALERTE")*(COUNTIF(AI26,"*"&amp;CC4:CC795&amp;"*")&gt;0)*1))</f>
        <v>0</v>
      </c>
      <c r="BC26" s="6625" cm="1">
        <f t="array" ref="BC26">IF(W26="",0,SUMPRODUCT((CA4:CA795="Moutarde")*(CB4:CB795="ALERTE")*(COUNTIF(AI26,"*"&amp;CC4:CC795&amp;"*")&gt;0)*1))</f>
        <v>0</v>
      </c>
      <c r="BD26" s="6625" cm="1">
        <f t="array" ref="BD26">IF(W26="",0,SUMPRODUCT((CA4:CA795="Sesame")*(CB4:CB795="ALERTE")*(COUNTIF(AI26,"*"&amp;CC4:CC795&amp;"*")&gt;0)*1))</f>
        <v>0</v>
      </c>
      <c r="BE26" s="6625" cm="1">
        <f t="array" ref="BE26">IF(W26="",0,SUMPRODUCT((CA4:CA795="Sulfites")*(CB4:CB795="ALERTE")*(COUNTIF(AI26,"*"&amp;CC4:CC795&amp;"*")&gt;0)*1))</f>
        <v>0</v>
      </c>
      <c r="BF26" s="6625" cm="1">
        <f t="array" ref="BF26">IF(W26="",0,SUMPRODUCT((CA4:CA795="Lupin")*(CB4:CB795="ALERTE")*(COUNTIF(AI26,"*"&amp;CC4:CC795&amp;"*")&gt;0)*1))</f>
        <v>0</v>
      </c>
      <c r="BG26" s="6625" cm="1">
        <f t="array" ref="BG26">IF(W26="",0,SUMPRODUCT((CA4:CA795="Mollusques")*(CB4:CB795="EXCL")*(COUNTIF(AI26,"*"&amp;CC4:CC795&amp;"*")&gt;0)*1))</f>
        <v>0</v>
      </c>
      <c r="BH26" s="6625" cm="1">
        <f t="array" ref="BH26">IF(W26="",0,SUMPRODUCT((CA4:CA795="Mollusques")*(CB4:CB795="ALERTE")*(COUNTIF(AI26,"*"&amp;CC4:CC795&amp;"*")&gt;0)*1))</f>
        <v>0</v>
      </c>
      <c r="BI26" s="6625" t="str">
        <f t="shared" si="25"/>
        <v/>
      </c>
      <c r="BJ26" s="6625" t="str">
        <f t="shared" si="26"/>
        <v/>
      </c>
      <c r="BK26" s="6625" t="str">
        <f t="shared" si="27"/>
        <v/>
      </c>
      <c r="BL26" s="6625" t="str">
        <f t="shared" si="28"/>
        <v/>
      </c>
      <c r="BM26" s="6625" t="str">
        <f t="shared" si="29"/>
        <v/>
      </c>
      <c r="BN26" s="6625" t="str">
        <f t="shared" si="30"/>
        <v/>
      </c>
      <c r="BO26" s="6625" t="str">
        <f t="shared" si="31"/>
        <v/>
      </c>
      <c r="BP26" s="6625" t="str">
        <f t="shared" si="32"/>
        <v/>
      </c>
      <c r="BQ26" s="6625" t="str">
        <f t="shared" si="33"/>
        <v/>
      </c>
      <c r="BR26" s="6625" t="str">
        <f t="shared" si="34"/>
        <v/>
      </c>
      <c r="BS26" s="6625" t="str">
        <f t="shared" si="35"/>
        <v/>
      </c>
      <c r="BT26" s="6625" t="str">
        <f t="shared" si="36"/>
        <v/>
      </c>
      <c r="BU26" s="6625" t="str">
        <f t="shared" si="37"/>
        <v/>
      </c>
      <c r="BV26" s="6625" t="str">
        <f t="shared" si="38"/>
        <v/>
      </c>
      <c r="BW26" s="6625" t="str">
        <f t="shared" si="39"/>
        <v/>
      </c>
      <c r="BX26" s="6625" t="str">
        <f t="shared" si="40"/>
        <v/>
      </c>
      <c r="CA26" s="3170" t="s">
        <v>16254</v>
      </c>
      <c r="CB26" s="7634" t="s">
        <v>16255</v>
      </c>
      <c r="CC26" s="3170" t="s">
        <v>16382</v>
      </c>
      <c r="CD26" s="3170" t="s">
        <v>16383</v>
      </c>
    </row>
    <row r="27" spans="2:82" ht="30" customHeight="1">
      <c r="B27" s="7661" t="str">
        <f t="shared" si="0"/>
        <v/>
      </c>
      <c r="C27" s="7661" t="str">
        <f t="shared" si="1"/>
        <v/>
      </c>
      <c r="D27" s="7661" t="str">
        <f t="shared" si="2"/>
        <v/>
      </c>
      <c r="E27" s="7661">
        <f>IF(H26&lt;&gt;"",E26,IF(E26="","",IFERROR(MATCH(TRUE(),INDEX(INDEX($K:$K,E26+1):$K$203&lt;&gt;"",0),0)+E26,"")))</f>
        <v>203</v>
      </c>
      <c r="F27" s="7661" t="str">
        <f t="shared" si="41"/>
        <v>document faites Collage spécial &gt; 1.2.3 Valeurs pour ne coller que le texte, sans formules.</v>
      </c>
      <c r="G27" s="7661" t="str">
        <f t="shared" si="3"/>
        <v xml:space="preserve">document faites Collage spécial &gt; 1.2.3 Valeurs pour ne coller que le texte, </v>
      </c>
      <c r="H27" s="7672" t="str">
        <f t="shared" si="4"/>
        <v>sans formules.</v>
      </c>
      <c r="I27" s="7683" t="str">
        <f t="shared" si="5"/>
        <v/>
      </c>
      <c r="J27" s="7673" t="str">
        <f>IF(K27="","",COUNTIF($K$18:K27,"&lt;&gt;"))</f>
        <v/>
      </c>
      <c r="K27" s="7674"/>
      <c r="L27" s="7673" t="str">
        <f t="shared" si="6"/>
        <v/>
      </c>
      <c r="M27" s="7630">
        <f t="shared" si="7"/>
        <v>77</v>
      </c>
      <c r="N27" s="7675">
        <f t="shared" si="8"/>
        <v>10</v>
      </c>
      <c r="O27" s="7676" t="str">
        <f t="shared" si="9"/>
        <v xml:space="preserve">document faites Collage spécial &gt; 1.2.3 Valeurs pour ne coller que le texte, </v>
      </c>
      <c r="P27" s="7675">
        <f t="shared" si="10"/>
        <v>13</v>
      </c>
      <c r="Q27" s="7675">
        <f t="shared" si="11"/>
        <v>77</v>
      </c>
      <c r="S27" s="7679" t="str">
        <f t="shared" si="42"/>
        <v>document faites Collage spécial &gt; 1.2.3 Valeurs pour ne coller que le texte,</v>
      </c>
      <c r="T27" s="7680" t="str">
        <f t="shared" si="12"/>
        <v/>
      </c>
      <c r="V27" s="7677">
        <f t="shared" si="13"/>
        <v>27</v>
      </c>
      <c r="W27" s="7678" t="str">
        <f t="shared" si="43"/>
        <v xml:space="preserve">document faites Collage spécial &gt; 1.2.3 Valeurs pour ne coller que le texte, </v>
      </c>
      <c r="X27" s="7677" t="s">
        <v>2</v>
      </c>
      <c r="Y27" s="7702" t="str">
        <f t="shared" si="14"/>
        <v>document faites Collage spécial &gt; 1.2.3 Valeurs pour ne coller que le texte,</v>
      </c>
      <c r="Z27" s="7703" t="str">
        <f t="shared" si="15"/>
        <v/>
      </c>
      <c r="AA27" s="7681" t="str">
        <f t="shared" si="16"/>
        <v>document faites Collage spécial &gt; 1.2.3 Valeurs pour ne coller que le texte,</v>
      </c>
      <c r="AB27" s="7682" t="str">
        <f t="shared" si="17"/>
        <v/>
      </c>
      <c r="AC27" s="7677">
        <f t="shared" si="18"/>
        <v>0</v>
      </c>
      <c r="AD27" s="7677">
        <f t="shared" si="19"/>
        <v>0</v>
      </c>
      <c r="AE27" s="7682" t="str">
        <f t="shared" si="20"/>
        <v>aucun match</v>
      </c>
      <c r="AF27" s="6625" t="str">
        <f t="shared" si="21"/>
        <v xml:space="preserve">document faites collage spécial &gt; 1.2.3 valeurs pour ne coller que le texte, </v>
      </c>
      <c r="AG27" s="6625" t="str">
        <f t="shared" si="22"/>
        <v xml:space="preserve">document faites collage special &gt; 1.2.3 valeurs pour ne coller que le texte, </v>
      </c>
      <c r="AH27" s="6625" t="str">
        <f t="shared" si="23"/>
        <v xml:space="preserve">document faites collage special &gt; 1 2 3 valeurs pour ne coller que le texte  </v>
      </c>
      <c r="AI27" s="6625" t="str">
        <f t="shared" si="24"/>
        <v xml:space="preserve"> document faites collage special &gt; 1 2 3 valeurs pour ne coller que le texte </v>
      </c>
      <c r="AJ27" s="6625" cm="1">
        <f t="array" ref="AJ27">IF(W27="",0,SUMPRODUCT((CA4:CA795="Gluten")*(CB4:CB795="INFO")*(COUNTIF(AI27,"*"&amp;CC4:CC795&amp;"*")&gt;0)*1))</f>
        <v>0</v>
      </c>
      <c r="AK27" s="6625" cm="1">
        <f t="array" ref="AK27">IF(W27="",0,SUMPRODUCT((CA4:CA795="Gluten")*(CB4:CB795="EXCL")*(COUNTIF(AI27,"*"&amp;CC4:CC795&amp;"*")&gt;0)*1))</f>
        <v>0</v>
      </c>
      <c r="AL27" s="6625" cm="1">
        <f t="array" ref="AL27">IF(W27="",0,SUMPRODUCT((CA4:CA795="Gluten")*(CB4:CB795="ALERTE")*(COUNTIF(AI27,"*"&amp;CC4:CC795&amp;"*")&gt;0)*1))</f>
        <v>0</v>
      </c>
      <c r="AM27" s="6625" cm="1">
        <f t="array" ref="AM27">IF(W27="",0,SUMPRODUCT((CA4:CA795="Gluten")*(CB4:CB795="SUSP")*(COUNTIF(AI27,"*"&amp;CC4:CC795&amp;"*")&gt;0)*1))</f>
        <v>0</v>
      </c>
      <c r="AN27" s="6625" cm="1">
        <f t="array" ref="AN27">IF(W27="",0,SUMPRODUCT((CA4:CA795="Crustaces")*(CB4:CB795="ALERTE")*(COUNTIF(AI27,"*"&amp;CC4:CC795&amp;"*")&gt;0)*1))</f>
        <v>0</v>
      </c>
      <c r="AO27" s="6625" cm="1">
        <f t="array" ref="AO27">IF(W27="",0,SUMPRODUCT((CA4:CA795="Oeufs")*(CB4:CB795="ALERTE")*(COUNTIF(AI27,"*"&amp;CC4:CC795&amp;"*")&gt;0)*1))</f>
        <v>0</v>
      </c>
      <c r="AP27" s="6625" cm="1">
        <f t="array" ref="AP27">IF(W27="",0,SUMPRODUCT((CA4:CA795="Poissons")*(CB4:CB795="INFO")*(COUNTIF(AI27,"*"&amp;CC4:CC795&amp;"*")&gt;0)*1))</f>
        <v>0</v>
      </c>
      <c r="AQ27" s="6625" cm="1">
        <f t="array" ref="AQ27">IF(W27="",0,SUMPRODUCT((CA4:CA795="Poissons")*(CB4:CB795="EXCL")*(COUNTIF(AI27,"*"&amp;CC4:CC795&amp;"*")&gt;0)*1))</f>
        <v>0</v>
      </c>
      <c r="AR27" s="6625" cm="1">
        <f t="array" ref="AR27">IF(W27="",0,SUMPRODUCT((CA4:CA795="Poissons")*(CB4:CB795="ALERTE")*(COUNTIF(AI27,"*"&amp;CC4:CC795&amp;"*")&gt;0)*1))</f>
        <v>0</v>
      </c>
      <c r="AS27" s="6625" cm="1">
        <f t="array" ref="AS27">IF(W27="",0,SUMPRODUCT((CA4:CA795="Arachides")*(CB4:CB795="ALERTE")*(COUNTIF(AI27,"*"&amp;CC4:CC795&amp;"*")&gt;0)*1))</f>
        <v>0</v>
      </c>
      <c r="AT27" s="6625" cm="1">
        <f t="array" ref="AT27">IF(W27="",0,SUMPRODUCT((CA4:CA795="Soja")*(CB4:CB795="INFO")*(COUNTIF(AI27,"*"&amp;CC4:CC795&amp;"*")&gt;0)*1))</f>
        <v>0</v>
      </c>
      <c r="AU27" s="6625" cm="1">
        <f t="array" ref="AU27">IF(W27="",0,SUMPRODUCT((CA4:CA795="Soja")*(CB4:CB795="ALERTE")*(COUNTIF(AI27,"*"&amp;CC4:CC795&amp;"*")&gt;0)*1))</f>
        <v>0</v>
      </c>
      <c r="AV27" s="6625" cm="1">
        <f t="array" ref="AV27">IF(W27="",0,SUMPRODUCT((CA4:CA795="Lait")*(CB4:CB795="INFO")*(COUNTIF(AI27,"*"&amp;CC4:CC795&amp;"*")&gt;0)*1))</f>
        <v>0</v>
      </c>
      <c r="AW27" s="6625" cm="1">
        <f t="array" ref="AW27">IF(W27="",0,SUMPRODUCT((CA4:CA795="Lait")*(CB4:CB795="EXCL")*(COUNTIF(AI27,"*"&amp;CC4:CC795&amp;"*")&gt;0)*1))</f>
        <v>0</v>
      </c>
      <c r="AX27" s="6625" cm="1">
        <f t="array" ref="AX27">IF(W27="",0,SUMPRODUCT((CA4:CA795="Lait")*(CB4:CB795="ALERTE")*(COUNTIF(AI27,"*"&amp;CC4:CC795&amp;"*")&gt;0)*1))</f>
        <v>0</v>
      </c>
      <c r="AY27" s="6625" cm="1">
        <f t="array" ref="AY27">IF(W27="",0,SUMPRODUCT((CA4:CA795="Lait")*(CB4:CB795="SUSP")*(COUNTIF(AI27,"*"&amp;CC4:CC795&amp;"*")&gt;0)*1))</f>
        <v>0</v>
      </c>
      <c r="AZ27" s="6625" cm="1">
        <f t="array" ref="AZ27">IF(W27="",0,SUMPRODUCT((CA4:CA795="Fruits a coque")*(CB4:CB795="EXCL")*(COUNTIF(AI27,"*"&amp;CC4:CC795&amp;"*")&gt;0)*1))</f>
        <v>0</v>
      </c>
      <c r="BA27" s="6625" cm="1">
        <f t="array" ref="BA27">IF(W27="",0,SUMPRODUCT((CA4:CA795="Fruits a coque")*(CB4:CB795="ALERTE")*(COUNTIF(AI27,"*"&amp;CC4:CC795&amp;"*")&gt;0)*1))</f>
        <v>0</v>
      </c>
      <c r="BB27" s="6625" cm="1">
        <f t="array" ref="BB27">IF(W27="",0,SUMPRODUCT((CA4:CA795="Celeri")*(CB4:CB795="ALERTE")*(COUNTIF(AI27,"*"&amp;CC4:CC795&amp;"*")&gt;0)*1))</f>
        <v>0</v>
      </c>
      <c r="BC27" s="6625" cm="1">
        <f t="array" ref="BC27">IF(W27="",0,SUMPRODUCT((CA4:CA795="Moutarde")*(CB4:CB795="ALERTE")*(COUNTIF(AI27,"*"&amp;CC4:CC795&amp;"*")&gt;0)*1))</f>
        <v>0</v>
      </c>
      <c r="BD27" s="6625" cm="1">
        <f t="array" ref="BD27">IF(W27="",0,SUMPRODUCT((CA4:CA795="Sesame")*(CB4:CB795="ALERTE")*(COUNTIF(AI27,"*"&amp;CC4:CC795&amp;"*")&gt;0)*1))</f>
        <v>0</v>
      </c>
      <c r="BE27" s="6625" cm="1">
        <f t="array" ref="BE27">IF(W27="",0,SUMPRODUCT((CA4:CA795="Sulfites")*(CB4:CB795="ALERTE")*(COUNTIF(AI27,"*"&amp;CC4:CC795&amp;"*")&gt;0)*1))</f>
        <v>0</v>
      </c>
      <c r="BF27" s="6625" cm="1">
        <f t="array" ref="BF27">IF(W27="",0,SUMPRODUCT((CA4:CA795="Lupin")*(CB4:CB795="ALERTE")*(COUNTIF(AI27,"*"&amp;CC4:CC795&amp;"*")&gt;0)*1))</f>
        <v>0</v>
      </c>
      <c r="BG27" s="6625" cm="1">
        <f t="array" ref="BG27">IF(W27="",0,SUMPRODUCT((CA4:CA795="Mollusques")*(CB4:CB795="EXCL")*(COUNTIF(AI27,"*"&amp;CC4:CC795&amp;"*")&gt;0)*1))</f>
        <v>0</v>
      </c>
      <c r="BH27" s="6625" cm="1">
        <f t="array" ref="BH27">IF(W27="",0,SUMPRODUCT((CA4:CA795="Mollusques")*(CB4:CB795="ALERTE")*(COUNTIF(AI27,"*"&amp;CC4:CC795&amp;"*")&gt;0)*1))</f>
        <v>0</v>
      </c>
      <c r="BI27" s="6625" t="str">
        <f t="shared" si="25"/>
        <v/>
      </c>
      <c r="BJ27" s="6625" t="str">
        <f t="shared" si="26"/>
        <v/>
      </c>
      <c r="BK27" s="6625" t="str">
        <f t="shared" si="27"/>
        <v/>
      </c>
      <c r="BL27" s="6625" t="str">
        <f t="shared" si="28"/>
        <v/>
      </c>
      <c r="BM27" s="6625" t="str">
        <f t="shared" si="29"/>
        <v/>
      </c>
      <c r="BN27" s="6625" t="str">
        <f t="shared" si="30"/>
        <v/>
      </c>
      <c r="BO27" s="6625" t="str">
        <f t="shared" si="31"/>
        <v/>
      </c>
      <c r="BP27" s="6625" t="str">
        <f t="shared" si="32"/>
        <v/>
      </c>
      <c r="BQ27" s="6625" t="str">
        <f t="shared" si="33"/>
        <v/>
      </c>
      <c r="BR27" s="6625" t="str">
        <f t="shared" si="34"/>
        <v/>
      </c>
      <c r="BS27" s="6625" t="str">
        <f t="shared" si="35"/>
        <v/>
      </c>
      <c r="BT27" s="6625" t="str">
        <f t="shared" si="36"/>
        <v/>
      </c>
      <c r="BU27" s="6625" t="str">
        <f t="shared" si="37"/>
        <v/>
      </c>
      <c r="BV27" s="6625" t="str">
        <f t="shared" si="38"/>
        <v/>
      </c>
      <c r="BW27" s="6625" t="str">
        <f t="shared" si="39"/>
        <v/>
      </c>
      <c r="BX27" s="6625" t="str">
        <f t="shared" si="40"/>
        <v/>
      </c>
      <c r="CA27" s="3170" t="s">
        <v>16254</v>
      </c>
      <c r="CB27" s="7634" t="s">
        <v>16255</v>
      </c>
      <c r="CC27" s="3170" t="s">
        <v>16384</v>
      </c>
      <c r="CD27" s="3170" t="s">
        <v>16385</v>
      </c>
    </row>
    <row r="28" spans="2:82" ht="30" customHeight="1">
      <c r="B28" s="7661" t="str">
        <f t="shared" si="0"/>
        <v/>
      </c>
      <c r="C28" s="7661" t="str">
        <f t="shared" si="1"/>
        <v/>
      </c>
      <c r="D28" s="7661" t="str">
        <f t="shared" si="2"/>
        <v/>
      </c>
      <c r="E28" s="7661">
        <f>IF(H27&lt;&gt;"",E27,IF(E27="","",IFERROR(MATCH(TRUE(),INDEX(INDEX($K:$K,E27+1):$K$203&lt;&gt;"",0),0)+E27,"")))</f>
        <v>203</v>
      </c>
      <c r="F28" s="7661" t="str">
        <f t="shared" si="41"/>
        <v>sans formules.</v>
      </c>
      <c r="G28" s="7661" t="str">
        <f t="shared" si="3"/>
        <v>sans formules.</v>
      </c>
      <c r="H28" s="7672" t="str">
        <f t="shared" si="4"/>
        <v/>
      </c>
      <c r="I28" s="7683" t="str">
        <f t="shared" si="5"/>
        <v/>
      </c>
      <c r="J28" s="7673" t="str">
        <f>IF(K28="","",COUNTIF($K$18:K28,"&lt;&gt;"))</f>
        <v/>
      </c>
      <c r="K28" s="7674"/>
      <c r="L28" s="7673" t="str">
        <f t="shared" si="6"/>
        <v/>
      </c>
      <c r="M28" s="7630">
        <f t="shared" si="7"/>
        <v>14</v>
      </c>
      <c r="N28" s="7675">
        <f t="shared" si="8"/>
        <v>11</v>
      </c>
      <c r="O28" s="7676" t="str">
        <f t="shared" si="9"/>
        <v>sans formules.</v>
      </c>
      <c r="P28" s="7675">
        <f t="shared" si="10"/>
        <v>2</v>
      </c>
      <c r="Q28" s="7675">
        <f t="shared" si="11"/>
        <v>14</v>
      </c>
      <c r="S28" s="7679" t="str">
        <f t="shared" si="42"/>
        <v>sans formules.</v>
      </c>
      <c r="T28" s="7680" t="str">
        <f t="shared" si="12"/>
        <v/>
      </c>
      <c r="V28" s="7677">
        <f t="shared" si="13"/>
        <v>28</v>
      </c>
      <c r="W28" s="7678" t="str">
        <f t="shared" si="43"/>
        <v>sans formules.</v>
      </c>
      <c r="X28" s="7677" t="s">
        <v>2</v>
      </c>
      <c r="Y28" s="7702" t="str">
        <f t="shared" si="14"/>
        <v>sans formules.</v>
      </c>
      <c r="Z28" s="7703" t="str">
        <f t="shared" si="15"/>
        <v/>
      </c>
      <c r="AA28" s="7681" t="str">
        <f t="shared" si="16"/>
        <v>sans formules.</v>
      </c>
      <c r="AB28" s="7682" t="str">
        <f t="shared" si="17"/>
        <v/>
      </c>
      <c r="AC28" s="7677">
        <f t="shared" si="18"/>
        <v>0</v>
      </c>
      <c r="AD28" s="7677">
        <f t="shared" si="19"/>
        <v>0</v>
      </c>
      <c r="AE28" s="7682" t="str">
        <f t="shared" si="20"/>
        <v>aucun match</v>
      </c>
      <c r="AF28" s="6625" t="str">
        <f t="shared" si="21"/>
        <v>sans formules.</v>
      </c>
      <c r="AG28" s="6625" t="str">
        <f t="shared" si="22"/>
        <v>sans formules.</v>
      </c>
      <c r="AH28" s="6625" t="str">
        <f t="shared" si="23"/>
        <v xml:space="preserve">sans formules </v>
      </c>
      <c r="AI28" s="6625" t="str">
        <f t="shared" si="24"/>
        <v xml:space="preserve"> sans formules </v>
      </c>
      <c r="AJ28" s="6625" cm="1">
        <f t="array" ref="AJ28">IF(W28="",0,SUMPRODUCT((CA4:CA795="Gluten")*(CB4:CB795="INFO")*(COUNTIF(AI28,"*"&amp;CC4:CC795&amp;"*")&gt;0)*1))</f>
        <v>0</v>
      </c>
      <c r="AK28" s="6625" cm="1">
        <f t="array" ref="AK28">IF(W28="",0,SUMPRODUCT((CA4:CA795="Gluten")*(CB4:CB795="EXCL")*(COUNTIF(AI28,"*"&amp;CC4:CC795&amp;"*")&gt;0)*1))</f>
        <v>0</v>
      </c>
      <c r="AL28" s="6625" cm="1">
        <f t="array" ref="AL28">IF(W28="",0,SUMPRODUCT((CA4:CA795="Gluten")*(CB4:CB795="ALERTE")*(COUNTIF(AI28,"*"&amp;CC4:CC795&amp;"*")&gt;0)*1))</f>
        <v>0</v>
      </c>
      <c r="AM28" s="6625" cm="1">
        <f t="array" ref="AM28">IF(W28="",0,SUMPRODUCT((CA4:CA795="Gluten")*(CB4:CB795="SUSP")*(COUNTIF(AI28,"*"&amp;CC4:CC795&amp;"*")&gt;0)*1))</f>
        <v>0</v>
      </c>
      <c r="AN28" s="6625" cm="1">
        <f t="array" ref="AN28">IF(W28="",0,SUMPRODUCT((CA4:CA795="Crustaces")*(CB4:CB795="ALERTE")*(COUNTIF(AI28,"*"&amp;CC4:CC795&amp;"*")&gt;0)*1))</f>
        <v>0</v>
      </c>
      <c r="AO28" s="6625" cm="1">
        <f t="array" ref="AO28">IF(W28="",0,SUMPRODUCT((CA4:CA795="Oeufs")*(CB4:CB795="ALERTE")*(COUNTIF(AI28,"*"&amp;CC4:CC795&amp;"*")&gt;0)*1))</f>
        <v>0</v>
      </c>
      <c r="AP28" s="6625" cm="1">
        <f t="array" ref="AP28">IF(W28="",0,SUMPRODUCT((CA4:CA795="Poissons")*(CB4:CB795="INFO")*(COUNTIF(AI28,"*"&amp;CC4:CC795&amp;"*")&gt;0)*1))</f>
        <v>0</v>
      </c>
      <c r="AQ28" s="6625" cm="1">
        <f t="array" ref="AQ28">IF(W28="",0,SUMPRODUCT((CA4:CA795="Poissons")*(CB4:CB795="EXCL")*(COUNTIF(AI28,"*"&amp;CC4:CC795&amp;"*")&gt;0)*1))</f>
        <v>0</v>
      </c>
      <c r="AR28" s="6625" cm="1">
        <f t="array" ref="AR28">IF(W28="",0,SUMPRODUCT((CA4:CA795="Poissons")*(CB4:CB795="ALERTE")*(COUNTIF(AI28,"*"&amp;CC4:CC795&amp;"*")&gt;0)*1))</f>
        <v>0</v>
      </c>
      <c r="AS28" s="6625" cm="1">
        <f t="array" ref="AS28">IF(W28="",0,SUMPRODUCT((CA4:CA795="Arachides")*(CB4:CB795="ALERTE")*(COUNTIF(AI28,"*"&amp;CC4:CC795&amp;"*")&gt;0)*1))</f>
        <v>0</v>
      </c>
      <c r="AT28" s="6625" cm="1">
        <f t="array" ref="AT28">IF(W28="",0,SUMPRODUCT((CA4:CA795="Soja")*(CB4:CB795="INFO")*(COUNTIF(AI28,"*"&amp;CC4:CC795&amp;"*")&gt;0)*1))</f>
        <v>0</v>
      </c>
      <c r="AU28" s="6625" cm="1">
        <f t="array" ref="AU28">IF(W28="",0,SUMPRODUCT((CA4:CA795="Soja")*(CB4:CB795="ALERTE")*(COUNTIF(AI28,"*"&amp;CC4:CC795&amp;"*")&gt;0)*1))</f>
        <v>0</v>
      </c>
      <c r="AV28" s="6625" cm="1">
        <f t="array" ref="AV28">IF(W28="",0,SUMPRODUCT((CA4:CA795="Lait")*(CB4:CB795="INFO")*(COUNTIF(AI28,"*"&amp;CC4:CC795&amp;"*")&gt;0)*1))</f>
        <v>0</v>
      </c>
      <c r="AW28" s="6625" cm="1">
        <f t="array" ref="AW28">IF(W28="",0,SUMPRODUCT((CA4:CA795="Lait")*(CB4:CB795="EXCL")*(COUNTIF(AI28,"*"&amp;CC4:CC795&amp;"*")&gt;0)*1))</f>
        <v>0</v>
      </c>
      <c r="AX28" s="6625" cm="1">
        <f t="array" ref="AX28">IF(W28="",0,SUMPRODUCT((CA4:CA795="Lait")*(CB4:CB795="ALERTE")*(COUNTIF(AI28,"*"&amp;CC4:CC795&amp;"*")&gt;0)*1))</f>
        <v>0</v>
      </c>
      <c r="AY28" s="6625" cm="1">
        <f t="array" ref="AY28">IF(W28="",0,SUMPRODUCT((CA4:CA795="Lait")*(CB4:CB795="SUSP")*(COUNTIF(AI28,"*"&amp;CC4:CC795&amp;"*")&gt;0)*1))</f>
        <v>0</v>
      </c>
      <c r="AZ28" s="6625" cm="1">
        <f t="array" ref="AZ28">IF(W28="",0,SUMPRODUCT((CA4:CA795="Fruits a coque")*(CB4:CB795="EXCL")*(COUNTIF(AI28,"*"&amp;CC4:CC795&amp;"*")&gt;0)*1))</f>
        <v>0</v>
      </c>
      <c r="BA28" s="6625" cm="1">
        <f t="array" ref="BA28">IF(W28="",0,SUMPRODUCT((CA4:CA795="Fruits a coque")*(CB4:CB795="ALERTE")*(COUNTIF(AI28,"*"&amp;CC4:CC795&amp;"*")&gt;0)*1))</f>
        <v>0</v>
      </c>
      <c r="BB28" s="6625" cm="1">
        <f t="array" ref="BB28">IF(W28="",0,SUMPRODUCT((CA4:CA795="Celeri")*(CB4:CB795="ALERTE")*(COUNTIF(AI28,"*"&amp;CC4:CC795&amp;"*")&gt;0)*1))</f>
        <v>0</v>
      </c>
      <c r="BC28" s="6625" cm="1">
        <f t="array" ref="BC28">IF(W28="",0,SUMPRODUCT((CA4:CA795="Moutarde")*(CB4:CB795="ALERTE")*(COUNTIF(AI28,"*"&amp;CC4:CC795&amp;"*")&gt;0)*1))</f>
        <v>0</v>
      </c>
      <c r="BD28" s="6625" cm="1">
        <f t="array" ref="BD28">IF(W28="",0,SUMPRODUCT((CA4:CA795="Sesame")*(CB4:CB795="ALERTE")*(COUNTIF(AI28,"*"&amp;CC4:CC795&amp;"*")&gt;0)*1))</f>
        <v>0</v>
      </c>
      <c r="BE28" s="6625" cm="1">
        <f t="array" ref="BE28">IF(W28="",0,SUMPRODUCT((CA4:CA795="Sulfites")*(CB4:CB795="ALERTE")*(COUNTIF(AI28,"*"&amp;CC4:CC795&amp;"*")&gt;0)*1))</f>
        <v>0</v>
      </c>
      <c r="BF28" s="6625" cm="1">
        <f t="array" ref="BF28">IF(W28="",0,SUMPRODUCT((CA4:CA795="Lupin")*(CB4:CB795="ALERTE")*(COUNTIF(AI28,"*"&amp;CC4:CC795&amp;"*")&gt;0)*1))</f>
        <v>0</v>
      </c>
      <c r="BG28" s="6625" cm="1">
        <f t="array" ref="BG28">IF(W28="",0,SUMPRODUCT((CA4:CA795="Mollusques")*(CB4:CB795="EXCL")*(COUNTIF(AI28,"*"&amp;CC4:CC795&amp;"*")&gt;0)*1))</f>
        <v>0</v>
      </c>
      <c r="BH28" s="6625" cm="1">
        <f t="array" ref="BH28">IF(W28="",0,SUMPRODUCT((CA4:CA795="Mollusques")*(CB4:CB795="ALERTE")*(COUNTIF(AI28,"*"&amp;CC4:CC795&amp;"*")&gt;0)*1))</f>
        <v>0</v>
      </c>
      <c r="BI28" s="6625" t="str">
        <f t="shared" si="25"/>
        <v/>
      </c>
      <c r="BJ28" s="6625" t="str">
        <f t="shared" si="26"/>
        <v/>
      </c>
      <c r="BK28" s="6625" t="str">
        <f t="shared" si="27"/>
        <v/>
      </c>
      <c r="BL28" s="6625" t="str">
        <f t="shared" si="28"/>
        <v/>
      </c>
      <c r="BM28" s="6625" t="str">
        <f t="shared" si="29"/>
        <v/>
      </c>
      <c r="BN28" s="6625" t="str">
        <f t="shared" si="30"/>
        <v/>
      </c>
      <c r="BO28" s="6625" t="str">
        <f t="shared" si="31"/>
        <v/>
      </c>
      <c r="BP28" s="6625" t="str">
        <f t="shared" si="32"/>
        <v/>
      </c>
      <c r="BQ28" s="6625" t="str">
        <f t="shared" si="33"/>
        <v/>
      </c>
      <c r="BR28" s="6625" t="str">
        <f t="shared" si="34"/>
        <v/>
      </c>
      <c r="BS28" s="6625" t="str">
        <f t="shared" si="35"/>
        <v/>
      </c>
      <c r="BT28" s="6625" t="str">
        <f t="shared" si="36"/>
        <v/>
      </c>
      <c r="BU28" s="6625" t="str">
        <f t="shared" si="37"/>
        <v/>
      </c>
      <c r="BV28" s="6625" t="str">
        <f t="shared" si="38"/>
        <v/>
      </c>
      <c r="BW28" s="6625" t="str">
        <f t="shared" si="39"/>
        <v/>
      </c>
      <c r="BX28" s="6625" t="str">
        <f t="shared" si="40"/>
        <v/>
      </c>
      <c r="CA28" s="3170" t="s">
        <v>16254</v>
      </c>
      <c r="CB28" s="7634" t="s">
        <v>16255</v>
      </c>
      <c r="CC28" s="3170" t="s">
        <v>16386</v>
      </c>
      <c r="CD28" s="3170" t="s">
        <v>16387</v>
      </c>
    </row>
    <row r="29" spans="2:82" ht="30" customHeight="1">
      <c r="B29" s="7661" t="str">
        <f t="shared" si="0"/>
        <v/>
      </c>
      <c r="C29" s="7661" t="str">
        <f t="shared" si="1"/>
        <v/>
      </c>
      <c r="D29" s="7661" t="str">
        <f t="shared" si="2"/>
        <v/>
      </c>
      <c r="E29" s="7661">
        <f>IF(H28&lt;&gt;"",E28,IF(E28="","",IFERROR(MATCH(TRUE(),INDEX(INDEX($K:$K,E28+1):$K$203&lt;&gt;"",0),0)+E28,"")))</f>
        <v>204</v>
      </c>
      <c r="F29" s="7661">
        <f t="shared" si="41"/>
        <v>0</v>
      </c>
      <c r="G29" s="7661" t="str">
        <f t="shared" si="3"/>
        <v>0</v>
      </c>
      <c r="H29" s="7672" t="str">
        <f t="shared" si="4"/>
        <v/>
      </c>
      <c r="I29" s="7683" t="str">
        <f t="shared" si="5"/>
        <v/>
      </c>
      <c r="J29" s="7673" t="str">
        <f>IF(K29="","",COUNTIF($K$18:K29,"&lt;&gt;"))</f>
        <v/>
      </c>
      <c r="K29" s="7674"/>
      <c r="L29" s="7673" t="str">
        <f t="shared" si="6"/>
        <v/>
      </c>
      <c r="M29" s="7630">
        <f t="shared" si="7"/>
        <v>1</v>
      </c>
      <c r="N29" s="7675">
        <f t="shared" si="8"/>
        <v>12</v>
      </c>
      <c r="O29" s="7676" t="str">
        <f t="shared" si="9"/>
        <v>0</v>
      </c>
      <c r="P29" s="7675">
        <f t="shared" si="10"/>
        <v>1</v>
      </c>
      <c r="Q29" s="7675">
        <f t="shared" si="11"/>
        <v>1</v>
      </c>
      <c r="S29" s="7679" t="str">
        <f t="shared" si="42"/>
        <v>0</v>
      </c>
      <c r="T29" s="7680" t="str">
        <f t="shared" si="12"/>
        <v/>
      </c>
      <c r="V29" s="7677">
        <f t="shared" si="13"/>
        <v>29</v>
      </c>
      <c r="W29" s="7678" t="str">
        <f t="shared" si="43"/>
        <v>0</v>
      </c>
      <c r="X29" s="7677" t="s">
        <v>2</v>
      </c>
      <c r="Y29" s="7702" t="str">
        <f t="shared" si="14"/>
        <v>0</v>
      </c>
      <c r="Z29" s="7703" t="str">
        <f t="shared" si="15"/>
        <v/>
      </c>
      <c r="AA29" s="7681" t="str">
        <f t="shared" si="16"/>
        <v>0</v>
      </c>
      <c r="AB29" s="7682" t="str">
        <f t="shared" si="17"/>
        <v/>
      </c>
      <c r="AC29" s="7677">
        <f t="shared" si="18"/>
        <v>0</v>
      </c>
      <c r="AD29" s="7677">
        <f t="shared" si="19"/>
        <v>0</v>
      </c>
      <c r="AE29" s="7682" t="str">
        <f t="shared" si="20"/>
        <v>aucun match</v>
      </c>
      <c r="AF29" s="6625" t="str">
        <f t="shared" si="21"/>
        <v>0</v>
      </c>
      <c r="AG29" s="6625" t="str">
        <f t="shared" si="22"/>
        <v>0</v>
      </c>
      <c r="AH29" s="6625" t="str">
        <f t="shared" si="23"/>
        <v>0</v>
      </c>
      <c r="AI29" s="6625" t="str">
        <f t="shared" si="24"/>
        <v xml:space="preserve"> 0 </v>
      </c>
      <c r="AJ29" s="6625" cm="1">
        <f t="array" ref="AJ29">IF(W29="",0,SUMPRODUCT((CA4:CA795="Gluten")*(CB4:CB795="INFO")*(COUNTIF(AI29,"*"&amp;CC4:CC795&amp;"*")&gt;0)*1))</f>
        <v>0</v>
      </c>
      <c r="AK29" s="6625" cm="1">
        <f t="array" ref="AK29">IF(W29="",0,SUMPRODUCT((CA4:CA795="Gluten")*(CB4:CB795="EXCL")*(COUNTIF(AI29,"*"&amp;CC4:CC795&amp;"*")&gt;0)*1))</f>
        <v>0</v>
      </c>
      <c r="AL29" s="6625" cm="1">
        <f t="array" ref="AL29">IF(W29="",0,SUMPRODUCT((CA4:CA795="Gluten")*(CB4:CB795="ALERTE")*(COUNTIF(AI29,"*"&amp;CC4:CC795&amp;"*")&gt;0)*1))</f>
        <v>0</v>
      </c>
      <c r="AM29" s="6625" cm="1">
        <f t="array" ref="AM29">IF(W29="",0,SUMPRODUCT((CA4:CA795="Gluten")*(CB4:CB795="SUSP")*(COUNTIF(AI29,"*"&amp;CC4:CC795&amp;"*")&gt;0)*1))</f>
        <v>0</v>
      </c>
      <c r="AN29" s="6625" cm="1">
        <f t="array" ref="AN29">IF(W29="",0,SUMPRODUCT((CA4:CA795="Crustaces")*(CB4:CB795="ALERTE")*(COUNTIF(AI29,"*"&amp;CC4:CC795&amp;"*")&gt;0)*1))</f>
        <v>0</v>
      </c>
      <c r="AO29" s="6625" cm="1">
        <f t="array" ref="AO29">IF(W29="",0,SUMPRODUCT((CA4:CA795="Oeufs")*(CB4:CB795="ALERTE")*(COUNTIF(AI29,"*"&amp;CC4:CC795&amp;"*")&gt;0)*1))</f>
        <v>0</v>
      </c>
      <c r="AP29" s="6625" cm="1">
        <f t="array" ref="AP29">IF(W29="",0,SUMPRODUCT((CA4:CA795="Poissons")*(CB4:CB795="INFO")*(COUNTIF(AI29,"*"&amp;CC4:CC795&amp;"*")&gt;0)*1))</f>
        <v>0</v>
      </c>
      <c r="AQ29" s="6625" cm="1">
        <f t="array" ref="AQ29">IF(W29="",0,SUMPRODUCT((CA4:CA795="Poissons")*(CB4:CB795="EXCL")*(COUNTIF(AI29,"*"&amp;CC4:CC795&amp;"*")&gt;0)*1))</f>
        <v>0</v>
      </c>
      <c r="AR29" s="6625" cm="1">
        <f t="array" ref="AR29">IF(W29="",0,SUMPRODUCT((CA4:CA795="Poissons")*(CB4:CB795="ALERTE")*(COUNTIF(AI29,"*"&amp;CC4:CC795&amp;"*")&gt;0)*1))</f>
        <v>0</v>
      </c>
      <c r="AS29" s="6625" cm="1">
        <f t="array" ref="AS29">IF(W29="",0,SUMPRODUCT((CA4:CA795="Arachides")*(CB4:CB795="ALERTE")*(COUNTIF(AI29,"*"&amp;CC4:CC795&amp;"*")&gt;0)*1))</f>
        <v>0</v>
      </c>
      <c r="AT29" s="6625" cm="1">
        <f t="array" ref="AT29">IF(W29="",0,SUMPRODUCT((CA4:CA795="Soja")*(CB4:CB795="INFO")*(COUNTIF(AI29,"*"&amp;CC4:CC795&amp;"*")&gt;0)*1))</f>
        <v>0</v>
      </c>
      <c r="AU29" s="6625" cm="1">
        <f t="array" ref="AU29">IF(W29="",0,SUMPRODUCT((CA4:CA795="Soja")*(CB4:CB795="ALERTE")*(COUNTIF(AI29,"*"&amp;CC4:CC795&amp;"*")&gt;0)*1))</f>
        <v>0</v>
      </c>
      <c r="AV29" s="6625" cm="1">
        <f t="array" ref="AV29">IF(W29="",0,SUMPRODUCT((CA4:CA795="Lait")*(CB4:CB795="INFO")*(COUNTIF(AI29,"*"&amp;CC4:CC795&amp;"*")&gt;0)*1))</f>
        <v>0</v>
      </c>
      <c r="AW29" s="6625" cm="1">
        <f t="array" ref="AW29">IF(W29="",0,SUMPRODUCT((CA4:CA795="Lait")*(CB4:CB795="EXCL")*(COUNTIF(AI29,"*"&amp;CC4:CC795&amp;"*")&gt;0)*1))</f>
        <v>0</v>
      </c>
      <c r="AX29" s="6625" cm="1">
        <f t="array" ref="AX29">IF(W29="",0,SUMPRODUCT((CA4:CA795="Lait")*(CB4:CB795="ALERTE")*(COUNTIF(AI29,"*"&amp;CC4:CC795&amp;"*")&gt;0)*1))</f>
        <v>0</v>
      </c>
      <c r="AY29" s="6625" cm="1">
        <f t="array" ref="AY29">IF(W29="",0,SUMPRODUCT((CA4:CA795="Lait")*(CB4:CB795="SUSP")*(COUNTIF(AI29,"*"&amp;CC4:CC795&amp;"*")&gt;0)*1))</f>
        <v>0</v>
      </c>
      <c r="AZ29" s="6625" cm="1">
        <f t="array" ref="AZ29">IF(W29="",0,SUMPRODUCT((CA4:CA795="Fruits a coque")*(CB4:CB795="EXCL")*(COUNTIF(AI29,"*"&amp;CC4:CC795&amp;"*")&gt;0)*1))</f>
        <v>0</v>
      </c>
      <c r="BA29" s="6625" cm="1">
        <f t="array" ref="BA29">IF(W29="",0,SUMPRODUCT((CA4:CA795="Fruits a coque")*(CB4:CB795="ALERTE")*(COUNTIF(AI29,"*"&amp;CC4:CC795&amp;"*")&gt;0)*1))</f>
        <v>0</v>
      </c>
      <c r="BB29" s="6625" cm="1">
        <f t="array" ref="BB29">IF(W29="",0,SUMPRODUCT((CA4:CA795="Celeri")*(CB4:CB795="ALERTE")*(COUNTIF(AI29,"*"&amp;CC4:CC795&amp;"*")&gt;0)*1))</f>
        <v>0</v>
      </c>
      <c r="BC29" s="6625" cm="1">
        <f t="array" ref="BC29">IF(W29="",0,SUMPRODUCT((CA4:CA795="Moutarde")*(CB4:CB795="ALERTE")*(COUNTIF(AI29,"*"&amp;CC4:CC795&amp;"*")&gt;0)*1))</f>
        <v>0</v>
      </c>
      <c r="BD29" s="6625" cm="1">
        <f t="array" ref="BD29">IF(W29="",0,SUMPRODUCT((CA4:CA795="Sesame")*(CB4:CB795="ALERTE")*(COUNTIF(AI29,"*"&amp;CC4:CC795&amp;"*")&gt;0)*1))</f>
        <v>0</v>
      </c>
      <c r="BE29" s="6625" cm="1">
        <f t="array" ref="BE29">IF(W29="",0,SUMPRODUCT((CA4:CA795="Sulfites")*(CB4:CB795="ALERTE")*(COUNTIF(AI29,"*"&amp;CC4:CC795&amp;"*")&gt;0)*1))</f>
        <v>0</v>
      </c>
      <c r="BF29" s="6625" cm="1">
        <f t="array" ref="BF29">IF(W29="",0,SUMPRODUCT((CA4:CA795="Lupin")*(CB4:CB795="ALERTE")*(COUNTIF(AI29,"*"&amp;CC4:CC795&amp;"*")&gt;0)*1))</f>
        <v>0</v>
      </c>
      <c r="BG29" s="6625" cm="1">
        <f t="array" ref="BG29">IF(W29="",0,SUMPRODUCT((CA4:CA795="Mollusques")*(CB4:CB795="EXCL")*(COUNTIF(AI29,"*"&amp;CC4:CC795&amp;"*")&gt;0)*1))</f>
        <v>0</v>
      </c>
      <c r="BH29" s="6625" cm="1">
        <f t="array" ref="BH29">IF(W29="",0,SUMPRODUCT((CA4:CA795="Mollusques")*(CB4:CB795="ALERTE")*(COUNTIF(AI29,"*"&amp;CC4:CC795&amp;"*")&gt;0)*1))</f>
        <v>0</v>
      </c>
      <c r="BI29" s="6625" t="str">
        <f t="shared" si="25"/>
        <v/>
      </c>
      <c r="BJ29" s="6625" t="str">
        <f t="shared" si="26"/>
        <v/>
      </c>
      <c r="BK29" s="6625" t="str">
        <f t="shared" si="27"/>
        <v/>
      </c>
      <c r="BL29" s="6625" t="str">
        <f t="shared" si="28"/>
        <v/>
      </c>
      <c r="BM29" s="6625" t="str">
        <f t="shared" si="29"/>
        <v/>
      </c>
      <c r="BN29" s="6625" t="str">
        <f t="shared" si="30"/>
        <v/>
      </c>
      <c r="BO29" s="6625" t="str">
        <f t="shared" si="31"/>
        <v/>
      </c>
      <c r="BP29" s="6625" t="str">
        <f t="shared" si="32"/>
        <v/>
      </c>
      <c r="BQ29" s="6625" t="str">
        <f t="shared" si="33"/>
        <v/>
      </c>
      <c r="BR29" s="6625" t="str">
        <f t="shared" si="34"/>
        <v/>
      </c>
      <c r="BS29" s="6625" t="str">
        <f t="shared" si="35"/>
        <v/>
      </c>
      <c r="BT29" s="6625" t="str">
        <f t="shared" si="36"/>
        <v/>
      </c>
      <c r="BU29" s="6625" t="str">
        <f t="shared" si="37"/>
        <v/>
      </c>
      <c r="BV29" s="6625" t="str">
        <f t="shared" si="38"/>
        <v/>
      </c>
      <c r="BW29" s="6625" t="str">
        <f t="shared" si="39"/>
        <v/>
      </c>
      <c r="BX29" s="6625" t="str">
        <f t="shared" si="40"/>
        <v/>
      </c>
      <c r="CA29" s="3170" t="s">
        <v>16254</v>
      </c>
      <c r="CB29" s="7634" t="s">
        <v>16255</v>
      </c>
      <c r="CC29" s="3170" t="s">
        <v>16388</v>
      </c>
      <c r="CD29" s="3170" t="s">
        <v>16389</v>
      </c>
    </row>
    <row r="30" spans="2:82" ht="30" customHeight="1">
      <c r="B30" s="7661" t="str">
        <f t="shared" si="0"/>
        <v/>
      </c>
      <c r="C30" s="7661" t="str">
        <f t="shared" si="1"/>
        <v/>
      </c>
      <c r="D30" s="7661" t="str">
        <f t="shared" si="2"/>
        <v/>
      </c>
      <c r="E30" s="7661">
        <f>IF(H29&lt;&gt;"",E29,IF(E29="","",IFERROR(MATCH(TRUE(),INDEX(INDEX($K:$K,E29+1):$K$203&lt;&gt;"",0),0)+E29,"")))</f>
        <v>205</v>
      </c>
      <c r="F30" s="7661">
        <f t="shared" si="41"/>
        <v>0</v>
      </c>
      <c r="G30" s="7661" t="str">
        <f t="shared" si="3"/>
        <v>0</v>
      </c>
      <c r="H30" s="7672" t="str">
        <f t="shared" si="4"/>
        <v/>
      </c>
      <c r="I30" s="7683" t="str">
        <f t="shared" si="5"/>
        <v/>
      </c>
      <c r="J30" s="7673" t="str">
        <f>IF(K30="","",COUNTIF($K$18:K30,"&lt;&gt;"))</f>
        <v/>
      </c>
      <c r="K30" s="7674"/>
      <c r="L30" s="7673" t="str">
        <f t="shared" si="6"/>
        <v/>
      </c>
      <c r="M30" s="7630">
        <f t="shared" si="7"/>
        <v>1</v>
      </c>
      <c r="N30" s="7675">
        <f t="shared" si="8"/>
        <v>13</v>
      </c>
      <c r="O30" s="7676" t="str">
        <f t="shared" si="9"/>
        <v>0</v>
      </c>
      <c r="P30" s="7675">
        <f t="shared" si="10"/>
        <v>1</v>
      </c>
      <c r="Q30" s="7675">
        <f t="shared" si="11"/>
        <v>1</v>
      </c>
      <c r="S30" s="7679" t="str">
        <f t="shared" si="42"/>
        <v>0</v>
      </c>
      <c r="T30" s="7680" t="str">
        <f t="shared" si="12"/>
        <v/>
      </c>
      <c r="V30" s="7677">
        <f t="shared" si="13"/>
        <v>30</v>
      </c>
      <c r="W30" s="7678" t="str">
        <f t="shared" si="43"/>
        <v>0</v>
      </c>
      <c r="X30" s="7677" t="s">
        <v>2</v>
      </c>
      <c r="Y30" s="7702" t="str">
        <f t="shared" si="14"/>
        <v>0</v>
      </c>
      <c r="Z30" s="7703" t="str">
        <f t="shared" si="15"/>
        <v/>
      </c>
      <c r="AA30" s="7681" t="str">
        <f t="shared" si="16"/>
        <v>0</v>
      </c>
      <c r="AB30" s="7682" t="str">
        <f t="shared" si="17"/>
        <v/>
      </c>
      <c r="AC30" s="7677">
        <f t="shared" si="18"/>
        <v>0</v>
      </c>
      <c r="AD30" s="7677">
        <f t="shared" si="19"/>
        <v>0</v>
      </c>
      <c r="AE30" s="7682" t="str">
        <f t="shared" si="20"/>
        <v>aucun match</v>
      </c>
      <c r="AF30" s="6625" t="str">
        <f t="shared" si="21"/>
        <v>0</v>
      </c>
      <c r="AG30" s="6625" t="str">
        <f t="shared" si="22"/>
        <v>0</v>
      </c>
      <c r="AH30" s="6625" t="str">
        <f t="shared" si="23"/>
        <v>0</v>
      </c>
      <c r="AI30" s="6625" t="str">
        <f t="shared" si="24"/>
        <v xml:space="preserve"> 0 </v>
      </c>
      <c r="AJ30" s="6625" cm="1">
        <f t="array" ref="AJ30">IF(W30="",0,SUMPRODUCT((CA4:CA795="Gluten")*(CB4:CB795="INFO")*(COUNTIF(AI30,"*"&amp;CC4:CC795&amp;"*")&gt;0)*1))</f>
        <v>0</v>
      </c>
      <c r="AK30" s="6625" cm="1">
        <f t="array" ref="AK30">IF(W30="",0,SUMPRODUCT((CA4:CA795="Gluten")*(CB4:CB795="EXCL")*(COUNTIF(AI30,"*"&amp;CC4:CC795&amp;"*")&gt;0)*1))</f>
        <v>0</v>
      </c>
      <c r="AL30" s="6625" cm="1">
        <f t="array" ref="AL30">IF(W30="",0,SUMPRODUCT((CA4:CA795="Gluten")*(CB4:CB795="ALERTE")*(COUNTIF(AI30,"*"&amp;CC4:CC795&amp;"*")&gt;0)*1))</f>
        <v>0</v>
      </c>
      <c r="AM30" s="6625" cm="1">
        <f t="array" ref="AM30">IF(W30="",0,SUMPRODUCT((CA4:CA795="Gluten")*(CB4:CB795="SUSP")*(COUNTIF(AI30,"*"&amp;CC4:CC795&amp;"*")&gt;0)*1))</f>
        <v>0</v>
      </c>
      <c r="AN30" s="6625" cm="1">
        <f t="array" ref="AN30">IF(W30="",0,SUMPRODUCT((CA4:CA795="Crustaces")*(CB4:CB795="ALERTE")*(COUNTIF(AI30,"*"&amp;CC4:CC795&amp;"*")&gt;0)*1))</f>
        <v>0</v>
      </c>
      <c r="AO30" s="6625" cm="1">
        <f t="array" ref="AO30">IF(W30="",0,SUMPRODUCT((CA4:CA795="Oeufs")*(CB4:CB795="ALERTE")*(COUNTIF(AI30,"*"&amp;CC4:CC795&amp;"*")&gt;0)*1))</f>
        <v>0</v>
      </c>
      <c r="AP30" s="6625" cm="1">
        <f t="array" ref="AP30">IF(W30="",0,SUMPRODUCT((CA4:CA795="Poissons")*(CB4:CB795="INFO")*(COUNTIF(AI30,"*"&amp;CC4:CC795&amp;"*")&gt;0)*1))</f>
        <v>0</v>
      </c>
      <c r="AQ30" s="6625" cm="1">
        <f t="array" ref="AQ30">IF(W30="",0,SUMPRODUCT((CA4:CA795="Poissons")*(CB4:CB795="EXCL")*(COUNTIF(AI30,"*"&amp;CC4:CC795&amp;"*")&gt;0)*1))</f>
        <v>0</v>
      </c>
      <c r="AR30" s="6625" cm="1">
        <f t="array" ref="AR30">IF(W30="",0,SUMPRODUCT((CA4:CA795="Poissons")*(CB4:CB795="ALERTE")*(COUNTIF(AI30,"*"&amp;CC4:CC795&amp;"*")&gt;0)*1))</f>
        <v>0</v>
      </c>
      <c r="AS30" s="6625" cm="1">
        <f t="array" ref="AS30">IF(W30="",0,SUMPRODUCT((CA4:CA795="Arachides")*(CB4:CB795="ALERTE")*(COUNTIF(AI30,"*"&amp;CC4:CC795&amp;"*")&gt;0)*1))</f>
        <v>0</v>
      </c>
      <c r="AT30" s="6625" cm="1">
        <f t="array" ref="AT30">IF(W30="",0,SUMPRODUCT((CA4:CA795="Soja")*(CB4:CB795="INFO")*(COUNTIF(AI30,"*"&amp;CC4:CC795&amp;"*")&gt;0)*1))</f>
        <v>0</v>
      </c>
      <c r="AU30" s="6625" cm="1">
        <f t="array" ref="AU30">IF(W30="",0,SUMPRODUCT((CA4:CA795="Soja")*(CB4:CB795="ALERTE")*(COUNTIF(AI30,"*"&amp;CC4:CC795&amp;"*")&gt;0)*1))</f>
        <v>0</v>
      </c>
      <c r="AV30" s="6625" cm="1">
        <f t="array" ref="AV30">IF(W30="",0,SUMPRODUCT((CA4:CA795="Lait")*(CB4:CB795="INFO")*(COUNTIF(AI30,"*"&amp;CC4:CC795&amp;"*")&gt;0)*1))</f>
        <v>0</v>
      </c>
      <c r="AW30" s="6625" cm="1">
        <f t="array" ref="AW30">IF(W30="",0,SUMPRODUCT((CA4:CA795="Lait")*(CB4:CB795="EXCL")*(COUNTIF(AI30,"*"&amp;CC4:CC795&amp;"*")&gt;0)*1))</f>
        <v>0</v>
      </c>
      <c r="AX30" s="6625" cm="1">
        <f t="array" ref="AX30">IF(W30="",0,SUMPRODUCT((CA4:CA795="Lait")*(CB4:CB795="ALERTE")*(COUNTIF(AI30,"*"&amp;CC4:CC795&amp;"*")&gt;0)*1))</f>
        <v>0</v>
      </c>
      <c r="AY30" s="6625" cm="1">
        <f t="array" ref="AY30">IF(W30="",0,SUMPRODUCT((CA4:CA795="Lait")*(CB4:CB795="SUSP")*(COUNTIF(AI30,"*"&amp;CC4:CC795&amp;"*")&gt;0)*1))</f>
        <v>0</v>
      </c>
      <c r="AZ30" s="6625" cm="1">
        <f t="array" ref="AZ30">IF(W30="",0,SUMPRODUCT((CA4:CA795="Fruits a coque")*(CB4:CB795="EXCL")*(COUNTIF(AI30,"*"&amp;CC4:CC795&amp;"*")&gt;0)*1))</f>
        <v>0</v>
      </c>
      <c r="BA30" s="6625" cm="1">
        <f t="array" ref="BA30">IF(W30="",0,SUMPRODUCT((CA4:CA795="Fruits a coque")*(CB4:CB795="ALERTE")*(COUNTIF(AI30,"*"&amp;CC4:CC795&amp;"*")&gt;0)*1))</f>
        <v>0</v>
      </c>
      <c r="BB30" s="6625" cm="1">
        <f t="array" ref="BB30">IF(W30="",0,SUMPRODUCT((CA4:CA795="Celeri")*(CB4:CB795="ALERTE")*(COUNTIF(AI30,"*"&amp;CC4:CC795&amp;"*")&gt;0)*1))</f>
        <v>0</v>
      </c>
      <c r="BC30" s="6625" cm="1">
        <f t="array" ref="BC30">IF(W30="",0,SUMPRODUCT((CA4:CA795="Moutarde")*(CB4:CB795="ALERTE")*(COUNTIF(AI30,"*"&amp;CC4:CC795&amp;"*")&gt;0)*1))</f>
        <v>0</v>
      </c>
      <c r="BD30" s="6625" cm="1">
        <f t="array" ref="BD30">IF(W30="",0,SUMPRODUCT((CA4:CA795="Sesame")*(CB4:CB795="ALERTE")*(COUNTIF(AI30,"*"&amp;CC4:CC795&amp;"*")&gt;0)*1))</f>
        <v>0</v>
      </c>
      <c r="BE30" s="6625" cm="1">
        <f t="array" ref="BE30">IF(W30="",0,SUMPRODUCT((CA4:CA795="Sulfites")*(CB4:CB795="ALERTE")*(COUNTIF(AI30,"*"&amp;CC4:CC795&amp;"*")&gt;0)*1))</f>
        <v>0</v>
      </c>
      <c r="BF30" s="6625" cm="1">
        <f t="array" ref="BF30">IF(W30="",0,SUMPRODUCT((CA4:CA795="Lupin")*(CB4:CB795="ALERTE")*(COUNTIF(AI30,"*"&amp;CC4:CC795&amp;"*")&gt;0)*1))</f>
        <v>0</v>
      </c>
      <c r="BG30" s="6625" cm="1">
        <f t="array" ref="BG30">IF(W30="",0,SUMPRODUCT((CA4:CA795="Mollusques")*(CB4:CB795="EXCL")*(COUNTIF(AI30,"*"&amp;CC4:CC795&amp;"*")&gt;0)*1))</f>
        <v>0</v>
      </c>
      <c r="BH30" s="6625" cm="1">
        <f t="array" ref="BH30">IF(W30="",0,SUMPRODUCT((CA4:CA795="Mollusques")*(CB4:CB795="ALERTE")*(COUNTIF(AI30,"*"&amp;CC4:CC795&amp;"*")&gt;0)*1))</f>
        <v>0</v>
      </c>
      <c r="BI30" s="6625" t="str">
        <f t="shared" si="25"/>
        <v/>
      </c>
      <c r="BJ30" s="6625" t="str">
        <f t="shared" si="26"/>
        <v/>
      </c>
      <c r="BK30" s="6625" t="str">
        <f t="shared" si="27"/>
        <v/>
      </c>
      <c r="BL30" s="6625" t="str">
        <f t="shared" si="28"/>
        <v/>
      </c>
      <c r="BM30" s="6625" t="str">
        <f t="shared" si="29"/>
        <v/>
      </c>
      <c r="BN30" s="6625" t="str">
        <f t="shared" si="30"/>
        <v/>
      </c>
      <c r="BO30" s="6625" t="str">
        <f t="shared" si="31"/>
        <v/>
      </c>
      <c r="BP30" s="6625" t="str">
        <f t="shared" si="32"/>
        <v/>
      </c>
      <c r="BQ30" s="6625" t="str">
        <f t="shared" si="33"/>
        <v/>
      </c>
      <c r="BR30" s="6625" t="str">
        <f t="shared" si="34"/>
        <v/>
      </c>
      <c r="BS30" s="6625" t="str">
        <f t="shared" si="35"/>
        <v/>
      </c>
      <c r="BT30" s="6625" t="str">
        <f t="shared" si="36"/>
        <v/>
      </c>
      <c r="BU30" s="6625" t="str">
        <f t="shared" si="37"/>
        <v/>
      </c>
      <c r="BV30" s="6625" t="str">
        <f t="shared" si="38"/>
        <v/>
      </c>
      <c r="BW30" s="6625" t="str">
        <f t="shared" si="39"/>
        <v/>
      </c>
      <c r="BX30" s="6625" t="str">
        <f t="shared" si="40"/>
        <v/>
      </c>
      <c r="CA30" s="3170" t="s">
        <v>16254</v>
      </c>
      <c r="CB30" s="7634" t="s">
        <v>16255</v>
      </c>
      <c r="CC30" s="3170" t="s">
        <v>16390</v>
      </c>
      <c r="CD30" s="3170" t="s">
        <v>16391</v>
      </c>
    </row>
    <row r="31" spans="2:82" ht="30" customHeight="1">
      <c r="B31" s="7661" t="str">
        <f t="shared" si="0"/>
        <v/>
      </c>
      <c r="C31" s="7661" t="str">
        <f t="shared" si="1"/>
        <v/>
      </c>
      <c r="D31" s="7661" t="str">
        <f t="shared" si="2"/>
        <v/>
      </c>
      <c r="E31" s="7661">
        <f>IF(H30&lt;&gt;"",E30,IF(E30="","",IFERROR(MATCH(TRUE(),INDEX(INDEX($K:$K,E30+1):$K$203&lt;&gt;"",0),0)+E30,"")))</f>
        <v>206</v>
      </c>
      <c r="F31" s="7661">
        <f t="shared" si="41"/>
        <v>0</v>
      </c>
      <c r="G31" s="7661" t="str">
        <f t="shared" si="3"/>
        <v>0</v>
      </c>
      <c r="H31" s="7672" t="str">
        <f t="shared" si="4"/>
        <v/>
      </c>
      <c r="I31" s="7683" t="str">
        <f t="shared" si="5"/>
        <v/>
      </c>
      <c r="J31" s="7673" t="str">
        <f>IF(K31="","",COUNTIF($K$18:K31,"&lt;&gt;"))</f>
        <v/>
      </c>
      <c r="K31" s="7674"/>
      <c r="L31" s="7673" t="str">
        <f t="shared" si="6"/>
        <v/>
      </c>
      <c r="M31" s="7630">
        <f t="shared" si="7"/>
        <v>1</v>
      </c>
      <c r="N31" s="7675">
        <f t="shared" si="8"/>
        <v>14</v>
      </c>
      <c r="O31" s="7676" t="str">
        <f t="shared" si="9"/>
        <v>0</v>
      </c>
      <c r="P31" s="7675">
        <f t="shared" si="10"/>
        <v>1</v>
      </c>
      <c r="Q31" s="7675">
        <f t="shared" si="11"/>
        <v>1</v>
      </c>
      <c r="S31" s="7679" t="str">
        <f t="shared" si="42"/>
        <v>0</v>
      </c>
      <c r="T31" s="7680" t="str">
        <f t="shared" si="12"/>
        <v/>
      </c>
      <c r="V31" s="7677">
        <f t="shared" si="13"/>
        <v>31</v>
      </c>
      <c r="W31" s="7678" t="str">
        <f t="shared" si="43"/>
        <v>0</v>
      </c>
      <c r="X31" s="7677" t="s">
        <v>2</v>
      </c>
      <c r="Y31" s="7702" t="str">
        <f t="shared" si="14"/>
        <v>0</v>
      </c>
      <c r="Z31" s="7703" t="str">
        <f t="shared" si="15"/>
        <v/>
      </c>
      <c r="AA31" s="7681" t="str">
        <f t="shared" si="16"/>
        <v>0</v>
      </c>
      <c r="AB31" s="7682" t="str">
        <f t="shared" si="17"/>
        <v/>
      </c>
      <c r="AC31" s="7677">
        <f t="shared" si="18"/>
        <v>0</v>
      </c>
      <c r="AD31" s="7677">
        <f t="shared" si="19"/>
        <v>0</v>
      </c>
      <c r="AE31" s="7682" t="str">
        <f t="shared" si="20"/>
        <v>aucun match</v>
      </c>
      <c r="AF31" s="6625" t="str">
        <f t="shared" si="21"/>
        <v>0</v>
      </c>
      <c r="AG31" s="6625" t="str">
        <f t="shared" si="22"/>
        <v>0</v>
      </c>
      <c r="AH31" s="6625" t="str">
        <f t="shared" si="23"/>
        <v>0</v>
      </c>
      <c r="AI31" s="6625" t="str">
        <f t="shared" si="24"/>
        <v xml:space="preserve"> 0 </v>
      </c>
      <c r="AJ31" s="6625" cm="1">
        <f t="array" ref="AJ31">IF(W31="",0,SUMPRODUCT((CA4:CA795="Gluten")*(CB4:CB795="INFO")*(COUNTIF(AI31,"*"&amp;CC4:CC795&amp;"*")&gt;0)*1))</f>
        <v>0</v>
      </c>
      <c r="AK31" s="6625" cm="1">
        <f t="array" ref="AK31">IF(W31="",0,SUMPRODUCT((CA4:CA795="Gluten")*(CB4:CB795="EXCL")*(COUNTIF(AI31,"*"&amp;CC4:CC795&amp;"*")&gt;0)*1))</f>
        <v>0</v>
      </c>
      <c r="AL31" s="6625" cm="1">
        <f t="array" ref="AL31">IF(W31="",0,SUMPRODUCT((CA4:CA795="Gluten")*(CB4:CB795="ALERTE")*(COUNTIF(AI31,"*"&amp;CC4:CC795&amp;"*")&gt;0)*1))</f>
        <v>0</v>
      </c>
      <c r="AM31" s="6625" cm="1">
        <f t="array" ref="AM31">IF(W31="",0,SUMPRODUCT((CA4:CA795="Gluten")*(CB4:CB795="SUSP")*(COUNTIF(AI31,"*"&amp;CC4:CC795&amp;"*")&gt;0)*1))</f>
        <v>0</v>
      </c>
      <c r="AN31" s="6625" cm="1">
        <f t="array" ref="AN31">IF(W31="",0,SUMPRODUCT((CA4:CA795="Crustaces")*(CB4:CB795="ALERTE")*(COUNTIF(AI31,"*"&amp;CC4:CC795&amp;"*")&gt;0)*1))</f>
        <v>0</v>
      </c>
      <c r="AO31" s="6625" cm="1">
        <f t="array" ref="AO31">IF(W31="",0,SUMPRODUCT((CA4:CA795="Oeufs")*(CB4:CB795="ALERTE")*(COUNTIF(AI31,"*"&amp;CC4:CC795&amp;"*")&gt;0)*1))</f>
        <v>0</v>
      </c>
      <c r="AP31" s="6625" cm="1">
        <f t="array" ref="AP31">IF(W31="",0,SUMPRODUCT((CA4:CA795="Poissons")*(CB4:CB795="INFO")*(COUNTIF(AI31,"*"&amp;CC4:CC795&amp;"*")&gt;0)*1))</f>
        <v>0</v>
      </c>
      <c r="AQ31" s="6625" cm="1">
        <f t="array" ref="AQ31">IF(W31="",0,SUMPRODUCT((CA4:CA795="Poissons")*(CB4:CB795="EXCL")*(COUNTIF(AI31,"*"&amp;CC4:CC795&amp;"*")&gt;0)*1))</f>
        <v>0</v>
      </c>
      <c r="AR31" s="6625" cm="1">
        <f t="array" ref="AR31">IF(W31="",0,SUMPRODUCT((CA4:CA795="Poissons")*(CB4:CB795="ALERTE")*(COUNTIF(AI31,"*"&amp;CC4:CC795&amp;"*")&gt;0)*1))</f>
        <v>0</v>
      </c>
      <c r="AS31" s="6625" cm="1">
        <f t="array" ref="AS31">IF(W31="",0,SUMPRODUCT((CA4:CA795="Arachides")*(CB4:CB795="ALERTE")*(COUNTIF(AI31,"*"&amp;CC4:CC795&amp;"*")&gt;0)*1))</f>
        <v>0</v>
      </c>
      <c r="AT31" s="6625" cm="1">
        <f t="array" ref="AT31">IF(W31="",0,SUMPRODUCT((CA4:CA795="Soja")*(CB4:CB795="INFO")*(COUNTIF(AI31,"*"&amp;CC4:CC795&amp;"*")&gt;0)*1))</f>
        <v>0</v>
      </c>
      <c r="AU31" s="6625" cm="1">
        <f t="array" ref="AU31">IF(W31="",0,SUMPRODUCT((CA4:CA795="Soja")*(CB4:CB795="ALERTE")*(COUNTIF(AI31,"*"&amp;CC4:CC795&amp;"*")&gt;0)*1))</f>
        <v>0</v>
      </c>
      <c r="AV31" s="6625" cm="1">
        <f t="array" ref="AV31">IF(W31="",0,SUMPRODUCT((CA4:CA795="Lait")*(CB4:CB795="INFO")*(COUNTIF(AI31,"*"&amp;CC4:CC795&amp;"*")&gt;0)*1))</f>
        <v>0</v>
      </c>
      <c r="AW31" s="6625" cm="1">
        <f t="array" ref="AW31">IF(W31="",0,SUMPRODUCT((CA4:CA795="Lait")*(CB4:CB795="EXCL")*(COUNTIF(AI31,"*"&amp;CC4:CC795&amp;"*")&gt;0)*1))</f>
        <v>0</v>
      </c>
      <c r="AX31" s="6625" cm="1">
        <f t="array" ref="AX31">IF(W31="",0,SUMPRODUCT((CA4:CA795="Lait")*(CB4:CB795="ALERTE")*(COUNTIF(AI31,"*"&amp;CC4:CC795&amp;"*")&gt;0)*1))</f>
        <v>0</v>
      </c>
      <c r="AY31" s="6625" cm="1">
        <f t="array" ref="AY31">IF(W31="",0,SUMPRODUCT((CA4:CA795="Lait")*(CB4:CB795="SUSP")*(COUNTIF(AI31,"*"&amp;CC4:CC795&amp;"*")&gt;0)*1))</f>
        <v>0</v>
      </c>
      <c r="AZ31" s="6625" cm="1">
        <f t="array" ref="AZ31">IF(W31="",0,SUMPRODUCT((CA4:CA795="Fruits a coque")*(CB4:CB795="EXCL")*(COUNTIF(AI31,"*"&amp;CC4:CC795&amp;"*")&gt;0)*1))</f>
        <v>0</v>
      </c>
      <c r="BA31" s="6625" cm="1">
        <f t="array" ref="BA31">IF(W31="",0,SUMPRODUCT((CA4:CA795="Fruits a coque")*(CB4:CB795="ALERTE")*(COUNTIF(AI31,"*"&amp;CC4:CC795&amp;"*")&gt;0)*1))</f>
        <v>0</v>
      </c>
      <c r="BB31" s="6625" cm="1">
        <f t="array" ref="BB31">IF(W31="",0,SUMPRODUCT((CA4:CA795="Celeri")*(CB4:CB795="ALERTE")*(COUNTIF(AI31,"*"&amp;CC4:CC795&amp;"*")&gt;0)*1))</f>
        <v>0</v>
      </c>
      <c r="BC31" s="6625" cm="1">
        <f t="array" ref="BC31">IF(W31="",0,SUMPRODUCT((CA4:CA795="Moutarde")*(CB4:CB795="ALERTE")*(COUNTIF(AI31,"*"&amp;CC4:CC795&amp;"*")&gt;0)*1))</f>
        <v>0</v>
      </c>
      <c r="BD31" s="6625" cm="1">
        <f t="array" ref="BD31">IF(W31="",0,SUMPRODUCT((CA4:CA795="Sesame")*(CB4:CB795="ALERTE")*(COUNTIF(AI31,"*"&amp;CC4:CC795&amp;"*")&gt;0)*1))</f>
        <v>0</v>
      </c>
      <c r="BE31" s="6625" cm="1">
        <f t="array" ref="BE31">IF(W31="",0,SUMPRODUCT((CA4:CA795="Sulfites")*(CB4:CB795="ALERTE")*(COUNTIF(AI31,"*"&amp;CC4:CC795&amp;"*")&gt;0)*1))</f>
        <v>0</v>
      </c>
      <c r="BF31" s="6625" cm="1">
        <f t="array" ref="BF31">IF(W31="",0,SUMPRODUCT((CA4:CA795="Lupin")*(CB4:CB795="ALERTE")*(COUNTIF(AI31,"*"&amp;CC4:CC795&amp;"*")&gt;0)*1))</f>
        <v>0</v>
      </c>
      <c r="BG31" s="6625" cm="1">
        <f t="array" ref="BG31">IF(W31="",0,SUMPRODUCT((CA4:CA795="Mollusques")*(CB4:CB795="EXCL")*(COUNTIF(AI31,"*"&amp;CC4:CC795&amp;"*")&gt;0)*1))</f>
        <v>0</v>
      </c>
      <c r="BH31" s="6625" cm="1">
        <f t="array" ref="BH31">IF(W31="",0,SUMPRODUCT((CA4:CA795="Mollusques")*(CB4:CB795="ALERTE")*(COUNTIF(AI31,"*"&amp;CC4:CC795&amp;"*")&gt;0)*1))</f>
        <v>0</v>
      </c>
      <c r="BI31" s="6625" t="str">
        <f t="shared" si="25"/>
        <v/>
      </c>
      <c r="BJ31" s="6625" t="str">
        <f t="shared" si="26"/>
        <v/>
      </c>
      <c r="BK31" s="6625" t="str">
        <f t="shared" si="27"/>
        <v/>
      </c>
      <c r="BL31" s="6625" t="str">
        <f t="shared" si="28"/>
        <v/>
      </c>
      <c r="BM31" s="6625" t="str">
        <f t="shared" si="29"/>
        <v/>
      </c>
      <c r="BN31" s="6625" t="str">
        <f t="shared" si="30"/>
        <v/>
      </c>
      <c r="BO31" s="6625" t="str">
        <f t="shared" si="31"/>
        <v/>
      </c>
      <c r="BP31" s="6625" t="str">
        <f t="shared" si="32"/>
        <v/>
      </c>
      <c r="BQ31" s="6625" t="str">
        <f t="shared" si="33"/>
        <v/>
      </c>
      <c r="BR31" s="6625" t="str">
        <f t="shared" si="34"/>
        <v/>
      </c>
      <c r="BS31" s="6625" t="str">
        <f t="shared" si="35"/>
        <v/>
      </c>
      <c r="BT31" s="6625" t="str">
        <f t="shared" si="36"/>
        <v/>
      </c>
      <c r="BU31" s="6625" t="str">
        <f t="shared" si="37"/>
        <v/>
      </c>
      <c r="BV31" s="6625" t="str">
        <f t="shared" si="38"/>
        <v/>
      </c>
      <c r="BW31" s="6625" t="str">
        <f t="shared" si="39"/>
        <v/>
      </c>
      <c r="BX31" s="6625" t="str">
        <f t="shared" si="40"/>
        <v/>
      </c>
      <c r="CA31" s="3170" t="s">
        <v>16254</v>
      </c>
      <c r="CB31" s="7634" t="s">
        <v>16255</v>
      </c>
      <c r="CC31" s="3170" t="s">
        <v>16392</v>
      </c>
      <c r="CD31" s="3170" t="s">
        <v>16393</v>
      </c>
    </row>
    <row r="32" spans="2:82" ht="30" customHeight="1">
      <c r="B32" s="7661" t="str">
        <f t="shared" si="0"/>
        <v/>
      </c>
      <c r="C32" s="7661" t="str">
        <f t="shared" si="1"/>
        <v/>
      </c>
      <c r="D32" s="7661" t="str">
        <f t="shared" si="2"/>
        <v/>
      </c>
      <c r="E32" s="7661">
        <f>IF(H31&lt;&gt;"",E31,IF(E31="","",IFERROR(MATCH(TRUE(),INDEX(INDEX($K:$K,E31+1):$K$203&lt;&gt;"",0),0)+E31,"")))</f>
        <v>207</v>
      </c>
      <c r="F32" s="7661">
        <f t="shared" si="41"/>
        <v>0</v>
      </c>
      <c r="G32" s="7661" t="str">
        <f t="shared" si="3"/>
        <v>0</v>
      </c>
      <c r="H32" s="7672" t="str">
        <f t="shared" si="4"/>
        <v/>
      </c>
      <c r="I32" s="7683" t="str">
        <f t="shared" si="5"/>
        <v/>
      </c>
      <c r="J32" s="7673" t="str">
        <f>IF(K32="","",COUNTIF($K$18:K32,"&lt;&gt;"))</f>
        <v/>
      </c>
      <c r="K32" s="7674"/>
      <c r="L32" s="7673" t="str">
        <f t="shared" si="6"/>
        <v/>
      </c>
      <c r="M32" s="7630">
        <f t="shared" si="7"/>
        <v>1</v>
      </c>
      <c r="N32" s="7675">
        <f t="shared" si="8"/>
        <v>15</v>
      </c>
      <c r="O32" s="7676" t="str">
        <f t="shared" si="9"/>
        <v>0</v>
      </c>
      <c r="P32" s="7675">
        <f t="shared" si="10"/>
        <v>1</v>
      </c>
      <c r="Q32" s="7675">
        <f t="shared" si="11"/>
        <v>1</v>
      </c>
      <c r="S32" s="7679" t="str">
        <f t="shared" si="42"/>
        <v>0</v>
      </c>
      <c r="T32" s="7680" t="str">
        <f t="shared" si="12"/>
        <v/>
      </c>
      <c r="V32" s="7677">
        <f t="shared" si="13"/>
        <v>32</v>
      </c>
      <c r="W32" s="7678" t="str">
        <f t="shared" si="43"/>
        <v>0</v>
      </c>
      <c r="X32" s="7677" t="s">
        <v>2</v>
      </c>
      <c r="Y32" s="7702" t="str">
        <f t="shared" si="14"/>
        <v>0</v>
      </c>
      <c r="Z32" s="7703" t="str">
        <f t="shared" si="15"/>
        <v/>
      </c>
      <c r="AA32" s="7681" t="str">
        <f t="shared" si="16"/>
        <v>0</v>
      </c>
      <c r="AB32" s="7682" t="str">
        <f t="shared" si="17"/>
        <v/>
      </c>
      <c r="AC32" s="7677">
        <f t="shared" si="18"/>
        <v>0</v>
      </c>
      <c r="AD32" s="7677">
        <f t="shared" si="19"/>
        <v>0</v>
      </c>
      <c r="AE32" s="7682" t="str">
        <f t="shared" si="20"/>
        <v>aucun match</v>
      </c>
      <c r="AF32" s="6625" t="str">
        <f t="shared" si="21"/>
        <v>0</v>
      </c>
      <c r="AG32" s="6625" t="str">
        <f t="shared" si="22"/>
        <v>0</v>
      </c>
      <c r="AH32" s="6625" t="str">
        <f t="shared" si="23"/>
        <v>0</v>
      </c>
      <c r="AI32" s="6625" t="str">
        <f t="shared" si="24"/>
        <v xml:space="preserve"> 0 </v>
      </c>
      <c r="AJ32" s="6625" cm="1">
        <f t="array" ref="AJ32">IF(W32="",0,SUMPRODUCT((CA4:CA795="Gluten")*(CB4:CB795="INFO")*(COUNTIF(AI32,"*"&amp;CC4:CC795&amp;"*")&gt;0)*1))</f>
        <v>0</v>
      </c>
      <c r="AK32" s="6625" cm="1">
        <f t="array" ref="AK32">IF(W32="",0,SUMPRODUCT((CA4:CA795="Gluten")*(CB4:CB795="EXCL")*(COUNTIF(AI32,"*"&amp;CC4:CC795&amp;"*")&gt;0)*1))</f>
        <v>0</v>
      </c>
      <c r="AL32" s="6625" cm="1">
        <f t="array" ref="AL32">IF(W32="",0,SUMPRODUCT((CA4:CA795="Gluten")*(CB4:CB795="ALERTE")*(COUNTIF(AI32,"*"&amp;CC4:CC795&amp;"*")&gt;0)*1))</f>
        <v>0</v>
      </c>
      <c r="AM32" s="6625" cm="1">
        <f t="array" ref="AM32">IF(W32="",0,SUMPRODUCT((CA4:CA795="Gluten")*(CB4:CB795="SUSP")*(COUNTIF(AI32,"*"&amp;CC4:CC795&amp;"*")&gt;0)*1))</f>
        <v>0</v>
      </c>
      <c r="AN32" s="6625" cm="1">
        <f t="array" ref="AN32">IF(W32="",0,SUMPRODUCT((CA4:CA795="Crustaces")*(CB4:CB795="ALERTE")*(COUNTIF(AI32,"*"&amp;CC4:CC795&amp;"*")&gt;0)*1))</f>
        <v>0</v>
      </c>
      <c r="AO32" s="6625" cm="1">
        <f t="array" ref="AO32">IF(W32="",0,SUMPRODUCT((CA4:CA795="Oeufs")*(CB4:CB795="ALERTE")*(COUNTIF(AI32,"*"&amp;CC4:CC795&amp;"*")&gt;0)*1))</f>
        <v>0</v>
      </c>
      <c r="AP32" s="6625" cm="1">
        <f t="array" ref="AP32">IF(W32="",0,SUMPRODUCT((CA4:CA795="Poissons")*(CB4:CB795="INFO")*(COUNTIF(AI32,"*"&amp;CC4:CC795&amp;"*")&gt;0)*1))</f>
        <v>0</v>
      </c>
      <c r="AQ32" s="6625" cm="1">
        <f t="array" ref="AQ32">IF(W32="",0,SUMPRODUCT((CA4:CA795="Poissons")*(CB4:CB795="EXCL")*(COUNTIF(AI32,"*"&amp;CC4:CC795&amp;"*")&gt;0)*1))</f>
        <v>0</v>
      </c>
      <c r="AR32" s="6625" cm="1">
        <f t="array" ref="AR32">IF(W32="",0,SUMPRODUCT((CA4:CA795="Poissons")*(CB4:CB795="ALERTE")*(COUNTIF(AI32,"*"&amp;CC4:CC795&amp;"*")&gt;0)*1))</f>
        <v>0</v>
      </c>
      <c r="AS32" s="6625" cm="1">
        <f t="array" ref="AS32">IF(W32="",0,SUMPRODUCT((CA4:CA795="Arachides")*(CB4:CB795="ALERTE")*(COUNTIF(AI32,"*"&amp;CC4:CC795&amp;"*")&gt;0)*1))</f>
        <v>0</v>
      </c>
      <c r="AT32" s="6625" cm="1">
        <f t="array" ref="AT32">IF(W32="",0,SUMPRODUCT((CA4:CA795="Soja")*(CB4:CB795="INFO")*(COUNTIF(AI32,"*"&amp;CC4:CC795&amp;"*")&gt;0)*1))</f>
        <v>0</v>
      </c>
      <c r="AU32" s="6625" cm="1">
        <f t="array" ref="AU32">IF(W32="",0,SUMPRODUCT((CA4:CA795="Soja")*(CB4:CB795="ALERTE")*(COUNTIF(AI32,"*"&amp;CC4:CC795&amp;"*")&gt;0)*1))</f>
        <v>0</v>
      </c>
      <c r="AV32" s="6625" cm="1">
        <f t="array" ref="AV32">IF(W32="",0,SUMPRODUCT((CA4:CA795="Lait")*(CB4:CB795="INFO")*(COUNTIF(AI32,"*"&amp;CC4:CC795&amp;"*")&gt;0)*1))</f>
        <v>0</v>
      </c>
      <c r="AW32" s="6625" cm="1">
        <f t="array" ref="AW32">IF(W32="",0,SUMPRODUCT((CA4:CA795="Lait")*(CB4:CB795="EXCL")*(COUNTIF(AI32,"*"&amp;CC4:CC795&amp;"*")&gt;0)*1))</f>
        <v>0</v>
      </c>
      <c r="AX32" s="6625" cm="1">
        <f t="array" ref="AX32">IF(W32="",0,SUMPRODUCT((CA4:CA795="Lait")*(CB4:CB795="ALERTE")*(COUNTIF(AI32,"*"&amp;CC4:CC795&amp;"*")&gt;0)*1))</f>
        <v>0</v>
      </c>
      <c r="AY32" s="6625" cm="1">
        <f t="array" ref="AY32">IF(W32="",0,SUMPRODUCT((CA4:CA795="Lait")*(CB4:CB795="SUSP")*(COUNTIF(AI32,"*"&amp;CC4:CC795&amp;"*")&gt;0)*1))</f>
        <v>0</v>
      </c>
      <c r="AZ32" s="6625" cm="1">
        <f t="array" ref="AZ32">IF(W32="",0,SUMPRODUCT((CA4:CA795="Fruits a coque")*(CB4:CB795="EXCL")*(COUNTIF(AI32,"*"&amp;CC4:CC795&amp;"*")&gt;0)*1))</f>
        <v>0</v>
      </c>
      <c r="BA32" s="6625" cm="1">
        <f t="array" ref="BA32">IF(W32="",0,SUMPRODUCT((CA4:CA795="Fruits a coque")*(CB4:CB795="ALERTE")*(COUNTIF(AI32,"*"&amp;CC4:CC795&amp;"*")&gt;0)*1))</f>
        <v>0</v>
      </c>
      <c r="BB32" s="6625" cm="1">
        <f t="array" ref="BB32">IF(W32="",0,SUMPRODUCT((CA4:CA795="Celeri")*(CB4:CB795="ALERTE")*(COUNTIF(AI32,"*"&amp;CC4:CC795&amp;"*")&gt;0)*1))</f>
        <v>0</v>
      </c>
      <c r="BC32" s="6625" cm="1">
        <f t="array" ref="BC32">IF(W32="",0,SUMPRODUCT((CA4:CA795="Moutarde")*(CB4:CB795="ALERTE")*(COUNTIF(AI32,"*"&amp;CC4:CC795&amp;"*")&gt;0)*1))</f>
        <v>0</v>
      </c>
      <c r="BD32" s="6625" cm="1">
        <f t="array" ref="BD32">IF(W32="",0,SUMPRODUCT((CA4:CA795="Sesame")*(CB4:CB795="ALERTE")*(COUNTIF(AI32,"*"&amp;CC4:CC795&amp;"*")&gt;0)*1))</f>
        <v>0</v>
      </c>
      <c r="BE32" s="6625" cm="1">
        <f t="array" ref="BE32">IF(W32="",0,SUMPRODUCT((CA4:CA795="Sulfites")*(CB4:CB795="ALERTE")*(COUNTIF(AI32,"*"&amp;CC4:CC795&amp;"*")&gt;0)*1))</f>
        <v>0</v>
      </c>
      <c r="BF32" s="6625" cm="1">
        <f t="array" ref="BF32">IF(W32="",0,SUMPRODUCT((CA4:CA795="Lupin")*(CB4:CB795="ALERTE")*(COUNTIF(AI32,"*"&amp;CC4:CC795&amp;"*")&gt;0)*1))</f>
        <v>0</v>
      </c>
      <c r="BG32" s="6625" cm="1">
        <f t="array" ref="BG32">IF(W32="",0,SUMPRODUCT((CA4:CA795="Mollusques")*(CB4:CB795="EXCL")*(COUNTIF(AI32,"*"&amp;CC4:CC795&amp;"*")&gt;0)*1))</f>
        <v>0</v>
      </c>
      <c r="BH32" s="6625" cm="1">
        <f t="array" ref="BH32">IF(W32="",0,SUMPRODUCT((CA4:CA795="Mollusques")*(CB4:CB795="ALERTE")*(COUNTIF(AI32,"*"&amp;CC4:CC795&amp;"*")&gt;0)*1))</f>
        <v>0</v>
      </c>
      <c r="BI32" s="6625" t="str">
        <f t="shared" si="25"/>
        <v/>
      </c>
      <c r="BJ32" s="6625" t="str">
        <f t="shared" si="26"/>
        <v/>
      </c>
      <c r="BK32" s="6625" t="str">
        <f t="shared" si="27"/>
        <v/>
      </c>
      <c r="BL32" s="6625" t="str">
        <f t="shared" si="28"/>
        <v/>
      </c>
      <c r="BM32" s="6625" t="str">
        <f t="shared" si="29"/>
        <v/>
      </c>
      <c r="BN32" s="6625" t="str">
        <f t="shared" si="30"/>
        <v/>
      </c>
      <c r="BO32" s="6625" t="str">
        <f t="shared" si="31"/>
        <v/>
      </c>
      <c r="BP32" s="6625" t="str">
        <f t="shared" si="32"/>
        <v/>
      </c>
      <c r="BQ32" s="6625" t="str">
        <f t="shared" si="33"/>
        <v/>
      </c>
      <c r="BR32" s="6625" t="str">
        <f t="shared" si="34"/>
        <v/>
      </c>
      <c r="BS32" s="6625" t="str">
        <f t="shared" si="35"/>
        <v/>
      </c>
      <c r="BT32" s="6625" t="str">
        <f t="shared" si="36"/>
        <v/>
      </c>
      <c r="BU32" s="6625" t="str">
        <f t="shared" si="37"/>
        <v/>
      </c>
      <c r="BV32" s="6625" t="str">
        <f t="shared" si="38"/>
        <v/>
      </c>
      <c r="BW32" s="6625" t="str">
        <f t="shared" si="39"/>
        <v/>
      </c>
      <c r="BX32" s="6625" t="str">
        <f t="shared" si="40"/>
        <v/>
      </c>
      <c r="CA32" s="3170" t="s">
        <v>16254</v>
      </c>
      <c r="CB32" s="7634" t="s">
        <v>16255</v>
      </c>
      <c r="CC32" s="3170" t="s">
        <v>16394</v>
      </c>
      <c r="CD32" s="3170" t="s">
        <v>16395</v>
      </c>
    </row>
    <row r="33" spans="2:82" ht="30" customHeight="1">
      <c r="B33" s="7661" t="str">
        <f t="shared" si="0"/>
        <v/>
      </c>
      <c r="C33" s="7661" t="str">
        <f t="shared" si="1"/>
        <v/>
      </c>
      <c r="D33" s="7661" t="str">
        <f t="shared" si="2"/>
        <v/>
      </c>
      <c r="E33" s="7661">
        <f>IF(H32&lt;&gt;"",E32,IF(E32="","",IFERROR(MATCH(TRUE(),INDEX(INDEX($K:$K,E32+1):$K$203&lt;&gt;"",0),0)+E32,"")))</f>
        <v>208</v>
      </c>
      <c r="F33" s="7661">
        <f t="shared" si="41"/>
        <v>0</v>
      </c>
      <c r="G33" s="7661" t="str">
        <f t="shared" si="3"/>
        <v>0</v>
      </c>
      <c r="H33" s="7672" t="str">
        <f t="shared" si="4"/>
        <v/>
      </c>
      <c r="I33" s="7683" t="str">
        <f t="shared" si="5"/>
        <v/>
      </c>
      <c r="J33" s="7673" t="str">
        <f>IF(K33="","",COUNTIF($K$18:K33,"&lt;&gt;"))</f>
        <v/>
      </c>
      <c r="K33" s="7674"/>
      <c r="L33" s="7673" t="str">
        <f t="shared" si="6"/>
        <v/>
      </c>
      <c r="M33" s="7630">
        <f t="shared" si="7"/>
        <v>1</v>
      </c>
      <c r="N33" s="7675">
        <f t="shared" si="8"/>
        <v>16</v>
      </c>
      <c r="O33" s="7676" t="str">
        <f t="shared" si="9"/>
        <v>0</v>
      </c>
      <c r="P33" s="7675">
        <f t="shared" si="10"/>
        <v>1</v>
      </c>
      <c r="Q33" s="7675">
        <f t="shared" si="11"/>
        <v>1</v>
      </c>
      <c r="S33" s="7679" t="str">
        <f t="shared" si="42"/>
        <v>0</v>
      </c>
      <c r="T33" s="7680" t="str">
        <f t="shared" si="12"/>
        <v/>
      </c>
      <c r="V33" s="7677">
        <f t="shared" si="13"/>
        <v>33</v>
      </c>
      <c r="W33" s="7678" t="str">
        <f t="shared" si="43"/>
        <v>0</v>
      </c>
      <c r="X33" s="7677" t="s">
        <v>2</v>
      </c>
      <c r="Y33" s="7702" t="str">
        <f t="shared" si="14"/>
        <v>0</v>
      </c>
      <c r="Z33" s="7703" t="str">
        <f t="shared" si="15"/>
        <v/>
      </c>
      <c r="AA33" s="7681" t="str">
        <f t="shared" si="16"/>
        <v>0</v>
      </c>
      <c r="AB33" s="7682" t="str">
        <f t="shared" si="17"/>
        <v/>
      </c>
      <c r="AC33" s="7677">
        <f t="shared" si="18"/>
        <v>0</v>
      </c>
      <c r="AD33" s="7677">
        <f t="shared" si="19"/>
        <v>0</v>
      </c>
      <c r="AE33" s="7682" t="str">
        <f t="shared" si="20"/>
        <v>aucun match</v>
      </c>
      <c r="AF33" s="6625" t="str">
        <f t="shared" si="21"/>
        <v>0</v>
      </c>
      <c r="AG33" s="6625" t="str">
        <f t="shared" si="22"/>
        <v>0</v>
      </c>
      <c r="AH33" s="6625" t="str">
        <f t="shared" si="23"/>
        <v>0</v>
      </c>
      <c r="AI33" s="6625" t="str">
        <f t="shared" si="24"/>
        <v xml:space="preserve"> 0 </v>
      </c>
      <c r="AJ33" s="6625" cm="1">
        <f t="array" ref="AJ33">IF(W33="",0,SUMPRODUCT((CA4:CA795="Gluten")*(CB4:CB795="INFO")*(COUNTIF(AI33,"*"&amp;CC4:CC795&amp;"*")&gt;0)*1))</f>
        <v>0</v>
      </c>
      <c r="AK33" s="6625" cm="1">
        <f t="array" ref="AK33">IF(W33="",0,SUMPRODUCT((CA4:CA795="Gluten")*(CB4:CB795="EXCL")*(COUNTIF(AI33,"*"&amp;CC4:CC795&amp;"*")&gt;0)*1))</f>
        <v>0</v>
      </c>
      <c r="AL33" s="6625" cm="1">
        <f t="array" ref="AL33">IF(W33="",0,SUMPRODUCT((CA4:CA795="Gluten")*(CB4:CB795="ALERTE")*(COUNTIF(AI33,"*"&amp;CC4:CC795&amp;"*")&gt;0)*1))</f>
        <v>0</v>
      </c>
      <c r="AM33" s="6625" cm="1">
        <f t="array" ref="AM33">IF(W33="",0,SUMPRODUCT((CA4:CA795="Gluten")*(CB4:CB795="SUSP")*(COUNTIF(AI33,"*"&amp;CC4:CC795&amp;"*")&gt;0)*1))</f>
        <v>0</v>
      </c>
      <c r="AN33" s="6625" cm="1">
        <f t="array" ref="AN33">IF(W33="",0,SUMPRODUCT((CA4:CA795="Crustaces")*(CB4:CB795="ALERTE")*(COUNTIF(AI33,"*"&amp;CC4:CC795&amp;"*")&gt;0)*1))</f>
        <v>0</v>
      </c>
      <c r="AO33" s="6625" cm="1">
        <f t="array" ref="AO33">IF(W33="",0,SUMPRODUCT((CA4:CA795="Oeufs")*(CB4:CB795="ALERTE")*(COUNTIF(AI33,"*"&amp;CC4:CC795&amp;"*")&gt;0)*1))</f>
        <v>0</v>
      </c>
      <c r="AP33" s="6625" cm="1">
        <f t="array" ref="AP33">IF(W33="",0,SUMPRODUCT((CA4:CA795="Poissons")*(CB4:CB795="INFO")*(COUNTIF(AI33,"*"&amp;CC4:CC795&amp;"*")&gt;0)*1))</f>
        <v>0</v>
      </c>
      <c r="AQ33" s="6625" cm="1">
        <f t="array" ref="AQ33">IF(W33="",0,SUMPRODUCT((CA4:CA795="Poissons")*(CB4:CB795="EXCL")*(COUNTIF(AI33,"*"&amp;CC4:CC795&amp;"*")&gt;0)*1))</f>
        <v>0</v>
      </c>
      <c r="AR33" s="6625" cm="1">
        <f t="array" ref="AR33">IF(W33="",0,SUMPRODUCT((CA4:CA795="Poissons")*(CB4:CB795="ALERTE")*(COUNTIF(AI33,"*"&amp;CC4:CC795&amp;"*")&gt;0)*1))</f>
        <v>0</v>
      </c>
      <c r="AS33" s="6625" cm="1">
        <f t="array" ref="AS33">IF(W33="",0,SUMPRODUCT((CA4:CA795="Arachides")*(CB4:CB795="ALERTE")*(COUNTIF(AI33,"*"&amp;CC4:CC795&amp;"*")&gt;0)*1))</f>
        <v>0</v>
      </c>
      <c r="AT33" s="6625" cm="1">
        <f t="array" ref="AT33">IF(W33="",0,SUMPRODUCT((CA4:CA795="Soja")*(CB4:CB795="INFO")*(COUNTIF(AI33,"*"&amp;CC4:CC795&amp;"*")&gt;0)*1))</f>
        <v>0</v>
      </c>
      <c r="AU33" s="6625" cm="1">
        <f t="array" ref="AU33">IF(W33="",0,SUMPRODUCT((CA4:CA795="Soja")*(CB4:CB795="ALERTE")*(COUNTIF(AI33,"*"&amp;CC4:CC795&amp;"*")&gt;0)*1))</f>
        <v>0</v>
      </c>
      <c r="AV33" s="6625" cm="1">
        <f t="array" ref="AV33">IF(W33="",0,SUMPRODUCT((CA4:CA795="Lait")*(CB4:CB795="INFO")*(COUNTIF(AI33,"*"&amp;CC4:CC795&amp;"*")&gt;0)*1))</f>
        <v>0</v>
      </c>
      <c r="AW33" s="6625" cm="1">
        <f t="array" ref="AW33">IF(W33="",0,SUMPRODUCT((CA4:CA795="Lait")*(CB4:CB795="EXCL")*(COUNTIF(AI33,"*"&amp;CC4:CC795&amp;"*")&gt;0)*1))</f>
        <v>0</v>
      </c>
      <c r="AX33" s="6625" cm="1">
        <f t="array" ref="AX33">IF(W33="",0,SUMPRODUCT((CA4:CA795="Lait")*(CB4:CB795="ALERTE")*(COUNTIF(AI33,"*"&amp;CC4:CC795&amp;"*")&gt;0)*1))</f>
        <v>0</v>
      </c>
      <c r="AY33" s="6625" cm="1">
        <f t="array" ref="AY33">IF(W33="",0,SUMPRODUCT((CA4:CA795="Lait")*(CB4:CB795="SUSP")*(COUNTIF(AI33,"*"&amp;CC4:CC795&amp;"*")&gt;0)*1))</f>
        <v>0</v>
      </c>
      <c r="AZ33" s="6625" cm="1">
        <f t="array" ref="AZ33">IF(W33="",0,SUMPRODUCT((CA4:CA795="Fruits a coque")*(CB4:CB795="EXCL")*(COUNTIF(AI33,"*"&amp;CC4:CC795&amp;"*")&gt;0)*1))</f>
        <v>0</v>
      </c>
      <c r="BA33" s="6625" cm="1">
        <f t="array" ref="BA33">IF(W33="",0,SUMPRODUCT((CA4:CA795="Fruits a coque")*(CB4:CB795="ALERTE")*(COUNTIF(AI33,"*"&amp;CC4:CC795&amp;"*")&gt;0)*1))</f>
        <v>0</v>
      </c>
      <c r="BB33" s="6625" cm="1">
        <f t="array" ref="BB33">IF(W33="",0,SUMPRODUCT((CA4:CA795="Celeri")*(CB4:CB795="ALERTE")*(COUNTIF(AI33,"*"&amp;CC4:CC795&amp;"*")&gt;0)*1))</f>
        <v>0</v>
      </c>
      <c r="BC33" s="6625" cm="1">
        <f t="array" ref="BC33">IF(W33="",0,SUMPRODUCT((CA4:CA795="Moutarde")*(CB4:CB795="ALERTE")*(COUNTIF(AI33,"*"&amp;CC4:CC795&amp;"*")&gt;0)*1))</f>
        <v>0</v>
      </c>
      <c r="BD33" s="6625" cm="1">
        <f t="array" ref="BD33">IF(W33="",0,SUMPRODUCT((CA4:CA795="Sesame")*(CB4:CB795="ALERTE")*(COUNTIF(AI33,"*"&amp;CC4:CC795&amp;"*")&gt;0)*1))</f>
        <v>0</v>
      </c>
      <c r="BE33" s="6625" cm="1">
        <f t="array" ref="BE33">IF(W33="",0,SUMPRODUCT((CA4:CA795="Sulfites")*(CB4:CB795="ALERTE")*(COUNTIF(AI33,"*"&amp;CC4:CC795&amp;"*")&gt;0)*1))</f>
        <v>0</v>
      </c>
      <c r="BF33" s="6625" cm="1">
        <f t="array" ref="BF33">IF(W33="",0,SUMPRODUCT((CA4:CA795="Lupin")*(CB4:CB795="ALERTE")*(COUNTIF(AI33,"*"&amp;CC4:CC795&amp;"*")&gt;0)*1))</f>
        <v>0</v>
      </c>
      <c r="BG33" s="6625" cm="1">
        <f t="array" ref="BG33">IF(W33="",0,SUMPRODUCT((CA4:CA795="Mollusques")*(CB4:CB795="EXCL")*(COUNTIF(AI33,"*"&amp;CC4:CC795&amp;"*")&gt;0)*1))</f>
        <v>0</v>
      </c>
      <c r="BH33" s="6625" cm="1">
        <f t="array" ref="BH33">IF(W33="",0,SUMPRODUCT((CA4:CA795="Mollusques")*(CB4:CB795="ALERTE")*(COUNTIF(AI33,"*"&amp;CC4:CC795&amp;"*")&gt;0)*1))</f>
        <v>0</v>
      </c>
      <c r="BI33" s="6625" t="str">
        <f t="shared" si="25"/>
        <v/>
      </c>
      <c r="BJ33" s="6625" t="str">
        <f t="shared" si="26"/>
        <v/>
      </c>
      <c r="BK33" s="6625" t="str">
        <f t="shared" si="27"/>
        <v/>
      </c>
      <c r="BL33" s="6625" t="str">
        <f t="shared" si="28"/>
        <v/>
      </c>
      <c r="BM33" s="6625" t="str">
        <f t="shared" si="29"/>
        <v/>
      </c>
      <c r="BN33" s="6625" t="str">
        <f t="shared" si="30"/>
        <v/>
      </c>
      <c r="BO33" s="6625" t="str">
        <f t="shared" si="31"/>
        <v/>
      </c>
      <c r="BP33" s="6625" t="str">
        <f t="shared" si="32"/>
        <v/>
      </c>
      <c r="BQ33" s="6625" t="str">
        <f t="shared" si="33"/>
        <v/>
      </c>
      <c r="BR33" s="6625" t="str">
        <f t="shared" si="34"/>
        <v/>
      </c>
      <c r="BS33" s="6625" t="str">
        <f t="shared" si="35"/>
        <v/>
      </c>
      <c r="BT33" s="6625" t="str">
        <f t="shared" si="36"/>
        <v/>
      </c>
      <c r="BU33" s="6625" t="str">
        <f t="shared" si="37"/>
        <v/>
      </c>
      <c r="BV33" s="6625" t="str">
        <f t="shared" si="38"/>
        <v/>
      </c>
      <c r="BW33" s="6625" t="str">
        <f t="shared" si="39"/>
        <v/>
      </c>
      <c r="BX33" s="6625" t="str">
        <f t="shared" si="40"/>
        <v/>
      </c>
      <c r="CA33" s="3170" t="s">
        <v>16254</v>
      </c>
      <c r="CB33" s="7634" t="s">
        <v>16255</v>
      </c>
      <c r="CC33" s="3170" t="s">
        <v>16396</v>
      </c>
      <c r="CD33" s="3170" t="s">
        <v>16397</v>
      </c>
    </row>
    <row r="34" spans="2:82" ht="30" customHeight="1">
      <c r="B34" s="7661" t="str">
        <f t="shared" si="0"/>
        <v/>
      </c>
      <c r="C34" s="7661" t="str">
        <f t="shared" si="1"/>
        <v/>
      </c>
      <c r="D34" s="7661" t="str">
        <f t="shared" si="2"/>
        <v/>
      </c>
      <c r="E34" s="7661">
        <f>IF(H33&lt;&gt;"",E33,IF(E33="","",IFERROR(MATCH(TRUE(),INDEX(INDEX($K:$K,E33+1):$K$203&lt;&gt;"",0),0)+E33,"")))</f>
        <v>209</v>
      </c>
      <c r="F34" s="7661">
        <f t="shared" si="41"/>
        <v>0</v>
      </c>
      <c r="G34" s="7661" t="str">
        <f t="shared" si="3"/>
        <v>0</v>
      </c>
      <c r="H34" s="7672" t="str">
        <f t="shared" si="4"/>
        <v/>
      </c>
      <c r="I34" s="7683" t="str">
        <f t="shared" si="5"/>
        <v/>
      </c>
      <c r="J34" s="7673" t="str">
        <f>IF(K34="","",COUNTIF($K$18:K34,"&lt;&gt;"))</f>
        <v/>
      </c>
      <c r="K34" s="7674"/>
      <c r="L34" s="7673" t="str">
        <f t="shared" si="6"/>
        <v/>
      </c>
      <c r="M34" s="7630">
        <f t="shared" si="7"/>
        <v>1</v>
      </c>
      <c r="N34" s="7675">
        <f t="shared" si="8"/>
        <v>17</v>
      </c>
      <c r="O34" s="7676" t="str">
        <f t="shared" si="9"/>
        <v>0</v>
      </c>
      <c r="P34" s="7675">
        <f t="shared" si="10"/>
        <v>1</v>
      </c>
      <c r="Q34" s="7675">
        <f t="shared" si="11"/>
        <v>1</v>
      </c>
      <c r="S34" s="7679" t="str">
        <f t="shared" si="42"/>
        <v>0</v>
      </c>
      <c r="T34" s="7680" t="str">
        <f t="shared" si="12"/>
        <v/>
      </c>
      <c r="V34" s="7677">
        <f t="shared" si="13"/>
        <v>34</v>
      </c>
      <c r="W34" s="7678" t="str">
        <f t="shared" si="43"/>
        <v>0</v>
      </c>
      <c r="X34" s="7677" t="s">
        <v>2</v>
      </c>
      <c r="Y34" s="7702" t="str">
        <f t="shared" si="14"/>
        <v>0</v>
      </c>
      <c r="Z34" s="7703" t="str">
        <f t="shared" si="15"/>
        <v/>
      </c>
      <c r="AA34" s="7681" t="str">
        <f t="shared" si="16"/>
        <v>0</v>
      </c>
      <c r="AB34" s="7682" t="str">
        <f t="shared" si="17"/>
        <v/>
      </c>
      <c r="AC34" s="7677">
        <f t="shared" si="18"/>
        <v>0</v>
      </c>
      <c r="AD34" s="7677">
        <f t="shared" si="19"/>
        <v>0</v>
      </c>
      <c r="AE34" s="7682" t="str">
        <f t="shared" si="20"/>
        <v>aucun match</v>
      </c>
      <c r="AF34" s="6625" t="str">
        <f t="shared" si="21"/>
        <v>0</v>
      </c>
      <c r="AG34" s="6625" t="str">
        <f t="shared" si="22"/>
        <v>0</v>
      </c>
      <c r="AH34" s="6625" t="str">
        <f t="shared" si="23"/>
        <v>0</v>
      </c>
      <c r="AI34" s="6625" t="str">
        <f t="shared" si="24"/>
        <v xml:space="preserve"> 0 </v>
      </c>
      <c r="AJ34" s="6625" cm="1">
        <f t="array" ref="AJ34">IF(W34="",0,SUMPRODUCT((CA4:CA795="Gluten")*(CB4:CB795="INFO")*(COUNTIF(AI34,"*"&amp;CC4:CC795&amp;"*")&gt;0)*1))</f>
        <v>0</v>
      </c>
      <c r="AK34" s="6625" cm="1">
        <f t="array" ref="AK34">IF(W34="",0,SUMPRODUCT((CA4:CA795="Gluten")*(CB4:CB795="EXCL")*(COUNTIF(AI34,"*"&amp;CC4:CC795&amp;"*")&gt;0)*1))</f>
        <v>0</v>
      </c>
      <c r="AL34" s="6625" cm="1">
        <f t="array" ref="AL34">IF(W34="",0,SUMPRODUCT((CA4:CA795="Gluten")*(CB4:CB795="ALERTE")*(COUNTIF(AI34,"*"&amp;CC4:CC795&amp;"*")&gt;0)*1))</f>
        <v>0</v>
      </c>
      <c r="AM34" s="6625" cm="1">
        <f t="array" ref="AM34">IF(W34="",0,SUMPRODUCT((CA4:CA795="Gluten")*(CB4:CB795="SUSP")*(COUNTIF(AI34,"*"&amp;CC4:CC795&amp;"*")&gt;0)*1))</f>
        <v>0</v>
      </c>
      <c r="AN34" s="6625" cm="1">
        <f t="array" ref="AN34">IF(W34="",0,SUMPRODUCT((CA4:CA795="Crustaces")*(CB4:CB795="ALERTE")*(COUNTIF(AI34,"*"&amp;CC4:CC795&amp;"*")&gt;0)*1))</f>
        <v>0</v>
      </c>
      <c r="AO34" s="6625" cm="1">
        <f t="array" ref="AO34">IF(W34="",0,SUMPRODUCT((CA4:CA795="Oeufs")*(CB4:CB795="ALERTE")*(COUNTIF(AI34,"*"&amp;CC4:CC795&amp;"*")&gt;0)*1))</f>
        <v>0</v>
      </c>
      <c r="AP34" s="6625" cm="1">
        <f t="array" ref="AP34">IF(W34="",0,SUMPRODUCT((CA4:CA795="Poissons")*(CB4:CB795="INFO")*(COUNTIF(AI34,"*"&amp;CC4:CC795&amp;"*")&gt;0)*1))</f>
        <v>0</v>
      </c>
      <c r="AQ34" s="6625" cm="1">
        <f t="array" ref="AQ34">IF(W34="",0,SUMPRODUCT((CA4:CA795="Poissons")*(CB4:CB795="EXCL")*(COUNTIF(AI34,"*"&amp;CC4:CC795&amp;"*")&gt;0)*1))</f>
        <v>0</v>
      </c>
      <c r="AR34" s="6625" cm="1">
        <f t="array" ref="AR34">IF(W34="",0,SUMPRODUCT((CA4:CA795="Poissons")*(CB4:CB795="ALERTE")*(COUNTIF(AI34,"*"&amp;CC4:CC795&amp;"*")&gt;0)*1))</f>
        <v>0</v>
      </c>
      <c r="AS34" s="6625" cm="1">
        <f t="array" ref="AS34">IF(W34="",0,SUMPRODUCT((CA4:CA795="Arachides")*(CB4:CB795="ALERTE")*(COUNTIF(AI34,"*"&amp;CC4:CC795&amp;"*")&gt;0)*1))</f>
        <v>0</v>
      </c>
      <c r="AT34" s="6625" cm="1">
        <f t="array" ref="AT34">IF(W34="",0,SUMPRODUCT((CA4:CA795="Soja")*(CB4:CB795="INFO")*(COUNTIF(AI34,"*"&amp;CC4:CC795&amp;"*")&gt;0)*1))</f>
        <v>0</v>
      </c>
      <c r="AU34" s="6625" cm="1">
        <f t="array" ref="AU34">IF(W34="",0,SUMPRODUCT((CA4:CA795="Soja")*(CB4:CB795="ALERTE")*(COUNTIF(AI34,"*"&amp;CC4:CC795&amp;"*")&gt;0)*1))</f>
        <v>0</v>
      </c>
      <c r="AV34" s="6625" cm="1">
        <f t="array" ref="AV34">IF(W34="",0,SUMPRODUCT((CA4:CA795="Lait")*(CB4:CB795="INFO")*(COUNTIF(AI34,"*"&amp;CC4:CC795&amp;"*")&gt;0)*1))</f>
        <v>0</v>
      </c>
      <c r="AW34" s="6625" cm="1">
        <f t="array" ref="AW34">IF(W34="",0,SUMPRODUCT((CA4:CA795="Lait")*(CB4:CB795="EXCL")*(COUNTIF(AI34,"*"&amp;CC4:CC795&amp;"*")&gt;0)*1))</f>
        <v>0</v>
      </c>
      <c r="AX34" s="6625" cm="1">
        <f t="array" ref="AX34">IF(W34="",0,SUMPRODUCT((CA4:CA795="Lait")*(CB4:CB795="ALERTE")*(COUNTIF(AI34,"*"&amp;CC4:CC795&amp;"*")&gt;0)*1))</f>
        <v>0</v>
      </c>
      <c r="AY34" s="6625" cm="1">
        <f t="array" ref="AY34">IF(W34="",0,SUMPRODUCT((CA4:CA795="Lait")*(CB4:CB795="SUSP")*(COUNTIF(AI34,"*"&amp;CC4:CC795&amp;"*")&gt;0)*1))</f>
        <v>0</v>
      </c>
      <c r="AZ34" s="6625" cm="1">
        <f t="array" ref="AZ34">IF(W34="",0,SUMPRODUCT((CA4:CA795="Fruits a coque")*(CB4:CB795="EXCL")*(COUNTIF(AI34,"*"&amp;CC4:CC795&amp;"*")&gt;0)*1))</f>
        <v>0</v>
      </c>
      <c r="BA34" s="6625" cm="1">
        <f t="array" ref="BA34">IF(W34="",0,SUMPRODUCT((CA4:CA795="Fruits a coque")*(CB4:CB795="ALERTE")*(COUNTIF(AI34,"*"&amp;CC4:CC795&amp;"*")&gt;0)*1))</f>
        <v>0</v>
      </c>
      <c r="BB34" s="6625" cm="1">
        <f t="array" ref="BB34">IF(W34="",0,SUMPRODUCT((CA4:CA795="Celeri")*(CB4:CB795="ALERTE")*(COUNTIF(AI34,"*"&amp;CC4:CC795&amp;"*")&gt;0)*1))</f>
        <v>0</v>
      </c>
      <c r="BC34" s="6625" cm="1">
        <f t="array" ref="BC34">IF(W34="",0,SUMPRODUCT((CA4:CA795="Moutarde")*(CB4:CB795="ALERTE")*(COUNTIF(AI34,"*"&amp;CC4:CC795&amp;"*")&gt;0)*1))</f>
        <v>0</v>
      </c>
      <c r="BD34" s="6625" cm="1">
        <f t="array" ref="BD34">IF(W34="",0,SUMPRODUCT((CA4:CA795="Sesame")*(CB4:CB795="ALERTE")*(COUNTIF(AI34,"*"&amp;CC4:CC795&amp;"*")&gt;0)*1))</f>
        <v>0</v>
      </c>
      <c r="BE34" s="6625" cm="1">
        <f t="array" ref="BE34">IF(W34="",0,SUMPRODUCT((CA4:CA795="Sulfites")*(CB4:CB795="ALERTE")*(COUNTIF(AI34,"*"&amp;CC4:CC795&amp;"*")&gt;0)*1))</f>
        <v>0</v>
      </c>
      <c r="BF34" s="6625" cm="1">
        <f t="array" ref="BF34">IF(W34="",0,SUMPRODUCT((CA4:CA795="Lupin")*(CB4:CB795="ALERTE")*(COUNTIF(AI34,"*"&amp;CC4:CC795&amp;"*")&gt;0)*1))</f>
        <v>0</v>
      </c>
      <c r="BG34" s="6625" cm="1">
        <f t="array" ref="BG34">IF(W34="",0,SUMPRODUCT((CA4:CA795="Mollusques")*(CB4:CB795="EXCL")*(COUNTIF(AI34,"*"&amp;CC4:CC795&amp;"*")&gt;0)*1))</f>
        <v>0</v>
      </c>
      <c r="BH34" s="6625" cm="1">
        <f t="array" ref="BH34">IF(W34="",0,SUMPRODUCT((CA4:CA795="Mollusques")*(CB4:CB795="ALERTE")*(COUNTIF(AI34,"*"&amp;CC4:CC795&amp;"*")&gt;0)*1))</f>
        <v>0</v>
      </c>
      <c r="BI34" s="6625" t="str">
        <f t="shared" si="25"/>
        <v/>
      </c>
      <c r="BJ34" s="6625" t="str">
        <f t="shared" si="26"/>
        <v/>
      </c>
      <c r="BK34" s="6625" t="str">
        <f t="shared" si="27"/>
        <v/>
      </c>
      <c r="BL34" s="6625" t="str">
        <f t="shared" si="28"/>
        <v/>
      </c>
      <c r="BM34" s="6625" t="str">
        <f t="shared" si="29"/>
        <v/>
      </c>
      <c r="BN34" s="6625" t="str">
        <f t="shared" si="30"/>
        <v/>
      </c>
      <c r="BO34" s="6625" t="str">
        <f t="shared" si="31"/>
        <v/>
      </c>
      <c r="BP34" s="6625" t="str">
        <f t="shared" si="32"/>
        <v/>
      </c>
      <c r="BQ34" s="6625" t="str">
        <f t="shared" si="33"/>
        <v/>
      </c>
      <c r="BR34" s="6625" t="str">
        <f t="shared" si="34"/>
        <v/>
      </c>
      <c r="BS34" s="6625" t="str">
        <f t="shared" si="35"/>
        <v/>
      </c>
      <c r="BT34" s="6625" t="str">
        <f t="shared" si="36"/>
        <v/>
      </c>
      <c r="BU34" s="6625" t="str">
        <f t="shared" si="37"/>
        <v/>
      </c>
      <c r="BV34" s="6625" t="str">
        <f t="shared" si="38"/>
        <v/>
      </c>
      <c r="BW34" s="6625" t="str">
        <f t="shared" si="39"/>
        <v/>
      </c>
      <c r="BX34" s="6625" t="str">
        <f t="shared" si="40"/>
        <v/>
      </c>
      <c r="CA34" s="3170" t="s">
        <v>16254</v>
      </c>
      <c r="CB34" s="7634" t="s">
        <v>16255</v>
      </c>
      <c r="CC34" s="3170" t="s">
        <v>16398</v>
      </c>
      <c r="CD34" s="3170" t="s">
        <v>16399</v>
      </c>
    </row>
    <row r="35" spans="2:82" ht="30" customHeight="1">
      <c r="B35" s="7661" t="str">
        <f t="shared" si="0"/>
        <v/>
      </c>
      <c r="C35" s="7661" t="str">
        <f t="shared" si="1"/>
        <v/>
      </c>
      <c r="D35" s="7661" t="str">
        <f t="shared" si="2"/>
        <v/>
      </c>
      <c r="E35" s="7661">
        <f>IF(H34&lt;&gt;"",E34,IF(E34="","",IFERROR(MATCH(TRUE(),INDEX(INDEX($K:$K,E34+1):$K$203&lt;&gt;"",0),0)+E34,"")))</f>
        <v>210</v>
      </c>
      <c r="F35" s="7661">
        <f t="shared" si="41"/>
        <v>0</v>
      </c>
      <c r="G35" s="7661" t="str">
        <f t="shared" si="3"/>
        <v>0</v>
      </c>
      <c r="H35" s="7672" t="str">
        <f t="shared" si="4"/>
        <v/>
      </c>
      <c r="I35" s="7683" t="str">
        <f t="shared" si="5"/>
        <v/>
      </c>
      <c r="J35" s="7673" t="str">
        <f>IF(K35="","",COUNTIF($K$18:K35,"&lt;&gt;"))</f>
        <v/>
      </c>
      <c r="K35" s="7674"/>
      <c r="L35" s="7673" t="str">
        <f t="shared" si="6"/>
        <v/>
      </c>
      <c r="M35" s="7630">
        <f t="shared" si="7"/>
        <v>1</v>
      </c>
      <c r="N35" s="7675">
        <f t="shared" si="8"/>
        <v>18</v>
      </c>
      <c r="O35" s="7676" t="str">
        <f t="shared" si="9"/>
        <v>0</v>
      </c>
      <c r="P35" s="7675">
        <f t="shared" si="10"/>
        <v>1</v>
      </c>
      <c r="Q35" s="7675">
        <f t="shared" si="11"/>
        <v>1</v>
      </c>
      <c r="S35" s="7679" t="str">
        <f t="shared" si="42"/>
        <v>0</v>
      </c>
      <c r="T35" s="7680" t="str">
        <f t="shared" si="12"/>
        <v/>
      </c>
      <c r="V35" s="7677">
        <f t="shared" si="13"/>
        <v>35</v>
      </c>
      <c r="W35" s="7678" t="str">
        <f t="shared" si="43"/>
        <v>0</v>
      </c>
      <c r="X35" s="7677" t="s">
        <v>2</v>
      </c>
      <c r="Y35" s="7702" t="str">
        <f t="shared" si="14"/>
        <v>0</v>
      </c>
      <c r="Z35" s="7703" t="str">
        <f t="shared" si="15"/>
        <v/>
      </c>
      <c r="AA35" s="7681" t="str">
        <f t="shared" si="16"/>
        <v>0</v>
      </c>
      <c r="AB35" s="7682" t="str">
        <f t="shared" si="17"/>
        <v/>
      </c>
      <c r="AC35" s="7677">
        <f t="shared" si="18"/>
        <v>0</v>
      </c>
      <c r="AD35" s="7677">
        <f t="shared" si="19"/>
        <v>0</v>
      </c>
      <c r="AE35" s="7682" t="str">
        <f t="shared" si="20"/>
        <v>aucun match</v>
      </c>
      <c r="AF35" s="6625" t="str">
        <f t="shared" si="21"/>
        <v>0</v>
      </c>
      <c r="AG35" s="6625" t="str">
        <f t="shared" si="22"/>
        <v>0</v>
      </c>
      <c r="AH35" s="6625" t="str">
        <f t="shared" si="23"/>
        <v>0</v>
      </c>
      <c r="AI35" s="6625" t="str">
        <f t="shared" si="24"/>
        <v xml:space="preserve"> 0 </v>
      </c>
      <c r="AJ35" s="6625" cm="1">
        <f t="array" ref="AJ35">IF(W35="",0,SUMPRODUCT((CA4:CA795="Gluten")*(CB4:CB795="INFO")*(COUNTIF(AI35,"*"&amp;CC4:CC795&amp;"*")&gt;0)*1))</f>
        <v>0</v>
      </c>
      <c r="AK35" s="6625" cm="1">
        <f t="array" ref="AK35">IF(W35="",0,SUMPRODUCT((CA4:CA795="Gluten")*(CB4:CB795="EXCL")*(COUNTIF(AI35,"*"&amp;CC4:CC795&amp;"*")&gt;0)*1))</f>
        <v>0</v>
      </c>
      <c r="AL35" s="6625" cm="1">
        <f t="array" ref="AL35">IF(W35="",0,SUMPRODUCT((CA4:CA795="Gluten")*(CB4:CB795="ALERTE")*(COUNTIF(AI35,"*"&amp;CC4:CC795&amp;"*")&gt;0)*1))</f>
        <v>0</v>
      </c>
      <c r="AM35" s="6625" cm="1">
        <f t="array" ref="AM35">IF(W35="",0,SUMPRODUCT((CA4:CA795="Gluten")*(CB4:CB795="SUSP")*(COUNTIF(AI35,"*"&amp;CC4:CC795&amp;"*")&gt;0)*1))</f>
        <v>0</v>
      </c>
      <c r="AN35" s="6625" cm="1">
        <f t="array" ref="AN35">IF(W35="",0,SUMPRODUCT((CA4:CA795="Crustaces")*(CB4:CB795="ALERTE")*(COUNTIF(AI35,"*"&amp;CC4:CC795&amp;"*")&gt;0)*1))</f>
        <v>0</v>
      </c>
      <c r="AO35" s="6625" cm="1">
        <f t="array" ref="AO35">IF(W35="",0,SUMPRODUCT((CA4:CA795="Oeufs")*(CB4:CB795="ALERTE")*(COUNTIF(AI35,"*"&amp;CC4:CC795&amp;"*")&gt;0)*1))</f>
        <v>0</v>
      </c>
      <c r="AP35" s="6625" cm="1">
        <f t="array" ref="AP35">IF(W35="",0,SUMPRODUCT((CA4:CA795="Poissons")*(CB4:CB795="INFO")*(COUNTIF(AI35,"*"&amp;CC4:CC795&amp;"*")&gt;0)*1))</f>
        <v>0</v>
      </c>
      <c r="AQ35" s="6625" cm="1">
        <f t="array" ref="AQ35">IF(W35="",0,SUMPRODUCT((CA4:CA795="Poissons")*(CB4:CB795="EXCL")*(COUNTIF(AI35,"*"&amp;CC4:CC795&amp;"*")&gt;0)*1))</f>
        <v>0</v>
      </c>
      <c r="AR35" s="6625" cm="1">
        <f t="array" ref="AR35">IF(W35="",0,SUMPRODUCT((CA4:CA795="Poissons")*(CB4:CB795="ALERTE")*(COUNTIF(AI35,"*"&amp;CC4:CC795&amp;"*")&gt;0)*1))</f>
        <v>0</v>
      </c>
      <c r="AS35" s="6625" cm="1">
        <f t="array" ref="AS35">IF(W35="",0,SUMPRODUCT((CA4:CA795="Arachides")*(CB4:CB795="ALERTE")*(COUNTIF(AI35,"*"&amp;CC4:CC795&amp;"*")&gt;0)*1))</f>
        <v>0</v>
      </c>
      <c r="AT35" s="6625" cm="1">
        <f t="array" ref="AT35">IF(W35="",0,SUMPRODUCT((CA4:CA795="Soja")*(CB4:CB795="INFO")*(COUNTIF(AI35,"*"&amp;CC4:CC795&amp;"*")&gt;0)*1))</f>
        <v>0</v>
      </c>
      <c r="AU35" s="6625" cm="1">
        <f t="array" ref="AU35">IF(W35="",0,SUMPRODUCT((CA4:CA795="Soja")*(CB4:CB795="ALERTE")*(COUNTIF(AI35,"*"&amp;CC4:CC795&amp;"*")&gt;0)*1))</f>
        <v>0</v>
      </c>
      <c r="AV35" s="6625" cm="1">
        <f t="array" ref="AV35">IF(W35="",0,SUMPRODUCT((CA4:CA795="Lait")*(CB4:CB795="INFO")*(COUNTIF(AI35,"*"&amp;CC4:CC795&amp;"*")&gt;0)*1))</f>
        <v>0</v>
      </c>
      <c r="AW35" s="6625" cm="1">
        <f t="array" ref="AW35">IF(W35="",0,SUMPRODUCT((CA4:CA795="Lait")*(CB4:CB795="EXCL")*(COUNTIF(AI35,"*"&amp;CC4:CC795&amp;"*")&gt;0)*1))</f>
        <v>0</v>
      </c>
      <c r="AX35" s="6625" cm="1">
        <f t="array" ref="AX35">IF(W35="",0,SUMPRODUCT((CA4:CA795="Lait")*(CB4:CB795="ALERTE")*(COUNTIF(AI35,"*"&amp;CC4:CC795&amp;"*")&gt;0)*1))</f>
        <v>0</v>
      </c>
      <c r="AY35" s="6625" cm="1">
        <f t="array" ref="AY35">IF(W35="",0,SUMPRODUCT((CA4:CA795="Lait")*(CB4:CB795="SUSP")*(COUNTIF(AI35,"*"&amp;CC4:CC795&amp;"*")&gt;0)*1))</f>
        <v>0</v>
      </c>
      <c r="AZ35" s="6625" cm="1">
        <f t="array" ref="AZ35">IF(W35="",0,SUMPRODUCT((CA4:CA795="Fruits a coque")*(CB4:CB795="EXCL")*(COUNTIF(AI35,"*"&amp;CC4:CC795&amp;"*")&gt;0)*1))</f>
        <v>0</v>
      </c>
      <c r="BA35" s="6625" cm="1">
        <f t="array" ref="BA35">IF(W35="",0,SUMPRODUCT((CA4:CA795="Fruits a coque")*(CB4:CB795="ALERTE")*(COUNTIF(AI35,"*"&amp;CC4:CC795&amp;"*")&gt;0)*1))</f>
        <v>0</v>
      </c>
      <c r="BB35" s="6625" cm="1">
        <f t="array" ref="BB35">IF(W35="",0,SUMPRODUCT((CA4:CA795="Celeri")*(CB4:CB795="ALERTE")*(COUNTIF(AI35,"*"&amp;CC4:CC795&amp;"*")&gt;0)*1))</f>
        <v>0</v>
      </c>
      <c r="BC35" s="6625" cm="1">
        <f t="array" ref="BC35">IF(W35="",0,SUMPRODUCT((CA4:CA795="Moutarde")*(CB4:CB795="ALERTE")*(COUNTIF(AI35,"*"&amp;CC4:CC795&amp;"*")&gt;0)*1))</f>
        <v>0</v>
      </c>
      <c r="BD35" s="6625" cm="1">
        <f t="array" ref="BD35">IF(W35="",0,SUMPRODUCT((CA4:CA795="Sesame")*(CB4:CB795="ALERTE")*(COUNTIF(AI35,"*"&amp;CC4:CC795&amp;"*")&gt;0)*1))</f>
        <v>0</v>
      </c>
      <c r="BE35" s="6625" cm="1">
        <f t="array" ref="BE35">IF(W35="",0,SUMPRODUCT((CA4:CA795="Sulfites")*(CB4:CB795="ALERTE")*(COUNTIF(AI35,"*"&amp;CC4:CC795&amp;"*")&gt;0)*1))</f>
        <v>0</v>
      </c>
      <c r="BF35" s="6625" cm="1">
        <f t="array" ref="BF35">IF(W35="",0,SUMPRODUCT((CA4:CA795="Lupin")*(CB4:CB795="ALERTE")*(COUNTIF(AI35,"*"&amp;CC4:CC795&amp;"*")&gt;0)*1))</f>
        <v>0</v>
      </c>
      <c r="BG35" s="6625" cm="1">
        <f t="array" ref="BG35">IF(W35="",0,SUMPRODUCT((CA4:CA795="Mollusques")*(CB4:CB795="EXCL")*(COUNTIF(AI35,"*"&amp;CC4:CC795&amp;"*")&gt;0)*1))</f>
        <v>0</v>
      </c>
      <c r="BH35" s="6625" cm="1">
        <f t="array" ref="BH35">IF(W35="",0,SUMPRODUCT((CA4:CA795="Mollusques")*(CB4:CB795="ALERTE")*(COUNTIF(AI35,"*"&amp;CC4:CC795&amp;"*")&gt;0)*1))</f>
        <v>0</v>
      </c>
      <c r="BI35" s="6625" t="str">
        <f t="shared" si="25"/>
        <v/>
      </c>
      <c r="BJ35" s="6625" t="str">
        <f t="shared" si="26"/>
        <v/>
      </c>
      <c r="BK35" s="6625" t="str">
        <f t="shared" si="27"/>
        <v/>
      </c>
      <c r="BL35" s="6625" t="str">
        <f t="shared" si="28"/>
        <v/>
      </c>
      <c r="BM35" s="6625" t="str">
        <f t="shared" si="29"/>
        <v/>
      </c>
      <c r="BN35" s="6625" t="str">
        <f t="shared" si="30"/>
        <v/>
      </c>
      <c r="BO35" s="6625" t="str">
        <f t="shared" si="31"/>
        <v/>
      </c>
      <c r="BP35" s="6625" t="str">
        <f t="shared" si="32"/>
        <v/>
      </c>
      <c r="BQ35" s="6625" t="str">
        <f t="shared" si="33"/>
        <v/>
      </c>
      <c r="BR35" s="6625" t="str">
        <f t="shared" si="34"/>
        <v/>
      </c>
      <c r="BS35" s="6625" t="str">
        <f t="shared" si="35"/>
        <v/>
      </c>
      <c r="BT35" s="6625" t="str">
        <f t="shared" si="36"/>
        <v/>
      </c>
      <c r="BU35" s="6625" t="str">
        <f t="shared" si="37"/>
        <v/>
      </c>
      <c r="BV35" s="6625" t="str">
        <f t="shared" si="38"/>
        <v/>
      </c>
      <c r="BW35" s="6625" t="str">
        <f t="shared" si="39"/>
        <v/>
      </c>
      <c r="BX35" s="6625" t="str">
        <f t="shared" si="40"/>
        <v/>
      </c>
      <c r="CA35" s="3170" t="s">
        <v>16254</v>
      </c>
      <c r="CB35" s="7634" t="s">
        <v>16255</v>
      </c>
      <c r="CC35" s="3170" t="s">
        <v>16400</v>
      </c>
      <c r="CD35" s="3170" t="s">
        <v>16401</v>
      </c>
    </row>
    <row r="36" spans="2:82" ht="30" customHeight="1">
      <c r="B36" s="7661" t="str">
        <f t="shared" si="0"/>
        <v/>
      </c>
      <c r="C36" s="7661" t="str">
        <f t="shared" si="1"/>
        <v/>
      </c>
      <c r="D36" s="7661" t="str">
        <f t="shared" si="2"/>
        <v/>
      </c>
      <c r="E36" s="7661">
        <f>IF(H35&lt;&gt;"",E35,IF(E35="","",IFERROR(MATCH(TRUE(),INDEX(INDEX($K:$K,E35+1):$K$203&lt;&gt;"",0),0)+E35,"")))</f>
        <v>211</v>
      </c>
      <c r="F36" s="7661">
        <f t="shared" si="41"/>
        <v>0</v>
      </c>
      <c r="G36" s="7661" t="str">
        <f t="shared" si="3"/>
        <v>0</v>
      </c>
      <c r="H36" s="7672" t="str">
        <f t="shared" si="4"/>
        <v/>
      </c>
      <c r="I36" s="7683" t="str">
        <f t="shared" si="5"/>
        <v/>
      </c>
      <c r="J36" s="7673" t="str">
        <f>IF(K36="","",COUNTIF($K$18:K36,"&lt;&gt;"))</f>
        <v/>
      </c>
      <c r="K36" s="7674"/>
      <c r="L36" s="7673" t="str">
        <f t="shared" si="6"/>
        <v/>
      </c>
      <c r="M36" s="7630">
        <f t="shared" si="7"/>
        <v>1</v>
      </c>
      <c r="N36" s="7675">
        <f t="shared" si="8"/>
        <v>19</v>
      </c>
      <c r="O36" s="7676" t="str">
        <f t="shared" si="9"/>
        <v>0</v>
      </c>
      <c r="P36" s="7675">
        <f t="shared" si="10"/>
        <v>1</v>
      </c>
      <c r="Q36" s="7675">
        <f t="shared" si="11"/>
        <v>1</v>
      </c>
      <c r="S36" s="7679" t="str">
        <f t="shared" si="42"/>
        <v>0</v>
      </c>
      <c r="T36" s="7680" t="str">
        <f t="shared" si="12"/>
        <v/>
      </c>
      <c r="V36" s="7677">
        <f t="shared" si="13"/>
        <v>36</v>
      </c>
      <c r="W36" s="7678" t="str">
        <f t="shared" si="43"/>
        <v>0</v>
      </c>
      <c r="X36" s="7677" t="s">
        <v>2</v>
      </c>
      <c r="Y36" s="7702" t="str">
        <f t="shared" si="14"/>
        <v>0</v>
      </c>
      <c r="Z36" s="7703" t="str">
        <f t="shared" si="15"/>
        <v/>
      </c>
      <c r="AA36" s="7681" t="str">
        <f t="shared" si="16"/>
        <v>0</v>
      </c>
      <c r="AB36" s="7682" t="str">
        <f t="shared" si="17"/>
        <v/>
      </c>
      <c r="AC36" s="7677">
        <f t="shared" si="18"/>
        <v>0</v>
      </c>
      <c r="AD36" s="7677">
        <f t="shared" si="19"/>
        <v>0</v>
      </c>
      <c r="AE36" s="7682" t="str">
        <f t="shared" si="20"/>
        <v>aucun match</v>
      </c>
      <c r="AF36" s="6625" t="str">
        <f t="shared" si="21"/>
        <v>0</v>
      </c>
      <c r="AG36" s="6625" t="str">
        <f t="shared" si="22"/>
        <v>0</v>
      </c>
      <c r="AH36" s="6625" t="str">
        <f t="shared" si="23"/>
        <v>0</v>
      </c>
      <c r="AI36" s="6625" t="str">
        <f t="shared" si="24"/>
        <v xml:space="preserve"> 0 </v>
      </c>
      <c r="AJ36" s="6625" cm="1">
        <f t="array" ref="AJ36">IF(W36="",0,SUMPRODUCT((CA4:CA795="Gluten")*(CB4:CB795="INFO")*(COUNTIF(AI36,"*"&amp;CC4:CC795&amp;"*")&gt;0)*1))</f>
        <v>0</v>
      </c>
      <c r="AK36" s="6625" cm="1">
        <f t="array" ref="AK36">IF(W36="",0,SUMPRODUCT((CA4:CA795="Gluten")*(CB4:CB795="EXCL")*(COUNTIF(AI36,"*"&amp;CC4:CC795&amp;"*")&gt;0)*1))</f>
        <v>0</v>
      </c>
      <c r="AL36" s="6625" cm="1">
        <f t="array" ref="AL36">IF(W36="",0,SUMPRODUCT((CA4:CA795="Gluten")*(CB4:CB795="ALERTE")*(COUNTIF(AI36,"*"&amp;CC4:CC795&amp;"*")&gt;0)*1))</f>
        <v>0</v>
      </c>
      <c r="AM36" s="6625" cm="1">
        <f t="array" ref="AM36">IF(W36="",0,SUMPRODUCT((CA4:CA795="Gluten")*(CB4:CB795="SUSP")*(COUNTIF(AI36,"*"&amp;CC4:CC795&amp;"*")&gt;0)*1))</f>
        <v>0</v>
      </c>
      <c r="AN36" s="6625" cm="1">
        <f t="array" ref="AN36">IF(W36="",0,SUMPRODUCT((CA4:CA795="Crustaces")*(CB4:CB795="ALERTE")*(COUNTIF(AI36,"*"&amp;CC4:CC795&amp;"*")&gt;0)*1))</f>
        <v>0</v>
      </c>
      <c r="AO36" s="6625" cm="1">
        <f t="array" ref="AO36">IF(W36="",0,SUMPRODUCT((CA4:CA795="Oeufs")*(CB4:CB795="ALERTE")*(COUNTIF(AI36,"*"&amp;CC4:CC795&amp;"*")&gt;0)*1))</f>
        <v>0</v>
      </c>
      <c r="AP36" s="6625" cm="1">
        <f t="array" ref="AP36">IF(W36="",0,SUMPRODUCT((CA4:CA795="Poissons")*(CB4:CB795="INFO")*(COUNTIF(AI36,"*"&amp;CC4:CC795&amp;"*")&gt;0)*1))</f>
        <v>0</v>
      </c>
      <c r="AQ36" s="6625" cm="1">
        <f t="array" ref="AQ36">IF(W36="",0,SUMPRODUCT((CA4:CA795="Poissons")*(CB4:CB795="EXCL")*(COUNTIF(AI36,"*"&amp;CC4:CC795&amp;"*")&gt;0)*1))</f>
        <v>0</v>
      </c>
      <c r="AR36" s="6625" cm="1">
        <f t="array" ref="AR36">IF(W36="",0,SUMPRODUCT((CA4:CA795="Poissons")*(CB4:CB795="ALERTE")*(COUNTIF(AI36,"*"&amp;CC4:CC795&amp;"*")&gt;0)*1))</f>
        <v>0</v>
      </c>
      <c r="AS36" s="6625" cm="1">
        <f t="array" ref="AS36">IF(W36="",0,SUMPRODUCT((CA4:CA795="Arachides")*(CB4:CB795="ALERTE")*(COUNTIF(AI36,"*"&amp;CC4:CC795&amp;"*")&gt;0)*1))</f>
        <v>0</v>
      </c>
      <c r="AT36" s="6625" cm="1">
        <f t="array" ref="AT36">IF(W36="",0,SUMPRODUCT((CA4:CA795="Soja")*(CB4:CB795="INFO")*(COUNTIF(AI36,"*"&amp;CC4:CC795&amp;"*")&gt;0)*1))</f>
        <v>0</v>
      </c>
      <c r="AU36" s="6625" cm="1">
        <f t="array" ref="AU36">IF(W36="",0,SUMPRODUCT((CA4:CA795="Soja")*(CB4:CB795="ALERTE")*(COUNTIF(AI36,"*"&amp;CC4:CC795&amp;"*")&gt;0)*1))</f>
        <v>0</v>
      </c>
      <c r="AV36" s="6625" cm="1">
        <f t="array" ref="AV36">IF(W36="",0,SUMPRODUCT((CA4:CA795="Lait")*(CB4:CB795="INFO")*(COUNTIF(AI36,"*"&amp;CC4:CC795&amp;"*")&gt;0)*1))</f>
        <v>0</v>
      </c>
      <c r="AW36" s="6625" cm="1">
        <f t="array" ref="AW36">IF(W36="",0,SUMPRODUCT((CA4:CA795="Lait")*(CB4:CB795="EXCL")*(COUNTIF(AI36,"*"&amp;CC4:CC795&amp;"*")&gt;0)*1))</f>
        <v>0</v>
      </c>
      <c r="AX36" s="6625" cm="1">
        <f t="array" ref="AX36">IF(W36="",0,SUMPRODUCT((CA4:CA795="Lait")*(CB4:CB795="ALERTE")*(COUNTIF(AI36,"*"&amp;CC4:CC795&amp;"*")&gt;0)*1))</f>
        <v>0</v>
      </c>
      <c r="AY36" s="6625" cm="1">
        <f t="array" ref="AY36">IF(W36="",0,SUMPRODUCT((CA4:CA795="Lait")*(CB4:CB795="SUSP")*(COUNTIF(AI36,"*"&amp;CC4:CC795&amp;"*")&gt;0)*1))</f>
        <v>0</v>
      </c>
      <c r="AZ36" s="6625" cm="1">
        <f t="array" ref="AZ36">IF(W36="",0,SUMPRODUCT((CA4:CA795="Fruits a coque")*(CB4:CB795="EXCL")*(COUNTIF(AI36,"*"&amp;CC4:CC795&amp;"*")&gt;0)*1))</f>
        <v>0</v>
      </c>
      <c r="BA36" s="6625" cm="1">
        <f t="array" ref="BA36">IF(W36="",0,SUMPRODUCT((CA4:CA795="Fruits a coque")*(CB4:CB795="ALERTE")*(COUNTIF(AI36,"*"&amp;CC4:CC795&amp;"*")&gt;0)*1))</f>
        <v>0</v>
      </c>
      <c r="BB36" s="6625" cm="1">
        <f t="array" ref="BB36">IF(W36="",0,SUMPRODUCT((CA4:CA795="Celeri")*(CB4:CB795="ALERTE")*(COUNTIF(AI36,"*"&amp;CC4:CC795&amp;"*")&gt;0)*1))</f>
        <v>0</v>
      </c>
      <c r="BC36" s="6625" cm="1">
        <f t="array" ref="BC36">IF(W36="",0,SUMPRODUCT((CA4:CA795="Moutarde")*(CB4:CB795="ALERTE")*(COUNTIF(AI36,"*"&amp;CC4:CC795&amp;"*")&gt;0)*1))</f>
        <v>0</v>
      </c>
      <c r="BD36" s="6625" cm="1">
        <f t="array" ref="BD36">IF(W36="",0,SUMPRODUCT((CA4:CA795="Sesame")*(CB4:CB795="ALERTE")*(COUNTIF(AI36,"*"&amp;CC4:CC795&amp;"*")&gt;0)*1))</f>
        <v>0</v>
      </c>
      <c r="BE36" s="6625" cm="1">
        <f t="array" ref="BE36">IF(W36="",0,SUMPRODUCT((CA4:CA795="Sulfites")*(CB4:CB795="ALERTE")*(COUNTIF(AI36,"*"&amp;CC4:CC795&amp;"*")&gt;0)*1))</f>
        <v>0</v>
      </c>
      <c r="BF36" s="6625" cm="1">
        <f t="array" ref="BF36">IF(W36="",0,SUMPRODUCT((CA4:CA795="Lupin")*(CB4:CB795="ALERTE")*(COUNTIF(AI36,"*"&amp;CC4:CC795&amp;"*")&gt;0)*1))</f>
        <v>0</v>
      </c>
      <c r="BG36" s="6625" cm="1">
        <f t="array" ref="BG36">IF(W36="",0,SUMPRODUCT((CA4:CA795="Mollusques")*(CB4:CB795="EXCL")*(COUNTIF(AI36,"*"&amp;CC4:CC795&amp;"*")&gt;0)*1))</f>
        <v>0</v>
      </c>
      <c r="BH36" s="6625" cm="1">
        <f t="array" ref="BH36">IF(W36="",0,SUMPRODUCT((CA4:CA795="Mollusques")*(CB4:CB795="ALERTE")*(COUNTIF(AI36,"*"&amp;CC4:CC795&amp;"*")&gt;0)*1))</f>
        <v>0</v>
      </c>
      <c r="BI36" s="6625" t="str">
        <f t="shared" si="25"/>
        <v/>
      </c>
      <c r="BJ36" s="6625" t="str">
        <f t="shared" si="26"/>
        <v/>
      </c>
      <c r="BK36" s="6625" t="str">
        <f t="shared" si="27"/>
        <v/>
      </c>
      <c r="BL36" s="6625" t="str">
        <f t="shared" si="28"/>
        <v/>
      </c>
      <c r="BM36" s="6625" t="str">
        <f t="shared" si="29"/>
        <v/>
      </c>
      <c r="BN36" s="6625" t="str">
        <f t="shared" si="30"/>
        <v/>
      </c>
      <c r="BO36" s="6625" t="str">
        <f t="shared" si="31"/>
        <v/>
      </c>
      <c r="BP36" s="6625" t="str">
        <f t="shared" si="32"/>
        <v/>
      </c>
      <c r="BQ36" s="6625" t="str">
        <f t="shared" si="33"/>
        <v/>
      </c>
      <c r="BR36" s="6625" t="str">
        <f t="shared" si="34"/>
        <v/>
      </c>
      <c r="BS36" s="6625" t="str">
        <f t="shared" si="35"/>
        <v/>
      </c>
      <c r="BT36" s="6625" t="str">
        <f t="shared" si="36"/>
        <v/>
      </c>
      <c r="BU36" s="6625" t="str">
        <f t="shared" si="37"/>
        <v/>
      </c>
      <c r="BV36" s="6625" t="str">
        <f t="shared" si="38"/>
        <v/>
      </c>
      <c r="BW36" s="6625" t="str">
        <f t="shared" si="39"/>
        <v/>
      </c>
      <c r="BX36" s="6625" t="str">
        <f t="shared" si="40"/>
        <v/>
      </c>
      <c r="CA36" s="3170" t="s">
        <v>16254</v>
      </c>
      <c r="CB36" s="7634" t="s">
        <v>16255</v>
      </c>
      <c r="CC36" s="3170" t="s">
        <v>16402</v>
      </c>
      <c r="CD36" s="3170" t="s">
        <v>16403</v>
      </c>
    </row>
    <row r="37" spans="2:82" ht="30" customHeight="1">
      <c r="B37" s="7661" t="str">
        <f t="shared" si="0"/>
        <v/>
      </c>
      <c r="C37" s="7661" t="str">
        <f t="shared" si="1"/>
        <v/>
      </c>
      <c r="D37" s="7661" t="str">
        <f t="shared" si="2"/>
        <v/>
      </c>
      <c r="E37" s="7661">
        <f>IF(H36&lt;&gt;"",E36,IF(E36="","",IFERROR(MATCH(TRUE(),INDEX(INDEX($K:$K,E36+1):$K$203&lt;&gt;"",0),0)+E36,"")))</f>
        <v>212</v>
      </c>
      <c r="F37" s="7661">
        <f t="shared" si="41"/>
        <v>0</v>
      </c>
      <c r="G37" s="7661" t="str">
        <f t="shared" si="3"/>
        <v>0</v>
      </c>
      <c r="H37" s="7672" t="str">
        <f t="shared" si="4"/>
        <v/>
      </c>
      <c r="I37" s="7683" t="str">
        <f t="shared" si="5"/>
        <v/>
      </c>
      <c r="J37" s="7673" t="str">
        <f>IF(K37="","",COUNTIF($K$18:K37,"&lt;&gt;"))</f>
        <v/>
      </c>
      <c r="K37" s="7674"/>
      <c r="L37" s="7673" t="str">
        <f t="shared" si="6"/>
        <v/>
      </c>
      <c r="M37" s="7630">
        <f t="shared" si="7"/>
        <v>1</v>
      </c>
      <c r="N37" s="7675">
        <f t="shared" si="8"/>
        <v>20</v>
      </c>
      <c r="O37" s="7676" t="str">
        <f t="shared" si="9"/>
        <v>0</v>
      </c>
      <c r="P37" s="7675">
        <f t="shared" si="10"/>
        <v>1</v>
      </c>
      <c r="Q37" s="7675">
        <f t="shared" si="11"/>
        <v>1</v>
      </c>
      <c r="S37" s="7679" t="str">
        <f t="shared" si="42"/>
        <v>0</v>
      </c>
      <c r="T37" s="7680" t="str">
        <f t="shared" si="12"/>
        <v/>
      </c>
      <c r="V37" s="7677">
        <f t="shared" si="13"/>
        <v>37</v>
      </c>
      <c r="W37" s="7678" t="str">
        <f t="shared" si="43"/>
        <v>0</v>
      </c>
      <c r="X37" s="7677" t="s">
        <v>2</v>
      </c>
      <c r="Y37" s="7702" t="str">
        <f t="shared" si="14"/>
        <v>0</v>
      </c>
      <c r="Z37" s="7703" t="str">
        <f t="shared" si="15"/>
        <v/>
      </c>
      <c r="AA37" s="7681" t="str">
        <f t="shared" si="16"/>
        <v>0</v>
      </c>
      <c r="AB37" s="7682" t="str">
        <f t="shared" si="17"/>
        <v/>
      </c>
      <c r="AC37" s="7677">
        <f t="shared" si="18"/>
        <v>0</v>
      </c>
      <c r="AD37" s="7677">
        <f t="shared" si="19"/>
        <v>0</v>
      </c>
      <c r="AE37" s="7682" t="str">
        <f t="shared" si="20"/>
        <v>aucun match</v>
      </c>
      <c r="AF37" s="6625" t="str">
        <f t="shared" si="21"/>
        <v>0</v>
      </c>
      <c r="AG37" s="6625" t="str">
        <f t="shared" si="22"/>
        <v>0</v>
      </c>
      <c r="AH37" s="6625" t="str">
        <f t="shared" si="23"/>
        <v>0</v>
      </c>
      <c r="AI37" s="6625" t="str">
        <f t="shared" si="24"/>
        <v xml:space="preserve"> 0 </v>
      </c>
      <c r="AJ37" s="6625" cm="1">
        <f t="array" ref="AJ37">IF(W37="",0,SUMPRODUCT((CA4:CA795="Gluten")*(CB4:CB795="INFO")*(COUNTIF(AI37,"*"&amp;CC4:CC795&amp;"*")&gt;0)*1))</f>
        <v>0</v>
      </c>
      <c r="AK37" s="6625" cm="1">
        <f t="array" ref="AK37">IF(W37="",0,SUMPRODUCT((CA4:CA795="Gluten")*(CB4:CB795="EXCL")*(COUNTIF(AI37,"*"&amp;CC4:CC795&amp;"*")&gt;0)*1))</f>
        <v>0</v>
      </c>
      <c r="AL37" s="6625" cm="1">
        <f t="array" ref="AL37">IF(W37="",0,SUMPRODUCT((CA4:CA795="Gluten")*(CB4:CB795="ALERTE")*(COUNTIF(AI37,"*"&amp;CC4:CC795&amp;"*")&gt;0)*1))</f>
        <v>0</v>
      </c>
      <c r="AM37" s="6625" cm="1">
        <f t="array" ref="AM37">IF(W37="",0,SUMPRODUCT((CA4:CA795="Gluten")*(CB4:CB795="SUSP")*(COUNTIF(AI37,"*"&amp;CC4:CC795&amp;"*")&gt;0)*1))</f>
        <v>0</v>
      </c>
      <c r="AN37" s="6625" cm="1">
        <f t="array" ref="AN37">IF(W37="",0,SUMPRODUCT((CA4:CA795="Crustaces")*(CB4:CB795="ALERTE")*(COUNTIF(AI37,"*"&amp;CC4:CC795&amp;"*")&gt;0)*1))</f>
        <v>0</v>
      </c>
      <c r="AO37" s="6625" cm="1">
        <f t="array" ref="AO37">IF(W37="",0,SUMPRODUCT((CA4:CA795="Oeufs")*(CB4:CB795="ALERTE")*(COUNTIF(AI37,"*"&amp;CC4:CC795&amp;"*")&gt;0)*1))</f>
        <v>0</v>
      </c>
      <c r="AP37" s="6625" cm="1">
        <f t="array" ref="AP37">IF(W37="",0,SUMPRODUCT((CA4:CA795="Poissons")*(CB4:CB795="INFO")*(COUNTIF(AI37,"*"&amp;CC4:CC795&amp;"*")&gt;0)*1))</f>
        <v>0</v>
      </c>
      <c r="AQ37" s="6625" cm="1">
        <f t="array" ref="AQ37">IF(W37="",0,SUMPRODUCT((CA4:CA795="Poissons")*(CB4:CB795="EXCL")*(COUNTIF(AI37,"*"&amp;CC4:CC795&amp;"*")&gt;0)*1))</f>
        <v>0</v>
      </c>
      <c r="AR37" s="6625" cm="1">
        <f t="array" ref="AR37">IF(W37="",0,SUMPRODUCT((CA4:CA795="Poissons")*(CB4:CB795="ALERTE")*(COUNTIF(AI37,"*"&amp;CC4:CC795&amp;"*")&gt;0)*1))</f>
        <v>0</v>
      </c>
      <c r="AS37" s="6625" cm="1">
        <f t="array" ref="AS37">IF(W37="",0,SUMPRODUCT((CA4:CA795="Arachides")*(CB4:CB795="ALERTE")*(COUNTIF(AI37,"*"&amp;CC4:CC795&amp;"*")&gt;0)*1))</f>
        <v>0</v>
      </c>
      <c r="AT37" s="6625" cm="1">
        <f t="array" ref="AT37">IF(W37="",0,SUMPRODUCT((CA4:CA795="Soja")*(CB4:CB795="INFO")*(COUNTIF(AI37,"*"&amp;CC4:CC795&amp;"*")&gt;0)*1))</f>
        <v>0</v>
      </c>
      <c r="AU37" s="6625" cm="1">
        <f t="array" ref="AU37">IF(W37="",0,SUMPRODUCT((CA4:CA795="Soja")*(CB4:CB795="ALERTE")*(COUNTIF(AI37,"*"&amp;CC4:CC795&amp;"*")&gt;0)*1))</f>
        <v>0</v>
      </c>
      <c r="AV37" s="6625" cm="1">
        <f t="array" ref="AV37">IF(W37="",0,SUMPRODUCT((CA4:CA795="Lait")*(CB4:CB795="INFO")*(COUNTIF(AI37,"*"&amp;CC4:CC795&amp;"*")&gt;0)*1))</f>
        <v>0</v>
      </c>
      <c r="AW37" s="6625" cm="1">
        <f t="array" ref="AW37">IF(W37="",0,SUMPRODUCT((CA4:CA795="Lait")*(CB4:CB795="EXCL")*(COUNTIF(AI37,"*"&amp;CC4:CC795&amp;"*")&gt;0)*1))</f>
        <v>0</v>
      </c>
      <c r="AX37" s="6625" cm="1">
        <f t="array" ref="AX37">IF(W37="",0,SUMPRODUCT((CA4:CA795="Lait")*(CB4:CB795="ALERTE")*(COUNTIF(AI37,"*"&amp;CC4:CC795&amp;"*")&gt;0)*1))</f>
        <v>0</v>
      </c>
      <c r="AY37" s="6625" cm="1">
        <f t="array" ref="AY37">IF(W37="",0,SUMPRODUCT((CA4:CA795="Lait")*(CB4:CB795="SUSP")*(COUNTIF(AI37,"*"&amp;CC4:CC795&amp;"*")&gt;0)*1))</f>
        <v>0</v>
      </c>
      <c r="AZ37" s="6625" cm="1">
        <f t="array" ref="AZ37">IF(W37="",0,SUMPRODUCT((CA4:CA795="Fruits a coque")*(CB4:CB795="EXCL")*(COUNTIF(AI37,"*"&amp;CC4:CC795&amp;"*")&gt;0)*1))</f>
        <v>0</v>
      </c>
      <c r="BA37" s="6625" cm="1">
        <f t="array" ref="BA37">IF(W37="",0,SUMPRODUCT((CA4:CA795="Fruits a coque")*(CB4:CB795="ALERTE")*(COUNTIF(AI37,"*"&amp;CC4:CC795&amp;"*")&gt;0)*1))</f>
        <v>0</v>
      </c>
      <c r="BB37" s="6625" cm="1">
        <f t="array" ref="BB37">IF(W37="",0,SUMPRODUCT((CA4:CA795="Celeri")*(CB4:CB795="ALERTE")*(COUNTIF(AI37,"*"&amp;CC4:CC795&amp;"*")&gt;0)*1))</f>
        <v>0</v>
      </c>
      <c r="BC37" s="6625" cm="1">
        <f t="array" ref="BC37">IF(W37="",0,SUMPRODUCT((CA4:CA795="Moutarde")*(CB4:CB795="ALERTE")*(COUNTIF(AI37,"*"&amp;CC4:CC795&amp;"*")&gt;0)*1))</f>
        <v>0</v>
      </c>
      <c r="BD37" s="6625" cm="1">
        <f t="array" ref="BD37">IF(W37="",0,SUMPRODUCT((CA4:CA795="Sesame")*(CB4:CB795="ALERTE")*(COUNTIF(AI37,"*"&amp;CC4:CC795&amp;"*")&gt;0)*1))</f>
        <v>0</v>
      </c>
      <c r="BE37" s="6625" cm="1">
        <f t="array" ref="BE37">IF(W37="",0,SUMPRODUCT((CA4:CA795="Sulfites")*(CB4:CB795="ALERTE")*(COUNTIF(AI37,"*"&amp;CC4:CC795&amp;"*")&gt;0)*1))</f>
        <v>0</v>
      </c>
      <c r="BF37" s="6625" cm="1">
        <f t="array" ref="BF37">IF(W37="",0,SUMPRODUCT((CA4:CA795="Lupin")*(CB4:CB795="ALERTE")*(COUNTIF(AI37,"*"&amp;CC4:CC795&amp;"*")&gt;0)*1))</f>
        <v>0</v>
      </c>
      <c r="BG37" s="6625" cm="1">
        <f t="array" ref="BG37">IF(W37="",0,SUMPRODUCT((CA4:CA795="Mollusques")*(CB4:CB795="EXCL")*(COUNTIF(AI37,"*"&amp;CC4:CC795&amp;"*")&gt;0)*1))</f>
        <v>0</v>
      </c>
      <c r="BH37" s="6625" cm="1">
        <f t="array" ref="BH37">IF(W37="",0,SUMPRODUCT((CA4:CA795="Mollusques")*(CB4:CB795="ALERTE")*(COUNTIF(AI37,"*"&amp;CC4:CC795&amp;"*")&gt;0)*1))</f>
        <v>0</v>
      </c>
      <c r="BI37" s="6625" t="str">
        <f t="shared" si="25"/>
        <v/>
      </c>
      <c r="BJ37" s="6625" t="str">
        <f t="shared" si="26"/>
        <v/>
      </c>
      <c r="BK37" s="6625" t="str">
        <f t="shared" si="27"/>
        <v/>
      </c>
      <c r="BL37" s="6625" t="str">
        <f t="shared" si="28"/>
        <v/>
      </c>
      <c r="BM37" s="6625" t="str">
        <f t="shared" si="29"/>
        <v/>
      </c>
      <c r="BN37" s="6625" t="str">
        <f t="shared" si="30"/>
        <v/>
      </c>
      <c r="BO37" s="6625" t="str">
        <f t="shared" si="31"/>
        <v/>
      </c>
      <c r="BP37" s="6625" t="str">
        <f t="shared" si="32"/>
        <v/>
      </c>
      <c r="BQ37" s="6625" t="str">
        <f t="shared" si="33"/>
        <v/>
      </c>
      <c r="BR37" s="6625" t="str">
        <f t="shared" si="34"/>
        <v/>
      </c>
      <c r="BS37" s="6625" t="str">
        <f t="shared" si="35"/>
        <v/>
      </c>
      <c r="BT37" s="6625" t="str">
        <f t="shared" si="36"/>
        <v/>
      </c>
      <c r="BU37" s="6625" t="str">
        <f t="shared" si="37"/>
        <v/>
      </c>
      <c r="BV37" s="6625" t="str">
        <f t="shared" si="38"/>
        <v/>
      </c>
      <c r="BW37" s="6625" t="str">
        <f t="shared" si="39"/>
        <v/>
      </c>
      <c r="BX37" s="6625" t="str">
        <f t="shared" si="40"/>
        <v/>
      </c>
      <c r="CA37" s="3170" t="s">
        <v>16254</v>
      </c>
      <c r="CB37" s="7634" t="s">
        <v>16255</v>
      </c>
      <c r="CC37" s="3170" t="s">
        <v>16404</v>
      </c>
      <c r="CD37" s="3170" t="s">
        <v>16405</v>
      </c>
    </row>
    <row r="38" spans="2:82" ht="30" customHeight="1">
      <c r="B38" s="7661" t="str">
        <f t="shared" si="0"/>
        <v/>
      </c>
      <c r="C38" s="7661" t="str">
        <f t="shared" si="1"/>
        <v/>
      </c>
      <c r="D38" s="7661" t="str">
        <f t="shared" si="2"/>
        <v/>
      </c>
      <c r="E38" s="7661">
        <f>IF(H37&lt;&gt;"",E37,IF(E37="","",IFERROR(MATCH(TRUE(),INDEX(INDEX($K:$K,E37+1):$K$203&lt;&gt;"",0),0)+E37,"")))</f>
        <v>213</v>
      </c>
      <c r="F38" s="7661">
        <f t="shared" si="41"/>
        <v>0</v>
      </c>
      <c r="G38" s="7661" t="str">
        <f t="shared" si="3"/>
        <v>0</v>
      </c>
      <c r="H38" s="7672" t="str">
        <f t="shared" si="4"/>
        <v/>
      </c>
      <c r="I38" s="7683" t="str">
        <f t="shared" si="5"/>
        <v/>
      </c>
      <c r="J38" s="7673" t="str">
        <f>IF(K38="","",COUNTIF($K$18:K38,"&lt;&gt;"))</f>
        <v/>
      </c>
      <c r="K38" s="7674"/>
      <c r="L38" s="7673" t="str">
        <f t="shared" si="6"/>
        <v/>
      </c>
      <c r="M38" s="7630">
        <f t="shared" si="7"/>
        <v>1</v>
      </c>
      <c r="N38" s="7675">
        <f t="shared" si="8"/>
        <v>21</v>
      </c>
      <c r="O38" s="7676" t="str">
        <f t="shared" si="9"/>
        <v>0</v>
      </c>
      <c r="P38" s="7675">
        <f t="shared" si="10"/>
        <v>1</v>
      </c>
      <c r="Q38" s="7675">
        <f t="shared" si="11"/>
        <v>1</v>
      </c>
      <c r="S38" s="7679" t="str">
        <f t="shared" si="42"/>
        <v>0</v>
      </c>
      <c r="T38" s="7680" t="str">
        <f t="shared" si="12"/>
        <v/>
      </c>
      <c r="V38" s="7677">
        <f t="shared" si="13"/>
        <v>38</v>
      </c>
      <c r="W38" s="7678" t="str">
        <f t="shared" si="43"/>
        <v>0</v>
      </c>
      <c r="X38" s="7677" t="s">
        <v>2</v>
      </c>
      <c r="Y38" s="7702" t="str">
        <f t="shared" si="14"/>
        <v>0</v>
      </c>
      <c r="Z38" s="7703" t="str">
        <f t="shared" si="15"/>
        <v/>
      </c>
      <c r="AA38" s="7681" t="str">
        <f t="shared" si="16"/>
        <v>0</v>
      </c>
      <c r="AB38" s="7682" t="str">
        <f t="shared" si="17"/>
        <v/>
      </c>
      <c r="AC38" s="7677">
        <f t="shared" si="18"/>
        <v>0</v>
      </c>
      <c r="AD38" s="7677">
        <f t="shared" si="19"/>
        <v>0</v>
      </c>
      <c r="AE38" s="7682" t="str">
        <f t="shared" si="20"/>
        <v>aucun match</v>
      </c>
      <c r="AF38" s="6625" t="str">
        <f t="shared" si="21"/>
        <v>0</v>
      </c>
      <c r="AG38" s="6625" t="str">
        <f t="shared" si="22"/>
        <v>0</v>
      </c>
      <c r="AH38" s="6625" t="str">
        <f t="shared" si="23"/>
        <v>0</v>
      </c>
      <c r="AI38" s="6625" t="str">
        <f t="shared" si="24"/>
        <v xml:space="preserve"> 0 </v>
      </c>
      <c r="AJ38" s="6625" cm="1">
        <f t="array" ref="AJ38">IF(W38="",0,SUMPRODUCT((CA4:CA795="Gluten")*(CB4:CB795="INFO")*(COUNTIF(AI38,"*"&amp;CC4:CC795&amp;"*")&gt;0)*1))</f>
        <v>0</v>
      </c>
      <c r="AK38" s="6625" cm="1">
        <f t="array" ref="AK38">IF(W38="",0,SUMPRODUCT((CA4:CA795="Gluten")*(CB4:CB795="EXCL")*(COUNTIF(AI38,"*"&amp;CC4:CC795&amp;"*")&gt;0)*1))</f>
        <v>0</v>
      </c>
      <c r="AL38" s="6625" cm="1">
        <f t="array" ref="AL38">IF(W38="",0,SUMPRODUCT((CA4:CA795="Gluten")*(CB4:CB795="ALERTE")*(COUNTIF(AI38,"*"&amp;CC4:CC795&amp;"*")&gt;0)*1))</f>
        <v>0</v>
      </c>
      <c r="AM38" s="6625" cm="1">
        <f t="array" ref="AM38">IF(W38="",0,SUMPRODUCT((CA4:CA795="Gluten")*(CB4:CB795="SUSP")*(COUNTIF(AI38,"*"&amp;CC4:CC795&amp;"*")&gt;0)*1))</f>
        <v>0</v>
      </c>
      <c r="AN38" s="6625" cm="1">
        <f t="array" ref="AN38">IF(W38="",0,SUMPRODUCT((CA4:CA795="Crustaces")*(CB4:CB795="ALERTE")*(COUNTIF(AI38,"*"&amp;CC4:CC795&amp;"*")&gt;0)*1))</f>
        <v>0</v>
      </c>
      <c r="AO38" s="6625" cm="1">
        <f t="array" ref="AO38">IF(W38="",0,SUMPRODUCT((CA4:CA795="Oeufs")*(CB4:CB795="ALERTE")*(COUNTIF(AI38,"*"&amp;CC4:CC795&amp;"*")&gt;0)*1))</f>
        <v>0</v>
      </c>
      <c r="AP38" s="6625" cm="1">
        <f t="array" ref="AP38">IF(W38="",0,SUMPRODUCT((CA4:CA795="Poissons")*(CB4:CB795="INFO")*(COUNTIF(AI38,"*"&amp;CC4:CC795&amp;"*")&gt;0)*1))</f>
        <v>0</v>
      </c>
      <c r="AQ38" s="6625" cm="1">
        <f t="array" ref="AQ38">IF(W38="",0,SUMPRODUCT((CA4:CA795="Poissons")*(CB4:CB795="EXCL")*(COUNTIF(AI38,"*"&amp;CC4:CC795&amp;"*")&gt;0)*1))</f>
        <v>0</v>
      </c>
      <c r="AR38" s="6625" cm="1">
        <f t="array" ref="AR38">IF(W38="",0,SUMPRODUCT((CA4:CA795="Poissons")*(CB4:CB795="ALERTE")*(COUNTIF(AI38,"*"&amp;CC4:CC795&amp;"*")&gt;0)*1))</f>
        <v>0</v>
      </c>
      <c r="AS38" s="6625" cm="1">
        <f t="array" ref="AS38">IF(W38="",0,SUMPRODUCT((CA4:CA795="Arachides")*(CB4:CB795="ALERTE")*(COUNTIF(AI38,"*"&amp;CC4:CC795&amp;"*")&gt;0)*1))</f>
        <v>0</v>
      </c>
      <c r="AT38" s="6625" cm="1">
        <f t="array" ref="AT38">IF(W38="",0,SUMPRODUCT((CA4:CA795="Soja")*(CB4:CB795="INFO")*(COUNTIF(AI38,"*"&amp;CC4:CC795&amp;"*")&gt;0)*1))</f>
        <v>0</v>
      </c>
      <c r="AU38" s="6625" cm="1">
        <f t="array" ref="AU38">IF(W38="",0,SUMPRODUCT((CA4:CA795="Soja")*(CB4:CB795="ALERTE")*(COUNTIF(AI38,"*"&amp;CC4:CC795&amp;"*")&gt;0)*1))</f>
        <v>0</v>
      </c>
      <c r="AV38" s="6625" cm="1">
        <f t="array" ref="AV38">IF(W38="",0,SUMPRODUCT((CA4:CA795="Lait")*(CB4:CB795="INFO")*(COUNTIF(AI38,"*"&amp;CC4:CC795&amp;"*")&gt;0)*1))</f>
        <v>0</v>
      </c>
      <c r="AW38" s="6625" cm="1">
        <f t="array" ref="AW38">IF(W38="",0,SUMPRODUCT((CA4:CA795="Lait")*(CB4:CB795="EXCL")*(COUNTIF(AI38,"*"&amp;CC4:CC795&amp;"*")&gt;0)*1))</f>
        <v>0</v>
      </c>
      <c r="AX38" s="6625" cm="1">
        <f t="array" ref="AX38">IF(W38="",0,SUMPRODUCT((CA4:CA795="Lait")*(CB4:CB795="ALERTE")*(COUNTIF(AI38,"*"&amp;CC4:CC795&amp;"*")&gt;0)*1))</f>
        <v>0</v>
      </c>
      <c r="AY38" s="6625" cm="1">
        <f t="array" ref="AY38">IF(W38="",0,SUMPRODUCT((CA4:CA795="Lait")*(CB4:CB795="SUSP")*(COUNTIF(AI38,"*"&amp;CC4:CC795&amp;"*")&gt;0)*1))</f>
        <v>0</v>
      </c>
      <c r="AZ38" s="6625" cm="1">
        <f t="array" ref="AZ38">IF(W38="",0,SUMPRODUCT((CA4:CA795="Fruits a coque")*(CB4:CB795="EXCL")*(COUNTIF(AI38,"*"&amp;CC4:CC795&amp;"*")&gt;0)*1))</f>
        <v>0</v>
      </c>
      <c r="BA38" s="6625" cm="1">
        <f t="array" ref="BA38">IF(W38="",0,SUMPRODUCT((CA4:CA795="Fruits a coque")*(CB4:CB795="ALERTE")*(COUNTIF(AI38,"*"&amp;CC4:CC795&amp;"*")&gt;0)*1))</f>
        <v>0</v>
      </c>
      <c r="BB38" s="6625" cm="1">
        <f t="array" ref="BB38">IF(W38="",0,SUMPRODUCT((CA4:CA795="Celeri")*(CB4:CB795="ALERTE")*(COUNTIF(AI38,"*"&amp;CC4:CC795&amp;"*")&gt;0)*1))</f>
        <v>0</v>
      </c>
      <c r="BC38" s="6625" cm="1">
        <f t="array" ref="BC38">IF(W38="",0,SUMPRODUCT((CA4:CA795="Moutarde")*(CB4:CB795="ALERTE")*(COUNTIF(AI38,"*"&amp;CC4:CC795&amp;"*")&gt;0)*1))</f>
        <v>0</v>
      </c>
      <c r="BD38" s="6625" cm="1">
        <f t="array" ref="BD38">IF(W38="",0,SUMPRODUCT((CA4:CA795="Sesame")*(CB4:CB795="ALERTE")*(COUNTIF(AI38,"*"&amp;CC4:CC795&amp;"*")&gt;0)*1))</f>
        <v>0</v>
      </c>
      <c r="BE38" s="6625" cm="1">
        <f t="array" ref="BE38">IF(W38="",0,SUMPRODUCT((CA4:CA795="Sulfites")*(CB4:CB795="ALERTE")*(COUNTIF(AI38,"*"&amp;CC4:CC795&amp;"*")&gt;0)*1))</f>
        <v>0</v>
      </c>
      <c r="BF38" s="6625" cm="1">
        <f t="array" ref="BF38">IF(W38="",0,SUMPRODUCT((CA4:CA795="Lupin")*(CB4:CB795="ALERTE")*(COUNTIF(AI38,"*"&amp;CC4:CC795&amp;"*")&gt;0)*1))</f>
        <v>0</v>
      </c>
      <c r="BG38" s="6625" cm="1">
        <f t="array" ref="BG38">IF(W38="",0,SUMPRODUCT((CA4:CA795="Mollusques")*(CB4:CB795="EXCL")*(COUNTIF(AI38,"*"&amp;CC4:CC795&amp;"*")&gt;0)*1))</f>
        <v>0</v>
      </c>
      <c r="BH38" s="6625" cm="1">
        <f t="array" ref="BH38">IF(W38="",0,SUMPRODUCT((CA4:CA795="Mollusques")*(CB4:CB795="ALERTE")*(COUNTIF(AI38,"*"&amp;CC4:CC795&amp;"*")&gt;0)*1))</f>
        <v>0</v>
      </c>
      <c r="BI38" s="6625" t="str">
        <f t="shared" si="25"/>
        <v/>
      </c>
      <c r="BJ38" s="6625" t="str">
        <f t="shared" si="26"/>
        <v/>
      </c>
      <c r="BK38" s="6625" t="str">
        <f t="shared" si="27"/>
        <v/>
      </c>
      <c r="BL38" s="6625" t="str">
        <f t="shared" si="28"/>
        <v/>
      </c>
      <c r="BM38" s="6625" t="str">
        <f t="shared" si="29"/>
        <v/>
      </c>
      <c r="BN38" s="6625" t="str">
        <f t="shared" si="30"/>
        <v/>
      </c>
      <c r="BO38" s="6625" t="str">
        <f t="shared" si="31"/>
        <v/>
      </c>
      <c r="BP38" s="6625" t="str">
        <f t="shared" si="32"/>
        <v/>
      </c>
      <c r="BQ38" s="6625" t="str">
        <f t="shared" si="33"/>
        <v/>
      </c>
      <c r="BR38" s="6625" t="str">
        <f t="shared" si="34"/>
        <v/>
      </c>
      <c r="BS38" s="6625" t="str">
        <f t="shared" si="35"/>
        <v/>
      </c>
      <c r="BT38" s="6625" t="str">
        <f t="shared" si="36"/>
        <v/>
      </c>
      <c r="BU38" s="6625" t="str">
        <f t="shared" si="37"/>
        <v/>
      </c>
      <c r="BV38" s="6625" t="str">
        <f t="shared" si="38"/>
        <v/>
      </c>
      <c r="BW38" s="6625" t="str">
        <f t="shared" si="39"/>
        <v/>
      </c>
      <c r="BX38" s="6625" t="str">
        <f t="shared" si="40"/>
        <v/>
      </c>
      <c r="CA38" s="3170" t="s">
        <v>16254</v>
      </c>
      <c r="CB38" s="7634" t="s">
        <v>16255</v>
      </c>
      <c r="CC38" s="3170" t="s">
        <v>16406</v>
      </c>
      <c r="CD38" s="3170" t="s">
        <v>16407</v>
      </c>
    </row>
    <row r="39" spans="2:82" ht="30" customHeight="1">
      <c r="B39" s="7661" t="str">
        <f t="shared" si="0"/>
        <v/>
      </c>
      <c r="C39" s="7661" t="str">
        <f t="shared" si="1"/>
        <v/>
      </c>
      <c r="D39" s="7661" t="str">
        <f t="shared" si="2"/>
        <v/>
      </c>
      <c r="E39" s="7661">
        <f>IF(H38&lt;&gt;"",E38,IF(E38="","",IFERROR(MATCH(TRUE(),INDEX(INDEX($K:$K,E38+1):$K$203&lt;&gt;"",0),0)+E38,"")))</f>
        <v>214</v>
      </c>
      <c r="F39" s="7661">
        <f t="shared" si="41"/>
        <v>0</v>
      </c>
      <c r="G39" s="7661" t="str">
        <f t="shared" si="3"/>
        <v>0</v>
      </c>
      <c r="H39" s="7672" t="str">
        <f t="shared" si="4"/>
        <v/>
      </c>
      <c r="I39" s="7683" t="str">
        <f t="shared" si="5"/>
        <v/>
      </c>
      <c r="J39" s="7673" t="str">
        <f>IF(K39="","",COUNTIF($K$18:K39,"&lt;&gt;"))</f>
        <v/>
      </c>
      <c r="K39" s="7674"/>
      <c r="L39" s="7673" t="str">
        <f t="shared" si="6"/>
        <v/>
      </c>
      <c r="M39" s="7630">
        <f t="shared" si="7"/>
        <v>1</v>
      </c>
      <c r="N39" s="7675">
        <f t="shared" si="8"/>
        <v>22</v>
      </c>
      <c r="O39" s="7676" t="str">
        <f t="shared" si="9"/>
        <v>0</v>
      </c>
      <c r="P39" s="7675">
        <f t="shared" si="10"/>
        <v>1</v>
      </c>
      <c r="Q39" s="7675">
        <f t="shared" si="11"/>
        <v>1</v>
      </c>
      <c r="S39" s="7679" t="str">
        <f t="shared" si="42"/>
        <v>0</v>
      </c>
      <c r="T39" s="7680" t="str">
        <f t="shared" si="12"/>
        <v/>
      </c>
      <c r="V39" s="7677">
        <f t="shared" si="13"/>
        <v>39</v>
      </c>
      <c r="W39" s="7678" t="str">
        <f t="shared" si="43"/>
        <v>0</v>
      </c>
      <c r="X39" s="7677" t="s">
        <v>2</v>
      </c>
      <c r="Y39" s="7702" t="str">
        <f t="shared" si="14"/>
        <v>0</v>
      </c>
      <c r="Z39" s="7703" t="str">
        <f t="shared" si="15"/>
        <v/>
      </c>
      <c r="AA39" s="7681" t="str">
        <f t="shared" si="16"/>
        <v>0</v>
      </c>
      <c r="AB39" s="7682" t="str">
        <f t="shared" si="17"/>
        <v/>
      </c>
      <c r="AC39" s="7677">
        <f t="shared" si="18"/>
        <v>0</v>
      </c>
      <c r="AD39" s="7677">
        <f t="shared" si="19"/>
        <v>0</v>
      </c>
      <c r="AE39" s="7682" t="str">
        <f t="shared" si="20"/>
        <v>aucun match</v>
      </c>
      <c r="AF39" s="6625" t="str">
        <f t="shared" si="21"/>
        <v>0</v>
      </c>
      <c r="AG39" s="6625" t="str">
        <f t="shared" si="22"/>
        <v>0</v>
      </c>
      <c r="AH39" s="6625" t="str">
        <f t="shared" si="23"/>
        <v>0</v>
      </c>
      <c r="AI39" s="6625" t="str">
        <f t="shared" si="24"/>
        <v xml:space="preserve"> 0 </v>
      </c>
      <c r="AJ39" s="6625" cm="1">
        <f t="array" ref="AJ39">IF(W39="",0,SUMPRODUCT((CA4:CA795="Gluten")*(CB4:CB795="INFO")*(COUNTIF(AI39,"*"&amp;CC4:CC795&amp;"*")&gt;0)*1))</f>
        <v>0</v>
      </c>
      <c r="AK39" s="6625" cm="1">
        <f t="array" ref="AK39">IF(W39="",0,SUMPRODUCT((CA4:CA795="Gluten")*(CB4:CB795="EXCL")*(COUNTIF(AI39,"*"&amp;CC4:CC795&amp;"*")&gt;0)*1))</f>
        <v>0</v>
      </c>
      <c r="AL39" s="6625" cm="1">
        <f t="array" ref="AL39">IF(W39="",0,SUMPRODUCT((CA4:CA795="Gluten")*(CB4:CB795="ALERTE")*(COUNTIF(AI39,"*"&amp;CC4:CC795&amp;"*")&gt;0)*1))</f>
        <v>0</v>
      </c>
      <c r="AM39" s="6625" cm="1">
        <f t="array" ref="AM39">IF(W39="",0,SUMPRODUCT((CA4:CA795="Gluten")*(CB4:CB795="SUSP")*(COUNTIF(AI39,"*"&amp;CC4:CC795&amp;"*")&gt;0)*1))</f>
        <v>0</v>
      </c>
      <c r="AN39" s="6625" cm="1">
        <f t="array" ref="AN39">IF(W39="",0,SUMPRODUCT((CA4:CA795="Crustaces")*(CB4:CB795="ALERTE")*(COUNTIF(AI39,"*"&amp;CC4:CC795&amp;"*")&gt;0)*1))</f>
        <v>0</v>
      </c>
      <c r="AO39" s="6625" cm="1">
        <f t="array" ref="AO39">IF(W39="",0,SUMPRODUCT((CA4:CA795="Oeufs")*(CB4:CB795="ALERTE")*(COUNTIF(AI39,"*"&amp;CC4:CC795&amp;"*")&gt;0)*1))</f>
        <v>0</v>
      </c>
      <c r="AP39" s="6625" cm="1">
        <f t="array" ref="AP39">IF(W39="",0,SUMPRODUCT((CA4:CA795="Poissons")*(CB4:CB795="INFO")*(COUNTIF(AI39,"*"&amp;CC4:CC795&amp;"*")&gt;0)*1))</f>
        <v>0</v>
      </c>
      <c r="AQ39" s="6625" cm="1">
        <f t="array" ref="AQ39">IF(W39="",0,SUMPRODUCT((CA4:CA795="Poissons")*(CB4:CB795="EXCL")*(COUNTIF(AI39,"*"&amp;CC4:CC795&amp;"*")&gt;0)*1))</f>
        <v>0</v>
      </c>
      <c r="AR39" s="6625" cm="1">
        <f t="array" ref="AR39">IF(W39="",0,SUMPRODUCT((CA4:CA795="Poissons")*(CB4:CB795="ALERTE")*(COUNTIF(AI39,"*"&amp;CC4:CC795&amp;"*")&gt;0)*1))</f>
        <v>0</v>
      </c>
      <c r="AS39" s="6625" cm="1">
        <f t="array" ref="AS39">IF(W39="",0,SUMPRODUCT((CA4:CA795="Arachides")*(CB4:CB795="ALERTE")*(COUNTIF(AI39,"*"&amp;CC4:CC795&amp;"*")&gt;0)*1))</f>
        <v>0</v>
      </c>
      <c r="AT39" s="6625" cm="1">
        <f t="array" ref="AT39">IF(W39="",0,SUMPRODUCT((CA4:CA795="Soja")*(CB4:CB795="INFO")*(COUNTIF(AI39,"*"&amp;CC4:CC795&amp;"*")&gt;0)*1))</f>
        <v>0</v>
      </c>
      <c r="AU39" s="6625" cm="1">
        <f t="array" ref="AU39">IF(W39="",0,SUMPRODUCT((CA4:CA795="Soja")*(CB4:CB795="ALERTE")*(COUNTIF(AI39,"*"&amp;CC4:CC795&amp;"*")&gt;0)*1))</f>
        <v>0</v>
      </c>
      <c r="AV39" s="6625" cm="1">
        <f t="array" ref="AV39">IF(W39="",0,SUMPRODUCT((CA4:CA795="Lait")*(CB4:CB795="INFO")*(COUNTIF(AI39,"*"&amp;CC4:CC795&amp;"*")&gt;0)*1))</f>
        <v>0</v>
      </c>
      <c r="AW39" s="6625" cm="1">
        <f t="array" ref="AW39">IF(W39="",0,SUMPRODUCT((CA4:CA795="Lait")*(CB4:CB795="EXCL")*(COUNTIF(AI39,"*"&amp;CC4:CC795&amp;"*")&gt;0)*1))</f>
        <v>0</v>
      </c>
      <c r="AX39" s="6625" cm="1">
        <f t="array" ref="AX39">IF(W39="",0,SUMPRODUCT((CA4:CA795="Lait")*(CB4:CB795="ALERTE")*(COUNTIF(AI39,"*"&amp;CC4:CC795&amp;"*")&gt;0)*1))</f>
        <v>0</v>
      </c>
      <c r="AY39" s="6625" cm="1">
        <f t="array" ref="AY39">IF(W39="",0,SUMPRODUCT((CA4:CA795="Lait")*(CB4:CB795="SUSP")*(COUNTIF(AI39,"*"&amp;CC4:CC795&amp;"*")&gt;0)*1))</f>
        <v>0</v>
      </c>
      <c r="AZ39" s="6625" cm="1">
        <f t="array" ref="AZ39">IF(W39="",0,SUMPRODUCT((CA4:CA795="Fruits a coque")*(CB4:CB795="EXCL")*(COUNTIF(AI39,"*"&amp;CC4:CC795&amp;"*")&gt;0)*1))</f>
        <v>0</v>
      </c>
      <c r="BA39" s="6625" cm="1">
        <f t="array" ref="BA39">IF(W39="",0,SUMPRODUCT((CA4:CA795="Fruits a coque")*(CB4:CB795="ALERTE")*(COUNTIF(AI39,"*"&amp;CC4:CC795&amp;"*")&gt;0)*1))</f>
        <v>0</v>
      </c>
      <c r="BB39" s="6625" cm="1">
        <f t="array" ref="BB39">IF(W39="",0,SUMPRODUCT((CA4:CA795="Celeri")*(CB4:CB795="ALERTE")*(COUNTIF(AI39,"*"&amp;CC4:CC795&amp;"*")&gt;0)*1))</f>
        <v>0</v>
      </c>
      <c r="BC39" s="6625" cm="1">
        <f t="array" ref="BC39">IF(W39="",0,SUMPRODUCT((CA4:CA795="Moutarde")*(CB4:CB795="ALERTE")*(COUNTIF(AI39,"*"&amp;CC4:CC795&amp;"*")&gt;0)*1))</f>
        <v>0</v>
      </c>
      <c r="BD39" s="6625" cm="1">
        <f t="array" ref="BD39">IF(W39="",0,SUMPRODUCT((CA4:CA795="Sesame")*(CB4:CB795="ALERTE")*(COUNTIF(AI39,"*"&amp;CC4:CC795&amp;"*")&gt;0)*1))</f>
        <v>0</v>
      </c>
      <c r="BE39" s="6625" cm="1">
        <f t="array" ref="BE39">IF(W39="",0,SUMPRODUCT((CA4:CA795="Sulfites")*(CB4:CB795="ALERTE")*(COUNTIF(AI39,"*"&amp;CC4:CC795&amp;"*")&gt;0)*1))</f>
        <v>0</v>
      </c>
      <c r="BF39" s="6625" cm="1">
        <f t="array" ref="BF39">IF(W39="",0,SUMPRODUCT((CA4:CA795="Lupin")*(CB4:CB795="ALERTE")*(COUNTIF(AI39,"*"&amp;CC4:CC795&amp;"*")&gt;0)*1))</f>
        <v>0</v>
      </c>
      <c r="BG39" s="6625" cm="1">
        <f t="array" ref="BG39">IF(W39="",0,SUMPRODUCT((CA4:CA795="Mollusques")*(CB4:CB795="EXCL")*(COUNTIF(AI39,"*"&amp;CC4:CC795&amp;"*")&gt;0)*1))</f>
        <v>0</v>
      </c>
      <c r="BH39" s="6625" cm="1">
        <f t="array" ref="BH39">IF(W39="",0,SUMPRODUCT((CA4:CA795="Mollusques")*(CB4:CB795="ALERTE")*(COUNTIF(AI39,"*"&amp;CC4:CC795&amp;"*")&gt;0)*1))</f>
        <v>0</v>
      </c>
      <c r="BI39" s="6625" t="str">
        <f t="shared" si="25"/>
        <v/>
      </c>
      <c r="BJ39" s="6625" t="str">
        <f t="shared" si="26"/>
        <v/>
      </c>
      <c r="BK39" s="6625" t="str">
        <f t="shared" si="27"/>
        <v/>
      </c>
      <c r="BL39" s="6625" t="str">
        <f t="shared" si="28"/>
        <v/>
      </c>
      <c r="BM39" s="6625" t="str">
        <f t="shared" si="29"/>
        <v/>
      </c>
      <c r="BN39" s="6625" t="str">
        <f t="shared" si="30"/>
        <v/>
      </c>
      <c r="BO39" s="6625" t="str">
        <f t="shared" si="31"/>
        <v/>
      </c>
      <c r="BP39" s="6625" t="str">
        <f t="shared" si="32"/>
        <v/>
      </c>
      <c r="BQ39" s="6625" t="str">
        <f t="shared" si="33"/>
        <v/>
      </c>
      <c r="BR39" s="6625" t="str">
        <f t="shared" si="34"/>
        <v/>
      </c>
      <c r="BS39" s="6625" t="str">
        <f t="shared" si="35"/>
        <v/>
      </c>
      <c r="BT39" s="6625" t="str">
        <f t="shared" si="36"/>
        <v/>
      </c>
      <c r="BU39" s="6625" t="str">
        <f t="shared" si="37"/>
        <v/>
      </c>
      <c r="BV39" s="6625" t="str">
        <f t="shared" si="38"/>
        <v/>
      </c>
      <c r="BW39" s="6625" t="str">
        <f t="shared" si="39"/>
        <v/>
      </c>
      <c r="BX39" s="6625" t="str">
        <f t="shared" si="40"/>
        <v/>
      </c>
      <c r="CA39" s="3170" t="s">
        <v>16254</v>
      </c>
      <c r="CB39" s="7634" t="s">
        <v>16255</v>
      </c>
      <c r="CC39" s="3170" t="s">
        <v>16408</v>
      </c>
      <c r="CD39" s="3170" t="s">
        <v>16409</v>
      </c>
    </row>
    <row r="40" spans="2:82" ht="30" customHeight="1">
      <c r="B40" s="7661" t="str">
        <f t="shared" si="0"/>
        <v/>
      </c>
      <c r="C40" s="7661" t="str">
        <f t="shared" si="1"/>
        <v/>
      </c>
      <c r="D40" s="7661" t="str">
        <f t="shared" si="2"/>
        <v/>
      </c>
      <c r="E40" s="7661">
        <f>IF(H39&lt;&gt;"",E39,IF(E39="","",IFERROR(MATCH(TRUE(),INDEX(INDEX($K:$K,E39+1):$K$203&lt;&gt;"",0),0)+E39,"")))</f>
        <v>215</v>
      </c>
      <c r="F40" s="7661">
        <f t="shared" si="41"/>
        <v>0</v>
      </c>
      <c r="G40" s="7661" t="str">
        <f t="shared" si="3"/>
        <v>0</v>
      </c>
      <c r="H40" s="7672" t="str">
        <f t="shared" si="4"/>
        <v/>
      </c>
      <c r="I40" s="7683" t="str">
        <f t="shared" si="5"/>
        <v/>
      </c>
      <c r="J40" s="7673" t="str">
        <f>IF(K40="","",COUNTIF($K$18:K40,"&lt;&gt;"))</f>
        <v/>
      </c>
      <c r="K40" s="7674"/>
      <c r="L40" s="7673" t="str">
        <f t="shared" si="6"/>
        <v/>
      </c>
      <c r="M40" s="7630">
        <f t="shared" si="7"/>
        <v>1</v>
      </c>
      <c r="N40" s="7675">
        <f t="shared" si="8"/>
        <v>23</v>
      </c>
      <c r="O40" s="7676" t="str">
        <f t="shared" si="9"/>
        <v>0</v>
      </c>
      <c r="P40" s="7675">
        <f t="shared" si="10"/>
        <v>1</v>
      </c>
      <c r="Q40" s="7675">
        <f t="shared" si="11"/>
        <v>1</v>
      </c>
      <c r="S40" s="7679" t="str">
        <f t="shared" si="42"/>
        <v>0</v>
      </c>
      <c r="T40" s="7680" t="str">
        <f t="shared" si="12"/>
        <v/>
      </c>
      <c r="V40" s="7677">
        <f t="shared" si="13"/>
        <v>40</v>
      </c>
      <c r="W40" s="7678" t="str">
        <f t="shared" si="43"/>
        <v>0</v>
      </c>
      <c r="X40" s="7677" t="s">
        <v>2</v>
      </c>
      <c r="Y40" s="7702" t="str">
        <f t="shared" si="14"/>
        <v>0</v>
      </c>
      <c r="Z40" s="7703" t="str">
        <f t="shared" si="15"/>
        <v/>
      </c>
      <c r="AA40" s="7681" t="str">
        <f t="shared" si="16"/>
        <v>0</v>
      </c>
      <c r="AB40" s="7682" t="str">
        <f t="shared" si="17"/>
        <v/>
      </c>
      <c r="AC40" s="7677">
        <f t="shared" si="18"/>
        <v>0</v>
      </c>
      <c r="AD40" s="7677">
        <f t="shared" si="19"/>
        <v>0</v>
      </c>
      <c r="AE40" s="7682" t="str">
        <f t="shared" si="20"/>
        <v>aucun match</v>
      </c>
      <c r="AF40" s="6625" t="str">
        <f t="shared" si="21"/>
        <v>0</v>
      </c>
      <c r="AG40" s="6625" t="str">
        <f t="shared" si="22"/>
        <v>0</v>
      </c>
      <c r="AH40" s="6625" t="str">
        <f t="shared" si="23"/>
        <v>0</v>
      </c>
      <c r="AI40" s="6625" t="str">
        <f t="shared" si="24"/>
        <v xml:space="preserve"> 0 </v>
      </c>
      <c r="AJ40" s="6625" cm="1">
        <f t="array" ref="AJ40">IF(W40="",0,SUMPRODUCT((CA4:CA795="Gluten")*(CB4:CB795="INFO")*(COUNTIF(AI40,"*"&amp;CC4:CC795&amp;"*")&gt;0)*1))</f>
        <v>0</v>
      </c>
      <c r="AK40" s="6625" cm="1">
        <f t="array" ref="AK40">IF(W40="",0,SUMPRODUCT((CA4:CA795="Gluten")*(CB4:CB795="EXCL")*(COUNTIF(AI40,"*"&amp;CC4:CC795&amp;"*")&gt;0)*1))</f>
        <v>0</v>
      </c>
      <c r="AL40" s="6625" cm="1">
        <f t="array" ref="AL40">IF(W40="",0,SUMPRODUCT((CA4:CA795="Gluten")*(CB4:CB795="ALERTE")*(COUNTIF(AI40,"*"&amp;CC4:CC795&amp;"*")&gt;0)*1))</f>
        <v>0</v>
      </c>
      <c r="AM40" s="6625" cm="1">
        <f t="array" ref="AM40">IF(W40="",0,SUMPRODUCT((CA4:CA795="Gluten")*(CB4:CB795="SUSP")*(COUNTIF(AI40,"*"&amp;CC4:CC795&amp;"*")&gt;0)*1))</f>
        <v>0</v>
      </c>
      <c r="AN40" s="6625" cm="1">
        <f t="array" ref="AN40">IF(W40="",0,SUMPRODUCT((CA4:CA795="Crustaces")*(CB4:CB795="ALERTE")*(COUNTIF(AI40,"*"&amp;CC4:CC795&amp;"*")&gt;0)*1))</f>
        <v>0</v>
      </c>
      <c r="AO40" s="6625" cm="1">
        <f t="array" ref="AO40">IF(W40="",0,SUMPRODUCT((CA4:CA795="Oeufs")*(CB4:CB795="ALERTE")*(COUNTIF(AI40,"*"&amp;CC4:CC795&amp;"*")&gt;0)*1))</f>
        <v>0</v>
      </c>
      <c r="AP40" s="6625" cm="1">
        <f t="array" ref="AP40">IF(W40="",0,SUMPRODUCT((CA4:CA795="Poissons")*(CB4:CB795="INFO")*(COUNTIF(AI40,"*"&amp;CC4:CC795&amp;"*")&gt;0)*1))</f>
        <v>0</v>
      </c>
      <c r="AQ40" s="6625" cm="1">
        <f t="array" ref="AQ40">IF(W40="",0,SUMPRODUCT((CA4:CA795="Poissons")*(CB4:CB795="EXCL")*(COUNTIF(AI40,"*"&amp;CC4:CC795&amp;"*")&gt;0)*1))</f>
        <v>0</v>
      </c>
      <c r="AR40" s="6625" cm="1">
        <f t="array" ref="AR40">IF(W40="",0,SUMPRODUCT((CA4:CA795="Poissons")*(CB4:CB795="ALERTE")*(COUNTIF(AI40,"*"&amp;CC4:CC795&amp;"*")&gt;0)*1))</f>
        <v>0</v>
      </c>
      <c r="AS40" s="6625" cm="1">
        <f t="array" ref="AS40">IF(W40="",0,SUMPRODUCT((CA4:CA795="Arachides")*(CB4:CB795="ALERTE")*(COUNTIF(AI40,"*"&amp;CC4:CC795&amp;"*")&gt;0)*1))</f>
        <v>0</v>
      </c>
      <c r="AT40" s="6625" cm="1">
        <f t="array" ref="AT40">IF(W40="",0,SUMPRODUCT((CA4:CA795="Soja")*(CB4:CB795="INFO")*(COUNTIF(AI40,"*"&amp;CC4:CC795&amp;"*")&gt;0)*1))</f>
        <v>0</v>
      </c>
      <c r="AU40" s="6625" cm="1">
        <f t="array" ref="AU40">IF(W40="",0,SUMPRODUCT((CA4:CA795="Soja")*(CB4:CB795="ALERTE")*(COUNTIF(AI40,"*"&amp;CC4:CC795&amp;"*")&gt;0)*1))</f>
        <v>0</v>
      </c>
      <c r="AV40" s="6625" cm="1">
        <f t="array" ref="AV40">IF(W40="",0,SUMPRODUCT((CA4:CA795="Lait")*(CB4:CB795="INFO")*(COUNTIF(AI40,"*"&amp;CC4:CC795&amp;"*")&gt;0)*1))</f>
        <v>0</v>
      </c>
      <c r="AW40" s="6625" cm="1">
        <f t="array" ref="AW40">IF(W40="",0,SUMPRODUCT((CA4:CA795="Lait")*(CB4:CB795="EXCL")*(COUNTIF(AI40,"*"&amp;CC4:CC795&amp;"*")&gt;0)*1))</f>
        <v>0</v>
      </c>
      <c r="AX40" s="6625" cm="1">
        <f t="array" ref="AX40">IF(W40="",0,SUMPRODUCT((CA4:CA795="Lait")*(CB4:CB795="ALERTE")*(COUNTIF(AI40,"*"&amp;CC4:CC795&amp;"*")&gt;0)*1))</f>
        <v>0</v>
      </c>
      <c r="AY40" s="6625" cm="1">
        <f t="array" ref="AY40">IF(W40="",0,SUMPRODUCT((CA4:CA795="Lait")*(CB4:CB795="SUSP")*(COUNTIF(AI40,"*"&amp;CC4:CC795&amp;"*")&gt;0)*1))</f>
        <v>0</v>
      </c>
      <c r="AZ40" s="6625" cm="1">
        <f t="array" ref="AZ40">IF(W40="",0,SUMPRODUCT((CA4:CA795="Fruits a coque")*(CB4:CB795="EXCL")*(COUNTIF(AI40,"*"&amp;CC4:CC795&amp;"*")&gt;0)*1))</f>
        <v>0</v>
      </c>
      <c r="BA40" s="6625" cm="1">
        <f t="array" ref="BA40">IF(W40="",0,SUMPRODUCT((CA4:CA795="Fruits a coque")*(CB4:CB795="ALERTE")*(COUNTIF(AI40,"*"&amp;CC4:CC795&amp;"*")&gt;0)*1))</f>
        <v>0</v>
      </c>
      <c r="BB40" s="6625" cm="1">
        <f t="array" ref="BB40">IF(W40="",0,SUMPRODUCT((CA4:CA795="Celeri")*(CB4:CB795="ALERTE")*(COUNTIF(AI40,"*"&amp;CC4:CC795&amp;"*")&gt;0)*1))</f>
        <v>0</v>
      </c>
      <c r="BC40" s="6625" cm="1">
        <f t="array" ref="BC40">IF(W40="",0,SUMPRODUCT((CA4:CA795="Moutarde")*(CB4:CB795="ALERTE")*(COUNTIF(AI40,"*"&amp;CC4:CC795&amp;"*")&gt;0)*1))</f>
        <v>0</v>
      </c>
      <c r="BD40" s="6625" cm="1">
        <f t="array" ref="BD40">IF(W40="",0,SUMPRODUCT((CA4:CA795="Sesame")*(CB4:CB795="ALERTE")*(COUNTIF(AI40,"*"&amp;CC4:CC795&amp;"*")&gt;0)*1))</f>
        <v>0</v>
      </c>
      <c r="BE40" s="6625" cm="1">
        <f t="array" ref="BE40">IF(W40="",0,SUMPRODUCT((CA4:CA795="Sulfites")*(CB4:CB795="ALERTE")*(COUNTIF(AI40,"*"&amp;CC4:CC795&amp;"*")&gt;0)*1))</f>
        <v>0</v>
      </c>
      <c r="BF40" s="6625" cm="1">
        <f t="array" ref="BF40">IF(W40="",0,SUMPRODUCT((CA4:CA795="Lupin")*(CB4:CB795="ALERTE")*(COUNTIF(AI40,"*"&amp;CC4:CC795&amp;"*")&gt;0)*1))</f>
        <v>0</v>
      </c>
      <c r="BG40" s="6625" cm="1">
        <f t="array" ref="BG40">IF(W40="",0,SUMPRODUCT((CA4:CA795="Mollusques")*(CB4:CB795="EXCL")*(COUNTIF(AI40,"*"&amp;CC4:CC795&amp;"*")&gt;0)*1))</f>
        <v>0</v>
      </c>
      <c r="BH40" s="6625" cm="1">
        <f t="array" ref="BH40">IF(W40="",0,SUMPRODUCT((CA4:CA795="Mollusques")*(CB4:CB795="ALERTE")*(COUNTIF(AI40,"*"&amp;CC4:CC795&amp;"*")&gt;0)*1))</f>
        <v>0</v>
      </c>
      <c r="BI40" s="6625" t="str">
        <f t="shared" si="25"/>
        <v/>
      </c>
      <c r="BJ40" s="6625" t="str">
        <f t="shared" si="26"/>
        <v/>
      </c>
      <c r="BK40" s="6625" t="str">
        <f t="shared" si="27"/>
        <v/>
      </c>
      <c r="BL40" s="6625" t="str">
        <f t="shared" si="28"/>
        <v/>
      </c>
      <c r="BM40" s="6625" t="str">
        <f t="shared" si="29"/>
        <v/>
      </c>
      <c r="BN40" s="6625" t="str">
        <f t="shared" si="30"/>
        <v/>
      </c>
      <c r="BO40" s="6625" t="str">
        <f t="shared" si="31"/>
        <v/>
      </c>
      <c r="BP40" s="6625" t="str">
        <f t="shared" si="32"/>
        <v/>
      </c>
      <c r="BQ40" s="6625" t="str">
        <f t="shared" si="33"/>
        <v/>
      </c>
      <c r="BR40" s="6625" t="str">
        <f t="shared" si="34"/>
        <v/>
      </c>
      <c r="BS40" s="6625" t="str">
        <f t="shared" si="35"/>
        <v/>
      </c>
      <c r="BT40" s="6625" t="str">
        <f t="shared" si="36"/>
        <v/>
      </c>
      <c r="BU40" s="6625" t="str">
        <f t="shared" si="37"/>
        <v/>
      </c>
      <c r="BV40" s="6625" t="str">
        <f t="shared" si="38"/>
        <v/>
      </c>
      <c r="BW40" s="6625" t="str">
        <f t="shared" si="39"/>
        <v/>
      </c>
      <c r="BX40" s="6625" t="str">
        <f t="shared" si="40"/>
        <v/>
      </c>
      <c r="CA40" s="3170" t="s">
        <v>16254</v>
      </c>
      <c r="CB40" s="7634" t="s">
        <v>16255</v>
      </c>
      <c r="CC40" s="3170" t="s">
        <v>16410</v>
      </c>
      <c r="CD40" s="3170" t="s">
        <v>16411</v>
      </c>
    </row>
    <row r="41" spans="2:82" ht="30" customHeight="1">
      <c r="B41" s="7661" t="str">
        <f t="shared" si="0"/>
        <v/>
      </c>
      <c r="C41" s="7661" t="str">
        <f t="shared" si="1"/>
        <v/>
      </c>
      <c r="D41" s="7661" t="str">
        <f t="shared" si="2"/>
        <v/>
      </c>
      <c r="E41" s="7661">
        <f>IF(H40&lt;&gt;"",E40,IF(E40="","",IFERROR(MATCH(TRUE(),INDEX(INDEX($K:$K,E40+1):$K$203&lt;&gt;"",0),0)+E40,"")))</f>
        <v>216</v>
      </c>
      <c r="F41" s="7661">
        <f t="shared" si="41"/>
        <v>0</v>
      </c>
      <c r="G41" s="7661" t="str">
        <f t="shared" si="3"/>
        <v>0</v>
      </c>
      <c r="H41" s="7672" t="str">
        <f t="shared" si="4"/>
        <v/>
      </c>
      <c r="I41" s="7683" t="str">
        <f t="shared" si="5"/>
        <v/>
      </c>
      <c r="J41" s="7673" t="str">
        <f>IF(K41="","",COUNTIF($K$18:K41,"&lt;&gt;"))</f>
        <v/>
      </c>
      <c r="K41" s="7674"/>
      <c r="L41" s="7673" t="str">
        <f t="shared" si="6"/>
        <v/>
      </c>
      <c r="M41" s="7630">
        <f t="shared" si="7"/>
        <v>1</v>
      </c>
      <c r="N41" s="7675">
        <f t="shared" si="8"/>
        <v>24</v>
      </c>
      <c r="O41" s="7676" t="str">
        <f t="shared" si="9"/>
        <v>0</v>
      </c>
      <c r="P41" s="7675">
        <f t="shared" si="10"/>
        <v>1</v>
      </c>
      <c r="Q41" s="7675">
        <f t="shared" si="11"/>
        <v>1</v>
      </c>
      <c r="S41" s="7679" t="str">
        <f t="shared" si="42"/>
        <v>0</v>
      </c>
      <c r="T41" s="7680" t="str">
        <f t="shared" si="12"/>
        <v/>
      </c>
      <c r="V41" s="7677">
        <f t="shared" si="13"/>
        <v>41</v>
      </c>
      <c r="W41" s="7678" t="str">
        <f t="shared" si="43"/>
        <v>0</v>
      </c>
      <c r="X41" s="7677" t="s">
        <v>2</v>
      </c>
      <c r="Y41" s="7702" t="str">
        <f t="shared" si="14"/>
        <v>0</v>
      </c>
      <c r="Z41" s="7703" t="str">
        <f t="shared" si="15"/>
        <v/>
      </c>
      <c r="AA41" s="7681" t="str">
        <f t="shared" si="16"/>
        <v>0</v>
      </c>
      <c r="AB41" s="7682" t="str">
        <f t="shared" si="17"/>
        <v/>
      </c>
      <c r="AC41" s="7677">
        <f t="shared" si="18"/>
        <v>0</v>
      </c>
      <c r="AD41" s="7677">
        <f t="shared" si="19"/>
        <v>0</v>
      </c>
      <c r="AE41" s="7682" t="str">
        <f t="shared" si="20"/>
        <v>aucun match</v>
      </c>
      <c r="AF41" s="6625" t="str">
        <f t="shared" si="21"/>
        <v>0</v>
      </c>
      <c r="AG41" s="6625" t="str">
        <f t="shared" si="22"/>
        <v>0</v>
      </c>
      <c r="AH41" s="6625" t="str">
        <f t="shared" si="23"/>
        <v>0</v>
      </c>
      <c r="AI41" s="6625" t="str">
        <f t="shared" si="24"/>
        <v xml:space="preserve"> 0 </v>
      </c>
      <c r="AJ41" s="6625" cm="1">
        <f t="array" ref="AJ41">IF(W41="",0,SUMPRODUCT((CA4:CA795="Gluten")*(CB4:CB795="INFO")*(COUNTIF(AI41,"*"&amp;CC4:CC795&amp;"*")&gt;0)*1))</f>
        <v>0</v>
      </c>
      <c r="AK41" s="6625" cm="1">
        <f t="array" ref="AK41">IF(W41="",0,SUMPRODUCT((CA4:CA795="Gluten")*(CB4:CB795="EXCL")*(COUNTIF(AI41,"*"&amp;CC4:CC795&amp;"*")&gt;0)*1))</f>
        <v>0</v>
      </c>
      <c r="AL41" s="6625" cm="1">
        <f t="array" ref="AL41">IF(W41="",0,SUMPRODUCT((CA4:CA795="Gluten")*(CB4:CB795="ALERTE")*(COUNTIF(AI41,"*"&amp;CC4:CC795&amp;"*")&gt;0)*1))</f>
        <v>0</v>
      </c>
      <c r="AM41" s="6625" cm="1">
        <f t="array" ref="AM41">IF(W41="",0,SUMPRODUCT((CA4:CA795="Gluten")*(CB4:CB795="SUSP")*(COUNTIF(AI41,"*"&amp;CC4:CC795&amp;"*")&gt;0)*1))</f>
        <v>0</v>
      </c>
      <c r="AN41" s="6625" cm="1">
        <f t="array" ref="AN41">IF(W41="",0,SUMPRODUCT((CA4:CA795="Crustaces")*(CB4:CB795="ALERTE")*(COUNTIF(AI41,"*"&amp;CC4:CC795&amp;"*")&gt;0)*1))</f>
        <v>0</v>
      </c>
      <c r="AO41" s="6625" cm="1">
        <f t="array" ref="AO41">IF(W41="",0,SUMPRODUCT((CA4:CA795="Oeufs")*(CB4:CB795="ALERTE")*(COUNTIF(AI41,"*"&amp;CC4:CC795&amp;"*")&gt;0)*1))</f>
        <v>0</v>
      </c>
      <c r="AP41" s="6625" cm="1">
        <f t="array" ref="AP41">IF(W41="",0,SUMPRODUCT((CA4:CA795="Poissons")*(CB4:CB795="INFO")*(COUNTIF(AI41,"*"&amp;CC4:CC795&amp;"*")&gt;0)*1))</f>
        <v>0</v>
      </c>
      <c r="AQ41" s="6625" cm="1">
        <f t="array" ref="AQ41">IF(W41="",0,SUMPRODUCT((CA4:CA795="Poissons")*(CB4:CB795="EXCL")*(COUNTIF(AI41,"*"&amp;CC4:CC795&amp;"*")&gt;0)*1))</f>
        <v>0</v>
      </c>
      <c r="AR41" s="6625" cm="1">
        <f t="array" ref="AR41">IF(W41="",0,SUMPRODUCT((CA4:CA795="Poissons")*(CB4:CB795="ALERTE")*(COUNTIF(AI41,"*"&amp;CC4:CC795&amp;"*")&gt;0)*1))</f>
        <v>0</v>
      </c>
      <c r="AS41" s="6625" cm="1">
        <f t="array" ref="AS41">IF(W41="",0,SUMPRODUCT((CA4:CA795="Arachides")*(CB4:CB795="ALERTE")*(COUNTIF(AI41,"*"&amp;CC4:CC795&amp;"*")&gt;0)*1))</f>
        <v>0</v>
      </c>
      <c r="AT41" s="6625" cm="1">
        <f t="array" ref="AT41">IF(W41="",0,SUMPRODUCT((CA4:CA795="Soja")*(CB4:CB795="INFO")*(COUNTIF(AI41,"*"&amp;CC4:CC795&amp;"*")&gt;0)*1))</f>
        <v>0</v>
      </c>
      <c r="AU41" s="6625" cm="1">
        <f t="array" ref="AU41">IF(W41="",0,SUMPRODUCT((CA4:CA795="Soja")*(CB4:CB795="ALERTE")*(COUNTIF(AI41,"*"&amp;CC4:CC795&amp;"*")&gt;0)*1))</f>
        <v>0</v>
      </c>
      <c r="AV41" s="6625" cm="1">
        <f t="array" ref="AV41">IF(W41="",0,SUMPRODUCT((CA4:CA795="Lait")*(CB4:CB795="INFO")*(COUNTIF(AI41,"*"&amp;CC4:CC795&amp;"*")&gt;0)*1))</f>
        <v>0</v>
      </c>
      <c r="AW41" s="6625" cm="1">
        <f t="array" ref="AW41">IF(W41="",0,SUMPRODUCT((CA4:CA795="Lait")*(CB4:CB795="EXCL")*(COUNTIF(AI41,"*"&amp;CC4:CC795&amp;"*")&gt;0)*1))</f>
        <v>0</v>
      </c>
      <c r="AX41" s="6625" cm="1">
        <f t="array" ref="AX41">IF(W41="",0,SUMPRODUCT((CA4:CA795="Lait")*(CB4:CB795="ALERTE")*(COUNTIF(AI41,"*"&amp;CC4:CC795&amp;"*")&gt;0)*1))</f>
        <v>0</v>
      </c>
      <c r="AY41" s="6625" cm="1">
        <f t="array" ref="AY41">IF(W41="",0,SUMPRODUCT((CA4:CA795="Lait")*(CB4:CB795="SUSP")*(COUNTIF(AI41,"*"&amp;CC4:CC795&amp;"*")&gt;0)*1))</f>
        <v>0</v>
      </c>
      <c r="AZ41" s="6625" cm="1">
        <f t="array" ref="AZ41">IF(W41="",0,SUMPRODUCT((CA4:CA795="Fruits a coque")*(CB4:CB795="EXCL")*(COUNTIF(AI41,"*"&amp;CC4:CC795&amp;"*")&gt;0)*1))</f>
        <v>0</v>
      </c>
      <c r="BA41" s="6625" cm="1">
        <f t="array" ref="BA41">IF(W41="",0,SUMPRODUCT((CA4:CA795="Fruits a coque")*(CB4:CB795="ALERTE")*(COUNTIF(AI41,"*"&amp;CC4:CC795&amp;"*")&gt;0)*1))</f>
        <v>0</v>
      </c>
      <c r="BB41" s="6625" cm="1">
        <f t="array" ref="BB41">IF(W41="",0,SUMPRODUCT((CA4:CA795="Celeri")*(CB4:CB795="ALERTE")*(COUNTIF(AI41,"*"&amp;CC4:CC795&amp;"*")&gt;0)*1))</f>
        <v>0</v>
      </c>
      <c r="BC41" s="6625" cm="1">
        <f t="array" ref="BC41">IF(W41="",0,SUMPRODUCT((CA4:CA795="Moutarde")*(CB4:CB795="ALERTE")*(COUNTIF(AI41,"*"&amp;CC4:CC795&amp;"*")&gt;0)*1))</f>
        <v>0</v>
      </c>
      <c r="BD41" s="6625" cm="1">
        <f t="array" ref="BD41">IF(W41="",0,SUMPRODUCT((CA4:CA795="Sesame")*(CB4:CB795="ALERTE")*(COUNTIF(AI41,"*"&amp;CC4:CC795&amp;"*")&gt;0)*1))</f>
        <v>0</v>
      </c>
      <c r="BE41" s="6625" cm="1">
        <f t="array" ref="BE41">IF(W41="",0,SUMPRODUCT((CA4:CA795="Sulfites")*(CB4:CB795="ALERTE")*(COUNTIF(AI41,"*"&amp;CC4:CC795&amp;"*")&gt;0)*1))</f>
        <v>0</v>
      </c>
      <c r="BF41" s="6625" cm="1">
        <f t="array" ref="BF41">IF(W41="",0,SUMPRODUCT((CA4:CA795="Lupin")*(CB4:CB795="ALERTE")*(COUNTIF(AI41,"*"&amp;CC4:CC795&amp;"*")&gt;0)*1))</f>
        <v>0</v>
      </c>
      <c r="BG41" s="6625" cm="1">
        <f t="array" ref="BG41">IF(W41="",0,SUMPRODUCT((CA4:CA795="Mollusques")*(CB4:CB795="EXCL")*(COUNTIF(AI41,"*"&amp;CC4:CC795&amp;"*")&gt;0)*1))</f>
        <v>0</v>
      </c>
      <c r="BH41" s="6625" cm="1">
        <f t="array" ref="BH41">IF(W41="",0,SUMPRODUCT((CA4:CA795="Mollusques")*(CB4:CB795="ALERTE")*(COUNTIF(AI41,"*"&amp;CC4:CC795&amp;"*")&gt;0)*1))</f>
        <v>0</v>
      </c>
      <c r="BI41" s="6625" t="str">
        <f t="shared" si="25"/>
        <v/>
      </c>
      <c r="BJ41" s="6625" t="str">
        <f t="shared" si="26"/>
        <v/>
      </c>
      <c r="BK41" s="6625" t="str">
        <f t="shared" si="27"/>
        <v/>
      </c>
      <c r="BL41" s="6625" t="str">
        <f t="shared" si="28"/>
        <v/>
      </c>
      <c r="BM41" s="6625" t="str">
        <f t="shared" si="29"/>
        <v/>
      </c>
      <c r="BN41" s="6625" t="str">
        <f t="shared" si="30"/>
        <v/>
      </c>
      <c r="BO41" s="6625" t="str">
        <f t="shared" si="31"/>
        <v/>
      </c>
      <c r="BP41" s="6625" t="str">
        <f t="shared" si="32"/>
        <v/>
      </c>
      <c r="BQ41" s="6625" t="str">
        <f t="shared" si="33"/>
        <v/>
      </c>
      <c r="BR41" s="6625" t="str">
        <f t="shared" si="34"/>
        <v/>
      </c>
      <c r="BS41" s="6625" t="str">
        <f t="shared" si="35"/>
        <v/>
      </c>
      <c r="BT41" s="6625" t="str">
        <f t="shared" si="36"/>
        <v/>
      </c>
      <c r="BU41" s="6625" t="str">
        <f t="shared" si="37"/>
        <v/>
      </c>
      <c r="BV41" s="6625" t="str">
        <f t="shared" si="38"/>
        <v/>
      </c>
      <c r="BW41" s="6625" t="str">
        <f t="shared" si="39"/>
        <v/>
      </c>
      <c r="BX41" s="6625" t="str">
        <f t="shared" si="40"/>
        <v/>
      </c>
      <c r="CA41" s="3170" t="s">
        <v>16412</v>
      </c>
      <c r="CB41" s="7634" t="s">
        <v>16255</v>
      </c>
      <c r="CC41" s="3170" t="s">
        <v>16413</v>
      </c>
      <c r="CD41" s="3170" t="s">
        <v>16414</v>
      </c>
    </row>
    <row r="42" spans="2:82" ht="30" customHeight="1">
      <c r="B42" s="7661" t="str">
        <f t="shared" si="0"/>
        <v/>
      </c>
      <c r="C42" s="7661" t="str">
        <f t="shared" si="1"/>
        <v/>
      </c>
      <c r="D42" s="7661" t="str">
        <f t="shared" si="2"/>
        <v/>
      </c>
      <c r="E42" s="7661">
        <f>IF(H41&lt;&gt;"",E41,IF(E41="","",IFERROR(MATCH(TRUE(),INDEX(INDEX($K:$K,E41+1):$K$203&lt;&gt;"",0),0)+E41,"")))</f>
        <v>217</v>
      </c>
      <c r="F42" s="7661">
        <f t="shared" si="41"/>
        <v>0</v>
      </c>
      <c r="G42" s="7661" t="str">
        <f t="shared" si="3"/>
        <v>0</v>
      </c>
      <c r="H42" s="7672" t="str">
        <f t="shared" si="4"/>
        <v/>
      </c>
      <c r="I42" s="7683" t="str">
        <f t="shared" si="5"/>
        <v/>
      </c>
      <c r="J42" s="7673" t="str">
        <f>IF(K42="","",COUNTIF($K$18:K42,"&lt;&gt;"))</f>
        <v/>
      </c>
      <c r="K42" s="7674"/>
      <c r="L42" s="7673" t="str">
        <f t="shared" si="6"/>
        <v/>
      </c>
      <c r="M42" s="7630">
        <f t="shared" si="7"/>
        <v>1</v>
      </c>
      <c r="N42" s="7675">
        <f t="shared" si="8"/>
        <v>25</v>
      </c>
      <c r="O42" s="7676" t="str">
        <f t="shared" si="9"/>
        <v>0</v>
      </c>
      <c r="P42" s="7675">
        <f t="shared" si="10"/>
        <v>1</v>
      </c>
      <c r="Q42" s="7675">
        <f t="shared" si="11"/>
        <v>1</v>
      </c>
      <c r="S42" s="7679" t="str">
        <f t="shared" si="42"/>
        <v>0</v>
      </c>
      <c r="T42" s="7680" t="str">
        <f t="shared" si="12"/>
        <v/>
      </c>
      <c r="V42" s="7677">
        <f t="shared" si="13"/>
        <v>42</v>
      </c>
      <c r="W42" s="7678" t="str">
        <f t="shared" si="43"/>
        <v>0</v>
      </c>
      <c r="X42" s="7677" t="s">
        <v>2</v>
      </c>
      <c r="Y42" s="7702" t="str">
        <f t="shared" si="14"/>
        <v>0</v>
      </c>
      <c r="Z42" s="7703" t="str">
        <f t="shared" si="15"/>
        <v/>
      </c>
      <c r="AA42" s="7681" t="str">
        <f t="shared" si="16"/>
        <v>0</v>
      </c>
      <c r="AB42" s="7682" t="str">
        <f t="shared" si="17"/>
        <v/>
      </c>
      <c r="AC42" s="7677">
        <f t="shared" si="18"/>
        <v>0</v>
      </c>
      <c r="AD42" s="7677">
        <f t="shared" si="19"/>
        <v>0</v>
      </c>
      <c r="AE42" s="7682" t="str">
        <f t="shared" si="20"/>
        <v>aucun match</v>
      </c>
      <c r="AF42" s="6625" t="str">
        <f t="shared" si="21"/>
        <v>0</v>
      </c>
      <c r="AG42" s="6625" t="str">
        <f t="shared" si="22"/>
        <v>0</v>
      </c>
      <c r="AH42" s="6625" t="str">
        <f t="shared" si="23"/>
        <v>0</v>
      </c>
      <c r="AI42" s="6625" t="str">
        <f t="shared" si="24"/>
        <v xml:space="preserve"> 0 </v>
      </c>
      <c r="AJ42" s="6625" cm="1">
        <f t="array" ref="AJ42">IF(W42="",0,SUMPRODUCT((CA4:CA795="Gluten")*(CB4:CB795="INFO")*(COUNTIF(AI42,"*"&amp;CC4:CC795&amp;"*")&gt;0)*1))</f>
        <v>0</v>
      </c>
      <c r="AK42" s="6625" cm="1">
        <f t="array" ref="AK42">IF(W42="",0,SUMPRODUCT((CA4:CA795="Gluten")*(CB4:CB795="EXCL")*(COUNTIF(AI42,"*"&amp;CC4:CC795&amp;"*")&gt;0)*1))</f>
        <v>0</v>
      </c>
      <c r="AL42" s="6625" cm="1">
        <f t="array" ref="AL42">IF(W42="",0,SUMPRODUCT((CA4:CA795="Gluten")*(CB4:CB795="ALERTE")*(COUNTIF(AI42,"*"&amp;CC4:CC795&amp;"*")&gt;0)*1))</f>
        <v>0</v>
      </c>
      <c r="AM42" s="6625" cm="1">
        <f t="array" ref="AM42">IF(W42="",0,SUMPRODUCT((CA4:CA795="Gluten")*(CB4:CB795="SUSP")*(COUNTIF(AI42,"*"&amp;CC4:CC795&amp;"*")&gt;0)*1))</f>
        <v>0</v>
      </c>
      <c r="AN42" s="6625" cm="1">
        <f t="array" ref="AN42">IF(W42="",0,SUMPRODUCT((CA4:CA795="Crustaces")*(CB4:CB795="ALERTE")*(COUNTIF(AI42,"*"&amp;CC4:CC795&amp;"*")&gt;0)*1))</f>
        <v>0</v>
      </c>
      <c r="AO42" s="6625" cm="1">
        <f t="array" ref="AO42">IF(W42="",0,SUMPRODUCT((CA4:CA795="Oeufs")*(CB4:CB795="ALERTE")*(COUNTIF(AI42,"*"&amp;CC4:CC795&amp;"*")&gt;0)*1))</f>
        <v>0</v>
      </c>
      <c r="AP42" s="6625" cm="1">
        <f t="array" ref="AP42">IF(W42="",0,SUMPRODUCT((CA4:CA795="Poissons")*(CB4:CB795="INFO")*(COUNTIF(AI42,"*"&amp;CC4:CC795&amp;"*")&gt;0)*1))</f>
        <v>0</v>
      </c>
      <c r="AQ42" s="6625" cm="1">
        <f t="array" ref="AQ42">IF(W42="",0,SUMPRODUCT((CA4:CA795="Poissons")*(CB4:CB795="EXCL")*(COUNTIF(AI42,"*"&amp;CC4:CC795&amp;"*")&gt;0)*1))</f>
        <v>0</v>
      </c>
      <c r="AR42" s="6625" cm="1">
        <f t="array" ref="AR42">IF(W42="",0,SUMPRODUCT((CA4:CA795="Poissons")*(CB4:CB795="ALERTE")*(COUNTIF(AI42,"*"&amp;CC4:CC795&amp;"*")&gt;0)*1))</f>
        <v>0</v>
      </c>
      <c r="AS42" s="6625" cm="1">
        <f t="array" ref="AS42">IF(W42="",0,SUMPRODUCT((CA4:CA795="Arachides")*(CB4:CB795="ALERTE")*(COUNTIF(AI42,"*"&amp;CC4:CC795&amp;"*")&gt;0)*1))</f>
        <v>0</v>
      </c>
      <c r="AT42" s="6625" cm="1">
        <f t="array" ref="AT42">IF(W42="",0,SUMPRODUCT((CA4:CA795="Soja")*(CB4:CB795="INFO")*(COUNTIF(AI42,"*"&amp;CC4:CC795&amp;"*")&gt;0)*1))</f>
        <v>0</v>
      </c>
      <c r="AU42" s="6625" cm="1">
        <f t="array" ref="AU42">IF(W42="",0,SUMPRODUCT((CA4:CA795="Soja")*(CB4:CB795="ALERTE")*(COUNTIF(AI42,"*"&amp;CC4:CC795&amp;"*")&gt;0)*1))</f>
        <v>0</v>
      </c>
      <c r="AV42" s="6625" cm="1">
        <f t="array" ref="AV42">IF(W42="",0,SUMPRODUCT((CA4:CA795="Lait")*(CB4:CB795="INFO")*(COUNTIF(AI42,"*"&amp;CC4:CC795&amp;"*")&gt;0)*1))</f>
        <v>0</v>
      </c>
      <c r="AW42" s="6625" cm="1">
        <f t="array" ref="AW42">IF(W42="",0,SUMPRODUCT((CA4:CA795="Lait")*(CB4:CB795="EXCL")*(COUNTIF(AI42,"*"&amp;CC4:CC795&amp;"*")&gt;0)*1))</f>
        <v>0</v>
      </c>
      <c r="AX42" s="6625" cm="1">
        <f t="array" ref="AX42">IF(W42="",0,SUMPRODUCT((CA4:CA795="Lait")*(CB4:CB795="ALERTE")*(COUNTIF(AI42,"*"&amp;CC4:CC795&amp;"*")&gt;0)*1))</f>
        <v>0</v>
      </c>
      <c r="AY42" s="6625" cm="1">
        <f t="array" ref="AY42">IF(W42="",0,SUMPRODUCT((CA4:CA795="Lait")*(CB4:CB795="SUSP")*(COUNTIF(AI42,"*"&amp;CC4:CC795&amp;"*")&gt;0)*1))</f>
        <v>0</v>
      </c>
      <c r="AZ42" s="6625" cm="1">
        <f t="array" ref="AZ42">IF(W42="",0,SUMPRODUCT((CA4:CA795="Fruits a coque")*(CB4:CB795="EXCL")*(COUNTIF(AI42,"*"&amp;CC4:CC795&amp;"*")&gt;0)*1))</f>
        <v>0</v>
      </c>
      <c r="BA42" s="6625" cm="1">
        <f t="array" ref="BA42">IF(W42="",0,SUMPRODUCT((CA4:CA795="Fruits a coque")*(CB4:CB795="ALERTE")*(COUNTIF(AI42,"*"&amp;CC4:CC795&amp;"*")&gt;0)*1))</f>
        <v>0</v>
      </c>
      <c r="BB42" s="6625" cm="1">
        <f t="array" ref="BB42">IF(W42="",0,SUMPRODUCT((CA4:CA795="Celeri")*(CB4:CB795="ALERTE")*(COUNTIF(AI42,"*"&amp;CC4:CC795&amp;"*")&gt;0)*1))</f>
        <v>0</v>
      </c>
      <c r="BC42" s="6625" cm="1">
        <f t="array" ref="BC42">IF(W42="",0,SUMPRODUCT((CA4:CA795="Moutarde")*(CB4:CB795="ALERTE")*(COUNTIF(AI42,"*"&amp;CC4:CC795&amp;"*")&gt;0)*1))</f>
        <v>0</v>
      </c>
      <c r="BD42" s="6625" cm="1">
        <f t="array" ref="BD42">IF(W42="",0,SUMPRODUCT((CA4:CA795="Sesame")*(CB4:CB795="ALERTE")*(COUNTIF(AI42,"*"&amp;CC4:CC795&amp;"*")&gt;0)*1))</f>
        <v>0</v>
      </c>
      <c r="BE42" s="6625" cm="1">
        <f t="array" ref="BE42">IF(W42="",0,SUMPRODUCT((CA4:CA795="Sulfites")*(CB4:CB795="ALERTE")*(COUNTIF(AI42,"*"&amp;CC4:CC795&amp;"*")&gt;0)*1))</f>
        <v>0</v>
      </c>
      <c r="BF42" s="6625" cm="1">
        <f t="array" ref="BF42">IF(W42="",0,SUMPRODUCT((CA4:CA795="Lupin")*(CB4:CB795="ALERTE")*(COUNTIF(AI42,"*"&amp;CC4:CC795&amp;"*")&gt;0)*1))</f>
        <v>0</v>
      </c>
      <c r="BG42" s="6625" cm="1">
        <f t="array" ref="BG42">IF(W42="",0,SUMPRODUCT((CA4:CA795="Mollusques")*(CB4:CB795="EXCL")*(COUNTIF(AI42,"*"&amp;CC4:CC795&amp;"*")&gt;0)*1))</f>
        <v>0</v>
      </c>
      <c r="BH42" s="6625" cm="1">
        <f t="array" ref="BH42">IF(W42="",0,SUMPRODUCT((CA4:CA795="Mollusques")*(CB4:CB795="ALERTE")*(COUNTIF(AI42,"*"&amp;CC4:CC795&amp;"*")&gt;0)*1))</f>
        <v>0</v>
      </c>
      <c r="BI42" s="6625" t="str">
        <f t="shared" si="25"/>
        <v/>
      </c>
      <c r="BJ42" s="6625" t="str">
        <f t="shared" si="26"/>
        <v/>
      </c>
      <c r="BK42" s="6625" t="str">
        <f t="shared" si="27"/>
        <v/>
      </c>
      <c r="BL42" s="6625" t="str">
        <f t="shared" si="28"/>
        <v/>
      </c>
      <c r="BM42" s="6625" t="str">
        <f t="shared" si="29"/>
        <v/>
      </c>
      <c r="BN42" s="6625" t="str">
        <f t="shared" si="30"/>
        <v/>
      </c>
      <c r="BO42" s="6625" t="str">
        <f t="shared" si="31"/>
        <v/>
      </c>
      <c r="BP42" s="6625" t="str">
        <f t="shared" si="32"/>
        <v/>
      </c>
      <c r="BQ42" s="6625" t="str">
        <f t="shared" si="33"/>
        <v/>
      </c>
      <c r="BR42" s="6625" t="str">
        <f t="shared" si="34"/>
        <v/>
      </c>
      <c r="BS42" s="6625" t="str">
        <f t="shared" si="35"/>
        <v/>
      </c>
      <c r="BT42" s="6625" t="str">
        <f t="shared" si="36"/>
        <v/>
      </c>
      <c r="BU42" s="6625" t="str">
        <f t="shared" si="37"/>
        <v/>
      </c>
      <c r="BV42" s="6625" t="str">
        <f t="shared" si="38"/>
        <v/>
      </c>
      <c r="BW42" s="6625" t="str">
        <f t="shared" si="39"/>
        <v/>
      </c>
      <c r="BX42" s="6625" t="str">
        <f t="shared" si="40"/>
        <v/>
      </c>
      <c r="CA42" s="3170" t="s">
        <v>16412</v>
      </c>
      <c r="CB42" s="7634" t="s">
        <v>16255</v>
      </c>
      <c r="CC42" s="3170" t="s">
        <v>16415</v>
      </c>
      <c r="CD42" s="3170" t="s">
        <v>16416</v>
      </c>
    </row>
    <row r="43" spans="2:82" ht="30" customHeight="1">
      <c r="B43" s="7661" t="str">
        <f t="shared" si="0"/>
        <v/>
      </c>
      <c r="C43" s="7661" t="str">
        <f t="shared" si="1"/>
        <v/>
      </c>
      <c r="D43" s="7661" t="str">
        <f t="shared" si="2"/>
        <v/>
      </c>
      <c r="E43" s="7661">
        <f>IF(H42&lt;&gt;"",E42,IF(E42="","",IFERROR(MATCH(TRUE(),INDEX(INDEX($K:$K,E42+1):$K$203&lt;&gt;"",0),0)+E42,"")))</f>
        <v>218</v>
      </c>
      <c r="F43" s="7661">
        <f t="shared" si="41"/>
        <v>0</v>
      </c>
      <c r="G43" s="7661" t="str">
        <f t="shared" si="3"/>
        <v>0</v>
      </c>
      <c r="H43" s="7672" t="str">
        <f t="shared" si="4"/>
        <v/>
      </c>
      <c r="I43" s="7683" t="str">
        <f t="shared" si="5"/>
        <v/>
      </c>
      <c r="J43" s="7673" t="str">
        <f>IF(K43="","",COUNTIF($K$18:K43,"&lt;&gt;"))</f>
        <v/>
      </c>
      <c r="K43" s="7674"/>
      <c r="L43" s="7673" t="str">
        <f t="shared" si="6"/>
        <v/>
      </c>
      <c r="M43" s="7630">
        <f t="shared" si="7"/>
        <v>1</v>
      </c>
      <c r="N43" s="7675">
        <f t="shared" si="8"/>
        <v>26</v>
      </c>
      <c r="O43" s="7676" t="str">
        <f t="shared" si="9"/>
        <v>0</v>
      </c>
      <c r="P43" s="7675">
        <f t="shared" si="10"/>
        <v>1</v>
      </c>
      <c r="Q43" s="7675">
        <f t="shared" si="11"/>
        <v>1</v>
      </c>
      <c r="S43" s="7679" t="str">
        <f t="shared" si="42"/>
        <v>0</v>
      </c>
      <c r="T43" s="7680" t="str">
        <f t="shared" si="12"/>
        <v/>
      </c>
      <c r="V43" s="7677">
        <f t="shared" si="13"/>
        <v>43</v>
      </c>
      <c r="W43" s="7678" t="str">
        <f t="shared" si="43"/>
        <v>0</v>
      </c>
      <c r="X43" s="7677" t="s">
        <v>2</v>
      </c>
      <c r="Y43" s="7702" t="str">
        <f t="shared" si="14"/>
        <v>0</v>
      </c>
      <c r="Z43" s="7703" t="str">
        <f t="shared" si="15"/>
        <v/>
      </c>
      <c r="AA43" s="7681" t="str">
        <f t="shared" si="16"/>
        <v>0</v>
      </c>
      <c r="AB43" s="7682" t="str">
        <f t="shared" si="17"/>
        <v/>
      </c>
      <c r="AC43" s="7677">
        <f t="shared" si="18"/>
        <v>0</v>
      </c>
      <c r="AD43" s="7677">
        <f t="shared" si="19"/>
        <v>0</v>
      </c>
      <c r="AE43" s="7682" t="str">
        <f t="shared" si="20"/>
        <v>aucun match</v>
      </c>
      <c r="AF43" s="6625" t="str">
        <f t="shared" si="21"/>
        <v>0</v>
      </c>
      <c r="AG43" s="6625" t="str">
        <f t="shared" si="22"/>
        <v>0</v>
      </c>
      <c r="AH43" s="6625" t="str">
        <f t="shared" si="23"/>
        <v>0</v>
      </c>
      <c r="AI43" s="6625" t="str">
        <f t="shared" si="24"/>
        <v xml:space="preserve"> 0 </v>
      </c>
      <c r="AJ43" s="6625" cm="1">
        <f t="array" ref="AJ43">IF(W43="",0,SUMPRODUCT((CA4:CA795="Gluten")*(CB4:CB795="INFO")*(COUNTIF(AI43,"*"&amp;CC4:CC795&amp;"*")&gt;0)*1))</f>
        <v>0</v>
      </c>
      <c r="AK43" s="6625" cm="1">
        <f t="array" ref="AK43">IF(W43="",0,SUMPRODUCT((CA4:CA795="Gluten")*(CB4:CB795="EXCL")*(COUNTIF(AI43,"*"&amp;CC4:CC795&amp;"*")&gt;0)*1))</f>
        <v>0</v>
      </c>
      <c r="AL43" s="6625" cm="1">
        <f t="array" ref="AL43">IF(W43="",0,SUMPRODUCT((CA4:CA795="Gluten")*(CB4:CB795="ALERTE")*(COUNTIF(AI43,"*"&amp;CC4:CC795&amp;"*")&gt;0)*1))</f>
        <v>0</v>
      </c>
      <c r="AM43" s="6625" cm="1">
        <f t="array" ref="AM43">IF(W43="",0,SUMPRODUCT((CA4:CA795="Gluten")*(CB4:CB795="SUSP")*(COUNTIF(AI43,"*"&amp;CC4:CC795&amp;"*")&gt;0)*1))</f>
        <v>0</v>
      </c>
      <c r="AN43" s="6625" cm="1">
        <f t="array" ref="AN43">IF(W43="",0,SUMPRODUCT((CA4:CA795="Crustaces")*(CB4:CB795="ALERTE")*(COUNTIF(AI43,"*"&amp;CC4:CC795&amp;"*")&gt;0)*1))</f>
        <v>0</v>
      </c>
      <c r="AO43" s="6625" cm="1">
        <f t="array" ref="AO43">IF(W43="",0,SUMPRODUCT((CA4:CA795="Oeufs")*(CB4:CB795="ALERTE")*(COUNTIF(AI43,"*"&amp;CC4:CC795&amp;"*")&gt;0)*1))</f>
        <v>0</v>
      </c>
      <c r="AP43" s="6625" cm="1">
        <f t="array" ref="AP43">IF(W43="",0,SUMPRODUCT((CA4:CA795="Poissons")*(CB4:CB795="INFO")*(COUNTIF(AI43,"*"&amp;CC4:CC795&amp;"*")&gt;0)*1))</f>
        <v>0</v>
      </c>
      <c r="AQ43" s="6625" cm="1">
        <f t="array" ref="AQ43">IF(W43="",0,SUMPRODUCT((CA4:CA795="Poissons")*(CB4:CB795="EXCL")*(COUNTIF(AI43,"*"&amp;CC4:CC795&amp;"*")&gt;0)*1))</f>
        <v>0</v>
      </c>
      <c r="AR43" s="6625" cm="1">
        <f t="array" ref="AR43">IF(W43="",0,SUMPRODUCT((CA4:CA795="Poissons")*(CB4:CB795="ALERTE")*(COUNTIF(AI43,"*"&amp;CC4:CC795&amp;"*")&gt;0)*1))</f>
        <v>0</v>
      </c>
      <c r="AS43" s="6625" cm="1">
        <f t="array" ref="AS43">IF(W43="",0,SUMPRODUCT((CA4:CA795="Arachides")*(CB4:CB795="ALERTE")*(COUNTIF(AI43,"*"&amp;CC4:CC795&amp;"*")&gt;0)*1))</f>
        <v>0</v>
      </c>
      <c r="AT43" s="6625" cm="1">
        <f t="array" ref="AT43">IF(W43="",0,SUMPRODUCT((CA4:CA795="Soja")*(CB4:CB795="INFO")*(COUNTIF(AI43,"*"&amp;CC4:CC795&amp;"*")&gt;0)*1))</f>
        <v>0</v>
      </c>
      <c r="AU43" s="6625" cm="1">
        <f t="array" ref="AU43">IF(W43="",0,SUMPRODUCT((CA4:CA795="Soja")*(CB4:CB795="ALERTE")*(COUNTIF(AI43,"*"&amp;CC4:CC795&amp;"*")&gt;0)*1))</f>
        <v>0</v>
      </c>
      <c r="AV43" s="6625" cm="1">
        <f t="array" ref="AV43">IF(W43="",0,SUMPRODUCT((CA4:CA795="Lait")*(CB4:CB795="INFO")*(COUNTIF(AI43,"*"&amp;CC4:CC795&amp;"*")&gt;0)*1))</f>
        <v>0</v>
      </c>
      <c r="AW43" s="6625" cm="1">
        <f t="array" ref="AW43">IF(W43="",0,SUMPRODUCT((CA4:CA795="Lait")*(CB4:CB795="EXCL")*(COUNTIF(AI43,"*"&amp;CC4:CC795&amp;"*")&gt;0)*1))</f>
        <v>0</v>
      </c>
      <c r="AX43" s="6625" cm="1">
        <f t="array" ref="AX43">IF(W43="",0,SUMPRODUCT((CA4:CA795="Lait")*(CB4:CB795="ALERTE")*(COUNTIF(AI43,"*"&amp;CC4:CC795&amp;"*")&gt;0)*1))</f>
        <v>0</v>
      </c>
      <c r="AY43" s="6625" cm="1">
        <f t="array" ref="AY43">IF(W43="",0,SUMPRODUCT((CA4:CA795="Lait")*(CB4:CB795="SUSP")*(COUNTIF(AI43,"*"&amp;CC4:CC795&amp;"*")&gt;0)*1))</f>
        <v>0</v>
      </c>
      <c r="AZ43" s="6625" cm="1">
        <f t="array" ref="AZ43">IF(W43="",0,SUMPRODUCT((CA4:CA795="Fruits a coque")*(CB4:CB795="EXCL")*(COUNTIF(AI43,"*"&amp;CC4:CC795&amp;"*")&gt;0)*1))</f>
        <v>0</v>
      </c>
      <c r="BA43" s="6625" cm="1">
        <f t="array" ref="BA43">IF(W43="",0,SUMPRODUCT((CA4:CA795="Fruits a coque")*(CB4:CB795="ALERTE")*(COUNTIF(AI43,"*"&amp;CC4:CC795&amp;"*")&gt;0)*1))</f>
        <v>0</v>
      </c>
      <c r="BB43" s="6625" cm="1">
        <f t="array" ref="BB43">IF(W43="",0,SUMPRODUCT((CA4:CA795="Celeri")*(CB4:CB795="ALERTE")*(COUNTIF(AI43,"*"&amp;CC4:CC795&amp;"*")&gt;0)*1))</f>
        <v>0</v>
      </c>
      <c r="BC43" s="6625" cm="1">
        <f t="array" ref="BC43">IF(W43="",0,SUMPRODUCT((CA4:CA795="Moutarde")*(CB4:CB795="ALERTE")*(COUNTIF(AI43,"*"&amp;CC4:CC795&amp;"*")&gt;0)*1))</f>
        <v>0</v>
      </c>
      <c r="BD43" s="6625" cm="1">
        <f t="array" ref="BD43">IF(W43="",0,SUMPRODUCT((CA4:CA795="Sesame")*(CB4:CB795="ALERTE")*(COUNTIF(AI43,"*"&amp;CC4:CC795&amp;"*")&gt;0)*1))</f>
        <v>0</v>
      </c>
      <c r="BE43" s="6625" cm="1">
        <f t="array" ref="BE43">IF(W43="",0,SUMPRODUCT((CA4:CA795="Sulfites")*(CB4:CB795="ALERTE")*(COUNTIF(AI43,"*"&amp;CC4:CC795&amp;"*")&gt;0)*1))</f>
        <v>0</v>
      </c>
      <c r="BF43" s="6625" cm="1">
        <f t="array" ref="BF43">IF(W43="",0,SUMPRODUCT((CA4:CA795="Lupin")*(CB4:CB795="ALERTE")*(COUNTIF(AI43,"*"&amp;CC4:CC795&amp;"*")&gt;0)*1))</f>
        <v>0</v>
      </c>
      <c r="BG43" s="6625" cm="1">
        <f t="array" ref="BG43">IF(W43="",0,SUMPRODUCT((CA4:CA795="Mollusques")*(CB4:CB795="EXCL")*(COUNTIF(AI43,"*"&amp;CC4:CC795&amp;"*")&gt;0)*1))</f>
        <v>0</v>
      </c>
      <c r="BH43" s="6625" cm="1">
        <f t="array" ref="BH43">IF(W43="",0,SUMPRODUCT((CA4:CA795="Mollusques")*(CB4:CB795="ALERTE")*(COUNTIF(AI43,"*"&amp;CC4:CC795&amp;"*")&gt;0)*1))</f>
        <v>0</v>
      </c>
      <c r="BI43" s="6625" t="str">
        <f t="shared" si="25"/>
        <v/>
      </c>
      <c r="BJ43" s="6625" t="str">
        <f t="shared" si="26"/>
        <v/>
      </c>
      <c r="BK43" s="6625" t="str">
        <f t="shared" si="27"/>
        <v/>
      </c>
      <c r="BL43" s="6625" t="str">
        <f t="shared" si="28"/>
        <v/>
      </c>
      <c r="BM43" s="6625" t="str">
        <f t="shared" si="29"/>
        <v/>
      </c>
      <c r="BN43" s="6625" t="str">
        <f t="shared" si="30"/>
        <v/>
      </c>
      <c r="BO43" s="6625" t="str">
        <f t="shared" si="31"/>
        <v/>
      </c>
      <c r="BP43" s="6625" t="str">
        <f t="shared" si="32"/>
        <v/>
      </c>
      <c r="BQ43" s="6625" t="str">
        <f t="shared" si="33"/>
        <v/>
      </c>
      <c r="BR43" s="6625" t="str">
        <f t="shared" si="34"/>
        <v/>
      </c>
      <c r="BS43" s="6625" t="str">
        <f t="shared" si="35"/>
        <v/>
      </c>
      <c r="BT43" s="6625" t="str">
        <f t="shared" si="36"/>
        <v/>
      </c>
      <c r="BU43" s="6625" t="str">
        <f t="shared" si="37"/>
        <v/>
      </c>
      <c r="BV43" s="6625" t="str">
        <f t="shared" si="38"/>
        <v/>
      </c>
      <c r="BW43" s="6625" t="str">
        <f t="shared" si="39"/>
        <v/>
      </c>
      <c r="BX43" s="6625" t="str">
        <f t="shared" si="40"/>
        <v/>
      </c>
      <c r="CA43" s="3170" t="s">
        <v>16412</v>
      </c>
      <c r="CB43" s="7634" t="s">
        <v>16255</v>
      </c>
      <c r="CC43" s="3170" t="s">
        <v>16417</v>
      </c>
      <c r="CD43" s="3170" t="s">
        <v>16418</v>
      </c>
    </row>
    <row r="44" spans="2:82" ht="30" customHeight="1">
      <c r="B44" s="7661" t="str">
        <f t="shared" si="0"/>
        <v/>
      </c>
      <c r="C44" s="7661" t="str">
        <f t="shared" si="1"/>
        <v/>
      </c>
      <c r="D44" s="7661" t="str">
        <f t="shared" si="2"/>
        <v/>
      </c>
      <c r="E44" s="7661">
        <f>IF(H43&lt;&gt;"",E43,IF(E43="","",IFERROR(MATCH(TRUE(),INDEX(INDEX($K:$K,E43+1):$K$203&lt;&gt;"",0),0)+E43,"")))</f>
        <v>219</v>
      </c>
      <c r="F44" s="7661">
        <f t="shared" si="41"/>
        <v>0</v>
      </c>
      <c r="G44" s="7661" t="str">
        <f t="shared" si="3"/>
        <v>0</v>
      </c>
      <c r="H44" s="7672" t="str">
        <f t="shared" si="4"/>
        <v/>
      </c>
      <c r="I44" s="7683" t="str">
        <f t="shared" si="5"/>
        <v/>
      </c>
      <c r="J44" s="7673" t="str">
        <f>IF(K44="","",COUNTIF($K$18:K44,"&lt;&gt;"))</f>
        <v/>
      </c>
      <c r="K44" s="7674"/>
      <c r="L44" s="7673" t="str">
        <f t="shared" si="6"/>
        <v/>
      </c>
      <c r="M44" s="7630">
        <f t="shared" si="7"/>
        <v>1</v>
      </c>
      <c r="N44" s="7675">
        <f t="shared" si="8"/>
        <v>27</v>
      </c>
      <c r="O44" s="7676" t="str">
        <f t="shared" si="9"/>
        <v>0</v>
      </c>
      <c r="P44" s="7675">
        <f t="shared" si="10"/>
        <v>1</v>
      </c>
      <c r="Q44" s="7675">
        <f t="shared" si="11"/>
        <v>1</v>
      </c>
      <c r="S44" s="7679" t="str">
        <f t="shared" si="42"/>
        <v>0</v>
      </c>
      <c r="T44" s="7680" t="str">
        <f t="shared" si="12"/>
        <v/>
      </c>
      <c r="V44" s="7677">
        <f t="shared" si="13"/>
        <v>44</v>
      </c>
      <c r="W44" s="7678" t="str">
        <f t="shared" si="43"/>
        <v>0</v>
      </c>
      <c r="X44" s="7677" t="s">
        <v>2</v>
      </c>
      <c r="Y44" s="7702" t="str">
        <f t="shared" si="14"/>
        <v>0</v>
      </c>
      <c r="Z44" s="7703" t="str">
        <f t="shared" si="15"/>
        <v/>
      </c>
      <c r="AA44" s="7681" t="str">
        <f t="shared" si="16"/>
        <v>0</v>
      </c>
      <c r="AB44" s="7682" t="str">
        <f t="shared" si="17"/>
        <v/>
      </c>
      <c r="AC44" s="7677">
        <f t="shared" si="18"/>
        <v>0</v>
      </c>
      <c r="AD44" s="7677">
        <f t="shared" si="19"/>
        <v>0</v>
      </c>
      <c r="AE44" s="7682" t="str">
        <f t="shared" si="20"/>
        <v>aucun match</v>
      </c>
      <c r="AF44" s="6625" t="str">
        <f t="shared" si="21"/>
        <v>0</v>
      </c>
      <c r="AG44" s="6625" t="str">
        <f t="shared" si="22"/>
        <v>0</v>
      </c>
      <c r="AH44" s="6625" t="str">
        <f t="shared" si="23"/>
        <v>0</v>
      </c>
      <c r="AI44" s="6625" t="str">
        <f t="shared" si="24"/>
        <v xml:space="preserve"> 0 </v>
      </c>
      <c r="AJ44" s="6625" cm="1">
        <f t="array" ref="AJ44">IF(W44="",0,SUMPRODUCT((CA4:CA795="Gluten")*(CB4:CB795="INFO")*(COUNTIF(AI44,"*"&amp;CC4:CC795&amp;"*")&gt;0)*1))</f>
        <v>0</v>
      </c>
      <c r="AK44" s="6625" cm="1">
        <f t="array" ref="AK44">IF(W44="",0,SUMPRODUCT((CA4:CA795="Gluten")*(CB4:CB795="EXCL")*(COUNTIF(AI44,"*"&amp;CC4:CC795&amp;"*")&gt;0)*1))</f>
        <v>0</v>
      </c>
      <c r="AL44" s="6625" cm="1">
        <f t="array" ref="AL44">IF(W44="",0,SUMPRODUCT((CA4:CA795="Gluten")*(CB4:CB795="ALERTE")*(COUNTIF(AI44,"*"&amp;CC4:CC795&amp;"*")&gt;0)*1))</f>
        <v>0</v>
      </c>
      <c r="AM44" s="6625" cm="1">
        <f t="array" ref="AM44">IF(W44="",0,SUMPRODUCT((CA4:CA795="Gluten")*(CB4:CB795="SUSP")*(COUNTIF(AI44,"*"&amp;CC4:CC795&amp;"*")&gt;0)*1))</f>
        <v>0</v>
      </c>
      <c r="AN44" s="6625" cm="1">
        <f t="array" ref="AN44">IF(W44="",0,SUMPRODUCT((CA4:CA795="Crustaces")*(CB4:CB795="ALERTE")*(COUNTIF(AI44,"*"&amp;CC4:CC795&amp;"*")&gt;0)*1))</f>
        <v>0</v>
      </c>
      <c r="AO44" s="6625" cm="1">
        <f t="array" ref="AO44">IF(W44="",0,SUMPRODUCT((CA4:CA795="Oeufs")*(CB4:CB795="ALERTE")*(COUNTIF(AI44,"*"&amp;CC4:CC795&amp;"*")&gt;0)*1))</f>
        <v>0</v>
      </c>
      <c r="AP44" s="6625" cm="1">
        <f t="array" ref="AP44">IF(W44="",0,SUMPRODUCT((CA4:CA795="Poissons")*(CB4:CB795="INFO")*(COUNTIF(AI44,"*"&amp;CC4:CC795&amp;"*")&gt;0)*1))</f>
        <v>0</v>
      </c>
      <c r="AQ44" s="6625" cm="1">
        <f t="array" ref="AQ44">IF(W44="",0,SUMPRODUCT((CA4:CA795="Poissons")*(CB4:CB795="EXCL")*(COUNTIF(AI44,"*"&amp;CC4:CC795&amp;"*")&gt;0)*1))</f>
        <v>0</v>
      </c>
      <c r="AR44" s="6625" cm="1">
        <f t="array" ref="AR44">IF(W44="",0,SUMPRODUCT((CA4:CA795="Poissons")*(CB4:CB795="ALERTE")*(COUNTIF(AI44,"*"&amp;CC4:CC795&amp;"*")&gt;0)*1))</f>
        <v>0</v>
      </c>
      <c r="AS44" s="6625" cm="1">
        <f t="array" ref="AS44">IF(W44="",0,SUMPRODUCT((CA4:CA795="Arachides")*(CB4:CB795="ALERTE")*(COUNTIF(AI44,"*"&amp;CC4:CC795&amp;"*")&gt;0)*1))</f>
        <v>0</v>
      </c>
      <c r="AT44" s="6625" cm="1">
        <f t="array" ref="AT44">IF(W44="",0,SUMPRODUCT((CA4:CA795="Soja")*(CB4:CB795="INFO")*(COUNTIF(AI44,"*"&amp;CC4:CC795&amp;"*")&gt;0)*1))</f>
        <v>0</v>
      </c>
      <c r="AU44" s="6625" cm="1">
        <f t="array" ref="AU44">IF(W44="",0,SUMPRODUCT((CA4:CA795="Soja")*(CB4:CB795="ALERTE")*(COUNTIF(AI44,"*"&amp;CC4:CC795&amp;"*")&gt;0)*1))</f>
        <v>0</v>
      </c>
      <c r="AV44" s="6625" cm="1">
        <f t="array" ref="AV44">IF(W44="",0,SUMPRODUCT((CA4:CA795="Lait")*(CB4:CB795="INFO")*(COUNTIF(AI44,"*"&amp;CC4:CC795&amp;"*")&gt;0)*1))</f>
        <v>0</v>
      </c>
      <c r="AW44" s="6625" cm="1">
        <f t="array" ref="AW44">IF(W44="",0,SUMPRODUCT((CA4:CA795="Lait")*(CB4:CB795="EXCL")*(COUNTIF(AI44,"*"&amp;CC4:CC795&amp;"*")&gt;0)*1))</f>
        <v>0</v>
      </c>
      <c r="AX44" s="6625" cm="1">
        <f t="array" ref="AX44">IF(W44="",0,SUMPRODUCT((CA4:CA795="Lait")*(CB4:CB795="ALERTE")*(COUNTIF(AI44,"*"&amp;CC4:CC795&amp;"*")&gt;0)*1))</f>
        <v>0</v>
      </c>
      <c r="AY44" s="6625" cm="1">
        <f t="array" ref="AY44">IF(W44="",0,SUMPRODUCT((CA4:CA795="Lait")*(CB4:CB795="SUSP")*(COUNTIF(AI44,"*"&amp;CC4:CC795&amp;"*")&gt;0)*1))</f>
        <v>0</v>
      </c>
      <c r="AZ44" s="6625" cm="1">
        <f t="array" ref="AZ44">IF(W44="",0,SUMPRODUCT((CA4:CA795="Fruits a coque")*(CB4:CB795="EXCL")*(COUNTIF(AI44,"*"&amp;CC4:CC795&amp;"*")&gt;0)*1))</f>
        <v>0</v>
      </c>
      <c r="BA44" s="6625" cm="1">
        <f t="array" ref="BA44">IF(W44="",0,SUMPRODUCT((CA4:CA795="Fruits a coque")*(CB4:CB795="ALERTE")*(COUNTIF(AI44,"*"&amp;CC4:CC795&amp;"*")&gt;0)*1))</f>
        <v>0</v>
      </c>
      <c r="BB44" s="6625" cm="1">
        <f t="array" ref="BB44">IF(W44="",0,SUMPRODUCT((CA4:CA795="Celeri")*(CB4:CB795="ALERTE")*(COUNTIF(AI44,"*"&amp;CC4:CC795&amp;"*")&gt;0)*1))</f>
        <v>0</v>
      </c>
      <c r="BC44" s="6625" cm="1">
        <f t="array" ref="BC44">IF(W44="",0,SUMPRODUCT((CA4:CA795="Moutarde")*(CB4:CB795="ALERTE")*(COUNTIF(AI44,"*"&amp;CC4:CC795&amp;"*")&gt;0)*1))</f>
        <v>0</v>
      </c>
      <c r="BD44" s="6625" cm="1">
        <f t="array" ref="BD44">IF(W44="",0,SUMPRODUCT((CA4:CA795="Sesame")*(CB4:CB795="ALERTE")*(COUNTIF(AI44,"*"&amp;CC4:CC795&amp;"*")&gt;0)*1))</f>
        <v>0</v>
      </c>
      <c r="BE44" s="6625" cm="1">
        <f t="array" ref="BE44">IF(W44="",0,SUMPRODUCT((CA4:CA795="Sulfites")*(CB4:CB795="ALERTE")*(COUNTIF(AI44,"*"&amp;CC4:CC795&amp;"*")&gt;0)*1))</f>
        <v>0</v>
      </c>
      <c r="BF44" s="6625" cm="1">
        <f t="array" ref="BF44">IF(W44="",0,SUMPRODUCT((CA4:CA795="Lupin")*(CB4:CB795="ALERTE")*(COUNTIF(AI44,"*"&amp;CC4:CC795&amp;"*")&gt;0)*1))</f>
        <v>0</v>
      </c>
      <c r="BG44" s="6625" cm="1">
        <f t="array" ref="BG44">IF(W44="",0,SUMPRODUCT((CA4:CA795="Mollusques")*(CB4:CB795="EXCL")*(COUNTIF(AI44,"*"&amp;CC4:CC795&amp;"*")&gt;0)*1))</f>
        <v>0</v>
      </c>
      <c r="BH44" s="6625" cm="1">
        <f t="array" ref="BH44">IF(W44="",0,SUMPRODUCT((CA4:CA795="Mollusques")*(CB4:CB795="ALERTE")*(COUNTIF(AI44,"*"&amp;CC4:CC795&amp;"*")&gt;0)*1))</f>
        <v>0</v>
      </c>
      <c r="BI44" s="6625" t="str">
        <f t="shared" si="25"/>
        <v/>
      </c>
      <c r="BJ44" s="6625" t="str">
        <f t="shared" si="26"/>
        <v/>
      </c>
      <c r="BK44" s="6625" t="str">
        <f t="shared" si="27"/>
        <v/>
      </c>
      <c r="BL44" s="6625" t="str">
        <f t="shared" si="28"/>
        <v/>
      </c>
      <c r="BM44" s="6625" t="str">
        <f t="shared" si="29"/>
        <v/>
      </c>
      <c r="BN44" s="6625" t="str">
        <f t="shared" si="30"/>
        <v/>
      </c>
      <c r="BO44" s="6625" t="str">
        <f t="shared" si="31"/>
        <v/>
      </c>
      <c r="BP44" s="6625" t="str">
        <f t="shared" si="32"/>
        <v/>
      </c>
      <c r="BQ44" s="6625" t="str">
        <f t="shared" si="33"/>
        <v/>
      </c>
      <c r="BR44" s="6625" t="str">
        <f t="shared" si="34"/>
        <v/>
      </c>
      <c r="BS44" s="6625" t="str">
        <f t="shared" si="35"/>
        <v/>
      </c>
      <c r="BT44" s="6625" t="str">
        <f t="shared" si="36"/>
        <v/>
      </c>
      <c r="BU44" s="6625" t="str">
        <f t="shared" si="37"/>
        <v/>
      </c>
      <c r="BV44" s="6625" t="str">
        <f t="shared" si="38"/>
        <v/>
      </c>
      <c r="BW44" s="6625" t="str">
        <f t="shared" si="39"/>
        <v/>
      </c>
      <c r="BX44" s="6625" t="str">
        <f t="shared" si="40"/>
        <v/>
      </c>
      <c r="CA44" s="3170" t="s">
        <v>16412</v>
      </c>
      <c r="CB44" s="7634" t="s">
        <v>16255</v>
      </c>
      <c r="CC44" s="3170" t="s">
        <v>16419</v>
      </c>
      <c r="CD44" s="3170" t="s">
        <v>16420</v>
      </c>
    </row>
    <row r="45" spans="2:82" ht="30" customHeight="1">
      <c r="B45" s="7661" t="str">
        <f t="shared" si="0"/>
        <v/>
      </c>
      <c r="C45" s="7661" t="str">
        <f t="shared" si="1"/>
        <v/>
      </c>
      <c r="D45" s="7661" t="str">
        <f t="shared" si="2"/>
        <v/>
      </c>
      <c r="E45" s="7661">
        <f>IF(H44&lt;&gt;"",E44,IF(E44="","",IFERROR(MATCH(TRUE(),INDEX(INDEX($K:$K,E44+1):$K$203&lt;&gt;"",0),0)+E44,"")))</f>
        <v>220</v>
      </c>
      <c r="F45" s="7661">
        <f t="shared" si="41"/>
        <v>0</v>
      </c>
      <c r="G45" s="7661" t="str">
        <f t="shared" si="3"/>
        <v>0</v>
      </c>
      <c r="H45" s="7672" t="str">
        <f t="shared" si="4"/>
        <v/>
      </c>
      <c r="I45" s="7683" t="str">
        <f t="shared" si="5"/>
        <v/>
      </c>
      <c r="J45" s="7673" t="str">
        <f>IF(K45="","",COUNTIF($K$18:K45,"&lt;&gt;"))</f>
        <v/>
      </c>
      <c r="K45" s="7674"/>
      <c r="L45" s="7673" t="str">
        <f t="shared" si="6"/>
        <v/>
      </c>
      <c r="M45" s="7630">
        <f t="shared" si="7"/>
        <v>1</v>
      </c>
      <c r="N45" s="7675">
        <f t="shared" si="8"/>
        <v>28</v>
      </c>
      <c r="O45" s="7676" t="str">
        <f t="shared" si="9"/>
        <v>0</v>
      </c>
      <c r="P45" s="7675">
        <f t="shared" si="10"/>
        <v>1</v>
      </c>
      <c r="Q45" s="7675">
        <f t="shared" si="11"/>
        <v>1</v>
      </c>
      <c r="S45" s="7679" t="str">
        <f t="shared" si="42"/>
        <v>0</v>
      </c>
      <c r="T45" s="7680" t="str">
        <f t="shared" si="12"/>
        <v/>
      </c>
      <c r="V45" s="7677">
        <f t="shared" si="13"/>
        <v>45</v>
      </c>
      <c r="W45" s="7678" t="str">
        <f t="shared" si="43"/>
        <v>0</v>
      </c>
      <c r="X45" s="7677" t="s">
        <v>2</v>
      </c>
      <c r="Y45" s="7702" t="str">
        <f t="shared" si="14"/>
        <v>0</v>
      </c>
      <c r="Z45" s="7703" t="str">
        <f t="shared" si="15"/>
        <v/>
      </c>
      <c r="AA45" s="7681" t="str">
        <f t="shared" si="16"/>
        <v>0</v>
      </c>
      <c r="AB45" s="7682" t="str">
        <f t="shared" si="17"/>
        <v/>
      </c>
      <c r="AC45" s="7677">
        <f t="shared" si="18"/>
        <v>0</v>
      </c>
      <c r="AD45" s="7677">
        <f t="shared" si="19"/>
        <v>0</v>
      </c>
      <c r="AE45" s="7682" t="str">
        <f t="shared" si="20"/>
        <v>aucun match</v>
      </c>
      <c r="AF45" s="6625" t="str">
        <f t="shared" si="21"/>
        <v>0</v>
      </c>
      <c r="AG45" s="6625" t="str">
        <f t="shared" si="22"/>
        <v>0</v>
      </c>
      <c r="AH45" s="6625" t="str">
        <f t="shared" si="23"/>
        <v>0</v>
      </c>
      <c r="AI45" s="6625" t="str">
        <f t="shared" si="24"/>
        <v xml:space="preserve"> 0 </v>
      </c>
      <c r="AJ45" s="6625" cm="1">
        <f t="array" ref="AJ45">IF(W45="",0,SUMPRODUCT((CA4:CA795="Gluten")*(CB4:CB795="INFO")*(COUNTIF(AI45,"*"&amp;CC4:CC795&amp;"*")&gt;0)*1))</f>
        <v>0</v>
      </c>
      <c r="AK45" s="6625" cm="1">
        <f t="array" ref="AK45">IF(W45="",0,SUMPRODUCT((CA4:CA795="Gluten")*(CB4:CB795="EXCL")*(COUNTIF(AI45,"*"&amp;CC4:CC795&amp;"*")&gt;0)*1))</f>
        <v>0</v>
      </c>
      <c r="AL45" s="6625" cm="1">
        <f t="array" ref="AL45">IF(W45="",0,SUMPRODUCT((CA4:CA795="Gluten")*(CB4:CB795="ALERTE")*(COUNTIF(AI45,"*"&amp;CC4:CC795&amp;"*")&gt;0)*1))</f>
        <v>0</v>
      </c>
      <c r="AM45" s="6625" cm="1">
        <f t="array" ref="AM45">IF(W45="",0,SUMPRODUCT((CA4:CA795="Gluten")*(CB4:CB795="SUSP")*(COUNTIF(AI45,"*"&amp;CC4:CC795&amp;"*")&gt;0)*1))</f>
        <v>0</v>
      </c>
      <c r="AN45" s="6625" cm="1">
        <f t="array" ref="AN45">IF(W45="",0,SUMPRODUCT((CA4:CA795="Crustaces")*(CB4:CB795="ALERTE")*(COUNTIF(AI45,"*"&amp;CC4:CC795&amp;"*")&gt;0)*1))</f>
        <v>0</v>
      </c>
      <c r="AO45" s="6625" cm="1">
        <f t="array" ref="AO45">IF(W45="",0,SUMPRODUCT((CA4:CA795="Oeufs")*(CB4:CB795="ALERTE")*(COUNTIF(AI45,"*"&amp;CC4:CC795&amp;"*")&gt;0)*1))</f>
        <v>0</v>
      </c>
      <c r="AP45" s="6625" cm="1">
        <f t="array" ref="AP45">IF(W45="",0,SUMPRODUCT((CA4:CA795="Poissons")*(CB4:CB795="INFO")*(COUNTIF(AI45,"*"&amp;CC4:CC795&amp;"*")&gt;0)*1))</f>
        <v>0</v>
      </c>
      <c r="AQ45" s="6625" cm="1">
        <f t="array" ref="AQ45">IF(W45="",0,SUMPRODUCT((CA4:CA795="Poissons")*(CB4:CB795="EXCL")*(COUNTIF(AI45,"*"&amp;CC4:CC795&amp;"*")&gt;0)*1))</f>
        <v>0</v>
      </c>
      <c r="AR45" s="6625" cm="1">
        <f t="array" ref="AR45">IF(W45="",0,SUMPRODUCT((CA4:CA795="Poissons")*(CB4:CB795="ALERTE")*(COUNTIF(AI45,"*"&amp;CC4:CC795&amp;"*")&gt;0)*1))</f>
        <v>0</v>
      </c>
      <c r="AS45" s="6625" cm="1">
        <f t="array" ref="AS45">IF(W45="",0,SUMPRODUCT((CA4:CA795="Arachides")*(CB4:CB795="ALERTE")*(COUNTIF(AI45,"*"&amp;CC4:CC795&amp;"*")&gt;0)*1))</f>
        <v>0</v>
      </c>
      <c r="AT45" s="6625" cm="1">
        <f t="array" ref="AT45">IF(W45="",0,SUMPRODUCT((CA4:CA795="Soja")*(CB4:CB795="INFO")*(COUNTIF(AI45,"*"&amp;CC4:CC795&amp;"*")&gt;0)*1))</f>
        <v>0</v>
      </c>
      <c r="AU45" s="6625" cm="1">
        <f t="array" ref="AU45">IF(W45="",0,SUMPRODUCT((CA4:CA795="Soja")*(CB4:CB795="ALERTE")*(COUNTIF(AI45,"*"&amp;CC4:CC795&amp;"*")&gt;0)*1))</f>
        <v>0</v>
      </c>
      <c r="AV45" s="6625" cm="1">
        <f t="array" ref="AV45">IF(W45="",0,SUMPRODUCT((CA4:CA795="Lait")*(CB4:CB795="INFO")*(COUNTIF(AI45,"*"&amp;CC4:CC795&amp;"*")&gt;0)*1))</f>
        <v>0</v>
      </c>
      <c r="AW45" s="6625" cm="1">
        <f t="array" ref="AW45">IF(W45="",0,SUMPRODUCT((CA4:CA795="Lait")*(CB4:CB795="EXCL")*(COUNTIF(AI45,"*"&amp;CC4:CC795&amp;"*")&gt;0)*1))</f>
        <v>0</v>
      </c>
      <c r="AX45" s="6625" cm="1">
        <f t="array" ref="AX45">IF(W45="",0,SUMPRODUCT((CA4:CA795="Lait")*(CB4:CB795="ALERTE")*(COUNTIF(AI45,"*"&amp;CC4:CC795&amp;"*")&gt;0)*1))</f>
        <v>0</v>
      </c>
      <c r="AY45" s="6625" cm="1">
        <f t="array" ref="AY45">IF(W45="",0,SUMPRODUCT((CA4:CA795="Lait")*(CB4:CB795="SUSP")*(COUNTIF(AI45,"*"&amp;CC4:CC795&amp;"*")&gt;0)*1))</f>
        <v>0</v>
      </c>
      <c r="AZ45" s="6625" cm="1">
        <f t="array" ref="AZ45">IF(W45="",0,SUMPRODUCT((CA4:CA795="Fruits a coque")*(CB4:CB795="EXCL")*(COUNTIF(AI45,"*"&amp;CC4:CC795&amp;"*")&gt;0)*1))</f>
        <v>0</v>
      </c>
      <c r="BA45" s="6625" cm="1">
        <f t="array" ref="BA45">IF(W45="",0,SUMPRODUCT((CA4:CA795="Fruits a coque")*(CB4:CB795="ALERTE")*(COUNTIF(AI45,"*"&amp;CC4:CC795&amp;"*")&gt;0)*1))</f>
        <v>0</v>
      </c>
      <c r="BB45" s="6625" cm="1">
        <f t="array" ref="BB45">IF(W45="",0,SUMPRODUCT((CA4:CA795="Celeri")*(CB4:CB795="ALERTE")*(COUNTIF(AI45,"*"&amp;CC4:CC795&amp;"*")&gt;0)*1))</f>
        <v>0</v>
      </c>
      <c r="BC45" s="6625" cm="1">
        <f t="array" ref="BC45">IF(W45="",0,SUMPRODUCT((CA4:CA795="Moutarde")*(CB4:CB795="ALERTE")*(COUNTIF(AI45,"*"&amp;CC4:CC795&amp;"*")&gt;0)*1))</f>
        <v>0</v>
      </c>
      <c r="BD45" s="6625" cm="1">
        <f t="array" ref="BD45">IF(W45="",0,SUMPRODUCT((CA4:CA795="Sesame")*(CB4:CB795="ALERTE")*(COUNTIF(AI45,"*"&amp;CC4:CC795&amp;"*")&gt;0)*1))</f>
        <v>0</v>
      </c>
      <c r="BE45" s="6625" cm="1">
        <f t="array" ref="BE45">IF(W45="",0,SUMPRODUCT((CA4:CA795="Sulfites")*(CB4:CB795="ALERTE")*(COUNTIF(AI45,"*"&amp;CC4:CC795&amp;"*")&gt;0)*1))</f>
        <v>0</v>
      </c>
      <c r="BF45" s="6625" cm="1">
        <f t="array" ref="BF45">IF(W45="",0,SUMPRODUCT((CA4:CA795="Lupin")*(CB4:CB795="ALERTE")*(COUNTIF(AI45,"*"&amp;CC4:CC795&amp;"*")&gt;0)*1))</f>
        <v>0</v>
      </c>
      <c r="BG45" s="6625" cm="1">
        <f t="array" ref="BG45">IF(W45="",0,SUMPRODUCT((CA4:CA795="Mollusques")*(CB4:CB795="EXCL")*(COUNTIF(AI45,"*"&amp;CC4:CC795&amp;"*")&gt;0)*1))</f>
        <v>0</v>
      </c>
      <c r="BH45" s="6625" cm="1">
        <f t="array" ref="BH45">IF(W45="",0,SUMPRODUCT((CA4:CA795="Mollusques")*(CB4:CB795="ALERTE")*(COUNTIF(AI45,"*"&amp;CC4:CC795&amp;"*")&gt;0)*1))</f>
        <v>0</v>
      </c>
      <c r="BI45" s="6625" t="str">
        <f t="shared" si="25"/>
        <v/>
      </c>
      <c r="BJ45" s="6625" t="str">
        <f t="shared" si="26"/>
        <v/>
      </c>
      <c r="BK45" s="6625" t="str">
        <f t="shared" si="27"/>
        <v/>
      </c>
      <c r="BL45" s="6625" t="str">
        <f t="shared" si="28"/>
        <v/>
      </c>
      <c r="BM45" s="6625" t="str">
        <f t="shared" si="29"/>
        <v/>
      </c>
      <c r="BN45" s="6625" t="str">
        <f t="shared" si="30"/>
        <v/>
      </c>
      <c r="BO45" s="6625" t="str">
        <f t="shared" si="31"/>
        <v/>
      </c>
      <c r="BP45" s="6625" t="str">
        <f t="shared" si="32"/>
        <v/>
      </c>
      <c r="BQ45" s="6625" t="str">
        <f t="shared" si="33"/>
        <v/>
      </c>
      <c r="BR45" s="6625" t="str">
        <f t="shared" si="34"/>
        <v/>
      </c>
      <c r="BS45" s="6625" t="str">
        <f t="shared" si="35"/>
        <v/>
      </c>
      <c r="BT45" s="6625" t="str">
        <f t="shared" si="36"/>
        <v/>
      </c>
      <c r="BU45" s="6625" t="str">
        <f t="shared" si="37"/>
        <v/>
      </c>
      <c r="BV45" s="6625" t="str">
        <f t="shared" si="38"/>
        <v/>
      </c>
      <c r="BW45" s="6625" t="str">
        <f t="shared" si="39"/>
        <v/>
      </c>
      <c r="BX45" s="6625" t="str">
        <f t="shared" si="40"/>
        <v/>
      </c>
      <c r="CA45" s="3170" t="s">
        <v>16412</v>
      </c>
      <c r="CB45" s="7634" t="s">
        <v>16255</v>
      </c>
      <c r="CC45" s="3170" t="s">
        <v>16421</v>
      </c>
      <c r="CD45" s="3170" t="s">
        <v>16422</v>
      </c>
    </row>
    <row r="46" spans="2:82" ht="30" customHeight="1">
      <c r="B46" s="7661" t="str">
        <f t="shared" si="0"/>
        <v/>
      </c>
      <c r="C46" s="7661" t="str">
        <f t="shared" si="1"/>
        <v/>
      </c>
      <c r="D46" s="7661" t="str">
        <f t="shared" si="2"/>
        <v/>
      </c>
      <c r="E46" s="7661">
        <f>IF(H45&lt;&gt;"",E45,IF(E45="","",IFERROR(MATCH(TRUE(),INDEX(INDEX($K:$K,E45+1):$K$203&lt;&gt;"",0),0)+E45,"")))</f>
        <v>221</v>
      </c>
      <c r="F46" s="7661">
        <f t="shared" si="41"/>
        <v>0</v>
      </c>
      <c r="G46" s="7661" t="str">
        <f t="shared" si="3"/>
        <v>0</v>
      </c>
      <c r="H46" s="7672" t="str">
        <f t="shared" si="4"/>
        <v/>
      </c>
      <c r="I46" s="7683" t="str">
        <f t="shared" si="5"/>
        <v/>
      </c>
      <c r="J46" s="7673" t="str">
        <f>IF(K46="","",COUNTIF($K$18:K46,"&lt;&gt;"))</f>
        <v/>
      </c>
      <c r="K46" s="7674"/>
      <c r="L46" s="7673" t="str">
        <f t="shared" si="6"/>
        <v/>
      </c>
      <c r="M46" s="7630">
        <f t="shared" si="7"/>
        <v>1</v>
      </c>
      <c r="N46" s="7675">
        <f t="shared" si="8"/>
        <v>29</v>
      </c>
      <c r="O46" s="7676" t="str">
        <f t="shared" si="9"/>
        <v>0</v>
      </c>
      <c r="P46" s="7675">
        <f t="shared" si="10"/>
        <v>1</v>
      </c>
      <c r="Q46" s="7675">
        <f t="shared" si="11"/>
        <v>1</v>
      </c>
      <c r="S46" s="7679" t="str">
        <f t="shared" si="42"/>
        <v>0</v>
      </c>
      <c r="T46" s="7680" t="str">
        <f t="shared" si="12"/>
        <v/>
      </c>
      <c r="V46" s="7677">
        <f t="shared" si="13"/>
        <v>46</v>
      </c>
      <c r="W46" s="7678" t="str">
        <f t="shared" si="43"/>
        <v>0</v>
      </c>
      <c r="X46" s="7677" t="s">
        <v>2</v>
      </c>
      <c r="Y46" s="7702" t="str">
        <f t="shared" si="14"/>
        <v>0</v>
      </c>
      <c r="Z46" s="7703" t="str">
        <f t="shared" si="15"/>
        <v/>
      </c>
      <c r="AA46" s="7681" t="str">
        <f t="shared" si="16"/>
        <v>0</v>
      </c>
      <c r="AB46" s="7682" t="str">
        <f t="shared" si="17"/>
        <v/>
      </c>
      <c r="AC46" s="7677">
        <f t="shared" si="18"/>
        <v>0</v>
      </c>
      <c r="AD46" s="7677">
        <f t="shared" si="19"/>
        <v>0</v>
      </c>
      <c r="AE46" s="7682" t="str">
        <f t="shared" si="20"/>
        <v>aucun match</v>
      </c>
      <c r="AF46" s="6625" t="str">
        <f t="shared" si="21"/>
        <v>0</v>
      </c>
      <c r="AG46" s="6625" t="str">
        <f t="shared" si="22"/>
        <v>0</v>
      </c>
      <c r="AH46" s="6625" t="str">
        <f t="shared" si="23"/>
        <v>0</v>
      </c>
      <c r="AI46" s="6625" t="str">
        <f t="shared" si="24"/>
        <v xml:space="preserve"> 0 </v>
      </c>
      <c r="AJ46" s="6625" cm="1">
        <f t="array" ref="AJ46">IF(W46="",0,SUMPRODUCT((CA4:CA795="Gluten")*(CB4:CB795="INFO")*(COUNTIF(AI46,"*"&amp;CC4:CC795&amp;"*")&gt;0)*1))</f>
        <v>0</v>
      </c>
      <c r="AK46" s="6625" cm="1">
        <f t="array" ref="AK46">IF(W46="",0,SUMPRODUCT((CA4:CA795="Gluten")*(CB4:CB795="EXCL")*(COUNTIF(AI46,"*"&amp;CC4:CC795&amp;"*")&gt;0)*1))</f>
        <v>0</v>
      </c>
      <c r="AL46" s="6625" cm="1">
        <f t="array" ref="AL46">IF(W46="",0,SUMPRODUCT((CA4:CA795="Gluten")*(CB4:CB795="ALERTE")*(COUNTIF(AI46,"*"&amp;CC4:CC795&amp;"*")&gt;0)*1))</f>
        <v>0</v>
      </c>
      <c r="AM46" s="6625" cm="1">
        <f t="array" ref="AM46">IF(W46="",0,SUMPRODUCT((CA4:CA795="Gluten")*(CB4:CB795="SUSP")*(COUNTIF(AI46,"*"&amp;CC4:CC795&amp;"*")&gt;0)*1))</f>
        <v>0</v>
      </c>
      <c r="AN46" s="6625" cm="1">
        <f t="array" ref="AN46">IF(W46="",0,SUMPRODUCT((CA4:CA795="Crustaces")*(CB4:CB795="ALERTE")*(COUNTIF(AI46,"*"&amp;CC4:CC795&amp;"*")&gt;0)*1))</f>
        <v>0</v>
      </c>
      <c r="AO46" s="6625" cm="1">
        <f t="array" ref="AO46">IF(W46="",0,SUMPRODUCT((CA4:CA795="Oeufs")*(CB4:CB795="ALERTE")*(COUNTIF(AI46,"*"&amp;CC4:CC795&amp;"*")&gt;0)*1))</f>
        <v>0</v>
      </c>
      <c r="AP46" s="6625" cm="1">
        <f t="array" ref="AP46">IF(W46="",0,SUMPRODUCT((CA4:CA795="Poissons")*(CB4:CB795="INFO")*(COUNTIF(AI46,"*"&amp;CC4:CC795&amp;"*")&gt;0)*1))</f>
        <v>0</v>
      </c>
      <c r="AQ46" s="6625" cm="1">
        <f t="array" ref="AQ46">IF(W46="",0,SUMPRODUCT((CA4:CA795="Poissons")*(CB4:CB795="EXCL")*(COUNTIF(AI46,"*"&amp;CC4:CC795&amp;"*")&gt;0)*1))</f>
        <v>0</v>
      </c>
      <c r="AR46" s="6625" cm="1">
        <f t="array" ref="AR46">IF(W46="",0,SUMPRODUCT((CA4:CA795="Poissons")*(CB4:CB795="ALERTE")*(COUNTIF(AI46,"*"&amp;CC4:CC795&amp;"*")&gt;0)*1))</f>
        <v>0</v>
      </c>
      <c r="AS46" s="6625" cm="1">
        <f t="array" ref="AS46">IF(W46="",0,SUMPRODUCT((CA4:CA795="Arachides")*(CB4:CB795="ALERTE")*(COUNTIF(AI46,"*"&amp;CC4:CC795&amp;"*")&gt;0)*1))</f>
        <v>0</v>
      </c>
      <c r="AT46" s="6625" cm="1">
        <f t="array" ref="AT46">IF(W46="",0,SUMPRODUCT((CA4:CA795="Soja")*(CB4:CB795="INFO")*(COUNTIF(AI46,"*"&amp;CC4:CC795&amp;"*")&gt;0)*1))</f>
        <v>0</v>
      </c>
      <c r="AU46" s="6625" cm="1">
        <f t="array" ref="AU46">IF(W46="",0,SUMPRODUCT((CA4:CA795="Soja")*(CB4:CB795="ALERTE")*(COUNTIF(AI46,"*"&amp;CC4:CC795&amp;"*")&gt;0)*1))</f>
        <v>0</v>
      </c>
      <c r="AV46" s="6625" cm="1">
        <f t="array" ref="AV46">IF(W46="",0,SUMPRODUCT((CA4:CA795="Lait")*(CB4:CB795="INFO")*(COUNTIF(AI46,"*"&amp;CC4:CC795&amp;"*")&gt;0)*1))</f>
        <v>0</v>
      </c>
      <c r="AW46" s="6625" cm="1">
        <f t="array" ref="AW46">IF(W46="",0,SUMPRODUCT((CA4:CA795="Lait")*(CB4:CB795="EXCL")*(COUNTIF(AI46,"*"&amp;CC4:CC795&amp;"*")&gt;0)*1))</f>
        <v>0</v>
      </c>
      <c r="AX46" s="6625" cm="1">
        <f t="array" ref="AX46">IF(W46="",0,SUMPRODUCT((CA4:CA795="Lait")*(CB4:CB795="ALERTE")*(COUNTIF(AI46,"*"&amp;CC4:CC795&amp;"*")&gt;0)*1))</f>
        <v>0</v>
      </c>
      <c r="AY46" s="6625" cm="1">
        <f t="array" ref="AY46">IF(W46="",0,SUMPRODUCT((CA4:CA795="Lait")*(CB4:CB795="SUSP")*(COUNTIF(AI46,"*"&amp;CC4:CC795&amp;"*")&gt;0)*1))</f>
        <v>0</v>
      </c>
      <c r="AZ46" s="6625" cm="1">
        <f t="array" ref="AZ46">IF(W46="",0,SUMPRODUCT((CA4:CA795="Fruits a coque")*(CB4:CB795="EXCL")*(COUNTIF(AI46,"*"&amp;CC4:CC795&amp;"*")&gt;0)*1))</f>
        <v>0</v>
      </c>
      <c r="BA46" s="6625" cm="1">
        <f t="array" ref="BA46">IF(W46="",0,SUMPRODUCT((CA4:CA795="Fruits a coque")*(CB4:CB795="ALERTE")*(COUNTIF(AI46,"*"&amp;CC4:CC795&amp;"*")&gt;0)*1))</f>
        <v>0</v>
      </c>
      <c r="BB46" s="6625" cm="1">
        <f t="array" ref="BB46">IF(W46="",0,SUMPRODUCT((CA4:CA795="Celeri")*(CB4:CB795="ALERTE")*(COUNTIF(AI46,"*"&amp;CC4:CC795&amp;"*")&gt;0)*1))</f>
        <v>0</v>
      </c>
      <c r="BC46" s="6625" cm="1">
        <f t="array" ref="BC46">IF(W46="",0,SUMPRODUCT((CA4:CA795="Moutarde")*(CB4:CB795="ALERTE")*(COUNTIF(AI46,"*"&amp;CC4:CC795&amp;"*")&gt;0)*1))</f>
        <v>0</v>
      </c>
      <c r="BD46" s="6625" cm="1">
        <f t="array" ref="BD46">IF(W46="",0,SUMPRODUCT((CA4:CA795="Sesame")*(CB4:CB795="ALERTE")*(COUNTIF(AI46,"*"&amp;CC4:CC795&amp;"*")&gt;0)*1))</f>
        <v>0</v>
      </c>
      <c r="BE46" s="6625" cm="1">
        <f t="array" ref="BE46">IF(W46="",0,SUMPRODUCT((CA4:CA795="Sulfites")*(CB4:CB795="ALERTE")*(COUNTIF(AI46,"*"&amp;CC4:CC795&amp;"*")&gt;0)*1))</f>
        <v>0</v>
      </c>
      <c r="BF46" s="6625" cm="1">
        <f t="array" ref="BF46">IF(W46="",0,SUMPRODUCT((CA4:CA795="Lupin")*(CB4:CB795="ALERTE")*(COUNTIF(AI46,"*"&amp;CC4:CC795&amp;"*")&gt;0)*1))</f>
        <v>0</v>
      </c>
      <c r="BG46" s="6625" cm="1">
        <f t="array" ref="BG46">IF(W46="",0,SUMPRODUCT((CA4:CA795="Mollusques")*(CB4:CB795="EXCL")*(COUNTIF(AI46,"*"&amp;CC4:CC795&amp;"*")&gt;0)*1))</f>
        <v>0</v>
      </c>
      <c r="BH46" s="6625" cm="1">
        <f t="array" ref="BH46">IF(W46="",0,SUMPRODUCT((CA4:CA795="Mollusques")*(CB4:CB795="ALERTE")*(COUNTIF(AI46,"*"&amp;CC4:CC795&amp;"*")&gt;0)*1))</f>
        <v>0</v>
      </c>
      <c r="BI46" s="6625" t="str">
        <f t="shared" si="25"/>
        <v/>
      </c>
      <c r="BJ46" s="6625" t="str">
        <f t="shared" si="26"/>
        <v/>
      </c>
      <c r="BK46" s="6625" t="str">
        <f t="shared" si="27"/>
        <v/>
      </c>
      <c r="BL46" s="6625" t="str">
        <f t="shared" si="28"/>
        <v/>
      </c>
      <c r="BM46" s="6625" t="str">
        <f t="shared" si="29"/>
        <v/>
      </c>
      <c r="BN46" s="6625" t="str">
        <f t="shared" si="30"/>
        <v/>
      </c>
      <c r="BO46" s="6625" t="str">
        <f t="shared" si="31"/>
        <v/>
      </c>
      <c r="BP46" s="6625" t="str">
        <f t="shared" si="32"/>
        <v/>
      </c>
      <c r="BQ46" s="6625" t="str">
        <f t="shared" si="33"/>
        <v/>
      </c>
      <c r="BR46" s="6625" t="str">
        <f t="shared" si="34"/>
        <v/>
      </c>
      <c r="BS46" s="6625" t="str">
        <f t="shared" si="35"/>
        <v/>
      </c>
      <c r="BT46" s="6625" t="str">
        <f t="shared" si="36"/>
        <v/>
      </c>
      <c r="BU46" s="6625" t="str">
        <f t="shared" si="37"/>
        <v/>
      </c>
      <c r="BV46" s="6625" t="str">
        <f t="shared" si="38"/>
        <v/>
      </c>
      <c r="BW46" s="6625" t="str">
        <f t="shared" si="39"/>
        <v/>
      </c>
      <c r="BX46" s="6625" t="str">
        <f t="shared" si="40"/>
        <v/>
      </c>
      <c r="CA46" s="3170" t="s">
        <v>16412</v>
      </c>
      <c r="CB46" s="7634" t="s">
        <v>16255</v>
      </c>
      <c r="CC46" s="3170" t="s">
        <v>16423</v>
      </c>
      <c r="CD46" s="3170" t="s">
        <v>16424</v>
      </c>
    </row>
    <row r="47" spans="2:82" ht="30" customHeight="1">
      <c r="B47" s="7661" t="str">
        <f t="shared" si="0"/>
        <v/>
      </c>
      <c r="C47" s="7661" t="str">
        <f t="shared" si="1"/>
        <v/>
      </c>
      <c r="D47" s="7661" t="str">
        <f t="shared" si="2"/>
        <v/>
      </c>
      <c r="E47" s="7661">
        <f>IF(H46&lt;&gt;"",E46,IF(E46="","",IFERROR(MATCH(TRUE(),INDEX(INDEX($K:$K,E46+1):$K$203&lt;&gt;"",0),0)+E46,"")))</f>
        <v>222</v>
      </c>
      <c r="F47" s="7661">
        <f t="shared" si="41"/>
        <v>0</v>
      </c>
      <c r="G47" s="7661" t="str">
        <f t="shared" si="3"/>
        <v>0</v>
      </c>
      <c r="H47" s="7672" t="str">
        <f t="shared" si="4"/>
        <v/>
      </c>
      <c r="I47" s="7683" t="str">
        <f t="shared" si="5"/>
        <v/>
      </c>
      <c r="J47" s="7673" t="str">
        <f>IF(K47="","",COUNTIF($K$18:K47,"&lt;&gt;"))</f>
        <v/>
      </c>
      <c r="K47" s="7674"/>
      <c r="L47" s="7673" t="str">
        <f t="shared" si="6"/>
        <v/>
      </c>
      <c r="M47" s="7630">
        <f t="shared" si="7"/>
        <v>1</v>
      </c>
      <c r="N47" s="7675">
        <f t="shared" si="8"/>
        <v>30</v>
      </c>
      <c r="O47" s="7676" t="str">
        <f t="shared" si="9"/>
        <v>0</v>
      </c>
      <c r="P47" s="7675">
        <f t="shared" si="10"/>
        <v>1</v>
      </c>
      <c r="Q47" s="7675">
        <f t="shared" si="11"/>
        <v>1</v>
      </c>
      <c r="S47" s="7679" t="str">
        <f t="shared" si="42"/>
        <v>0</v>
      </c>
      <c r="T47" s="7680" t="str">
        <f t="shared" si="12"/>
        <v/>
      </c>
      <c r="V47" s="7677">
        <f t="shared" si="13"/>
        <v>47</v>
      </c>
      <c r="W47" s="7678" t="str">
        <f t="shared" si="43"/>
        <v>0</v>
      </c>
      <c r="X47" s="7677" t="s">
        <v>2</v>
      </c>
      <c r="Y47" s="7702" t="str">
        <f t="shared" si="14"/>
        <v>0</v>
      </c>
      <c r="Z47" s="7703" t="str">
        <f t="shared" si="15"/>
        <v/>
      </c>
      <c r="AA47" s="7681" t="str">
        <f t="shared" si="16"/>
        <v>0</v>
      </c>
      <c r="AB47" s="7682" t="str">
        <f t="shared" si="17"/>
        <v/>
      </c>
      <c r="AC47" s="7677">
        <f t="shared" si="18"/>
        <v>0</v>
      </c>
      <c r="AD47" s="7677">
        <f t="shared" si="19"/>
        <v>0</v>
      </c>
      <c r="AE47" s="7682" t="str">
        <f t="shared" si="20"/>
        <v>aucun match</v>
      </c>
      <c r="AF47" s="6625" t="str">
        <f t="shared" si="21"/>
        <v>0</v>
      </c>
      <c r="AG47" s="6625" t="str">
        <f t="shared" si="22"/>
        <v>0</v>
      </c>
      <c r="AH47" s="6625" t="str">
        <f t="shared" si="23"/>
        <v>0</v>
      </c>
      <c r="AI47" s="6625" t="str">
        <f t="shared" si="24"/>
        <v xml:space="preserve"> 0 </v>
      </c>
      <c r="AJ47" s="6625" cm="1">
        <f t="array" ref="AJ47">IF(W47="",0,SUMPRODUCT((CA4:CA795="Gluten")*(CB4:CB795="INFO")*(COUNTIF(AI47,"*"&amp;CC4:CC795&amp;"*")&gt;0)*1))</f>
        <v>0</v>
      </c>
      <c r="AK47" s="6625" cm="1">
        <f t="array" ref="AK47">IF(W47="",0,SUMPRODUCT((CA4:CA795="Gluten")*(CB4:CB795="EXCL")*(COUNTIF(AI47,"*"&amp;CC4:CC795&amp;"*")&gt;0)*1))</f>
        <v>0</v>
      </c>
      <c r="AL47" s="6625" cm="1">
        <f t="array" ref="AL47">IF(W47="",0,SUMPRODUCT((CA4:CA795="Gluten")*(CB4:CB795="ALERTE")*(COUNTIF(AI47,"*"&amp;CC4:CC795&amp;"*")&gt;0)*1))</f>
        <v>0</v>
      </c>
      <c r="AM47" s="6625" cm="1">
        <f t="array" ref="AM47">IF(W47="",0,SUMPRODUCT((CA4:CA795="Gluten")*(CB4:CB795="SUSP")*(COUNTIF(AI47,"*"&amp;CC4:CC795&amp;"*")&gt;0)*1))</f>
        <v>0</v>
      </c>
      <c r="AN47" s="6625" cm="1">
        <f t="array" ref="AN47">IF(W47="",0,SUMPRODUCT((CA4:CA795="Crustaces")*(CB4:CB795="ALERTE")*(COUNTIF(AI47,"*"&amp;CC4:CC795&amp;"*")&gt;0)*1))</f>
        <v>0</v>
      </c>
      <c r="AO47" s="6625" cm="1">
        <f t="array" ref="AO47">IF(W47="",0,SUMPRODUCT((CA4:CA795="Oeufs")*(CB4:CB795="ALERTE")*(COUNTIF(AI47,"*"&amp;CC4:CC795&amp;"*")&gt;0)*1))</f>
        <v>0</v>
      </c>
      <c r="AP47" s="6625" cm="1">
        <f t="array" ref="AP47">IF(W47="",0,SUMPRODUCT((CA4:CA795="Poissons")*(CB4:CB795="INFO")*(COUNTIF(AI47,"*"&amp;CC4:CC795&amp;"*")&gt;0)*1))</f>
        <v>0</v>
      </c>
      <c r="AQ47" s="6625" cm="1">
        <f t="array" ref="AQ47">IF(W47="",0,SUMPRODUCT((CA4:CA795="Poissons")*(CB4:CB795="EXCL")*(COUNTIF(AI47,"*"&amp;CC4:CC795&amp;"*")&gt;0)*1))</f>
        <v>0</v>
      </c>
      <c r="AR47" s="6625" cm="1">
        <f t="array" ref="AR47">IF(W47="",0,SUMPRODUCT((CA4:CA795="Poissons")*(CB4:CB795="ALERTE")*(COUNTIF(AI47,"*"&amp;CC4:CC795&amp;"*")&gt;0)*1))</f>
        <v>0</v>
      </c>
      <c r="AS47" s="6625" cm="1">
        <f t="array" ref="AS47">IF(W47="",0,SUMPRODUCT((CA4:CA795="Arachides")*(CB4:CB795="ALERTE")*(COUNTIF(AI47,"*"&amp;CC4:CC795&amp;"*")&gt;0)*1))</f>
        <v>0</v>
      </c>
      <c r="AT47" s="6625" cm="1">
        <f t="array" ref="AT47">IF(W47="",0,SUMPRODUCT((CA4:CA795="Soja")*(CB4:CB795="INFO")*(COUNTIF(AI47,"*"&amp;CC4:CC795&amp;"*")&gt;0)*1))</f>
        <v>0</v>
      </c>
      <c r="AU47" s="6625" cm="1">
        <f t="array" ref="AU47">IF(W47="",0,SUMPRODUCT((CA4:CA795="Soja")*(CB4:CB795="ALERTE")*(COUNTIF(AI47,"*"&amp;CC4:CC795&amp;"*")&gt;0)*1))</f>
        <v>0</v>
      </c>
      <c r="AV47" s="6625" cm="1">
        <f t="array" ref="AV47">IF(W47="",0,SUMPRODUCT((CA4:CA795="Lait")*(CB4:CB795="INFO")*(COUNTIF(AI47,"*"&amp;CC4:CC795&amp;"*")&gt;0)*1))</f>
        <v>0</v>
      </c>
      <c r="AW47" s="6625" cm="1">
        <f t="array" ref="AW47">IF(W47="",0,SUMPRODUCT((CA4:CA795="Lait")*(CB4:CB795="EXCL")*(COUNTIF(AI47,"*"&amp;CC4:CC795&amp;"*")&gt;0)*1))</f>
        <v>0</v>
      </c>
      <c r="AX47" s="6625" cm="1">
        <f t="array" ref="AX47">IF(W47="",0,SUMPRODUCT((CA4:CA795="Lait")*(CB4:CB795="ALERTE")*(COUNTIF(AI47,"*"&amp;CC4:CC795&amp;"*")&gt;0)*1))</f>
        <v>0</v>
      </c>
      <c r="AY47" s="6625" cm="1">
        <f t="array" ref="AY47">IF(W47="",0,SUMPRODUCT((CA4:CA795="Lait")*(CB4:CB795="SUSP")*(COUNTIF(AI47,"*"&amp;CC4:CC795&amp;"*")&gt;0)*1))</f>
        <v>0</v>
      </c>
      <c r="AZ47" s="6625" cm="1">
        <f t="array" ref="AZ47">IF(W47="",0,SUMPRODUCT((CA4:CA795="Fruits a coque")*(CB4:CB795="EXCL")*(COUNTIF(AI47,"*"&amp;CC4:CC795&amp;"*")&gt;0)*1))</f>
        <v>0</v>
      </c>
      <c r="BA47" s="6625" cm="1">
        <f t="array" ref="BA47">IF(W47="",0,SUMPRODUCT((CA4:CA795="Fruits a coque")*(CB4:CB795="ALERTE")*(COUNTIF(AI47,"*"&amp;CC4:CC795&amp;"*")&gt;0)*1))</f>
        <v>0</v>
      </c>
      <c r="BB47" s="6625" cm="1">
        <f t="array" ref="BB47">IF(W47="",0,SUMPRODUCT((CA4:CA795="Celeri")*(CB4:CB795="ALERTE")*(COUNTIF(AI47,"*"&amp;CC4:CC795&amp;"*")&gt;0)*1))</f>
        <v>0</v>
      </c>
      <c r="BC47" s="6625" cm="1">
        <f t="array" ref="BC47">IF(W47="",0,SUMPRODUCT((CA4:CA795="Moutarde")*(CB4:CB795="ALERTE")*(COUNTIF(AI47,"*"&amp;CC4:CC795&amp;"*")&gt;0)*1))</f>
        <v>0</v>
      </c>
      <c r="BD47" s="6625" cm="1">
        <f t="array" ref="BD47">IF(W47="",0,SUMPRODUCT((CA4:CA795="Sesame")*(CB4:CB795="ALERTE")*(COUNTIF(AI47,"*"&amp;CC4:CC795&amp;"*")&gt;0)*1))</f>
        <v>0</v>
      </c>
      <c r="BE47" s="6625" cm="1">
        <f t="array" ref="BE47">IF(W47="",0,SUMPRODUCT((CA4:CA795="Sulfites")*(CB4:CB795="ALERTE")*(COUNTIF(AI47,"*"&amp;CC4:CC795&amp;"*")&gt;0)*1))</f>
        <v>0</v>
      </c>
      <c r="BF47" s="6625" cm="1">
        <f t="array" ref="BF47">IF(W47="",0,SUMPRODUCT((CA4:CA795="Lupin")*(CB4:CB795="ALERTE")*(COUNTIF(AI47,"*"&amp;CC4:CC795&amp;"*")&gt;0)*1))</f>
        <v>0</v>
      </c>
      <c r="BG47" s="6625" cm="1">
        <f t="array" ref="BG47">IF(W47="",0,SUMPRODUCT((CA4:CA795="Mollusques")*(CB4:CB795="EXCL")*(COUNTIF(AI47,"*"&amp;CC4:CC795&amp;"*")&gt;0)*1))</f>
        <v>0</v>
      </c>
      <c r="BH47" s="6625" cm="1">
        <f t="array" ref="BH47">IF(W47="",0,SUMPRODUCT((CA4:CA795="Mollusques")*(CB4:CB795="ALERTE")*(COUNTIF(AI47,"*"&amp;CC4:CC795&amp;"*")&gt;0)*1))</f>
        <v>0</v>
      </c>
      <c r="BI47" s="6625" t="str">
        <f t="shared" si="25"/>
        <v/>
      </c>
      <c r="BJ47" s="6625" t="str">
        <f t="shared" si="26"/>
        <v/>
      </c>
      <c r="BK47" s="6625" t="str">
        <f t="shared" si="27"/>
        <v/>
      </c>
      <c r="BL47" s="6625" t="str">
        <f t="shared" si="28"/>
        <v/>
      </c>
      <c r="BM47" s="6625" t="str">
        <f t="shared" si="29"/>
        <v/>
      </c>
      <c r="BN47" s="6625" t="str">
        <f t="shared" si="30"/>
        <v/>
      </c>
      <c r="BO47" s="6625" t="str">
        <f t="shared" si="31"/>
        <v/>
      </c>
      <c r="BP47" s="6625" t="str">
        <f t="shared" si="32"/>
        <v/>
      </c>
      <c r="BQ47" s="6625" t="str">
        <f t="shared" si="33"/>
        <v/>
      </c>
      <c r="BR47" s="6625" t="str">
        <f t="shared" si="34"/>
        <v/>
      </c>
      <c r="BS47" s="6625" t="str">
        <f t="shared" si="35"/>
        <v/>
      </c>
      <c r="BT47" s="6625" t="str">
        <f t="shared" si="36"/>
        <v/>
      </c>
      <c r="BU47" s="6625" t="str">
        <f t="shared" si="37"/>
        <v/>
      </c>
      <c r="BV47" s="6625" t="str">
        <f t="shared" si="38"/>
        <v/>
      </c>
      <c r="BW47" s="6625" t="str">
        <f t="shared" si="39"/>
        <v/>
      </c>
      <c r="BX47" s="6625" t="str">
        <f t="shared" si="40"/>
        <v/>
      </c>
      <c r="CA47" s="3170" t="s">
        <v>16412</v>
      </c>
      <c r="CB47" s="7634" t="s">
        <v>16255</v>
      </c>
      <c r="CC47" s="3170" t="s">
        <v>16425</v>
      </c>
      <c r="CD47" s="3170" t="s">
        <v>16426</v>
      </c>
    </row>
    <row r="48" spans="2:82" ht="30" customHeight="1">
      <c r="B48" s="7661" t="str">
        <f t="shared" si="0"/>
        <v/>
      </c>
      <c r="C48" s="7661" t="str">
        <f t="shared" si="1"/>
        <v/>
      </c>
      <c r="D48" s="7661" t="str">
        <f t="shared" si="2"/>
        <v/>
      </c>
      <c r="E48" s="7661">
        <f>IF(H47&lt;&gt;"",E47,IF(E47="","",IFERROR(MATCH(TRUE(),INDEX(INDEX($K:$K,E47+1):$K$203&lt;&gt;"",0),0)+E47,"")))</f>
        <v>223</v>
      </c>
      <c r="F48" s="7661">
        <f t="shared" si="41"/>
        <v>0</v>
      </c>
      <c r="G48" s="7661" t="str">
        <f t="shared" si="3"/>
        <v>0</v>
      </c>
      <c r="H48" s="7672" t="str">
        <f t="shared" si="4"/>
        <v/>
      </c>
      <c r="I48" s="7683" t="str">
        <f t="shared" si="5"/>
        <v/>
      </c>
      <c r="J48" s="7673" t="str">
        <f>IF(K48="","",COUNTIF($K$18:K48,"&lt;&gt;"))</f>
        <v/>
      </c>
      <c r="K48" s="7674"/>
      <c r="L48" s="7673" t="str">
        <f t="shared" si="6"/>
        <v/>
      </c>
      <c r="M48" s="7630">
        <f t="shared" si="7"/>
        <v>1</v>
      </c>
      <c r="N48" s="7675">
        <f t="shared" si="8"/>
        <v>31</v>
      </c>
      <c r="O48" s="7676" t="str">
        <f t="shared" si="9"/>
        <v>0</v>
      </c>
      <c r="P48" s="7675">
        <f t="shared" si="10"/>
        <v>1</v>
      </c>
      <c r="Q48" s="7675">
        <f t="shared" si="11"/>
        <v>1</v>
      </c>
      <c r="S48" s="7679" t="str">
        <f t="shared" si="42"/>
        <v>0</v>
      </c>
      <c r="T48" s="7680" t="str">
        <f t="shared" si="12"/>
        <v/>
      </c>
      <c r="V48" s="7677">
        <f t="shared" si="13"/>
        <v>48</v>
      </c>
      <c r="W48" s="7678" t="str">
        <f t="shared" si="43"/>
        <v>0</v>
      </c>
      <c r="X48" s="7677" t="s">
        <v>2</v>
      </c>
      <c r="Y48" s="7702" t="str">
        <f t="shared" si="14"/>
        <v>0</v>
      </c>
      <c r="Z48" s="7703" t="str">
        <f t="shared" si="15"/>
        <v/>
      </c>
      <c r="AA48" s="7681" t="str">
        <f t="shared" si="16"/>
        <v>0</v>
      </c>
      <c r="AB48" s="7682" t="str">
        <f t="shared" si="17"/>
        <v/>
      </c>
      <c r="AC48" s="7677">
        <f t="shared" si="18"/>
        <v>0</v>
      </c>
      <c r="AD48" s="7677">
        <f t="shared" si="19"/>
        <v>0</v>
      </c>
      <c r="AE48" s="7682" t="str">
        <f t="shared" si="20"/>
        <v>aucun match</v>
      </c>
      <c r="AF48" s="6625" t="str">
        <f t="shared" si="21"/>
        <v>0</v>
      </c>
      <c r="AG48" s="6625" t="str">
        <f t="shared" si="22"/>
        <v>0</v>
      </c>
      <c r="AH48" s="6625" t="str">
        <f t="shared" si="23"/>
        <v>0</v>
      </c>
      <c r="AI48" s="6625" t="str">
        <f t="shared" si="24"/>
        <v xml:space="preserve"> 0 </v>
      </c>
      <c r="AJ48" s="6625" cm="1">
        <f t="array" ref="AJ48">IF(W48="",0,SUMPRODUCT((CA4:CA795="Gluten")*(CB4:CB795="INFO")*(COUNTIF(AI48,"*"&amp;CC4:CC795&amp;"*")&gt;0)*1))</f>
        <v>0</v>
      </c>
      <c r="AK48" s="6625" cm="1">
        <f t="array" ref="AK48">IF(W48="",0,SUMPRODUCT((CA4:CA795="Gluten")*(CB4:CB795="EXCL")*(COUNTIF(AI48,"*"&amp;CC4:CC795&amp;"*")&gt;0)*1))</f>
        <v>0</v>
      </c>
      <c r="AL48" s="6625" cm="1">
        <f t="array" ref="AL48">IF(W48="",0,SUMPRODUCT((CA4:CA795="Gluten")*(CB4:CB795="ALERTE")*(COUNTIF(AI48,"*"&amp;CC4:CC795&amp;"*")&gt;0)*1))</f>
        <v>0</v>
      </c>
      <c r="AM48" s="6625" cm="1">
        <f t="array" ref="AM48">IF(W48="",0,SUMPRODUCT((CA4:CA795="Gluten")*(CB4:CB795="SUSP")*(COUNTIF(AI48,"*"&amp;CC4:CC795&amp;"*")&gt;0)*1))</f>
        <v>0</v>
      </c>
      <c r="AN48" s="6625" cm="1">
        <f t="array" ref="AN48">IF(W48="",0,SUMPRODUCT((CA4:CA795="Crustaces")*(CB4:CB795="ALERTE")*(COUNTIF(AI48,"*"&amp;CC4:CC795&amp;"*")&gt;0)*1))</f>
        <v>0</v>
      </c>
      <c r="AO48" s="6625" cm="1">
        <f t="array" ref="AO48">IF(W48="",0,SUMPRODUCT((CA4:CA795="Oeufs")*(CB4:CB795="ALERTE")*(COUNTIF(AI48,"*"&amp;CC4:CC795&amp;"*")&gt;0)*1))</f>
        <v>0</v>
      </c>
      <c r="AP48" s="6625" cm="1">
        <f t="array" ref="AP48">IF(W48="",0,SUMPRODUCT((CA4:CA795="Poissons")*(CB4:CB795="INFO")*(COUNTIF(AI48,"*"&amp;CC4:CC795&amp;"*")&gt;0)*1))</f>
        <v>0</v>
      </c>
      <c r="AQ48" s="6625" cm="1">
        <f t="array" ref="AQ48">IF(W48="",0,SUMPRODUCT((CA4:CA795="Poissons")*(CB4:CB795="EXCL")*(COUNTIF(AI48,"*"&amp;CC4:CC795&amp;"*")&gt;0)*1))</f>
        <v>0</v>
      </c>
      <c r="AR48" s="6625" cm="1">
        <f t="array" ref="AR48">IF(W48="",0,SUMPRODUCT((CA4:CA795="Poissons")*(CB4:CB795="ALERTE")*(COUNTIF(AI48,"*"&amp;CC4:CC795&amp;"*")&gt;0)*1))</f>
        <v>0</v>
      </c>
      <c r="AS48" s="6625" cm="1">
        <f t="array" ref="AS48">IF(W48="",0,SUMPRODUCT((CA4:CA795="Arachides")*(CB4:CB795="ALERTE")*(COUNTIF(AI48,"*"&amp;CC4:CC795&amp;"*")&gt;0)*1))</f>
        <v>0</v>
      </c>
      <c r="AT48" s="6625" cm="1">
        <f t="array" ref="AT48">IF(W48="",0,SUMPRODUCT((CA4:CA795="Soja")*(CB4:CB795="INFO")*(COUNTIF(AI48,"*"&amp;CC4:CC795&amp;"*")&gt;0)*1))</f>
        <v>0</v>
      </c>
      <c r="AU48" s="6625" cm="1">
        <f t="array" ref="AU48">IF(W48="",0,SUMPRODUCT((CA4:CA795="Soja")*(CB4:CB795="ALERTE")*(COUNTIF(AI48,"*"&amp;CC4:CC795&amp;"*")&gt;0)*1))</f>
        <v>0</v>
      </c>
      <c r="AV48" s="6625" cm="1">
        <f t="array" ref="AV48">IF(W48="",0,SUMPRODUCT((CA4:CA795="Lait")*(CB4:CB795="INFO")*(COUNTIF(AI48,"*"&amp;CC4:CC795&amp;"*")&gt;0)*1))</f>
        <v>0</v>
      </c>
      <c r="AW48" s="6625" cm="1">
        <f t="array" ref="AW48">IF(W48="",0,SUMPRODUCT((CA4:CA795="Lait")*(CB4:CB795="EXCL")*(COUNTIF(AI48,"*"&amp;CC4:CC795&amp;"*")&gt;0)*1))</f>
        <v>0</v>
      </c>
      <c r="AX48" s="6625" cm="1">
        <f t="array" ref="AX48">IF(W48="",0,SUMPRODUCT((CA4:CA795="Lait")*(CB4:CB795="ALERTE")*(COUNTIF(AI48,"*"&amp;CC4:CC795&amp;"*")&gt;0)*1))</f>
        <v>0</v>
      </c>
      <c r="AY48" s="6625" cm="1">
        <f t="array" ref="AY48">IF(W48="",0,SUMPRODUCT((CA4:CA795="Lait")*(CB4:CB795="SUSP")*(COUNTIF(AI48,"*"&amp;CC4:CC795&amp;"*")&gt;0)*1))</f>
        <v>0</v>
      </c>
      <c r="AZ48" s="6625" cm="1">
        <f t="array" ref="AZ48">IF(W48="",0,SUMPRODUCT((CA4:CA795="Fruits a coque")*(CB4:CB795="EXCL")*(COUNTIF(AI48,"*"&amp;CC4:CC795&amp;"*")&gt;0)*1))</f>
        <v>0</v>
      </c>
      <c r="BA48" s="6625" cm="1">
        <f t="array" ref="BA48">IF(W48="",0,SUMPRODUCT((CA4:CA795="Fruits a coque")*(CB4:CB795="ALERTE")*(COUNTIF(AI48,"*"&amp;CC4:CC795&amp;"*")&gt;0)*1))</f>
        <v>0</v>
      </c>
      <c r="BB48" s="6625" cm="1">
        <f t="array" ref="BB48">IF(W48="",0,SUMPRODUCT((CA4:CA795="Celeri")*(CB4:CB795="ALERTE")*(COUNTIF(AI48,"*"&amp;CC4:CC795&amp;"*")&gt;0)*1))</f>
        <v>0</v>
      </c>
      <c r="BC48" s="6625" cm="1">
        <f t="array" ref="BC48">IF(W48="",0,SUMPRODUCT((CA4:CA795="Moutarde")*(CB4:CB795="ALERTE")*(COUNTIF(AI48,"*"&amp;CC4:CC795&amp;"*")&gt;0)*1))</f>
        <v>0</v>
      </c>
      <c r="BD48" s="6625" cm="1">
        <f t="array" ref="BD48">IF(W48="",0,SUMPRODUCT((CA4:CA795="Sesame")*(CB4:CB795="ALERTE")*(COUNTIF(AI48,"*"&amp;CC4:CC795&amp;"*")&gt;0)*1))</f>
        <v>0</v>
      </c>
      <c r="BE48" s="6625" cm="1">
        <f t="array" ref="BE48">IF(W48="",0,SUMPRODUCT((CA4:CA795="Sulfites")*(CB4:CB795="ALERTE")*(COUNTIF(AI48,"*"&amp;CC4:CC795&amp;"*")&gt;0)*1))</f>
        <v>0</v>
      </c>
      <c r="BF48" s="6625" cm="1">
        <f t="array" ref="BF48">IF(W48="",0,SUMPRODUCT((CA4:CA795="Lupin")*(CB4:CB795="ALERTE")*(COUNTIF(AI48,"*"&amp;CC4:CC795&amp;"*")&gt;0)*1))</f>
        <v>0</v>
      </c>
      <c r="BG48" s="6625" cm="1">
        <f t="array" ref="BG48">IF(W48="",0,SUMPRODUCT((CA4:CA795="Mollusques")*(CB4:CB795="EXCL")*(COUNTIF(AI48,"*"&amp;CC4:CC795&amp;"*")&gt;0)*1))</f>
        <v>0</v>
      </c>
      <c r="BH48" s="6625" cm="1">
        <f t="array" ref="BH48">IF(W48="",0,SUMPRODUCT((CA4:CA795="Mollusques")*(CB4:CB795="ALERTE")*(COUNTIF(AI48,"*"&amp;CC4:CC795&amp;"*")&gt;0)*1))</f>
        <v>0</v>
      </c>
      <c r="BI48" s="6625" t="str">
        <f t="shared" si="25"/>
        <v/>
      </c>
      <c r="BJ48" s="6625" t="str">
        <f t="shared" si="26"/>
        <v/>
      </c>
      <c r="BK48" s="6625" t="str">
        <f t="shared" si="27"/>
        <v/>
      </c>
      <c r="BL48" s="6625" t="str">
        <f t="shared" si="28"/>
        <v/>
      </c>
      <c r="BM48" s="6625" t="str">
        <f t="shared" si="29"/>
        <v/>
      </c>
      <c r="BN48" s="6625" t="str">
        <f t="shared" si="30"/>
        <v/>
      </c>
      <c r="BO48" s="6625" t="str">
        <f t="shared" si="31"/>
        <v/>
      </c>
      <c r="BP48" s="6625" t="str">
        <f t="shared" si="32"/>
        <v/>
      </c>
      <c r="BQ48" s="6625" t="str">
        <f t="shared" si="33"/>
        <v/>
      </c>
      <c r="BR48" s="6625" t="str">
        <f t="shared" si="34"/>
        <v/>
      </c>
      <c r="BS48" s="6625" t="str">
        <f t="shared" si="35"/>
        <v/>
      </c>
      <c r="BT48" s="6625" t="str">
        <f t="shared" si="36"/>
        <v/>
      </c>
      <c r="BU48" s="6625" t="str">
        <f t="shared" si="37"/>
        <v/>
      </c>
      <c r="BV48" s="6625" t="str">
        <f t="shared" si="38"/>
        <v/>
      </c>
      <c r="BW48" s="6625" t="str">
        <f t="shared" si="39"/>
        <v/>
      </c>
      <c r="BX48" s="6625" t="str">
        <f t="shared" si="40"/>
        <v/>
      </c>
      <c r="CA48" s="3170" t="s">
        <v>16412</v>
      </c>
      <c r="CB48" s="7634" t="s">
        <v>16255</v>
      </c>
      <c r="CC48" s="3170" t="s">
        <v>16427</v>
      </c>
      <c r="CD48" s="3170" t="s">
        <v>16428</v>
      </c>
    </row>
    <row r="49" spans="2:82" ht="30" customHeight="1">
      <c r="B49" s="7661" t="str">
        <f t="shared" si="0"/>
        <v/>
      </c>
      <c r="C49" s="7661" t="str">
        <f t="shared" si="1"/>
        <v/>
      </c>
      <c r="D49" s="7661" t="str">
        <f t="shared" si="2"/>
        <v/>
      </c>
      <c r="E49" s="7661">
        <f>IF(H48&lt;&gt;"",E48,IF(E48="","",IFERROR(MATCH(TRUE(),INDEX(INDEX($K:$K,E48+1):$K$203&lt;&gt;"",0),0)+E48,"")))</f>
        <v>224</v>
      </c>
      <c r="F49" s="7661">
        <f t="shared" si="41"/>
        <v>0</v>
      </c>
      <c r="G49" s="7661" t="str">
        <f t="shared" si="3"/>
        <v>0</v>
      </c>
      <c r="H49" s="7672" t="str">
        <f t="shared" si="4"/>
        <v/>
      </c>
      <c r="I49" s="7683" t="str">
        <f t="shared" si="5"/>
        <v/>
      </c>
      <c r="J49" s="7673" t="str">
        <f>IF(K49="","",COUNTIF($K$18:K49,"&lt;&gt;"))</f>
        <v/>
      </c>
      <c r="K49" s="7674"/>
      <c r="L49" s="7673" t="str">
        <f t="shared" si="6"/>
        <v/>
      </c>
      <c r="M49" s="7630">
        <f t="shared" si="7"/>
        <v>1</v>
      </c>
      <c r="N49" s="7675">
        <f t="shared" si="8"/>
        <v>32</v>
      </c>
      <c r="O49" s="7676" t="str">
        <f t="shared" si="9"/>
        <v>0</v>
      </c>
      <c r="P49" s="7675">
        <f t="shared" si="10"/>
        <v>1</v>
      </c>
      <c r="Q49" s="7675">
        <f t="shared" si="11"/>
        <v>1</v>
      </c>
      <c r="S49" s="7679" t="str">
        <f t="shared" si="42"/>
        <v>0</v>
      </c>
      <c r="T49" s="7680" t="str">
        <f t="shared" si="12"/>
        <v/>
      </c>
      <c r="V49" s="7677">
        <f t="shared" si="13"/>
        <v>49</v>
      </c>
      <c r="W49" s="7678" t="str">
        <f t="shared" si="43"/>
        <v>0</v>
      </c>
      <c r="X49" s="7677" t="s">
        <v>2</v>
      </c>
      <c r="Y49" s="7702" t="str">
        <f t="shared" si="14"/>
        <v>0</v>
      </c>
      <c r="Z49" s="7703" t="str">
        <f t="shared" si="15"/>
        <v/>
      </c>
      <c r="AA49" s="7681" t="str">
        <f t="shared" si="16"/>
        <v>0</v>
      </c>
      <c r="AB49" s="7682" t="str">
        <f t="shared" si="17"/>
        <v/>
      </c>
      <c r="AC49" s="7677">
        <f t="shared" si="18"/>
        <v>0</v>
      </c>
      <c r="AD49" s="7677">
        <f t="shared" si="19"/>
        <v>0</v>
      </c>
      <c r="AE49" s="7682" t="str">
        <f t="shared" si="20"/>
        <v>aucun match</v>
      </c>
      <c r="AF49" s="6625" t="str">
        <f t="shared" si="21"/>
        <v>0</v>
      </c>
      <c r="AG49" s="6625" t="str">
        <f t="shared" si="22"/>
        <v>0</v>
      </c>
      <c r="AH49" s="6625" t="str">
        <f t="shared" si="23"/>
        <v>0</v>
      </c>
      <c r="AI49" s="6625" t="str">
        <f t="shared" si="24"/>
        <v xml:space="preserve"> 0 </v>
      </c>
      <c r="AJ49" s="6625" cm="1">
        <f t="array" ref="AJ49">IF(W49="",0,SUMPRODUCT((CA4:CA795="Gluten")*(CB4:CB795="INFO")*(COUNTIF(AI49,"*"&amp;CC4:CC795&amp;"*")&gt;0)*1))</f>
        <v>0</v>
      </c>
      <c r="AK49" s="6625" cm="1">
        <f t="array" ref="AK49">IF(W49="",0,SUMPRODUCT((CA4:CA795="Gluten")*(CB4:CB795="EXCL")*(COUNTIF(AI49,"*"&amp;CC4:CC795&amp;"*")&gt;0)*1))</f>
        <v>0</v>
      </c>
      <c r="AL49" s="6625" cm="1">
        <f t="array" ref="AL49">IF(W49="",0,SUMPRODUCT((CA4:CA795="Gluten")*(CB4:CB795="ALERTE")*(COUNTIF(AI49,"*"&amp;CC4:CC795&amp;"*")&gt;0)*1))</f>
        <v>0</v>
      </c>
      <c r="AM49" s="6625" cm="1">
        <f t="array" ref="AM49">IF(W49="",0,SUMPRODUCT((CA4:CA795="Gluten")*(CB4:CB795="SUSP")*(COUNTIF(AI49,"*"&amp;CC4:CC795&amp;"*")&gt;0)*1))</f>
        <v>0</v>
      </c>
      <c r="AN49" s="6625" cm="1">
        <f t="array" ref="AN49">IF(W49="",0,SUMPRODUCT((CA4:CA795="Crustaces")*(CB4:CB795="ALERTE")*(COUNTIF(AI49,"*"&amp;CC4:CC795&amp;"*")&gt;0)*1))</f>
        <v>0</v>
      </c>
      <c r="AO49" s="6625" cm="1">
        <f t="array" ref="AO49">IF(W49="",0,SUMPRODUCT((CA4:CA795="Oeufs")*(CB4:CB795="ALERTE")*(COUNTIF(AI49,"*"&amp;CC4:CC795&amp;"*")&gt;0)*1))</f>
        <v>0</v>
      </c>
      <c r="AP49" s="6625" cm="1">
        <f t="array" ref="AP49">IF(W49="",0,SUMPRODUCT((CA4:CA795="Poissons")*(CB4:CB795="INFO")*(COUNTIF(AI49,"*"&amp;CC4:CC795&amp;"*")&gt;0)*1))</f>
        <v>0</v>
      </c>
      <c r="AQ49" s="6625" cm="1">
        <f t="array" ref="AQ49">IF(W49="",0,SUMPRODUCT((CA4:CA795="Poissons")*(CB4:CB795="EXCL")*(COUNTIF(AI49,"*"&amp;CC4:CC795&amp;"*")&gt;0)*1))</f>
        <v>0</v>
      </c>
      <c r="AR49" s="6625" cm="1">
        <f t="array" ref="AR49">IF(W49="",0,SUMPRODUCT((CA4:CA795="Poissons")*(CB4:CB795="ALERTE")*(COUNTIF(AI49,"*"&amp;CC4:CC795&amp;"*")&gt;0)*1))</f>
        <v>0</v>
      </c>
      <c r="AS49" s="6625" cm="1">
        <f t="array" ref="AS49">IF(W49="",0,SUMPRODUCT((CA4:CA795="Arachides")*(CB4:CB795="ALERTE")*(COUNTIF(AI49,"*"&amp;CC4:CC795&amp;"*")&gt;0)*1))</f>
        <v>0</v>
      </c>
      <c r="AT49" s="6625" cm="1">
        <f t="array" ref="AT49">IF(W49="",0,SUMPRODUCT((CA4:CA795="Soja")*(CB4:CB795="INFO")*(COUNTIF(AI49,"*"&amp;CC4:CC795&amp;"*")&gt;0)*1))</f>
        <v>0</v>
      </c>
      <c r="AU49" s="6625" cm="1">
        <f t="array" ref="AU49">IF(W49="",0,SUMPRODUCT((CA4:CA795="Soja")*(CB4:CB795="ALERTE")*(COUNTIF(AI49,"*"&amp;CC4:CC795&amp;"*")&gt;0)*1))</f>
        <v>0</v>
      </c>
      <c r="AV49" s="6625" cm="1">
        <f t="array" ref="AV49">IF(W49="",0,SUMPRODUCT((CA4:CA795="Lait")*(CB4:CB795="INFO")*(COUNTIF(AI49,"*"&amp;CC4:CC795&amp;"*")&gt;0)*1))</f>
        <v>0</v>
      </c>
      <c r="AW49" s="6625" cm="1">
        <f t="array" ref="AW49">IF(W49="",0,SUMPRODUCT((CA4:CA795="Lait")*(CB4:CB795="EXCL")*(COUNTIF(AI49,"*"&amp;CC4:CC795&amp;"*")&gt;0)*1))</f>
        <v>0</v>
      </c>
      <c r="AX49" s="6625" cm="1">
        <f t="array" ref="AX49">IF(W49="",0,SUMPRODUCT((CA4:CA795="Lait")*(CB4:CB795="ALERTE")*(COUNTIF(AI49,"*"&amp;CC4:CC795&amp;"*")&gt;0)*1))</f>
        <v>0</v>
      </c>
      <c r="AY49" s="6625" cm="1">
        <f t="array" ref="AY49">IF(W49="",0,SUMPRODUCT((CA4:CA795="Lait")*(CB4:CB795="SUSP")*(COUNTIF(AI49,"*"&amp;CC4:CC795&amp;"*")&gt;0)*1))</f>
        <v>0</v>
      </c>
      <c r="AZ49" s="6625" cm="1">
        <f t="array" ref="AZ49">IF(W49="",0,SUMPRODUCT((CA4:CA795="Fruits a coque")*(CB4:CB795="EXCL")*(COUNTIF(AI49,"*"&amp;CC4:CC795&amp;"*")&gt;0)*1))</f>
        <v>0</v>
      </c>
      <c r="BA49" s="6625" cm="1">
        <f t="array" ref="BA49">IF(W49="",0,SUMPRODUCT((CA4:CA795="Fruits a coque")*(CB4:CB795="ALERTE")*(COUNTIF(AI49,"*"&amp;CC4:CC795&amp;"*")&gt;0)*1))</f>
        <v>0</v>
      </c>
      <c r="BB49" s="6625" cm="1">
        <f t="array" ref="BB49">IF(W49="",0,SUMPRODUCT((CA4:CA795="Celeri")*(CB4:CB795="ALERTE")*(COUNTIF(AI49,"*"&amp;CC4:CC795&amp;"*")&gt;0)*1))</f>
        <v>0</v>
      </c>
      <c r="BC49" s="6625" cm="1">
        <f t="array" ref="BC49">IF(W49="",0,SUMPRODUCT((CA4:CA795="Moutarde")*(CB4:CB795="ALERTE")*(COUNTIF(AI49,"*"&amp;CC4:CC795&amp;"*")&gt;0)*1))</f>
        <v>0</v>
      </c>
      <c r="BD49" s="6625" cm="1">
        <f t="array" ref="BD49">IF(W49="",0,SUMPRODUCT((CA4:CA795="Sesame")*(CB4:CB795="ALERTE")*(COUNTIF(AI49,"*"&amp;CC4:CC795&amp;"*")&gt;0)*1))</f>
        <v>0</v>
      </c>
      <c r="BE49" s="6625" cm="1">
        <f t="array" ref="BE49">IF(W49="",0,SUMPRODUCT((CA4:CA795="Sulfites")*(CB4:CB795="ALERTE")*(COUNTIF(AI49,"*"&amp;CC4:CC795&amp;"*")&gt;0)*1))</f>
        <v>0</v>
      </c>
      <c r="BF49" s="6625" cm="1">
        <f t="array" ref="BF49">IF(W49="",0,SUMPRODUCT((CA4:CA795="Lupin")*(CB4:CB795="ALERTE")*(COUNTIF(AI49,"*"&amp;CC4:CC795&amp;"*")&gt;0)*1))</f>
        <v>0</v>
      </c>
      <c r="BG49" s="6625" cm="1">
        <f t="array" ref="BG49">IF(W49="",0,SUMPRODUCT((CA4:CA795="Mollusques")*(CB4:CB795="EXCL")*(COUNTIF(AI49,"*"&amp;CC4:CC795&amp;"*")&gt;0)*1))</f>
        <v>0</v>
      </c>
      <c r="BH49" s="6625" cm="1">
        <f t="array" ref="BH49">IF(W49="",0,SUMPRODUCT((CA4:CA795="Mollusques")*(CB4:CB795="ALERTE")*(COUNTIF(AI49,"*"&amp;CC4:CC795&amp;"*")&gt;0)*1))</f>
        <v>0</v>
      </c>
      <c r="BI49" s="6625" t="str">
        <f t="shared" si="25"/>
        <v/>
      </c>
      <c r="BJ49" s="6625" t="str">
        <f t="shared" si="26"/>
        <v/>
      </c>
      <c r="BK49" s="6625" t="str">
        <f t="shared" si="27"/>
        <v/>
      </c>
      <c r="BL49" s="6625" t="str">
        <f t="shared" si="28"/>
        <v/>
      </c>
      <c r="BM49" s="6625" t="str">
        <f t="shared" si="29"/>
        <v/>
      </c>
      <c r="BN49" s="6625" t="str">
        <f t="shared" si="30"/>
        <v/>
      </c>
      <c r="BO49" s="6625" t="str">
        <f t="shared" si="31"/>
        <v/>
      </c>
      <c r="BP49" s="6625" t="str">
        <f t="shared" si="32"/>
        <v/>
      </c>
      <c r="BQ49" s="6625" t="str">
        <f t="shared" si="33"/>
        <v/>
      </c>
      <c r="BR49" s="6625" t="str">
        <f t="shared" si="34"/>
        <v/>
      </c>
      <c r="BS49" s="6625" t="str">
        <f t="shared" si="35"/>
        <v/>
      </c>
      <c r="BT49" s="6625" t="str">
        <f t="shared" si="36"/>
        <v/>
      </c>
      <c r="BU49" s="6625" t="str">
        <f t="shared" si="37"/>
        <v/>
      </c>
      <c r="BV49" s="6625" t="str">
        <f t="shared" si="38"/>
        <v/>
      </c>
      <c r="BW49" s="6625" t="str">
        <f t="shared" si="39"/>
        <v/>
      </c>
      <c r="BX49" s="6625" t="str">
        <f t="shared" si="40"/>
        <v/>
      </c>
      <c r="CA49" s="3170" t="s">
        <v>16412</v>
      </c>
      <c r="CB49" s="7634" t="s">
        <v>16255</v>
      </c>
      <c r="CC49" s="3170" t="s">
        <v>16429</v>
      </c>
      <c r="CD49" s="3170" t="s">
        <v>16430</v>
      </c>
    </row>
    <row r="50" spans="2:82" ht="30" customHeight="1">
      <c r="B50" s="7661" t="str">
        <f t="shared" si="0"/>
        <v/>
      </c>
      <c r="C50" s="7661" t="str">
        <f t="shared" si="1"/>
        <v/>
      </c>
      <c r="D50" s="7661" t="str">
        <f t="shared" si="2"/>
        <v/>
      </c>
      <c r="E50" s="7661">
        <f>IF(H49&lt;&gt;"",E49,IF(E49="","",IFERROR(MATCH(TRUE(),INDEX(INDEX($K:$K,E49+1):$K$203&lt;&gt;"",0),0)+E49,"")))</f>
        <v>225</v>
      </c>
      <c r="F50" s="7661">
        <f t="shared" si="41"/>
        <v>0</v>
      </c>
      <c r="G50" s="7661" t="str">
        <f t="shared" si="3"/>
        <v>0</v>
      </c>
      <c r="H50" s="7672" t="str">
        <f t="shared" si="4"/>
        <v/>
      </c>
      <c r="I50" s="7683" t="str">
        <f t="shared" si="5"/>
        <v/>
      </c>
      <c r="J50" s="7673" t="str">
        <f>IF(K50="","",COUNTIF($K$18:K50,"&lt;&gt;"))</f>
        <v/>
      </c>
      <c r="K50" s="7674"/>
      <c r="L50" s="7673" t="str">
        <f t="shared" si="6"/>
        <v/>
      </c>
      <c r="M50" s="7630">
        <f t="shared" si="7"/>
        <v>1</v>
      </c>
      <c r="N50" s="7675">
        <f t="shared" si="8"/>
        <v>33</v>
      </c>
      <c r="O50" s="7676" t="str">
        <f t="shared" si="9"/>
        <v>0</v>
      </c>
      <c r="P50" s="7675">
        <f t="shared" si="10"/>
        <v>1</v>
      </c>
      <c r="Q50" s="7675">
        <f t="shared" si="11"/>
        <v>1</v>
      </c>
      <c r="S50" s="7679" t="str">
        <f t="shared" si="42"/>
        <v>0</v>
      </c>
      <c r="T50" s="7680" t="str">
        <f t="shared" si="12"/>
        <v/>
      </c>
      <c r="V50" s="7677">
        <f t="shared" si="13"/>
        <v>50</v>
      </c>
      <c r="W50" s="7678" t="str">
        <f t="shared" si="43"/>
        <v>0</v>
      </c>
      <c r="X50" s="7677" t="s">
        <v>2</v>
      </c>
      <c r="Y50" s="7702" t="str">
        <f t="shared" si="14"/>
        <v>0</v>
      </c>
      <c r="Z50" s="7703" t="str">
        <f t="shared" si="15"/>
        <v/>
      </c>
      <c r="AA50" s="7681" t="str">
        <f t="shared" si="16"/>
        <v>0</v>
      </c>
      <c r="AB50" s="7682" t="str">
        <f t="shared" si="17"/>
        <v/>
      </c>
      <c r="AC50" s="7677">
        <f t="shared" si="18"/>
        <v>0</v>
      </c>
      <c r="AD50" s="7677">
        <f t="shared" si="19"/>
        <v>0</v>
      </c>
      <c r="AE50" s="7682" t="str">
        <f t="shared" si="20"/>
        <v>aucun match</v>
      </c>
      <c r="AF50" s="6625" t="str">
        <f t="shared" si="21"/>
        <v>0</v>
      </c>
      <c r="AG50" s="6625" t="str">
        <f t="shared" si="22"/>
        <v>0</v>
      </c>
      <c r="AH50" s="6625" t="str">
        <f t="shared" si="23"/>
        <v>0</v>
      </c>
      <c r="AI50" s="6625" t="str">
        <f t="shared" si="24"/>
        <v xml:space="preserve"> 0 </v>
      </c>
      <c r="AJ50" s="6625" cm="1">
        <f t="array" ref="AJ50">IF(W50="",0,SUMPRODUCT((CA4:CA795="Gluten")*(CB4:CB795="INFO")*(COUNTIF(AI50,"*"&amp;CC4:CC795&amp;"*")&gt;0)*1))</f>
        <v>0</v>
      </c>
      <c r="AK50" s="6625" cm="1">
        <f t="array" ref="AK50">IF(W50="",0,SUMPRODUCT((CA4:CA795="Gluten")*(CB4:CB795="EXCL")*(COUNTIF(AI50,"*"&amp;CC4:CC795&amp;"*")&gt;0)*1))</f>
        <v>0</v>
      </c>
      <c r="AL50" s="6625" cm="1">
        <f t="array" ref="AL50">IF(W50="",0,SUMPRODUCT((CA4:CA795="Gluten")*(CB4:CB795="ALERTE")*(COUNTIF(AI50,"*"&amp;CC4:CC795&amp;"*")&gt;0)*1))</f>
        <v>0</v>
      </c>
      <c r="AM50" s="6625" cm="1">
        <f t="array" ref="AM50">IF(W50="",0,SUMPRODUCT((CA4:CA795="Gluten")*(CB4:CB795="SUSP")*(COUNTIF(AI50,"*"&amp;CC4:CC795&amp;"*")&gt;0)*1))</f>
        <v>0</v>
      </c>
      <c r="AN50" s="6625" cm="1">
        <f t="array" ref="AN50">IF(W50="",0,SUMPRODUCT((CA4:CA795="Crustaces")*(CB4:CB795="ALERTE")*(COUNTIF(AI50,"*"&amp;CC4:CC795&amp;"*")&gt;0)*1))</f>
        <v>0</v>
      </c>
      <c r="AO50" s="6625" cm="1">
        <f t="array" ref="AO50">IF(W50="",0,SUMPRODUCT((CA4:CA795="Oeufs")*(CB4:CB795="ALERTE")*(COUNTIF(AI50,"*"&amp;CC4:CC795&amp;"*")&gt;0)*1))</f>
        <v>0</v>
      </c>
      <c r="AP50" s="6625" cm="1">
        <f t="array" ref="AP50">IF(W50="",0,SUMPRODUCT((CA4:CA795="Poissons")*(CB4:CB795="INFO")*(COUNTIF(AI50,"*"&amp;CC4:CC795&amp;"*")&gt;0)*1))</f>
        <v>0</v>
      </c>
      <c r="AQ50" s="6625" cm="1">
        <f t="array" ref="AQ50">IF(W50="",0,SUMPRODUCT((CA4:CA795="Poissons")*(CB4:CB795="EXCL")*(COUNTIF(AI50,"*"&amp;CC4:CC795&amp;"*")&gt;0)*1))</f>
        <v>0</v>
      </c>
      <c r="AR50" s="6625" cm="1">
        <f t="array" ref="AR50">IF(W50="",0,SUMPRODUCT((CA4:CA795="Poissons")*(CB4:CB795="ALERTE")*(COUNTIF(AI50,"*"&amp;CC4:CC795&amp;"*")&gt;0)*1))</f>
        <v>0</v>
      </c>
      <c r="AS50" s="6625" cm="1">
        <f t="array" ref="AS50">IF(W50="",0,SUMPRODUCT((CA4:CA795="Arachides")*(CB4:CB795="ALERTE")*(COUNTIF(AI50,"*"&amp;CC4:CC795&amp;"*")&gt;0)*1))</f>
        <v>0</v>
      </c>
      <c r="AT50" s="6625" cm="1">
        <f t="array" ref="AT50">IF(W50="",0,SUMPRODUCT((CA4:CA795="Soja")*(CB4:CB795="INFO")*(COUNTIF(AI50,"*"&amp;CC4:CC795&amp;"*")&gt;0)*1))</f>
        <v>0</v>
      </c>
      <c r="AU50" s="6625" cm="1">
        <f t="array" ref="AU50">IF(W50="",0,SUMPRODUCT((CA4:CA795="Soja")*(CB4:CB795="ALERTE")*(COUNTIF(AI50,"*"&amp;CC4:CC795&amp;"*")&gt;0)*1))</f>
        <v>0</v>
      </c>
      <c r="AV50" s="6625" cm="1">
        <f t="array" ref="AV50">IF(W50="",0,SUMPRODUCT((CA4:CA795="Lait")*(CB4:CB795="INFO")*(COUNTIF(AI50,"*"&amp;CC4:CC795&amp;"*")&gt;0)*1))</f>
        <v>0</v>
      </c>
      <c r="AW50" s="6625" cm="1">
        <f t="array" ref="AW50">IF(W50="",0,SUMPRODUCT((CA4:CA795="Lait")*(CB4:CB795="EXCL")*(COUNTIF(AI50,"*"&amp;CC4:CC795&amp;"*")&gt;0)*1))</f>
        <v>0</v>
      </c>
      <c r="AX50" s="6625" cm="1">
        <f t="array" ref="AX50">IF(W50="",0,SUMPRODUCT((CA4:CA795="Lait")*(CB4:CB795="ALERTE")*(COUNTIF(AI50,"*"&amp;CC4:CC795&amp;"*")&gt;0)*1))</f>
        <v>0</v>
      </c>
      <c r="AY50" s="6625" cm="1">
        <f t="array" ref="AY50">IF(W50="",0,SUMPRODUCT((CA4:CA795="Lait")*(CB4:CB795="SUSP")*(COUNTIF(AI50,"*"&amp;CC4:CC795&amp;"*")&gt;0)*1))</f>
        <v>0</v>
      </c>
      <c r="AZ50" s="6625" cm="1">
        <f t="array" ref="AZ50">IF(W50="",0,SUMPRODUCT((CA4:CA795="Fruits a coque")*(CB4:CB795="EXCL")*(COUNTIF(AI50,"*"&amp;CC4:CC795&amp;"*")&gt;0)*1))</f>
        <v>0</v>
      </c>
      <c r="BA50" s="6625" cm="1">
        <f t="array" ref="BA50">IF(W50="",0,SUMPRODUCT((CA4:CA795="Fruits a coque")*(CB4:CB795="ALERTE")*(COUNTIF(AI50,"*"&amp;CC4:CC795&amp;"*")&gt;0)*1))</f>
        <v>0</v>
      </c>
      <c r="BB50" s="6625" cm="1">
        <f t="array" ref="BB50">IF(W50="",0,SUMPRODUCT((CA4:CA795="Celeri")*(CB4:CB795="ALERTE")*(COUNTIF(AI50,"*"&amp;CC4:CC795&amp;"*")&gt;0)*1))</f>
        <v>0</v>
      </c>
      <c r="BC50" s="6625" cm="1">
        <f t="array" ref="BC50">IF(W50="",0,SUMPRODUCT((CA4:CA795="Moutarde")*(CB4:CB795="ALERTE")*(COUNTIF(AI50,"*"&amp;CC4:CC795&amp;"*")&gt;0)*1))</f>
        <v>0</v>
      </c>
      <c r="BD50" s="6625" cm="1">
        <f t="array" ref="BD50">IF(W50="",0,SUMPRODUCT((CA4:CA795="Sesame")*(CB4:CB795="ALERTE")*(COUNTIF(AI50,"*"&amp;CC4:CC795&amp;"*")&gt;0)*1))</f>
        <v>0</v>
      </c>
      <c r="BE50" s="6625" cm="1">
        <f t="array" ref="BE50">IF(W50="",0,SUMPRODUCT((CA4:CA795="Sulfites")*(CB4:CB795="ALERTE")*(COUNTIF(AI50,"*"&amp;CC4:CC795&amp;"*")&gt;0)*1))</f>
        <v>0</v>
      </c>
      <c r="BF50" s="6625" cm="1">
        <f t="array" ref="BF50">IF(W50="",0,SUMPRODUCT((CA4:CA795="Lupin")*(CB4:CB795="ALERTE")*(COUNTIF(AI50,"*"&amp;CC4:CC795&amp;"*")&gt;0)*1))</f>
        <v>0</v>
      </c>
      <c r="BG50" s="6625" cm="1">
        <f t="array" ref="BG50">IF(W50="",0,SUMPRODUCT((CA4:CA795="Mollusques")*(CB4:CB795="EXCL")*(COUNTIF(AI50,"*"&amp;CC4:CC795&amp;"*")&gt;0)*1))</f>
        <v>0</v>
      </c>
      <c r="BH50" s="6625" cm="1">
        <f t="array" ref="BH50">IF(W50="",0,SUMPRODUCT((CA4:CA795="Mollusques")*(CB4:CB795="ALERTE")*(COUNTIF(AI50,"*"&amp;CC4:CC795&amp;"*")&gt;0)*1))</f>
        <v>0</v>
      </c>
      <c r="BI50" s="6625" t="str">
        <f t="shared" si="25"/>
        <v/>
      </c>
      <c r="BJ50" s="6625" t="str">
        <f t="shared" si="26"/>
        <v/>
      </c>
      <c r="BK50" s="6625" t="str">
        <f t="shared" si="27"/>
        <v/>
      </c>
      <c r="BL50" s="6625" t="str">
        <f t="shared" si="28"/>
        <v/>
      </c>
      <c r="BM50" s="6625" t="str">
        <f t="shared" si="29"/>
        <v/>
      </c>
      <c r="BN50" s="6625" t="str">
        <f t="shared" si="30"/>
        <v/>
      </c>
      <c r="BO50" s="6625" t="str">
        <f t="shared" si="31"/>
        <v/>
      </c>
      <c r="BP50" s="6625" t="str">
        <f t="shared" si="32"/>
        <v/>
      </c>
      <c r="BQ50" s="6625" t="str">
        <f t="shared" si="33"/>
        <v/>
      </c>
      <c r="BR50" s="6625" t="str">
        <f t="shared" si="34"/>
        <v/>
      </c>
      <c r="BS50" s="6625" t="str">
        <f t="shared" si="35"/>
        <v/>
      </c>
      <c r="BT50" s="6625" t="str">
        <f t="shared" si="36"/>
        <v/>
      </c>
      <c r="BU50" s="6625" t="str">
        <f t="shared" si="37"/>
        <v/>
      </c>
      <c r="BV50" s="6625" t="str">
        <f t="shared" si="38"/>
        <v/>
      </c>
      <c r="BW50" s="6625" t="str">
        <f t="shared" si="39"/>
        <v/>
      </c>
      <c r="BX50" s="6625" t="str">
        <f t="shared" si="40"/>
        <v/>
      </c>
      <c r="CA50" s="3170" t="s">
        <v>16412</v>
      </c>
      <c r="CB50" s="7634" t="s">
        <v>16255</v>
      </c>
      <c r="CC50" s="3170" t="s">
        <v>16431</v>
      </c>
      <c r="CD50" s="3170" t="s">
        <v>16432</v>
      </c>
    </row>
    <row r="51" spans="2:82" ht="30" customHeight="1">
      <c r="B51" s="7661" t="str">
        <f t="shared" si="0"/>
        <v/>
      </c>
      <c r="C51" s="7661" t="str">
        <f t="shared" si="1"/>
        <v/>
      </c>
      <c r="D51" s="7661" t="str">
        <f t="shared" si="2"/>
        <v/>
      </c>
      <c r="E51" s="7661">
        <f>IF(H50&lt;&gt;"",E50,IF(E50="","",IFERROR(MATCH(TRUE(),INDEX(INDEX($K:$K,E50+1):$K$203&lt;&gt;"",0),0)+E50,"")))</f>
        <v>226</v>
      </c>
      <c r="F51" s="7661">
        <f t="shared" si="41"/>
        <v>0</v>
      </c>
      <c r="G51" s="7661" t="str">
        <f t="shared" si="3"/>
        <v>0</v>
      </c>
      <c r="H51" s="7672" t="str">
        <f t="shared" si="4"/>
        <v/>
      </c>
      <c r="I51" s="7683" t="str">
        <f t="shared" si="5"/>
        <v/>
      </c>
      <c r="J51" s="7673" t="str">
        <f>IF(K51="","",COUNTIF($K$18:K51,"&lt;&gt;"))</f>
        <v/>
      </c>
      <c r="K51" s="7674"/>
      <c r="L51" s="7673" t="str">
        <f t="shared" si="6"/>
        <v/>
      </c>
      <c r="M51" s="7630">
        <f t="shared" si="7"/>
        <v>1</v>
      </c>
      <c r="N51" s="7675">
        <f t="shared" si="8"/>
        <v>34</v>
      </c>
      <c r="O51" s="7676" t="str">
        <f t="shared" si="9"/>
        <v>0</v>
      </c>
      <c r="P51" s="7675">
        <f t="shared" si="10"/>
        <v>1</v>
      </c>
      <c r="Q51" s="7675">
        <f t="shared" si="11"/>
        <v>1</v>
      </c>
      <c r="S51" s="7679" t="str">
        <f t="shared" si="42"/>
        <v>0</v>
      </c>
      <c r="T51" s="7680" t="str">
        <f t="shared" si="12"/>
        <v/>
      </c>
      <c r="V51" s="7677">
        <f t="shared" si="13"/>
        <v>51</v>
      </c>
      <c r="W51" s="7678" t="str">
        <f t="shared" si="43"/>
        <v>0</v>
      </c>
      <c r="X51" s="7677" t="s">
        <v>2</v>
      </c>
      <c r="Y51" s="7702" t="str">
        <f t="shared" si="14"/>
        <v>0</v>
      </c>
      <c r="Z51" s="7703" t="str">
        <f t="shared" si="15"/>
        <v/>
      </c>
      <c r="AA51" s="7681" t="str">
        <f t="shared" si="16"/>
        <v>0</v>
      </c>
      <c r="AB51" s="7682" t="str">
        <f t="shared" si="17"/>
        <v/>
      </c>
      <c r="AC51" s="7677">
        <f t="shared" si="18"/>
        <v>0</v>
      </c>
      <c r="AD51" s="7677">
        <f t="shared" si="19"/>
        <v>0</v>
      </c>
      <c r="AE51" s="7682" t="str">
        <f t="shared" si="20"/>
        <v>aucun match</v>
      </c>
      <c r="AF51" s="6625" t="str">
        <f t="shared" si="21"/>
        <v>0</v>
      </c>
      <c r="AG51" s="6625" t="str">
        <f t="shared" si="22"/>
        <v>0</v>
      </c>
      <c r="AH51" s="6625" t="str">
        <f t="shared" si="23"/>
        <v>0</v>
      </c>
      <c r="AI51" s="6625" t="str">
        <f t="shared" si="24"/>
        <v xml:space="preserve"> 0 </v>
      </c>
      <c r="AJ51" s="6625" cm="1">
        <f t="array" ref="AJ51">IF(W51="",0,SUMPRODUCT((CA4:CA795="Gluten")*(CB4:CB795="INFO")*(COUNTIF(AI51,"*"&amp;CC4:CC795&amp;"*")&gt;0)*1))</f>
        <v>0</v>
      </c>
      <c r="AK51" s="6625" cm="1">
        <f t="array" ref="AK51">IF(W51="",0,SUMPRODUCT((CA4:CA795="Gluten")*(CB4:CB795="EXCL")*(COUNTIF(AI51,"*"&amp;CC4:CC795&amp;"*")&gt;0)*1))</f>
        <v>0</v>
      </c>
      <c r="AL51" s="6625" cm="1">
        <f t="array" ref="AL51">IF(W51="",0,SUMPRODUCT((CA4:CA795="Gluten")*(CB4:CB795="ALERTE")*(COUNTIF(AI51,"*"&amp;CC4:CC795&amp;"*")&gt;0)*1))</f>
        <v>0</v>
      </c>
      <c r="AM51" s="6625" cm="1">
        <f t="array" ref="AM51">IF(W51="",0,SUMPRODUCT((CA4:CA795="Gluten")*(CB4:CB795="SUSP")*(COUNTIF(AI51,"*"&amp;CC4:CC795&amp;"*")&gt;0)*1))</f>
        <v>0</v>
      </c>
      <c r="AN51" s="6625" cm="1">
        <f t="array" ref="AN51">IF(W51="",0,SUMPRODUCT((CA4:CA795="Crustaces")*(CB4:CB795="ALERTE")*(COUNTIF(AI51,"*"&amp;CC4:CC795&amp;"*")&gt;0)*1))</f>
        <v>0</v>
      </c>
      <c r="AO51" s="6625" cm="1">
        <f t="array" ref="AO51">IF(W51="",0,SUMPRODUCT((CA4:CA795="Oeufs")*(CB4:CB795="ALERTE")*(COUNTIF(AI51,"*"&amp;CC4:CC795&amp;"*")&gt;0)*1))</f>
        <v>0</v>
      </c>
      <c r="AP51" s="6625" cm="1">
        <f t="array" ref="AP51">IF(W51="",0,SUMPRODUCT((CA4:CA795="Poissons")*(CB4:CB795="INFO")*(COUNTIF(AI51,"*"&amp;CC4:CC795&amp;"*")&gt;0)*1))</f>
        <v>0</v>
      </c>
      <c r="AQ51" s="6625" cm="1">
        <f t="array" ref="AQ51">IF(W51="",0,SUMPRODUCT((CA4:CA795="Poissons")*(CB4:CB795="EXCL")*(COUNTIF(AI51,"*"&amp;CC4:CC795&amp;"*")&gt;0)*1))</f>
        <v>0</v>
      </c>
      <c r="AR51" s="6625" cm="1">
        <f t="array" ref="AR51">IF(W51="",0,SUMPRODUCT((CA4:CA795="Poissons")*(CB4:CB795="ALERTE")*(COUNTIF(AI51,"*"&amp;CC4:CC795&amp;"*")&gt;0)*1))</f>
        <v>0</v>
      </c>
      <c r="AS51" s="6625" cm="1">
        <f t="array" ref="AS51">IF(W51="",0,SUMPRODUCT((CA4:CA795="Arachides")*(CB4:CB795="ALERTE")*(COUNTIF(AI51,"*"&amp;CC4:CC795&amp;"*")&gt;0)*1))</f>
        <v>0</v>
      </c>
      <c r="AT51" s="6625" cm="1">
        <f t="array" ref="AT51">IF(W51="",0,SUMPRODUCT((CA4:CA795="Soja")*(CB4:CB795="INFO")*(COUNTIF(AI51,"*"&amp;CC4:CC795&amp;"*")&gt;0)*1))</f>
        <v>0</v>
      </c>
      <c r="AU51" s="6625" cm="1">
        <f t="array" ref="AU51">IF(W51="",0,SUMPRODUCT((CA4:CA795="Soja")*(CB4:CB795="ALERTE")*(COUNTIF(AI51,"*"&amp;CC4:CC795&amp;"*")&gt;0)*1))</f>
        <v>0</v>
      </c>
      <c r="AV51" s="6625" cm="1">
        <f t="array" ref="AV51">IF(W51="",0,SUMPRODUCT((CA4:CA795="Lait")*(CB4:CB795="INFO")*(COUNTIF(AI51,"*"&amp;CC4:CC795&amp;"*")&gt;0)*1))</f>
        <v>0</v>
      </c>
      <c r="AW51" s="6625" cm="1">
        <f t="array" ref="AW51">IF(W51="",0,SUMPRODUCT((CA4:CA795="Lait")*(CB4:CB795="EXCL")*(COUNTIF(AI51,"*"&amp;CC4:CC795&amp;"*")&gt;0)*1))</f>
        <v>0</v>
      </c>
      <c r="AX51" s="6625" cm="1">
        <f t="array" ref="AX51">IF(W51="",0,SUMPRODUCT((CA4:CA795="Lait")*(CB4:CB795="ALERTE")*(COUNTIF(AI51,"*"&amp;CC4:CC795&amp;"*")&gt;0)*1))</f>
        <v>0</v>
      </c>
      <c r="AY51" s="6625" cm="1">
        <f t="array" ref="AY51">IF(W51="",0,SUMPRODUCT((CA4:CA795="Lait")*(CB4:CB795="SUSP")*(COUNTIF(AI51,"*"&amp;CC4:CC795&amp;"*")&gt;0)*1))</f>
        <v>0</v>
      </c>
      <c r="AZ51" s="6625" cm="1">
        <f t="array" ref="AZ51">IF(W51="",0,SUMPRODUCT((CA4:CA795="Fruits a coque")*(CB4:CB795="EXCL")*(COUNTIF(AI51,"*"&amp;CC4:CC795&amp;"*")&gt;0)*1))</f>
        <v>0</v>
      </c>
      <c r="BA51" s="6625" cm="1">
        <f t="array" ref="BA51">IF(W51="",0,SUMPRODUCT((CA4:CA795="Fruits a coque")*(CB4:CB795="ALERTE")*(COUNTIF(AI51,"*"&amp;CC4:CC795&amp;"*")&gt;0)*1))</f>
        <v>0</v>
      </c>
      <c r="BB51" s="6625" cm="1">
        <f t="array" ref="BB51">IF(W51="",0,SUMPRODUCT((CA4:CA795="Celeri")*(CB4:CB795="ALERTE")*(COUNTIF(AI51,"*"&amp;CC4:CC795&amp;"*")&gt;0)*1))</f>
        <v>0</v>
      </c>
      <c r="BC51" s="6625" cm="1">
        <f t="array" ref="BC51">IF(W51="",0,SUMPRODUCT((CA4:CA795="Moutarde")*(CB4:CB795="ALERTE")*(COUNTIF(AI51,"*"&amp;CC4:CC795&amp;"*")&gt;0)*1))</f>
        <v>0</v>
      </c>
      <c r="BD51" s="6625" cm="1">
        <f t="array" ref="BD51">IF(W51="",0,SUMPRODUCT((CA4:CA795="Sesame")*(CB4:CB795="ALERTE")*(COUNTIF(AI51,"*"&amp;CC4:CC795&amp;"*")&gt;0)*1))</f>
        <v>0</v>
      </c>
      <c r="BE51" s="6625" cm="1">
        <f t="array" ref="BE51">IF(W51="",0,SUMPRODUCT((CA4:CA795="Sulfites")*(CB4:CB795="ALERTE")*(COUNTIF(AI51,"*"&amp;CC4:CC795&amp;"*")&gt;0)*1))</f>
        <v>0</v>
      </c>
      <c r="BF51" s="6625" cm="1">
        <f t="array" ref="BF51">IF(W51="",0,SUMPRODUCT((CA4:CA795="Lupin")*(CB4:CB795="ALERTE")*(COUNTIF(AI51,"*"&amp;CC4:CC795&amp;"*")&gt;0)*1))</f>
        <v>0</v>
      </c>
      <c r="BG51" s="6625" cm="1">
        <f t="array" ref="BG51">IF(W51="",0,SUMPRODUCT((CA4:CA795="Mollusques")*(CB4:CB795="EXCL")*(COUNTIF(AI51,"*"&amp;CC4:CC795&amp;"*")&gt;0)*1))</f>
        <v>0</v>
      </c>
      <c r="BH51" s="6625" cm="1">
        <f t="array" ref="BH51">IF(W51="",0,SUMPRODUCT((CA4:CA795="Mollusques")*(CB4:CB795="ALERTE")*(COUNTIF(AI51,"*"&amp;CC4:CC795&amp;"*")&gt;0)*1))</f>
        <v>0</v>
      </c>
      <c r="BI51" s="6625" t="str">
        <f t="shared" si="25"/>
        <v/>
      </c>
      <c r="BJ51" s="6625" t="str">
        <f t="shared" si="26"/>
        <v/>
      </c>
      <c r="BK51" s="6625" t="str">
        <f t="shared" si="27"/>
        <v/>
      </c>
      <c r="BL51" s="6625" t="str">
        <f t="shared" si="28"/>
        <v/>
      </c>
      <c r="BM51" s="6625" t="str">
        <f t="shared" si="29"/>
        <v/>
      </c>
      <c r="BN51" s="6625" t="str">
        <f t="shared" si="30"/>
        <v/>
      </c>
      <c r="BO51" s="6625" t="str">
        <f t="shared" si="31"/>
        <v/>
      </c>
      <c r="BP51" s="6625" t="str">
        <f t="shared" si="32"/>
        <v/>
      </c>
      <c r="BQ51" s="6625" t="str">
        <f t="shared" si="33"/>
        <v/>
      </c>
      <c r="BR51" s="6625" t="str">
        <f t="shared" si="34"/>
        <v/>
      </c>
      <c r="BS51" s="6625" t="str">
        <f t="shared" si="35"/>
        <v/>
      </c>
      <c r="BT51" s="6625" t="str">
        <f t="shared" si="36"/>
        <v/>
      </c>
      <c r="BU51" s="6625" t="str">
        <f t="shared" si="37"/>
        <v/>
      </c>
      <c r="BV51" s="6625" t="str">
        <f t="shared" si="38"/>
        <v/>
      </c>
      <c r="BW51" s="6625" t="str">
        <f t="shared" si="39"/>
        <v/>
      </c>
      <c r="BX51" s="6625" t="str">
        <f t="shared" si="40"/>
        <v/>
      </c>
      <c r="CA51" s="3170" t="s">
        <v>16412</v>
      </c>
      <c r="CB51" s="7634" t="s">
        <v>16255</v>
      </c>
      <c r="CC51" s="3170" t="s">
        <v>16433</v>
      </c>
      <c r="CD51" s="3170" t="s">
        <v>16434</v>
      </c>
    </row>
    <row r="52" spans="2:82" ht="30" customHeight="1">
      <c r="B52" s="7661" t="str">
        <f t="shared" si="0"/>
        <v/>
      </c>
      <c r="C52" s="7661" t="str">
        <f t="shared" si="1"/>
        <v/>
      </c>
      <c r="D52" s="7661" t="str">
        <f t="shared" si="2"/>
        <v/>
      </c>
      <c r="E52" s="7661">
        <f>IF(H51&lt;&gt;"",E51,IF(E51="","",IFERROR(MATCH(TRUE(),INDEX(INDEX($K:$K,E51+1):$K$203&lt;&gt;"",0),0)+E51,"")))</f>
        <v>227</v>
      </c>
      <c r="F52" s="7661">
        <f t="shared" si="41"/>
        <v>0</v>
      </c>
      <c r="G52" s="7661" t="str">
        <f t="shared" si="3"/>
        <v>0</v>
      </c>
      <c r="H52" s="7672" t="str">
        <f t="shared" si="4"/>
        <v/>
      </c>
      <c r="I52" s="7683" t="str">
        <f t="shared" si="5"/>
        <v/>
      </c>
      <c r="J52" s="7673" t="str">
        <f>IF(K52="","",COUNTIF($K$18:K52,"&lt;&gt;"))</f>
        <v/>
      </c>
      <c r="K52" s="7674"/>
      <c r="L52" s="7673" t="str">
        <f t="shared" si="6"/>
        <v/>
      </c>
      <c r="M52" s="7630">
        <f t="shared" si="7"/>
        <v>1</v>
      </c>
      <c r="N52" s="7675">
        <f t="shared" si="8"/>
        <v>35</v>
      </c>
      <c r="O52" s="7676" t="str">
        <f t="shared" si="9"/>
        <v>0</v>
      </c>
      <c r="P52" s="7675">
        <f t="shared" si="10"/>
        <v>1</v>
      </c>
      <c r="Q52" s="7675">
        <f t="shared" si="11"/>
        <v>1</v>
      </c>
      <c r="S52" s="7679" t="str">
        <f t="shared" si="42"/>
        <v>0</v>
      </c>
      <c r="T52" s="7680" t="str">
        <f t="shared" si="12"/>
        <v/>
      </c>
      <c r="V52" s="7677">
        <f t="shared" si="13"/>
        <v>52</v>
      </c>
      <c r="W52" s="7678" t="str">
        <f t="shared" si="43"/>
        <v>0</v>
      </c>
      <c r="X52" s="7677" t="s">
        <v>2</v>
      </c>
      <c r="Y52" s="7702" t="str">
        <f t="shared" si="14"/>
        <v>0</v>
      </c>
      <c r="Z52" s="7703" t="str">
        <f t="shared" si="15"/>
        <v/>
      </c>
      <c r="AA52" s="7681" t="str">
        <f t="shared" si="16"/>
        <v>0</v>
      </c>
      <c r="AB52" s="7682" t="str">
        <f t="shared" si="17"/>
        <v/>
      </c>
      <c r="AC52" s="7677">
        <f t="shared" si="18"/>
        <v>0</v>
      </c>
      <c r="AD52" s="7677">
        <f t="shared" si="19"/>
        <v>0</v>
      </c>
      <c r="AE52" s="7682" t="str">
        <f t="shared" si="20"/>
        <v>aucun match</v>
      </c>
      <c r="AF52" s="6625" t="str">
        <f t="shared" si="21"/>
        <v>0</v>
      </c>
      <c r="AG52" s="6625" t="str">
        <f t="shared" si="22"/>
        <v>0</v>
      </c>
      <c r="AH52" s="6625" t="str">
        <f t="shared" si="23"/>
        <v>0</v>
      </c>
      <c r="AI52" s="6625" t="str">
        <f t="shared" si="24"/>
        <v xml:space="preserve"> 0 </v>
      </c>
      <c r="AJ52" s="6625" cm="1">
        <f t="array" ref="AJ52">IF(W52="",0,SUMPRODUCT((CA4:CA795="Gluten")*(CB4:CB795="INFO")*(COUNTIF(AI52,"*"&amp;CC4:CC795&amp;"*")&gt;0)*1))</f>
        <v>0</v>
      </c>
      <c r="AK52" s="6625" cm="1">
        <f t="array" ref="AK52">IF(W52="",0,SUMPRODUCT((CA4:CA795="Gluten")*(CB4:CB795="EXCL")*(COUNTIF(AI52,"*"&amp;CC4:CC795&amp;"*")&gt;0)*1))</f>
        <v>0</v>
      </c>
      <c r="AL52" s="6625" cm="1">
        <f t="array" ref="AL52">IF(W52="",0,SUMPRODUCT((CA4:CA795="Gluten")*(CB4:CB795="ALERTE")*(COUNTIF(AI52,"*"&amp;CC4:CC795&amp;"*")&gt;0)*1))</f>
        <v>0</v>
      </c>
      <c r="AM52" s="6625" cm="1">
        <f t="array" ref="AM52">IF(W52="",0,SUMPRODUCT((CA4:CA795="Gluten")*(CB4:CB795="SUSP")*(COUNTIF(AI52,"*"&amp;CC4:CC795&amp;"*")&gt;0)*1))</f>
        <v>0</v>
      </c>
      <c r="AN52" s="6625" cm="1">
        <f t="array" ref="AN52">IF(W52="",0,SUMPRODUCT((CA4:CA795="Crustaces")*(CB4:CB795="ALERTE")*(COUNTIF(AI52,"*"&amp;CC4:CC795&amp;"*")&gt;0)*1))</f>
        <v>0</v>
      </c>
      <c r="AO52" s="6625" cm="1">
        <f t="array" ref="AO52">IF(W52="",0,SUMPRODUCT((CA4:CA795="Oeufs")*(CB4:CB795="ALERTE")*(COUNTIF(AI52,"*"&amp;CC4:CC795&amp;"*")&gt;0)*1))</f>
        <v>0</v>
      </c>
      <c r="AP52" s="6625" cm="1">
        <f t="array" ref="AP52">IF(W52="",0,SUMPRODUCT((CA4:CA795="Poissons")*(CB4:CB795="INFO")*(COUNTIF(AI52,"*"&amp;CC4:CC795&amp;"*")&gt;0)*1))</f>
        <v>0</v>
      </c>
      <c r="AQ52" s="6625" cm="1">
        <f t="array" ref="AQ52">IF(W52="",0,SUMPRODUCT((CA4:CA795="Poissons")*(CB4:CB795="EXCL")*(COUNTIF(AI52,"*"&amp;CC4:CC795&amp;"*")&gt;0)*1))</f>
        <v>0</v>
      </c>
      <c r="AR52" s="6625" cm="1">
        <f t="array" ref="AR52">IF(W52="",0,SUMPRODUCT((CA4:CA795="Poissons")*(CB4:CB795="ALERTE")*(COUNTIF(AI52,"*"&amp;CC4:CC795&amp;"*")&gt;0)*1))</f>
        <v>0</v>
      </c>
      <c r="AS52" s="6625" cm="1">
        <f t="array" ref="AS52">IF(W52="",0,SUMPRODUCT((CA4:CA795="Arachides")*(CB4:CB795="ALERTE")*(COUNTIF(AI52,"*"&amp;CC4:CC795&amp;"*")&gt;0)*1))</f>
        <v>0</v>
      </c>
      <c r="AT52" s="6625" cm="1">
        <f t="array" ref="AT52">IF(W52="",0,SUMPRODUCT((CA4:CA795="Soja")*(CB4:CB795="INFO")*(COUNTIF(AI52,"*"&amp;CC4:CC795&amp;"*")&gt;0)*1))</f>
        <v>0</v>
      </c>
      <c r="AU52" s="6625" cm="1">
        <f t="array" ref="AU52">IF(W52="",0,SUMPRODUCT((CA4:CA795="Soja")*(CB4:CB795="ALERTE")*(COUNTIF(AI52,"*"&amp;CC4:CC795&amp;"*")&gt;0)*1))</f>
        <v>0</v>
      </c>
      <c r="AV52" s="6625" cm="1">
        <f t="array" ref="AV52">IF(W52="",0,SUMPRODUCT((CA4:CA795="Lait")*(CB4:CB795="INFO")*(COUNTIF(AI52,"*"&amp;CC4:CC795&amp;"*")&gt;0)*1))</f>
        <v>0</v>
      </c>
      <c r="AW52" s="6625" cm="1">
        <f t="array" ref="AW52">IF(W52="",0,SUMPRODUCT((CA4:CA795="Lait")*(CB4:CB795="EXCL")*(COUNTIF(AI52,"*"&amp;CC4:CC795&amp;"*")&gt;0)*1))</f>
        <v>0</v>
      </c>
      <c r="AX52" s="6625" cm="1">
        <f t="array" ref="AX52">IF(W52="",0,SUMPRODUCT((CA4:CA795="Lait")*(CB4:CB795="ALERTE")*(COUNTIF(AI52,"*"&amp;CC4:CC795&amp;"*")&gt;0)*1))</f>
        <v>0</v>
      </c>
      <c r="AY52" s="6625" cm="1">
        <f t="array" ref="AY52">IF(W52="",0,SUMPRODUCT((CA4:CA795="Lait")*(CB4:CB795="SUSP")*(COUNTIF(AI52,"*"&amp;CC4:CC795&amp;"*")&gt;0)*1))</f>
        <v>0</v>
      </c>
      <c r="AZ52" s="6625" cm="1">
        <f t="array" ref="AZ52">IF(W52="",0,SUMPRODUCT((CA4:CA795="Fruits a coque")*(CB4:CB795="EXCL")*(COUNTIF(AI52,"*"&amp;CC4:CC795&amp;"*")&gt;0)*1))</f>
        <v>0</v>
      </c>
      <c r="BA52" s="6625" cm="1">
        <f t="array" ref="BA52">IF(W52="",0,SUMPRODUCT((CA4:CA795="Fruits a coque")*(CB4:CB795="ALERTE")*(COUNTIF(AI52,"*"&amp;CC4:CC795&amp;"*")&gt;0)*1))</f>
        <v>0</v>
      </c>
      <c r="BB52" s="6625" cm="1">
        <f t="array" ref="BB52">IF(W52="",0,SUMPRODUCT((CA4:CA795="Celeri")*(CB4:CB795="ALERTE")*(COUNTIF(AI52,"*"&amp;CC4:CC795&amp;"*")&gt;0)*1))</f>
        <v>0</v>
      </c>
      <c r="BC52" s="6625" cm="1">
        <f t="array" ref="BC52">IF(W52="",0,SUMPRODUCT((CA4:CA795="Moutarde")*(CB4:CB795="ALERTE")*(COUNTIF(AI52,"*"&amp;CC4:CC795&amp;"*")&gt;0)*1))</f>
        <v>0</v>
      </c>
      <c r="BD52" s="6625" cm="1">
        <f t="array" ref="BD52">IF(W52="",0,SUMPRODUCT((CA4:CA795="Sesame")*(CB4:CB795="ALERTE")*(COUNTIF(AI52,"*"&amp;CC4:CC795&amp;"*")&gt;0)*1))</f>
        <v>0</v>
      </c>
      <c r="BE52" s="6625" cm="1">
        <f t="array" ref="BE52">IF(W52="",0,SUMPRODUCT((CA4:CA795="Sulfites")*(CB4:CB795="ALERTE")*(COUNTIF(AI52,"*"&amp;CC4:CC795&amp;"*")&gt;0)*1))</f>
        <v>0</v>
      </c>
      <c r="BF52" s="6625" cm="1">
        <f t="array" ref="BF52">IF(W52="",0,SUMPRODUCT((CA4:CA795="Lupin")*(CB4:CB795="ALERTE")*(COUNTIF(AI52,"*"&amp;CC4:CC795&amp;"*")&gt;0)*1))</f>
        <v>0</v>
      </c>
      <c r="BG52" s="6625" cm="1">
        <f t="array" ref="BG52">IF(W52="",0,SUMPRODUCT((CA4:CA795="Mollusques")*(CB4:CB795="EXCL")*(COUNTIF(AI52,"*"&amp;CC4:CC795&amp;"*")&gt;0)*1))</f>
        <v>0</v>
      </c>
      <c r="BH52" s="6625" cm="1">
        <f t="array" ref="BH52">IF(W52="",0,SUMPRODUCT((CA4:CA795="Mollusques")*(CB4:CB795="ALERTE")*(COUNTIF(AI52,"*"&amp;CC4:CC795&amp;"*")&gt;0)*1))</f>
        <v>0</v>
      </c>
      <c r="BI52" s="6625" t="str">
        <f t="shared" si="25"/>
        <v/>
      </c>
      <c r="BJ52" s="6625" t="str">
        <f t="shared" si="26"/>
        <v/>
      </c>
      <c r="BK52" s="6625" t="str">
        <f t="shared" si="27"/>
        <v/>
      </c>
      <c r="BL52" s="6625" t="str">
        <f t="shared" si="28"/>
        <v/>
      </c>
      <c r="BM52" s="6625" t="str">
        <f t="shared" si="29"/>
        <v/>
      </c>
      <c r="BN52" s="6625" t="str">
        <f t="shared" si="30"/>
        <v/>
      </c>
      <c r="BO52" s="6625" t="str">
        <f t="shared" si="31"/>
        <v/>
      </c>
      <c r="BP52" s="6625" t="str">
        <f t="shared" si="32"/>
        <v/>
      </c>
      <c r="BQ52" s="6625" t="str">
        <f t="shared" si="33"/>
        <v/>
      </c>
      <c r="BR52" s="6625" t="str">
        <f t="shared" si="34"/>
        <v/>
      </c>
      <c r="BS52" s="6625" t="str">
        <f t="shared" si="35"/>
        <v/>
      </c>
      <c r="BT52" s="6625" t="str">
        <f t="shared" si="36"/>
        <v/>
      </c>
      <c r="BU52" s="6625" t="str">
        <f t="shared" si="37"/>
        <v/>
      </c>
      <c r="BV52" s="6625" t="str">
        <f t="shared" si="38"/>
        <v/>
      </c>
      <c r="BW52" s="6625" t="str">
        <f t="shared" si="39"/>
        <v/>
      </c>
      <c r="BX52" s="6625" t="str">
        <f t="shared" si="40"/>
        <v/>
      </c>
      <c r="CA52" s="3170" t="s">
        <v>16412</v>
      </c>
      <c r="CB52" s="7634" t="s">
        <v>16255</v>
      </c>
      <c r="CC52" s="3170" t="s">
        <v>16435</v>
      </c>
      <c r="CD52" s="3170" t="s">
        <v>16436</v>
      </c>
    </row>
    <row r="53" spans="2:82" ht="30" customHeight="1">
      <c r="B53" s="7661" t="str">
        <f t="shared" si="0"/>
        <v/>
      </c>
      <c r="C53" s="7661" t="str">
        <f t="shared" si="1"/>
        <v/>
      </c>
      <c r="D53" s="7661" t="str">
        <f t="shared" si="2"/>
        <v/>
      </c>
      <c r="E53" s="7661">
        <f>IF(H52&lt;&gt;"",E52,IF(E52="","",IFERROR(MATCH(TRUE(),INDEX(INDEX($K:$K,E52+1):$K$203&lt;&gt;"",0),0)+E52,"")))</f>
        <v>228</v>
      </c>
      <c r="F53" s="7661">
        <f t="shared" si="41"/>
        <v>0</v>
      </c>
      <c r="G53" s="7661" t="str">
        <f t="shared" si="3"/>
        <v>0</v>
      </c>
      <c r="H53" s="7672" t="str">
        <f t="shared" si="4"/>
        <v/>
      </c>
      <c r="I53" s="7683" t="str">
        <f t="shared" si="5"/>
        <v/>
      </c>
      <c r="J53" s="7673" t="str">
        <f>IF(K53="","",COUNTIF($K$18:K53,"&lt;&gt;"))</f>
        <v/>
      </c>
      <c r="K53" s="7674"/>
      <c r="L53" s="7673" t="str">
        <f t="shared" si="6"/>
        <v/>
      </c>
      <c r="M53" s="7630">
        <f t="shared" si="7"/>
        <v>1</v>
      </c>
      <c r="N53" s="7675">
        <f t="shared" si="8"/>
        <v>36</v>
      </c>
      <c r="O53" s="7676" t="str">
        <f t="shared" si="9"/>
        <v>0</v>
      </c>
      <c r="P53" s="7675">
        <f t="shared" si="10"/>
        <v>1</v>
      </c>
      <c r="Q53" s="7675">
        <f t="shared" si="11"/>
        <v>1</v>
      </c>
      <c r="S53" s="7679" t="str">
        <f t="shared" si="42"/>
        <v>0</v>
      </c>
      <c r="T53" s="7680" t="str">
        <f t="shared" si="12"/>
        <v/>
      </c>
      <c r="V53" s="7677">
        <f t="shared" si="13"/>
        <v>53</v>
      </c>
      <c r="W53" s="7678" t="str">
        <f t="shared" si="43"/>
        <v>0</v>
      </c>
      <c r="X53" s="7677" t="s">
        <v>2</v>
      </c>
      <c r="Y53" s="7702" t="str">
        <f t="shared" si="14"/>
        <v>0</v>
      </c>
      <c r="Z53" s="7703" t="str">
        <f t="shared" si="15"/>
        <v/>
      </c>
      <c r="AA53" s="7681" t="str">
        <f t="shared" si="16"/>
        <v>0</v>
      </c>
      <c r="AB53" s="7682" t="str">
        <f t="shared" si="17"/>
        <v/>
      </c>
      <c r="AC53" s="7677">
        <f t="shared" si="18"/>
        <v>0</v>
      </c>
      <c r="AD53" s="7677">
        <f t="shared" si="19"/>
        <v>0</v>
      </c>
      <c r="AE53" s="7682" t="str">
        <f t="shared" si="20"/>
        <v>aucun match</v>
      </c>
      <c r="AF53" s="6625" t="str">
        <f t="shared" si="21"/>
        <v>0</v>
      </c>
      <c r="AG53" s="6625" t="str">
        <f t="shared" si="22"/>
        <v>0</v>
      </c>
      <c r="AH53" s="6625" t="str">
        <f t="shared" si="23"/>
        <v>0</v>
      </c>
      <c r="AI53" s="6625" t="str">
        <f t="shared" si="24"/>
        <v xml:space="preserve"> 0 </v>
      </c>
      <c r="AJ53" s="6625" cm="1">
        <f t="array" ref="AJ53">IF(W53="",0,SUMPRODUCT((CA4:CA795="Gluten")*(CB4:CB795="INFO")*(COUNTIF(AI53,"*"&amp;CC4:CC795&amp;"*")&gt;0)*1))</f>
        <v>0</v>
      </c>
      <c r="AK53" s="6625" cm="1">
        <f t="array" ref="AK53">IF(W53="",0,SUMPRODUCT((CA4:CA795="Gluten")*(CB4:CB795="EXCL")*(COUNTIF(AI53,"*"&amp;CC4:CC795&amp;"*")&gt;0)*1))</f>
        <v>0</v>
      </c>
      <c r="AL53" s="6625" cm="1">
        <f t="array" ref="AL53">IF(W53="",0,SUMPRODUCT((CA4:CA795="Gluten")*(CB4:CB795="ALERTE")*(COUNTIF(AI53,"*"&amp;CC4:CC795&amp;"*")&gt;0)*1))</f>
        <v>0</v>
      </c>
      <c r="AM53" s="6625" cm="1">
        <f t="array" ref="AM53">IF(W53="",0,SUMPRODUCT((CA4:CA795="Gluten")*(CB4:CB795="SUSP")*(COUNTIF(AI53,"*"&amp;CC4:CC795&amp;"*")&gt;0)*1))</f>
        <v>0</v>
      </c>
      <c r="AN53" s="6625" cm="1">
        <f t="array" ref="AN53">IF(W53="",0,SUMPRODUCT((CA4:CA795="Crustaces")*(CB4:CB795="ALERTE")*(COUNTIF(AI53,"*"&amp;CC4:CC795&amp;"*")&gt;0)*1))</f>
        <v>0</v>
      </c>
      <c r="AO53" s="6625" cm="1">
        <f t="array" ref="AO53">IF(W53="",0,SUMPRODUCT((CA4:CA795="Oeufs")*(CB4:CB795="ALERTE")*(COUNTIF(AI53,"*"&amp;CC4:CC795&amp;"*")&gt;0)*1))</f>
        <v>0</v>
      </c>
      <c r="AP53" s="6625" cm="1">
        <f t="array" ref="AP53">IF(W53="",0,SUMPRODUCT((CA4:CA795="Poissons")*(CB4:CB795="INFO")*(COUNTIF(AI53,"*"&amp;CC4:CC795&amp;"*")&gt;0)*1))</f>
        <v>0</v>
      </c>
      <c r="AQ53" s="6625" cm="1">
        <f t="array" ref="AQ53">IF(W53="",0,SUMPRODUCT((CA4:CA795="Poissons")*(CB4:CB795="EXCL")*(COUNTIF(AI53,"*"&amp;CC4:CC795&amp;"*")&gt;0)*1))</f>
        <v>0</v>
      </c>
      <c r="AR53" s="6625" cm="1">
        <f t="array" ref="AR53">IF(W53="",0,SUMPRODUCT((CA4:CA795="Poissons")*(CB4:CB795="ALERTE")*(COUNTIF(AI53,"*"&amp;CC4:CC795&amp;"*")&gt;0)*1))</f>
        <v>0</v>
      </c>
      <c r="AS53" s="6625" cm="1">
        <f t="array" ref="AS53">IF(W53="",0,SUMPRODUCT((CA4:CA795="Arachides")*(CB4:CB795="ALERTE")*(COUNTIF(AI53,"*"&amp;CC4:CC795&amp;"*")&gt;0)*1))</f>
        <v>0</v>
      </c>
      <c r="AT53" s="6625" cm="1">
        <f t="array" ref="AT53">IF(W53="",0,SUMPRODUCT((CA4:CA795="Soja")*(CB4:CB795="INFO")*(COUNTIF(AI53,"*"&amp;CC4:CC795&amp;"*")&gt;0)*1))</f>
        <v>0</v>
      </c>
      <c r="AU53" s="6625" cm="1">
        <f t="array" ref="AU53">IF(W53="",0,SUMPRODUCT((CA4:CA795="Soja")*(CB4:CB795="ALERTE")*(COUNTIF(AI53,"*"&amp;CC4:CC795&amp;"*")&gt;0)*1))</f>
        <v>0</v>
      </c>
      <c r="AV53" s="6625" cm="1">
        <f t="array" ref="AV53">IF(W53="",0,SUMPRODUCT((CA4:CA795="Lait")*(CB4:CB795="INFO")*(COUNTIF(AI53,"*"&amp;CC4:CC795&amp;"*")&gt;0)*1))</f>
        <v>0</v>
      </c>
      <c r="AW53" s="6625" cm="1">
        <f t="array" ref="AW53">IF(W53="",0,SUMPRODUCT((CA4:CA795="Lait")*(CB4:CB795="EXCL")*(COUNTIF(AI53,"*"&amp;CC4:CC795&amp;"*")&gt;0)*1))</f>
        <v>0</v>
      </c>
      <c r="AX53" s="6625" cm="1">
        <f t="array" ref="AX53">IF(W53="",0,SUMPRODUCT((CA4:CA795="Lait")*(CB4:CB795="ALERTE")*(COUNTIF(AI53,"*"&amp;CC4:CC795&amp;"*")&gt;0)*1))</f>
        <v>0</v>
      </c>
      <c r="AY53" s="6625" cm="1">
        <f t="array" ref="AY53">IF(W53="",0,SUMPRODUCT((CA4:CA795="Lait")*(CB4:CB795="SUSP")*(COUNTIF(AI53,"*"&amp;CC4:CC795&amp;"*")&gt;0)*1))</f>
        <v>0</v>
      </c>
      <c r="AZ53" s="6625" cm="1">
        <f t="array" ref="AZ53">IF(W53="",0,SUMPRODUCT((CA4:CA795="Fruits a coque")*(CB4:CB795="EXCL")*(COUNTIF(AI53,"*"&amp;CC4:CC795&amp;"*")&gt;0)*1))</f>
        <v>0</v>
      </c>
      <c r="BA53" s="6625" cm="1">
        <f t="array" ref="BA53">IF(W53="",0,SUMPRODUCT((CA4:CA795="Fruits a coque")*(CB4:CB795="ALERTE")*(COUNTIF(AI53,"*"&amp;CC4:CC795&amp;"*")&gt;0)*1))</f>
        <v>0</v>
      </c>
      <c r="BB53" s="6625" cm="1">
        <f t="array" ref="BB53">IF(W53="",0,SUMPRODUCT((CA4:CA795="Celeri")*(CB4:CB795="ALERTE")*(COUNTIF(AI53,"*"&amp;CC4:CC795&amp;"*")&gt;0)*1))</f>
        <v>0</v>
      </c>
      <c r="BC53" s="6625" cm="1">
        <f t="array" ref="BC53">IF(W53="",0,SUMPRODUCT((CA4:CA795="Moutarde")*(CB4:CB795="ALERTE")*(COUNTIF(AI53,"*"&amp;CC4:CC795&amp;"*")&gt;0)*1))</f>
        <v>0</v>
      </c>
      <c r="BD53" s="6625" cm="1">
        <f t="array" ref="BD53">IF(W53="",0,SUMPRODUCT((CA4:CA795="Sesame")*(CB4:CB795="ALERTE")*(COUNTIF(AI53,"*"&amp;CC4:CC795&amp;"*")&gt;0)*1))</f>
        <v>0</v>
      </c>
      <c r="BE53" s="6625" cm="1">
        <f t="array" ref="BE53">IF(W53="",0,SUMPRODUCT((CA4:CA795="Sulfites")*(CB4:CB795="ALERTE")*(COUNTIF(AI53,"*"&amp;CC4:CC795&amp;"*")&gt;0)*1))</f>
        <v>0</v>
      </c>
      <c r="BF53" s="6625" cm="1">
        <f t="array" ref="BF53">IF(W53="",0,SUMPRODUCT((CA4:CA795="Lupin")*(CB4:CB795="ALERTE")*(COUNTIF(AI53,"*"&amp;CC4:CC795&amp;"*")&gt;0)*1))</f>
        <v>0</v>
      </c>
      <c r="BG53" s="6625" cm="1">
        <f t="array" ref="BG53">IF(W53="",0,SUMPRODUCT((CA4:CA795="Mollusques")*(CB4:CB795="EXCL")*(COUNTIF(AI53,"*"&amp;CC4:CC795&amp;"*")&gt;0)*1))</f>
        <v>0</v>
      </c>
      <c r="BH53" s="6625" cm="1">
        <f t="array" ref="BH53">IF(W53="",0,SUMPRODUCT((CA4:CA795="Mollusques")*(CB4:CB795="ALERTE")*(COUNTIF(AI53,"*"&amp;CC4:CC795&amp;"*")&gt;0)*1))</f>
        <v>0</v>
      </c>
      <c r="BI53" s="6625" t="str">
        <f t="shared" si="25"/>
        <v/>
      </c>
      <c r="BJ53" s="6625" t="str">
        <f t="shared" si="26"/>
        <v/>
      </c>
      <c r="BK53" s="6625" t="str">
        <f t="shared" si="27"/>
        <v/>
      </c>
      <c r="BL53" s="6625" t="str">
        <f t="shared" si="28"/>
        <v/>
      </c>
      <c r="BM53" s="6625" t="str">
        <f t="shared" si="29"/>
        <v/>
      </c>
      <c r="BN53" s="6625" t="str">
        <f t="shared" si="30"/>
        <v/>
      </c>
      <c r="BO53" s="6625" t="str">
        <f t="shared" si="31"/>
        <v/>
      </c>
      <c r="BP53" s="6625" t="str">
        <f t="shared" si="32"/>
        <v/>
      </c>
      <c r="BQ53" s="6625" t="str">
        <f t="shared" si="33"/>
        <v/>
      </c>
      <c r="BR53" s="6625" t="str">
        <f t="shared" si="34"/>
        <v/>
      </c>
      <c r="BS53" s="6625" t="str">
        <f t="shared" si="35"/>
        <v/>
      </c>
      <c r="BT53" s="6625" t="str">
        <f t="shared" si="36"/>
        <v/>
      </c>
      <c r="BU53" s="6625" t="str">
        <f t="shared" si="37"/>
        <v/>
      </c>
      <c r="BV53" s="6625" t="str">
        <f t="shared" si="38"/>
        <v/>
      </c>
      <c r="BW53" s="6625" t="str">
        <f t="shared" si="39"/>
        <v/>
      </c>
      <c r="BX53" s="6625" t="str">
        <f t="shared" si="40"/>
        <v/>
      </c>
      <c r="CA53" s="3170" t="s">
        <v>16412</v>
      </c>
      <c r="CB53" s="7634" t="s">
        <v>16255</v>
      </c>
      <c r="CC53" s="3170" t="s">
        <v>16437</v>
      </c>
      <c r="CD53" s="3170" t="s">
        <v>16438</v>
      </c>
    </row>
    <row r="54" spans="2:82" ht="30" customHeight="1">
      <c r="B54" s="7661" t="str">
        <f t="shared" si="0"/>
        <v/>
      </c>
      <c r="C54" s="7661" t="str">
        <f t="shared" si="1"/>
        <v/>
      </c>
      <c r="D54" s="7661" t="str">
        <f t="shared" si="2"/>
        <v/>
      </c>
      <c r="E54" s="7661">
        <f>IF(H53&lt;&gt;"",E53,IF(E53="","",IFERROR(MATCH(TRUE(),INDEX(INDEX($K:$K,E53+1):$K$203&lt;&gt;"",0),0)+E53,"")))</f>
        <v>229</v>
      </c>
      <c r="F54" s="7661">
        <f t="shared" si="41"/>
        <v>0</v>
      </c>
      <c r="G54" s="7661" t="str">
        <f t="shared" si="3"/>
        <v>0</v>
      </c>
      <c r="H54" s="7672" t="str">
        <f t="shared" si="4"/>
        <v/>
      </c>
      <c r="I54" s="7683" t="str">
        <f t="shared" si="5"/>
        <v/>
      </c>
      <c r="J54" s="7673" t="str">
        <f>IF(K54="","",COUNTIF($K$18:K54,"&lt;&gt;"))</f>
        <v/>
      </c>
      <c r="K54" s="7674"/>
      <c r="L54" s="7673" t="str">
        <f t="shared" si="6"/>
        <v/>
      </c>
      <c r="M54" s="7630">
        <f t="shared" si="7"/>
        <v>1</v>
      </c>
      <c r="N54" s="7675">
        <f t="shared" si="8"/>
        <v>37</v>
      </c>
      <c r="O54" s="7676" t="str">
        <f t="shared" si="9"/>
        <v>0</v>
      </c>
      <c r="P54" s="7675">
        <f t="shared" si="10"/>
        <v>1</v>
      </c>
      <c r="Q54" s="7675">
        <f t="shared" si="11"/>
        <v>1</v>
      </c>
      <c r="S54" s="7679" t="str">
        <f t="shared" si="42"/>
        <v>0</v>
      </c>
      <c r="T54" s="7680" t="str">
        <f t="shared" si="12"/>
        <v/>
      </c>
      <c r="V54" s="7677">
        <f t="shared" si="13"/>
        <v>54</v>
      </c>
      <c r="W54" s="7678" t="str">
        <f t="shared" si="43"/>
        <v>0</v>
      </c>
      <c r="X54" s="7677" t="s">
        <v>2</v>
      </c>
      <c r="Y54" s="7702" t="str">
        <f t="shared" si="14"/>
        <v>0</v>
      </c>
      <c r="Z54" s="7703" t="str">
        <f t="shared" si="15"/>
        <v/>
      </c>
      <c r="AA54" s="7681" t="str">
        <f t="shared" si="16"/>
        <v>0</v>
      </c>
      <c r="AB54" s="7682" t="str">
        <f t="shared" si="17"/>
        <v/>
      </c>
      <c r="AC54" s="7677">
        <f t="shared" si="18"/>
        <v>0</v>
      </c>
      <c r="AD54" s="7677">
        <f t="shared" si="19"/>
        <v>0</v>
      </c>
      <c r="AE54" s="7682" t="str">
        <f t="shared" si="20"/>
        <v>aucun match</v>
      </c>
      <c r="AF54" s="6625" t="str">
        <f t="shared" si="21"/>
        <v>0</v>
      </c>
      <c r="AG54" s="6625" t="str">
        <f t="shared" si="22"/>
        <v>0</v>
      </c>
      <c r="AH54" s="6625" t="str">
        <f t="shared" si="23"/>
        <v>0</v>
      </c>
      <c r="AI54" s="6625" t="str">
        <f t="shared" si="24"/>
        <v xml:space="preserve"> 0 </v>
      </c>
      <c r="AJ54" s="6625" cm="1">
        <f t="array" ref="AJ54">IF(W54="",0,SUMPRODUCT((CA4:CA795="Gluten")*(CB4:CB795="INFO")*(COUNTIF(AI54,"*"&amp;CC4:CC795&amp;"*")&gt;0)*1))</f>
        <v>0</v>
      </c>
      <c r="AK54" s="6625" cm="1">
        <f t="array" ref="AK54">IF(W54="",0,SUMPRODUCT((CA4:CA795="Gluten")*(CB4:CB795="EXCL")*(COUNTIF(AI54,"*"&amp;CC4:CC795&amp;"*")&gt;0)*1))</f>
        <v>0</v>
      </c>
      <c r="AL54" s="6625" cm="1">
        <f t="array" ref="AL54">IF(W54="",0,SUMPRODUCT((CA4:CA795="Gluten")*(CB4:CB795="ALERTE")*(COUNTIF(AI54,"*"&amp;CC4:CC795&amp;"*")&gt;0)*1))</f>
        <v>0</v>
      </c>
      <c r="AM54" s="6625" cm="1">
        <f t="array" ref="AM54">IF(W54="",0,SUMPRODUCT((CA4:CA795="Gluten")*(CB4:CB795="SUSP")*(COUNTIF(AI54,"*"&amp;CC4:CC795&amp;"*")&gt;0)*1))</f>
        <v>0</v>
      </c>
      <c r="AN54" s="6625" cm="1">
        <f t="array" ref="AN54">IF(W54="",0,SUMPRODUCT((CA4:CA795="Crustaces")*(CB4:CB795="ALERTE")*(COUNTIF(AI54,"*"&amp;CC4:CC795&amp;"*")&gt;0)*1))</f>
        <v>0</v>
      </c>
      <c r="AO54" s="6625" cm="1">
        <f t="array" ref="AO54">IF(W54="",0,SUMPRODUCT((CA4:CA795="Oeufs")*(CB4:CB795="ALERTE")*(COUNTIF(AI54,"*"&amp;CC4:CC795&amp;"*")&gt;0)*1))</f>
        <v>0</v>
      </c>
      <c r="AP54" s="6625" cm="1">
        <f t="array" ref="AP54">IF(W54="",0,SUMPRODUCT((CA4:CA795="Poissons")*(CB4:CB795="INFO")*(COUNTIF(AI54,"*"&amp;CC4:CC795&amp;"*")&gt;0)*1))</f>
        <v>0</v>
      </c>
      <c r="AQ54" s="6625" cm="1">
        <f t="array" ref="AQ54">IF(W54="",0,SUMPRODUCT((CA4:CA795="Poissons")*(CB4:CB795="EXCL")*(COUNTIF(AI54,"*"&amp;CC4:CC795&amp;"*")&gt;0)*1))</f>
        <v>0</v>
      </c>
      <c r="AR54" s="6625" cm="1">
        <f t="array" ref="AR54">IF(W54="",0,SUMPRODUCT((CA4:CA795="Poissons")*(CB4:CB795="ALERTE")*(COUNTIF(AI54,"*"&amp;CC4:CC795&amp;"*")&gt;0)*1))</f>
        <v>0</v>
      </c>
      <c r="AS54" s="6625" cm="1">
        <f t="array" ref="AS54">IF(W54="",0,SUMPRODUCT((CA4:CA795="Arachides")*(CB4:CB795="ALERTE")*(COUNTIF(AI54,"*"&amp;CC4:CC795&amp;"*")&gt;0)*1))</f>
        <v>0</v>
      </c>
      <c r="AT54" s="6625" cm="1">
        <f t="array" ref="AT54">IF(W54="",0,SUMPRODUCT((CA4:CA795="Soja")*(CB4:CB795="INFO")*(COUNTIF(AI54,"*"&amp;CC4:CC795&amp;"*")&gt;0)*1))</f>
        <v>0</v>
      </c>
      <c r="AU54" s="6625" cm="1">
        <f t="array" ref="AU54">IF(W54="",0,SUMPRODUCT((CA4:CA795="Soja")*(CB4:CB795="ALERTE")*(COUNTIF(AI54,"*"&amp;CC4:CC795&amp;"*")&gt;0)*1))</f>
        <v>0</v>
      </c>
      <c r="AV54" s="6625" cm="1">
        <f t="array" ref="AV54">IF(W54="",0,SUMPRODUCT((CA4:CA795="Lait")*(CB4:CB795="INFO")*(COUNTIF(AI54,"*"&amp;CC4:CC795&amp;"*")&gt;0)*1))</f>
        <v>0</v>
      </c>
      <c r="AW54" s="6625" cm="1">
        <f t="array" ref="AW54">IF(W54="",0,SUMPRODUCT((CA4:CA795="Lait")*(CB4:CB795="EXCL")*(COUNTIF(AI54,"*"&amp;CC4:CC795&amp;"*")&gt;0)*1))</f>
        <v>0</v>
      </c>
      <c r="AX54" s="6625" cm="1">
        <f t="array" ref="AX54">IF(W54="",0,SUMPRODUCT((CA4:CA795="Lait")*(CB4:CB795="ALERTE")*(COUNTIF(AI54,"*"&amp;CC4:CC795&amp;"*")&gt;0)*1))</f>
        <v>0</v>
      </c>
      <c r="AY54" s="6625" cm="1">
        <f t="array" ref="AY54">IF(W54="",0,SUMPRODUCT((CA4:CA795="Lait")*(CB4:CB795="SUSP")*(COUNTIF(AI54,"*"&amp;CC4:CC795&amp;"*")&gt;0)*1))</f>
        <v>0</v>
      </c>
      <c r="AZ54" s="6625" cm="1">
        <f t="array" ref="AZ54">IF(W54="",0,SUMPRODUCT((CA4:CA795="Fruits a coque")*(CB4:CB795="EXCL")*(COUNTIF(AI54,"*"&amp;CC4:CC795&amp;"*")&gt;0)*1))</f>
        <v>0</v>
      </c>
      <c r="BA54" s="6625" cm="1">
        <f t="array" ref="BA54">IF(W54="",0,SUMPRODUCT((CA4:CA795="Fruits a coque")*(CB4:CB795="ALERTE")*(COUNTIF(AI54,"*"&amp;CC4:CC795&amp;"*")&gt;0)*1))</f>
        <v>0</v>
      </c>
      <c r="BB54" s="6625" cm="1">
        <f t="array" ref="BB54">IF(W54="",0,SUMPRODUCT((CA4:CA795="Celeri")*(CB4:CB795="ALERTE")*(COUNTIF(AI54,"*"&amp;CC4:CC795&amp;"*")&gt;0)*1))</f>
        <v>0</v>
      </c>
      <c r="BC54" s="6625" cm="1">
        <f t="array" ref="BC54">IF(W54="",0,SUMPRODUCT((CA4:CA795="Moutarde")*(CB4:CB795="ALERTE")*(COUNTIF(AI54,"*"&amp;CC4:CC795&amp;"*")&gt;0)*1))</f>
        <v>0</v>
      </c>
      <c r="BD54" s="6625" cm="1">
        <f t="array" ref="BD54">IF(W54="",0,SUMPRODUCT((CA4:CA795="Sesame")*(CB4:CB795="ALERTE")*(COUNTIF(AI54,"*"&amp;CC4:CC795&amp;"*")&gt;0)*1))</f>
        <v>0</v>
      </c>
      <c r="BE54" s="6625" cm="1">
        <f t="array" ref="BE54">IF(W54="",0,SUMPRODUCT((CA4:CA795="Sulfites")*(CB4:CB795="ALERTE")*(COUNTIF(AI54,"*"&amp;CC4:CC795&amp;"*")&gt;0)*1))</f>
        <v>0</v>
      </c>
      <c r="BF54" s="6625" cm="1">
        <f t="array" ref="BF54">IF(W54="",0,SUMPRODUCT((CA4:CA795="Lupin")*(CB4:CB795="ALERTE")*(COUNTIF(AI54,"*"&amp;CC4:CC795&amp;"*")&gt;0)*1))</f>
        <v>0</v>
      </c>
      <c r="BG54" s="6625" cm="1">
        <f t="array" ref="BG54">IF(W54="",0,SUMPRODUCT((CA4:CA795="Mollusques")*(CB4:CB795="EXCL")*(COUNTIF(AI54,"*"&amp;CC4:CC795&amp;"*")&gt;0)*1))</f>
        <v>0</v>
      </c>
      <c r="BH54" s="6625" cm="1">
        <f t="array" ref="BH54">IF(W54="",0,SUMPRODUCT((CA4:CA795="Mollusques")*(CB4:CB795="ALERTE")*(COUNTIF(AI54,"*"&amp;CC4:CC795&amp;"*")&gt;0)*1))</f>
        <v>0</v>
      </c>
      <c r="BI54" s="6625" t="str">
        <f t="shared" si="25"/>
        <v/>
      </c>
      <c r="BJ54" s="6625" t="str">
        <f t="shared" si="26"/>
        <v/>
      </c>
      <c r="BK54" s="6625" t="str">
        <f t="shared" si="27"/>
        <v/>
      </c>
      <c r="BL54" s="6625" t="str">
        <f t="shared" si="28"/>
        <v/>
      </c>
      <c r="BM54" s="6625" t="str">
        <f t="shared" si="29"/>
        <v/>
      </c>
      <c r="BN54" s="6625" t="str">
        <f t="shared" si="30"/>
        <v/>
      </c>
      <c r="BO54" s="6625" t="str">
        <f t="shared" si="31"/>
        <v/>
      </c>
      <c r="BP54" s="6625" t="str">
        <f t="shared" si="32"/>
        <v/>
      </c>
      <c r="BQ54" s="6625" t="str">
        <f t="shared" si="33"/>
        <v/>
      </c>
      <c r="BR54" s="6625" t="str">
        <f t="shared" si="34"/>
        <v/>
      </c>
      <c r="BS54" s="6625" t="str">
        <f t="shared" si="35"/>
        <v/>
      </c>
      <c r="BT54" s="6625" t="str">
        <f t="shared" si="36"/>
        <v/>
      </c>
      <c r="BU54" s="6625" t="str">
        <f t="shared" si="37"/>
        <v/>
      </c>
      <c r="BV54" s="6625" t="str">
        <f t="shared" si="38"/>
        <v/>
      </c>
      <c r="BW54" s="6625" t="str">
        <f t="shared" si="39"/>
        <v/>
      </c>
      <c r="BX54" s="6625" t="str">
        <f t="shared" si="40"/>
        <v/>
      </c>
      <c r="CA54" s="3170" t="s">
        <v>16412</v>
      </c>
      <c r="CB54" s="7634" t="s">
        <v>16255</v>
      </c>
      <c r="CC54" s="3170" t="s">
        <v>16439</v>
      </c>
      <c r="CD54" s="3170" t="s">
        <v>16440</v>
      </c>
    </row>
    <row r="55" spans="2:82" ht="30" customHeight="1">
      <c r="B55" s="7661" t="str">
        <f t="shared" si="0"/>
        <v/>
      </c>
      <c r="C55" s="7661" t="str">
        <f t="shared" si="1"/>
        <v/>
      </c>
      <c r="D55" s="7661" t="str">
        <f t="shared" si="2"/>
        <v/>
      </c>
      <c r="E55" s="7661">
        <f>IF(H54&lt;&gt;"",E54,IF(E54="","",IFERROR(MATCH(TRUE(),INDEX(INDEX($K:$K,E54+1):$K$203&lt;&gt;"",0),0)+E54,"")))</f>
        <v>230</v>
      </c>
      <c r="F55" s="7661">
        <f t="shared" si="41"/>
        <v>0</v>
      </c>
      <c r="G55" s="7661" t="str">
        <f t="shared" si="3"/>
        <v>0</v>
      </c>
      <c r="H55" s="7672" t="str">
        <f t="shared" si="4"/>
        <v/>
      </c>
      <c r="I55" s="7683" t="str">
        <f t="shared" si="5"/>
        <v/>
      </c>
      <c r="J55" s="7673" t="str">
        <f>IF(K55="","",COUNTIF($K$18:K55,"&lt;&gt;"))</f>
        <v/>
      </c>
      <c r="K55" s="7674"/>
      <c r="L55" s="7673" t="str">
        <f t="shared" si="6"/>
        <v/>
      </c>
      <c r="M55" s="7630">
        <f t="shared" si="7"/>
        <v>1</v>
      </c>
      <c r="N55" s="7675">
        <f t="shared" si="8"/>
        <v>38</v>
      </c>
      <c r="O55" s="7676" t="str">
        <f t="shared" si="9"/>
        <v>0</v>
      </c>
      <c r="P55" s="7675">
        <f t="shared" si="10"/>
        <v>1</v>
      </c>
      <c r="Q55" s="7675">
        <f t="shared" si="11"/>
        <v>1</v>
      </c>
      <c r="S55" s="7679" t="str">
        <f t="shared" si="42"/>
        <v>0</v>
      </c>
      <c r="T55" s="7680" t="str">
        <f t="shared" si="12"/>
        <v/>
      </c>
      <c r="V55" s="7677">
        <f t="shared" si="13"/>
        <v>55</v>
      </c>
      <c r="W55" s="7678" t="str">
        <f t="shared" si="43"/>
        <v>0</v>
      </c>
      <c r="X55" s="7677" t="s">
        <v>2</v>
      </c>
      <c r="Y55" s="7702" t="str">
        <f t="shared" si="14"/>
        <v>0</v>
      </c>
      <c r="Z55" s="7703" t="str">
        <f t="shared" si="15"/>
        <v/>
      </c>
      <c r="AA55" s="7681" t="str">
        <f t="shared" si="16"/>
        <v>0</v>
      </c>
      <c r="AB55" s="7682" t="str">
        <f t="shared" si="17"/>
        <v/>
      </c>
      <c r="AC55" s="7677">
        <f t="shared" si="18"/>
        <v>0</v>
      </c>
      <c r="AD55" s="7677">
        <f t="shared" si="19"/>
        <v>0</v>
      </c>
      <c r="AE55" s="7682" t="str">
        <f t="shared" si="20"/>
        <v>aucun match</v>
      </c>
      <c r="AF55" s="6625" t="str">
        <f t="shared" si="21"/>
        <v>0</v>
      </c>
      <c r="AG55" s="6625" t="str">
        <f t="shared" si="22"/>
        <v>0</v>
      </c>
      <c r="AH55" s="6625" t="str">
        <f t="shared" si="23"/>
        <v>0</v>
      </c>
      <c r="AI55" s="6625" t="str">
        <f t="shared" si="24"/>
        <v xml:space="preserve"> 0 </v>
      </c>
      <c r="AJ55" s="6625" cm="1">
        <f t="array" ref="AJ55">IF(W55="",0,SUMPRODUCT((CA4:CA795="Gluten")*(CB4:CB795="INFO")*(COUNTIF(AI55,"*"&amp;CC4:CC795&amp;"*")&gt;0)*1))</f>
        <v>0</v>
      </c>
      <c r="AK55" s="6625" cm="1">
        <f t="array" ref="AK55">IF(W55="",0,SUMPRODUCT((CA4:CA795="Gluten")*(CB4:CB795="EXCL")*(COUNTIF(AI55,"*"&amp;CC4:CC795&amp;"*")&gt;0)*1))</f>
        <v>0</v>
      </c>
      <c r="AL55" s="6625" cm="1">
        <f t="array" ref="AL55">IF(W55="",0,SUMPRODUCT((CA4:CA795="Gluten")*(CB4:CB795="ALERTE")*(COUNTIF(AI55,"*"&amp;CC4:CC795&amp;"*")&gt;0)*1))</f>
        <v>0</v>
      </c>
      <c r="AM55" s="6625" cm="1">
        <f t="array" ref="AM55">IF(W55="",0,SUMPRODUCT((CA4:CA795="Gluten")*(CB4:CB795="SUSP")*(COUNTIF(AI55,"*"&amp;CC4:CC795&amp;"*")&gt;0)*1))</f>
        <v>0</v>
      </c>
      <c r="AN55" s="6625" cm="1">
        <f t="array" ref="AN55">IF(W55="",0,SUMPRODUCT((CA4:CA795="Crustaces")*(CB4:CB795="ALERTE")*(COUNTIF(AI55,"*"&amp;CC4:CC795&amp;"*")&gt;0)*1))</f>
        <v>0</v>
      </c>
      <c r="AO55" s="6625" cm="1">
        <f t="array" ref="AO55">IF(W55="",0,SUMPRODUCT((CA4:CA795="Oeufs")*(CB4:CB795="ALERTE")*(COUNTIF(AI55,"*"&amp;CC4:CC795&amp;"*")&gt;0)*1))</f>
        <v>0</v>
      </c>
      <c r="AP55" s="6625" cm="1">
        <f t="array" ref="AP55">IF(W55="",0,SUMPRODUCT((CA4:CA795="Poissons")*(CB4:CB795="INFO")*(COUNTIF(AI55,"*"&amp;CC4:CC795&amp;"*")&gt;0)*1))</f>
        <v>0</v>
      </c>
      <c r="AQ55" s="6625" cm="1">
        <f t="array" ref="AQ55">IF(W55="",0,SUMPRODUCT((CA4:CA795="Poissons")*(CB4:CB795="EXCL")*(COUNTIF(AI55,"*"&amp;CC4:CC795&amp;"*")&gt;0)*1))</f>
        <v>0</v>
      </c>
      <c r="AR55" s="6625" cm="1">
        <f t="array" ref="AR55">IF(W55="",0,SUMPRODUCT((CA4:CA795="Poissons")*(CB4:CB795="ALERTE")*(COUNTIF(AI55,"*"&amp;CC4:CC795&amp;"*")&gt;0)*1))</f>
        <v>0</v>
      </c>
      <c r="AS55" s="6625" cm="1">
        <f t="array" ref="AS55">IF(W55="",0,SUMPRODUCT((CA4:CA795="Arachides")*(CB4:CB795="ALERTE")*(COUNTIF(AI55,"*"&amp;CC4:CC795&amp;"*")&gt;0)*1))</f>
        <v>0</v>
      </c>
      <c r="AT55" s="6625" cm="1">
        <f t="array" ref="AT55">IF(W55="",0,SUMPRODUCT((CA4:CA795="Soja")*(CB4:CB795="INFO")*(COUNTIF(AI55,"*"&amp;CC4:CC795&amp;"*")&gt;0)*1))</f>
        <v>0</v>
      </c>
      <c r="AU55" s="6625" cm="1">
        <f t="array" ref="AU55">IF(W55="",0,SUMPRODUCT((CA4:CA795="Soja")*(CB4:CB795="ALERTE")*(COUNTIF(AI55,"*"&amp;CC4:CC795&amp;"*")&gt;0)*1))</f>
        <v>0</v>
      </c>
      <c r="AV55" s="6625" cm="1">
        <f t="array" ref="AV55">IF(W55="",0,SUMPRODUCT((CA4:CA795="Lait")*(CB4:CB795="INFO")*(COUNTIF(AI55,"*"&amp;CC4:CC795&amp;"*")&gt;0)*1))</f>
        <v>0</v>
      </c>
      <c r="AW55" s="6625" cm="1">
        <f t="array" ref="AW55">IF(W55="",0,SUMPRODUCT((CA4:CA795="Lait")*(CB4:CB795="EXCL")*(COUNTIF(AI55,"*"&amp;CC4:CC795&amp;"*")&gt;0)*1))</f>
        <v>0</v>
      </c>
      <c r="AX55" s="6625" cm="1">
        <f t="array" ref="AX55">IF(W55="",0,SUMPRODUCT((CA4:CA795="Lait")*(CB4:CB795="ALERTE")*(COUNTIF(AI55,"*"&amp;CC4:CC795&amp;"*")&gt;0)*1))</f>
        <v>0</v>
      </c>
      <c r="AY55" s="6625" cm="1">
        <f t="array" ref="AY55">IF(W55="",0,SUMPRODUCT((CA4:CA795="Lait")*(CB4:CB795="SUSP")*(COUNTIF(AI55,"*"&amp;CC4:CC795&amp;"*")&gt;0)*1))</f>
        <v>0</v>
      </c>
      <c r="AZ55" s="6625" cm="1">
        <f t="array" ref="AZ55">IF(W55="",0,SUMPRODUCT((CA4:CA795="Fruits a coque")*(CB4:CB795="EXCL")*(COUNTIF(AI55,"*"&amp;CC4:CC795&amp;"*")&gt;0)*1))</f>
        <v>0</v>
      </c>
      <c r="BA55" s="6625" cm="1">
        <f t="array" ref="BA55">IF(W55="",0,SUMPRODUCT((CA4:CA795="Fruits a coque")*(CB4:CB795="ALERTE")*(COUNTIF(AI55,"*"&amp;CC4:CC795&amp;"*")&gt;0)*1))</f>
        <v>0</v>
      </c>
      <c r="BB55" s="6625" cm="1">
        <f t="array" ref="BB55">IF(W55="",0,SUMPRODUCT((CA4:CA795="Celeri")*(CB4:CB795="ALERTE")*(COUNTIF(AI55,"*"&amp;CC4:CC795&amp;"*")&gt;0)*1))</f>
        <v>0</v>
      </c>
      <c r="BC55" s="6625" cm="1">
        <f t="array" ref="BC55">IF(W55="",0,SUMPRODUCT((CA4:CA795="Moutarde")*(CB4:CB795="ALERTE")*(COUNTIF(AI55,"*"&amp;CC4:CC795&amp;"*")&gt;0)*1))</f>
        <v>0</v>
      </c>
      <c r="BD55" s="6625" cm="1">
        <f t="array" ref="BD55">IF(W55="",0,SUMPRODUCT((CA4:CA795="Sesame")*(CB4:CB795="ALERTE")*(COUNTIF(AI55,"*"&amp;CC4:CC795&amp;"*")&gt;0)*1))</f>
        <v>0</v>
      </c>
      <c r="BE55" s="6625" cm="1">
        <f t="array" ref="BE55">IF(W55="",0,SUMPRODUCT((CA4:CA795="Sulfites")*(CB4:CB795="ALERTE")*(COUNTIF(AI55,"*"&amp;CC4:CC795&amp;"*")&gt;0)*1))</f>
        <v>0</v>
      </c>
      <c r="BF55" s="6625" cm="1">
        <f t="array" ref="BF55">IF(W55="",0,SUMPRODUCT((CA4:CA795="Lupin")*(CB4:CB795="ALERTE")*(COUNTIF(AI55,"*"&amp;CC4:CC795&amp;"*")&gt;0)*1))</f>
        <v>0</v>
      </c>
      <c r="BG55" s="6625" cm="1">
        <f t="array" ref="BG55">IF(W55="",0,SUMPRODUCT((CA4:CA795="Mollusques")*(CB4:CB795="EXCL")*(COUNTIF(AI55,"*"&amp;CC4:CC795&amp;"*")&gt;0)*1))</f>
        <v>0</v>
      </c>
      <c r="BH55" s="6625" cm="1">
        <f t="array" ref="BH55">IF(W55="",0,SUMPRODUCT((CA4:CA795="Mollusques")*(CB4:CB795="ALERTE")*(COUNTIF(AI55,"*"&amp;CC4:CC795&amp;"*")&gt;0)*1))</f>
        <v>0</v>
      </c>
      <c r="BI55" s="6625" t="str">
        <f t="shared" si="25"/>
        <v/>
      </c>
      <c r="BJ55" s="6625" t="str">
        <f t="shared" si="26"/>
        <v/>
      </c>
      <c r="BK55" s="6625" t="str">
        <f t="shared" si="27"/>
        <v/>
      </c>
      <c r="BL55" s="6625" t="str">
        <f t="shared" si="28"/>
        <v/>
      </c>
      <c r="BM55" s="6625" t="str">
        <f t="shared" si="29"/>
        <v/>
      </c>
      <c r="BN55" s="6625" t="str">
        <f t="shared" si="30"/>
        <v/>
      </c>
      <c r="BO55" s="6625" t="str">
        <f t="shared" si="31"/>
        <v/>
      </c>
      <c r="BP55" s="6625" t="str">
        <f t="shared" si="32"/>
        <v/>
      </c>
      <c r="BQ55" s="6625" t="str">
        <f t="shared" si="33"/>
        <v/>
      </c>
      <c r="BR55" s="6625" t="str">
        <f t="shared" si="34"/>
        <v/>
      </c>
      <c r="BS55" s="6625" t="str">
        <f t="shared" si="35"/>
        <v/>
      </c>
      <c r="BT55" s="6625" t="str">
        <f t="shared" si="36"/>
        <v/>
      </c>
      <c r="BU55" s="6625" t="str">
        <f t="shared" si="37"/>
        <v/>
      </c>
      <c r="BV55" s="6625" t="str">
        <f t="shared" si="38"/>
        <v/>
      </c>
      <c r="BW55" s="6625" t="str">
        <f t="shared" si="39"/>
        <v/>
      </c>
      <c r="BX55" s="6625" t="str">
        <f t="shared" si="40"/>
        <v/>
      </c>
      <c r="CA55" s="3170" t="s">
        <v>16412</v>
      </c>
      <c r="CB55" s="7634" t="s">
        <v>16255</v>
      </c>
      <c r="CC55" s="3170" t="s">
        <v>16441</v>
      </c>
      <c r="CD55" s="3170" t="s">
        <v>16442</v>
      </c>
    </row>
    <row r="56" spans="2:82" ht="30" customHeight="1">
      <c r="B56" s="7661" t="str">
        <f t="shared" si="0"/>
        <v/>
      </c>
      <c r="C56" s="7661" t="str">
        <f t="shared" si="1"/>
        <v/>
      </c>
      <c r="D56" s="7661" t="str">
        <f t="shared" si="2"/>
        <v/>
      </c>
      <c r="E56" s="7661">
        <f>IF(H55&lt;&gt;"",E55,IF(E55="","",IFERROR(MATCH(TRUE(),INDEX(INDEX($K:$K,E55+1):$K$203&lt;&gt;"",0),0)+E55,"")))</f>
        <v>231</v>
      </c>
      <c r="F56" s="7661">
        <f t="shared" si="41"/>
        <v>0</v>
      </c>
      <c r="G56" s="7661" t="str">
        <f t="shared" si="3"/>
        <v>0</v>
      </c>
      <c r="H56" s="7672" t="str">
        <f t="shared" si="4"/>
        <v/>
      </c>
      <c r="I56" s="7683" t="str">
        <f t="shared" si="5"/>
        <v/>
      </c>
      <c r="J56" s="7673" t="str">
        <f>IF(K56="","",COUNTIF($K$18:K56,"&lt;&gt;"))</f>
        <v/>
      </c>
      <c r="K56" s="7674"/>
      <c r="L56" s="7673" t="str">
        <f t="shared" si="6"/>
        <v/>
      </c>
      <c r="M56" s="7630">
        <f t="shared" si="7"/>
        <v>1</v>
      </c>
      <c r="N56" s="7675">
        <f t="shared" si="8"/>
        <v>39</v>
      </c>
      <c r="O56" s="7676" t="str">
        <f t="shared" si="9"/>
        <v>0</v>
      </c>
      <c r="P56" s="7675">
        <f t="shared" si="10"/>
        <v>1</v>
      </c>
      <c r="Q56" s="7675">
        <f t="shared" si="11"/>
        <v>1</v>
      </c>
      <c r="S56" s="7679" t="str">
        <f t="shared" si="42"/>
        <v>0</v>
      </c>
      <c r="T56" s="7680" t="str">
        <f t="shared" si="12"/>
        <v/>
      </c>
      <c r="V56" s="7677">
        <f t="shared" si="13"/>
        <v>56</v>
      </c>
      <c r="W56" s="7678" t="str">
        <f t="shared" si="43"/>
        <v>0</v>
      </c>
      <c r="X56" s="7677" t="s">
        <v>2</v>
      </c>
      <c r="Y56" s="7702" t="str">
        <f t="shared" si="14"/>
        <v>0</v>
      </c>
      <c r="Z56" s="7703" t="str">
        <f t="shared" si="15"/>
        <v/>
      </c>
      <c r="AA56" s="7681" t="str">
        <f t="shared" si="16"/>
        <v>0</v>
      </c>
      <c r="AB56" s="7682" t="str">
        <f t="shared" si="17"/>
        <v/>
      </c>
      <c r="AC56" s="7677">
        <f t="shared" si="18"/>
        <v>0</v>
      </c>
      <c r="AD56" s="7677">
        <f t="shared" si="19"/>
        <v>0</v>
      </c>
      <c r="AE56" s="7682" t="str">
        <f t="shared" si="20"/>
        <v>aucun match</v>
      </c>
      <c r="AF56" s="6625" t="str">
        <f t="shared" si="21"/>
        <v>0</v>
      </c>
      <c r="AG56" s="6625" t="str">
        <f t="shared" si="22"/>
        <v>0</v>
      </c>
      <c r="AH56" s="6625" t="str">
        <f t="shared" si="23"/>
        <v>0</v>
      </c>
      <c r="AI56" s="6625" t="str">
        <f t="shared" si="24"/>
        <v xml:space="preserve"> 0 </v>
      </c>
      <c r="AJ56" s="6625" cm="1">
        <f t="array" ref="AJ56">IF(W56="",0,SUMPRODUCT((CA4:CA795="Gluten")*(CB4:CB795="INFO")*(COUNTIF(AI56,"*"&amp;CC4:CC795&amp;"*")&gt;0)*1))</f>
        <v>0</v>
      </c>
      <c r="AK56" s="6625" cm="1">
        <f t="array" ref="AK56">IF(W56="",0,SUMPRODUCT((CA4:CA795="Gluten")*(CB4:CB795="EXCL")*(COUNTIF(AI56,"*"&amp;CC4:CC795&amp;"*")&gt;0)*1))</f>
        <v>0</v>
      </c>
      <c r="AL56" s="6625" cm="1">
        <f t="array" ref="AL56">IF(W56="",0,SUMPRODUCT((CA4:CA795="Gluten")*(CB4:CB795="ALERTE")*(COUNTIF(AI56,"*"&amp;CC4:CC795&amp;"*")&gt;0)*1))</f>
        <v>0</v>
      </c>
      <c r="AM56" s="6625" cm="1">
        <f t="array" ref="AM56">IF(W56="",0,SUMPRODUCT((CA4:CA795="Gluten")*(CB4:CB795="SUSP")*(COUNTIF(AI56,"*"&amp;CC4:CC795&amp;"*")&gt;0)*1))</f>
        <v>0</v>
      </c>
      <c r="AN56" s="6625" cm="1">
        <f t="array" ref="AN56">IF(W56="",0,SUMPRODUCT((CA4:CA795="Crustaces")*(CB4:CB795="ALERTE")*(COUNTIF(AI56,"*"&amp;CC4:CC795&amp;"*")&gt;0)*1))</f>
        <v>0</v>
      </c>
      <c r="AO56" s="6625" cm="1">
        <f t="array" ref="AO56">IF(W56="",0,SUMPRODUCT((CA4:CA795="Oeufs")*(CB4:CB795="ALERTE")*(COUNTIF(AI56,"*"&amp;CC4:CC795&amp;"*")&gt;0)*1))</f>
        <v>0</v>
      </c>
      <c r="AP56" s="6625" cm="1">
        <f t="array" ref="AP56">IF(W56="",0,SUMPRODUCT((CA4:CA795="Poissons")*(CB4:CB795="INFO")*(COUNTIF(AI56,"*"&amp;CC4:CC795&amp;"*")&gt;0)*1))</f>
        <v>0</v>
      </c>
      <c r="AQ56" s="6625" cm="1">
        <f t="array" ref="AQ56">IF(W56="",0,SUMPRODUCT((CA4:CA795="Poissons")*(CB4:CB795="EXCL")*(COUNTIF(AI56,"*"&amp;CC4:CC795&amp;"*")&gt;0)*1))</f>
        <v>0</v>
      </c>
      <c r="AR56" s="6625" cm="1">
        <f t="array" ref="AR56">IF(W56="",0,SUMPRODUCT((CA4:CA795="Poissons")*(CB4:CB795="ALERTE")*(COUNTIF(AI56,"*"&amp;CC4:CC795&amp;"*")&gt;0)*1))</f>
        <v>0</v>
      </c>
      <c r="AS56" s="6625" cm="1">
        <f t="array" ref="AS56">IF(W56="",0,SUMPRODUCT((CA4:CA795="Arachides")*(CB4:CB795="ALERTE")*(COUNTIF(AI56,"*"&amp;CC4:CC795&amp;"*")&gt;0)*1))</f>
        <v>0</v>
      </c>
      <c r="AT56" s="6625" cm="1">
        <f t="array" ref="AT56">IF(W56="",0,SUMPRODUCT((CA4:CA795="Soja")*(CB4:CB795="INFO")*(COUNTIF(AI56,"*"&amp;CC4:CC795&amp;"*")&gt;0)*1))</f>
        <v>0</v>
      </c>
      <c r="AU56" s="6625" cm="1">
        <f t="array" ref="AU56">IF(W56="",0,SUMPRODUCT((CA4:CA795="Soja")*(CB4:CB795="ALERTE")*(COUNTIF(AI56,"*"&amp;CC4:CC795&amp;"*")&gt;0)*1))</f>
        <v>0</v>
      </c>
      <c r="AV56" s="6625" cm="1">
        <f t="array" ref="AV56">IF(W56="",0,SUMPRODUCT((CA4:CA795="Lait")*(CB4:CB795="INFO")*(COUNTIF(AI56,"*"&amp;CC4:CC795&amp;"*")&gt;0)*1))</f>
        <v>0</v>
      </c>
      <c r="AW56" s="6625" cm="1">
        <f t="array" ref="AW56">IF(W56="",0,SUMPRODUCT((CA4:CA795="Lait")*(CB4:CB795="EXCL")*(COUNTIF(AI56,"*"&amp;CC4:CC795&amp;"*")&gt;0)*1))</f>
        <v>0</v>
      </c>
      <c r="AX56" s="6625" cm="1">
        <f t="array" ref="AX56">IF(W56="",0,SUMPRODUCT((CA4:CA795="Lait")*(CB4:CB795="ALERTE")*(COUNTIF(AI56,"*"&amp;CC4:CC795&amp;"*")&gt;0)*1))</f>
        <v>0</v>
      </c>
      <c r="AY56" s="6625" cm="1">
        <f t="array" ref="AY56">IF(W56="",0,SUMPRODUCT((CA4:CA795="Lait")*(CB4:CB795="SUSP")*(COUNTIF(AI56,"*"&amp;CC4:CC795&amp;"*")&gt;0)*1))</f>
        <v>0</v>
      </c>
      <c r="AZ56" s="6625" cm="1">
        <f t="array" ref="AZ56">IF(W56="",0,SUMPRODUCT((CA4:CA795="Fruits a coque")*(CB4:CB795="EXCL")*(COUNTIF(AI56,"*"&amp;CC4:CC795&amp;"*")&gt;0)*1))</f>
        <v>0</v>
      </c>
      <c r="BA56" s="6625" cm="1">
        <f t="array" ref="BA56">IF(W56="",0,SUMPRODUCT((CA4:CA795="Fruits a coque")*(CB4:CB795="ALERTE")*(COUNTIF(AI56,"*"&amp;CC4:CC795&amp;"*")&gt;0)*1))</f>
        <v>0</v>
      </c>
      <c r="BB56" s="6625" cm="1">
        <f t="array" ref="BB56">IF(W56="",0,SUMPRODUCT((CA4:CA795="Celeri")*(CB4:CB795="ALERTE")*(COUNTIF(AI56,"*"&amp;CC4:CC795&amp;"*")&gt;0)*1))</f>
        <v>0</v>
      </c>
      <c r="BC56" s="6625" cm="1">
        <f t="array" ref="BC56">IF(W56="",0,SUMPRODUCT((CA4:CA795="Moutarde")*(CB4:CB795="ALERTE")*(COUNTIF(AI56,"*"&amp;CC4:CC795&amp;"*")&gt;0)*1))</f>
        <v>0</v>
      </c>
      <c r="BD56" s="6625" cm="1">
        <f t="array" ref="BD56">IF(W56="",0,SUMPRODUCT((CA4:CA795="Sesame")*(CB4:CB795="ALERTE")*(COUNTIF(AI56,"*"&amp;CC4:CC795&amp;"*")&gt;0)*1))</f>
        <v>0</v>
      </c>
      <c r="BE56" s="6625" cm="1">
        <f t="array" ref="BE56">IF(W56="",0,SUMPRODUCT((CA4:CA795="Sulfites")*(CB4:CB795="ALERTE")*(COUNTIF(AI56,"*"&amp;CC4:CC795&amp;"*")&gt;0)*1))</f>
        <v>0</v>
      </c>
      <c r="BF56" s="6625" cm="1">
        <f t="array" ref="BF56">IF(W56="",0,SUMPRODUCT((CA4:CA795="Lupin")*(CB4:CB795="ALERTE")*(COUNTIF(AI56,"*"&amp;CC4:CC795&amp;"*")&gt;0)*1))</f>
        <v>0</v>
      </c>
      <c r="BG56" s="6625" cm="1">
        <f t="array" ref="BG56">IF(W56="",0,SUMPRODUCT((CA4:CA795="Mollusques")*(CB4:CB795="EXCL")*(COUNTIF(AI56,"*"&amp;CC4:CC795&amp;"*")&gt;0)*1))</f>
        <v>0</v>
      </c>
      <c r="BH56" s="6625" cm="1">
        <f t="array" ref="BH56">IF(W56="",0,SUMPRODUCT((CA4:CA795="Mollusques")*(CB4:CB795="ALERTE")*(COUNTIF(AI56,"*"&amp;CC4:CC795&amp;"*")&gt;0)*1))</f>
        <v>0</v>
      </c>
      <c r="BI56" s="6625" t="str">
        <f t="shared" si="25"/>
        <v/>
      </c>
      <c r="BJ56" s="6625" t="str">
        <f t="shared" si="26"/>
        <v/>
      </c>
      <c r="BK56" s="6625" t="str">
        <f t="shared" si="27"/>
        <v/>
      </c>
      <c r="BL56" s="6625" t="str">
        <f t="shared" si="28"/>
        <v/>
      </c>
      <c r="BM56" s="6625" t="str">
        <f t="shared" si="29"/>
        <v/>
      </c>
      <c r="BN56" s="6625" t="str">
        <f t="shared" si="30"/>
        <v/>
      </c>
      <c r="BO56" s="6625" t="str">
        <f t="shared" si="31"/>
        <v/>
      </c>
      <c r="BP56" s="6625" t="str">
        <f t="shared" si="32"/>
        <v/>
      </c>
      <c r="BQ56" s="6625" t="str">
        <f t="shared" si="33"/>
        <v/>
      </c>
      <c r="BR56" s="6625" t="str">
        <f t="shared" si="34"/>
        <v/>
      </c>
      <c r="BS56" s="6625" t="str">
        <f t="shared" si="35"/>
        <v/>
      </c>
      <c r="BT56" s="6625" t="str">
        <f t="shared" si="36"/>
        <v/>
      </c>
      <c r="BU56" s="6625" t="str">
        <f t="shared" si="37"/>
        <v/>
      </c>
      <c r="BV56" s="6625" t="str">
        <f t="shared" si="38"/>
        <v/>
      </c>
      <c r="BW56" s="6625" t="str">
        <f t="shared" si="39"/>
        <v/>
      </c>
      <c r="BX56" s="6625" t="str">
        <f t="shared" si="40"/>
        <v/>
      </c>
      <c r="CA56" s="3170" t="s">
        <v>16412</v>
      </c>
      <c r="CB56" s="7634" t="s">
        <v>16255</v>
      </c>
      <c r="CC56" s="3170" t="s">
        <v>16443</v>
      </c>
      <c r="CD56" s="3170" t="s">
        <v>16444</v>
      </c>
    </row>
    <row r="57" spans="2:82" ht="30" customHeight="1">
      <c r="B57" s="7661" t="str">
        <f t="shared" si="0"/>
        <v/>
      </c>
      <c r="C57" s="7661" t="str">
        <f t="shared" si="1"/>
        <v/>
      </c>
      <c r="D57" s="7661" t="str">
        <f t="shared" si="2"/>
        <v/>
      </c>
      <c r="E57" s="7661">
        <f>IF(H56&lt;&gt;"",E56,IF(E56="","",IFERROR(MATCH(TRUE(),INDEX(INDEX($K:$K,E56+1):$K$203&lt;&gt;"",0),0)+E56,"")))</f>
        <v>232</v>
      </c>
      <c r="F57" s="7661">
        <f t="shared" si="41"/>
        <v>0</v>
      </c>
      <c r="G57" s="7661" t="str">
        <f t="shared" si="3"/>
        <v>0</v>
      </c>
      <c r="H57" s="7672" t="str">
        <f t="shared" si="4"/>
        <v/>
      </c>
      <c r="I57" s="7683" t="str">
        <f t="shared" si="5"/>
        <v/>
      </c>
      <c r="J57" s="7673" t="str">
        <f>IF(K57="","",COUNTIF($K$18:K57,"&lt;&gt;"))</f>
        <v/>
      </c>
      <c r="K57" s="7674"/>
      <c r="L57" s="7673" t="str">
        <f t="shared" si="6"/>
        <v/>
      </c>
      <c r="M57" s="7630">
        <f t="shared" si="7"/>
        <v>1</v>
      </c>
      <c r="N57" s="7675">
        <f t="shared" si="8"/>
        <v>40</v>
      </c>
      <c r="O57" s="7676" t="str">
        <f t="shared" si="9"/>
        <v>0</v>
      </c>
      <c r="P57" s="7675">
        <f t="shared" si="10"/>
        <v>1</v>
      </c>
      <c r="Q57" s="7675">
        <f t="shared" si="11"/>
        <v>1</v>
      </c>
      <c r="S57" s="7679" t="str">
        <f t="shared" si="42"/>
        <v>0</v>
      </c>
      <c r="T57" s="7680" t="str">
        <f t="shared" si="12"/>
        <v/>
      </c>
      <c r="V57" s="7677">
        <f t="shared" si="13"/>
        <v>57</v>
      </c>
      <c r="W57" s="7678" t="str">
        <f t="shared" si="43"/>
        <v>0</v>
      </c>
      <c r="X57" s="7677" t="s">
        <v>2</v>
      </c>
      <c r="Y57" s="7702" t="str">
        <f t="shared" si="14"/>
        <v>0</v>
      </c>
      <c r="Z57" s="7703" t="str">
        <f t="shared" si="15"/>
        <v/>
      </c>
      <c r="AA57" s="7681" t="str">
        <f t="shared" si="16"/>
        <v>0</v>
      </c>
      <c r="AB57" s="7682" t="str">
        <f t="shared" si="17"/>
        <v/>
      </c>
      <c r="AC57" s="7677">
        <f t="shared" si="18"/>
        <v>0</v>
      </c>
      <c r="AD57" s="7677">
        <f t="shared" si="19"/>
        <v>0</v>
      </c>
      <c r="AE57" s="7682" t="str">
        <f t="shared" si="20"/>
        <v>aucun match</v>
      </c>
      <c r="AF57" s="6625" t="str">
        <f t="shared" si="21"/>
        <v>0</v>
      </c>
      <c r="AG57" s="6625" t="str">
        <f t="shared" si="22"/>
        <v>0</v>
      </c>
      <c r="AH57" s="6625" t="str">
        <f t="shared" si="23"/>
        <v>0</v>
      </c>
      <c r="AI57" s="6625" t="str">
        <f t="shared" si="24"/>
        <v xml:space="preserve"> 0 </v>
      </c>
      <c r="AJ57" s="6625" cm="1">
        <f t="array" ref="AJ57">IF(W57="",0,SUMPRODUCT((CA4:CA795="Gluten")*(CB4:CB795="INFO")*(COUNTIF(AI57,"*"&amp;CC4:CC795&amp;"*")&gt;0)*1))</f>
        <v>0</v>
      </c>
      <c r="AK57" s="6625" cm="1">
        <f t="array" ref="AK57">IF(W57="",0,SUMPRODUCT((CA4:CA795="Gluten")*(CB4:CB795="EXCL")*(COUNTIF(AI57,"*"&amp;CC4:CC795&amp;"*")&gt;0)*1))</f>
        <v>0</v>
      </c>
      <c r="AL57" s="6625" cm="1">
        <f t="array" ref="AL57">IF(W57="",0,SUMPRODUCT((CA4:CA795="Gluten")*(CB4:CB795="ALERTE")*(COUNTIF(AI57,"*"&amp;CC4:CC795&amp;"*")&gt;0)*1))</f>
        <v>0</v>
      </c>
      <c r="AM57" s="6625" cm="1">
        <f t="array" ref="AM57">IF(W57="",0,SUMPRODUCT((CA4:CA795="Gluten")*(CB4:CB795="SUSP")*(COUNTIF(AI57,"*"&amp;CC4:CC795&amp;"*")&gt;0)*1))</f>
        <v>0</v>
      </c>
      <c r="AN57" s="6625" cm="1">
        <f t="array" ref="AN57">IF(W57="",0,SUMPRODUCT((CA4:CA795="Crustaces")*(CB4:CB795="ALERTE")*(COUNTIF(AI57,"*"&amp;CC4:CC795&amp;"*")&gt;0)*1))</f>
        <v>0</v>
      </c>
      <c r="AO57" s="6625" cm="1">
        <f t="array" ref="AO57">IF(W57="",0,SUMPRODUCT((CA4:CA795="Oeufs")*(CB4:CB795="ALERTE")*(COUNTIF(AI57,"*"&amp;CC4:CC795&amp;"*")&gt;0)*1))</f>
        <v>0</v>
      </c>
      <c r="AP57" s="6625" cm="1">
        <f t="array" ref="AP57">IF(W57="",0,SUMPRODUCT((CA4:CA795="Poissons")*(CB4:CB795="INFO")*(COUNTIF(AI57,"*"&amp;CC4:CC795&amp;"*")&gt;0)*1))</f>
        <v>0</v>
      </c>
      <c r="AQ57" s="6625" cm="1">
        <f t="array" ref="AQ57">IF(W57="",0,SUMPRODUCT((CA4:CA795="Poissons")*(CB4:CB795="EXCL")*(COUNTIF(AI57,"*"&amp;CC4:CC795&amp;"*")&gt;0)*1))</f>
        <v>0</v>
      </c>
      <c r="AR57" s="6625" cm="1">
        <f t="array" ref="AR57">IF(W57="",0,SUMPRODUCT((CA4:CA795="Poissons")*(CB4:CB795="ALERTE")*(COUNTIF(AI57,"*"&amp;CC4:CC795&amp;"*")&gt;0)*1))</f>
        <v>0</v>
      </c>
      <c r="AS57" s="6625" cm="1">
        <f t="array" ref="AS57">IF(W57="",0,SUMPRODUCT((CA4:CA795="Arachides")*(CB4:CB795="ALERTE")*(COUNTIF(AI57,"*"&amp;CC4:CC795&amp;"*")&gt;0)*1))</f>
        <v>0</v>
      </c>
      <c r="AT57" s="6625" cm="1">
        <f t="array" ref="AT57">IF(W57="",0,SUMPRODUCT((CA4:CA795="Soja")*(CB4:CB795="INFO")*(COUNTIF(AI57,"*"&amp;CC4:CC795&amp;"*")&gt;0)*1))</f>
        <v>0</v>
      </c>
      <c r="AU57" s="6625" cm="1">
        <f t="array" ref="AU57">IF(W57="",0,SUMPRODUCT((CA4:CA795="Soja")*(CB4:CB795="ALERTE")*(COUNTIF(AI57,"*"&amp;CC4:CC795&amp;"*")&gt;0)*1))</f>
        <v>0</v>
      </c>
      <c r="AV57" s="6625" cm="1">
        <f t="array" ref="AV57">IF(W57="",0,SUMPRODUCT((CA4:CA795="Lait")*(CB4:CB795="INFO")*(COUNTIF(AI57,"*"&amp;CC4:CC795&amp;"*")&gt;0)*1))</f>
        <v>0</v>
      </c>
      <c r="AW57" s="6625" cm="1">
        <f t="array" ref="AW57">IF(W57="",0,SUMPRODUCT((CA4:CA795="Lait")*(CB4:CB795="EXCL")*(COUNTIF(AI57,"*"&amp;CC4:CC795&amp;"*")&gt;0)*1))</f>
        <v>0</v>
      </c>
      <c r="AX57" s="6625" cm="1">
        <f t="array" ref="AX57">IF(W57="",0,SUMPRODUCT((CA4:CA795="Lait")*(CB4:CB795="ALERTE")*(COUNTIF(AI57,"*"&amp;CC4:CC795&amp;"*")&gt;0)*1))</f>
        <v>0</v>
      </c>
      <c r="AY57" s="6625" cm="1">
        <f t="array" ref="AY57">IF(W57="",0,SUMPRODUCT((CA4:CA795="Lait")*(CB4:CB795="SUSP")*(COUNTIF(AI57,"*"&amp;CC4:CC795&amp;"*")&gt;0)*1))</f>
        <v>0</v>
      </c>
      <c r="AZ57" s="6625" cm="1">
        <f t="array" ref="AZ57">IF(W57="",0,SUMPRODUCT((CA4:CA795="Fruits a coque")*(CB4:CB795="EXCL")*(COUNTIF(AI57,"*"&amp;CC4:CC795&amp;"*")&gt;0)*1))</f>
        <v>0</v>
      </c>
      <c r="BA57" s="6625" cm="1">
        <f t="array" ref="BA57">IF(W57="",0,SUMPRODUCT((CA4:CA795="Fruits a coque")*(CB4:CB795="ALERTE")*(COUNTIF(AI57,"*"&amp;CC4:CC795&amp;"*")&gt;0)*1))</f>
        <v>0</v>
      </c>
      <c r="BB57" s="6625" cm="1">
        <f t="array" ref="BB57">IF(W57="",0,SUMPRODUCT((CA4:CA795="Celeri")*(CB4:CB795="ALERTE")*(COUNTIF(AI57,"*"&amp;CC4:CC795&amp;"*")&gt;0)*1))</f>
        <v>0</v>
      </c>
      <c r="BC57" s="6625" cm="1">
        <f t="array" ref="BC57">IF(W57="",0,SUMPRODUCT((CA4:CA795="Moutarde")*(CB4:CB795="ALERTE")*(COUNTIF(AI57,"*"&amp;CC4:CC795&amp;"*")&gt;0)*1))</f>
        <v>0</v>
      </c>
      <c r="BD57" s="6625" cm="1">
        <f t="array" ref="BD57">IF(W57="",0,SUMPRODUCT((CA4:CA795="Sesame")*(CB4:CB795="ALERTE")*(COUNTIF(AI57,"*"&amp;CC4:CC795&amp;"*")&gt;0)*1))</f>
        <v>0</v>
      </c>
      <c r="BE57" s="6625" cm="1">
        <f t="array" ref="BE57">IF(W57="",0,SUMPRODUCT((CA4:CA795="Sulfites")*(CB4:CB795="ALERTE")*(COUNTIF(AI57,"*"&amp;CC4:CC795&amp;"*")&gt;0)*1))</f>
        <v>0</v>
      </c>
      <c r="BF57" s="6625" cm="1">
        <f t="array" ref="BF57">IF(W57="",0,SUMPRODUCT((CA4:CA795="Lupin")*(CB4:CB795="ALERTE")*(COUNTIF(AI57,"*"&amp;CC4:CC795&amp;"*")&gt;0)*1))</f>
        <v>0</v>
      </c>
      <c r="BG57" s="6625" cm="1">
        <f t="array" ref="BG57">IF(W57="",0,SUMPRODUCT((CA4:CA795="Mollusques")*(CB4:CB795="EXCL")*(COUNTIF(AI57,"*"&amp;CC4:CC795&amp;"*")&gt;0)*1))</f>
        <v>0</v>
      </c>
      <c r="BH57" s="6625" cm="1">
        <f t="array" ref="BH57">IF(W57="",0,SUMPRODUCT((CA4:CA795="Mollusques")*(CB4:CB795="ALERTE")*(COUNTIF(AI57,"*"&amp;CC4:CC795&amp;"*")&gt;0)*1))</f>
        <v>0</v>
      </c>
      <c r="BI57" s="6625" t="str">
        <f t="shared" si="25"/>
        <v/>
      </c>
      <c r="BJ57" s="6625" t="str">
        <f t="shared" si="26"/>
        <v/>
      </c>
      <c r="BK57" s="6625" t="str">
        <f t="shared" si="27"/>
        <v/>
      </c>
      <c r="BL57" s="6625" t="str">
        <f t="shared" si="28"/>
        <v/>
      </c>
      <c r="BM57" s="6625" t="str">
        <f t="shared" si="29"/>
        <v/>
      </c>
      <c r="BN57" s="6625" t="str">
        <f t="shared" si="30"/>
        <v/>
      </c>
      <c r="BO57" s="6625" t="str">
        <f t="shared" si="31"/>
        <v/>
      </c>
      <c r="BP57" s="6625" t="str">
        <f t="shared" si="32"/>
        <v/>
      </c>
      <c r="BQ57" s="6625" t="str">
        <f t="shared" si="33"/>
        <v/>
      </c>
      <c r="BR57" s="6625" t="str">
        <f t="shared" si="34"/>
        <v/>
      </c>
      <c r="BS57" s="6625" t="str">
        <f t="shared" si="35"/>
        <v/>
      </c>
      <c r="BT57" s="6625" t="str">
        <f t="shared" si="36"/>
        <v/>
      </c>
      <c r="BU57" s="6625" t="str">
        <f t="shared" si="37"/>
        <v/>
      </c>
      <c r="BV57" s="6625" t="str">
        <f t="shared" si="38"/>
        <v/>
      </c>
      <c r="BW57" s="6625" t="str">
        <f t="shared" si="39"/>
        <v/>
      </c>
      <c r="BX57" s="6625" t="str">
        <f t="shared" si="40"/>
        <v/>
      </c>
      <c r="CA57" s="3170" t="s">
        <v>16412</v>
      </c>
      <c r="CB57" s="7634" t="s">
        <v>16255</v>
      </c>
      <c r="CC57" s="3170" t="s">
        <v>16445</v>
      </c>
      <c r="CD57" s="3170" t="s">
        <v>16446</v>
      </c>
    </row>
    <row r="58" spans="2:82" ht="30" customHeight="1">
      <c r="B58" s="7661" t="str">
        <f t="shared" si="0"/>
        <v/>
      </c>
      <c r="C58" s="7661" t="str">
        <f t="shared" si="1"/>
        <v/>
      </c>
      <c r="D58" s="7661" t="str">
        <f t="shared" si="2"/>
        <v/>
      </c>
      <c r="E58" s="7661">
        <f>IF(H57&lt;&gt;"",E57,IF(E57="","",IFERROR(MATCH(TRUE(),INDEX(INDEX($K:$K,E57+1):$K$203&lt;&gt;"",0),0)+E57,"")))</f>
        <v>233</v>
      </c>
      <c r="F58" s="7661">
        <f t="shared" si="41"/>
        <v>0</v>
      </c>
      <c r="G58" s="7661" t="str">
        <f t="shared" si="3"/>
        <v>0</v>
      </c>
      <c r="H58" s="7672" t="str">
        <f t="shared" si="4"/>
        <v/>
      </c>
      <c r="I58" s="7683" t="str">
        <f t="shared" si="5"/>
        <v/>
      </c>
      <c r="J58" s="7673" t="str">
        <f>IF(K58="","",COUNTIF($K$18:K58,"&lt;&gt;"))</f>
        <v/>
      </c>
      <c r="K58" s="7674"/>
      <c r="L58" s="7673" t="str">
        <f t="shared" si="6"/>
        <v/>
      </c>
      <c r="M58" s="7630">
        <f t="shared" si="7"/>
        <v>1</v>
      </c>
      <c r="N58" s="7675">
        <f t="shared" si="8"/>
        <v>41</v>
      </c>
      <c r="O58" s="7676" t="str">
        <f t="shared" si="9"/>
        <v>0</v>
      </c>
      <c r="P58" s="7675">
        <f t="shared" si="10"/>
        <v>1</v>
      </c>
      <c r="Q58" s="7675">
        <f t="shared" si="11"/>
        <v>1</v>
      </c>
      <c r="S58" s="7679" t="str">
        <f t="shared" si="42"/>
        <v>0</v>
      </c>
      <c r="T58" s="7680" t="str">
        <f t="shared" si="12"/>
        <v/>
      </c>
      <c r="V58" s="7677">
        <f t="shared" si="13"/>
        <v>58</v>
      </c>
      <c r="W58" s="7678" t="str">
        <f t="shared" si="43"/>
        <v>0</v>
      </c>
      <c r="X58" s="7677" t="s">
        <v>2</v>
      </c>
      <c r="Y58" s="7702" t="str">
        <f t="shared" si="14"/>
        <v>0</v>
      </c>
      <c r="Z58" s="7703" t="str">
        <f t="shared" si="15"/>
        <v/>
      </c>
      <c r="AA58" s="7681" t="str">
        <f t="shared" si="16"/>
        <v>0</v>
      </c>
      <c r="AB58" s="7682" t="str">
        <f t="shared" si="17"/>
        <v/>
      </c>
      <c r="AC58" s="7677">
        <f t="shared" si="18"/>
        <v>0</v>
      </c>
      <c r="AD58" s="7677">
        <f t="shared" si="19"/>
        <v>0</v>
      </c>
      <c r="AE58" s="7682" t="str">
        <f t="shared" si="20"/>
        <v>aucun match</v>
      </c>
      <c r="AF58" s="6625" t="str">
        <f t="shared" si="21"/>
        <v>0</v>
      </c>
      <c r="AG58" s="6625" t="str">
        <f t="shared" si="22"/>
        <v>0</v>
      </c>
      <c r="AH58" s="6625" t="str">
        <f t="shared" si="23"/>
        <v>0</v>
      </c>
      <c r="AI58" s="6625" t="str">
        <f t="shared" si="24"/>
        <v xml:space="preserve"> 0 </v>
      </c>
      <c r="AJ58" s="6625" cm="1">
        <f t="array" ref="AJ58">IF(W58="",0,SUMPRODUCT((CA4:CA795="Gluten")*(CB4:CB795="INFO")*(COUNTIF(AI58,"*"&amp;CC4:CC795&amp;"*")&gt;0)*1))</f>
        <v>0</v>
      </c>
      <c r="AK58" s="6625" cm="1">
        <f t="array" ref="AK58">IF(W58="",0,SUMPRODUCT((CA4:CA795="Gluten")*(CB4:CB795="EXCL")*(COUNTIF(AI58,"*"&amp;CC4:CC795&amp;"*")&gt;0)*1))</f>
        <v>0</v>
      </c>
      <c r="AL58" s="6625" cm="1">
        <f t="array" ref="AL58">IF(W58="",0,SUMPRODUCT((CA4:CA795="Gluten")*(CB4:CB795="ALERTE")*(COUNTIF(AI58,"*"&amp;CC4:CC795&amp;"*")&gt;0)*1))</f>
        <v>0</v>
      </c>
      <c r="AM58" s="6625" cm="1">
        <f t="array" ref="AM58">IF(W58="",0,SUMPRODUCT((CA4:CA795="Gluten")*(CB4:CB795="SUSP")*(COUNTIF(AI58,"*"&amp;CC4:CC795&amp;"*")&gt;0)*1))</f>
        <v>0</v>
      </c>
      <c r="AN58" s="6625" cm="1">
        <f t="array" ref="AN58">IF(W58="",0,SUMPRODUCT((CA4:CA795="Crustaces")*(CB4:CB795="ALERTE")*(COUNTIF(AI58,"*"&amp;CC4:CC795&amp;"*")&gt;0)*1))</f>
        <v>0</v>
      </c>
      <c r="AO58" s="6625" cm="1">
        <f t="array" ref="AO58">IF(W58="",0,SUMPRODUCT((CA4:CA795="Oeufs")*(CB4:CB795="ALERTE")*(COUNTIF(AI58,"*"&amp;CC4:CC795&amp;"*")&gt;0)*1))</f>
        <v>0</v>
      </c>
      <c r="AP58" s="6625" cm="1">
        <f t="array" ref="AP58">IF(W58="",0,SUMPRODUCT((CA4:CA795="Poissons")*(CB4:CB795="INFO")*(COUNTIF(AI58,"*"&amp;CC4:CC795&amp;"*")&gt;0)*1))</f>
        <v>0</v>
      </c>
      <c r="AQ58" s="6625" cm="1">
        <f t="array" ref="AQ58">IF(W58="",0,SUMPRODUCT((CA4:CA795="Poissons")*(CB4:CB795="EXCL")*(COUNTIF(AI58,"*"&amp;CC4:CC795&amp;"*")&gt;0)*1))</f>
        <v>0</v>
      </c>
      <c r="AR58" s="6625" cm="1">
        <f t="array" ref="AR58">IF(W58="",0,SUMPRODUCT((CA4:CA795="Poissons")*(CB4:CB795="ALERTE")*(COUNTIF(AI58,"*"&amp;CC4:CC795&amp;"*")&gt;0)*1))</f>
        <v>0</v>
      </c>
      <c r="AS58" s="6625" cm="1">
        <f t="array" ref="AS58">IF(W58="",0,SUMPRODUCT((CA4:CA795="Arachides")*(CB4:CB795="ALERTE")*(COUNTIF(AI58,"*"&amp;CC4:CC795&amp;"*")&gt;0)*1))</f>
        <v>0</v>
      </c>
      <c r="AT58" s="6625" cm="1">
        <f t="array" ref="AT58">IF(W58="",0,SUMPRODUCT((CA4:CA795="Soja")*(CB4:CB795="INFO")*(COUNTIF(AI58,"*"&amp;CC4:CC795&amp;"*")&gt;0)*1))</f>
        <v>0</v>
      </c>
      <c r="AU58" s="6625" cm="1">
        <f t="array" ref="AU58">IF(W58="",0,SUMPRODUCT((CA4:CA795="Soja")*(CB4:CB795="ALERTE")*(COUNTIF(AI58,"*"&amp;CC4:CC795&amp;"*")&gt;0)*1))</f>
        <v>0</v>
      </c>
      <c r="AV58" s="6625" cm="1">
        <f t="array" ref="AV58">IF(W58="",0,SUMPRODUCT((CA4:CA795="Lait")*(CB4:CB795="INFO")*(COUNTIF(AI58,"*"&amp;CC4:CC795&amp;"*")&gt;0)*1))</f>
        <v>0</v>
      </c>
      <c r="AW58" s="6625" cm="1">
        <f t="array" ref="AW58">IF(W58="",0,SUMPRODUCT((CA4:CA795="Lait")*(CB4:CB795="EXCL")*(COUNTIF(AI58,"*"&amp;CC4:CC795&amp;"*")&gt;0)*1))</f>
        <v>0</v>
      </c>
      <c r="AX58" s="6625" cm="1">
        <f t="array" ref="AX58">IF(W58="",0,SUMPRODUCT((CA4:CA795="Lait")*(CB4:CB795="ALERTE")*(COUNTIF(AI58,"*"&amp;CC4:CC795&amp;"*")&gt;0)*1))</f>
        <v>0</v>
      </c>
      <c r="AY58" s="6625" cm="1">
        <f t="array" ref="AY58">IF(W58="",0,SUMPRODUCT((CA4:CA795="Lait")*(CB4:CB795="SUSP")*(COUNTIF(AI58,"*"&amp;CC4:CC795&amp;"*")&gt;0)*1))</f>
        <v>0</v>
      </c>
      <c r="AZ58" s="6625" cm="1">
        <f t="array" ref="AZ58">IF(W58="",0,SUMPRODUCT((CA4:CA795="Fruits a coque")*(CB4:CB795="EXCL")*(COUNTIF(AI58,"*"&amp;CC4:CC795&amp;"*")&gt;0)*1))</f>
        <v>0</v>
      </c>
      <c r="BA58" s="6625" cm="1">
        <f t="array" ref="BA58">IF(W58="",0,SUMPRODUCT((CA4:CA795="Fruits a coque")*(CB4:CB795="ALERTE")*(COUNTIF(AI58,"*"&amp;CC4:CC795&amp;"*")&gt;0)*1))</f>
        <v>0</v>
      </c>
      <c r="BB58" s="6625" cm="1">
        <f t="array" ref="BB58">IF(W58="",0,SUMPRODUCT((CA4:CA795="Celeri")*(CB4:CB795="ALERTE")*(COUNTIF(AI58,"*"&amp;CC4:CC795&amp;"*")&gt;0)*1))</f>
        <v>0</v>
      </c>
      <c r="BC58" s="6625" cm="1">
        <f t="array" ref="BC58">IF(W58="",0,SUMPRODUCT((CA4:CA795="Moutarde")*(CB4:CB795="ALERTE")*(COUNTIF(AI58,"*"&amp;CC4:CC795&amp;"*")&gt;0)*1))</f>
        <v>0</v>
      </c>
      <c r="BD58" s="6625" cm="1">
        <f t="array" ref="BD58">IF(W58="",0,SUMPRODUCT((CA4:CA795="Sesame")*(CB4:CB795="ALERTE")*(COUNTIF(AI58,"*"&amp;CC4:CC795&amp;"*")&gt;0)*1))</f>
        <v>0</v>
      </c>
      <c r="BE58" s="6625" cm="1">
        <f t="array" ref="BE58">IF(W58="",0,SUMPRODUCT((CA4:CA795="Sulfites")*(CB4:CB795="ALERTE")*(COUNTIF(AI58,"*"&amp;CC4:CC795&amp;"*")&gt;0)*1))</f>
        <v>0</v>
      </c>
      <c r="BF58" s="6625" cm="1">
        <f t="array" ref="BF58">IF(W58="",0,SUMPRODUCT((CA4:CA795="Lupin")*(CB4:CB795="ALERTE")*(COUNTIF(AI58,"*"&amp;CC4:CC795&amp;"*")&gt;0)*1))</f>
        <v>0</v>
      </c>
      <c r="BG58" s="6625" cm="1">
        <f t="array" ref="BG58">IF(W58="",0,SUMPRODUCT((CA4:CA795="Mollusques")*(CB4:CB795="EXCL")*(COUNTIF(AI58,"*"&amp;CC4:CC795&amp;"*")&gt;0)*1))</f>
        <v>0</v>
      </c>
      <c r="BH58" s="6625" cm="1">
        <f t="array" ref="BH58">IF(W58="",0,SUMPRODUCT((CA4:CA795="Mollusques")*(CB4:CB795="ALERTE")*(COUNTIF(AI58,"*"&amp;CC4:CC795&amp;"*")&gt;0)*1))</f>
        <v>0</v>
      </c>
      <c r="BI58" s="6625" t="str">
        <f t="shared" si="25"/>
        <v/>
      </c>
      <c r="BJ58" s="6625" t="str">
        <f t="shared" si="26"/>
        <v/>
      </c>
      <c r="BK58" s="6625" t="str">
        <f t="shared" si="27"/>
        <v/>
      </c>
      <c r="BL58" s="6625" t="str">
        <f t="shared" si="28"/>
        <v/>
      </c>
      <c r="BM58" s="6625" t="str">
        <f t="shared" si="29"/>
        <v/>
      </c>
      <c r="BN58" s="6625" t="str">
        <f t="shared" si="30"/>
        <v/>
      </c>
      <c r="BO58" s="6625" t="str">
        <f t="shared" si="31"/>
        <v/>
      </c>
      <c r="BP58" s="6625" t="str">
        <f t="shared" si="32"/>
        <v/>
      </c>
      <c r="BQ58" s="6625" t="str">
        <f t="shared" si="33"/>
        <v/>
      </c>
      <c r="BR58" s="6625" t="str">
        <f t="shared" si="34"/>
        <v/>
      </c>
      <c r="BS58" s="6625" t="str">
        <f t="shared" si="35"/>
        <v/>
      </c>
      <c r="BT58" s="6625" t="str">
        <f t="shared" si="36"/>
        <v/>
      </c>
      <c r="BU58" s="6625" t="str">
        <f t="shared" si="37"/>
        <v/>
      </c>
      <c r="BV58" s="6625" t="str">
        <f t="shared" si="38"/>
        <v/>
      </c>
      <c r="BW58" s="6625" t="str">
        <f t="shared" si="39"/>
        <v/>
      </c>
      <c r="BX58" s="6625" t="str">
        <f t="shared" si="40"/>
        <v/>
      </c>
      <c r="CA58" s="3170" t="s">
        <v>16412</v>
      </c>
      <c r="CB58" s="7634" t="s">
        <v>16255</v>
      </c>
      <c r="CC58" s="3170" t="s">
        <v>16447</v>
      </c>
      <c r="CD58" s="3170" t="s">
        <v>16448</v>
      </c>
    </row>
    <row r="59" spans="2:82" ht="30" customHeight="1">
      <c r="B59" s="7661" t="str">
        <f t="shared" si="0"/>
        <v/>
      </c>
      <c r="C59" s="7661" t="str">
        <f t="shared" si="1"/>
        <v/>
      </c>
      <c r="D59" s="7661" t="str">
        <f t="shared" si="2"/>
        <v/>
      </c>
      <c r="E59" s="7661">
        <f>IF(H58&lt;&gt;"",E58,IF(E58="","",IFERROR(MATCH(TRUE(),INDEX(INDEX($K:$K,E58+1):$K$203&lt;&gt;"",0),0)+E58,"")))</f>
        <v>234</v>
      </c>
      <c r="F59" s="7661">
        <f t="shared" si="41"/>
        <v>0</v>
      </c>
      <c r="G59" s="7661" t="str">
        <f t="shared" si="3"/>
        <v>0</v>
      </c>
      <c r="H59" s="7672" t="str">
        <f t="shared" si="4"/>
        <v/>
      </c>
      <c r="I59" s="7683" t="str">
        <f t="shared" si="5"/>
        <v/>
      </c>
      <c r="J59" s="7673" t="str">
        <f>IF(K59="","",COUNTIF($K$18:K59,"&lt;&gt;"))</f>
        <v/>
      </c>
      <c r="K59" s="7674"/>
      <c r="L59" s="7673" t="str">
        <f t="shared" si="6"/>
        <v/>
      </c>
      <c r="M59" s="7630">
        <f t="shared" si="7"/>
        <v>1</v>
      </c>
      <c r="N59" s="7675">
        <f t="shared" si="8"/>
        <v>42</v>
      </c>
      <c r="O59" s="7676" t="str">
        <f t="shared" si="9"/>
        <v>0</v>
      </c>
      <c r="P59" s="7675">
        <f t="shared" si="10"/>
        <v>1</v>
      </c>
      <c r="Q59" s="7675">
        <f t="shared" si="11"/>
        <v>1</v>
      </c>
      <c r="S59" s="7679" t="str">
        <f t="shared" si="42"/>
        <v>0</v>
      </c>
      <c r="T59" s="7680" t="str">
        <f t="shared" si="12"/>
        <v/>
      </c>
      <c r="V59" s="7677">
        <f t="shared" si="13"/>
        <v>59</v>
      </c>
      <c r="W59" s="7678" t="str">
        <f t="shared" si="43"/>
        <v>0</v>
      </c>
      <c r="X59" s="7677" t="s">
        <v>2</v>
      </c>
      <c r="Y59" s="7702" t="str">
        <f t="shared" si="14"/>
        <v>0</v>
      </c>
      <c r="Z59" s="7703" t="str">
        <f t="shared" si="15"/>
        <v/>
      </c>
      <c r="AA59" s="7681" t="str">
        <f t="shared" si="16"/>
        <v>0</v>
      </c>
      <c r="AB59" s="7682" t="str">
        <f t="shared" si="17"/>
        <v/>
      </c>
      <c r="AC59" s="7677">
        <f t="shared" si="18"/>
        <v>0</v>
      </c>
      <c r="AD59" s="7677">
        <f t="shared" si="19"/>
        <v>0</v>
      </c>
      <c r="AE59" s="7682" t="str">
        <f t="shared" si="20"/>
        <v>aucun match</v>
      </c>
      <c r="AF59" s="6625" t="str">
        <f t="shared" si="21"/>
        <v>0</v>
      </c>
      <c r="AG59" s="6625" t="str">
        <f t="shared" si="22"/>
        <v>0</v>
      </c>
      <c r="AH59" s="6625" t="str">
        <f t="shared" si="23"/>
        <v>0</v>
      </c>
      <c r="AI59" s="6625" t="str">
        <f t="shared" si="24"/>
        <v xml:space="preserve"> 0 </v>
      </c>
      <c r="AJ59" s="6625" cm="1">
        <f t="array" ref="AJ59">IF(W59="",0,SUMPRODUCT((CA4:CA795="Gluten")*(CB4:CB795="INFO")*(COUNTIF(AI59,"*"&amp;CC4:CC795&amp;"*")&gt;0)*1))</f>
        <v>0</v>
      </c>
      <c r="AK59" s="6625" cm="1">
        <f t="array" ref="AK59">IF(W59="",0,SUMPRODUCT((CA4:CA795="Gluten")*(CB4:CB795="EXCL")*(COUNTIF(AI59,"*"&amp;CC4:CC795&amp;"*")&gt;0)*1))</f>
        <v>0</v>
      </c>
      <c r="AL59" s="6625" cm="1">
        <f t="array" ref="AL59">IF(W59="",0,SUMPRODUCT((CA4:CA795="Gluten")*(CB4:CB795="ALERTE")*(COUNTIF(AI59,"*"&amp;CC4:CC795&amp;"*")&gt;0)*1))</f>
        <v>0</v>
      </c>
      <c r="AM59" s="6625" cm="1">
        <f t="array" ref="AM59">IF(W59="",0,SUMPRODUCT((CA4:CA795="Gluten")*(CB4:CB795="SUSP")*(COUNTIF(AI59,"*"&amp;CC4:CC795&amp;"*")&gt;0)*1))</f>
        <v>0</v>
      </c>
      <c r="AN59" s="6625" cm="1">
        <f t="array" ref="AN59">IF(W59="",0,SUMPRODUCT((CA4:CA795="Crustaces")*(CB4:CB795="ALERTE")*(COUNTIF(AI59,"*"&amp;CC4:CC795&amp;"*")&gt;0)*1))</f>
        <v>0</v>
      </c>
      <c r="AO59" s="6625" cm="1">
        <f t="array" ref="AO59">IF(W59="",0,SUMPRODUCT((CA4:CA795="Oeufs")*(CB4:CB795="ALERTE")*(COUNTIF(AI59,"*"&amp;CC4:CC795&amp;"*")&gt;0)*1))</f>
        <v>0</v>
      </c>
      <c r="AP59" s="6625" cm="1">
        <f t="array" ref="AP59">IF(W59="",0,SUMPRODUCT((CA4:CA795="Poissons")*(CB4:CB795="INFO")*(COUNTIF(AI59,"*"&amp;CC4:CC795&amp;"*")&gt;0)*1))</f>
        <v>0</v>
      </c>
      <c r="AQ59" s="6625" cm="1">
        <f t="array" ref="AQ59">IF(W59="",0,SUMPRODUCT((CA4:CA795="Poissons")*(CB4:CB795="EXCL")*(COUNTIF(AI59,"*"&amp;CC4:CC795&amp;"*")&gt;0)*1))</f>
        <v>0</v>
      </c>
      <c r="AR59" s="6625" cm="1">
        <f t="array" ref="AR59">IF(W59="",0,SUMPRODUCT((CA4:CA795="Poissons")*(CB4:CB795="ALERTE")*(COUNTIF(AI59,"*"&amp;CC4:CC795&amp;"*")&gt;0)*1))</f>
        <v>0</v>
      </c>
      <c r="AS59" s="6625" cm="1">
        <f t="array" ref="AS59">IF(W59="",0,SUMPRODUCT((CA4:CA795="Arachides")*(CB4:CB795="ALERTE")*(COUNTIF(AI59,"*"&amp;CC4:CC795&amp;"*")&gt;0)*1))</f>
        <v>0</v>
      </c>
      <c r="AT59" s="6625" cm="1">
        <f t="array" ref="AT59">IF(W59="",0,SUMPRODUCT((CA4:CA795="Soja")*(CB4:CB795="INFO")*(COUNTIF(AI59,"*"&amp;CC4:CC795&amp;"*")&gt;0)*1))</f>
        <v>0</v>
      </c>
      <c r="AU59" s="6625" cm="1">
        <f t="array" ref="AU59">IF(W59="",0,SUMPRODUCT((CA4:CA795="Soja")*(CB4:CB795="ALERTE")*(COUNTIF(AI59,"*"&amp;CC4:CC795&amp;"*")&gt;0)*1))</f>
        <v>0</v>
      </c>
      <c r="AV59" s="6625" cm="1">
        <f t="array" ref="AV59">IF(W59="",0,SUMPRODUCT((CA4:CA795="Lait")*(CB4:CB795="INFO")*(COUNTIF(AI59,"*"&amp;CC4:CC795&amp;"*")&gt;0)*1))</f>
        <v>0</v>
      </c>
      <c r="AW59" s="6625" cm="1">
        <f t="array" ref="AW59">IF(W59="",0,SUMPRODUCT((CA4:CA795="Lait")*(CB4:CB795="EXCL")*(COUNTIF(AI59,"*"&amp;CC4:CC795&amp;"*")&gt;0)*1))</f>
        <v>0</v>
      </c>
      <c r="AX59" s="6625" cm="1">
        <f t="array" ref="AX59">IF(W59="",0,SUMPRODUCT((CA4:CA795="Lait")*(CB4:CB795="ALERTE")*(COUNTIF(AI59,"*"&amp;CC4:CC795&amp;"*")&gt;0)*1))</f>
        <v>0</v>
      </c>
      <c r="AY59" s="6625" cm="1">
        <f t="array" ref="AY59">IF(W59="",0,SUMPRODUCT((CA4:CA795="Lait")*(CB4:CB795="SUSP")*(COUNTIF(AI59,"*"&amp;CC4:CC795&amp;"*")&gt;0)*1))</f>
        <v>0</v>
      </c>
      <c r="AZ59" s="6625" cm="1">
        <f t="array" ref="AZ59">IF(W59="",0,SUMPRODUCT((CA4:CA795="Fruits a coque")*(CB4:CB795="EXCL")*(COUNTIF(AI59,"*"&amp;CC4:CC795&amp;"*")&gt;0)*1))</f>
        <v>0</v>
      </c>
      <c r="BA59" s="6625" cm="1">
        <f t="array" ref="BA59">IF(W59="",0,SUMPRODUCT((CA4:CA795="Fruits a coque")*(CB4:CB795="ALERTE")*(COUNTIF(AI59,"*"&amp;CC4:CC795&amp;"*")&gt;0)*1))</f>
        <v>0</v>
      </c>
      <c r="BB59" s="6625" cm="1">
        <f t="array" ref="BB59">IF(W59="",0,SUMPRODUCT((CA4:CA795="Celeri")*(CB4:CB795="ALERTE")*(COUNTIF(AI59,"*"&amp;CC4:CC795&amp;"*")&gt;0)*1))</f>
        <v>0</v>
      </c>
      <c r="BC59" s="6625" cm="1">
        <f t="array" ref="BC59">IF(W59="",0,SUMPRODUCT((CA4:CA795="Moutarde")*(CB4:CB795="ALERTE")*(COUNTIF(AI59,"*"&amp;CC4:CC795&amp;"*")&gt;0)*1))</f>
        <v>0</v>
      </c>
      <c r="BD59" s="6625" cm="1">
        <f t="array" ref="BD59">IF(W59="",0,SUMPRODUCT((CA4:CA795="Sesame")*(CB4:CB795="ALERTE")*(COUNTIF(AI59,"*"&amp;CC4:CC795&amp;"*")&gt;0)*1))</f>
        <v>0</v>
      </c>
      <c r="BE59" s="6625" cm="1">
        <f t="array" ref="BE59">IF(W59="",0,SUMPRODUCT((CA4:CA795="Sulfites")*(CB4:CB795="ALERTE")*(COUNTIF(AI59,"*"&amp;CC4:CC795&amp;"*")&gt;0)*1))</f>
        <v>0</v>
      </c>
      <c r="BF59" s="6625" cm="1">
        <f t="array" ref="BF59">IF(W59="",0,SUMPRODUCT((CA4:CA795="Lupin")*(CB4:CB795="ALERTE")*(COUNTIF(AI59,"*"&amp;CC4:CC795&amp;"*")&gt;0)*1))</f>
        <v>0</v>
      </c>
      <c r="BG59" s="6625" cm="1">
        <f t="array" ref="BG59">IF(W59="",0,SUMPRODUCT((CA4:CA795="Mollusques")*(CB4:CB795="EXCL")*(COUNTIF(AI59,"*"&amp;CC4:CC795&amp;"*")&gt;0)*1))</f>
        <v>0</v>
      </c>
      <c r="BH59" s="6625" cm="1">
        <f t="array" ref="BH59">IF(W59="",0,SUMPRODUCT((CA4:CA795="Mollusques")*(CB4:CB795="ALERTE")*(COUNTIF(AI59,"*"&amp;CC4:CC795&amp;"*")&gt;0)*1))</f>
        <v>0</v>
      </c>
      <c r="BI59" s="6625" t="str">
        <f t="shared" si="25"/>
        <v/>
      </c>
      <c r="BJ59" s="6625" t="str">
        <f t="shared" si="26"/>
        <v/>
      </c>
      <c r="BK59" s="6625" t="str">
        <f t="shared" si="27"/>
        <v/>
      </c>
      <c r="BL59" s="6625" t="str">
        <f t="shared" si="28"/>
        <v/>
      </c>
      <c r="BM59" s="6625" t="str">
        <f t="shared" si="29"/>
        <v/>
      </c>
      <c r="BN59" s="6625" t="str">
        <f t="shared" si="30"/>
        <v/>
      </c>
      <c r="BO59" s="6625" t="str">
        <f t="shared" si="31"/>
        <v/>
      </c>
      <c r="BP59" s="6625" t="str">
        <f t="shared" si="32"/>
        <v/>
      </c>
      <c r="BQ59" s="6625" t="str">
        <f t="shared" si="33"/>
        <v/>
      </c>
      <c r="BR59" s="6625" t="str">
        <f t="shared" si="34"/>
        <v/>
      </c>
      <c r="BS59" s="6625" t="str">
        <f t="shared" si="35"/>
        <v/>
      </c>
      <c r="BT59" s="6625" t="str">
        <f t="shared" si="36"/>
        <v/>
      </c>
      <c r="BU59" s="6625" t="str">
        <f t="shared" si="37"/>
        <v/>
      </c>
      <c r="BV59" s="6625" t="str">
        <f t="shared" si="38"/>
        <v/>
      </c>
      <c r="BW59" s="6625" t="str">
        <f t="shared" si="39"/>
        <v/>
      </c>
      <c r="BX59" s="6625" t="str">
        <f t="shared" si="40"/>
        <v/>
      </c>
      <c r="CA59" s="3170" t="s">
        <v>16449</v>
      </c>
      <c r="CB59" s="7634" t="s">
        <v>16255</v>
      </c>
      <c r="CC59" s="3170" t="s">
        <v>16450</v>
      </c>
      <c r="CD59" s="3170" t="s">
        <v>16451</v>
      </c>
    </row>
    <row r="60" spans="2:82" ht="30" customHeight="1">
      <c r="B60" s="7661" t="str">
        <f t="shared" si="0"/>
        <v/>
      </c>
      <c r="C60" s="7661" t="str">
        <f t="shared" si="1"/>
        <v/>
      </c>
      <c r="D60" s="7661" t="str">
        <f t="shared" si="2"/>
        <v/>
      </c>
      <c r="E60" s="7661">
        <f>IF(H59&lt;&gt;"",E59,IF(E59="","",IFERROR(MATCH(TRUE(),INDEX(INDEX($K:$K,E59+1):$K$203&lt;&gt;"",0),0)+E59,"")))</f>
        <v>235</v>
      </c>
      <c r="F60" s="7661">
        <f t="shared" si="41"/>
        <v>0</v>
      </c>
      <c r="G60" s="7661" t="str">
        <f t="shared" si="3"/>
        <v>0</v>
      </c>
      <c r="H60" s="7672" t="str">
        <f t="shared" si="4"/>
        <v/>
      </c>
      <c r="I60" s="7683" t="str">
        <f t="shared" si="5"/>
        <v/>
      </c>
      <c r="J60" s="7673" t="str">
        <f>IF(K60="","",COUNTIF($K$18:K60,"&lt;&gt;"))</f>
        <v/>
      </c>
      <c r="K60" s="7674"/>
      <c r="L60" s="7673" t="str">
        <f t="shared" si="6"/>
        <v/>
      </c>
      <c r="M60" s="7630">
        <f t="shared" si="7"/>
        <v>1</v>
      </c>
      <c r="N60" s="7675">
        <f t="shared" si="8"/>
        <v>43</v>
      </c>
      <c r="O60" s="7676" t="str">
        <f t="shared" si="9"/>
        <v>0</v>
      </c>
      <c r="P60" s="7675">
        <f t="shared" si="10"/>
        <v>1</v>
      </c>
      <c r="Q60" s="7675">
        <f t="shared" si="11"/>
        <v>1</v>
      </c>
      <c r="S60" s="7679" t="str">
        <f t="shared" si="42"/>
        <v>0</v>
      </c>
      <c r="T60" s="7680" t="str">
        <f t="shared" si="12"/>
        <v/>
      </c>
      <c r="V60" s="7677">
        <f t="shared" si="13"/>
        <v>60</v>
      </c>
      <c r="W60" s="7678" t="str">
        <f t="shared" si="43"/>
        <v>0</v>
      </c>
      <c r="X60" s="7677" t="s">
        <v>2</v>
      </c>
      <c r="Y60" s="7702" t="str">
        <f t="shared" si="14"/>
        <v>0</v>
      </c>
      <c r="Z60" s="7703" t="str">
        <f t="shared" si="15"/>
        <v/>
      </c>
      <c r="AA60" s="7681" t="str">
        <f t="shared" si="16"/>
        <v>0</v>
      </c>
      <c r="AB60" s="7682" t="str">
        <f t="shared" si="17"/>
        <v/>
      </c>
      <c r="AC60" s="7677">
        <f t="shared" si="18"/>
        <v>0</v>
      </c>
      <c r="AD60" s="7677">
        <f t="shared" si="19"/>
        <v>0</v>
      </c>
      <c r="AE60" s="7682" t="str">
        <f t="shared" si="20"/>
        <v>aucun match</v>
      </c>
      <c r="AF60" s="6625" t="str">
        <f t="shared" si="21"/>
        <v>0</v>
      </c>
      <c r="AG60" s="6625" t="str">
        <f t="shared" si="22"/>
        <v>0</v>
      </c>
      <c r="AH60" s="6625" t="str">
        <f t="shared" si="23"/>
        <v>0</v>
      </c>
      <c r="AI60" s="6625" t="str">
        <f t="shared" si="24"/>
        <v xml:space="preserve"> 0 </v>
      </c>
      <c r="AJ60" s="6625" cm="1">
        <f t="array" ref="AJ60">IF(W60="",0,SUMPRODUCT((CA4:CA795="Gluten")*(CB4:CB795="INFO")*(COUNTIF(AI60,"*"&amp;CC4:CC795&amp;"*")&gt;0)*1))</f>
        <v>0</v>
      </c>
      <c r="AK60" s="6625" cm="1">
        <f t="array" ref="AK60">IF(W60="",0,SUMPRODUCT((CA4:CA795="Gluten")*(CB4:CB795="EXCL")*(COUNTIF(AI60,"*"&amp;CC4:CC795&amp;"*")&gt;0)*1))</f>
        <v>0</v>
      </c>
      <c r="AL60" s="6625" cm="1">
        <f t="array" ref="AL60">IF(W60="",0,SUMPRODUCT((CA4:CA795="Gluten")*(CB4:CB795="ALERTE")*(COUNTIF(AI60,"*"&amp;CC4:CC795&amp;"*")&gt;0)*1))</f>
        <v>0</v>
      </c>
      <c r="AM60" s="6625" cm="1">
        <f t="array" ref="AM60">IF(W60="",0,SUMPRODUCT((CA4:CA795="Gluten")*(CB4:CB795="SUSP")*(COUNTIF(AI60,"*"&amp;CC4:CC795&amp;"*")&gt;0)*1))</f>
        <v>0</v>
      </c>
      <c r="AN60" s="6625" cm="1">
        <f t="array" ref="AN60">IF(W60="",0,SUMPRODUCT((CA4:CA795="Crustaces")*(CB4:CB795="ALERTE")*(COUNTIF(AI60,"*"&amp;CC4:CC795&amp;"*")&gt;0)*1))</f>
        <v>0</v>
      </c>
      <c r="AO60" s="6625" cm="1">
        <f t="array" ref="AO60">IF(W60="",0,SUMPRODUCT((CA4:CA795="Oeufs")*(CB4:CB795="ALERTE")*(COUNTIF(AI60,"*"&amp;CC4:CC795&amp;"*")&gt;0)*1))</f>
        <v>0</v>
      </c>
      <c r="AP60" s="6625" cm="1">
        <f t="array" ref="AP60">IF(W60="",0,SUMPRODUCT((CA4:CA795="Poissons")*(CB4:CB795="INFO")*(COUNTIF(AI60,"*"&amp;CC4:CC795&amp;"*")&gt;0)*1))</f>
        <v>0</v>
      </c>
      <c r="AQ60" s="6625" cm="1">
        <f t="array" ref="AQ60">IF(W60="",0,SUMPRODUCT((CA4:CA795="Poissons")*(CB4:CB795="EXCL")*(COUNTIF(AI60,"*"&amp;CC4:CC795&amp;"*")&gt;0)*1))</f>
        <v>0</v>
      </c>
      <c r="AR60" s="6625" cm="1">
        <f t="array" ref="AR60">IF(W60="",0,SUMPRODUCT((CA4:CA795="Poissons")*(CB4:CB795="ALERTE")*(COUNTIF(AI60,"*"&amp;CC4:CC795&amp;"*")&gt;0)*1))</f>
        <v>0</v>
      </c>
      <c r="AS60" s="6625" cm="1">
        <f t="array" ref="AS60">IF(W60="",0,SUMPRODUCT((CA4:CA795="Arachides")*(CB4:CB795="ALERTE")*(COUNTIF(AI60,"*"&amp;CC4:CC795&amp;"*")&gt;0)*1))</f>
        <v>0</v>
      </c>
      <c r="AT60" s="6625" cm="1">
        <f t="array" ref="AT60">IF(W60="",0,SUMPRODUCT((CA4:CA795="Soja")*(CB4:CB795="INFO")*(COUNTIF(AI60,"*"&amp;CC4:CC795&amp;"*")&gt;0)*1))</f>
        <v>0</v>
      </c>
      <c r="AU60" s="6625" cm="1">
        <f t="array" ref="AU60">IF(W60="",0,SUMPRODUCT((CA4:CA795="Soja")*(CB4:CB795="ALERTE")*(COUNTIF(AI60,"*"&amp;CC4:CC795&amp;"*")&gt;0)*1))</f>
        <v>0</v>
      </c>
      <c r="AV60" s="6625" cm="1">
        <f t="array" ref="AV60">IF(W60="",0,SUMPRODUCT((CA4:CA795="Lait")*(CB4:CB795="INFO")*(COUNTIF(AI60,"*"&amp;CC4:CC795&amp;"*")&gt;0)*1))</f>
        <v>0</v>
      </c>
      <c r="AW60" s="6625" cm="1">
        <f t="array" ref="AW60">IF(W60="",0,SUMPRODUCT((CA4:CA795="Lait")*(CB4:CB795="EXCL")*(COUNTIF(AI60,"*"&amp;CC4:CC795&amp;"*")&gt;0)*1))</f>
        <v>0</v>
      </c>
      <c r="AX60" s="6625" cm="1">
        <f t="array" ref="AX60">IF(W60="",0,SUMPRODUCT((CA4:CA795="Lait")*(CB4:CB795="ALERTE")*(COUNTIF(AI60,"*"&amp;CC4:CC795&amp;"*")&gt;0)*1))</f>
        <v>0</v>
      </c>
      <c r="AY60" s="6625" cm="1">
        <f t="array" ref="AY60">IF(W60="",0,SUMPRODUCT((CA4:CA795="Lait")*(CB4:CB795="SUSP")*(COUNTIF(AI60,"*"&amp;CC4:CC795&amp;"*")&gt;0)*1))</f>
        <v>0</v>
      </c>
      <c r="AZ60" s="6625" cm="1">
        <f t="array" ref="AZ60">IF(W60="",0,SUMPRODUCT((CA4:CA795="Fruits a coque")*(CB4:CB795="EXCL")*(COUNTIF(AI60,"*"&amp;CC4:CC795&amp;"*")&gt;0)*1))</f>
        <v>0</v>
      </c>
      <c r="BA60" s="6625" cm="1">
        <f t="array" ref="BA60">IF(W60="",0,SUMPRODUCT((CA4:CA795="Fruits a coque")*(CB4:CB795="ALERTE")*(COUNTIF(AI60,"*"&amp;CC4:CC795&amp;"*")&gt;0)*1))</f>
        <v>0</v>
      </c>
      <c r="BB60" s="6625" cm="1">
        <f t="array" ref="BB60">IF(W60="",0,SUMPRODUCT((CA4:CA795="Celeri")*(CB4:CB795="ALERTE")*(COUNTIF(AI60,"*"&amp;CC4:CC795&amp;"*")&gt;0)*1))</f>
        <v>0</v>
      </c>
      <c r="BC60" s="6625" cm="1">
        <f t="array" ref="BC60">IF(W60="",0,SUMPRODUCT((CA4:CA795="Moutarde")*(CB4:CB795="ALERTE")*(COUNTIF(AI60,"*"&amp;CC4:CC795&amp;"*")&gt;0)*1))</f>
        <v>0</v>
      </c>
      <c r="BD60" s="6625" cm="1">
        <f t="array" ref="BD60">IF(W60="",0,SUMPRODUCT((CA4:CA795="Sesame")*(CB4:CB795="ALERTE")*(COUNTIF(AI60,"*"&amp;CC4:CC795&amp;"*")&gt;0)*1))</f>
        <v>0</v>
      </c>
      <c r="BE60" s="6625" cm="1">
        <f t="array" ref="BE60">IF(W60="",0,SUMPRODUCT((CA4:CA795="Sulfites")*(CB4:CB795="ALERTE")*(COUNTIF(AI60,"*"&amp;CC4:CC795&amp;"*")&gt;0)*1))</f>
        <v>0</v>
      </c>
      <c r="BF60" s="6625" cm="1">
        <f t="array" ref="BF60">IF(W60="",0,SUMPRODUCT((CA4:CA795="Lupin")*(CB4:CB795="ALERTE")*(COUNTIF(AI60,"*"&amp;CC4:CC795&amp;"*")&gt;0)*1))</f>
        <v>0</v>
      </c>
      <c r="BG60" s="6625" cm="1">
        <f t="array" ref="BG60">IF(W60="",0,SUMPRODUCT((CA4:CA795="Mollusques")*(CB4:CB795="EXCL")*(COUNTIF(AI60,"*"&amp;CC4:CC795&amp;"*")&gt;0)*1))</f>
        <v>0</v>
      </c>
      <c r="BH60" s="6625" cm="1">
        <f t="array" ref="BH60">IF(W60="",0,SUMPRODUCT((CA4:CA795="Mollusques")*(CB4:CB795="ALERTE")*(COUNTIF(AI60,"*"&amp;CC4:CC795&amp;"*")&gt;0)*1))</f>
        <v>0</v>
      </c>
      <c r="BI60" s="6625" t="str">
        <f t="shared" si="25"/>
        <v/>
      </c>
      <c r="BJ60" s="6625" t="str">
        <f t="shared" si="26"/>
        <v/>
      </c>
      <c r="BK60" s="6625" t="str">
        <f t="shared" si="27"/>
        <v/>
      </c>
      <c r="BL60" s="6625" t="str">
        <f t="shared" si="28"/>
        <v/>
      </c>
      <c r="BM60" s="6625" t="str">
        <f t="shared" si="29"/>
        <v/>
      </c>
      <c r="BN60" s="6625" t="str">
        <f t="shared" si="30"/>
        <v/>
      </c>
      <c r="BO60" s="6625" t="str">
        <f t="shared" si="31"/>
        <v/>
      </c>
      <c r="BP60" s="6625" t="str">
        <f t="shared" si="32"/>
        <v/>
      </c>
      <c r="BQ60" s="6625" t="str">
        <f t="shared" si="33"/>
        <v/>
      </c>
      <c r="BR60" s="6625" t="str">
        <f t="shared" si="34"/>
        <v/>
      </c>
      <c r="BS60" s="6625" t="str">
        <f t="shared" si="35"/>
        <v/>
      </c>
      <c r="BT60" s="6625" t="str">
        <f t="shared" si="36"/>
        <v/>
      </c>
      <c r="BU60" s="6625" t="str">
        <f t="shared" si="37"/>
        <v/>
      </c>
      <c r="BV60" s="6625" t="str">
        <f t="shared" si="38"/>
        <v/>
      </c>
      <c r="BW60" s="6625" t="str">
        <f t="shared" si="39"/>
        <v/>
      </c>
      <c r="BX60" s="6625" t="str">
        <f t="shared" si="40"/>
        <v/>
      </c>
      <c r="CA60" s="3170" t="s">
        <v>16449</v>
      </c>
      <c r="CB60" s="7634" t="s">
        <v>16255</v>
      </c>
      <c r="CC60" s="3170" t="s">
        <v>16452</v>
      </c>
      <c r="CD60" s="3170" t="s">
        <v>16453</v>
      </c>
    </row>
    <row r="61" spans="2:82" ht="30" customHeight="1">
      <c r="B61" s="7661" t="str">
        <f t="shared" si="0"/>
        <v/>
      </c>
      <c r="C61" s="7661" t="str">
        <f t="shared" si="1"/>
        <v/>
      </c>
      <c r="D61" s="7661" t="str">
        <f t="shared" si="2"/>
        <v/>
      </c>
      <c r="E61" s="7661">
        <f>IF(H60&lt;&gt;"",E60,IF(E60="","",IFERROR(MATCH(TRUE(),INDEX(INDEX($K:$K,E60+1):$K$203&lt;&gt;"",0),0)+E60,"")))</f>
        <v>236</v>
      </c>
      <c r="F61" s="7661">
        <f t="shared" si="41"/>
        <v>0</v>
      </c>
      <c r="G61" s="7661" t="str">
        <f t="shared" si="3"/>
        <v>0</v>
      </c>
      <c r="H61" s="7672" t="str">
        <f t="shared" si="4"/>
        <v/>
      </c>
      <c r="I61" s="7683" t="str">
        <f t="shared" si="5"/>
        <v/>
      </c>
      <c r="J61" s="7673" t="str">
        <f>IF(K61="","",COUNTIF($K$18:K61,"&lt;&gt;"))</f>
        <v/>
      </c>
      <c r="K61" s="7674"/>
      <c r="L61" s="7673" t="str">
        <f t="shared" si="6"/>
        <v/>
      </c>
      <c r="M61" s="7630">
        <f t="shared" si="7"/>
        <v>1</v>
      </c>
      <c r="N61" s="7675">
        <f t="shared" si="8"/>
        <v>44</v>
      </c>
      <c r="O61" s="7676" t="str">
        <f t="shared" si="9"/>
        <v>0</v>
      </c>
      <c r="P61" s="7675">
        <f t="shared" si="10"/>
        <v>1</v>
      </c>
      <c r="Q61" s="7675">
        <f t="shared" si="11"/>
        <v>1</v>
      </c>
      <c r="S61" s="7679" t="str">
        <f t="shared" si="42"/>
        <v>0</v>
      </c>
      <c r="T61" s="7680" t="str">
        <f t="shared" si="12"/>
        <v/>
      </c>
      <c r="V61" s="7677">
        <f t="shared" si="13"/>
        <v>61</v>
      </c>
      <c r="W61" s="7678" t="str">
        <f t="shared" si="43"/>
        <v>0</v>
      </c>
      <c r="X61" s="7677" t="s">
        <v>2</v>
      </c>
      <c r="Y61" s="7702" t="str">
        <f t="shared" si="14"/>
        <v>0</v>
      </c>
      <c r="Z61" s="7703" t="str">
        <f t="shared" si="15"/>
        <v/>
      </c>
      <c r="AA61" s="7681" t="str">
        <f t="shared" si="16"/>
        <v>0</v>
      </c>
      <c r="AB61" s="7682" t="str">
        <f t="shared" si="17"/>
        <v/>
      </c>
      <c r="AC61" s="7677">
        <f t="shared" si="18"/>
        <v>0</v>
      </c>
      <c r="AD61" s="7677">
        <f t="shared" si="19"/>
        <v>0</v>
      </c>
      <c r="AE61" s="7682" t="str">
        <f t="shared" si="20"/>
        <v>aucun match</v>
      </c>
      <c r="AF61" s="6625" t="str">
        <f t="shared" si="21"/>
        <v>0</v>
      </c>
      <c r="AG61" s="6625" t="str">
        <f t="shared" si="22"/>
        <v>0</v>
      </c>
      <c r="AH61" s="6625" t="str">
        <f t="shared" si="23"/>
        <v>0</v>
      </c>
      <c r="AI61" s="6625" t="str">
        <f t="shared" si="24"/>
        <v xml:space="preserve"> 0 </v>
      </c>
      <c r="AJ61" s="6625" cm="1">
        <f t="array" ref="AJ61">IF(W61="",0,SUMPRODUCT((CA4:CA795="Gluten")*(CB4:CB795="INFO")*(COUNTIF(AI61,"*"&amp;CC4:CC795&amp;"*")&gt;0)*1))</f>
        <v>0</v>
      </c>
      <c r="AK61" s="6625" cm="1">
        <f t="array" ref="AK61">IF(W61="",0,SUMPRODUCT((CA4:CA795="Gluten")*(CB4:CB795="EXCL")*(COUNTIF(AI61,"*"&amp;CC4:CC795&amp;"*")&gt;0)*1))</f>
        <v>0</v>
      </c>
      <c r="AL61" s="6625" cm="1">
        <f t="array" ref="AL61">IF(W61="",0,SUMPRODUCT((CA4:CA795="Gluten")*(CB4:CB795="ALERTE")*(COUNTIF(AI61,"*"&amp;CC4:CC795&amp;"*")&gt;0)*1))</f>
        <v>0</v>
      </c>
      <c r="AM61" s="6625" cm="1">
        <f t="array" ref="AM61">IF(W61="",0,SUMPRODUCT((CA4:CA795="Gluten")*(CB4:CB795="SUSP")*(COUNTIF(AI61,"*"&amp;CC4:CC795&amp;"*")&gt;0)*1))</f>
        <v>0</v>
      </c>
      <c r="AN61" s="6625" cm="1">
        <f t="array" ref="AN61">IF(W61="",0,SUMPRODUCT((CA4:CA795="Crustaces")*(CB4:CB795="ALERTE")*(COUNTIF(AI61,"*"&amp;CC4:CC795&amp;"*")&gt;0)*1))</f>
        <v>0</v>
      </c>
      <c r="AO61" s="6625" cm="1">
        <f t="array" ref="AO61">IF(W61="",0,SUMPRODUCT((CA4:CA795="Oeufs")*(CB4:CB795="ALERTE")*(COUNTIF(AI61,"*"&amp;CC4:CC795&amp;"*")&gt;0)*1))</f>
        <v>0</v>
      </c>
      <c r="AP61" s="6625" cm="1">
        <f t="array" ref="AP61">IF(W61="",0,SUMPRODUCT((CA4:CA795="Poissons")*(CB4:CB795="INFO")*(COUNTIF(AI61,"*"&amp;CC4:CC795&amp;"*")&gt;0)*1))</f>
        <v>0</v>
      </c>
      <c r="AQ61" s="6625" cm="1">
        <f t="array" ref="AQ61">IF(W61="",0,SUMPRODUCT((CA4:CA795="Poissons")*(CB4:CB795="EXCL")*(COUNTIF(AI61,"*"&amp;CC4:CC795&amp;"*")&gt;0)*1))</f>
        <v>0</v>
      </c>
      <c r="AR61" s="6625" cm="1">
        <f t="array" ref="AR61">IF(W61="",0,SUMPRODUCT((CA4:CA795="Poissons")*(CB4:CB795="ALERTE")*(COUNTIF(AI61,"*"&amp;CC4:CC795&amp;"*")&gt;0)*1))</f>
        <v>0</v>
      </c>
      <c r="AS61" s="6625" cm="1">
        <f t="array" ref="AS61">IF(W61="",0,SUMPRODUCT((CA4:CA795="Arachides")*(CB4:CB795="ALERTE")*(COUNTIF(AI61,"*"&amp;CC4:CC795&amp;"*")&gt;0)*1))</f>
        <v>0</v>
      </c>
      <c r="AT61" s="6625" cm="1">
        <f t="array" ref="AT61">IF(W61="",0,SUMPRODUCT((CA4:CA795="Soja")*(CB4:CB795="INFO")*(COUNTIF(AI61,"*"&amp;CC4:CC795&amp;"*")&gt;0)*1))</f>
        <v>0</v>
      </c>
      <c r="AU61" s="6625" cm="1">
        <f t="array" ref="AU61">IF(W61="",0,SUMPRODUCT((CA4:CA795="Soja")*(CB4:CB795="ALERTE")*(COUNTIF(AI61,"*"&amp;CC4:CC795&amp;"*")&gt;0)*1))</f>
        <v>0</v>
      </c>
      <c r="AV61" s="6625" cm="1">
        <f t="array" ref="AV61">IF(W61="",0,SUMPRODUCT((CA4:CA795="Lait")*(CB4:CB795="INFO")*(COUNTIF(AI61,"*"&amp;CC4:CC795&amp;"*")&gt;0)*1))</f>
        <v>0</v>
      </c>
      <c r="AW61" s="6625" cm="1">
        <f t="array" ref="AW61">IF(W61="",0,SUMPRODUCT((CA4:CA795="Lait")*(CB4:CB795="EXCL")*(COUNTIF(AI61,"*"&amp;CC4:CC795&amp;"*")&gt;0)*1))</f>
        <v>0</v>
      </c>
      <c r="AX61" s="6625" cm="1">
        <f t="array" ref="AX61">IF(W61="",0,SUMPRODUCT((CA4:CA795="Lait")*(CB4:CB795="ALERTE")*(COUNTIF(AI61,"*"&amp;CC4:CC795&amp;"*")&gt;0)*1))</f>
        <v>0</v>
      </c>
      <c r="AY61" s="6625" cm="1">
        <f t="array" ref="AY61">IF(W61="",0,SUMPRODUCT((CA4:CA795="Lait")*(CB4:CB795="SUSP")*(COUNTIF(AI61,"*"&amp;CC4:CC795&amp;"*")&gt;0)*1))</f>
        <v>0</v>
      </c>
      <c r="AZ61" s="6625" cm="1">
        <f t="array" ref="AZ61">IF(W61="",0,SUMPRODUCT((CA4:CA795="Fruits a coque")*(CB4:CB795="EXCL")*(COUNTIF(AI61,"*"&amp;CC4:CC795&amp;"*")&gt;0)*1))</f>
        <v>0</v>
      </c>
      <c r="BA61" s="6625" cm="1">
        <f t="array" ref="BA61">IF(W61="",0,SUMPRODUCT((CA4:CA795="Fruits a coque")*(CB4:CB795="ALERTE")*(COUNTIF(AI61,"*"&amp;CC4:CC795&amp;"*")&gt;0)*1))</f>
        <v>0</v>
      </c>
      <c r="BB61" s="6625" cm="1">
        <f t="array" ref="BB61">IF(W61="",0,SUMPRODUCT((CA4:CA795="Celeri")*(CB4:CB795="ALERTE")*(COUNTIF(AI61,"*"&amp;CC4:CC795&amp;"*")&gt;0)*1))</f>
        <v>0</v>
      </c>
      <c r="BC61" s="6625" cm="1">
        <f t="array" ref="BC61">IF(W61="",0,SUMPRODUCT((CA4:CA795="Moutarde")*(CB4:CB795="ALERTE")*(COUNTIF(AI61,"*"&amp;CC4:CC795&amp;"*")&gt;0)*1))</f>
        <v>0</v>
      </c>
      <c r="BD61" s="6625" cm="1">
        <f t="array" ref="BD61">IF(W61="",0,SUMPRODUCT((CA4:CA795="Sesame")*(CB4:CB795="ALERTE")*(COUNTIF(AI61,"*"&amp;CC4:CC795&amp;"*")&gt;0)*1))</f>
        <v>0</v>
      </c>
      <c r="BE61" s="6625" cm="1">
        <f t="array" ref="BE61">IF(W61="",0,SUMPRODUCT((CA4:CA795="Sulfites")*(CB4:CB795="ALERTE")*(COUNTIF(AI61,"*"&amp;CC4:CC795&amp;"*")&gt;0)*1))</f>
        <v>0</v>
      </c>
      <c r="BF61" s="6625" cm="1">
        <f t="array" ref="BF61">IF(W61="",0,SUMPRODUCT((CA4:CA795="Lupin")*(CB4:CB795="ALERTE")*(COUNTIF(AI61,"*"&amp;CC4:CC795&amp;"*")&gt;0)*1))</f>
        <v>0</v>
      </c>
      <c r="BG61" s="6625" cm="1">
        <f t="array" ref="BG61">IF(W61="",0,SUMPRODUCT((CA4:CA795="Mollusques")*(CB4:CB795="EXCL")*(COUNTIF(AI61,"*"&amp;CC4:CC795&amp;"*")&gt;0)*1))</f>
        <v>0</v>
      </c>
      <c r="BH61" s="6625" cm="1">
        <f t="array" ref="BH61">IF(W61="",0,SUMPRODUCT((CA4:CA795="Mollusques")*(CB4:CB795="ALERTE")*(COUNTIF(AI61,"*"&amp;CC4:CC795&amp;"*")&gt;0)*1))</f>
        <v>0</v>
      </c>
      <c r="BI61" s="6625" t="str">
        <f t="shared" si="25"/>
        <v/>
      </c>
      <c r="BJ61" s="6625" t="str">
        <f t="shared" si="26"/>
        <v/>
      </c>
      <c r="BK61" s="6625" t="str">
        <f t="shared" si="27"/>
        <v/>
      </c>
      <c r="BL61" s="6625" t="str">
        <f t="shared" si="28"/>
        <v/>
      </c>
      <c r="BM61" s="6625" t="str">
        <f t="shared" si="29"/>
        <v/>
      </c>
      <c r="BN61" s="6625" t="str">
        <f t="shared" si="30"/>
        <v/>
      </c>
      <c r="BO61" s="6625" t="str">
        <f t="shared" si="31"/>
        <v/>
      </c>
      <c r="BP61" s="6625" t="str">
        <f t="shared" si="32"/>
        <v/>
      </c>
      <c r="BQ61" s="6625" t="str">
        <f t="shared" si="33"/>
        <v/>
      </c>
      <c r="BR61" s="6625" t="str">
        <f t="shared" si="34"/>
        <v/>
      </c>
      <c r="BS61" s="6625" t="str">
        <f t="shared" si="35"/>
        <v/>
      </c>
      <c r="BT61" s="6625" t="str">
        <f t="shared" si="36"/>
        <v/>
      </c>
      <c r="BU61" s="6625" t="str">
        <f t="shared" si="37"/>
        <v/>
      </c>
      <c r="BV61" s="6625" t="str">
        <f t="shared" si="38"/>
        <v/>
      </c>
      <c r="BW61" s="6625" t="str">
        <f t="shared" si="39"/>
        <v/>
      </c>
      <c r="BX61" s="6625" t="str">
        <f t="shared" si="40"/>
        <v/>
      </c>
      <c r="CA61" s="3170" t="s">
        <v>16449</v>
      </c>
      <c r="CB61" s="7634" t="s">
        <v>16255</v>
      </c>
      <c r="CC61" s="3170" t="s">
        <v>16454</v>
      </c>
      <c r="CD61" s="3170" t="s">
        <v>16455</v>
      </c>
    </row>
    <row r="62" spans="2:82" ht="30" customHeight="1">
      <c r="B62" s="7661" t="str">
        <f t="shared" si="0"/>
        <v/>
      </c>
      <c r="C62" s="7661" t="str">
        <f t="shared" si="1"/>
        <v/>
      </c>
      <c r="D62" s="7661" t="str">
        <f t="shared" si="2"/>
        <v/>
      </c>
      <c r="E62" s="7661">
        <f>IF(H61&lt;&gt;"",E61,IF(E61="","",IFERROR(MATCH(TRUE(),INDEX(INDEX($K:$K,E61+1):$K$203&lt;&gt;"",0),0)+E61,"")))</f>
        <v>237</v>
      </c>
      <c r="F62" s="7661">
        <f t="shared" si="41"/>
        <v>0</v>
      </c>
      <c r="G62" s="7661" t="str">
        <f t="shared" si="3"/>
        <v>0</v>
      </c>
      <c r="H62" s="7672" t="str">
        <f t="shared" si="4"/>
        <v/>
      </c>
      <c r="I62" s="7683" t="str">
        <f t="shared" si="5"/>
        <v/>
      </c>
      <c r="J62" s="7673" t="str">
        <f>IF(K62="","",COUNTIF($K$18:K62,"&lt;&gt;"))</f>
        <v/>
      </c>
      <c r="K62" s="7674"/>
      <c r="L62" s="7673" t="str">
        <f t="shared" si="6"/>
        <v/>
      </c>
      <c r="M62" s="7630">
        <f t="shared" si="7"/>
        <v>1</v>
      </c>
      <c r="N62" s="7675">
        <f t="shared" si="8"/>
        <v>45</v>
      </c>
      <c r="O62" s="7676" t="str">
        <f t="shared" si="9"/>
        <v>0</v>
      </c>
      <c r="P62" s="7675">
        <f t="shared" si="10"/>
        <v>1</v>
      </c>
      <c r="Q62" s="7675">
        <f t="shared" si="11"/>
        <v>1</v>
      </c>
      <c r="S62" s="7679" t="str">
        <f t="shared" si="42"/>
        <v>0</v>
      </c>
      <c r="T62" s="7680" t="str">
        <f t="shared" si="12"/>
        <v/>
      </c>
      <c r="V62" s="7677">
        <f t="shared" si="13"/>
        <v>62</v>
      </c>
      <c r="W62" s="7678" t="str">
        <f t="shared" si="43"/>
        <v>0</v>
      </c>
      <c r="X62" s="7677" t="s">
        <v>2</v>
      </c>
      <c r="Y62" s="7702" t="str">
        <f t="shared" si="14"/>
        <v>0</v>
      </c>
      <c r="Z62" s="7703" t="str">
        <f t="shared" si="15"/>
        <v/>
      </c>
      <c r="AA62" s="7681" t="str">
        <f t="shared" si="16"/>
        <v>0</v>
      </c>
      <c r="AB62" s="7682" t="str">
        <f t="shared" si="17"/>
        <v/>
      </c>
      <c r="AC62" s="7677">
        <f t="shared" si="18"/>
        <v>0</v>
      </c>
      <c r="AD62" s="7677">
        <f t="shared" si="19"/>
        <v>0</v>
      </c>
      <c r="AE62" s="7682" t="str">
        <f t="shared" si="20"/>
        <v>aucun match</v>
      </c>
      <c r="AF62" s="6625" t="str">
        <f t="shared" si="21"/>
        <v>0</v>
      </c>
      <c r="AG62" s="6625" t="str">
        <f t="shared" si="22"/>
        <v>0</v>
      </c>
      <c r="AH62" s="6625" t="str">
        <f t="shared" si="23"/>
        <v>0</v>
      </c>
      <c r="AI62" s="6625" t="str">
        <f t="shared" si="24"/>
        <v xml:space="preserve"> 0 </v>
      </c>
      <c r="AJ62" s="6625" cm="1">
        <f t="array" ref="AJ62">IF(W62="",0,SUMPRODUCT((CA4:CA795="Gluten")*(CB4:CB795="INFO")*(COUNTIF(AI62,"*"&amp;CC4:CC795&amp;"*")&gt;0)*1))</f>
        <v>0</v>
      </c>
      <c r="AK62" s="6625" cm="1">
        <f t="array" ref="AK62">IF(W62="",0,SUMPRODUCT((CA4:CA795="Gluten")*(CB4:CB795="EXCL")*(COUNTIF(AI62,"*"&amp;CC4:CC795&amp;"*")&gt;0)*1))</f>
        <v>0</v>
      </c>
      <c r="AL62" s="6625" cm="1">
        <f t="array" ref="AL62">IF(W62="",0,SUMPRODUCT((CA4:CA795="Gluten")*(CB4:CB795="ALERTE")*(COUNTIF(AI62,"*"&amp;CC4:CC795&amp;"*")&gt;0)*1))</f>
        <v>0</v>
      </c>
      <c r="AM62" s="6625" cm="1">
        <f t="array" ref="AM62">IF(W62="",0,SUMPRODUCT((CA4:CA795="Gluten")*(CB4:CB795="SUSP")*(COUNTIF(AI62,"*"&amp;CC4:CC795&amp;"*")&gt;0)*1))</f>
        <v>0</v>
      </c>
      <c r="AN62" s="6625" cm="1">
        <f t="array" ref="AN62">IF(W62="",0,SUMPRODUCT((CA4:CA795="Crustaces")*(CB4:CB795="ALERTE")*(COUNTIF(AI62,"*"&amp;CC4:CC795&amp;"*")&gt;0)*1))</f>
        <v>0</v>
      </c>
      <c r="AO62" s="6625" cm="1">
        <f t="array" ref="AO62">IF(W62="",0,SUMPRODUCT((CA4:CA795="Oeufs")*(CB4:CB795="ALERTE")*(COUNTIF(AI62,"*"&amp;CC4:CC795&amp;"*")&gt;0)*1))</f>
        <v>0</v>
      </c>
      <c r="AP62" s="6625" cm="1">
        <f t="array" ref="AP62">IF(W62="",0,SUMPRODUCT((CA4:CA795="Poissons")*(CB4:CB795="INFO")*(COUNTIF(AI62,"*"&amp;CC4:CC795&amp;"*")&gt;0)*1))</f>
        <v>0</v>
      </c>
      <c r="AQ62" s="6625" cm="1">
        <f t="array" ref="AQ62">IF(W62="",0,SUMPRODUCT((CA4:CA795="Poissons")*(CB4:CB795="EXCL")*(COUNTIF(AI62,"*"&amp;CC4:CC795&amp;"*")&gt;0)*1))</f>
        <v>0</v>
      </c>
      <c r="AR62" s="6625" cm="1">
        <f t="array" ref="AR62">IF(W62="",0,SUMPRODUCT((CA4:CA795="Poissons")*(CB4:CB795="ALERTE")*(COUNTIF(AI62,"*"&amp;CC4:CC795&amp;"*")&gt;0)*1))</f>
        <v>0</v>
      </c>
      <c r="AS62" s="6625" cm="1">
        <f t="array" ref="AS62">IF(W62="",0,SUMPRODUCT((CA4:CA795="Arachides")*(CB4:CB795="ALERTE")*(COUNTIF(AI62,"*"&amp;CC4:CC795&amp;"*")&gt;0)*1))</f>
        <v>0</v>
      </c>
      <c r="AT62" s="6625" cm="1">
        <f t="array" ref="AT62">IF(W62="",0,SUMPRODUCT((CA4:CA795="Soja")*(CB4:CB795="INFO")*(COUNTIF(AI62,"*"&amp;CC4:CC795&amp;"*")&gt;0)*1))</f>
        <v>0</v>
      </c>
      <c r="AU62" s="6625" cm="1">
        <f t="array" ref="AU62">IF(W62="",0,SUMPRODUCT((CA4:CA795="Soja")*(CB4:CB795="ALERTE")*(COUNTIF(AI62,"*"&amp;CC4:CC795&amp;"*")&gt;0)*1))</f>
        <v>0</v>
      </c>
      <c r="AV62" s="6625" cm="1">
        <f t="array" ref="AV62">IF(W62="",0,SUMPRODUCT((CA4:CA795="Lait")*(CB4:CB795="INFO")*(COUNTIF(AI62,"*"&amp;CC4:CC795&amp;"*")&gt;0)*1))</f>
        <v>0</v>
      </c>
      <c r="AW62" s="6625" cm="1">
        <f t="array" ref="AW62">IF(W62="",0,SUMPRODUCT((CA4:CA795="Lait")*(CB4:CB795="EXCL")*(COUNTIF(AI62,"*"&amp;CC4:CC795&amp;"*")&gt;0)*1))</f>
        <v>0</v>
      </c>
      <c r="AX62" s="6625" cm="1">
        <f t="array" ref="AX62">IF(W62="",0,SUMPRODUCT((CA4:CA795="Lait")*(CB4:CB795="ALERTE")*(COUNTIF(AI62,"*"&amp;CC4:CC795&amp;"*")&gt;0)*1))</f>
        <v>0</v>
      </c>
      <c r="AY62" s="6625" cm="1">
        <f t="array" ref="AY62">IF(W62="",0,SUMPRODUCT((CA4:CA795="Lait")*(CB4:CB795="SUSP")*(COUNTIF(AI62,"*"&amp;CC4:CC795&amp;"*")&gt;0)*1))</f>
        <v>0</v>
      </c>
      <c r="AZ62" s="6625" cm="1">
        <f t="array" ref="AZ62">IF(W62="",0,SUMPRODUCT((CA4:CA795="Fruits a coque")*(CB4:CB795="EXCL")*(COUNTIF(AI62,"*"&amp;CC4:CC795&amp;"*")&gt;0)*1))</f>
        <v>0</v>
      </c>
      <c r="BA62" s="6625" cm="1">
        <f t="array" ref="BA62">IF(W62="",0,SUMPRODUCT((CA4:CA795="Fruits a coque")*(CB4:CB795="ALERTE")*(COUNTIF(AI62,"*"&amp;CC4:CC795&amp;"*")&gt;0)*1))</f>
        <v>0</v>
      </c>
      <c r="BB62" s="6625" cm="1">
        <f t="array" ref="BB62">IF(W62="",0,SUMPRODUCT((CA4:CA795="Celeri")*(CB4:CB795="ALERTE")*(COUNTIF(AI62,"*"&amp;CC4:CC795&amp;"*")&gt;0)*1))</f>
        <v>0</v>
      </c>
      <c r="BC62" s="6625" cm="1">
        <f t="array" ref="BC62">IF(W62="",0,SUMPRODUCT((CA4:CA795="Moutarde")*(CB4:CB795="ALERTE")*(COUNTIF(AI62,"*"&amp;CC4:CC795&amp;"*")&gt;0)*1))</f>
        <v>0</v>
      </c>
      <c r="BD62" s="6625" cm="1">
        <f t="array" ref="BD62">IF(W62="",0,SUMPRODUCT((CA4:CA795="Sesame")*(CB4:CB795="ALERTE")*(COUNTIF(AI62,"*"&amp;CC4:CC795&amp;"*")&gt;0)*1))</f>
        <v>0</v>
      </c>
      <c r="BE62" s="6625" cm="1">
        <f t="array" ref="BE62">IF(W62="",0,SUMPRODUCT((CA4:CA795="Sulfites")*(CB4:CB795="ALERTE")*(COUNTIF(AI62,"*"&amp;CC4:CC795&amp;"*")&gt;0)*1))</f>
        <v>0</v>
      </c>
      <c r="BF62" s="6625" cm="1">
        <f t="array" ref="BF62">IF(W62="",0,SUMPRODUCT((CA4:CA795="Lupin")*(CB4:CB795="ALERTE")*(COUNTIF(AI62,"*"&amp;CC4:CC795&amp;"*")&gt;0)*1))</f>
        <v>0</v>
      </c>
      <c r="BG62" s="6625" cm="1">
        <f t="array" ref="BG62">IF(W62="",0,SUMPRODUCT((CA4:CA795="Mollusques")*(CB4:CB795="EXCL")*(COUNTIF(AI62,"*"&amp;CC4:CC795&amp;"*")&gt;0)*1))</f>
        <v>0</v>
      </c>
      <c r="BH62" s="6625" cm="1">
        <f t="array" ref="BH62">IF(W62="",0,SUMPRODUCT((CA4:CA795="Mollusques")*(CB4:CB795="ALERTE")*(COUNTIF(AI62,"*"&amp;CC4:CC795&amp;"*")&gt;0)*1))</f>
        <v>0</v>
      </c>
      <c r="BI62" s="6625" t="str">
        <f t="shared" si="25"/>
        <v/>
      </c>
      <c r="BJ62" s="6625" t="str">
        <f t="shared" si="26"/>
        <v/>
      </c>
      <c r="BK62" s="6625" t="str">
        <f t="shared" si="27"/>
        <v/>
      </c>
      <c r="BL62" s="6625" t="str">
        <f t="shared" si="28"/>
        <v/>
      </c>
      <c r="BM62" s="6625" t="str">
        <f t="shared" si="29"/>
        <v/>
      </c>
      <c r="BN62" s="6625" t="str">
        <f t="shared" si="30"/>
        <v/>
      </c>
      <c r="BO62" s="6625" t="str">
        <f t="shared" si="31"/>
        <v/>
      </c>
      <c r="BP62" s="6625" t="str">
        <f t="shared" si="32"/>
        <v/>
      </c>
      <c r="BQ62" s="6625" t="str">
        <f t="shared" si="33"/>
        <v/>
      </c>
      <c r="BR62" s="6625" t="str">
        <f t="shared" si="34"/>
        <v/>
      </c>
      <c r="BS62" s="6625" t="str">
        <f t="shared" si="35"/>
        <v/>
      </c>
      <c r="BT62" s="6625" t="str">
        <f t="shared" si="36"/>
        <v/>
      </c>
      <c r="BU62" s="6625" t="str">
        <f t="shared" si="37"/>
        <v/>
      </c>
      <c r="BV62" s="6625" t="str">
        <f t="shared" si="38"/>
        <v/>
      </c>
      <c r="BW62" s="6625" t="str">
        <f t="shared" si="39"/>
        <v/>
      </c>
      <c r="BX62" s="6625" t="str">
        <f t="shared" si="40"/>
        <v/>
      </c>
      <c r="CA62" s="3170" t="s">
        <v>16449</v>
      </c>
      <c r="CB62" s="7634" t="s">
        <v>16255</v>
      </c>
      <c r="CC62" s="3170" t="s">
        <v>16456</v>
      </c>
      <c r="CD62" s="3170" t="s">
        <v>16457</v>
      </c>
    </row>
    <row r="63" spans="2:82" ht="30" customHeight="1">
      <c r="B63" s="7661" t="str">
        <f t="shared" si="0"/>
        <v/>
      </c>
      <c r="C63" s="7661" t="str">
        <f t="shared" si="1"/>
        <v/>
      </c>
      <c r="D63" s="7661" t="str">
        <f t="shared" si="2"/>
        <v/>
      </c>
      <c r="E63" s="7661">
        <f>IF(H62&lt;&gt;"",E62,IF(E62="","",IFERROR(MATCH(TRUE(),INDEX(INDEX($K:$K,E62+1):$K$203&lt;&gt;"",0),0)+E62,"")))</f>
        <v>238</v>
      </c>
      <c r="F63" s="7661">
        <f t="shared" si="41"/>
        <v>0</v>
      </c>
      <c r="G63" s="7661" t="str">
        <f t="shared" si="3"/>
        <v>0</v>
      </c>
      <c r="H63" s="7672" t="str">
        <f t="shared" si="4"/>
        <v/>
      </c>
      <c r="I63" s="7683" t="str">
        <f t="shared" si="5"/>
        <v/>
      </c>
      <c r="J63" s="7673" t="str">
        <f>IF(K63="","",COUNTIF($K$18:K63,"&lt;&gt;"))</f>
        <v/>
      </c>
      <c r="K63" s="7674"/>
      <c r="L63" s="7673" t="str">
        <f t="shared" si="6"/>
        <v/>
      </c>
      <c r="M63" s="7630">
        <f t="shared" si="7"/>
        <v>1</v>
      </c>
      <c r="N63" s="7675">
        <f t="shared" si="8"/>
        <v>46</v>
      </c>
      <c r="O63" s="7676" t="str">
        <f t="shared" si="9"/>
        <v>0</v>
      </c>
      <c r="P63" s="7675">
        <f t="shared" si="10"/>
        <v>1</v>
      </c>
      <c r="Q63" s="7675">
        <f t="shared" si="11"/>
        <v>1</v>
      </c>
      <c r="S63" s="7679" t="str">
        <f t="shared" si="42"/>
        <v>0</v>
      </c>
      <c r="T63" s="7680" t="str">
        <f t="shared" si="12"/>
        <v/>
      </c>
      <c r="V63" s="7677">
        <f t="shared" si="13"/>
        <v>63</v>
      </c>
      <c r="W63" s="7678" t="str">
        <f t="shared" si="43"/>
        <v>0</v>
      </c>
      <c r="X63" s="7677" t="s">
        <v>2</v>
      </c>
      <c r="Y63" s="7702" t="str">
        <f t="shared" si="14"/>
        <v>0</v>
      </c>
      <c r="Z63" s="7703" t="str">
        <f t="shared" si="15"/>
        <v/>
      </c>
      <c r="AA63" s="7681" t="str">
        <f t="shared" si="16"/>
        <v>0</v>
      </c>
      <c r="AB63" s="7682" t="str">
        <f t="shared" si="17"/>
        <v/>
      </c>
      <c r="AC63" s="7677">
        <f t="shared" si="18"/>
        <v>0</v>
      </c>
      <c r="AD63" s="7677">
        <f t="shared" si="19"/>
        <v>0</v>
      </c>
      <c r="AE63" s="7682" t="str">
        <f t="shared" si="20"/>
        <v>aucun match</v>
      </c>
      <c r="AF63" s="6625" t="str">
        <f t="shared" si="21"/>
        <v>0</v>
      </c>
      <c r="AG63" s="6625" t="str">
        <f t="shared" si="22"/>
        <v>0</v>
      </c>
      <c r="AH63" s="6625" t="str">
        <f t="shared" si="23"/>
        <v>0</v>
      </c>
      <c r="AI63" s="6625" t="str">
        <f t="shared" si="24"/>
        <v xml:space="preserve"> 0 </v>
      </c>
      <c r="AJ63" s="6625" cm="1">
        <f t="array" ref="AJ63">IF(W63="",0,SUMPRODUCT((CA4:CA795="Gluten")*(CB4:CB795="INFO")*(COUNTIF(AI63,"*"&amp;CC4:CC795&amp;"*")&gt;0)*1))</f>
        <v>0</v>
      </c>
      <c r="AK63" s="6625" cm="1">
        <f t="array" ref="AK63">IF(W63="",0,SUMPRODUCT((CA4:CA795="Gluten")*(CB4:CB795="EXCL")*(COUNTIF(AI63,"*"&amp;CC4:CC795&amp;"*")&gt;0)*1))</f>
        <v>0</v>
      </c>
      <c r="AL63" s="6625" cm="1">
        <f t="array" ref="AL63">IF(W63="",0,SUMPRODUCT((CA4:CA795="Gluten")*(CB4:CB795="ALERTE")*(COUNTIF(AI63,"*"&amp;CC4:CC795&amp;"*")&gt;0)*1))</f>
        <v>0</v>
      </c>
      <c r="AM63" s="6625" cm="1">
        <f t="array" ref="AM63">IF(W63="",0,SUMPRODUCT((CA4:CA795="Gluten")*(CB4:CB795="SUSP")*(COUNTIF(AI63,"*"&amp;CC4:CC795&amp;"*")&gt;0)*1))</f>
        <v>0</v>
      </c>
      <c r="AN63" s="6625" cm="1">
        <f t="array" ref="AN63">IF(W63="",0,SUMPRODUCT((CA4:CA795="Crustaces")*(CB4:CB795="ALERTE")*(COUNTIF(AI63,"*"&amp;CC4:CC795&amp;"*")&gt;0)*1))</f>
        <v>0</v>
      </c>
      <c r="AO63" s="6625" cm="1">
        <f t="array" ref="AO63">IF(W63="",0,SUMPRODUCT((CA4:CA795="Oeufs")*(CB4:CB795="ALERTE")*(COUNTIF(AI63,"*"&amp;CC4:CC795&amp;"*")&gt;0)*1))</f>
        <v>0</v>
      </c>
      <c r="AP63" s="6625" cm="1">
        <f t="array" ref="AP63">IF(W63="",0,SUMPRODUCT((CA4:CA795="Poissons")*(CB4:CB795="INFO")*(COUNTIF(AI63,"*"&amp;CC4:CC795&amp;"*")&gt;0)*1))</f>
        <v>0</v>
      </c>
      <c r="AQ63" s="6625" cm="1">
        <f t="array" ref="AQ63">IF(W63="",0,SUMPRODUCT((CA4:CA795="Poissons")*(CB4:CB795="EXCL")*(COUNTIF(AI63,"*"&amp;CC4:CC795&amp;"*")&gt;0)*1))</f>
        <v>0</v>
      </c>
      <c r="AR63" s="6625" cm="1">
        <f t="array" ref="AR63">IF(W63="",0,SUMPRODUCT((CA4:CA795="Poissons")*(CB4:CB795="ALERTE")*(COUNTIF(AI63,"*"&amp;CC4:CC795&amp;"*")&gt;0)*1))</f>
        <v>0</v>
      </c>
      <c r="AS63" s="6625" cm="1">
        <f t="array" ref="AS63">IF(W63="",0,SUMPRODUCT((CA4:CA795="Arachides")*(CB4:CB795="ALERTE")*(COUNTIF(AI63,"*"&amp;CC4:CC795&amp;"*")&gt;0)*1))</f>
        <v>0</v>
      </c>
      <c r="AT63" s="6625" cm="1">
        <f t="array" ref="AT63">IF(W63="",0,SUMPRODUCT((CA4:CA795="Soja")*(CB4:CB795="INFO")*(COUNTIF(AI63,"*"&amp;CC4:CC795&amp;"*")&gt;0)*1))</f>
        <v>0</v>
      </c>
      <c r="AU63" s="6625" cm="1">
        <f t="array" ref="AU63">IF(W63="",0,SUMPRODUCT((CA4:CA795="Soja")*(CB4:CB795="ALERTE")*(COUNTIF(AI63,"*"&amp;CC4:CC795&amp;"*")&gt;0)*1))</f>
        <v>0</v>
      </c>
      <c r="AV63" s="6625" cm="1">
        <f t="array" ref="AV63">IF(W63="",0,SUMPRODUCT((CA4:CA795="Lait")*(CB4:CB795="INFO")*(COUNTIF(AI63,"*"&amp;CC4:CC795&amp;"*")&gt;0)*1))</f>
        <v>0</v>
      </c>
      <c r="AW63" s="6625" cm="1">
        <f t="array" ref="AW63">IF(W63="",0,SUMPRODUCT((CA4:CA795="Lait")*(CB4:CB795="EXCL")*(COUNTIF(AI63,"*"&amp;CC4:CC795&amp;"*")&gt;0)*1))</f>
        <v>0</v>
      </c>
      <c r="AX63" s="6625" cm="1">
        <f t="array" ref="AX63">IF(W63="",0,SUMPRODUCT((CA4:CA795="Lait")*(CB4:CB795="ALERTE")*(COUNTIF(AI63,"*"&amp;CC4:CC795&amp;"*")&gt;0)*1))</f>
        <v>0</v>
      </c>
      <c r="AY63" s="6625" cm="1">
        <f t="array" ref="AY63">IF(W63="",0,SUMPRODUCT((CA4:CA795="Lait")*(CB4:CB795="SUSP")*(COUNTIF(AI63,"*"&amp;CC4:CC795&amp;"*")&gt;0)*1))</f>
        <v>0</v>
      </c>
      <c r="AZ63" s="6625" cm="1">
        <f t="array" ref="AZ63">IF(W63="",0,SUMPRODUCT((CA4:CA795="Fruits a coque")*(CB4:CB795="EXCL")*(COUNTIF(AI63,"*"&amp;CC4:CC795&amp;"*")&gt;0)*1))</f>
        <v>0</v>
      </c>
      <c r="BA63" s="6625" cm="1">
        <f t="array" ref="BA63">IF(W63="",0,SUMPRODUCT((CA4:CA795="Fruits a coque")*(CB4:CB795="ALERTE")*(COUNTIF(AI63,"*"&amp;CC4:CC795&amp;"*")&gt;0)*1))</f>
        <v>0</v>
      </c>
      <c r="BB63" s="6625" cm="1">
        <f t="array" ref="BB63">IF(W63="",0,SUMPRODUCT((CA4:CA795="Celeri")*(CB4:CB795="ALERTE")*(COUNTIF(AI63,"*"&amp;CC4:CC795&amp;"*")&gt;0)*1))</f>
        <v>0</v>
      </c>
      <c r="BC63" s="6625" cm="1">
        <f t="array" ref="BC63">IF(W63="",0,SUMPRODUCT((CA4:CA795="Moutarde")*(CB4:CB795="ALERTE")*(COUNTIF(AI63,"*"&amp;CC4:CC795&amp;"*")&gt;0)*1))</f>
        <v>0</v>
      </c>
      <c r="BD63" s="6625" cm="1">
        <f t="array" ref="BD63">IF(W63="",0,SUMPRODUCT((CA4:CA795="Sesame")*(CB4:CB795="ALERTE")*(COUNTIF(AI63,"*"&amp;CC4:CC795&amp;"*")&gt;0)*1))</f>
        <v>0</v>
      </c>
      <c r="BE63" s="6625" cm="1">
        <f t="array" ref="BE63">IF(W63="",0,SUMPRODUCT((CA4:CA795="Sulfites")*(CB4:CB795="ALERTE")*(COUNTIF(AI63,"*"&amp;CC4:CC795&amp;"*")&gt;0)*1))</f>
        <v>0</v>
      </c>
      <c r="BF63" s="6625" cm="1">
        <f t="array" ref="BF63">IF(W63="",0,SUMPRODUCT((CA4:CA795="Lupin")*(CB4:CB795="ALERTE")*(COUNTIF(AI63,"*"&amp;CC4:CC795&amp;"*")&gt;0)*1))</f>
        <v>0</v>
      </c>
      <c r="BG63" s="6625" cm="1">
        <f t="array" ref="BG63">IF(W63="",0,SUMPRODUCT((CA4:CA795="Mollusques")*(CB4:CB795="EXCL")*(COUNTIF(AI63,"*"&amp;CC4:CC795&amp;"*")&gt;0)*1))</f>
        <v>0</v>
      </c>
      <c r="BH63" s="6625" cm="1">
        <f t="array" ref="BH63">IF(W63="",0,SUMPRODUCT((CA4:CA795="Mollusques")*(CB4:CB795="ALERTE")*(COUNTIF(AI63,"*"&amp;CC4:CC795&amp;"*")&gt;0)*1))</f>
        <v>0</v>
      </c>
      <c r="BI63" s="6625" t="str">
        <f t="shared" si="25"/>
        <v/>
      </c>
      <c r="BJ63" s="6625" t="str">
        <f t="shared" si="26"/>
        <v/>
      </c>
      <c r="BK63" s="6625" t="str">
        <f t="shared" si="27"/>
        <v/>
      </c>
      <c r="BL63" s="6625" t="str">
        <f t="shared" si="28"/>
        <v/>
      </c>
      <c r="BM63" s="6625" t="str">
        <f t="shared" si="29"/>
        <v/>
      </c>
      <c r="BN63" s="6625" t="str">
        <f t="shared" si="30"/>
        <v/>
      </c>
      <c r="BO63" s="6625" t="str">
        <f t="shared" si="31"/>
        <v/>
      </c>
      <c r="BP63" s="6625" t="str">
        <f t="shared" si="32"/>
        <v/>
      </c>
      <c r="BQ63" s="6625" t="str">
        <f t="shared" si="33"/>
        <v/>
      </c>
      <c r="BR63" s="6625" t="str">
        <f t="shared" si="34"/>
        <v/>
      </c>
      <c r="BS63" s="6625" t="str">
        <f t="shared" si="35"/>
        <v/>
      </c>
      <c r="BT63" s="6625" t="str">
        <f t="shared" si="36"/>
        <v/>
      </c>
      <c r="BU63" s="6625" t="str">
        <f t="shared" si="37"/>
        <v/>
      </c>
      <c r="BV63" s="6625" t="str">
        <f t="shared" si="38"/>
        <v/>
      </c>
      <c r="BW63" s="6625" t="str">
        <f t="shared" si="39"/>
        <v/>
      </c>
      <c r="BX63" s="6625" t="str">
        <f t="shared" si="40"/>
        <v/>
      </c>
      <c r="CA63" s="3170" t="s">
        <v>16449</v>
      </c>
      <c r="CB63" s="7634" t="s">
        <v>16255</v>
      </c>
      <c r="CC63" s="3170" t="s">
        <v>16458</v>
      </c>
      <c r="CD63" s="3170" t="s">
        <v>16459</v>
      </c>
    </row>
    <row r="64" spans="2:82" ht="30" customHeight="1">
      <c r="B64" s="7661" t="str">
        <f t="shared" si="0"/>
        <v/>
      </c>
      <c r="C64" s="7661" t="str">
        <f t="shared" si="1"/>
        <v/>
      </c>
      <c r="D64" s="7661" t="str">
        <f t="shared" si="2"/>
        <v/>
      </c>
      <c r="E64" s="7661">
        <f>IF(H63&lt;&gt;"",E63,IF(E63="","",IFERROR(MATCH(TRUE(),INDEX(INDEX($K:$K,E63+1):$K$203&lt;&gt;"",0),0)+E63,"")))</f>
        <v>239</v>
      </c>
      <c r="F64" s="7661">
        <f t="shared" si="41"/>
        <v>0</v>
      </c>
      <c r="G64" s="7661" t="str">
        <f t="shared" si="3"/>
        <v>0</v>
      </c>
      <c r="H64" s="7672" t="str">
        <f t="shared" si="4"/>
        <v/>
      </c>
      <c r="I64" s="7683" t="str">
        <f t="shared" si="5"/>
        <v/>
      </c>
      <c r="J64" s="7673" t="str">
        <f>IF(K64="","",COUNTIF($K$18:K64,"&lt;&gt;"))</f>
        <v/>
      </c>
      <c r="K64" s="7674"/>
      <c r="L64" s="7673" t="str">
        <f t="shared" si="6"/>
        <v/>
      </c>
      <c r="M64" s="7630">
        <f t="shared" si="7"/>
        <v>1</v>
      </c>
      <c r="N64" s="7675">
        <f t="shared" si="8"/>
        <v>47</v>
      </c>
      <c r="O64" s="7676" t="str">
        <f t="shared" si="9"/>
        <v>0</v>
      </c>
      <c r="P64" s="7675">
        <f t="shared" si="10"/>
        <v>1</v>
      </c>
      <c r="Q64" s="7675">
        <f t="shared" si="11"/>
        <v>1</v>
      </c>
      <c r="S64" s="7679" t="str">
        <f t="shared" si="42"/>
        <v>0</v>
      </c>
      <c r="T64" s="7680" t="str">
        <f t="shared" si="12"/>
        <v/>
      </c>
      <c r="V64" s="7677">
        <f t="shared" si="13"/>
        <v>64</v>
      </c>
      <c r="W64" s="7678" t="str">
        <f t="shared" si="43"/>
        <v>0</v>
      </c>
      <c r="X64" s="7677" t="s">
        <v>2</v>
      </c>
      <c r="Y64" s="7702" t="str">
        <f t="shared" si="14"/>
        <v>0</v>
      </c>
      <c r="Z64" s="7703" t="str">
        <f t="shared" si="15"/>
        <v/>
      </c>
      <c r="AA64" s="7681" t="str">
        <f t="shared" si="16"/>
        <v>0</v>
      </c>
      <c r="AB64" s="7682" t="str">
        <f t="shared" si="17"/>
        <v/>
      </c>
      <c r="AC64" s="7677">
        <f t="shared" si="18"/>
        <v>0</v>
      </c>
      <c r="AD64" s="7677">
        <f t="shared" si="19"/>
        <v>0</v>
      </c>
      <c r="AE64" s="7682" t="str">
        <f t="shared" si="20"/>
        <v>aucun match</v>
      </c>
      <c r="AF64" s="6625" t="str">
        <f t="shared" si="21"/>
        <v>0</v>
      </c>
      <c r="AG64" s="6625" t="str">
        <f t="shared" si="22"/>
        <v>0</v>
      </c>
      <c r="AH64" s="6625" t="str">
        <f t="shared" si="23"/>
        <v>0</v>
      </c>
      <c r="AI64" s="6625" t="str">
        <f t="shared" si="24"/>
        <v xml:space="preserve"> 0 </v>
      </c>
      <c r="AJ64" s="6625" cm="1">
        <f t="array" ref="AJ64">IF(W64="",0,SUMPRODUCT((CA4:CA795="Gluten")*(CB4:CB795="INFO")*(COUNTIF(AI64,"*"&amp;CC4:CC795&amp;"*")&gt;0)*1))</f>
        <v>0</v>
      </c>
      <c r="AK64" s="6625" cm="1">
        <f t="array" ref="AK64">IF(W64="",0,SUMPRODUCT((CA4:CA795="Gluten")*(CB4:CB795="EXCL")*(COUNTIF(AI64,"*"&amp;CC4:CC795&amp;"*")&gt;0)*1))</f>
        <v>0</v>
      </c>
      <c r="AL64" s="6625" cm="1">
        <f t="array" ref="AL64">IF(W64="",0,SUMPRODUCT((CA4:CA795="Gluten")*(CB4:CB795="ALERTE")*(COUNTIF(AI64,"*"&amp;CC4:CC795&amp;"*")&gt;0)*1))</f>
        <v>0</v>
      </c>
      <c r="AM64" s="6625" cm="1">
        <f t="array" ref="AM64">IF(W64="",0,SUMPRODUCT((CA4:CA795="Gluten")*(CB4:CB795="SUSP")*(COUNTIF(AI64,"*"&amp;CC4:CC795&amp;"*")&gt;0)*1))</f>
        <v>0</v>
      </c>
      <c r="AN64" s="6625" cm="1">
        <f t="array" ref="AN64">IF(W64="",0,SUMPRODUCT((CA4:CA795="Crustaces")*(CB4:CB795="ALERTE")*(COUNTIF(AI64,"*"&amp;CC4:CC795&amp;"*")&gt;0)*1))</f>
        <v>0</v>
      </c>
      <c r="AO64" s="6625" cm="1">
        <f t="array" ref="AO64">IF(W64="",0,SUMPRODUCT((CA4:CA795="Oeufs")*(CB4:CB795="ALERTE")*(COUNTIF(AI64,"*"&amp;CC4:CC795&amp;"*")&gt;0)*1))</f>
        <v>0</v>
      </c>
      <c r="AP64" s="6625" cm="1">
        <f t="array" ref="AP64">IF(W64="",0,SUMPRODUCT((CA4:CA795="Poissons")*(CB4:CB795="INFO")*(COUNTIF(AI64,"*"&amp;CC4:CC795&amp;"*")&gt;0)*1))</f>
        <v>0</v>
      </c>
      <c r="AQ64" s="6625" cm="1">
        <f t="array" ref="AQ64">IF(W64="",0,SUMPRODUCT((CA4:CA795="Poissons")*(CB4:CB795="EXCL")*(COUNTIF(AI64,"*"&amp;CC4:CC795&amp;"*")&gt;0)*1))</f>
        <v>0</v>
      </c>
      <c r="AR64" s="6625" cm="1">
        <f t="array" ref="AR64">IF(W64="",0,SUMPRODUCT((CA4:CA795="Poissons")*(CB4:CB795="ALERTE")*(COUNTIF(AI64,"*"&amp;CC4:CC795&amp;"*")&gt;0)*1))</f>
        <v>0</v>
      </c>
      <c r="AS64" s="6625" cm="1">
        <f t="array" ref="AS64">IF(W64="",0,SUMPRODUCT((CA4:CA795="Arachides")*(CB4:CB795="ALERTE")*(COUNTIF(AI64,"*"&amp;CC4:CC795&amp;"*")&gt;0)*1))</f>
        <v>0</v>
      </c>
      <c r="AT64" s="6625" cm="1">
        <f t="array" ref="AT64">IF(W64="",0,SUMPRODUCT((CA4:CA795="Soja")*(CB4:CB795="INFO")*(COUNTIF(AI64,"*"&amp;CC4:CC795&amp;"*")&gt;0)*1))</f>
        <v>0</v>
      </c>
      <c r="AU64" s="6625" cm="1">
        <f t="array" ref="AU64">IF(W64="",0,SUMPRODUCT((CA4:CA795="Soja")*(CB4:CB795="ALERTE")*(COUNTIF(AI64,"*"&amp;CC4:CC795&amp;"*")&gt;0)*1))</f>
        <v>0</v>
      </c>
      <c r="AV64" s="6625" cm="1">
        <f t="array" ref="AV64">IF(W64="",0,SUMPRODUCT((CA4:CA795="Lait")*(CB4:CB795="INFO")*(COUNTIF(AI64,"*"&amp;CC4:CC795&amp;"*")&gt;0)*1))</f>
        <v>0</v>
      </c>
      <c r="AW64" s="6625" cm="1">
        <f t="array" ref="AW64">IF(W64="",0,SUMPRODUCT((CA4:CA795="Lait")*(CB4:CB795="EXCL")*(COUNTIF(AI64,"*"&amp;CC4:CC795&amp;"*")&gt;0)*1))</f>
        <v>0</v>
      </c>
      <c r="AX64" s="6625" cm="1">
        <f t="array" ref="AX64">IF(W64="",0,SUMPRODUCT((CA4:CA795="Lait")*(CB4:CB795="ALERTE")*(COUNTIF(AI64,"*"&amp;CC4:CC795&amp;"*")&gt;0)*1))</f>
        <v>0</v>
      </c>
      <c r="AY64" s="6625" cm="1">
        <f t="array" ref="AY64">IF(W64="",0,SUMPRODUCT((CA4:CA795="Lait")*(CB4:CB795="SUSP")*(COUNTIF(AI64,"*"&amp;CC4:CC795&amp;"*")&gt;0)*1))</f>
        <v>0</v>
      </c>
      <c r="AZ64" s="6625" cm="1">
        <f t="array" ref="AZ64">IF(W64="",0,SUMPRODUCT((CA4:CA795="Fruits a coque")*(CB4:CB795="EXCL")*(COUNTIF(AI64,"*"&amp;CC4:CC795&amp;"*")&gt;0)*1))</f>
        <v>0</v>
      </c>
      <c r="BA64" s="6625" cm="1">
        <f t="array" ref="BA64">IF(W64="",0,SUMPRODUCT((CA4:CA795="Fruits a coque")*(CB4:CB795="ALERTE")*(COUNTIF(AI64,"*"&amp;CC4:CC795&amp;"*")&gt;0)*1))</f>
        <v>0</v>
      </c>
      <c r="BB64" s="6625" cm="1">
        <f t="array" ref="BB64">IF(W64="",0,SUMPRODUCT((CA4:CA795="Celeri")*(CB4:CB795="ALERTE")*(COUNTIF(AI64,"*"&amp;CC4:CC795&amp;"*")&gt;0)*1))</f>
        <v>0</v>
      </c>
      <c r="BC64" s="6625" cm="1">
        <f t="array" ref="BC64">IF(W64="",0,SUMPRODUCT((CA4:CA795="Moutarde")*(CB4:CB795="ALERTE")*(COUNTIF(AI64,"*"&amp;CC4:CC795&amp;"*")&gt;0)*1))</f>
        <v>0</v>
      </c>
      <c r="BD64" s="6625" cm="1">
        <f t="array" ref="BD64">IF(W64="",0,SUMPRODUCT((CA4:CA795="Sesame")*(CB4:CB795="ALERTE")*(COUNTIF(AI64,"*"&amp;CC4:CC795&amp;"*")&gt;0)*1))</f>
        <v>0</v>
      </c>
      <c r="BE64" s="6625" cm="1">
        <f t="array" ref="BE64">IF(W64="",0,SUMPRODUCT((CA4:CA795="Sulfites")*(CB4:CB795="ALERTE")*(COUNTIF(AI64,"*"&amp;CC4:CC795&amp;"*")&gt;0)*1))</f>
        <v>0</v>
      </c>
      <c r="BF64" s="6625" cm="1">
        <f t="array" ref="BF64">IF(W64="",0,SUMPRODUCT((CA4:CA795="Lupin")*(CB4:CB795="ALERTE")*(COUNTIF(AI64,"*"&amp;CC4:CC795&amp;"*")&gt;0)*1))</f>
        <v>0</v>
      </c>
      <c r="BG64" s="6625" cm="1">
        <f t="array" ref="BG64">IF(W64="",0,SUMPRODUCT((CA4:CA795="Mollusques")*(CB4:CB795="EXCL")*(COUNTIF(AI64,"*"&amp;CC4:CC795&amp;"*")&gt;0)*1))</f>
        <v>0</v>
      </c>
      <c r="BH64" s="6625" cm="1">
        <f t="array" ref="BH64">IF(W64="",0,SUMPRODUCT((CA4:CA795="Mollusques")*(CB4:CB795="ALERTE")*(COUNTIF(AI64,"*"&amp;CC4:CC795&amp;"*")&gt;0)*1))</f>
        <v>0</v>
      </c>
      <c r="BI64" s="6625" t="str">
        <f t="shared" si="25"/>
        <v/>
      </c>
      <c r="BJ64" s="6625" t="str">
        <f t="shared" si="26"/>
        <v/>
      </c>
      <c r="BK64" s="6625" t="str">
        <f t="shared" si="27"/>
        <v/>
      </c>
      <c r="BL64" s="6625" t="str">
        <f t="shared" si="28"/>
        <v/>
      </c>
      <c r="BM64" s="6625" t="str">
        <f t="shared" si="29"/>
        <v/>
      </c>
      <c r="BN64" s="6625" t="str">
        <f t="shared" si="30"/>
        <v/>
      </c>
      <c r="BO64" s="6625" t="str">
        <f t="shared" si="31"/>
        <v/>
      </c>
      <c r="BP64" s="6625" t="str">
        <f t="shared" si="32"/>
        <v/>
      </c>
      <c r="BQ64" s="6625" t="str">
        <f t="shared" si="33"/>
        <v/>
      </c>
      <c r="BR64" s="6625" t="str">
        <f t="shared" si="34"/>
        <v/>
      </c>
      <c r="BS64" s="6625" t="str">
        <f t="shared" si="35"/>
        <v/>
      </c>
      <c r="BT64" s="6625" t="str">
        <f t="shared" si="36"/>
        <v/>
      </c>
      <c r="BU64" s="6625" t="str">
        <f t="shared" si="37"/>
        <v/>
      </c>
      <c r="BV64" s="6625" t="str">
        <f t="shared" si="38"/>
        <v/>
      </c>
      <c r="BW64" s="6625" t="str">
        <f t="shared" si="39"/>
        <v/>
      </c>
      <c r="BX64" s="6625" t="str">
        <f t="shared" si="40"/>
        <v/>
      </c>
      <c r="CA64" s="3170" t="s">
        <v>16449</v>
      </c>
      <c r="CB64" s="7634" t="s">
        <v>16255</v>
      </c>
      <c r="CC64" s="3170" t="s">
        <v>5093</v>
      </c>
      <c r="CD64" s="3170" t="s">
        <v>16460</v>
      </c>
    </row>
    <row r="65" spans="2:82" ht="30" customHeight="1">
      <c r="B65" s="7661" t="str">
        <f t="shared" si="0"/>
        <v/>
      </c>
      <c r="C65" s="7661" t="str">
        <f t="shared" si="1"/>
        <v/>
      </c>
      <c r="D65" s="7661" t="str">
        <f t="shared" si="2"/>
        <v/>
      </c>
      <c r="E65" s="7661">
        <f>IF(H64&lt;&gt;"",E64,IF(E64="","",IFERROR(MATCH(TRUE(),INDEX(INDEX($K:$K,E64+1):$K$203&lt;&gt;"",0),0)+E64,"")))</f>
        <v>240</v>
      </c>
      <c r="F65" s="7661">
        <f t="shared" si="41"/>
        <v>0</v>
      </c>
      <c r="G65" s="7661" t="str">
        <f t="shared" si="3"/>
        <v>0</v>
      </c>
      <c r="H65" s="7672" t="str">
        <f t="shared" si="4"/>
        <v/>
      </c>
      <c r="I65" s="7683" t="str">
        <f t="shared" si="5"/>
        <v/>
      </c>
      <c r="J65" s="7673" t="str">
        <f>IF(K65="","",COUNTIF($K$18:K65,"&lt;&gt;"))</f>
        <v/>
      </c>
      <c r="K65" s="7674"/>
      <c r="L65" s="7673" t="str">
        <f t="shared" si="6"/>
        <v/>
      </c>
      <c r="M65" s="7630">
        <f t="shared" si="7"/>
        <v>1</v>
      </c>
      <c r="N65" s="7675">
        <f t="shared" si="8"/>
        <v>48</v>
      </c>
      <c r="O65" s="7676" t="str">
        <f t="shared" si="9"/>
        <v>0</v>
      </c>
      <c r="P65" s="7675">
        <f t="shared" si="10"/>
        <v>1</v>
      </c>
      <c r="Q65" s="7675">
        <f t="shared" si="11"/>
        <v>1</v>
      </c>
      <c r="S65" s="7679" t="str">
        <f t="shared" si="42"/>
        <v>0</v>
      </c>
      <c r="T65" s="7680" t="str">
        <f t="shared" si="12"/>
        <v/>
      </c>
      <c r="V65" s="7677">
        <f t="shared" si="13"/>
        <v>65</v>
      </c>
      <c r="W65" s="7678" t="str">
        <f t="shared" si="43"/>
        <v>0</v>
      </c>
      <c r="X65" s="7677" t="s">
        <v>2</v>
      </c>
      <c r="Y65" s="7702" t="str">
        <f t="shared" si="14"/>
        <v>0</v>
      </c>
      <c r="Z65" s="7703" t="str">
        <f t="shared" si="15"/>
        <v/>
      </c>
      <c r="AA65" s="7681" t="str">
        <f t="shared" si="16"/>
        <v>0</v>
      </c>
      <c r="AB65" s="7682" t="str">
        <f t="shared" si="17"/>
        <v/>
      </c>
      <c r="AC65" s="7677">
        <f t="shared" si="18"/>
        <v>0</v>
      </c>
      <c r="AD65" s="7677">
        <f t="shared" si="19"/>
        <v>0</v>
      </c>
      <c r="AE65" s="7682" t="str">
        <f t="shared" si="20"/>
        <v>aucun match</v>
      </c>
      <c r="AF65" s="6625" t="str">
        <f t="shared" si="21"/>
        <v>0</v>
      </c>
      <c r="AG65" s="6625" t="str">
        <f t="shared" si="22"/>
        <v>0</v>
      </c>
      <c r="AH65" s="6625" t="str">
        <f t="shared" si="23"/>
        <v>0</v>
      </c>
      <c r="AI65" s="6625" t="str">
        <f t="shared" si="24"/>
        <v xml:space="preserve"> 0 </v>
      </c>
      <c r="AJ65" s="6625" cm="1">
        <f t="array" ref="AJ65">IF(W65="",0,SUMPRODUCT((CA4:CA795="Gluten")*(CB4:CB795="INFO")*(COUNTIF(AI65,"*"&amp;CC4:CC795&amp;"*")&gt;0)*1))</f>
        <v>0</v>
      </c>
      <c r="AK65" s="6625" cm="1">
        <f t="array" ref="AK65">IF(W65="",0,SUMPRODUCT((CA4:CA795="Gluten")*(CB4:CB795="EXCL")*(COUNTIF(AI65,"*"&amp;CC4:CC795&amp;"*")&gt;0)*1))</f>
        <v>0</v>
      </c>
      <c r="AL65" s="6625" cm="1">
        <f t="array" ref="AL65">IF(W65="",0,SUMPRODUCT((CA4:CA795="Gluten")*(CB4:CB795="ALERTE")*(COUNTIF(AI65,"*"&amp;CC4:CC795&amp;"*")&gt;0)*1))</f>
        <v>0</v>
      </c>
      <c r="AM65" s="6625" cm="1">
        <f t="array" ref="AM65">IF(W65="",0,SUMPRODUCT((CA4:CA795="Gluten")*(CB4:CB795="SUSP")*(COUNTIF(AI65,"*"&amp;CC4:CC795&amp;"*")&gt;0)*1))</f>
        <v>0</v>
      </c>
      <c r="AN65" s="6625" cm="1">
        <f t="array" ref="AN65">IF(W65="",0,SUMPRODUCT((CA4:CA795="Crustaces")*(CB4:CB795="ALERTE")*(COUNTIF(AI65,"*"&amp;CC4:CC795&amp;"*")&gt;0)*1))</f>
        <v>0</v>
      </c>
      <c r="AO65" s="6625" cm="1">
        <f t="array" ref="AO65">IF(W65="",0,SUMPRODUCT((CA4:CA795="Oeufs")*(CB4:CB795="ALERTE")*(COUNTIF(AI65,"*"&amp;CC4:CC795&amp;"*")&gt;0)*1))</f>
        <v>0</v>
      </c>
      <c r="AP65" s="6625" cm="1">
        <f t="array" ref="AP65">IF(W65="",0,SUMPRODUCT((CA4:CA795="Poissons")*(CB4:CB795="INFO")*(COUNTIF(AI65,"*"&amp;CC4:CC795&amp;"*")&gt;0)*1))</f>
        <v>0</v>
      </c>
      <c r="AQ65" s="6625" cm="1">
        <f t="array" ref="AQ65">IF(W65="",0,SUMPRODUCT((CA4:CA795="Poissons")*(CB4:CB795="EXCL")*(COUNTIF(AI65,"*"&amp;CC4:CC795&amp;"*")&gt;0)*1))</f>
        <v>0</v>
      </c>
      <c r="AR65" s="6625" cm="1">
        <f t="array" ref="AR65">IF(W65="",0,SUMPRODUCT((CA4:CA795="Poissons")*(CB4:CB795="ALERTE")*(COUNTIF(AI65,"*"&amp;CC4:CC795&amp;"*")&gt;0)*1))</f>
        <v>0</v>
      </c>
      <c r="AS65" s="6625" cm="1">
        <f t="array" ref="AS65">IF(W65="",0,SUMPRODUCT((CA4:CA795="Arachides")*(CB4:CB795="ALERTE")*(COUNTIF(AI65,"*"&amp;CC4:CC795&amp;"*")&gt;0)*1))</f>
        <v>0</v>
      </c>
      <c r="AT65" s="6625" cm="1">
        <f t="array" ref="AT65">IF(W65="",0,SUMPRODUCT((CA4:CA795="Soja")*(CB4:CB795="INFO")*(COUNTIF(AI65,"*"&amp;CC4:CC795&amp;"*")&gt;0)*1))</f>
        <v>0</v>
      </c>
      <c r="AU65" s="6625" cm="1">
        <f t="array" ref="AU65">IF(W65="",0,SUMPRODUCT((CA4:CA795="Soja")*(CB4:CB795="ALERTE")*(COUNTIF(AI65,"*"&amp;CC4:CC795&amp;"*")&gt;0)*1))</f>
        <v>0</v>
      </c>
      <c r="AV65" s="6625" cm="1">
        <f t="array" ref="AV65">IF(W65="",0,SUMPRODUCT((CA4:CA795="Lait")*(CB4:CB795="INFO")*(COUNTIF(AI65,"*"&amp;CC4:CC795&amp;"*")&gt;0)*1))</f>
        <v>0</v>
      </c>
      <c r="AW65" s="6625" cm="1">
        <f t="array" ref="AW65">IF(W65="",0,SUMPRODUCT((CA4:CA795="Lait")*(CB4:CB795="EXCL")*(COUNTIF(AI65,"*"&amp;CC4:CC795&amp;"*")&gt;0)*1))</f>
        <v>0</v>
      </c>
      <c r="AX65" s="6625" cm="1">
        <f t="array" ref="AX65">IF(W65="",0,SUMPRODUCT((CA4:CA795="Lait")*(CB4:CB795="ALERTE")*(COUNTIF(AI65,"*"&amp;CC4:CC795&amp;"*")&gt;0)*1))</f>
        <v>0</v>
      </c>
      <c r="AY65" s="6625" cm="1">
        <f t="array" ref="AY65">IF(W65="",0,SUMPRODUCT((CA4:CA795="Lait")*(CB4:CB795="SUSP")*(COUNTIF(AI65,"*"&amp;CC4:CC795&amp;"*")&gt;0)*1))</f>
        <v>0</v>
      </c>
      <c r="AZ65" s="6625" cm="1">
        <f t="array" ref="AZ65">IF(W65="",0,SUMPRODUCT((CA4:CA795="Fruits a coque")*(CB4:CB795="EXCL")*(COUNTIF(AI65,"*"&amp;CC4:CC795&amp;"*")&gt;0)*1))</f>
        <v>0</v>
      </c>
      <c r="BA65" s="6625" cm="1">
        <f t="array" ref="BA65">IF(W65="",0,SUMPRODUCT((CA4:CA795="Fruits a coque")*(CB4:CB795="ALERTE")*(COUNTIF(AI65,"*"&amp;CC4:CC795&amp;"*")&gt;0)*1))</f>
        <v>0</v>
      </c>
      <c r="BB65" s="6625" cm="1">
        <f t="array" ref="BB65">IF(W65="",0,SUMPRODUCT((CA4:CA795="Celeri")*(CB4:CB795="ALERTE")*(COUNTIF(AI65,"*"&amp;CC4:CC795&amp;"*")&gt;0)*1))</f>
        <v>0</v>
      </c>
      <c r="BC65" s="6625" cm="1">
        <f t="array" ref="BC65">IF(W65="",0,SUMPRODUCT((CA4:CA795="Moutarde")*(CB4:CB795="ALERTE")*(COUNTIF(AI65,"*"&amp;CC4:CC795&amp;"*")&gt;0)*1))</f>
        <v>0</v>
      </c>
      <c r="BD65" s="6625" cm="1">
        <f t="array" ref="BD65">IF(W65="",0,SUMPRODUCT((CA4:CA795="Sesame")*(CB4:CB795="ALERTE")*(COUNTIF(AI65,"*"&amp;CC4:CC795&amp;"*")&gt;0)*1))</f>
        <v>0</v>
      </c>
      <c r="BE65" s="6625" cm="1">
        <f t="array" ref="BE65">IF(W65="",0,SUMPRODUCT((CA4:CA795="Sulfites")*(CB4:CB795="ALERTE")*(COUNTIF(AI65,"*"&amp;CC4:CC795&amp;"*")&gt;0)*1))</f>
        <v>0</v>
      </c>
      <c r="BF65" s="6625" cm="1">
        <f t="array" ref="BF65">IF(W65="",0,SUMPRODUCT((CA4:CA795="Lupin")*(CB4:CB795="ALERTE")*(COUNTIF(AI65,"*"&amp;CC4:CC795&amp;"*")&gt;0)*1))</f>
        <v>0</v>
      </c>
      <c r="BG65" s="6625" cm="1">
        <f t="array" ref="BG65">IF(W65="",0,SUMPRODUCT((CA4:CA795="Mollusques")*(CB4:CB795="EXCL")*(COUNTIF(AI65,"*"&amp;CC4:CC795&amp;"*")&gt;0)*1))</f>
        <v>0</v>
      </c>
      <c r="BH65" s="6625" cm="1">
        <f t="array" ref="BH65">IF(W65="",0,SUMPRODUCT((CA4:CA795="Mollusques")*(CB4:CB795="ALERTE")*(COUNTIF(AI65,"*"&amp;CC4:CC795&amp;"*")&gt;0)*1))</f>
        <v>0</v>
      </c>
      <c r="BI65" s="6625" t="str">
        <f t="shared" si="25"/>
        <v/>
      </c>
      <c r="BJ65" s="6625" t="str">
        <f t="shared" si="26"/>
        <v/>
      </c>
      <c r="BK65" s="6625" t="str">
        <f t="shared" si="27"/>
        <v/>
      </c>
      <c r="BL65" s="6625" t="str">
        <f t="shared" si="28"/>
        <v/>
      </c>
      <c r="BM65" s="6625" t="str">
        <f t="shared" si="29"/>
        <v/>
      </c>
      <c r="BN65" s="6625" t="str">
        <f t="shared" si="30"/>
        <v/>
      </c>
      <c r="BO65" s="6625" t="str">
        <f t="shared" si="31"/>
        <v/>
      </c>
      <c r="BP65" s="6625" t="str">
        <f t="shared" si="32"/>
        <v/>
      </c>
      <c r="BQ65" s="6625" t="str">
        <f t="shared" si="33"/>
        <v/>
      </c>
      <c r="BR65" s="6625" t="str">
        <f t="shared" si="34"/>
        <v/>
      </c>
      <c r="BS65" s="6625" t="str">
        <f t="shared" si="35"/>
        <v/>
      </c>
      <c r="BT65" s="6625" t="str">
        <f t="shared" si="36"/>
        <v/>
      </c>
      <c r="BU65" s="6625" t="str">
        <f t="shared" si="37"/>
        <v/>
      </c>
      <c r="BV65" s="6625" t="str">
        <f t="shared" si="38"/>
        <v/>
      </c>
      <c r="BW65" s="6625" t="str">
        <f t="shared" si="39"/>
        <v/>
      </c>
      <c r="BX65" s="6625" t="str">
        <f t="shared" si="40"/>
        <v/>
      </c>
      <c r="CA65" s="3170" t="s">
        <v>16449</v>
      </c>
      <c r="CB65" s="7634" t="s">
        <v>16255</v>
      </c>
      <c r="CC65" s="3170" t="s">
        <v>5277</v>
      </c>
      <c r="CD65" s="3170" t="s">
        <v>16461</v>
      </c>
    </row>
    <row r="66" spans="2:82" ht="30" customHeight="1">
      <c r="B66" s="7661" t="str">
        <f t="shared" si="0"/>
        <v/>
      </c>
      <c r="C66" s="7661" t="str">
        <f t="shared" si="1"/>
        <v/>
      </c>
      <c r="D66" s="7661" t="str">
        <f t="shared" si="2"/>
        <v/>
      </c>
      <c r="E66" s="7661">
        <f>IF(H65&lt;&gt;"",E65,IF(E65="","",IFERROR(MATCH(TRUE(),INDEX(INDEX($K:$K,E65+1):$K$203&lt;&gt;"",0),0)+E65,"")))</f>
        <v>241</v>
      </c>
      <c r="F66" s="7661">
        <f t="shared" si="41"/>
        <v>0</v>
      </c>
      <c r="G66" s="7661" t="str">
        <f t="shared" si="3"/>
        <v>0</v>
      </c>
      <c r="H66" s="7672" t="str">
        <f t="shared" si="4"/>
        <v/>
      </c>
      <c r="I66" s="7683" t="str">
        <f t="shared" si="5"/>
        <v/>
      </c>
      <c r="J66" s="7673" t="str">
        <f>IF(K66="","",COUNTIF($K$18:K66,"&lt;&gt;"))</f>
        <v/>
      </c>
      <c r="K66" s="7674"/>
      <c r="L66" s="7673" t="str">
        <f t="shared" si="6"/>
        <v/>
      </c>
      <c r="M66" s="7630">
        <f t="shared" si="7"/>
        <v>1</v>
      </c>
      <c r="N66" s="7675">
        <f t="shared" si="8"/>
        <v>49</v>
      </c>
      <c r="O66" s="7676" t="str">
        <f t="shared" si="9"/>
        <v>0</v>
      </c>
      <c r="P66" s="7675">
        <f t="shared" si="10"/>
        <v>1</v>
      </c>
      <c r="Q66" s="7675">
        <f t="shared" si="11"/>
        <v>1</v>
      </c>
      <c r="S66" s="7679" t="str">
        <f t="shared" si="42"/>
        <v>0</v>
      </c>
      <c r="T66" s="7680" t="str">
        <f t="shared" si="12"/>
        <v/>
      </c>
      <c r="V66" s="7677">
        <f t="shared" si="13"/>
        <v>66</v>
      </c>
      <c r="W66" s="7678" t="str">
        <f t="shared" si="43"/>
        <v>0</v>
      </c>
      <c r="X66" s="7677" t="s">
        <v>2</v>
      </c>
      <c r="Y66" s="7702" t="str">
        <f t="shared" si="14"/>
        <v>0</v>
      </c>
      <c r="Z66" s="7703" t="str">
        <f t="shared" si="15"/>
        <v/>
      </c>
      <c r="AA66" s="7681" t="str">
        <f t="shared" si="16"/>
        <v>0</v>
      </c>
      <c r="AB66" s="7682" t="str">
        <f t="shared" si="17"/>
        <v/>
      </c>
      <c r="AC66" s="7677">
        <f t="shared" si="18"/>
        <v>0</v>
      </c>
      <c r="AD66" s="7677">
        <f t="shared" si="19"/>
        <v>0</v>
      </c>
      <c r="AE66" s="7682" t="str">
        <f t="shared" si="20"/>
        <v>aucun match</v>
      </c>
      <c r="AF66" s="6625" t="str">
        <f t="shared" si="21"/>
        <v>0</v>
      </c>
      <c r="AG66" s="6625" t="str">
        <f t="shared" si="22"/>
        <v>0</v>
      </c>
      <c r="AH66" s="6625" t="str">
        <f t="shared" si="23"/>
        <v>0</v>
      </c>
      <c r="AI66" s="6625" t="str">
        <f t="shared" si="24"/>
        <v xml:space="preserve"> 0 </v>
      </c>
      <c r="AJ66" s="6625" cm="1">
        <f t="array" ref="AJ66">IF(W66="",0,SUMPRODUCT((CA4:CA795="Gluten")*(CB4:CB795="INFO")*(COUNTIF(AI66,"*"&amp;CC4:CC795&amp;"*")&gt;0)*1))</f>
        <v>0</v>
      </c>
      <c r="AK66" s="6625" cm="1">
        <f t="array" ref="AK66">IF(W66="",0,SUMPRODUCT((CA4:CA795="Gluten")*(CB4:CB795="EXCL")*(COUNTIF(AI66,"*"&amp;CC4:CC795&amp;"*")&gt;0)*1))</f>
        <v>0</v>
      </c>
      <c r="AL66" s="6625" cm="1">
        <f t="array" ref="AL66">IF(W66="",0,SUMPRODUCT((CA4:CA795="Gluten")*(CB4:CB795="ALERTE")*(COUNTIF(AI66,"*"&amp;CC4:CC795&amp;"*")&gt;0)*1))</f>
        <v>0</v>
      </c>
      <c r="AM66" s="6625" cm="1">
        <f t="array" ref="AM66">IF(W66="",0,SUMPRODUCT((CA4:CA795="Gluten")*(CB4:CB795="SUSP")*(COUNTIF(AI66,"*"&amp;CC4:CC795&amp;"*")&gt;0)*1))</f>
        <v>0</v>
      </c>
      <c r="AN66" s="6625" cm="1">
        <f t="array" ref="AN66">IF(W66="",0,SUMPRODUCT((CA4:CA795="Crustaces")*(CB4:CB795="ALERTE")*(COUNTIF(AI66,"*"&amp;CC4:CC795&amp;"*")&gt;0)*1))</f>
        <v>0</v>
      </c>
      <c r="AO66" s="6625" cm="1">
        <f t="array" ref="AO66">IF(W66="",0,SUMPRODUCT((CA4:CA795="Oeufs")*(CB4:CB795="ALERTE")*(COUNTIF(AI66,"*"&amp;CC4:CC795&amp;"*")&gt;0)*1))</f>
        <v>0</v>
      </c>
      <c r="AP66" s="6625" cm="1">
        <f t="array" ref="AP66">IF(W66="",0,SUMPRODUCT((CA4:CA795="Poissons")*(CB4:CB795="INFO")*(COUNTIF(AI66,"*"&amp;CC4:CC795&amp;"*")&gt;0)*1))</f>
        <v>0</v>
      </c>
      <c r="AQ66" s="6625" cm="1">
        <f t="array" ref="AQ66">IF(W66="",0,SUMPRODUCT((CA4:CA795="Poissons")*(CB4:CB795="EXCL")*(COUNTIF(AI66,"*"&amp;CC4:CC795&amp;"*")&gt;0)*1))</f>
        <v>0</v>
      </c>
      <c r="AR66" s="6625" cm="1">
        <f t="array" ref="AR66">IF(W66="",0,SUMPRODUCT((CA4:CA795="Poissons")*(CB4:CB795="ALERTE")*(COUNTIF(AI66,"*"&amp;CC4:CC795&amp;"*")&gt;0)*1))</f>
        <v>0</v>
      </c>
      <c r="AS66" s="6625" cm="1">
        <f t="array" ref="AS66">IF(W66="",0,SUMPRODUCT((CA4:CA795="Arachides")*(CB4:CB795="ALERTE")*(COUNTIF(AI66,"*"&amp;CC4:CC795&amp;"*")&gt;0)*1))</f>
        <v>0</v>
      </c>
      <c r="AT66" s="6625" cm="1">
        <f t="array" ref="AT66">IF(W66="",0,SUMPRODUCT((CA4:CA795="Soja")*(CB4:CB795="INFO")*(COUNTIF(AI66,"*"&amp;CC4:CC795&amp;"*")&gt;0)*1))</f>
        <v>0</v>
      </c>
      <c r="AU66" s="6625" cm="1">
        <f t="array" ref="AU66">IF(W66="",0,SUMPRODUCT((CA4:CA795="Soja")*(CB4:CB795="ALERTE")*(COUNTIF(AI66,"*"&amp;CC4:CC795&amp;"*")&gt;0)*1))</f>
        <v>0</v>
      </c>
      <c r="AV66" s="6625" cm="1">
        <f t="array" ref="AV66">IF(W66="",0,SUMPRODUCT((CA4:CA795="Lait")*(CB4:CB795="INFO")*(COUNTIF(AI66,"*"&amp;CC4:CC795&amp;"*")&gt;0)*1))</f>
        <v>0</v>
      </c>
      <c r="AW66" s="6625" cm="1">
        <f t="array" ref="AW66">IF(W66="",0,SUMPRODUCT((CA4:CA795="Lait")*(CB4:CB795="EXCL")*(COUNTIF(AI66,"*"&amp;CC4:CC795&amp;"*")&gt;0)*1))</f>
        <v>0</v>
      </c>
      <c r="AX66" s="6625" cm="1">
        <f t="array" ref="AX66">IF(W66="",0,SUMPRODUCT((CA4:CA795="Lait")*(CB4:CB795="ALERTE")*(COUNTIF(AI66,"*"&amp;CC4:CC795&amp;"*")&gt;0)*1))</f>
        <v>0</v>
      </c>
      <c r="AY66" s="6625" cm="1">
        <f t="array" ref="AY66">IF(W66="",0,SUMPRODUCT((CA4:CA795="Lait")*(CB4:CB795="SUSP")*(COUNTIF(AI66,"*"&amp;CC4:CC795&amp;"*")&gt;0)*1))</f>
        <v>0</v>
      </c>
      <c r="AZ66" s="6625" cm="1">
        <f t="array" ref="AZ66">IF(W66="",0,SUMPRODUCT((CA4:CA795="Fruits a coque")*(CB4:CB795="EXCL")*(COUNTIF(AI66,"*"&amp;CC4:CC795&amp;"*")&gt;0)*1))</f>
        <v>0</v>
      </c>
      <c r="BA66" s="6625" cm="1">
        <f t="array" ref="BA66">IF(W66="",0,SUMPRODUCT((CA4:CA795="Fruits a coque")*(CB4:CB795="ALERTE")*(COUNTIF(AI66,"*"&amp;CC4:CC795&amp;"*")&gt;0)*1))</f>
        <v>0</v>
      </c>
      <c r="BB66" s="6625" cm="1">
        <f t="array" ref="BB66">IF(W66="",0,SUMPRODUCT((CA4:CA795="Celeri")*(CB4:CB795="ALERTE")*(COUNTIF(AI66,"*"&amp;CC4:CC795&amp;"*")&gt;0)*1))</f>
        <v>0</v>
      </c>
      <c r="BC66" s="6625" cm="1">
        <f t="array" ref="BC66">IF(W66="",0,SUMPRODUCT((CA4:CA795="Moutarde")*(CB4:CB795="ALERTE")*(COUNTIF(AI66,"*"&amp;CC4:CC795&amp;"*")&gt;0)*1))</f>
        <v>0</v>
      </c>
      <c r="BD66" s="6625" cm="1">
        <f t="array" ref="BD66">IF(W66="",0,SUMPRODUCT((CA4:CA795="Sesame")*(CB4:CB795="ALERTE")*(COUNTIF(AI66,"*"&amp;CC4:CC795&amp;"*")&gt;0)*1))</f>
        <v>0</v>
      </c>
      <c r="BE66" s="6625" cm="1">
        <f t="array" ref="BE66">IF(W66="",0,SUMPRODUCT((CA4:CA795="Sulfites")*(CB4:CB795="ALERTE")*(COUNTIF(AI66,"*"&amp;CC4:CC795&amp;"*")&gt;0)*1))</f>
        <v>0</v>
      </c>
      <c r="BF66" s="6625" cm="1">
        <f t="array" ref="BF66">IF(W66="",0,SUMPRODUCT((CA4:CA795="Lupin")*(CB4:CB795="ALERTE")*(COUNTIF(AI66,"*"&amp;CC4:CC795&amp;"*")&gt;0)*1))</f>
        <v>0</v>
      </c>
      <c r="BG66" s="6625" cm="1">
        <f t="array" ref="BG66">IF(W66="",0,SUMPRODUCT((CA4:CA795="Mollusques")*(CB4:CB795="EXCL")*(COUNTIF(AI66,"*"&amp;CC4:CC795&amp;"*")&gt;0)*1))</f>
        <v>0</v>
      </c>
      <c r="BH66" s="6625" cm="1">
        <f t="array" ref="BH66">IF(W66="",0,SUMPRODUCT((CA4:CA795="Mollusques")*(CB4:CB795="ALERTE")*(COUNTIF(AI66,"*"&amp;CC4:CC795&amp;"*")&gt;0)*1))</f>
        <v>0</v>
      </c>
      <c r="BI66" s="6625" t="str">
        <f t="shared" si="25"/>
        <v/>
      </c>
      <c r="BJ66" s="6625" t="str">
        <f t="shared" si="26"/>
        <v/>
      </c>
      <c r="BK66" s="6625" t="str">
        <f t="shared" si="27"/>
        <v/>
      </c>
      <c r="BL66" s="6625" t="str">
        <f t="shared" si="28"/>
        <v/>
      </c>
      <c r="BM66" s="6625" t="str">
        <f t="shared" si="29"/>
        <v/>
      </c>
      <c r="BN66" s="6625" t="str">
        <f t="shared" si="30"/>
        <v/>
      </c>
      <c r="BO66" s="6625" t="str">
        <f t="shared" si="31"/>
        <v/>
      </c>
      <c r="BP66" s="6625" t="str">
        <f t="shared" si="32"/>
        <v/>
      </c>
      <c r="BQ66" s="6625" t="str">
        <f t="shared" si="33"/>
        <v/>
      </c>
      <c r="BR66" s="6625" t="str">
        <f t="shared" si="34"/>
        <v/>
      </c>
      <c r="BS66" s="6625" t="str">
        <f t="shared" si="35"/>
        <v/>
      </c>
      <c r="BT66" s="6625" t="str">
        <f t="shared" si="36"/>
        <v/>
      </c>
      <c r="BU66" s="6625" t="str">
        <f t="shared" si="37"/>
        <v/>
      </c>
      <c r="BV66" s="6625" t="str">
        <f t="shared" si="38"/>
        <v/>
      </c>
      <c r="BW66" s="6625" t="str">
        <f t="shared" si="39"/>
        <v/>
      </c>
      <c r="BX66" s="6625" t="str">
        <f t="shared" si="40"/>
        <v/>
      </c>
      <c r="CA66" s="3170" t="s">
        <v>16449</v>
      </c>
      <c r="CB66" s="7634" t="s">
        <v>16255</v>
      </c>
      <c r="CC66" s="3170" t="s">
        <v>16462</v>
      </c>
      <c r="CD66" s="3170" t="s">
        <v>16463</v>
      </c>
    </row>
    <row r="67" spans="2:82" ht="30" customHeight="1">
      <c r="B67" s="7661" t="str">
        <f t="shared" si="0"/>
        <v/>
      </c>
      <c r="C67" s="7661" t="str">
        <f t="shared" si="1"/>
        <v/>
      </c>
      <c r="D67" s="7661" t="str">
        <f t="shared" si="2"/>
        <v/>
      </c>
      <c r="E67" s="7661">
        <f>IF(H66&lt;&gt;"",E66,IF(E66="","",IFERROR(MATCH(TRUE(),INDEX(INDEX($K:$K,E66+1):$K$203&lt;&gt;"",0),0)+E66,"")))</f>
        <v>242</v>
      </c>
      <c r="F67" s="7661">
        <f t="shared" si="41"/>
        <v>0</v>
      </c>
      <c r="G67" s="7661" t="str">
        <f t="shared" si="3"/>
        <v>0</v>
      </c>
      <c r="H67" s="7672" t="str">
        <f t="shared" si="4"/>
        <v/>
      </c>
      <c r="I67" s="7683" t="str">
        <f t="shared" si="5"/>
        <v/>
      </c>
      <c r="J67" s="7673" t="str">
        <f>IF(K67="","",COUNTIF($K$18:K67,"&lt;&gt;"))</f>
        <v/>
      </c>
      <c r="K67" s="7674"/>
      <c r="L67" s="7673" t="str">
        <f t="shared" si="6"/>
        <v/>
      </c>
      <c r="M67" s="7630">
        <f t="shared" si="7"/>
        <v>1</v>
      </c>
      <c r="N67" s="7675">
        <f t="shared" si="8"/>
        <v>50</v>
      </c>
      <c r="O67" s="7676" t="str">
        <f t="shared" si="9"/>
        <v>0</v>
      </c>
      <c r="P67" s="7675">
        <f t="shared" si="10"/>
        <v>1</v>
      </c>
      <c r="Q67" s="7675">
        <f t="shared" si="11"/>
        <v>1</v>
      </c>
      <c r="S67" s="7679" t="str">
        <f t="shared" si="42"/>
        <v>0</v>
      </c>
      <c r="T67" s="7680" t="str">
        <f t="shared" si="12"/>
        <v/>
      </c>
      <c r="V67" s="7677">
        <f t="shared" si="13"/>
        <v>67</v>
      </c>
      <c r="W67" s="7678" t="str">
        <f t="shared" si="43"/>
        <v>0</v>
      </c>
      <c r="X67" s="7677" t="s">
        <v>2</v>
      </c>
      <c r="Y67" s="7702" t="str">
        <f t="shared" si="14"/>
        <v>0</v>
      </c>
      <c r="Z67" s="7703" t="str">
        <f t="shared" si="15"/>
        <v/>
      </c>
      <c r="AA67" s="7681" t="str">
        <f t="shared" si="16"/>
        <v>0</v>
      </c>
      <c r="AB67" s="7682" t="str">
        <f t="shared" si="17"/>
        <v/>
      </c>
      <c r="AC67" s="7677">
        <f t="shared" si="18"/>
        <v>0</v>
      </c>
      <c r="AD67" s="7677">
        <f t="shared" si="19"/>
        <v>0</v>
      </c>
      <c r="AE67" s="7682" t="str">
        <f t="shared" si="20"/>
        <v>aucun match</v>
      </c>
      <c r="AF67" s="6625" t="str">
        <f t="shared" si="21"/>
        <v>0</v>
      </c>
      <c r="AG67" s="6625" t="str">
        <f t="shared" si="22"/>
        <v>0</v>
      </c>
      <c r="AH67" s="6625" t="str">
        <f t="shared" si="23"/>
        <v>0</v>
      </c>
      <c r="AI67" s="6625" t="str">
        <f t="shared" si="24"/>
        <v xml:space="preserve"> 0 </v>
      </c>
      <c r="AJ67" s="6625" cm="1">
        <f t="array" ref="AJ67">IF(W67="",0,SUMPRODUCT((CA4:CA795="Gluten")*(CB4:CB795="INFO")*(COUNTIF(AI67,"*"&amp;CC4:CC795&amp;"*")&gt;0)*1))</f>
        <v>0</v>
      </c>
      <c r="AK67" s="6625" cm="1">
        <f t="array" ref="AK67">IF(W67="",0,SUMPRODUCT((CA4:CA795="Gluten")*(CB4:CB795="EXCL")*(COUNTIF(AI67,"*"&amp;CC4:CC795&amp;"*")&gt;0)*1))</f>
        <v>0</v>
      </c>
      <c r="AL67" s="6625" cm="1">
        <f t="array" ref="AL67">IF(W67="",0,SUMPRODUCT((CA4:CA795="Gluten")*(CB4:CB795="ALERTE")*(COUNTIF(AI67,"*"&amp;CC4:CC795&amp;"*")&gt;0)*1))</f>
        <v>0</v>
      </c>
      <c r="AM67" s="6625" cm="1">
        <f t="array" ref="AM67">IF(W67="",0,SUMPRODUCT((CA4:CA795="Gluten")*(CB4:CB795="SUSP")*(COUNTIF(AI67,"*"&amp;CC4:CC795&amp;"*")&gt;0)*1))</f>
        <v>0</v>
      </c>
      <c r="AN67" s="6625" cm="1">
        <f t="array" ref="AN67">IF(W67="",0,SUMPRODUCT((CA4:CA795="Crustaces")*(CB4:CB795="ALERTE")*(COUNTIF(AI67,"*"&amp;CC4:CC795&amp;"*")&gt;0)*1))</f>
        <v>0</v>
      </c>
      <c r="AO67" s="6625" cm="1">
        <f t="array" ref="AO67">IF(W67="",0,SUMPRODUCT((CA4:CA795="Oeufs")*(CB4:CB795="ALERTE")*(COUNTIF(AI67,"*"&amp;CC4:CC795&amp;"*")&gt;0)*1))</f>
        <v>0</v>
      </c>
      <c r="AP67" s="6625" cm="1">
        <f t="array" ref="AP67">IF(W67="",0,SUMPRODUCT((CA4:CA795="Poissons")*(CB4:CB795="INFO")*(COUNTIF(AI67,"*"&amp;CC4:CC795&amp;"*")&gt;0)*1))</f>
        <v>0</v>
      </c>
      <c r="AQ67" s="6625" cm="1">
        <f t="array" ref="AQ67">IF(W67="",0,SUMPRODUCT((CA4:CA795="Poissons")*(CB4:CB795="EXCL")*(COUNTIF(AI67,"*"&amp;CC4:CC795&amp;"*")&gt;0)*1))</f>
        <v>0</v>
      </c>
      <c r="AR67" s="6625" cm="1">
        <f t="array" ref="AR67">IF(W67="",0,SUMPRODUCT((CA4:CA795="Poissons")*(CB4:CB795="ALERTE")*(COUNTIF(AI67,"*"&amp;CC4:CC795&amp;"*")&gt;0)*1))</f>
        <v>0</v>
      </c>
      <c r="AS67" s="6625" cm="1">
        <f t="array" ref="AS67">IF(W67="",0,SUMPRODUCT((CA4:CA795="Arachides")*(CB4:CB795="ALERTE")*(COUNTIF(AI67,"*"&amp;CC4:CC795&amp;"*")&gt;0)*1))</f>
        <v>0</v>
      </c>
      <c r="AT67" s="6625" cm="1">
        <f t="array" ref="AT67">IF(W67="",0,SUMPRODUCT((CA4:CA795="Soja")*(CB4:CB795="INFO")*(COUNTIF(AI67,"*"&amp;CC4:CC795&amp;"*")&gt;0)*1))</f>
        <v>0</v>
      </c>
      <c r="AU67" s="6625" cm="1">
        <f t="array" ref="AU67">IF(W67="",0,SUMPRODUCT((CA4:CA795="Soja")*(CB4:CB795="ALERTE")*(COUNTIF(AI67,"*"&amp;CC4:CC795&amp;"*")&gt;0)*1))</f>
        <v>0</v>
      </c>
      <c r="AV67" s="6625" cm="1">
        <f t="array" ref="AV67">IF(W67="",0,SUMPRODUCT((CA4:CA795="Lait")*(CB4:CB795="INFO")*(COUNTIF(AI67,"*"&amp;CC4:CC795&amp;"*")&gt;0)*1))</f>
        <v>0</v>
      </c>
      <c r="AW67" s="6625" cm="1">
        <f t="array" ref="AW67">IF(W67="",0,SUMPRODUCT((CA4:CA795="Lait")*(CB4:CB795="EXCL")*(COUNTIF(AI67,"*"&amp;CC4:CC795&amp;"*")&gt;0)*1))</f>
        <v>0</v>
      </c>
      <c r="AX67" s="6625" cm="1">
        <f t="array" ref="AX67">IF(W67="",0,SUMPRODUCT((CA4:CA795="Lait")*(CB4:CB795="ALERTE")*(COUNTIF(AI67,"*"&amp;CC4:CC795&amp;"*")&gt;0)*1))</f>
        <v>0</v>
      </c>
      <c r="AY67" s="6625" cm="1">
        <f t="array" ref="AY67">IF(W67="",0,SUMPRODUCT((CA4:CA795="Lait")*(CB4:CB795="SUSP")*(COUNTIF(AI67,"*"&amp;CC4:CC795&amp;"*")&gt;0)*1))</f>
        <v>0</v>
      </c>
      <c r="AZ67" s="6625" cm="1">
        <f t="array" ref="AZ67">IF(W67="",0,SUMPRODUCT((CA4:CA795="Fruits a coque")*(CB4:CB795="EXCL")*(COUNTIF(AI67,"*"&amp;CC4:CC795&amp;"*")&gt;0)*1))</f>
        <v>0</v>
      </c>
      <c r="BA67" s="6625" cm="1">
        <f t="array" ref="BA67">IF(W67="",0,SUMPRODUCT((CA4:CA795="Fruits a coque")*(CB4:CB795="ALERTE")*(COUNTIF(AI67,"*"&amp;CC4:CC795&amp;"*")&gt;0)*1))</f>
        <v>0</v>
      </c>
      <c r="BB67" s="6625" cm="1">
        <f t="array" ref="BB67">IF(W67="",0,SUMPRODUCT((CA4:CA795="Celeri")*(CB4:CB795="ALERTE")*(COUNTIF(AI67,"*"&amp;CC4:CC795&amp;"*")&gt;0)*1))</f>
        <v>0</v>
      </c>
      <c r="BC67" s="6625" cm="1">
        <f t="array" ref="BC67">IF(W67="",0,SUMPRODUCT((CA4:CA795="Moutarde")*(CB4:CB795="ALERTE")*(COUNTIF(AI67,"*"&amp;CC4:CC795&amp;"*")&gt;0)*1))</f>
        <v>0</v>
      </c>
      <c r="BD67" s="6625" cm="1">
        <f t="array" ref="BD67">IF(W67="",0,SUMPRODUCT((CA4:CA795="Sesame")*(CB4:CB795="ALERTE")*(COUNTIF(AI67,"*"&amp;CC4:CC795&amp;"*")&gt;0)*1))</f>
        <v>0</v>
      </c>
      <c r="BE67" s="6625" cm="1">
        <f t="array" ref="BE67">IF(W67="",0,SUMPRODUCT((CA4:CA795="Sulfites")*(CB4:CB795="ALERTE")*(COUNTIF(AI67,"*"&amp;CC4:CC795&amp;"*")&gt;0)*1))</f>
        <v>0</v>
      </c>
      <c r="BF67" s="6625" cm="1">
        <f t="array" ref="BF67">IF(W67="",0,SUMPRODUCT((CA4:CA795="Lupin")*(CB4:CB795="ALERTE")*(COUNTIF(AI67,"*"&amp;CC4:CC795&amp;"*")&gt;0)*1))</f>
        <v>0</v>
      </c>
      <c r="BG67" s="6625" cm="1">
        <f t="array" ref="BG67">IF(W67="",0,SUMPRODUCT((CA4:CA795="Mollusques")*(CB4:CB795="EXCL")*(COUNTIF(AI67,"*"&amp;CC4:CC795&amp;"*")&gt;0)*1))</f>
        <v>0</v>
      </c>
      <c r="BH67" s="6625" cm="1">
        <f t="array" ref="BH67">IF(W67="",0,SUMPRODUCT((CA4:CA795="Mollusques")*(CB4:CB795="ALERTE")*(COUNTIF(AI67,"*"&amp;CC4:CC795&amp;"*")&gt;0)*1))</f>
        <v>0</v>
      </c>
      <c r="BI67" s="6625" t="str">
        <f t="shared" si="25"/>
        <v/>
      </c>
      <c r="BJ67" s="6625" t="str">
        <f t="shared" si="26"/>
        <v/>
      </c>
      <c r="BK67" s="6625" t="str">
        <f t="shared" si="27"/>
        <v/>
      </c>
      <c r="BL67" s="6625" t="str">
        <f t="shared" si="28"/>
        <v/>
      </c>
      <c r="BM67" s="6625" t="str">
        <f t="shared" si="29"/>
        <v/>
      </c>
      <c r="BN67" s="6625" t="str">
        <f t="shared" si="30"/>
        <v/>
      </c>
      <c r="BO67" s="6625" t="str">
        <f t="shared" si="31"/>
        <v/>
      </c>
      <c r="BP67" s="6625" t="str">
        <f t="shared" si="32"/>
        <v/>
      </c>
      <c r="BQ67" s="6625" t="str">
        <f t="shared" si="33"/>
        <v/>
      </c>
      <c r="BR67" s="6625" t="str">
        <f t="shared" si="34"/>
        <v/>
      </c>
      <c r="BS67" s="6625" t="str">
        <f t="shared" si="35"/>
        <v/>
      </c>
      <c r="BT67" s="6625" t="str">
        <f t="shared" si="36"/>
        <v/>
      </c>
      <c r="BU67" s="6625" t="str">
        <f t="shared" si="37"/>
        <v/>
      </c>
      <c r="BV67" s="6625" t="str">
        <f t="shared" si="38"/>
        <v/>
      </c>
      <c r="BW67" s="6625" t="str">
        <f t="shared" si="39"/>
        <v/>
      </c>
      <c r="BX67" s="6625" t="str">
        <f t="shared" si="40"/>
        <v/>
      </c>
      <c r="CA67" s="3170" t="s">
        <v>16449</v>
      </c>
      <c r="CB67" s="7634" t="s">
        <v>16255</v>
      </c>
      <c r="CC67" s="3170" t="s">
        <v>16464</v>
      </c>
      <c r="CD67" s="3170" t="s">
        <v>16465</v>
      </c>
    </row>
    <row r="68" spans="2:82" ht="30" customHeight="1">
      <c r="B68" s="7661" t="str">
        <f t="shared" si="0"/>
        <v/>
      </c>
      <c r="C68" s="7661" t="str">
        <f t="shared" si="1"/>
        <v/>
      </c>
      <c r="D68" s="7661" t="str">
        <f t="shared" si="2"/>
        <v/>
      </c>
      <c r="E68" s="7661">
        <f>IF(H67&lt;&gt;"",E67,IF(E67="","",IFERROR(MATCH(TRUE(),INDEX(INDEX($K:$K,E67+1):$K$203&lt;&gt;"",0),0)+E67,"")))</f>
        <v>243</v>
      </c>
      <c r="F68" s="7661">
        <f t="shared" si="41"/>
        <v>0</v>
      </c>
      <c r="G68" s="7661" t="str">
        <f t="shared" si="3"/>
        <v>0</v>
      </c>
      <c r="H68" s="7672" t="str">
        <f t="shared" si="4"/>
        <v/>
      </c>
      <c r="I68" s="7683" t="str">
        <f t="shared" si="5"/>
        <v/>
      </c>
      <c r="J68" s="7673" t="str">
        <f>IF(K68="","",COUNTIF($K$18:K68,"&lt;&gt;"))</f>
        <v/>
      </c>
      <c r="K68" s="7674"/>
      <c r="L68" s="7673" t="str">
        <f t="shared" si="6"/>
        <v/>
      </c>
      <c r="M68" s="7630">
        <f t="shared" si="7"/>
        <v>1</v>
      </c>
      <c r="N68" s="7675">
        <f t="shared" si="8"/>
        <v>51</v>
      </c>
      <c r="O68" s="7676" t="str">
        <f t="shared" si="9"/>
        <v>0</v>
      </c>
      <c r="P68" s="7675">
        <f t="shared" si="10"/>
        <v>1</v>
      </c>
      <c r="Q68" s="7675">
        <f t="shared" si="11"/>
        <v>1</v>
      </c>
      <c r="S68" s="7679" t="str">
        <f t="shared" si="42"/>
        <v>0</v>
      </c>
      <c r="T68" s="7680" t="str">
        <f t="shared" si="12"/>
        <v/>
      </c>
      <c r="V68" s="7677">
        <f t="shared" si="13"/>
        <v>68</v>
      </c>
      <c r="W68" s="7678" t="str">
        <f t="shared" si="43"/>
        <v>0</v>
      </c>
      <c r="X68" s="7677" t="s">
        <v>2</v>
      </c>
      <c r="Y68" s="7702" t="str">
        <f t="shared" si="14"/>
        <v>0</v>
      </c>
      <c r="Z68" s="7703" t="str">
        <f t="shared" si="15"/>
        <v/>
      </c>
      <c r="AA68" s="7681" t="str">
        <f t="shared" si="16"/>
        <v>0</v>
      </c>
      <c r="AB68" s="7682" t="str">
        <f t="shared" si="17"/>
        <v/>
      </c>
      <c r="AC68" s="7677">
        <f t="shared" si="18"/>
        <v>0</v>
      </c>
      <c r="AD68" s="7677">
        <f t="shared" si="19"/>
        <v>0</v>
      </c>
      <c r="AE68" s="7682" t="str">
        <f t="shared" si="20"/>
        <v>aucun match</v>
      </c>
      <c r="AF68" s="6625" t="str">
        <f t="shared" si="21"/>
        <v>0</v>
      </c>
      <c r="AG68" s="6625" t="str">
        <f t="shared" si="22"/>
        <v>0</v>
      </c>
      <c r="AH68" s="6625" t="str">
        <f t="shared" si="23"/>
        <v>0</v>
      </c>
      <c r="AI68" s="6625" t="str">
        <f t="shared" si="24"/>
        <v xml:space="preserve"> 0 </v>
      </c>
      <c r="AJ68" s="6625" cm="1">
        <f t="array" ref="AJ68">IF(W68="",0,SUMPRODUCT((CA4:CA795="Gluten")*(CB4:CB795="INFO")*(COUNTIF(AI68,"*"&amp;CC4:CC795&amp;"*")&gt;0)*1))</f>
        <v>0</v>
      </c>
      <c r="AK68" s="6625" cm="1">
        <f t="array" ref="AK68">IF(W68="",0,SUMPRODUCT((CA4:CA795="Gluten")*(CB4:CB795="EXCL")*(COUNTIF(AI68,"*"&amp;CC4:CC795&amp;"*")&gt;0)*1))</f>
        <v>0</v>
      </c>
      <c r="AL68" s="6625" cm="1">
        <f t="array" ref="AL68">IF(W68="",0,SUMPRODUCT((CA4:CA795="Gluten")*(CB4:CB795="ALERTE")*(COUNTIF(AI68,"*"&amp;CC4:CC795&amp;"*")&gt;0)*1))</f>
        <v>0</v>
      </c>
      <c r="AM68" s="6625" cm="1">
        <f t="array" ref="AM68">IF(W68="",0,SUMPRODUCT((CA4:CA795="Gluten")*(CB4:CB795="SUSP")*(COUNTIF(AI68,"*"&amp;CC4:CC795&amp;"*")&gt;0)*1))</f>
        <v>0</v>
      </c>
      <c r="AN68" s="6625" cm="1">
        <f t="array" ref="AN68">IF(W68="",0,SUMPRODUCT((CA4:CA795="Crustaces")*(CB4:CB795="ALERTE")*(COUNTIF(AI68,"*"&amp;CC4:CC795&amp;"*")&gt;0)*1))</f>
        <v>0</v>
      </c>
      <c r="AO68" s="6625" cm="1">
        <f t="array" ref="AO68">IF(W68="",0,SUMPRODUCT((CA4:CA795="Oeufs")*(CB4:CB795="ALERTE")*(COUNTIF(AI68,"*"&amp;CC4:CC795&amp;"*")&gt;0)*1))</f>
        <v>0</v>
      </c>
      <c r="AP68" s="6625" cm="1">
        <f t="array" ref="AP68">IF(W68="",0,SUMPRODUCT((CA4:CA795="Poissons")*(CB4:CB795="INFO")*(COUNTIF(AI68,"*"&amp;CC4:CC795&amp;"*")&gt;0)*1))</f>
        <v>0</v>
      </c>
      <c r="AQ68" s="6625" cm="1">
        <f t="array" ref="AQ68">IF(W68="",0,SUMPRODUCT((CA4:CA795="Poissons")*(CB4:CB795="EXCL")*(COUNTIF(AI68,"*"&amp;CC4:CC795&amp;"*")&gt;0)*1))</f>
        <v>0</v>
      </c>
      <c r="AR68" s="6625" cm="1">
        <f t="array" ref="AR68">IF(W68="",0,SUMPRODUCT((CA4:CA795="Poissons")*(CB4:CB795="ALERTE")*(COUNTIF(AI68,"*"&amp;CC4:CC795&amp;"*")&gt;0)*1))</f>
        <v>0</v>
      </c>
      <c r="AS68" s="6625" cm="1">
        <f t="array" ref="AS68">IF(W68="",0,SUMPRODUCT((CA4:CA795="Arachides")*(CB4:CB795="ALERTE")*(COUNTIF(AI68,"*"&amp;CC4:CC795&amp;"*")&gt;0)*1))</f>
        <v>0</v>
      </c>
      <c r="AT68" s="6625" cm="1">
        <f t="array" ref="AT68">IF(W68="",0,SUMPRODUCT((CA4:CA795="Soja")*(CB4:CB795="INFO")*(COUNTIF(AI68,"*"&amp;CC4:CC795&amp;"*")&gt;0)*1))</f>
        <v>0</v>
      </c>
      <c r="AU68" s="6625" cm="1">
        <f t="array" ref="AU68">IF(W68="",0,SUMPRODUCT((CA4:CA795="Soja")*(CB4:CB795="ALERTE")*(COUNTIF(AI68,"*"&amp;CC4:CC795&amp;"*")&gt;0)*1))</f>
        <v>0</v>
      </c>
      <c r="AV68" s="6625" cm="1">
        <f t="array" ref="AV68">IF(W68="",0,SUMPRODUCT((CA4:CA795="Lait")*(CB4:CB795="INFO")*(COUNTIF(AI68,"*"&amp;CC4:CC795&amp;"*")&gt;0)*1))</f>
        <v>0</v>
      </c>
      <c r="AW68" s="6625" cm="1">
        <f t="array" ref="AW68">IF(W68="",0,SUMPRODUCT((CA4:CA795="Lait")*(CB4:CB795="EXCL")*(COUNTIF(AI68,"*"&amp;CC4:CC795&amp;"*")&gt;0)*1))</f>
        <v>0</v>
      </c>
      <c r="AX68" s="6625" cm="1">
        <f t="array" ref="AX68">IF(W68="",0,SUMPRODUCT((CA4:CA795="Lait")*(CB4:CB795="ALERTE")*(COUNTIF(AI68,"*"&amp;CC4:CC795&amp;"*")&gt;0)*1))</f>
        <v>0</v>
      </c>
      <c r="AY68" s="6625" cm="1">
        <f t="array" ref="AY68">IF(W68="",0,SUMPRODUCT((CA4:CA795="Lait")*(CB4:CB795="SUSP")*(COUNTIF(AI68,"*"&amp;CC4:CC795&amp;"*")&gt;0)*1))</f>
        <v>0</v>
      </c>
      <c r="AZ68" s="6625" cm="1">
        <f t="array" ref="AZ68">IF(W68="",0,SUMPRODUCT((CA4:CA795="Fruits a coque")*(CB4:CB795="EXCL")*(COUNTIF(AI68,"*"&amp;CC4:CC795&amp;"*")&gt;0)*1))</f>
        <v>0</v>
      </c>
      <c r="BA68" s="6625" cm="1">
        <f t="array" ref="BA68">IF(W68="",0,SUMPRODUCT((CA4:CA795="Fruits a coque")*(CB4:CB795="ALERTE")*(COUNTIF(AI68,"*"&amp;CC4:CC795&amp;"*")&gt;0)*1))</f>
        <v>0</v>
      </c>
      <c r="BB68" s="6625" cm="1">
        <f t="array" ref="BB68">IF(W68="",0,SUMPRODUCT((CA4:CA795="Celeri")*(CB4:CB795="ALERTE")*(COUNTIF(AI68,"*"&amp;CC4:CC795&amp;"*")&gt;0)*1))</f>
        <v>0</v>
      </c>
      <c r="BC68" s="6625" cm="1">
        <f t="array" ref="BC68">IF(W68="",0,SUMPRODUCT((CA4:CA795="Moutarde")*(CB4:CB795="ALERTE")*(COUNTIF(AI68,"*"&amp;CC4:CC795&amp;"*")&gt;0)*1))</f>
        <v>0</v>
      </c>
      <c r="BD68" s="6625" cm="1">
        <f t="array" ref="BD68">IF(W68="",0,SUMPRODUCT((CA4:CA795="Sesame")*(CB4:CB795="ALERTE")*(COUNTIF(AI68,"*"&amp;CC4:CC795&amp;"*")&gt;0)*1))</f>
        <v>0</v>
      </c>
      <c r="BE68" s="6625" cm="1">
        <f t="array" ref="BE68">IF(W68="",0,SUMPRODUCT((CA4:CA795="Sulfites")*(CB4:CB795="ALERTE")*(COUNTIF(AI68,"*"&amp;CC4:CC795&amp;"*")&gt;0)*1))</f>
        <v>0</v>
      </c>
      <c r="BF68" s="6625" cm="1">
        <f t="array" ref="BF68">IF(W68="",0,SUMPRODUCT((CA4:CA795="Lupin")*(CB4:CB795="ALERTE")*(COUNTIF(AI68,"*"&amp;CC4:CC795&amp;"*")&gt;0)*1))</f>
        <v>0</v>
      </c>
      <c r="BG68" s="6625" cm="1">
        <f t="array" ref="BG68">IF(W68="",0,SUMPRODUCT((CA4:CA795="Mollusques")*(CB4:CB795="EXCL")*(COUNTIF(AI68,"*"&amp;CC4:CC795&amp;"*")&gt;0)*1))</f>
        <v>0</v>
      </c>
      <c r="BH68" s="6625" cm="1">
        <f t="array" ref="BH68">IF(W68="",0,SUMPRODUCT((CA4:CA795="Mollusques")*(CB4:CB795="ALERTE")*(COUNTIF(AI68,"*"&amp;CC4:CC795&amp;"*")&gt;0)*1))</f>
        <v>0</v>
      </c>
      <c r="BI68" s="6625" t="str">
        <f t="shared" si="25"/>
        <v/>
      </c>
      <c r="BJ68" s="6625" t="str">
        <f t="shared" si="26"/>
        <v/>
      </c>
      <c r="BK68" s="6625" t="str">
        <f t="shared" si="27"/>
        <v/>
      </c>
      <c r="BL68" s="6625" t="str">
        <f t="shared" si="28"/>
        <v/>
      </c>
      <c r="BM68" s="6625" t="str">
        <f t="shared" si="29"/>
        <v/>
      </c>
      <c r="BN68" s="6625" t="str">
        <f t="shared" si="30"/>
        <v/>
      </c>
      <c r="BO68" s="6625" t="str">
        <f t="shared" si="31"/>
        <v/>
      </c>
      <c r="BP68" s="6625" t="str">
        <f t="shared" si="32"/>
        <v/>
      </c>
      <c r="BQ68" s="6625" t="str">
        <f t="shared" si="33"/>
        <v/>
      </c>
      <c r="BR68" s="6625" t="str">
        <f t="shared" si="34"/>
        <v/>
      </c>
      <c r="BS68" s="6625" t="str">
        <f t="shared" si="35"/>
        <v/>
      </c>
      <c r="BT68" s="6625" t="str">
        <f t="shared" si="36"/>
        <v/>
      </c>
      <c r="BU68" s="6625" t="str">
        <f t="shared" si="37"/>
        <v/>
      </c>
      <c r="BV68" s="6625" t="str">
        <f t="shared" si="38"/>
        <v/>
      </c>
      <c r="BW68" s="6625" t="str">
        <f t="shared" si="39"/>
        <v/>
      </c>
      <c r="BX68" s="6625" t="str">
        <f t="shared" si="40"/>
        <v/>
      </c>
      <c r="CA68" s="3170" t="s">
        <v>16449</v>
      </c>
      <c r="CB68" s="7634" t="s">
        <v>16255</v>
      </c>
      <c r="CC68" s="3170" t="s">
        <v>16466</v>
      </c>
      <c r="CD68" s="3170" t="s">
        <v>16467</v>
      </c>
    </row>
    <row r="69" spans="2:82" ht="30" customHeight="1">
      <c r="B69" s="7661" t="str">
        <f t="shared" si="0"/>
        <v/>
      </c>
      <c r="C69" s="7661" t="str">
        <f t="shared" si="1"/>
        <v/>
      </c>
      <c r="D69" s="7661" t="str">
        <f t="shared" si="2"/>
        <v/>
      </c>
      <c r="E69" s="7661">
        <f>IF(H68&lt;&gt;"",E68,IF(E68="","",IFERROR(MATCH(TRUE(),INDEX(INDEX($K:$K,E68+1):$K$203&lt;&gt;"",0),0)+E68,"")))</f>
        <v>244</v>
      </c>
      <c r="F69" s="7661">
        <f t="shared" si="41"/>
        <v>0</v>
      </c>
      <c r="G69" s="7661" t="str">
        <f t="shared" si="3"/>
        <v>0</v>
      </c>
      <c r="H69" s="7672" t="str">
        <f t="shared" si="4"/>
        <v/>
      </c>
      <c r="I69" s="7683" t="str">
        <f t="shared" si="5"/>
        <v/>
      </c>
      <c r="J69" s="7673" t="str">
        <f>IF(K69="","",COUNTIF($K$18:K69,"&lt;&gt;"))</f>
        <v/>
      </c>
      <c r="K69" s="7674"/>
      <c r="L69" s="7673" t="str">
        <f t="shared" si="6"/>
        <v/>
      </c>
      <c r="M69" s="7630">
        <f t="shared" si="7"/>
        <v>1</v>
      </c>
      <c r="N69" s="7675">
        <f t="shared" si="8"/>
        <v>52</v>
      </c>
      <c r="O69" s="7676" t="str">
        <f t="shared" si="9"/>
        <v>0</v>
      </c>
      <c r="P69" s="7675">
        <f t="shared" si="10"/>
        <v>1</v>
      </c>
      <c r="Q69" s="7675">
        <f t="shared" si="11"/>
        <v>1</v>
      </c>
      <c r="S69" s="7679" t="str">
        <f t="shared" si="42"/>
        <v>0</v>
      </c>
      <c r="T69" s="7680" t="str">
        <f t="shared" si="12"/>
        <v/>
      </c>
      <c r="V69" s="7677">
        <f t="shared" si="13"/>
        <v>69</v>
      </c>
      <c r="W69" s="7678" t="str">
        <f t="shared" si="43"/>
        <v>0</v>
      </c>
      <c r="X69" s="7677" t="s">
        <v>2</v>
      </c>
      <c r="Y69" s="7702" t="str">
        <f t="shared" si="14"/>
        <v>0</v>
      </c>
      <c r="Z69" s="7703" t="str">
        <f t="shared" si="15"/>
        <v/>
      </c>
      <c r="AA69" s="7681" t="str">
        <f t="shared" si="16"/>
        <v>0</v>
      </c>
      <c r="AB69" s="7682" t="str">
        <f t="shared" si="17"/>
        <v/>
      </c>
      <c r="AC69" s="7677">
        <f t="shared" si="18"/>
        <v>0</v>
      </c>
      <c r="AD69" s="7677">
        <f t="shared" si="19"/>
        <v>0</v>
      </c>
      <c r="AE69" s="7682" t="str">
        <f t="shared" si="20"/>
        <v>aucun match</v>
      </c>
      <c r="AF69" s="6625" t="str">
        <f t="shared" si="21"/>
        <v>0</v>
      </c>
      <c r="AG69" s="6625" t="str">
        <f t="shared" si="22"/>
        <v>0</v>
      </c>
      <c r="AH69" s="6625" t="str">
        <f t="shared" si="23"/>
        <v>0</v>
      </c>
      <c r="AI69" s="6625" t="str">
        <f t="shared" si="24"/>
        <v xml:space="preserve"> 0 </v>
      </c>
      <c r="AJ69" s="6625" cm="1">
        <f t="array" ref="AJ69">IF(W69="",0,SUMPRODUCT((CA4:CA795="Gluten")*(CB4:CB795="INFO")*(COUNTIF(AI69,"*"&amp;CC4:CC795&amp;"*")&gt;0)*1))</f>
        <v>0</v>
      </c>
      <c r="AK69" s="6625" cm="1">
        <f t="array" ref="AK69">IF(W69="",0,SUMPRODUCT((CA4:CA795="Gluten")*(CB4:CB795="EXCL")*(COUNTIF(AI69,"*"&amp;CC4:CC795&amp;"*")&gt;0)*1))</f>
        <v>0</v>
      </c>
      <c r="AL69" s="6625" cm="1">
        <f t="array" ref="AL69">IF(W69="",0,SUMPRODUCT((CA4:CA795="Gluten")*(CB4:CB795="ALERTE")*(COUNTIF(AI69,"*"&amp;CC4:CC795&amp;"*")&gt;0)*1))</f>
        <v>0</v>
      </c>
      <c r="AM69" s="6625" cm="1">
        <f t="array" ref="AM69">IF(W69="",0,SUMPRODUCT((CA4:CA795="Gluten")*(CB4:CB795="SUSP")*(COUNTIF(AI69,"*"&amp;CC4:CC795&amp;"*")&gt;0)*1))</f>
        <v>0</v>
      </c>
      <c r="AN69" s="6625" cm="1">
        <f t="array" ref="AN69">IF(W69="",0,SUMPRODUCT((CA4:CA795="Crustaces")*(CB4:CB795="ALERTE")*(COUNTIF(AI69,"*"&amp;CC4:CC795&amp;"*")&gt;0)*1))</f>
        <v>0</v>
      </c>
      <c r="AO69" s="6625" cm="1">
        <f t="array" ref="AO69">IF(W69="",0,SUMPRODUCT((CA4:CA795="Oeufs")*(CB4:CB795="ALERTE")*(COUNTIF(AI69,"*"&amp;CC4:CC795&amp;"*")&gt;0)*1))</f>
        <v>0</v>
      </c>
      <c r="AP69" s="6625" cm="1">
        <f t="array" ref="AP69">IF(W69="",0,SUMPRODUCT((CA4:CA795="Poissons")*(CB4:CB795="INFO")*(COUNTIF(AI69,"*"&amp;CC4:CC795&amp;"*")&gt;0)*1))</f>
        <v>0</v>
      </c>
      <c r="AQ69" s="6625" cm="1">
        <f t="array" ref="AQ69">IF(W69="",0,SUMPRODUCT((CA4:CA795="Poissons")*(CB4:CB795="EXCL")*(COUNTIF(AI69,"*"&amp;CC4:CC795&amp;"*")&gt;0)*1))</f>
        <v>0</v>
      </c>
      <c r="AR69" s="6625" cm="1">
        <f t="array" ref="AR69">IF(W69="",0,SUMPRODUCT((CA4:CA795="Poissons")*(CB4:CB795="ALERTE")*(COUNTIF(AI69,"*"&amp;CC4:CC795&amp;"*")&gt;0)*1))</f>
        <v>0</v>
      </c>
      <c r="AS69" s="6625" cm="1">
        <f t="array" ref="AS69">IF(W69="",0,SUMPRODUCT((CA4:CA795="Arachides")*(CB4:CB795="ALERTE")*(COUNTIF(AI69,"*"&amp;CC4:CC795&amp;"*")&gt;0)*1))</f>
        <v>0</v>
      </c>
      <c r="AT69" s="6625" cm="1">
        <f t="array" ref="AT69">IF(W69="",0,SUMPRODUCT((CA4:CA795="Soja")*(CB4:CB795="INFO")*(COUNTIF(AI69,"*"&amp;CC4:CC795&amp;"*")&gt;0)*1))</f>
        <v>0</v>
      </c>
      <c r="AU69" s="6625" cm="1">
        <f t="array" ref="AU69">IF(W69="",0,SUMPRODUCT((CA4:CA795="Soja")*(CB4:CB795="ALERTE")*(COUNTIF(AI69,"*"&amp;CC4:CC795&amp;"*")&gt;0)*1))</f>
        <v>0</v>
      </c>
      <c r="AV69" s="6625" cm="1">
        <f t="array" ref="AV69">IF(W69="",0,SUMPRODUCT((CA4:CA795="Lait")*(CB4:CB795="INFO")*(COUNTIF(AI69,"*"&amp;CC4:CC795&amp;"*")&gt;0)*1))</f>
        <v>0</v>
      </c>
      <c r="AW69" s="6625" cm="1">
        <f t="array" ref="AW69">IF(W69="",0,SUMPRODUCT((CA4:CA795="Lait")*(CB4:CB795="EXCL")*(COUNTIF(AI69,"*"&amp;CC4:CC795&amp;"*")&gt;0)*1))</f>
        <v>0</v>
      </c>
      <c r="AX69" s="6625" cm="1">
        <f t="array" ref="AX69">IF(W69="",0,SUMPRODUCT((CA4:CA795="Lait")*(CB4:CB795="ALERTE")*(COUNTIF(AI69,"*"&amp;CC4:CC795&amp;"*")&gt;0)*1))</f>
        <v>0</v>
      </c>
      <c r="AY69" s="6625" cm="1">
        <f t="array" ref="AY69">IF(W69="",0,SUMPRODUCT((CA4:CA795="Lait")*(CB4:CB795="SUSP")*(COUNTIF(AI69,"*"&amp;CC4:CC795&amp;"*")&gt;0)*1))</f>
        <v>0</v>
      </c>
      <c r="AZ69" s="6625" cm="1">
        <f t="array" ref="AZ69">IF(W69="",0,SUMPRODUCT((CA4:CA795="Fruits a coque")*(CB4:CB795="EXCL")*(COUNTIF(AI69,"*"&amp;CC4:CC795&amp;"*")&gt;0)*1))</f>
        <v>0</v>
      </c>
      <c r="BA69" s="6625" cm="1">
        <f t="array" ref="BA69">IF(W69="",0,SUMPRODUCT((CA4:CA795="Fruits a coque")*(CB4:CB795="ALERTE")*(COUNTIF(AI69,"*"&amp;CC4:CC795&amp;"*")&gt;0)*1))</f>
        <v>0</v>
      </c>
      <c r="BB69" s="6625" cm="1">
        <f t="array" ref="BB69">IF(W69="",0,SUMPRODUCT((CA4:CA795="Celeri")*(CB4:CB795="ALERTE")*(COUNTIF(AI69,"*"&amp;CC4:CC795&amp;"*")&gt;0)*1))</f>
        <v>0</v>
      </c>
      <c r="BC69" s="6625" cm="1">
        <f t="array" ref="BC69">IF(W69="",0,SUMPRODUCT((CA4:CA795="Moutarde")*(CB4:CB795="ALERTE")*(COUNTIF(AI69,"*"&amp;CC4:CC795&amp;"*")&gt;0)*1))</f>
        <v>0</v>
      </c>
      <c r="BD69" s="6625" cm="1">
        <f t="array" ref="BD69">IF(W69="",0,SUMPRODUCT((CA4:CA795="Sesame")*(CB4:CB795="ALERTE")*(COUNTIF(AI69,"*"&amp;CC4:CC795&amp;"*")&gt;0)*1))</f>
        <v>0</v>
      </c>
      <c r="BE69" s="6625" cm="1">
        <f t="array" ref="BE69">IF(W69="",0,SUMPRODUCT((CA4:CA795="Sulfites")*(CB4:CB795="ALERTE")*(COUNTIF(AI69,"*"&amp;CC4:CC795&amp;"*")&gt;0)*1))</f>
        <v>0</v>
      </c>
      <c r="BF69" s="6625" cm="1">
        <f t="array" ref="BF69">IF(W69="",0,SUMPRODUCT((CA4:CA795="Lupin")*(CB4:CB795="ALERTE")*(COUNTIF(AI69,"*"&amp;CC4:CC795&amp;"*")&gt;0)*1))</f>
        <v>0</v>
      </c>
      <c r="BG69" s="6625" cm="1">
        <f t="array" ref="BG69">IF(W69="",0,SUMPRODUCT((CA4:CA795="Mollusques")*(CB4:CB795="EXCL")*(COUNTIF(AI69,"*"&amp;CC4:CC795&amp;"*")&gt;0)*1))</f>
        <v>0</v>
      </c>
      <c r="BH69" s="6625" cm="1">
        <f t="array" ref="BH69">IF(W69="",0,SUMPRODUCT((CA4:CA795="Mollusques")*(CB4:CB795="ALERTE")*(COUNTIF(AI69,"*"&amp;CC4:CC795&amp;"*")&gt;0)*1))</f>
        <v>0</v>
      </c>
      <c r="BI69" s="6625" t="str">
        <f t="shared" si="25"/>
        <v/>
      </c>
      <c r="BJ69" s="6625" t="str">
        <f t="shared" si="26"/>
        <v/>
      </c>
      <c r="BK69" s="6625" t="str">
        <f t="shared" si="27"/>
        <v/>
      </c>
      <c r="BL69" s="6625" t="str">
        <f t="shared" si="28"/>
        <v/>
      </c>
      <c r="BM69" s="6625" t="str">
        <f t="shared" si="29"/>
        <v/>
      </c>
      <c r="BN69" s="6625" t="str">
        <f t="shared" si="30"/>
        <v/>
      </c>
      <c r="BO69" s="6625" t="str">
        <f t="shared" si="31"/>
        <v/>
      </c>
      <c r="BP69" s="6625" t="str">
        <f t="shared" si="32"/>
        <v/>
      </c>
      <c r="BQ69" s="6625" t="str">
        <f t="shared" si="33"/>
        <v/>
      </c>
      <c r="BR69" s="6625" t="str">
        <f t="shared" si="34"/>
        <v/>
      </c>
      <c r="BS69" s="6625" t="str">
        <f t="shared" si="35"/>
        <v/>
      </c>
      <c r="BT69" s="6625" t="str">
        <f t="shared" si="36"/>
        <v/>
      </c>
      <c r="BU69" s="6625" t="str">
        <f t="shared" si="37"/>
        <v/>
      </c>
      <c r="BV69" s="6625" t="str">
        <f t="shared" si="38"/>
        <v/>
      </c>
      <c r="BW69" s="6625" t="str">
        <f t="shared" si="39"/>
        <v/>
      </c>
      <c r="BX69" s="6625" t="str">
        <f t="shared" si="40"/>
        <v/>
      </c>
      <c r="CA69" s="3170" t="s">
        <v>16449</v>
      </c>
      <c r="CB69" s="7634" t="s">
        <v>16255</v>
      </c>
      <c r="CC69" s="3170" t="s">
        <v>16468</v>
      </c>
      <c r="CD69" s="3170" t="s">
        <v>16469</v>
      </c>
    </row>
    <row r="70" spans="2:82" ht="30" customHeight="1">
      <c r="B70" s="7661" t="str">
        <f t="shared" si="0"/>
        <v/>
      </c>
      <c r="C70" s="7661" t="str">
        <f t="shared" si="1"/>
        <v/>
      </c>
      <c r="D70" s="7661" t="str">
        <f t="shared" si="2"/>
        <v/>
      </c>
      <c r="E70" s="7661">
        <f>IF(H69&lt;&gt;"",E69,IF(E69="","",IFERROR(MATCH(TRUE(),INDEX(INDEX($K:$K,E69+1):$K$203&lt;&gt;"",0),0)+E69,"")))</f>
        <v>245</v>
      </c>
      <c r="F70" s="7661">
        <f t="shared" si="41"/>
        <v>0</v>
      </c>
      <c r="G70" s="7661" t="str">
        <f t="shared" si="3"/>
        <v>0</v>
      </c>
      <c r="H70" s="7672" t="str">
        <f t="shared" si="4"/>
        <v/>
      </c>
      <c r="I70" s="7683" t="str">
        <f t="shared" si="5"/>
        <v/>
      </c>
      <c r="J70" s="7673" t="str">
        <f>IF(K70="","",COUNTIF($K$18:K70,"&lt;&gt;"))</f>
        <v/>
      </c>
      <c r="K70" s="7674"/>
      <c r="L70" s="7673" t="str">
        <f t="shared" si="6"/>
        <v/>
      </c>
      <c r="M70" s="7630">
        <f t="shared" si="7"/>
        <v>1</v>
      </c>
      <c r="N70" s="7675">
        <f t="shared" si="8"/>
        <v>53</v>
      </c>
      <c r="O70" s="7676" t="str">
        <f t="shared" si="9"/>
        <v>0</v>
      </c>
      <c r="P70" s="7675">
        <f t="shared" si="10"/>
        <v>1</v>
      </c>
      <c r="Q70" s="7675">
        <f t="shared" si="11"/>
        <v>1</v>
      </c>
      <c r="S70" s="7679" t="str">
        <f t="shared" si="42"/>
        <v>0</v>
      </c>
      <c r="T70" s="7680" t="str">
        <f t="shared" si="12"/>
        <v/>
      </c>
      <c r="V70" s="7677">
        <f t="shared" si="13"/>
        <v>70</v>
      </c>
      <c r="W70" s="7678" t="str">
        <f t="shared" si="43"/>
        <v>0</v>
      </c>
      <c r="X70" s="7677" t="s">
        <v>2</v>
      </c>
      <c r="Y70" s="7702" t="str">
        <f t="shared" si="14"/>
        <v>0</v>
      </c>
      <c r="Z70" s="7703" t="str">
        <f t="shared" si="15"/>
        <v/>
      </c>
      <c r="AA70" s="7681" t="str">
        <f t="shared" si="16"/>
        <v>0</v>
      </c>
      <c r="AB70" s="7682" t="str">
        <f t="shared" si="17"/>
        <v/>
      </c>
      <c r="AC70" s="7677">
        <f t="shared" si="18"/>
        <v>0</v>
      </c>
      <c r="AD70" s="7677">
        <f t="shared" si="19"/>
        <v>0</v>
      </c>
      <c r="AE70" s="7682" t="str">
        <f t="shared" si="20"/>
        <v>aucun match</v>
      </c>
      <c r="AF70" s="6625" t="str">
        <f t="shared" si="21"/>
        <v>0</v>
      </c>
      <c r="AG70" s="6625" t="str">
        <f t="shared" si="22"/>
        <v>0</v>
      </c>
      <c r="AH70" s="6625" t="str">
        <f t="shared" si="23"/>
        <v>0</v>
      </c>
      <c r="AI70" s="6625" t="str">
        <f t="shared" si="24"/>
        <v xml:space="preserve"> 0 </v>
      </c>
      <c r="AJ70" s="6625" cm="1">
        <f t="array" ref="AJ70">IF(W70="",0,SUMPRODUCT((CA4:CA795="Gluten")*(CB4:CB795="INFO")*(COUNTIF(AI70,"*"&amp;CC4:CC795&amp;"*")&gt;0)*1))</f>
        <v>0</v>
      </c>
      <c r="AK70" s="6625" cm="1">
        <f t="array" ref="AK70">IF(W70="",0,SUMPRODUCT((CA4:CA795="Gluten")*(CB4:CB795="EXCL")*(COUNTIF(AI70,"*"&amp;CC4:CC795&amp;"*")&gt;0)*1))</f>
        <v>0</v>
      </c>
      <c r="AL70" s="6625" cm="1">
        <f t="array" ref="AL70">IF(W70="",0,SUMPRODUCT((CA4:CA795="Gluten")*(CB4:CB795="ALERTE")*(COUNTIF(AI70,"*"&amp;CC4:CC795&amp;"*")&gt;0)*1))</f>
        <v>0</v>
      </c>
      <c r="AM70" s="6625" cm="1">
        <f t="array" ref="AM70">IF(W70="",0,SUMPRODUCT((CA4:CA795="Gluten")*(CB4:CB795="SUSP")*(COUNTIF(AI70,"*"&amp;CC4:CC795&amp;"*")&gt;0)*1))</f>
        <v>0</v>
      </c>
      <c r="AN70" s="6625" cm="1">
        <f t="array" ref="AN70">IF(W70="",0,SUMPRODUCT((CA4:CA795="Crustaces")*(CB4:CB795="ALERTE")*(COUNTIF(AI70,"*"&amp;CC4:CC795&amp;"*")&gt;0)*1))</f>
        <v>0</v>
      </c>
      <c r="AO70" s="6625" cm="1">
        <f t="array" ref="AO70">IF(W70="",0,SUMPRODUCT((CA4:CA795="Oeufs")*(CB4:CB795="ALERTE")*(COUNTIF(AI70,"*"&amp;CC4:CC795&amp;"*")&gt;0)*1))</f>
        <v>0</v>
      </c>
      <c r="AP70" s="6625" cm="1">
        <f t="array" ref="AP70">IF(W70="",0,SUMPRODUCT((CA4:CA795="Poissons")*(CB4:CB795="INFO")*(COUNTIF(AI70,"*"&amp;CC4:CC795&amp;"*")&gt;0)*1))</f>
        <v>0</v>
      </c>
      <c r="AQ70" s="6625" cm="1">
        <f t="array" ref="AQ70">IF(W70="",0,SUMPRODUCT((CA4:CA795="Poissons")*(CB4:CB795="EXCL")*(COUNTIF(AI70,"*"&amp;CC4:CC795&amp;"*")&gt;0)*1))</f>
        <v>0</v>
      </c>
      <c r="AR70" s="6625" cm="1">
        <f t="array" ref="AR70">IF(W70="",0,SUMPRODUCT((CA4:CA795="Poissons")*(CB4:CB795="ALERTE")*(COUNTIF(AI70,"*"&amp;CC4:CC795&amp;"*")&gt;0)*1))</f>
        <v>0</v>
      </c>
      <c r="AS70" s="6625" cm="1">
        <f t="array" ref="AS70">IF(W70="",0,SUMPRODUCT((CA4:CA795="Arachides")*(CB4:CB795="ALERTE")*(COUNTIF(AI70,"*"&amp;CC4:CC795&amp;"*")&gt;0)*1))</f>
        <v>0</v>
      </c>
      <c r="AT70" s="6625" cm="1">
        <f t="array" ref="AT70">IF(W70="",0,SUMPRODUCT((CA4:CA795="Soja")*(CB4:CB795="INFO")*(COUNTIF(AI70,"*"&amp;CC4:CC795&amp;"*")&gt;0)*1))</f>
        <v>0</v>
      </c>
      <c r="AU70" s="6625" cm="1">
        <f t="array" ref="AU70">IF(W70="",0,SUMPRODUCT((CA4:CA795="Soja")*(CB4:CB795="ALERTE")*(COUNTIF(AI70,"*"&amp;CC4:CC795&amp;"*")&gt;0)*1))</f>
        <v>0</v>
      </c>
      <c r="AV70" s="6625" cm="1">
        <f t="array" ref="AV70">IF(W70="",0,SUMPRODUCT((CA4:CA795="Lait")*(CB4:CB795="INFO")*(COUNTIF(AI70,"*"&amp;CC4:CC795&amp;"*")&gt;0)*1))</f>
        <v>0</v>
      </c>
      <c r="AW70" s="6625" cm="1">
        <f t="array" ref="AW70">IF(W70="",0,SUMPRODUCT((CA4:CA795="Lait")*(CB4:CB795="EXCL")*(COUNTIF(AI70,"*"&amp;CC4:CC795&amp;"*")&gt;0)*1))</f>
        <v>0</v>
      </c>
      <c r="AX70" s="6625" cm="1">
        <f t="array" ref="AX70">IF(W70="",0,SUMPRODUCT((CA4:CA795="Lait")*(CB4:CB795="ALERTE")*(COUNTIF(AI70,"*"&amp;CC4:CC795&amp;"*")&gt;0)*1))</f>
        <v>0</v>
      </c>
      <c r="AY70" s="6625" cm="1">
        <f t="array" ref="AY70">IF(W70="",0,SUMPRODUCT((CA4:CA795="Lait")*(CB4:CB795="SUSP")*(COUNTIF(AI70,"*"&amp;CC4:CC795&amp;"*")&gt;0)*1))</f>
        <v>0</v>
      </c>
      <c r="AZ70" s="6625" cm="1">
        <f t="array" ref="AZ70">IF(W70="",0,SUMPRODUCT((CA4:CA795="Fruits a coque")*(CB4:CB795="EXCL")*(COUNTIF(AI70,"*"&amp;CC4:CC795&amp;"*")&gt;0)*1))</f>
        <v>0</v>
      </c>
      <c r="BA70" s="6625" cm="1">
        <f t="array" ref="BA70">IF(W70="",0,SUMPRODUCT((CA4:CA795="Fruits a coque")*(CB4:CB795="ALERTE")*(COUNTIF(AI70,"*"&amp;CC4:CC795&amp;"*")&gt;0)*1))</f>
        <v>0</v>
      </c>
      <c r="BB70" s="6625" cm="1">
        <f t="array" ref="BB70">IF(W70="",0,SUMPRODUCT((CA4:CA795="Celeri")*(CB4:CB795="ALERTE")*(COUNTIF(AI70,"*"&amp;CC4:CC795&amp;"*")&gt;0)*1))</f>
        <v>0</v>
      </c>
      <c r="BC70" s="6625" cm="1">
        <f t="array" ref="BC70">IF(W70="",0,SUMPRODUCT((CA4:CA795="Moutarde")*(CB4:CB795="ALERTE")*(COUNTIF(AI70,"*"&amp;CC4:CC795&amp;"*")&gt;0)*1))</f>
        <v>0</v>
      </c>
      <c r="BD70" s="6625" cm="1">
        <f t="array" ref="BD70">IF(W70="",0,SUMPRODUCT((CA4:CA795="Sesame")*(CB4:CB795="ALERTE")*(COUNTIF(AI70,"*"&amp;CC4:CC795&amp;"*")&gt;0)*1))</f>
        <v>0</v>
      </c>
      <c r="BE70" s="6625" cm="1">
        <f t="array" ref="BE70">IF(W70="",0,SUMPRODUCT((CA4:CA795="Sulfites")*(CB4:CB795="ALERTE")*(COUNTIF(AI70,"*"&amp;CC4:CC795&amp;"*")&gt;0)*1))</f>
        <v>0</v>
      </c>
      <c r="BF70" s="6625" cm="1">
        <f t="array" ref="BF70">IF(W70="",0,SUMPRODUCT((CA4:CA795="Lupin")*(CB4:CB795="ALERTE")*(COUNTIF(AI70,"*"&amp;CC4:CC795&amp;"*")&gt;0)*1))</f>
        <v>0</v>
      </c>
      <c r="BG70" s="6625" cm="1">
        <f t="array" ref="BG70">IF(W70="",0,SUMPRODUCT((CA4:CA795="Mollusques")*(CB4:CB795="EXCL")*(COUNTIF(AI70,"*"&amp;CC4:CC795&amp;"*")&gt;0)*1))</f>
        <v>0</v>
      </c>
      <c r="BH70" s="6625" cm="1">
        <f t="array" ref="BH70">IF(W70="",0,SUMPRODUCT((CA4:CA795="Mollusques")*(CB4:CB795="ALERTE")*(COUNTIF(AI70,"*"&amp;CC4:CC795&amp;"*")&gt;0)*1))</f>
        <v>0</v>
      </c>
      <c r="BI70" s="6625" t="str">
        <f t="shared" si="25"/>
        <v/>
      </c>
      <c r="BJ70" s="6625" t="str">
        <f t="shared" si="26"/>
        <v/>
      </c>
      <c r="BK70" s="6625" t="str">
        <f t="shared" si="27"/>
        <v/>
      </c>
      <c r="BL70" s="6625" t="str">
        <f t="shared" si="28"/>
        <v/>
      </c>
      <c r="BM70" s="6625" t="str">
        <f t="shared" si="29"/>
        <v/>
      </c>
      <c r="BN70" s="6625" t="str">
        <f t="shared" si="30"/>
        <v/>
      </c>
      <c r="BO70" s="6625" t="str">
        <f t="shared" si="31"/>
        <v/>
      </c>
      <c r="BP70" s="6625" t="str">
        <f t="shared" si="32"/>
        <v/>
      </c>
      <c r="BQ70" s="6625" t="str">
        <f t="shared" si="33"/>
        <v/>
      </c>
      <c r="BR70" s="6625" t="str">
        <f t="shared" si="34"/>
        <v/>
      </c>
      <c r="BS70" s="6625" t="str">
        <f t="shared" si="35"/>
        <v/>
      </c>
      <c r="BT70" s="6625" t="str">
        <f t="shared" si="36"/>
        <v/>
      </c>
      <c r="BU70" s="6625" t="str">
        <f t="shared" si="37"/>
        <v/>
      </c>
      <c r="BV70" s="6625" t="str">
        <f t="shared" si="38"/>
        <v/>
      </c>
      <c r="BW70" s="6625" t="str">
        <f t="shared" si="39"/>
        <v/>
      </c>
      <c r="BX70" s="6625" t="str">
        <f t="shared" si="40"/>
        <v/>
      </c>
      <c r="CA70" s="3170" t="s">
        <v>16449</v>
      </c>
      <c r="CB70" s="7634" t="s">
        <v>16255</v>
      </c>
      <c r="CC70" s="3170" t="s">
        <v>16470</v>
      </c>
      <c r="CD70" s="3170" t="s">
        <v>16471</v>
      </c>
    </row>
    <row r="71" spans="2:82" ht="30" customHeight="1">
      <c r="B71" s="7661" t="str">
        <f t="shared" si="0"/>
        <v/>
      </c>
      <c r="C71" s="7661" t="str">
        <f t="shared" si="1"/>
        <v/>
      </c>
      <c r="D71" s="7661" t="str">
        <f t="shared" si="2"/>
        <v/>
      </c>
      <c r="E71" s="7661">
        <f>IF(H70&lt;&gt;"",E70,IF(E70="","",IFERROR(MATCH(TRUE(),INDEX(INDEX($K:$K,E70+1):$K$203&lt;&gt;"",0),0)+E70,"")))</f>
        <v>246</v>
      </c>
      <c r="F71" s="7661">
        <f t="shared" si="41"/>
        <v>0</v>
      </c>
      <c r="G71" s="7661" t="str">
        <f t="shared" si="3"/>
        <v>0</v>
      </c>
      <c r="H71" s="7672" t="str">
        <f t="shared" si="4"/>
        <v/>
      </c>
      <c r="I71" s="7683" t="str">
        <f t="shared" si="5"/>
        <v/>
      </c>
      <c r="J71" s="7673" t="str">
        <f>IF(K71="","",COUNTIF($K$18:K71,"&lt;&gt;"))</f>
        <v/>
      </c>
      <c r="K71" s="7674"/>
      <c r="L71" s="7673" t="str">
        <f t="shared" si="6"/>
        <v/>
      </c>
      <c r="M71" s="7630">
        <f t="shared" si="7"/>
        <v>1</v>
      </c>
      <c r="N71" s="7675">
        <f t="shared" si="8"/>
        <v>54</v>
      </c>
      <c r="O71" s="7676" t="str">
        <f t="shared" si="9"/>
        <v>0</v>
      </c>
      <c r="P71" s="7675">
        <f t="shared" si="10"/>
        <v>1</v>
      </c>
      <c r="Q71" s="7675">
        <f t="shared" si="11"/>
        <v>1</v>
      </c>
      <c r="S71" s="7679" t="str">
        <f t="shared" si="42"/>
        <v>0</v>
      </c>
      <c r="T71" s="7680" t="str">
        <f t="shared" si="12"/>
        <v/>
      </c>
      <c r="V71" s="7677">
        <f t="shared" si="13"/>
        <v>71</v>
      </c>
      <c r="W71" s="7678" t="str">
        <f t="shared" si="43"/>
        <v>0</v>
      </c>
      <c r="X71" s="7677" t="s">
        <v>2</v>
      </c>
      <c r="Y71" s="7702" t="str">
        <f t="shared" si="14"/>
        <v>0</v>
      </c>
      <c r="Z71" s="7703" t="str">
        <f t="shared" si="15"/>
        <v/>
      </c>
      <c r="AA71" s="7681" t="str">
        <f t="shared" si="16"/>
        <v>0</v>
      </c>
      <c r="AB71" s="7682" t="str">
        <f t="shared" si="17"/>
        <v/>
      </c>
      <c r="AC71" s="7677">
        <f t="shared" si="18"/>
        <v>0</v>
      </c>
      <c r="AD71" s="7677">
        <f t="shared" si="19"/>
        <v>0</v>
      </c>
      <c r="AE71" s="7682" t="str">
        <f t="shared" si="20"/>
        <v>aucun match</v>
      </c>
      <c r="AF71" s="6625" t="str">
        <f t="shared" si="21"/>
        <v>0</v>
      </c>
      <c r="AG71" s="6625" t="str">
        <f t="shared" si="22"/>
        <v>0</v>
      </c>
      <c r="AH71" s="6625" t="str">
        <f t="shared" si="23"/>
        <v>0</v>
      </c>
      <c r="AI71" s="6625" t="str">
        <f t="shared" si="24"/>
        <v xml:space="preserve"> 0 </v>
      </c>
      <c r="AJ71" s="6625" cm="1">
        <f t="array" ref="AJ71">IF(W71="",0,SUMPRODUCT((CA4:CA795="Gluten")*(CB4:CB795="INFO")*(COUNTIF(AI71,"*"&amp;CC4:CC795&amp;"*")&gt;0)*1))</f>
        <v>0</v>
      </c>
      <c r="AK71" s="6625" cm="1">
        <f t="array" ref="AK71">IF(W71="",0,SUMPRODUCT((CA4:CA795="Gluten")*(CB4:CB795="EXCL")*(COUNTIF(AI71,"*"&amp;CC4:CC795&amp;"*")&gt;0)*1))</f>
        <v>0</v>
      </c>
      <c r="AL71" s="6625" cm="1">
        <f t="array" ref="AL71">IF(W71="",0,SUMPRODUCT((CA4:CA795="Gluten")*(CB4:CB795="ALERTE")*(COUNTIF(AI71,"*"&amp;CC4:CC795&amp;"*")&gt;0)*1))</f>
        <v>0</v>
      </c>
      <c r="AM71" s="6625" cm="1">
        <f t="array" ref="AM71">IF(W71="",0,SUMPRODUCT((CA4:CA795="Gluten")*(CB4:CB795="SUSP")*(COUNTIF(AI71,"*"&amp;CC4:CC795&amp;"*")&gt;0)*1))</f>
        <v>0</v>
      </c>
      <c r="AN71" s="6625" cm="1">
        <f t="array" ref="AN71">IF(W71="",0,SUMPRODUCT((CA4:CA795="Crustaces")*(CB4:CB795="ALERTE")*(COUNTIF(AI71,"*"&amp;CC4:CC795&amp;"*")&gt;0)*1))</f>
        <v>0</v>
      </c>
      <c r="AO71" s="6625" cm="1">
        <f t="array" ref="AO71">IF(W71="",0,SUMPRODUCT((CA4:CA795="Oeufs")*(CB4:CB795="ALERTE")*(COUNTIF(AI71,"*"&amp;CC4:CC795&amp;"*")&gt;0)*1))</f>
        <v>0</v>
      </c>
      <c r="AP71" s="6625" cm="1">
        <f t="array" ref="AP71">IF(W71="",0,SUMPRODUCT((CA4:CA795="Poissons")*(CB4:CB795="INFO")*(COUNTIF(AI71,"*"&amp;CC4:CC795&amp;"*")&gt;0)*1))</f>
        <v>0</v>
      </c>
      <c r="AQ71" s="6625" cm="1">
        <f t="array" ref="AQ71">IF(W71="",0,SUMPRODUCT((CA4:CA795="Poissons")*(CB4:CB795="EXCL")*(COUNTIF(AI71,"*"&amp;CC4:CC795&amp;"*")&gt;0)*1))</f>
        <v>0</v>
      </c>
      <c r="AR71" s="6625" cm="1">
        <f t="array" ref="AR71">IF(W71="",0,SUMPRODUCT((CA4:CA795="Poissons")*(CB4:CB795="ALERTE")*(COUNTIF(AI71,"*"&amp;CC4:CC795&amp;"*")&gt;0)*1))</f>
        <v>0</v>
      </c>
      <c r="AS71" s="6625" cm="1">
        <f t="array" ref="AS71">IF(W71="",0,SUMPRODUCT((CA4:CA795="Arachides")*(CB4:CB795="ALERTE")*(COUNTIF(AI71,"*"&amp;CC4:CC795&amp;"*")&gt;0)*1))</f>
        <v>0</v>
      </c>
      <c r="AT71" s="6625" cm="1">
        <f t="array" ref="AT71">IF(W71="",0,SUMPRODUCT((CA4:CA795="Soja")*(CB4:CB795="INFO")*(COUNTIF(AI71,"*"&amp;CC4:CC795&amp;"*")&gt;0)*1))</f>
        <v>0</v>
      </c>
      <c r="AU71" s="6625" cm="1">
        <f t="array" ref="AU71">IF(W71="",0,SUMPRODUCT((CA4:CA795="Soja")*(CB4:CB795="ALERTE")*(COUNTIF(AI71,"*"&amp;CC4:CC795&amp;"*")&gt;0)*1))</f>
        <v>0</v>
      </c>
      <c r="AV71" s="6625" cm="1">
        <f t="array" ref="AV71">IF(W71="",0,SUMPRODUCT((CA4:CA795="Lait")*(CB4:CB795="INFO")*(COUNTIF(AI71,"*"&amp;CC4:CC795&amp;"*")&gt;0)*1))</f>
        <v>0</v>
      </c>
      <c r="AW71" s="6625" cm="1">
        <f t="array" ref="AW71">IF(W71="",0,SUMPRODUCT((CA4:CA795="Lait")*(CB4:CB795="EXCL")*(COUNTIF(AI71,"*"&amp;CC4:CC795&amp;"*")&gt;0)*1))</f>
        <v>0</v>
      </c>
      <c r="AX71" s="6625" cm="1">
        <f t="array" ref="AX71">IF(W71="",0,SUMPRODUCT((CA4:CA795="Lait")*(CB4:CB795="ALERTE")*(COUNTIF(AI71,"*"&amp;CC4:CC795&amp;"*")&gt;0)*1))</f>
        <v>0</v>
      </c>
      <c r="AY71" s="6625" cm="1">
        <f t="array" ref="AY71">IF(W71="",0,SUMPRODUCT((CA4:CA795="Lait")*(CB4:CB795="SUSP")*(COUNTIF(AI71,"*"&amp;CC4:CC795&amp;"*")&gt;0)*1))</f>
        <v>0</v>
      </c>
      <c r="AZ71" s="6625" cm="1">
        <f t="array" ref="AZ71">IF(W71="",0,SUMPRODUCT((CA4:CA795="Fruits a coque")*(CB4:CB795="EXCL")*(COUNTIF(AI71,"*"&amp;CC4:CC795&amp;"*")&gt;0)*1))</f>
        <v>0</v>
      </c>
      <c r="BA71" s="6625" cm="1">
        <f t="array" ref="BA71">IF(W71="",0,SUMPRODUCT((CA4:CA795="Fruits a coque")*(CB4:CB795="ALERTE")*(COUNTIF(AI71,"*"&amp;CC4:CC795&amp;"*")&gt;0)*1))</f>
        <v>0</v>
      </c>
      <c r="BB71" s="6625" cm="1">
        <f t="array" ref="BB71">IF(W71="",0,SUMPRODUCT((CA4:CA795="Celeri")*(CB4:CB795="ALERTE")*(COUNTIF(AI71,"*"&amp;CC4:CC795&amp;"*")&gt;0)*1))</f>
        <v>0</v>
      </c>
      <c r="BC71" s="6625" cm="1">
        <f t="array" ref="BC71">IF(W71="",0,SUMPRODUCT((CA4:CA795="Moutarde")*(CB4:CB795="ALERTE")*(COUNTIF(AI71,"*"&amp;CC4:CC795&amp;"*")&gt;0)*1))</f>
        <v>0</v>
      </c>
      <c r="BD71" s="6625" cm="1">
        <f t="array" ref="BD71">IF(W71="",0,SUMPRODUCT((CA4:CA795="Sesame")*(CB4:CB795="ALERTE")*(COUNTIF(AI71,"*"&amp;CC4:CC795&amp;"*")&gt;0)*1))</f>
        <v>0</v>
      </c>
      <c r="BE71" s="6625" cm="1">
        <f t="array" ref="BE71">IF(W71="",0,SUMPRODUCT((CA4:CA795="Sulfites")*(CB4:CB795="ALERTE")*(COUNTIF(AI71,"*"&amp;CC4:CC795&amp;"*")&gt;0)*1))</f>
        <v>0</v>
      </c>
      <c r="BF71" s="6625" cm="1">
        <f t="array" ref="BF71">IF(W71="",0,SUMPRODUCT((CA4:CA795="Lupin")*(CB4:CB795="ALERTE")*(COUNTIF(AI71,"*"&amp;CC4:CC795&amp;"*")&gt;0)*1))</f>
        <v>0</v>
      </c>
      <c r="BG71" s="6625" cm="1">
        <f t="array" ref="BG71">IF(W71="",0,SUMPRODUCT((CA4:CA795="Mollusques")*(CB4:CB795="EXCL")*(COUNTIF(AI71,"*"&amp;CC4:CC795&amp;"*")&gt;0)*1))</f>
        <v>0</v>
      </c>
      <c r="BH71" s="6625" cm="1">
        <f t="array" ref="BH71">IF(W71="",0,SUMPRODUCT((CA4:CA795="Mollusques")*(CB4:CB795="ALERTE")*(COUNTIF(AI71,"*"&amp;CC4:CC795&amp;"*")&gt;0)*1))</f>
        <v>0</v>
      </c>
      <c r="BI71" s="6625" t="str">
        <f t="shared" si="25"/>
        <v/>
      </c>
      <c r="BJ71" s="6625" t="str">
        <f t="shared" si="26"/>
        <v/>
      </c>
      <c r="BK71" s="6625" t="str">
        <f t="shared" si="27"/>
        <v/>
      </c>
      <c r="BL71" s="6625" t="str">
        <f t="shared" si="28"/>
        <v/>
      </c>
      <c r="BM71" s="6625" t="str">
        <f t="shared" si="29"/>
        <v/>
      </c>
      <c r="BN71" s="6625" t="str">
        <f t="shared" si="30"/>
        <v/>
      </c>
      <c r="BO71" s="6625" t="str">
        <f t="shared" si="31"/>
        <v/>
      </c>
      <c r="BP71" s="6625" t="str">
        <f t="shared" si="32"/>
        <v/>
      </c>
      <c r="BQ71" s="6625" t="str">
        <f t="shared" si="33"/>
        <v/>
      </c>
      <c r="BR71" s="6625" t="str">
        <f t="shared" si="34"/>
        <v/>
      </c>
      <c r="BS71" s="6625" t="str">
        <f t="shared" si="35"/>
        <v/>
      </c>
      <c r="BT71" s="6625" t="str">
        <f t="shared" si="36"/>
        <v/>
      </c>
      <c r="BU71" s="6625" t="str">
        <f t="shared" si="37"/>
        <v/>
      </c>
      <c r="BV71" s="6625" t="str">
        <f t="shared" si="38"/>
        <v/>
      </c>
      <c r="BW71" s="6625" t="str">
        <f t="shared" si="39"/>
        <v/>
      </c>
      <c r="BX71" s="6625" t="str">
        <f t="shared" si="40"/>
        <v/>
      </c>
      <c r="CA71" s="3170" t="s">
        <v>16449</v>
      </c>
      <c r="CB71" s="7634" t="s">
        <v>16255</v>
      </c>
      <c r="CC71" s="3170" t="s">
        <v>16472</v>
      </c>
      <c r="CD71" s="3170" t="s">
        <v>16473</v>
      </c>
    </row>
    <row r="72" spans="2:82" ht="30" customHeight="1">
      <c r="B72" s="7661" t="str">
        <f t="shared" si="0"/>
        <v/>
      </c>
      <c r="C72" s="7661" t="str">
        <f t="shared" si="1"/>
        <v/>
      </c>
      <c r="D72" s="7661" t="str">
        <f t="shared" si="2"/>
        <v/>
      </c>
      <c r="E72" s="7661">
        <f>IF(H71&lt;&gt;"",E71,IF(E71="","",IFERROR(MATCH(TRUE(),INDEX(INDEX($K:$K,E71+1):$K$203&lt;&gt;"",0),0)+E71,"")))</f>
        <v>247</v>
      </c>
      <c r="F72" s="7661">
        <f t="shared" si="41"/>
        <v>0</v>
      </c>
      <c r="G72" s="7661" t="str">
        <f t="shared" si="3"/>
        <v>0</v>
      </c>
      <c r="H72" s="7672" t="str">
        <f t="shared" si="4"/>
        <v/>
      </c>
      <c r="I72" s="7683" t="str">
        <f t="shared" si="5"/>
        <v/>
      </c>
      <c r="J72" s="7673" t="str">
        <f>IF(K72="","",COUNTIF($K$18:K72,"&lt;&gt;"))</f>
        <v/>
      </c>
      <c r="K72" s="7674"/>
      <c r="L72" s="7673" t="str">
        <f t="shared" si="6"/>
        <v/>
      </c>
      <c r="M72" s="7630">
        <f t="shared" si="7"/>
        <v>1</v>
      </c>
      <c r="N72" s="7675">
        <f t="shared" si="8"/>
        <v>55</v>
      </c>
      <c r="O72" s="7676" t="str">
        <f t="shared" si="9"/>
        <v>0</v>
      </c>
      <c r="P72" s="7675">
        <f t="shared" si="10"/>
        <v>1</v>
      </c>
      <c r="Q72" s="7675">
        <f t="shared" si="11"/>
        <v>1</v>
      </c>
      <c r="S72" s="7679" t="str">
        <f t="shared" si="42"/>
        <v>0</v>
      </c>
      <c r="T72" s="7680" t="str">
        <f t="shared" si="12"/>
        <v/>
      </c>
      <c r="V72" s="7677">
        <f t="shared" si="13"/>
        <v>72</v>
      </c>
      <c r="W72" s="7678" t="str">
        <f t="shared" si="43"/>
        <v>0</v>
      </c>
      <c r="X72" s="7677" t="s">
        <v>2</v>
      </c>
      <c r="Y72" s="7702" t="str">
        <f t="shared" si="14"/>
        <v>0</v>
      </c>
      <c r="Z72" s="7703" t="str">
        <f t="shared" si="15"/>
        <v/>
      </c>
      <c r="AA72" s="7681" t="str">
        <f t="shared" si="16"/>
        <v>0</v>
      </c>
      <c r="AB72" s="7682" t="str">
        <f t="shared" si="17"/>
        <v/>
      </c>
      <c r="AC72" s="7677">
        <f t="shared" si="18"/>
        <v>0</v>
      </c>
      <c r="AD72" s="7677">
        <f t="shared" si="19"/>
        <v>0</v>
      </c>
      <c r="AE72" s="7682" t="str">
        <f t="shared" si="20"/>
        <v>aucun match</v>
      </c>
      <c r="AF72" s="6625" t="str">
        <f t="shared" si="21"/>
        <v>0</v>
      </c>
      <c r="AG72" s="6625" t="str">
        <f t="shared" si="22"/>
        <v>0</v>
      </c>
      <c r="AH72" s="6625" t="str">
        <f t="shared" si="23"/>
        <v>0</v>
      </c>
      <c r="AI72" s="6625" t="str">
        <f t="shared" si="24"/>
        <v xml:space="preserve"> 0 </v>
      </c>
      <c r="AJ72" s="6625" cm="1">
        <f t="array" ref="AJ72">IF(W72="",0,SUMPRODUCT((CA4:CA795="Gluten")*(CB4:CB795="INFO")*(COUNTIF(AI72,"*"&amp;CC4:CC795&amp;"*")&gt;0)*1))</f>
        <v>0</v>
      </c>
      <c r="AK72" s="6625" cm="1">
        <f t="array" ref="AK72">IF(W72="",0,SUMPRODUCT((CA4:CA795="Gluten")*(CB4:CB795="EXCL")*(COUNTIF(AI72,"*"&amp;CC4:CC795&amp;"*")&gt;0)*1))</f>
        <v>0</v>
      </c>
      <c r="AL72" s="6625" cm="1">
        <f t="array" ref="AL72">IF(W72="",0,SUMPRODUCT((CA4:CA795="Gluten")*(CB4:CB795="ALERTE")*(COUNTIF(AI72,"*"&amp;CC4:CC795&amp;"*")&gt;0)*1))</f>
        <v>0</v>
      </c>
      <c r="AM72" s="6625" cm="1">
        <f t="array" ref="AM72">IF(W72="",0,SUMPRODUCT((CA4:CA795="Gluten")*(CB4:CB795="SUSP")*(COUNTIF(AI72,"*"&amp;CC4:CC795&amp;"*")&gt;0)*1))</f>
        <v>0</v>
      </c>
      <c r="AN72" s="6625" cm="1">
        <f t="array" ref="AN72">IF(W72="",0,SUMPRODUCT((CA4:CA795="Crustaces")*(CB4:CB795="ALERTE")*(COUNTIF(AI72,"*"&amp;CC4:CC795&amp;"*")&gt;0)*1))</f>
        <v>0</v>
      </c>
      <c r="AO72" s="6625" cm="1">
        <f t="array" ref="AO72">IF(W72="",0,SUMPRODUCT((CA4:CA795="Oeufs")*(CB4:CB795="ALERTE")*(COUNTIF(AI72,"*"&amp;CC4:CC795&amp;"*")&gt;0)*1))</f>
        <v>0</v>
      </c>
      <c r="AP72" s="6625" cm="1">
        <f t="array" ref="AP72">IF(W72="",0,SUMPRODUCT((CA4:CA795="Poissons")*(CB4:CB795="INFO")*(COUNTIF(AI72,"*"&amp;CC4:CC795&amp;"*")&gt;0)*1))</f>
        <v>0</v>
      </c>
      <c r="AQ72" s="6625" cm="1">
        <f t="array" ref="AQ72">IF(W72="",0,SUMPRODUCT((CA4:CA795="Poissons")*(CB4:CB795="EXCL")*(COUNTIF(AI72,"*"&amp;CC4:CC795&amp;"*")&gt;0)*1))</f>
        <v>0</v>
      </c>
      <c r="AR72" s="6625" cm="1">
        <f t="array" ref="AR72">IF(W72="",0,SUMPRODUCT((CA4:CA795="Poissons")*(CB4:CB795="ALERTE")*(COUNTIF(AI72,"*"&amp;CC4:CC795&amp;"*")&gt;0)*1))</f>
        <v>0</v>
      </c>
      <c r="AS72" s="6625" cm="1">
        <f t="array" ref="AS72">IF(W72="",0,SUMPRODUCT((CA4:CA795="Arachides")*(CB4:CB795="ALERTE")*(COUNTIF(AI72,"*"&amp;CC4:CC795&amp;"*")&gt;0)*1))</f>
        <v>0</v>
      </c>
      <c r="AT72" s="6625" cm="1">
        <f t="array" ref="AT72">IF(W72="",0,SUMPRODUCT((CA4:CA795="Soja")*(CB4:CB795="INFO")*(COUNTIF(AI72,"*"&amp;CC4:CC795&amp;"*")&gt;0)*1))</f>
        <v>0</v>
      </c>
      <c r="AU72" s="6625" cm="1">
        <f t="array" ref="AU72">IF(W72="",0,SUMPRODUCT((CA4:CA795="Soja")*(CB4:CB795="ALERTE")*(COUNTIF(AI72,"*"&amp;CC4:CC795&amp;"*")&gt;0)*1))</f>
        <v>0</v>
      </c>
      <c r="AV72" s="6625" cm="1">
        <f t="array" ref="AV72">IF(W72="",0,SUMPRODUCT((CA4:CA795="Lait")*(CB4:CB795="INFO")*(COUNTIF(AI72,"*"&amp;CC4:CC795&amp;"*")&gt;0)*1))</f>
        <v>0</v>
      </c>
      <c r="AW72" s="6625" cm="1">
        <f t="array" ref="AW72">IF(W72="",0,SUMPRODUCT((CA4:CA795="Lait")*(CB4:CB795="EXCL")*(COUNTIF(AI72,"*"&amp;CC4:CC795&amp;"*")&gt;0)*1))</f>
        <v>0</v>
      </c>
      <c r="AX72" s="6625" cm="1">
        <f t="array" ref="AX72">IF(W72="",0,SUMPRODUCT((CA4:CA795="Lait")*(CB4:CB795="ALERTE")*(COUNTIF(AI72,"*"&amp;CC4:CC795&amp;"*")&gt;0)*1))</f>
        <v>0</v>
      </c>
      <c r="AY72" s="6625" cm="1">
        <f t="array" ref="AY72">IF(W72="",0,SUMPRODUCT((CA4:CA795="Lait")*(CB4:CB795="SUSP")*(COUNTIF(AI72,"*"&amp;CC4:CC795&amp;"*")&gt;0)*1))</f>
        <v>0</v>
      </c>
      <c r="AZ72" s="6625" cm="1">
        <f t="array" ref="AZ72">IF(W72="",0,SUMPRODUCT((CA4:CA795="Fruits a coque")*(CB4:CB795="EXCL")*(COUNTIF(AI72,"*"&amp;CC4:CC795&amp;"*")&gt;0)*1))</f>
        <v>0</v>
      </c>
      <c r="BA72" s="6625" cm="1">
        <f t="array" ref="BA72">IF(W72="",0,SUMPRODUCT((CA4:CA795="Fruits a coque")*(CB4:CB795="ALERTE")*(COUNTIF(AI72,"*"&amp;CC4:CC795&amp;"*")&gt;0)*1))</f>
        <v>0</v>
      </c>
      <c r="BB72" s="6625" cm="1">
        <f t="array" ref="BB72">IF(W72="",0,SUMPRODUCT((CA4:CA795="Celeri")*(CB4:CB795="ALERTE")*(COUNTIF(AI72,"*"&amp;CC4:CC795&amp;"*")&gt;0)*1))</f>
        <v>0</v>
      </c>
      <c r="BC72" s="6625" cm="1">
        <f t="array" ref="BC72">IF(W72="",0,SUMPRODUCT((CA4:CA795="Moutarde")*(CB4:CB795="ALERTE")*(COUNTIF(AI72,"*"&amp;CC4:CC795&amp;"*")&gt;0)*1))</f>
        <v>0</v>
      </c>
      <c r="BD72" s="6625" cm="1">
        <f t="array" ref="BD72">IF(W72="",0,SUMPRODUCT((CA4:CA795="Sesame")*(CB4:CB795="ALERTE")*(COUNTIF(AI72,"*"&amp;CC4:CC795&amp;"*")&gt;0)*1))</f>
        <v>0</v>
      </c>
      <c r="BE72" s="6625" cm="1">
        <f t="array" ref="BE72">IF(W72="",0,SUMPRODUCT((CA4:CA795="Sulfites")*(CB4:CB795="ALERTE")*(COUNTIF(AI72,"*"&amp;CC4:CC795&amp;"*")&gt;0)*1))</f>
        <v>0</v>
      </c>
      <c r="BF72" s="6625" cm="1">
        <f t="array" ref="BF72">IF(W72="",0,SUMPRODUCT((CA4:CA795="Lupin")*(CB4:CB795="ALERTE")*(COUNTIF(AI72,"*"&amp;CC4:CC795&amp;"*")&gt;0)*1))</f>
        <v>0</v>
      </c>
      <c r="BG72" s="6625" cm="1">
        <f t="array" ref="BG72">IF(W72="",0,SUMPRODUCT((CA4:CA795="Mollusques")*(CB4:CB795="EXCL")*(COUNTIF(AI72,"*"&amp;CC4:CC795&amp;"*")&gt;0)*1))</f>
        <v>0</v>
      </c>
      <c r="BH72" s="6625" cm="1">
        <f t="array" ref="BH72">IF(W72="",0,SUMPRODUCT((CA4:CA795="Mollusques")*(CB4:CB795="ALERTE")*(COUNTIF(AI72,"*"&amp;CC4:CC795&amp;"*")&gt;0)*1))</f>
        <v>0</v>
      </c>
      <c r="BI72" s="6625" t="str">
        <f t="shared" si="25"/>
        <v/>
      </c>
      <c r="BJ72" s="6625" t="str">
        <f t="shared" si="26"/>
        <v/>
      </c>
      <c r="BK72" s="6625" t="str">
        <f t="shared" si="27"/>
        <v/>
      </c>
      <c r="BL72" s="6625" t="str">
        <f t="shared" si="28"/>
        <v/>
      </c>
      <c r="BM72" s="6625" t="str">
        <f t="shared" si="29"/>
        <v/>
      </c>
      <c r="BN72" s="6625" t="str">
        <f t="shared" si="30"/>
        <v/>
      </c>
      <c r="BO72" s="6625" t="str">
        <f t="shared" si="31"/>
        <v/>
      </c>
      <c r="BP72" s="6625" t="str">
        <f t="shared" si="32"/>
        <v/>
      </c>
      <c r="BQ72" s="6625" t="str">
        <f t="shared" si="33"/>
        <v/>
      </c>
      <c r="BR72" s="6625" t="str">
        <f t="shared" si="34"/>
        <v/>
      </c>
      <c r="BS72" s="6625" t="str">
        <f t="shared" si="35"/>
        <v/>
      </c>
      <c r="BT72" s="6625" t="str">
        <f t="shared" si="36"/>
        <v/>
      </c>
      <c r="BU72" s="6625" t="str">
        <f t="shared" si="37"/>
        <v/>
      </c>
      <c r="BV72" s="6625" t="str">
        <f t="shared" si="38"/>
        <v/>
      </c>
      <c r="BW72" s="6625" t="str">
        <f t="shared" si="39"/>
        <v/>
      </c>
      <c r="BX72" s="6625" t="str">
        <f t="shared" si="40"/>
        <v/>
      </c>
      <c r="CA72" s="3170" t="s">
        <v>16449</v>
      </c>
      <c r="CB72" s="7634" t="s">
        <v>16255</v>
      </c>
      <c r="CC72" s="3170" t="s">
        <v>16474</v>
      </c>
      <c r="CD72" s="3170" t="s">
        <v>16475</v>
      </c>
    </row>
    <row r="73" spans="2:82" ht="30" customHeight="1">
      <c r="B73" s="7661" t="str">
        <f t="shared" si="0"/>
        <v/>
      </c>
      <c r="C73" s="7661" t="str">
        <f t="shared" si="1"/>
        <v/>
      </c>
      <c r="D73" s="7661" t="str">
        <f t="shared" si="2"/>
        <v/>
      </c>
      <c r="E73" s="7661">
        <f>IF(H72&lt;&gt;"",E72,IF(E72="","",IFERROR(MATCH(TRUE(),INDEX(INDEX($K:$K,E72+1):$K$203&lt;&gt;"",0),0)+E72,"")))</f>
        <v>248</v>
      </c>
      <c r="F73" s="7661">
        <f t="shared" si="41"/>
        <v>0</v>
      </c>
      <c r="G73" s="7661" t="str">
        <f t="shared" si="3"/>
        <v>0</v>
      </c>
      <c r="H73" s="7672" t="str">
        <f t="shared" si="4"/>
        <v/>
      </c>
      <c r="I73" s="7683" t="str">
        <f t="shared" si="5"/>
        <v/>
      </c>
      <c r="J73" s="7673" t="str">
        <f>IF(K73="","",COUNTIF($K$18:K73,"&lt;&gt;"))</f>
        <v/>
      </c>
      <c r="K73" s="7674"/>
      <c r="L73" s="7673" t="str">
        <f t="shared" si="6"/>
        <v/>
      </c>
      <c r="M73" s="7630">
        <f t="shared" si="7"/>
        <v>1</v>
      </c>
      <c r="N73" s="7675">
        <f t="shared" si="8"/>
        <v>56</v>
      </c>
      <c r="O73" s="7676" t="str">
        <f t="shared" si="9"/>
        <v>0</v>
      </c>
      <c r="P73" s="7675">
        <f t="shared" si="10"/>
        <v>1</v>
      </c>
      <c r="Q73" s="7675">
        <f t="shared" si="11"/>
        <v>1</v>
      </c>
      <c r="S73" s="7679" t="str">
        <f t="shared" si="42"/>
        <v>0</v>
      </c>
      <c r="T73" s="7680" t="str">
        <f t="shared" si="12"/>
        <v/>
      </c>
      <c r="V73" s="7677">
        <f t="shared" si="13"/>
        <v>73</v>
      </c>
      <c r="W73" s="7678" t="str">
        <f t="shared" si="43"/>
        <v>0</v>
      </c>
      <c r="X73" s="7677" t="s">
        <v>2</v>
      </c>
      <c r="Y73" s="7702" t="str">
        <f t="shared" si="14"/>
        <v>0</v>
      </c>
      <c r="Z73" s="7703" t="str">
        <f t="shared" si="15"/>
        <v/>
      </c>
      <c r="AA73" s="7681" t="str">
        <f t="shared" si="16"/>
        <v>0</v>
      </c>
      <c r="AB73" s="7682" t="str">
        <f t="shared" si="17"/>
        <v/>
      </c>
      <c r="AC73" s="7677">
        <f t="shared" si="18"/>
        <v>0</v>
      </c>
      <c r="AD73" s="7677">
        <f t="shared" si="19"/>
        <v>0</v>
      </c>
      <c r="AE73" s="7682" t="str">
        <f t="shared" si="20"/>
        <v>aucun match</v>
      </c>
      <c r="AF73" s="6625" t="str">
        <f t="shared" si="21"/>
        <v>0</v>
      </c>
      <c r="AG73" s="6625" t="str">
        <f t="shared" si="22"/>
        <v>0</v>
      </c>
      <c r="AH73" s="6625" t="str">
        <f t="shared" si="23"/>
        <v>0</v>
      </c>
      <c r="AI73" s="6625" t="str">
        <f t="shared" si="24"/>
        <v xml:space="preserve"> 0 </v>
      </c>
      <c r="AJ73" s="6625" cm="1">
        <f t="array" ref="AJ73">IF(W73="",0,SUMPRODUCT((CA4:CA795="Gluten")*(CB4:CB795="INFO")*(COUNTIF(AI73,"*"&amp;CC4:CC795&amp;"*")&gt;0)*1))</f>
        <v>0</v>
      </c>
      <c r="AK73" s="6625" cm="1">
        <f t="array" ref="AK73">IF(W73="",0,SUMPRODUCT((CA4:CA795="Gluten")*(CB4:CB795="EXCL")*(COUNTIF(AI73,"*"&amp;CC4:CC795&amp;"*")&gt;0)*1))</f>
        <v>0</v>
      </c>
      <c r="AL73" s="6625" cm="1">
        <f t="array" ref="AL73">IF(W73="",0,SUMPRODUCT((CA4:CA795="Gluten")*(CB4:CB795="ALERTE")*(COUNTIF(AI73,"*"&amp;CC4:CC795&amp;"*")&gt;0)*1))</f>
        <v>0</v>
      </c>
      <c r="AM73" s="6625" cm="1">
        <f t="array" ref="AM73">IF(W73="",0,SUMPRODUCT((CA4:CA795="Gluten")*(CB4:CB795="SUSP")*(COUNTIF(AI73,"*"&amp;CC4:CC795&amp;"*")&gt;0)*1))</f>
        <v>0</v>
      </c>
      <c r="AN73" s="6625" cm="1">
        <f t="array" ref="AN73">IF(W73="",0,SUMPRODUCT((CA4:CA795="Crustaces")*(CB4:CB795="ALERTE")*(COUNTIF(AI73,"*"&amp;CC4:CC795&amp;"*")&gt;0)*1))</f>
        <v>0</v>
      </c>
      <c r="AO73" s="6625" cm="1">
        <f t="array" ref="AO73">IF(W73="",0,SUMPRODUCT((CA4:CA795="Oeufs")*(CB4:CB795="ALERTE")*(COUNTIF(AI73,"*"&amp;CC4:CC795&amp;"*")&gt;0)*1))</f>
        <v>0</v>
      </c>
      <c r="AP73" s="6625" cm="1">
        <f t="array" ref="AP73">IF(W73="",0,SUMPRODUCT((CA4:CA795="Poissons")*(CB4:CB795="INFO")*(COUNTIF(AI73,"*"&amp;CC4:CC795&amp;"*")&gt;0)*1))</f>
        <v>0</v>
      </c>
      <c r="AQ73" s="6625" cm="1">
        <f t="array" ref="AQ73">IF(W73="",0,SUMPRODUCT((CA4:CA795="Poissons")*(CB4:CB795="EXCL")*(COUNTIF(AI73,"*"&amp;CC4:CC795&amp;"*")&gt;0)*1))</f>
        <v>0</v>
      </c>
      <c r="AR73" s="6625" cm="1">
        <f t="array" ref="AR73">IF(W73="",0,SUMPRODUCT((CA4:CA795="Poissons")*(CB4:CB795="ALERTE")*(COUNTIF(AI73,"*"&amp;CC4:CC795&amp;"*")&gt;0)*1))</f>
        <v>0</v>
      </c>
      <c r="AS73" s="6625" cm="1">
        <f t="array" ref="AS73">IF(W73="",0,SUMPRODUCT((CA4:CA795="Arachides")*(CB4:CB795="ALERTE")*(COUNTIF(AI73,"*"&amp;CC4:CC795&amp;"*")&gt;0)*1))</f>
        <v>0</v>
      </c>
      <c r="AT73" s="6625" cm="1">
        <f t="array" ref="AT73">IF(W73="",0,SUMPRODUCT((CA4:CA795="Soja")*(CB4:CB795="INFO")*(COUNTIF(AI73,"*"&amp;CC4:CC795&amp;"*")&gt;0)*1))</f>
        <v>0</v>
      </c>
      <c r="AU73" s="6625" cm="1">
        <f t="array" ref="AU73">IF(W73="",0,SUMPRODUCT((CA4:CA795="Soja")*(CB4:CB795="ALERTE")*(COUNTIF(AI73,"*"&amp;CC4:CC795&amp;"*")&gt;0)*1))</f>
        <v>0</v>
      </c>
      <c r="AV73" s="6625" cm="1">
        <f t="array" ref="AV73">IF(W73="",0,SUMPRODUCT((CA4:CA795="Lait")*(CB4:CB795="INFO")*(COUNTIF(AI73,"*"&amp;CC4:CC795&amp;"*")&gt;0)*1))</f>
        <v>0</v>
      </c>
      <c r="AW73" s="6625" cm="1">
        <f t="array" ref="AW73">IF(W73="",0,SUMPRODUCT((CA4:CA795="Lait")*(CB4:CB795="EXCL")*(COUNTIF(AI73,"*"&amp;CC4:CC795&amp;"*")&gt;0)*1))</f>
        <v>0</v>
      </c>
      <c r="AX73" s="6625" cm="1">
        <f t="array" ref="AX73">IF(W73="",0,SUMPRODUCT((CA4:CA795="Lait")*(CB4:CB795="ALERTE")*(COUNTIF(AI73,"*"&amp;CC4:CC795&amp;"*")&gt;0)*1))</f>
        <v>0</v>
      </c>
      <c r="AY73" s="6625" cm="1">
        <f t="array" ref="AY73">IF(W73="",0,SUMPRODUCT((CA4:CA795="Lait")*(CB4:CB795="SUSP")*(COUNTIF(AI73,"*"&amp;CC4:CC795&amp;"*")&gt;0)*1))</f>
        <v>0</v>
      </c>
      <c r="AZ73" s="6625" cm="1">
        <f t="array" ref="AZ73">IF(W73="",0,SUMPRODUCT((CA4:CA795="Fruits a coque")*(CB4:CB795="EXCL")*(COUNTIF(AI73,"*"&amp;CC4:CC795&amp;"*")&gt;0)*1))</f>
        <v>0</v>
      </c>
      <c r="BA73" s="6625" cm="1">
        <f t="array" ref="BA73">IF(W73="",0,SUMPRODUCT((CA4:CA795="Fruits a coque")*(CB4:CB795="ALERTE")*(COUNTIF(AI73,"*"&amp;CC4:CC795&amp;"*")&gt;0)*1))</f>
        <v>0</v>
      </c>
      <c r="BB73" s="6625" cm="1">
        <f t="array" ref="BB73">IF(W73="",0,SUMPRODUCT((CA4:CA795="Celeri")*(CB4:CB795="ALERTE")*(COUNTIF(AI73,"*"&amp;CC4:CC795&amp;"*")&gt;0)*1))</f>
        <v>0</v>
      </c>
      <c r="BC73" s="6625" cm="1">
        <f t="array" ref="BC73">IF(W73="",0,SUMPRODUCT((CA4:CA795="Moutarde")*(CB4:CB795="ALERTE")*(COUNTIF(AI73,"*"&amp;CC4:CC795&amp;"*")&gt;0)*1))</f>
        <v>0</v>
      </c>
      <c r="BD73" s="6625" cm="1">
        <f t="array" ref="BD73">IF(W73="",0,SUMPRODUCT((CA4:CA795="Sesame")*(CB4:CB795="ALERTE")*(COUNTIF(AI73,"*"&amp;CC4:CC795&amp;"*")&gt;0)*1))</f>
        <v>0</v>
      </c>
      <c r="BE73" s="6625" cm="1">
        <f t="array" ref="BE73">IF(W73="",0,SUMPRODUCT((CA4:CA795="Sulfites")*(CB4:CB795="ALERTE")*(COUNTIF(AI73,"*"&amp;CC4:CC795&amp;"*")&gt;0)*1))</f>
        <v>0</v>
      </c>
      <c r="BF73" s="6625" cm="1">
        <f t="array" ref="BF73">IF(W73="",0,SUMPRODUCT((CA4:CA795="Lupin")*(CB4:CB795="ALERTE")*(COUNTIF(AI73,"*"&amp;CC4:CC795&amp;"*")&gt;0)*1))</f>
        <v>0</v>
      </c>
      <c r="BG73" s="6625" cm="1">
        <f t="array" ref="BG73">IF(W73="",0,SUMPRODUCT((CA4:CA795="Mollusques")*(CB4:CB795="EXCL")*(COUNTIF(AI73,"*"&amp;CC4:CC795&amp;"*")&gt;0)*1))</f>
        <v>0</v>
      </c>
      <c r="BH73" s="6625" cm="1">
        <f t="array" ref="BH73">IF(W73="",0,SUMPRODUCT((CA4:CA795="Mollusques")*(CB4:CB795="ALERTE")*(COUNTIF(AI73,"*"&amp;CC4:CC795&amp;"*")&gt;0)*1))</f>
        <v>0</v>
      </c>
      <c r="BI73" s="6625" t="str">
        <f t="shared" si="25"/>
        <v/>
      </c>
      <c r="BJ73" s="6625" t="str">
        <f t="shared" si="26"/>
        <v/>
      </c>
      <c r="BK73" s="6625" t="str">
        <f t="shared" si="27"/>
        <v/>
      </c>
      <c r="BL73" s="6625" t="str">
        <f t="shared" si="28"/>
        <v/>
      </c>
      <c r="BM73" s="6625" t="str">
        <f t="shared" si="29"/>
        <v/>
      </c>
      <c r="BN73" s="6625" t="str">
        <f t="shared" si="30"/>
        <v/>
      </c>
      <c r="BO73" s="6625" t="str">
        <f t="shared" si="31"/>
        <v/>
      </c>
      <c r="BP73" s="6625" t="str">
        <f t="shared" si="32"/>
        <v/>
      </c>
      <c r="BQ73" s="6625" t="str">
        <f t="shared" si="33"/>
        <v/>
      </c>
      <c r="BR73" s="6625" t="str">
        <f t="shared" si="34"/>
        <v/>
      </c>
      <c r="BS73" s="6625" t="str">
        <f t="shared" si="35"/>
        <v/>
      </c>
      <c r="BT73" s="6625" t="str">
        <f t="shared" si="36"/>
        <v/>
      </c>
      <c r="BU73" s="6625" t="str">
        <f t="shared" si="37"/>
        <v/>
      </c>
      <c r="BV73" s="6625" t="str">
        <f t="shared" si="38"/>
        <v/>
      </c>
      <c r="BW73" s="6625" t="str">
        <f t="shared" si="39"/>
        <v/>
      </c>
      <c r="BX73" s="6625" t="str">
        <f t="shared" si="40"/>
        <v/>
      </c>
      <c r="CA73" s="3170" t="s">
        <v>16449</v>
      </c>
      <c r="CB73" s="7634" t="s">
        <v>16255</v>
      </c>
      <c r="CC73" s="3170" t="s">
        <v>16476</v>
      </c>
      <c r="CD73" s="3170" t="s">
        <v>16477</v>
      </c>
    </row>
    <row r="74" spans="2:82" ht="30" customHeight="1">
      <c r="B74" s="7661" t="str">
        <f t="shared" si="0"/>
        <v/>
      </c>
      <c r="C74" s="7661" t="str">
        <f t="shared" si="1"/>
        <v/>
      </c>
      <c r="D74" s="7661" t="str">
        <f t="shared" si="2"/>
        <v/>
      </c>
      <c r="E74" s="7661">
        <f>IF(H73&lt;&gt;"",E73,IF(E73="","",IFERROR(MATCH(TRUE(),INDEX(INDEX($K:$K,E73+1):$K$203&lt;&gt;"",0),0)+E73,"")))</f>
        <v>249</v>
      </c>
      <c r="F74" s="7661">
        <f t="shared" si="41"/>
        <v>0</v>
      </c>
      <c r="G74" s="7661" t="str">
        <f t="shared" si="3"/>
        <v>0</v>
      </c>
      <c r="H74" s="7672" t="str">
        <f t="shared" si="4"/>
        <v/>
      </c>
      <c r="I74" s="7683" t="str">
        <f t="shared" si="5"/>
        <v/>
      </c>
      <c r="J74" s="7673" t="str">
        <f>IF(K74="","",COUNTIF($K$18:K74,"&lt;&gt;"))</f>
        <v/>
      </c>
      <c r="K74" s="7674"/>
      <c r="L74" s="7673" t="str">
        <f t="shared" si="6"/>
        <v/>
      </c>
      <c r="M74" s="7630">
        <f t="shared" si="7"/>
        <v>1</v>
      </c>
      <c r="N74" s="7675">
        <f t="shared" si="8"/>
        <v>57</v>
      </c>
      <c r="O74" s="7676" t="str">
        <f t="shared" si="9"/>
        <v>0</v>
      </c>
      <c r="P74" s="7675">
        <f t="shared" si="10"/>
        <v>1</v>
      </c>
      <c r="Q74" s="7675">
        <f t="shared" si="11"/>
        <v>1</v>
      </c>
      <c r="S74" s="7679" t="str">
        <f t="shared" si="42"/>
        <v>0</v>
      </c>
      <c r="T74" s="7680" t="str">
        <f t="shared" si="12"/>
        <v/>
      </c>
      <c r="V74" s="7677">
        <f t="shared" si="13"/>
        <v>74</v>
      </c>
      <c r="W74" s="7678" t="str">
        <f t="shared" si="43"/>
        <v>0</v>
      </c>
      <c r="X74" s="7677" t="s">
        <v>2</v>
      </c>
      <c r="Y74" s="7702" t="str">
        <f t="shared" si="14"/>
        <v>0</v>
      </c>
      <c r="Z74" s="7703" t="str">
        <f t="shared" si="15"/>
        <v/>
      </c>
      <c r="AA74" s="7681" t="str">
        <f t="shared" si="16"/>
        <v>0</v>
      </c>
      <c r="AB74" s="7682" t="str">
        <f t="shared" si="17"/>
        <v/>
      </c>
      <c r="AC74" s="7677">
        <f t="shared" si="18"/>
        <v>0</v>
      </c>
      <c r="AD74" s="7677">
        <f t="shared" si="19"/>
        <v>0</v>
      </c>
      <c r="AE74" s="7682" t="str">
        <f t="shared" si="20"/>
        <v>aucun match</v>
      </c>
      <c r="AF74" s="6625" t="str">
        <f t="shared" si="21"/>
        <v>0</v>
      </c>
      <c r="AG74" s="6625" t="str">
        <f t="shared" si="22"/>
        <v>0</v>
      </c>
      <c r="AH74" s="6625" t="str">
        <f t="shared" si="23"/>
        <v>0</v>
      </c>
      <c r="AI74" s="6625" t="str">
        <f t="shared" si="24"/>
        <v xml:space="preserve"> 0 </v>
      </c>
      <c r="AJ74" s="6625" cm="1">
        <f t="array" ref="AJ74">IF(W74="",0,SUMPRODUCT((CA4:CA795="Gluten")*(CB4:CB795="INFO")*(COUNTIF(AI74,"*"&amp;CC4:CC795&amp;"*")&gt;0)*1))</f>
        <v>0</v>
      </c>
      <c r="AK74" s="6625" cm="1">
        <f t="array" ref="AK74">IF(W74="",0,SUMPRODUCT((CA4:CA795="Gluten")*(CB4:CB795="EXCL")*(COUNTIF(AI74,"*"&amp;CC4:CC795&amp;"*")&gt;0)*1))</f>
        <v>0</v>
      </c>
      <c r="AL74" s="6625" cm="1">
        <f t="array" ref="AL74">IF(W74="",0,SUMPRODUCT((CA4:CA795="Gluten")*(CB4:CB795="ALERTE")*(COUNTIF(AI74,"*"&amp;CC4:CC795&amp;"*")&gt;0)*1))</f>
        <v>0</v>
      </c>
      <c r="AM74" s="6625" cm="1">
        <f t="array" ref="AM74">IF(W74="",0,SUMPRODUCT((CA4:CA795="Gluten")*(CB4:CB795="SUSP")*(COUNTIF(AI74,"*"&amp;CC4:CC795&amp;"*")&gt;0)*1))</f>
        <v>0</v>
      </c>
      <c r="AN74" s="6625" cm="1">
        <f t="array" ref="AN74">IF(W74="",0,SUMPRODUCT((CA4:CA795="Crustaces")*(CB4:CB795="ALERTE")*(COUNTIF(AI74,"*"&amp;CC4:CC795&amp;"*")&gt;0)*1))</f>
        <v>0</v>
      </c>
      <c r="AO74" s="6625" cm="1">
        <f t="array" ref="AO74">IF(W74="",0,SUMPRODUCT((CA4:CA795="Oeufs")*(CB4:CB795="ALERTE")*(COUNTIF(AI74,"*"&amp;CC4:CC795&amp;"*")&gt;0)*1))</f>
        <v>0</v>
      </c>
      <c r="AP74" s="6625" cm="1">
        <f t="array" ref="AP74">IF(W74="",0,SUMPRODUCT((CA4:CA795="Poissons")*(CB4:CB795="INFO")*(COUNTIF(AI74,"*"&amp;CC4:CC795&amp;"*")&gt;0)*1))</f>
        <v>0</v>
      </c>
      <c r="AQ74" s="6625" cm="1">
        <f t="array" ref="AQ74">IF(W74="",0,SUMPRODUCT((CA4:CA795="Poissons")*(CB4:CB795="EXCL")*(COUNTIF(AI74,"*"&amp;CC4:CC795&amp;"*")&gt;0)*1))</f>
        <v>0</v>
      </c>
      <c r="AR74" s="6625" cm="1">
        <f t="array" ref="AR74">IF(W74="",0,SUMPRODUCT((CA4:CA795="Poissons")*(CB4:CB795="ALERTE")*(COUNTIF(AI74,"*"&amp;CC4:CC795&amp;"*")&gt;0)*1))</f>
        <v>0</v>
      </c>
      <c r="AS74" s="6625" cm="1">
        <f t="array" ref="AS74">IF(W74="",0,SUMPRODUCT((CA4:CA795="Arachides")*(CB4:CB795="ALERTE")*(COUNTIF(AI74,"*"&amp;CC4:CC795&amp;"*")&gt;0)*1))</f>
        <v>0</v>
      </c>
      <c r="AT74" s="6625" cm="1">
        <f t="array" ref="AT74">IF(W74="",0,SUMPRODUCT((CA4:CA795="Soja")*(CB4:CB795="INFO")*(COUNTIF(AI74,"*"&amp;CC4:CC795&amp;"*")&gt;0)*1))</f>
        <v>0</v>
      </c>
      <c r="AU74" s="6625" cm="1">
        <f t="array" ref="AU74">IF(W74="",0,SUMPRODUCT((CA4:CA795="Soja")*(CB4:CB795="ALERTE")*(COUNTIF(AI74,"*"&amp;CC4:CC795&amp;"*")&gt;0)*1))</f>
        <v>0</v>
      </c>
      <c r="AV74" s="6625" cm="1">
        <f t="array" ref="AV74">IF(W74="",0,SUMPRODUCT((CA4:CA795="Lait")*(CB4:CB795="INFO")*(COUNTIF(AI74,"*"&amp;CC4:CC795&amp;"*")&gt;0)*1))</f>
        <v>0</v>
      </c>
      <c r="AW74" s="6625" cm="1">
        <f t="array" ref="AW74">IF(W74="",0,SUMPRODUCT((CA4:CA795="Lait")*(CB4:CB795="EXCL")*(COUNTIF(AI74,"*"&amp;CC4:CC795&amp;"*")&gt;0)*1))</f>
        <v>0</v>
      </c>
      <c r="AX74" s="6625" cm="1">
        <f t="array" ref="AX74">IF(W74="",0,SUMPRODUCT((CA4:CA795="Lait")*(CB4:CB795="ALERTE")*(COUNTIF(AI74,"*"&amp;CC4:CC795&amp;"*")&gt;0)*1))</f>
        <v>0</v>
      </c>
      <c r="AY74" s="6625" cm="1">
        <f t="array" ref="AY74">IF(W74="",0,SUMPRODUCT((CA4:CA795="Lait")*(CB4:CB795="SUSP")*(COUNTIF(AI74,"*"&amp;CC4:CC795&amp;"*")&gt;0)*1))</f>
        <v>0</v>
      </c>
      <c r="AZ74" s="6625" cm="1">
        <f t="array" ref="AZ74">IF(W74="",0,SUMPRODUCT((CA4:CA795="Fruits a coque")*(CB4:CB795="EXCL")*(COUNTIF(AI74,"*"&amp;CC4:CC795&amp;"*")&gt;0)*1))</f>
        <v>0</v>
      </c>
      <c r="BA74" s="6625" cm="1">
        <f t="array" ref="BA74">IF(W74="",0,SUMPRODUCT((CA4:CA795="Fruits a coque")*(CB4:CB795="ALERTE")*(COUNTIF(AI74,"*"&amp;CC4:CC795&amp;"*")&gt;0)*1))</f>
        <v>0</v>
      </c>
      <c r="BB74" s="6625" cm="1">
        <f t="array" ref="BB74">IF(W74="",0,SUMPRODUCT((CA4:CA795="Celeri")*(CB4:CB795="ALERTE")*(COUNTIF(AI74,"*"&amp;CC4:CC795&amp;"*")&gt;0)*1))</f>
        <v>0</v>
      </c>
      <c r="BC74" s="6625" cm="1">
        <f t="array" ref="BC74">IF(W74="",0,SUMPRODUCT((CA4:CA795="Moutarde")*(CB4:CB795="ALERTE")*(COUNTIF(AI74,"*"&amp;CC4:CC795&amp;"*")&gt;0)*1))</f>
        <v>0</v>
      </c>
      <c r="BD74" s="6625" cm="1">
        <f t="array" ref="BD74">IF(W74="",0,SUMPRODUCT((CA4:CA795="Sesame")*(CB4:CB795="ALERTE")*(COUNTIF(AI74,"*"&amp;CC4:CC795&amp;"*")&gt;0)*1))</f>
        <v>0</v>
      </c>
      <c r="BE74" s="6625" cm="1">
        <f t="array" ref="BE74">IF(W74="",0,SUMPRODUCT((CA4:CA795="Sulfites")*(CB4:CB795="ALERTE")*(COUNTIF(AI74,"*"&amp;CC4:CC795&amp;"*")&gt;0)*1))</f>
        <v>0</v>
      </c>
      <c r="BF74" s="6625" cm="1">
        <f t="array" ref="BF74">IF(W74="",0,SUMPRODUCT((CA4:CA795="Lupin")*(CB4:CB795="ALERTE")*(COUNTIF(AI74,"*"&amp;CC4:CC795&amp;"*")&gt;0)*1))</f>
        <v>0</v>
      </c>
      <c r="BG74" s="6625" cm="1">
        <f t="array" ref="BG74">IF(W74="",0,SUMPRODUCT((CA4:CA795="Mollusques")*(CB4:CB795="EXCL")*(COUNTIF(AI74,"*"&amp;CC4:CC795&amp;"*")&gt;0)*1))</f>
        <v>0</v>
      </c>
      <c r="BH74" s="6625" cm="1">
        <f t="array" ref="BH74">IF(W74="",0,SUMPRODUCT((CA4:CA795="Mollusques")*(CB4:CB795="ALERTE")*(COUNTIF(AI74,"*"&amp;CC4:CC795&amp;"*")&gt;0)*1))</f>
        <v>0</v>
      </c>
      <c r="BI74" s="6625" t="str">
        <f t="shared" si="25"/>
        <v/>
      </c>
      <c r="BJ74" s="6625" t="str">
        <f t="shared" si="26"/>
        <v/>
      </c>
      <c r="BK74" s="6625" t="str">
        <f t="shared" si="27"/>
        <v/>
      </c>
      <c r="BL74" s="6625" t="str">
        <f t="shared" si="28"/>
        <v/>
      </c>
      <c r="BM74" s="6625" t="str">
        <f t="shared" si="29"/>
        <v/>
      </c>
      <c r="BN74" s="6625" t="str">
        <f t="shared" si="30"/>
        <v/>
      </c>
      <c r="BO74" s="6625" t="str">
        <f t="shared" si="31"/>
        <v/>
      </c>
      <c r="BP74" s="6625" t="str">
        <f t="shared" si="32"/>
        <v/>
      </c>
      <c r="BQ74" s="6625" t="str">
        <f t="shared" si="33"/>
        <v/>
      </c>
      <c r="BR74" s="6625" t="str">
        <f t="shared" si="34"/>
        <v/>
      </c>
      <c r="BS74" s="6625" t="str">
        <f t="shared" si="35"/>
        <v/>
      </c>
      <c r="BT74" s="6625" t="str">
        <f t="shared" si="36"/>
        <v/>
      </c>
      <c r="BU74" s="6625" t="str">
        <f t="shared" si="37"/>
        <v/>
      </c>
      <c r="BV74" s="6625" t="str">
        <f t="shared" si="38"/>
        <v/>
      </c>
      <c r="BW74" s="6625" t="str">
        <f t="shared" si="39"/>
        <v/>
      </c>
      <c r="BX74" s="6625" t="str">
        <f t="shared" si="40"/>
        <v/>
      </c>
      <c r="CA74" s="3170" t="s">
        <v>16449</v>
      </c>
      <c r="CB74" s="7634" t="s">
        <v>16255</v>
      </c>
      <c r="CC74" s="3170" t="s">
        <v>5444</v>
      </c>
      <c r="CD74" s="3170" t="s">
        <v>16478</v>
      </c>
    </row>
    <row r="75" spans="2:82" ht="30" customHeight="1">
      <c r="B75" s="7661" t="str">
        <f t="shared" si="0"/>
        <v/>
      </c>
      <c r="C75" s="7661" t="str">
        <f t="shared" si="1"/>
        <v/>
      </c>
      <c r="D75" s="7661" t="str">
        <f t="shared" si="2"/>
        <v/>
      </c>
      <c r="E75" s="7661">
        <f>IF(H74&lt;&gt;"",E74,IF(E74="","",IFERROR(MATCH(TRUE(),INDEX(INDEX($K:$K,E74+1):$K$203&lt;&gt;"",0),0)+E74,"")))</f>
        <v>250</v>
      </c>
      <c r="F75" s="7661">
        <f t="shared" si="41"/>
        <v>0</v>
      </c>
      <c r="G75" s="7661" t="str">
        <f t="shared" si="3"/>
        <v>0</v>
      </c>
      <c r="H75" s="7672" t="str">
        <f t="shared" si="4"/>
        <v/>
      </c>
      <c r="I75" s="7683" t="str">
        <f t="shared" si="5"/>
        <v/>
      </c>
      <c r="J75" s="7673" t="str">
        <f>IF(K75="","",COUNTIF($K$18:K75,"&lt;&gt;"))</f>
        <v/>
      </c>
      <c r="K75" s="7674"/>
      <c r="L75" s="7673" t="str">
        <f t="shared" si="6"/>
        <v/>
      </c>
      <c r="M75" s="7630">
        <f t="shared" si="7"/>
        <v>1</v>
      </c>
      <c r="N75" s="7675">
        <f t="shared" si="8"/>
        <v>58</v>
      </c>
      <c r="O75" s="7676" t="str">
        <f t="shared" si="9"/>
        <v>0</v>
      </c>
      <c r="P75" s="7675">
        <f t="shared" si="10"/>
        <v>1</v>
      </c>
      <c r="Q75" s="7675">
        <f t="shared" si="11"/>
        <v>1</v>
      </c>
      <c r="S75" s="7679" t="str">
        <f t="shared" si="42"/>
        <v>0</v>
      </c>
      <c r="T75" s="7680" t="str">
        <f t="shared" si="12"/>
        <v/>
      </c>
      <c r="V75" s="7677">
        <f t="shared" si="13"/>
        <v>75</v>
      </c>
      <c r="W75" s="7678" t="str">
        <f t="shared" si="43"/>
        <v>0</v>
      </c>
      <c r="X75" s="7677" t="s">
        <v>2</v>
      </c>
      <c r="Y75" s="7702" t="str">
        <f t="shared" si="14"/>
        <v>0</v>
      </c>
      <c r="Z75" s="7703" t="str">
        <f t="shared" si="15"/>
        <v/>
      </c>
      <c r="AA75" s="7681" t="str">
        <f t="shared" si="16"/>
        <v>0</v>
      </c>
      <c r="AB75" s="7682" t="str">
        <f t="shared" si="17"/>
        <v/>
      </c>
      <c r="AC75" s="7677">
        <f t="shared" si="18"/>
        <v>0</v>
      </c>
      <c r="AD75" s="7677">
        <f t="shared" si="19"/>
        <v>0</v>
      </c>
      <c r="AE75" s="7682" t="str">
        <f t="shared" si="20"/>
        <v>aucun match</v>
      </c>
      <c r="AF75" s="6625" t="str">
        <f t="shared" si="21"/>
        <v>0</v>
      </c>
      <c r="AG75" s="6625" t="str">
        <f t="shared" si="22"/>
        <v>0</v>
      </c>
      <c r="AH75" s="6625" t="str">
        <f t="shared" si="23"/>
        <v>0</v>
      </c>
      <c r="AI75" s="6625" t="str">
        <f t="shared" si="24"/>
        <v xml:space="preserve"> 0 </v>
      </c>
      <c r="AJ75" s="6625" cm="1">
        <f t="array" ref="AJ75">IF(W75="",0,SUMPRODUCT((CA4:CA795="Gluten")*(CB4:CB795="INFO")*(COUNTIF(AI75,"*"&amp;CC4:CC795&amp;"*")&gt;0)*1))</f>
        <v>0</v>
      </c>
      <c r="AK75" s="6625" cm="1">
        <f t="array" ref="AK75">IF(W75="",0,SUMPRODUCT((CA4:CA795="Gluten")*(CB4:CB795="EXCL")*(COUNTIF(AI75,"*"&amp;CC4:CC795&amp;"*")&gt;0)*1))</f>
        <v>0</v>
      </c>
      <c r="AL75" s="6625" cm="1">
        <f t="array" ref="AL75">IF(W75="",0,SUMPRODUCT((CA4:CA795="Gluten")*(CB4:CB795="ALERTE")*(COUNTIF(AI75,"*"&amp;CC4:CC795&amp;"*")&gt;0)*1))</f>
        <v>0</v>
      </c>
      <c r="AM75" s="6625" cm="1">
        <f t="array" ref="AM75">IF(W75="",0,SUMPRODUCT((CA4:CA795="Gluten")*(CB4:CB795="SUSP")*(COUNTIF(AI75,"*"&amp;CC4:CC795&amp;"*")&gt;0)*1))</f>
        <v>0</v>
      </c>
      <c r="AN75" s="6625" cm="1">
        <f t="array" ref="AN75">IF(W75="",0,SUMPRODUCT((CA4:CA795="Crustaces")*(CB4:CB795="ALERTE")*(COUNTIF(AI75,"*"&amp;CC4:CC795&amp;"*")&gt;0)*1))</f>
        <v>0</v>
      </c>
      <c r="AO75" s="6625" cm="1">
        <f t="array" ref="AO75">IF(W75="",0,SUMPRODUCT((CA4:CA795="Oeufs")*(CB4:CB795="ALERTE")*(COUNTIF(AI75,"*"&amp;CC4:CC795&amp;"*")&gt;0)*1))</f>
        <v>0</v>
      </c>
      <c r="AP75" s="6625" cm="1">
        <f t="array" ref="AP75">IF(W75="",0,SUMPRODUCT((CA4:CA795="Poissons")*(CB4:CB795="INFO")*(COUNTIF(AI75,"*"&amp;CC4:CC795&amp;"*")&gt;0)*1))</f>
        <v>0</v>
      </c>
      <c r="AQ75" s="6625" cm="1">
        <f t="array" ref="AQ75">IF(W75="",0,SUMPRODUCT((CA4:CA795="Poissons")*(CB4:CB795="EXCL")*(COUNTIF(AI75,"*"&amp;CC4:CC795&amp;"*")&gt;0)*1))</f>
        <v>0</v>
      </c>
      <c r="AR75" s="6625" cm="1">
        <f t="array" ref="AR75">IF(W75="",0,SUMPRODUCT((CA4:CA795="Poissons")*(CB4:CB795="ALERTE")*(COUNTIF(AI75,"*"&amp;CC4:CC795&amp;"*")&gt;0)*1))</f>
        <v>0</v>
      </c>
      <c r="AS75" s="6625" cm="1">
        <f t="array" ref="AS75">IF(W75="",0,SUMPRODUCT((CA4:CA795="Arachides")*(CB4:CB795="ALERTE")*(COUNTIF(AI75,"*"&amp;CC4:CC795&amp;"*")&gt;0)*1))</f>
        <v>0</v>
      </c>
      <c r="AT75" s="6625" cm="1">
        <f t="array" ref="AT75">IF(W75="",0,SUMPRODUCT((CA4:CA795="Soja")*(CB4:CB795="INFO")*(COUNTIF(AI75,"*"&amp;CC4:CC795&amp;"*")&gt;0)*1))</f>
        <v>0</v>
      </c>
      <c r="AU75" s="6625" cm="1">
        <f t="array" ref="AU75">IF(W75="",0,SUMPRODUCT((CA4:CA795="Soja")*(CB4:CB795="ALERTE")*(COUNTIF(AI75,"*"&amp;CC4:CC795&amp;"*")&gt;0)*1))</f>
        <v>0</v>
      </c>
      <c r="AV75" s="6625" cm="1">
        <f t="array" ref="AV75">IF(W75="",0,SUMPRODUCT((CA4:CA795="Lait")*(CB4:CB795="INFO")*(COUNTIF(AI75,"*"&amp;CC4:CC795&amp;"*")&gt;0)*1))</f>
        <v>0</v>
      </c>
      <c r="AW75" s="6625" cm="1">
        <f t="array" ref="AW75">IF(W75="",0,SUMPRODUCT((CA4:CA795="Lait")*(CB4:CB795="EXCL")*(COUNTIF(AI75,"*"&amp;CC4:CC795&amp;"*")&gt;0)*1))</f>
        <v>0</v>
      </c>
      <c r="AX75" s="6625" cm="1">
        <f t="array" ref="AX75">IF(W75="",0,SUMPRODUCT((CA4:CA795="Lait")*(CB4:CB795="ALERTE")*(COUNTIF(AI75,"*"&amp;CC4:CC795&amp;"*")&gt;0)*1))</f>
        <v>0</v>
      </c>
      <c r="AY75" s="6625" cm="1">
        <f t="array" ref="AY75">IF(W75="",0,SUMPRODUCT((CA4:CA795="Lait")*(CB4:CB795="SUSP")*(COUNTIF(AI75,"*"&amp;CC4:CC795&amp;"*")&gt;0)*1))</f>
        <v>0</v>
      </c>
      <c r="AZ75" s="6625" cm="1">
        <f t="array" ref="AZ75">IF(W75="",0,SUMPRODUCT((CA4:CA795="Fruits a coque")*(CB4:CB795="EXCL")*(COUNTIF(AI75,"*"&amp;CC4:CC795&amp;"*")&gt;0)*1))</f>
        <v>0</v>
      </c>
      <c r="BA75" s="6625" cm="1">
        <f t="array" ref="BA75">IF(W75="",0,SUMPRODUCT((CA4:CA795="Fruits a coque")*(CB4:CB795="ALERTE")*(COUNTIF(AI75,"*"&amp;CC4:CC795&amp;"*")&gt;0)*1))</f>
        <v>0</v>
      </c>
      <c r="BB75" s="6625" cm="1">
        <f t="array" ref="BB75">IF(W75="",0,SUMPRODUCT((CA4:CA795="Celeri")*(CB4:CB795="ALERTE")*(COUNTIF(AI75,"*"&amp;CC4:CC795&amp;"*")&gt;0)*1))</f>
        <v>0</v>
      </c>
      <c r="BC75" s="6625" cm="1">
        <f t="array" ref="BC75">IF(W75="",0,SUMPRODUCT((CA4:CA795="Moutarde")*(CB4:CB795="ALERTE")*(COUNTIF(AI75,"*"&amp;CC4:CC795&amp;"*")&gt;0)*1))</f>
        <v>0</v>
      </c>
      <c r="BD75" s="6625" cm="1">
        <f t="array" ref="BD75">IF(W75="",0,SUMPRODUCT((CA4:CA795="Sesame")*(CB4:CB795="ALERTE")*(COUNTIF(AI75,"*"&amp;CC4:CC795&amp;"*")&gt;0)*1))</f>
        <v>0</v>
      </c>
      <c r="BE75" s="6625" cm="1">
        <f t="array" ref="BE75">IF(W75="",0,SUMPRODUCT((CA4:CA795="Sulfites")*(CB4:CB795="ALERTE")*(COUNTIF(AI75,"*"&amp;CC4:CC795&amp;"*")&gt;0)*1))</f>
        <v>0</v>
      </c>
      <c r="BF75" s="6625" cm="1">
        <f t="array" ref="BF75">IF(W75="",0,SUMPRODUCT((CA4:CA795="Lupin")*(CB4:CB795="ALERTE")*(COUNTIF(AI75,"*"&amp;CC4:CC795&amp;"*")&gt;0)*1))</f>
        <v>0</v>
      </c>
      <c r="BG75" s="6625" cm="1">
        <f t="array" ref="BG75">IF(W75="",0,SUMPRODUCT((CA4:CA795="Mollusques")*(CB4:CB795="EXCL")*(COUNTIF(AI75,"*"&amp;CC4:CC795&amp;"*")&gt;0)*1))</f>
        <v>0</v>
      </c>
      <c r="BH75" s="6625" cm="1">
        <f t="array" ref="BH75">IF(W75="",0,SUMPRODUCT((CA4:CA795="Mollusques")*(CB4:CB795="ALERTE")*(COUNTIF(AI75,"*"&amp;CC4:CC795&amp;"*")&gt;0)*1))</f>
        <v>0</v>
      </c>
      <c r="BI75" s="6625" t="str">
        <f t="shared" si="25"/>
        <v/>
      </c>
      <c r="BJ75" s="6625" t="str">
        <f t="shared" si="26"/>
        <v/>
      </c>
      <c r="BK75" s="6625" t="str">
        <f t="shared" si="27"/>
        <v/>
      </c>
      <c r="BL75" s="6625" t="str">
        <f t="shared" si="28"/>
        <v/>
      </c>
      <c r="BM75" s="6625" t="str">
        <f t="shared" si="29"/>
        <v/>
      </c>
      <c r="BN75" s="6625" t="str">
        <f t="shared" si="30"/>
        <v/>
      </c>
      <c r="BO75" s="6625" t="str">
        <f t="shared" si="31"/>
        <v/>
      </c>
      <c r="BP75" s="6625" t="str">
        <f t="shared" si="32"/>
        <v/>
      </c>
      <c r="BQ75" s="6625" t="str">
        <f t="shared" si="33"/>
        <v/>
      </c>
      <c r="BR75" s="6625" t="str">
        <f t="shared" si="34"/>
        <v/>
      </c>
      <c r="BS75" s="6625" t="str">
        <f t="shared" si="35"/>
        <v/>
      </c>
      <c r="BT75" s="6625" t="str">
        <f t="shared" si="36"/>
        <v/>
      </c>
      <c r="BU75" s="6625" t="str">
        <f t="shared" si="37"/>
        <v/>
      </c>
      <c r="BV75" s="6625" t="str">
        <f t="shared" si="38"/>
        <v/>
      </c>
      <c r="BW75" s="6625" t="str">
        <f t="shared" si="39"/>
        <v/>
      </c>
      <c r="BX75" s="6625" t="str">
        <f t="shared" si="40"/>
        <v/>
      </c>
      <c r="CA75" s="3170" t="s">
        <v>16449</v>
      </c>
      <c r="CB75" s="7634" t="s">
        <v>16255</v>
      </c>
      <c r="CC75" s="3170" t="s">
        <v>16479</v>
      </c>
      <c r="CD75" s="3170" t="s">
        <v>16480</v>
      </c>
    </row>
    <row r="76" spans="2:82" ht="30" customHeight="1">
      <c r="B76" s="7661" t="str">
        <f t="shared" si="0"/>
        <v/>
      </c>
      <c r="C76" s="7661" t="str">
        <f t="shared" si="1"/>
        <v/>
      </c>
      <c r="D76" s="7661" t="str">
        <f t="shared" si="2"/>
        <v/>
      </c>
      <c r="E76" s="7661">
        <f>IF(H75&lt;&gt;"",E75,IF(E75="","",IFERROR(MATCH(TRUE(),INDEX(INDEX($K:$K,E75+1):$K$203&lt;&gt;"",0),0)+E75,"")))</f>
        <v>251</v>
      </c>
      <c r="F76" s="7661">
        <f t="shared" si="41"/>
        <v>0</v>
      </c>
      <c r="G76" s="7661" t="str">
        <f t="shared" si="3"/>
        <v>0</v>
      </c>
      <c r="H76" s="7672" t="str">
        <f t="shared" si="4"/>
        <v/>
      </c>
      <c r="I76" s="7683" t="str">
        <f t="shared" si="5"/>
        <v/>
      </c>
      <c r="J76" s="7673" t="str">
        <f>IF(K76="","",COUNTIF($K$18:K76,"&lt;&gt;"))</f>
        <v/>
      </c>
      <c r="K76" s="7674"/>
      <c r="L76" s="7673" t="str">
        <f t="shared" si="6"/>
        <v/>
      </c>
      <c r="M76" s="7630">
        <f t="shared" si="7"/>
        <v>1</v>
      </c>
      <c r="N76" s="7675">
        <f t="shared" si="8"/>
        <v>59</v>
      </c>
      <c r="O76" s="7676" t="str">
        <f t="shared" si="9"/>
        <v>0</v>
      </c>
      <c r="P76" s="7675">
        <f t="shared" si="10"/>
        <v>1</v>
      </c>
      <c r="Q76" s="7675">
        <f t="shared" si="11"/>
        <v>1</v>
      </c>
      <c r="S76" s="7679" t="str">
        <f t="shared" si="42"/>
        <v>0</v>
      </c>
      <c r="T76" s="7680" t="str">
        <f t="shared" si="12"/>
        <v/>
      </c>
      <c r="V76" s="7677">
        <f t="shared" si="13"/>
        <v>76</v>
      </c>
      <c r="W76" s="7678" t="str">
        <f t="shared" si="43"/>
        <v>0</v>
      </c>
      <c r="X76" s="7677" t="s">
        <v>2</v>
      </c>
      <c r="Y76" s="7702" t="str">
        <f t="shared" si="14"/>
        <v>0</v>
      </c>
      <c r="Z76" s="7703" t="str">
        <f t="shared" si="15"/>
        <v/>
      </c>
      <c r="AA76" s="7681" t="str">
        <f t="shared" si="16"/>
        <v>0</v>
      </c>
      <c r="AB76" s="7682" t="str">
        <f t="shared" si="17"/>
        <v/>
      </c>
      <c r="AC76" s="7677">
        <f t="shared" si="18"/>
        <v>0</v>
      </c>
      <c r="AD76" s="7677">
        <f t="shared" si="19"/>
        <v>0</v>
      </c>
      <c r="AE76" s="7682" t="str">
        <f t="shared" si="20"/>
        <v>aucun match</v>
      </c>
      <c r="AF76" s="6625" t="str">
        <f t="shared" si="21"/>
        <v>0</v>
      </c>
      <c r="AG76" s="6625" t="str">
        <f t="shared" si="22"/>
        <v>0</v>
      </c>
      <c r="AH76" s="6625" t="str">
        <f t="shared" si="23"/>
        <v>0</v>
      </c>
      <c r="AI76" s="6625" t="str">
        <f t="shared" si="24"/>
        <v xml:space="preserve"> 0 </v>
      </c>
      <c r="AJ76" s="6625" cm="1">
        <f t="array" ref="AJ76">IF(W76="",0,SUMPRODUCT((CA4:CA795="Gluten")*(CB4:CB795="INFO")*(COUNTIF(AI76,"*"&amp;CC4:CC795&amp;"*")&gt;0)*1))</f>
        <v>0</v>
      </c>
      <c r="AK76" s="6625" cm="1">
        <f t="array" ref="AK76">IF(W76="",0,SUMPRODUCT((CA4:CA795="Gluten")*(CB4:CB795="EXCL")*(COUNTIF(AI76,"*"&amp;CC4:CC795&amp;"*")&gt;0)*1))</f>
        <v>0</v>
      </c>
      <c r="AL76" s="6625" cm="1">
        <f t="array" ref="AL76">IF(W76="",0,SUMPRODUCT((CA4:CA795="Gluten")*(CB4:CB795="ALERTE")*(COUNTIF(AI76,"*"&amp;CC4:CC795&amp;"*")&gt;0)*1))</f>
        <v>0</v>
      </c>
      <c r="AM76" s="6625" cm="1">
        <f t="array" ref="AM76">IF(W76="",0,SUMPRODUCT((CA4:CA795="Gluten")*(CB4:CB795="SUSP")*(COUNTIF(AI76,"*"&amp;CC4:CC795&amp;"*")&gt;0)*1))</f>
        <v>0</v>
      </c>
      <c r="AN76" s="6625" cm="1">
        <f t="array" ref="AN76">IF(W76="",0,SUMPRODUCT((CA4:CA795="Crustaces")*(CB4:CB795="ALERTE")*(COUNTIF(AI76,"*"&amp;CC4:CC795&amp;"*")&gt;0)*1))</f>
        <v>0</v>
      </c>
      <c r="AO76" s="6625" cm="1">
        <f t="array" ref="AO76">IF(W76="",0,SUMPRODUCT((CA4:CA795="Oeufs")*(CB4:CB795="ALERTE")*(COUNTIF(AI76,"*"&amp;CC4:CC795&amp;"*")&gt;0)*1))</f>
        <v>0</v>
      </c>
      <c r="AP76" s="6625" cm="1">
        <f t="array" ref="AP76">IF(W76="",0,SUMPRODUCT((CA4:CA795="Poissons")*(CB4:CB795="INFO")*(COUNTIF(AI76,"*"&amp;CC4:CC795&amp;"*")&gt;0)*1))</f>
        <v>0</v>
      </c>
      <c r="AQ76" s="6625" cm="1">
        <f t="array" ref="AQ76">IF(W76="",0,SUMPRODUCT((CA4:CA795="Poissons")*(CB4:CB795="EXCL")*(COUNTIF(AI76,"*"&amp;CC4:CC795&amp;"*")&gt;0)*1))</f>
        <v>0</v>
      </c>
      <c r="AR76" s="6625" cm="1">
        <f t="array" ref="AR76">IF(W76="",0,SUMPRODUCT((CA4:CA795="Poissons")*(CB4:CB795="ALERTE")*(COUNTIF(AI76,"*"&amp;CC4:CC795&amp;"*")&gt;0)*1))</f>
        <v>0</v>
      </c>
      <c r="AS76" s="6625" cm="1">
        <f t="array" ref="AS76">IF(W76="",0,SUMPRODUCT((CA4:CA795="Arachides")*(CB4:CB795="ALERTE")*(COUNTIF(AI76,"*"&amp;CC4:CC795&amp;"*")&gt;0)*1))</f>
        <v>0</v>
      </c>
      <c r="AT76" s="6625" cm="1">
        <f t="array" ref="AT76">IF(W76="",0,SUMPRODUCT((CA4:CA795="Soja")*(CB4:CB795="INFO")*(COUNTIF(AI76,"*"&amp;CC4:CC795&amp;"*")&gt;0)*1))</f>
        <v>0</v>
      </c>
      <c r="AU76" s="6625" cm="1">
        <f t="array" ref="AU76">IF(W76="",0,SUMPRODUCT((CA4:CA795="Soja")*(CB4:CB795="ALERTE")*(COUNTIF(AI76,"*"&amp;CC4:CC795&amp;"*")&gt;0)*1))</f>
        <v>0</v>
      </c>
      <c r="AV76" s="6625" cm="1">
        <f t="array" ref="AV76">IF(W76="",0,SUMPRODUCT((CA4:CA795="Lait")*(CB4:CB795="INFO")*(COUNTIF(AI76,"*"&amp;CC4:CC795&amp;"*")&gt;0)*1))</f>
        <v>0</v>
      </c>
      <c r="AW76" s="6625" cm="1">
        <f t="array" ref="AW76">IF(W76="",0,SUMPRODUCT((CA4:CA795="Lait")*(CB4:CB795="EXCL")*(COUNTIF(AI76,"*"&amp;CC4:CC795&amp;"*")&gt;0)*1))</f>
        <v>0</v>
      </c>
      <c r="AX76" s="6625" cm="1">
        <f t="array" ref="AX76">IF(W76="",0,SUMPRODUCT((CA4:CA795="Lait")*(CB4:CB795="ALERTE")*(COUNTIF(AI76,"*"&amp;CC4:CC795&amp;"*")&gt;0)*1))</f>
        <v>0</v>
      </c>
      <c r="AY76" s="6625" cm="1">
        <f t="array" ref="AY76">IF(W76="",0,SUMPRODUCT((CA4:CA795="Lait")*(CB4:CB795="SUSP")*(COUNTIF(AI76,"*"&amp;CC4:CC795&amp;"*")&gt;0)*1))</f>
        <v>0</v>
      </c>
      <c r="AZ76" s="6625" cm="1">
        <f t="array" ref="AZ76">IF(W76="",0,SUMPRODUCT((CA4:CA795="Fruits a coque")*(CB4:CB795="EXCL")*(COUNTIF(AI76,"*"&amp;CC4:CC795&amp;"*")&gt;0)*1))</f>
        <v>0</v>
      </c>
      <c r="BA76" s="6625" cm="1">
        <f t="array" ref="BA76">IF(W76="",0,SUMPRODUCT((CA4:CA795="Fruits a coque")*(CB4:CB795="ALERTE")*(COUNTIF(AI76,"*"&amp;CC4:CC795&amp;"*")&gt;0)*1))</f>
        <v>0</v>
      </c>
      <c r="BB76" s="6625" cm="1">
        <f t="array" ref="BB76">IF(W76="",0,SUMPRODUCT((CA4:CA795="Celeri")*(CB4:CB795="ALERTE")*(COUNTIF(AI76,"*"&amp;CC4:CC795&amp;"*")&gt;0)*1))</f>
        <v>0</v>
      </c>
      <c r="BC76" s="6625" cm="1">
        <f t="array" ref="BC76">IF(W76="",0,SUMPRODUCT((CA4:CA795="Moutarde")*(CB4:CB795="ALERTE")*(COUNTIF(AI76,"*"&amp;CC4:CC795&amp;"*")&gt;0)*1))</f>
        <v>0</v>
      </c>
      <c r="BD76" s="6625" cm="1">
        <f t="array" ref="BD76">IF(W76="",0,SUMPRODUCT((CA4:CA795="Sesame")*(CB4:CB795="ALERTE")*(COUNTIF(AI76,"*"&amp;CC4:CC795&amp;"*")&gt;0)*1))</f>
        <v>0</v>
      </c>
      <c r="BE76" s="6625" cm="1">
        <f t="array" ref="BE76">IF(W76="",0,SUMPRODUCT((CA4:CA795="Sulfites")*(CB4:CB795="ALERTE")*(COUNTIF(AI76,"*"&amp;CC4:CC795&amp;"*")&gt;0)*1))</f>
        <v>0</v>
      </c>
      <c r="BF76" s="6625" cm="1">
        <f t="array" ref="BF76">IF(W76="",0,SUMPRODUCT((CA4:CA795="Lupin")*(CB4:CB795="ALERTE")*(COUNTIF(AI76,"*"&amp;CC4:CC795&amp;"*")&gt;0)*1))</f>
        <v>0</v>
      </c>
      <c r="BG76" s="6625" cm="1">
        <f t="array" ref="BG76">IF(W76="",0,SUMPRODUCT((CA4:CA795="Mollusques")*(CB4:CB795="EXCL")*(COUNTIF(AI76,"*"&amp;CC4:CC795&amp;"*")&gt;0)*1))</f>
        <v>0</v>
      </c>
      <c r="BH76" s="6625" cm="1">
        <f t="array" ref="BH76">IF(W76="",0,SUMPRODUCT((CA4:CA795="Mollusques")*(CB4:CB795="ALERTE")*(COUNTIF(AI76,"*"&amp;CC4:CC795&amp;"*")&gt;0)*1))</f>
        <v>0</v>
      </c>
      <c r="BI76" s="6625" t="str">
        <f t="shared" si="25"/>
        <v/>
      </c>
      <c r="BJ76" s="6625" t="str">
        <f t="shared" si="26"/>
        <v/>
      </c>
      <c r="BK76" s="6625" t="str">
        <f t="shared" si="27"/>
        <v/>
      </c>
      <c r="BL76" s="6625" t="str">
        <f t="shared" si="28"/>
        <v/>
      </c>
      <c r="BM76" s="6625" t="str">
        <f t="shared" si="29"/>
        <v/>
      </c>
      <c r="BN76" s="6625" t="str">
        <f t="shared" si="30"/>
        <v/>
      </c>
      <c r="BO76" s="6625" t="str">
        <f t="shared" si="31"/>
        <v/>
      </c>
      <c r="BP76" s="6625" t="str">
        <f t="shared" si="32"/>
        <v/>
      </c>
      <c r="BQ76" s="6625" t="str">
        <f t="shared" si="33"/>
        <v/>
      </c>
      <c r="BR76" s="6625" t="str">
        <f t="shared" si="34"/>
        <v/>
      </c>
      <c r="BS76" s="6625" t="str">
        <f t="shared" si="35"/>
        <v/>
      </c>
      <c r="BT76" s="6625" t="str">
        <f t="shared" si="36"/>
        <v/>
      </c>
      <c r="BU76" s="6625" t="str">
        <f t="shared" si="37"/>
        <v/>
      </c>
      <c r="BV76" s="6625" t="str">
        <f t="shared" si="38"/>
        <v/>
      </c>
      <c r="BW76" s="6625" t="str">
        <f t="shared" si="39"/>
        <v/>
      </c>
      <c r="BX76" s="6625" t="str">
        <f t="shared" si="40"/>
        <v/>
      </c>
      <c r="CA76" s="3170" t="s">
        <v>16449</v>
      </c>
      <c r="CB76" s="7634" t="s">
        <v>16255</v>
      </c>
      <c r="CC76" s="3170" t="s">
        <v>16481</v>
      </c>
      <c r="CD76" s="3170" t="s">
        <v>16482</v>
      </c>
    </row>
    <row r="77" spans="2:82" ht="30" customHeight="1">
      <c r="B77" s="7661" t="str">
        <f t="shared" si="0"/>
        <v/>
      </c>
      <c r="C77" s="7661" t="str">
        <f t="shared" si="1"/>
        <v/>
      </c>
      <c r="D77" s="7661" t="str">
        <f t="shared" si="2"/>
        <v/>
      </c>
      <c r="E77" s="7661">
        <f>IF(H76&lt;&gt;"",E76,IF(E76="","",IFERROR(MATCH(TRUE(),INDEX(INDEX($K:$K,E76+1):$K$203&lt;&gt;"",0),0)+E76,"")))</f>
        <v>252</v>
      </c>
      <c r="F77" s="7661">
        <f t="shared" si="41"/>
        <v>0</v>
      </c>
      <c r="G77" s="7661" t="str">
        <f t="shared" si="3"/>
        <v>0</v>
      </c>
      <c r="H77" s="7672" t="str">
        <f t="shared" si="4"/>
        <v/>
      </c>
      <c r="I77" s="7683" t="str">
        <f t="shared" si="5"/>
        <v/>
      </c>
      <c r="J77" s="7673" t="str">
        <f>IF(K77="","",COUNTIF($K$18:K77,"&lt;&gt;"))</f>
        <v/>
      </c>
      <c r="K77" s="7674"/>
      <c r="L77" s="7673" t="str">
        <f t="shared" si="6"/>
        <v/>
      </c>
      <c r="M77" s="7630">
        <f t="shared" si="7"/>
        <v>1</v>
      </c>
      <c r="N77" s="7675">
        <f t="shared" si="8"/>
        <v>60</v>
      </c>
      <c r="O77" s="7676" t="str">
        <f t="shared" si="9"/>
        <v>0</v>
      </c>
      <c r="P77" s="7675">
        <f t="shared" si="10"/>
        <v>1</v>
      </c>
      <c r="Q77" s="7675">
        <f t="shared" si="11"/>
        <v>1</v>
      </c>
      <c r="S77" s="7679" t="str">
        <f t="shared" si="42"/>
        <v>0</v>
      </c>
      <c r="T77" s="7680" t="str">
        <f t="shared" si="12"/>
        <v/>
      </c>
      <c r="V77" s="7677">
        <f t="shared" si="13"/>
        <v>77</v>
      </c>
      <c r="W77" s="7678" t="str">
        <f t="shared" si="43"/>
        <v>0</v>
      </c>
      <c r="X77" s="7677" t="s">
        <v>2</v>
      </c>
      <c r="Y77" s="7702" t="str">
        <f t="shared" si="14"/>
        <v>0</v>
      </c>
      <c r="Z77" s="7703" t="str">
        <f t="shared" si="15"/>
        <v/>
      </c>
      <c r="AA77" s="7681" t="str">
        <f t="shared" si="16"/>
        <v>0</v>
      </c>
      <c r="AB77" s="7682" t="str">
        <f t="shared" si="17"/>
        <v/>
      </c>
      <c r="AC77" s="7677">
        <f t="shared" si="18"/>
        <v>0</v>
      </c>
      <c r="AD77" s="7677">
        <f t="shared" si="19"/>
        <v>0</v>
      </c>
      <c r="AE77" s="7682" t="str">
        <f t="shared" si="20"/>
        <v>aucun match</v>
      </c>
      <c r="AF77" s="6625" t="str">
        <f t="shared" si="21"/>
        <v>0</v>
      </c>
      <c r="AG77" s="6625" t="str">
        <f t="shared" si="22"/>
        <v>0</v>
      </c>
      <c r="AH77" s="6625" t="str">
        <f t="shared" si="23"/>
        <v>0</v>
      </c>
      <c r="AI77" s="6625" t="str">
        <f t="shared" si="24"/>
        <v xml:space="preserve"> 0 </v>
      </c>
      <c r="AJ77" s="6625" cm="1">
        <f t="array" ref="AJ77">IF(W77="",0,SUMPRODUCT((CA4:CA795="Gluten")*(CB4:CB795="INFO")*(COUNTIF(AI77,"*"&amp;CC4:CC795&amp;"*")&gt;0)*1))</f>
        <v>0</v>
      </c>
      <c r="AK77" s="6625" cm="1">
        <f t="array" ref="AK77">IF(W77="",0,SUMPRODUCT((CA4:CA795="Gluten")*(CB4:CB795="EXCL")*(COUNTIF(AI77,"*"&amp;CC4:CC795&amp;"*")&gt;0)*1))</f>
        <v>0</v>
      </c>
      <c r="AL77" s="6625" cm="1">
        <f t="array" ref="AL77">IF(W77="",0,SUMPRODUCT((CA4:CA795="Gluten")*(CB4:CB795="ALERTE")*(COUNTIF(AI77,"*"&amp;CC4:CC795&amp;"*")&gt;0)*1))</f>
        <v>0</v>
      </c>
      <c r="AM77" s="6625" cm="1">
        <f t="array" ref="AM77">IF(W77="",0,SUMPRODUCT((CA4:CA795="Gluten")*(CB4:CB795="SUSP")*(COUNTIF(AI77,"*"&amp;CC4:CC795&amp;"*")&gt;0)*1))</f>
        <v>0</v>
      </c>
      <c r="AN77" s="6625" cm="1">
        <f t="array" ref="AN77">IF(W77="",0,SUMPRODUCT((CA4:CA795="Crustaces")*(CB4:CB795="ALERTE")*(COUNTIF(AI77,"*"&amp;CC4:CC795&amp;"*")&gt;0)*1))</f>
        <v>0</v>
      </c>
      <c r="AO77" s="6625" cm="1">
        <f t="array" ref="AO77">IF(W77="",0,SUMPRODUCT((CA4:CA795="Oeufs")*(CB4:CB795="ALERTE")*(COUNTIF(AI77,"*"&amp;CC4:CC795&amp;"*")&gt;0)*1))</f>
        <v>0</v>
      </c>
      <c r="AP77" s="6625" cm="1">
        <f t="array" ref="AP77">IF(W77="",0,SUMPRODUCT((CA4:CA795="Poissons")*(CB4:CB795="INFO")*(COUNTIF(AI77,"*"&amp;CC4:CC795&amp;"*")&gt;0)*1))</f>
        <v>0</v>
      </c>
      <c r="AQ77" s="6625" cm="1">
        <f t="array" ref="AQ77">IF(W77="",0,SUMPRODUCT((CA4:CA795="Poissons")*(CB4:CB795="EXCL")*(COUNTIF(AI77,"*"&amp;CC4:CC795&amp;"*")&gt;0)*1))</f>
        <v>0</v>
      </c>
      <c r="AR77" s="6625" cm="1">
        <f t="array" ref="AR77">IF(W77="",0,SUMPRODUCT((CA4:CA795="Poissons")*(CB4:CB795="ALERTE")*(COUNTIF(AI77,"*"&amp;CC4:CC795&amp;"*")&gt;0)*1))</f>
        <v>0</v>
      </c>
      <c r="AS77" s="6625" cm="1">
        <f t="array" ref="AS77">IF(W77="",0,SUMPRODUCT((CA4:CA795="Arachides")*(CB4:CB795="ALERTE")*(COUNTIF(AI77,"*"&amp;CC4:CC795&amp;"*")&gt;0)*1))</f>
        <v>0</v>
      </c>
      <c r="AT77" s="6625" cm="1">
        <f t="array" ref="AT77">IF(W77="",0,SUMPRODUCT((CA4:CA795="Soja")*(CB4:CB795="INFO")*(COUNTIF(AI77,"*"&amp;CC4:CC795&amp;"*")&gt;0)*1))</f>
        <v>0</v>
      </c>
      <c r="AU77" s="6625" cm="1">
        <f t="array" ref="AU77">IF(W77="",0,SUMPRODUCT((CA4:CA795="Soja")*(CB4:CB795="ALERTE")*(COUNTIF(AI77,"*"&amp;CC4:CC795&amp;"*")&gt;0)*1))</f>
        <v>0</v>
      </c>
      <c r="AV77" s="6625" cm="1">
        <f t="array" ref="AV77">IF(W77="",0,SUMPRODUCT((CA4:CA795="Lait")*(CB4:CB795="INFO")*(COUNTIF(AI77,"*"&amp;CC4:CC795&amp;"*")&gt;0)*1))</f>
        <v>0</v>
      </c>
      <c r="AW77" s="6625" cm="1">
        <f t="array" ref="AW77">IF(W77="",0,SUMPRODUCT((CA4:CA795="Lait")*(CB4:CB795="EXCL")*(COUNTIF(AI77,"*"&amp;CC4:CC795&amp;"*")&gt;0)*1))</f>
        <v>0</v>
      </c>
      <c r="AX77" s="6625" cm="1">
        <f t="array" ref="AX77">IF(W77="",0,SUMPRODUCT((CA4:CA795="Lait")*(CB4:CB795="ALERTE")*(COUNTIF(AI77,"*"&amp;CC4:CC795&amp;"*")&gt;0)*1))</f>
        <v>0</v>
      </c>
      <c r="AY77" s="6625" cm="1">
        <f t="array" ref="AY77">IF(W77="",0,SUMPRODUCT((CA4:CA795="Lait")*(CB4:CB795="SUSP")*(COUNTIF(AI77,"*"&amp;CC4:CC795&amp;"*")&gt;0)*1))</f>
        <v>0</v>
      </c>
      <c r="AZ77" s="6625" cm="1">
        <f t="array" ref="AZ77">IF(W77="",0,SUMPRODUCT((CA4:CA795="Fruits a coque")*(CB4:CB795="EXCL")*(COUNTIF(AI77,"*"&amp;CC4:CC795&amp;"*")&gt;0)*1))</f>
        <v>0</v>
      </c>
      <c r="BA77" s="6625" cm="1">
        <f t="array" ref="BA77">IF(W77="",0,SUMPRODUCT((CA4:CA795="Fruits a coque")*(CB4:CB795="ALERTE")*(COUNTIF(AI77,"*"&amp;CC4:CC795&amp;"*")&gt;0)*1))</f>
        <v>0</v>
      </c>
      <c r="BB77" s="6625" cm="1">
        <f t="array" ref="BB77">IF(W77="",0,SUMPRODUCT((CA4:CA795="Celeri")*(CB4:CB795="ALERTE")*(COUNTIF(AI77,"*"&amp;CC4:CC795&amp;"*")&gt;0)*1))</f>
        <v>0</v>
      </c>
      <c r="BC77" s="6625" cm="1">
        <f t="array" ref="BC77">IF(W77="",0,SUMPRODUCT((CA4:CA795="Moutarde")*(CB4:CB795="ALERTE")*(COUNTIF(AI77,"*"&amp;CC4:CC795&amp;"*")&gt;0)*1))</f>
        <v>0</v>
      </c>
      <c r="BD77" s="6625" cm="1">
        <f t="array" ref="BD77">IF(W77="",0,SUMPRODUCT((CA4:CA795="Sesame")*(CB4:CB795="ALERTE")*(COUNTIF(AI77,"*"&amp;CC4:CC795&amp;"*")&gt;0)*1))</f>
        <v>0</v>
      </c>
      <c r="BE77" s="6625" cm="1">
        <f t="array" ref="BE77">IF(W77="",0,SUMPRODUCT((CA4:CA795="Sulfites")*(CB4:CB795="ALERTE")*(COUNTIF(AI77,"*"&amp;CC4:CC795&amp;"*")&gt;0)*1))</f>
        <v>0</v>
      </c>
      <c r="BF77" s="6625" cm="1">
        <f t="array" ref="BF77">IF(W77="",0,SUMPRODUCT((CA4:CA795="Lupin")*(CB4:CB795="ALERTE")*(COUNTIF(AI77,"*"&amp;CC4:CC795&amp;"*")&gt;0)*1))</f>
        <v>0</v>
      </c>
      <c r="BG77" s="6625" cm="1">
        <f t="array" ref="BG77">IF(W77="",0,SUMPRODUCT((CA4:CA795="Mollusques")*(CB4:CB795="EXCL")*(COUNTIF(AI77,"*"&amp;CC4:CC795&amp;"*")&gt;0)*1))</f>
        <v>0</v>
      </c>
      <c r="BH77" s="6625" cm="1">
        <f t="array" ref="BH77">IF(W77="",0,SUMPRODUCT((CA4:CA795="Mollusques")*(CB4:CB795="ALERTE")*(COUNTIF(AI77,"*"&amp;CC4:CC795&amp;"*")&gt;0)*1))</f>
        <v>0</v>
      </c>
      <c r="BI77" s="6625" t="str">
        <f t="shared" si="25"/>
        <v/>
      </c>
      <c r="BJ77" s="6625" t="str">
        <f t="shared" si="26"/>
        <v/>
      </c>
      <c r="BK77" s="6625" t="str">
        <f t="shared" si="27"/>
        <v/>
      </c>
      <c r="BL77" s="6625" t="str">
        <f t="shared" si="28"/>
        <v/>
      </c>
      <c r="BM77" s="6625" t="str">
        <f t="shared" si="29"/>
        <v/>
      </c>
      <c r="BN77" s="6625" t="str">
        <f t="shared" si="30"/>
        <v/>
      </c>
      <c r="BO77" s="6625" t="str">
        <f t="shared" si="31"/>
        <v/>
      </c>
      <c r="BP77" s="6625" t="str">
        <f t="shared" si="32"/>
        <v/>
      </c>
      <c r="BQ77" s="6625" t="str">
        <f t="shared" si="33"/>
        <v/>
      </c>
      <c r="BR77" s="6625" t="str">
        <f t="shared" si="34"/>
        <v/>
      </c>
      <c r="BS77" s="6625" t="str">
        <f t="shared" si="35"/>
        <v/>
      </c>
      <c r="BT77" s="6625" t="str">
        <f t="shared" si="36"/>
        <v/>
      </c>
      <c r="BU77" s="6625" t="str">
        <f t="shared" si="37"/>
        <v/>
      </c>
      <c r="BV77" s="6625" t="str">
        <f t="shared" si="38"/>
        <v/>
      </c>
      <c r="BW77" s="6625" t="str">
        <f t="shared" si="39"/>
        <v/>
      </c>
      <c r="BX77" s="6625" t="str">
        <f t="shared" si="40"/>
        <v/>
      </c>
      <c r="CA77" s="3170" t="s">
        <v>16449</v>
      </c>
      <c r="CB77" s="7634" t="s">
        <v>16255</v>
      </c>
      <c r="CC77" s="3170" t="s">
        <v>16483</v>
      </c>
      <c r="CD77" s="3170" t="s">
        <v>16484</v>
      </c>
    </row>
    <row r="78" spans="2:82" ht="30" customHeight="1">
      <c r="B78" s="7661" t="str">
        <f t="shared" si="0"/>
        <v/>
      </c>
      <c r="C78" s="7661" t="str">
        <f t="shared" si="1"/>
        <v/>
      </c>
      <c r="D78" s="7661" t="str">
        <f t="shared" si="2"/>
        <v/>
      </c>
      <c r="E78" s="7661">
        <f>IF(H77&lt;&gt;"",E77,IF(E77="","",IFERROR(MATCH(TRUE(),INDEX(INDEX($K:$K,E77+1):$K$203&lt;&gt;"",0),0)+E77,"")))</f>
        <v>253</v>
      </c>
      <c r="F78" s="7661">
        <f t="shared" si="41"/>
        <v>0</v>
      </c>
      <c r="G78" s="7661" t="str">
        <f t="shared" si="3"/>
        <v>0</v>
      </c>
      <c r="H78" s="7672" t="str">
        <f t="shared" si="4"/>
        <v/>
      </c>
      <c r="I78" s="7683" t="str">
        <f t="shared" si="5"/>
        <v/>
      </c>
      <c r="J78" s="7673" t="str">
        <f>IF(K78="","",COUNTIF($K$18:K78,"&lt;&gt;"))</f>
        <v/>
      </c>
      <c r="K78" s="7674"/>
      <c r="L78" s="7673" t="str">
        <f t="shared" si="6"/>
        <v/>
      </c>
      <c r="M78" s="7630">
        <f t="shared" si="7"/>
        <v>1</v>
      </c>
      <c r="N78" s="7675">
        <f t="shared" si="8"/>
        <v>61</v>
      </c>
      <c r="O78" s="7676" t="str">
        <f t="shared" si="9"/>
        <v>0</v>
      </c>
      <c r="P78" s="7675">
        <f t="shared" si="10"/>
        <v>1</v>
      </c>
      <c r="Q78" s="7675">
        <f t="shared" si="11"/>
        <v>1</v>
      </c>
      <c r="S78" s="7679" t="str">
        <f t="shared" si="42"/>
        <v>0</v>
      </c>
      <c r="T78" s="7680" t="str">
        <f t="shared" si="12"/>
        <v/>
      </c>
      <c r="V78" s="7677">
        <f t="shared" si="13"/>
        <v>78</v>
      </c>
      <c r="W78" s="7678" t="str">
        <f t="shared" si="43"/>
        <v>0</v>
      </c>
      <c r="X78" s="7677" t="s">
        <v>2</v>
      </c>
      <c r="Y78" s="7702" t="str">
        <f t="shared" si="14"/>
        <v>0</v>
      </c>
      <c r="Z78" s="7703" t="str">
        <f t="shared" si="15"/>
        <v/>
      </c>
      <c r="AA78" s="7681" t="str">
        <f t="shared" si="16"/>
        <v>0</v>
      </c>
      <c r="AB78" s="7682" t="str">
        <f t="shared" si="17"/>
        <v/>
      </c>
      <c r="AC78" s="7677">
        <f t="shared" si="18"/>
        <v>0</v>
      </c>
      <c r="AD78" s="7677">
        <f t="shared" si="19"/>
        <v>0</v>
      </c>
      <c r="AE78" s="7682" t="str">
        <f t="shared" si="20"/>
        <v>aucun match</v>
      </c>
      <c r="AF78" s="6625" t="str">
        <f t="shared" si="21"/>
        <v>0</v>
      </c>
      <c r="AG78" s="6625" t="str">
        <f t="shared" si="22"/>
        <v>0</v>
      </c>
      <c r="AH78" s="6625" t="str">
        <f t="shared" si="23"/>
        <v>0</v>
      </c>
      <c r="AI78" s="6625" t="str">
        <f t="shared" si="24"/>
        <v xml:space="preserve"> 0 </v>
      </c>
      <c r="AJ78" s="6625" cm="1">
        <f t="array" ref="AJ78">IF(W78="",0,SUMPRODUCT((CA4:CA795="Gluten")*(CB4:CB795="INFO")*(COUNTIF(AI78,"*"&amp;CC4:CC795&amp;"*")&gt;0)*1))</f>
        <v>0</v>
      </c>
      <c r="AK78" s="6625" cm="1">
        <f t="array" ref="AK78">IF(W78="",0,SUMPRODUCT((CA4:CA795="Gluten")*(CB4:CB795="EXCL")*(COUNTIF(AI78,"*"&amp;CC4:CC795&amp;"*")&gt;0)*1))</f>
        <v>0</v>
      </c>
      <c r="AL78" s="6625" cm="1">
        <f t="array" ref="AL78">IF(W78="",0,SUMPRODUCT((CA4:CA795="Gluten")*(CB4:CB795="ALERTE")*(COUNTIF(AI78,"*"&amp;CC4:CC795&amp;"*")&gt;0)*1))</f>
        <v>0</v>
      </c>
      <c r="AM78" s="6625" cm="1">
        <f t="array" ref="AM78">IF(W78="",0,SUMPRODUCT((CA4:CA795="Gluten")*(CB4:CB795="SUSP")*(COUNTIF(AI78,"*"&amp;CC4:CC795&amp;"*")&gt;0)*1))</f>
        <v>0</v>
      </c>
      <c r="AN78" s="6625" cm="1">
        <f t="array" ref="AN78">IF(W78="",0,SUMPRODUCT((CA4:CA795="Crustaces")*(CB4:CB795="ALERTE")*(COUNTIF(AI78,"*"&amp;CC4:CC795&amp;"*")&gt;0)*1))</f>
        <v>0</v>
      </c>
      <c r="AO78" s="6625" cm="1">
        <f t="array" ref="AO78">IF(W78="",0,SUMPRODUCT((CA4:CA795="Oeufs")*(CB4:CB795="ALERTE")*(COUNTIF(AI78,"*"&amp;CC4:CC795&amp;"*")&gt;0)*1))</f>
        <v>0</v>
      </c>
      <c r="AP78" s="6625" cm="1">
        <f t="array" ref="AP78">IF(W78="",0,SUMPRODUCT((CA4:CA795="Poissons")*(CB4:CB795="INFO")*(COUNTIF(AI78,"*"&amp;CC4:CC795&amp;"*")&gt;0)*1))</f>
        <v>0</v>
      </c>
      <c r="AQ78" s="6625" cm="1">
        <f t="array" ref="AQ78">IF(W78="",0,SUMPRODUCT((CA4:CA795="Poissons")*(CB4:CB795="EXCL")*(COUNTIF(AI78,"*"&amp;CC4:CC795&amp;"*")&gt;0)*1))</f>
        <v>0</v>
      </c>
      <c r="AR78" s="6625" cm="1">
        <f t="array" ref="AR78">IF(W78="",0,SUMPRODUCT((CA4:CA795="Poissons")*(CB4:CB795="ALERTE")*(COUNTIF(AI78,"*"&amp;CC4:CC795&amp;"*")&gt;0)*1))</f>
        <v>0</v>
      </c>
      <c r="AS78" s="6625" cm="1">
        <f t="array" ref="AS78">IF(W78="",0,SUMPRODUCT((CA4:CA795="Arachides")*(CB4:CB795="ALERTE")*(COUNTIF(AI78,"*"&amp;CC4:CC795&amp;"*")&gt;0)*1))</f>
        <v>0</v>
      </c>
      <c r="AT78" s="6625" cm="1">
        <f t="array" ref="AT78">IF(W78="",0,SUMPRODUCT((CA4:CA795="Soja")*(CB4:CB795="INFO")*(COUNTIF(AI78,"*"&amp;CC4:CC795&amp;"*")&gt;0)*1))</f>
        <v>0</v>
      </c>
      <c r="AU78" s="6625" cm="1">
        <f t="array" ref="AU78">IF(W78="",0,SUMPRODUCT((CA4:CA795="Soja")*(CB4:CB795="ALERTE")*(COUNTIF(AI78,"*"&amp;CC4:CC795&amp;"*")&gt;0)*1))</f>
        <v>0</v>
      </c>
      <c r="AV78" s="6625" cm="1">
        <f t="array" ref="AV78">IF(W78="",0,SUMPRODUCT((CA4:CA795="Lait")*(CB4:CB795="INFO")*(COUNTIF(AI78,"*"&amp;CC4:CC795&amp;"*")&gt;0)*1))</f>
        <v>0</v>
      </c>
      <c r="AW78" s="6625" cm="1">
        <f t="array" ref="AW78">IF(W78="",0,SUMPRODUCT((CA4:CA795="Lait")*(CB4:CB795="EXCL")*(COUNTIF(AI78,"*"&amp;CC4:CC795&amp;"*")&gt;0)*1))</f>
        <v>0</v>
      </c>
      <c r="AX78" s="6625" cm="1">
        <f t="array" ref="AX78">IF(W78="",0,SUMPRODUCT((CA4:CA795="Lait")*(CB4:CB795="ALERTE")*(COUNTIF(AI78,"*"&amp;CC4:CC795&amp;"*")&gt;0)*1))</f>
        <v>0</v>
      </c>
      <c r="AY78" s="6625" cm="1">
        <f t="array" ref="AY78">IF(W78="",0,SUMPRODUCT((CA4:CA795="Lait")*(CB4:CB795="SUSP")*(COUNTIF(AI78,"*"&amp;CC4:CC795&amp;"*")&gt;0)*1))</f>
        <v>0</v>
      </c>
      <c r="AZ78" s="6625" cm="1">
        <f t="array" ref="AZ78">IF(W78="",0,SUMPRODUCT((CA4:CA795="Fruits a coque")*(CB4:CB795="EXCL")*(COUNTIF(AI78,"*"&amp;CC4:CC795&amp;"*")&gt;0)*1))</f>
        <v>0</v>
      </c>
      <c r="BA78" s="6625" cm="1">
        <f t="array" ref="BA78">IF(W78="",0,SUMPRODUCT((CA4:CA795="Fruits a coque")*(CB4:CB795="ALERTE")*(COUNTIF(AI78,"*"&amp;CC4:CC795&amp;"*")&gt;0)*1))</f>
        <v>0</v>
      </c>
      <c r="BB78" s="6625" cm="1">
        <f t="array" ref="BB78">IF(W78="",0,SUMPRODUCT((CA4:CA795="Celeri")*(CB4:CB795="ALERTE")*(COUNTIF(AI78,"*"&amp;CC4:CC795&amp;"*")&gt;0)*1))</f>
        <v>0</v>
      </c>
      <c r="BC78" s="6625" cm="1">
        <f t="array" ref="BC78">IF(W78="",0,SUMPRODUCT((CA4:CA795="Moutarde")*(CB4:CB795="ALERTE")*(COUNTIF(AI78,"*"&amp;CC4:CC795&amp;"*")&gt;0)*1))</f>
        <v>0</v>
      </c>
      <c r="BD78" s="6625" cm="1">
        <f t="array" ref="BD78">IF(W78="",0,SUMPRODUCT((CA4:CA795="Sesame")*(CB4:CB795="ALERTE")*(COUNTIF(AI78,"*"&amp;CC4:CC795&amp;"*")&gt;0)*1))</f>
        <v>0</v>
      </c>
      <c r="BE78" s="6625" cm="1">
        <f t="array" ref="BE78">IF(W78="",0,SUMPRODUCT((CA4:CA795="Sulfites")*(CB4:CB795="ALERTE")*(COUNTIF(AI78,"*"&amp;CC4:CC795&amp;"*")&gt;0)*1))</f>
        <v>0</v>
      </c>
      <c r="BF78" s="6625" cm="1">
        <f t="array" ref="BF78">IF(W78="",0,SUMPRODUCT((CA4:CA795="Lupin")*(CB4:CB795="ALERTE")*(COUNTIF(AI78,"*"&amp;CC4:CC795&amp;"*")&gt;0)*1))</f>
        <v>0</v>
      </c>
      <c r="BG78" s="6625" cm="1">
        <f t="array" ref="BG78">IF(W78="",0,SUMPRODUCT((CA4:CA795="Mollusques")*(CB4:CB795="EXCL")*(COUNTIF(AI78,"*"&amp;CC4:CC795&amp;"*")&gt;0)*1))</f>
        <v>0</v>
      </c>
      <c r="BH78" s="6625" cm="1">
        <f t="array" ref="BH78">IF(W78="",0,SUMPRODUCT((CA4:CA795="Mollusques")*(CB4:CB795="ALERTE")*(COUNTIF(AI78,"*"&amp;CC4:CC795&amp;"*")&gt;0)*1))</f>
        <v>0</v>
      </c>
      <c r="BI78" s="6625" t="str">
        <f t="shared" si="25"/>
        <v/>
      </c>
      <c r="BJ78" s="6625" t="str">
        <f t="shared" si="26"/>
        <v/>
      </c>
      <c r="BK78" s="6625" t="str">
        <f t="shared" si="27"/>
        <v/>
      </c>
      <c r="BL78" s="6625" t="str">
        <f t="shared" si="28"/>
        <v/>
      </c>
      <c r="BM78" s="6625" t="str">
        <f t="shared" si="29"/>
        <v/>
      </c>
      <c r="BN78" s="6625" t="str">
        <f t="shared" si="30"/>
        <v/>
      </c>
      <c r="BO78" s="6625" t="str">
        <f t="shared" si="31"/>
        <v/>
      </c>
      <c r="BP78" s="6625" t="str">
        <f t="shared" si="32"/>
        <v/>
      </c>
      <c r="BQ78" s="6625" t="str">
        <f t="shared" si="33"/>
        <v/>
      </c>
      <c r="BR78" s="6625" t="str">
        <f t="shared" si="34"/>
        <v/>
      </c>
      <c r="BS78" s="6625" t="str">
        <f t="shared" si="35"/>
        <v/>
      </c>
      <c r="BT78" s="6625" t="str">
        <f t="shared" si="36"/>
        <v/>
      </c>
      <c r="BU78" s="6625" t="str">
        <f t="shared" si="37"/>
        <v/>
      </c>
      <c r="BV78" s="6625" t="str">
        <f t="shared" si="38"/>
        <v/>
      </c>
      <c r="BW78" s="6625" t="str">
        <f t="shared" si="39"/>
        <v/>
      </c>
      <c r="BX78" s="6625" t="str">
        <f t="shared" si="40"/>
        <v/>
      </c>
      <c r="CA78" s="3170" t="s">
        <v>16449</v>
      </c>
      <c r="CB78" s="7634" t="s">
        <v>16255</v>
      </c>
      <c r="CC78" s="3170" t="s">
        <v>16485</v>
      </c>
      <c r="CD78" s="3170" t="s">
        <v>16486</v>
      </c>
    </row>
    <row r="79" spans="2:82" ht="30" customHeight="1">
      <c r="B79" s="7661" t="str">
        <f t="shared" si="0"/>
        <v/>
      </c>
      <c r="C79" s="7661" t="str">
        <f t="shared" si="1"/>
        <v/>
      </c>
      <c r="D79" s="7661" t="str">
        <f t="shared" si="2"/>
        <v/>
      </c>
      <c r="E79" s="7661">
        <f>IF(H78&lt;&gt;"",E78,IF(E78="","",IFERROR(MATCH(TRUE(),INDEX(INDEX($K:$K,E78+1):$K$203&lt;&gt;"",0),0)+E78,"")))</f>
        <v>254</v>
      </c>
      <c r="F79" s="7661">
        <f t="shared" si="41"/>
        <v>0</v>
      </c>
      <c r="G79" s="7661" t="str">
        <f t="shared" si="3"/>
        <v>0</v>
      </c>
      <c r="H79" s="7672" t="str">
        <f t="shared" si="4"/>
        <v/>
      </c>
      <c r="I79" s="7683" t="str">
        <f t="shared" si="5"/>
        <v/>
      </c>
      <c r="J79" s="7673" t="str">
        <f>IF(K79="","",COUNTIF($K$18:K79,"&lt;&gt;"))</f>
        <v/>
      </c>
      <c r="K79" s="7674"/>
      <c r="L79" s="7673" t="str">
        <f t="shared" si="6"/>
        <v/>
      </c>
      <c r="M79" s="7630">
        <f t="shared" si="7"/>
        <v>1</v>
      </c>
      <c r="N79" s="7675">
        <f t="shared" si="8"/>
        <v>62</v>
      </c>
      <c r="O79" s="7676" t="str">
        <f t="shared" si="9"/>
        <v>0</v>
      </c>
      <c r="P79" s="7675">
        <f t="shared" si="10"/>
        <v>1</v>
      </c>
      <c r="Q79" s="7675">
        <f t="shared" si="11"/>
        <v>1</v>
      </c>
      <c r="S79" s="7679" t="str">
        <f t="shared" si="42"/>
        <v>0</v>
      </c>
      <c r="T79" s="7680" t="str">
        <f t="shared" si="12"/>
        <v/>
      </c>
      <c r="V79" s="7677">
        <f t="shared" si="13"/>
        <v>79</v>
      </c>
      <c r="W79" s="7678" t="str">
        <f t="shared" si="43"/>
        <v>0</v>
      </c>
      <c r="X79" s="7677" t="s">
        <v>2</v>
      </c>
      <c r="Y79" s="7702" t="str">
        <f t="shared" si="14"/>
        <v>0</v>
      </c>
      <c r="Z79" s="7703" t="str">
        <f t="shared" si="15"/>
        <v/>
      </c>
      <c r="AA79" s="7681" t="str">
        <f t="shared" si="16"/>
        <v>0</v>
      </c>
      <c r="AB79" s="7682" t="str">
        <f t="shared" si="17"/>
        <v/>
      </c>
      <c r="AC79" s="7677">
        <f t="shared" si="18"/>
        <v>0</v>
      </c>
      <c r="AD79" s="7677">
        <f t="shared" si="19"/>
        <v>0</v>
      </c>
      <c r="AE79" s="7682" t="str">
        <f t="shared" si="20"/>
        <v>aucun match</v>
      </c>
      <c r="AF79" s="6625" t="str">
        <f t="shared" si="21"/>
        <v>0</v>
      </c>
      <c r="AG79" s="6625" t="str">
        <f t="shared" si="22"/>
        <v>0</v>
      </c>
      <c r="AH79" s="6625" t="str">
        <f t="shared" si="23"/>
        <v>0</v>
      </c>
      <c r="AI79" s="6625" t="str">
        <f t="shared" si="24"/>
        <v xml:space="preserve"> 0 </v>
      </c>
      <c r="AJ79" s="6625" cm="1">
        <f t="array" ref="AJ79">IF(W79="",0,SUMPRODUCT((CA4:CA795="Gluten")*(CB4:CB795="INFO")*(COUNTIF(AI79,"*"&amp;CC4:CC795&amp;"*")&gt;0)*1))</f>
        <v>0</v>
      </c>
      <c r="AK79" s="6625" cm="1">
        <f t="array" ref="AK79">IF(W79="",0,SUMPRODUCT((CA4:CA795="Gluten")*(CB4:CB795="EXCL")*(COUNTIF(AI79,"*"&amp;CC4:CC795&amp;"*")&gt;0)*1))</f>
        <v>0</v>
      </c>
      <c r="AL79" s="6625" cm="1">
        <f t="array" ref="AL79">IF(W79="",0,SUMPRODUCT((CA4:CA795="Gluten")*(CB4:CB795="ALERTE")*(COUNTIF(AI79,"*"&amp;CC4:CC795&amp;"*")&gt;0)*1))</f>
        <v>0</v>
      </c>
      <c r="AM79" s="6625" cm="1">
        <f t="array" ref="AM79">IF(W79="",0,SUMPRODUCT((CA4:CA795="Gluten")*(CB4:CB795="SUSP")*(COUNTIF(AI79,"*"&amp;CC4:CC795&amp;"*")&gt;0)*1))</f>
        <v>0</v>
      </c>
      <c r="AN79" s="6625" cm="1">
        <f t="array" ref="AN79">IF(W79="",0,SUMPRODUCT((CA4:CA795="Crustaces")*(CB4:CB795="ALERTE")*(COUNTIF(AI79,"*"&amp;CC4:CC795&amp;"*")&gt;0)*1))</f>
        <v>0</v>
      </c>
      <c r="AO79" s="6625" cm="1">
        <f t="array" ref="AO79">IF(W79="",0,SUMPRODUCT((CA4:CA795="Oeufs")*(CB4:CB795="ALERTE")*(COUNTIF(AI79,"*"&amp;CC4:CC795&amp;"*")&gt;0)*1))</f>
        <v>0</v>
      </c>
      <c r="AP79" s="6625" cm="1">
        <f t="array" ref="AP79">IF(W79="",0,SUMPRODUCT((CA4:CA795="Poissons")*(CB4:CB795="INFO")*(COUNTIF(AI79,"*"&amp;CC4:CC795&amp;"*")&gt;0)*1))</f>
        <v>0</v>
      </c>
      <c r="AQ79" s="6625" cm="1">
        <f t="array" ref="AQ79">IF(W79="",0,SUMPRODUCT((CA4:CA795="Poissons")*(CB4:CB795="EXCL")*(COUNTIF(AI79,"*"&amp;CC4:CC795&amp;"*")&gt;0)*1))</f>
        <v>0</v>
      </c>
      <c r="AR79" s="6625" cm="1">
        <f t="array" ref="AR79">IF(W79="",0,SUMPRODUCT((CA4:CA795="Poissons")*(CB4:CB795="ALERTE")*(COUNTIF(AI79,"*"&amp;CC4:CC795&amp;"*")&gt;0)*1))</f>
        <v>0</v>
      </c>
      <c r="AS79" s="6625" cm="1">
        <f t="array" ref="AS79">IF(W79="",0,SUMPRODUCT((CA4:CA795="Arachides")*(CB4:CB795="ALERTE")*(COUNTIF(AI79,"*"&amp;CC4:CC795&amp;"*")&gt;0)*1))</f>
        <v>0</v>
      </c>
      <c r="AT79" s="6625" cm="1">
        <f t="array" ref="AT79">IF(W79="",0,SUMPRODUCT((CA4:CA795="Soja")*(CB4:CB795="INFO")*(COUNTIF(AI79,"*"&amp;CC4:CC795&amp;"*")&gt;0)*1))</f>
        <v>0</v>
      </c>
      <c r="AU79" s="6625" cm="1">
        <f t="array" ref="AU79">IF(W79="",0,SUMPRODUCT((CA4:CA795="Soja")*(CB4:CB795="ALERTE")*(COUNTIF(AI79,"*"&amp;CC4:CC795&amp;"*")&gt;0)*1))</f>
        <v>0</v>
      </c>
      <c r="AV79" s="6625" cm="1">
        <f t="array" ref="AV79">IF(W79="",0,SUMPRODUCT((CA4:CA795="Lait")*(CB4:CB795="INFO")*(COUNTIF(AI79,"*"&amp;CC4:CC795&amp;"*")&gt;0)*1))</f>
        <v>0</v>
      </c>
      <c r="AW79" s="6625" cm="1">
        <f t="array" ref="AW79">IF(W79="",0,SUMPRODUCT((CA4:CA795="Lait")*(CB4:CB795="EXCL")*(COUNTIF(AI79,"*"&amp;CC4:CC795&amp;"*")&gt;0)*1))</f>
        <v>0</v>
      </c>
      <c r="AX79" s="6625" cm="1">
        <f t="array" ref="AX79">IF(W79="",0,SUMPRODUCT((CA4:CA795="Lait")*(CB4:CB795="ALERTE")*(COUNTIF(AI79,"*"&amp;CC4:CC795&amp;"*")&gt;0)*1))</f>
        <v>0</v>
      </c>
      <c r="AY79" s="6625" cm="1">
        <f t="array" ref="AY79">IF(W79="",0,SUMPRODUCT((CA4:CA795="Lait")*(CB4:CB795="SUSP")*(COUNTIF(AI79,"*"&amp;CC4:CC795&amp;"*")&gt;0)*1))</f>
        <v>0</v>
      </c>
      <c r="AZ79" s="6625" cm="1">
        <f t="array" ref="AZ79">IF(W79="",0,SUMPRODUCT((CA4:CA795="Fruits a coque")*(CB4:CB795="EXCL")*(COUNTIF(AI79,"*"&amp;CC4:CC795&amp;"*")&gt;0)*1))</f>
        <v>0</v>
      </c>
      <c r="BA79" s="6625" cm="1">
        <f t="array" ref="BA79">IF(W79="",0,SUMPRODUCT((CA4:CA795="Fruits a coque")*(CB4:CB795="ALERTE")*(COUNTIF(AI79,"*"&amp;CC4:CC795&amp;"*")&gt;0)*1))</f>
        <v>0</v>
      </c>
      <c r="BB79" s="6625" cm="1">
        <f t="array" ref="BB79">IF(W79="",0,SUMPRODUCT((CA4:CA795="Celeri")*(CB4:CB795="ALERTE")*(COUNTIF(AI79,"*"&amp;CC4:CC795&amp;"*")&gt;0)*1))</f>
        <v>0</v>
      </c>
      <c r="BC79" s="6625" cm="1">
        <f t="array" ref="BC79">IF(W79="",0,SUMPRODUCT((CA4:CA795="Moutarde")*(CB4:CB795="ALERTE")*(COUNTIF(AI79,"*"&amp;CC4:CC795&amp;"*")&gt;0)*1))</f>
        <v>0</v>
      </c>
      <c r="BD79" s="6625" cm="1">
        <f t="array" ref="BD79">IF(W79="",0,SUMPRODUCT((CA4:CA795="Sesame")*(CB4:CB795="ALERTE")*(COUNTIF(AI79,"*"&amp;CC4:CC795&amp;"*")&gt;0)*1))</f>
        <v>0</v>
      </c>
      <c r="BE79" s="6625" cm="1">
        <f t="array" ref="BE79">IF(W79="",0,SUMPRODUCT((CA4:CA795="Sulfites")*(CB4:CB795="ALERTE")*(COUNTIF(AI79,"*"&amp;CC4:CC795&amp;"*")&gt;0)*1))</f>
        <v>0</v>
      </c>
      <c r="BF79" s="6625" cm="1">
        <f t="array" ref="BF79">IF(W79="",0,SUMPRODUCT((CA4:CA795="Lupin")*(CB4:CB795="ALERTE")*(COUNTIF(AI79,"*"&amp;CC4:CC795&amp;"*")&gt;0)*1))</f>
        <v>0</v>
      </c>
      <c r="BG79" s="6625" cm="1">
        <f t="array" ref="BG79">IF(W79="",0,SUMPRODUCT((CA4:CA795="Mollusques")*(CB4:CB795="EXCL")*(COUNTIF(AI79,"*"&amp;CC4:CC795&amp;"*")&gt;0)*1))</f>
        <v>0</v>
      </c>
      <c r="BH79" s="6625" cm="1">
        <f t="array" ref="BH79">IF(W79="",0,SUMPRODUCT((CA4:CA795="Mollusques")*(CB4:CB795="ALERTE")*(COUNTIF(AI79,"*"&amp;CC4:CC795&amp;"*")&gt;0)*1))</f>
        <v>0</v>
      </c>
      <c r="BI79" s="6625" t="str">
        <f t="shared" si="25"/>
        <v/>
      </c>
      <c r="BJ79" s="6625" t="str">
        <f t="shared" si="26"/>
        <v/>
      </c>
      <c r="BK79" s="6625" t="str">
        <f t="shared" si="27"/>
        <v/>
      </c>
      <c r="BL79" s="6625" t="str">
        <f t="shared" si="28"/>
        <v/>
      </c>
      <c r="BM79" s="6625" t="str">
        <f t="shared" si="29"/>
        <v/>
      </c>
      <c r="BN79" s="6625" t="str">
        <f t="shared" si="30"/>
        <v/>
      </c>
      <c r="BO79" s="6625" t="str">
        <f t="shared" si="31"/>
        <v/>
      </c>
      <c r="BP79" s="6625" t="str">
        <f t="shared" si="32"/>
        <v/>
      </c>
      <c r="BQ79" s="6625" t="str">
        <f t="shared" si="33"/>
        <v/>
      </c>
      <c r="BR79" s="6625" t="str">
        <f t="shared" si="34"/>
        <v/>
      </c>
      <c r="BS79" s="6625" t="str">
        <f t="shared" si="35"/>
        <v/>
      </c>
      <c r="BT79" s="6625" t="str">
        <f t="shared" si="36"/>
        <v/>
      </c>
      <c r="BU79" s="6625" t="str">
        <f t="shared" si="37"/>
        <v/>
      </c>
      <c r="BV79" s="6625" t="str">
        <f t="shared" si="38"/>
        <v/>
      </c>
      <c r="BW79" s="6625" t="str">
        <f t="shared" si="39"/>
        <v/>
      </c>
      <c r="BX79" s="6625" t="str">
        <f t="shared" si="40"/>
        <v/>
      </c>
      <c r="CA79" s="3170" t="s">
        <v>16449</v>
      </c>
      <c r="CB79" s="7634" t="s">
        <v>16255</v>
      </c>
      <c r="CC79" s="3170" t="s">
        <v>16487</v>
      </c>
      <c r="CD79" s="3170" t="s">
        <v>16488</v>
      </c>
    </row>
    <row r="80" spans="2:82" ht="30" customHeight="1">
      <c r="B80" s="7661" t="str">
        <f t="shared" si="0"/>
        <v/>
      </c>
      <c r="C80" s="7661" t="str">
        <f t="shared" si="1"/>
        <v/>
      </c>
      <c r="D80" s="7661" t="str">
        <f t="shared" si="2"/>
        <v/>
      </c>
      <c r="E80" s="7661">
        <f>IF(H79&lt;&gt;"",E79,IF(E79="","",IFERROR(MATCH(TRUE(),INDEX(INDEX($K:$K,E79+1):$K$203&lt;&gt;"",0),0)+E79,"")))</f>
        <v>255</v>
      </c>
      <c r="F80" s="7661">
        <f t="shared" si="41"/>
        <v>0</v>
      </c>
      <c r="G80" s="7661" t="str">
        <f t="shared" si="3"/>
        <v>0</v>
      </c>
      <c r="H80" s="7672" t="str">
        <f t="shared" si="4"/>
        <v/>
      </c>
      <c r="I80" s="7683" t="str">
        <f t="shared" si="5"/>
        <v/>
      </c>
      <c r="J80" s="7673" t="str">
        <f>IF(K80="","",COUNTIF($K$18:K80,"&lt;&gt;"))</f>
        <v/>
      </c>
      <c r="K80" s="7674"/>
      <c r="L80" s="7673" t="str">
        <f t="shared" si="6"/>
        <v/>
      </c>
      <c r="M80" s="7630">
        <f t="shared" si="7"/>
        <v>1</v>
      </c>
      <c r="N80" s="7675">
        <f t="shared" si="8"/>
        <v>63</v>
      </c>
      <c r="O80" s="7676" t="str">
        <f t="shared" si="9"/>
        <v>0</v>
      </c>
      <c r="P80" s="7675">
        <f t="shared" si="10"/>
        <v>1</v>
      </c>
      <c r="Q80" s="7675">
        <f t="shared" si="11"/>
        <v>1</v>
      </c>
      <c r="S80" s="7679" t="str">
        <f t="shared" si="42"/>
        <v>0</v>
      </c>
      <c r="T80" s="7680" t="str">
        <f t="shared" si="12"/>
        <v/>
      </c>
      <c r="V80" s="7677">
        <f t="shared" si="13"/>
        <v>80</v>
      </c>
      <c r="W80" s="7678" t="str">
        <f t="shared" si="43"/>
        <v>0</v>
      </c>
      <c r="X80" s="7677" t="s">
        <v>2</v>
      </c>
      <c r="Y80" s="7702" t="str">
        <f t="shared" si="14"/>
        <v>0</v>
      </c>
      <c r="Z80" s="7703" t="str">
        <f t="shared" si="15"/>
        <v/>
      </c>
      <c r="AA80" s="7681" t="str">
        <f t="shared" si="16"/>
        <v>0</v>
      </c>
      <c r="AB80" s="7682" t="str">
        <f t="shared" si="17"/>
        <v/>
      </c>
      <c r="AC80" s="7677">
        <f t="shared" si="18"/>
        <v>0</v>
      </c>
      <c r="AD80" s="7677">
        <f t="shared" si="19"/>
        <v>0</v>
      </c>
      <c r="AE80" s="7682" t="str">
        <f t="shared" si="20"/>
        <v>aucun match</v>
      </c>
      <c r="AF80" s="6625" t="str">
        <f t="shared" si="21"/>
        <v>0</v>
      </c>
      <c r="AG80" s="6625" t="str">
        <f t="shared" si="22"/>
        <v>0</v>
      </c>
      <c r="AH80" s="6625" t="str">
        <f t="shared" si="23"/>
        <v>0</v>
      </c>
      <c r="AI80" s="6625" t="str">
        <f t="shared" si="24"/>
        <v xml:space="preserve"> 0 </v>
      </c>
      <c r="AJ80" s="6625" cm="1">
        <f t="array" ref="AJ80">IF(W80="",0,SUMPRODUCT((CA4:CA795="Gluten")*(CB4:CB795="INFO")*(COUNTIF(AI80,"*"&amp;CC4:CC795&amp;"*")&gt;0)*1))</f>
        <v>0</v>
      </c>
      <c r="AK80" s="6625" cm="1">
        <f t="array" ref="AK80">IF(W80="",0,SUMPRODUCT((CA4:CA795="Gluten")*(CB4:CB795="EXCL")*(COUNTIF(AI80,"*"&amp;CC4:CC795&amp;"*")&gt;0)*1))</f>
        <v>0</v>
      </c>
      <c r="AL80" s="6625" cm="1">
        <f t="array" ref="AL80">IF(W80="",0,SUMPRODUCT((CA4:CA795="Gluten")*(CB4:CB795="ALERTE")*(COUNTIF(AI80,"*"&amp;CC4:CC795&amp;"*")&gt;0)*1))</f>
        <v>0</v>
      </c>
      <c r="AM80" s="6625" cm="1">
        <f t="array" ref="AM80">IF(W80="",0,SUMPRODUCT((CA4:CA795="Gluten")*(CB4:CB795="SUSP")*(COUNTIF(AI80,"*"&amp;CC4:CC795&amp;"*")&gt;0)*1))</f>
        <v>0</v>
      </c>
      <c r="AN80" s="6625" cm="1">
        <f t="array" ref="AN80">IF(W80="",0,SUMPRODUCT((CA4:CA795="Crustaces")*(CB4:CB795="ALERTE")*(COUNTIF(AI80,"*"&amp;CC4:CC795&amp;"*")&gt;0)*1))</f>
        <v>0</v>
      </c>
      <c r="AO80" s="6625" cm="1">
        <f t="array" ref="AO80">IF(W80="",0,SUMPRODUCT((CA4:CA795="Oeufs")*(CB4:CB795="ALERTE")*(COUNTIF(AI80,"*"&amp;CC4:CC795&amp;"*")&gt;0)*1))</f>
        <v>0</v>
      </c>
      <c r="AP80" s="6625" cm="1">
        <f t="array" ref="AP80">IF(W80="",0,SUMPRODUCT((CA4:CA795="Poissons")*(CB4:CB795="INFO")*(COUNTIF(AI80,"*"&amp;CC4:CC795&amp;"*")&gt;0)*1))</f>
        <v>0</v>
      </c>
      <c r="AQ80" s="6625" cm="1">
        <f t="array" ref="AQ80">IF(W80="",0,SUMPRODUCT((CA4:CA795="Poissons")*(CB4:CB795="EXCL")*(COUNTIF(AI80,"*"&amp;CC4:CC795&amp;"*")&gt;0)*1))</f>
        <v>0</v>
      </c>
      <c r="AR80" s="6625" cm="1">
        <f t="array" ref="AR80">IF(W80="",0,SUMPRODUCT((CA4:CA795="Poissons")*(CB4:CB795="ALERTE")*(COUNTIF(AI80,"*"&amp;CC4:CC795&amp;"*")&gt;0)*1))</f>
        <v>0</v>
      </c>
      <c r="AS80" s="6625" cm="1">
        <f t="array" ref="AS80">IF(W80="",0,SUMPRODUCT((CA4:CA795="Arachides")*(CB4:CB795="ALERTE")*(COUNTIF(AI80,"*"&amp;CC4:CC795&amp;"*")&gt;0)*1))</f>
        <v>0</v>
      </c>
      <c r="AT80" s="6625" cm="1">
        <f t="array" ref="AT80">IF(W80="",0,SUMPRODUCT((CA4:CA795="Soja")*(CB4:CB795="INFO")*(COUNTIF(AI80,"*"&amp;CC4:CC795&amp;"*")&gt;0)*1))</f>
        <v>0</v>
      </c>
      <c r="AU80" s="6625" cm="1">
        <f t="array" ref="AU80">IF(W80="",0,SUMPRODUCT((CA4:CA795="Soja")*(CB4:CB795="ALERTE")*(COUNTIF(AI80,"*"&amp;CC4:CC795&amp;"*")&gt;0)*1))</f>
        <v>0</v>
      </c>
      <c r="AV80" s="6625" cm="1">
        <f t="array" ref="AV80">IF(W80="",0,SUMPRODUCT((CA4:CA795="Lait")*(CB4:CB795="INFO")*(COUNTIF(AI80,"*"&amp;CC4:CC795&amp;"*")&gt;0)*1))</f>
        <v>0</v>
      </c>
      <c r="AW80" s="6625" cm="1">
        <f t="array" ref="AW80">IF(W80="",0,SUMPRODUCT((CA4:CA795="Lait")*(CB4:CB795="EXCL")*(COUNTIF(AI80,"*"&amp;CC4:CC795&amp;"*")&gt;0)*1))</f>
        <v>0</v>
      </c>
      <c r="AX80" s="6625" cm="1">
        <f t="array" ref="AX80">IF(W80="",0,SUMPRODUCT((CA4:CA795="Lait")*(CB4:CB795="ALERTE")*(COUNTIF(AI80,"*"&amp;CC4:CC795&amp;"*")&gt;0)*1))</f>
        <v>0</v>
      </c>
      <c r="AY80" s="6625" cm="1">
        <f t="array" ref="AY80">IF(W80="",0,SUMPRODUCT((CA4:CA795="Lait")*(CB4:CB795="SUSP")*(COUNTIF(AI80,"*"&amp;CC4:CC795&amp;"*")&gt;0)*1))</f>
        <v>0</v>
      </c>
      <c r="AZ80" s="6625" cm="1">
        <f t="array" ref="AZ80">IF(W80="",0,SUMPRODUCT((CA4:CA795="Fruits a coque")*(CB4:CB795="EXCL")*(COUNTIF(AI80,"*"&amp;CC4:CC795&amp;"*")&gt;0)*1))</f>
        <v>0</v>
      </c>
      <c r="BA80" s="6625" cm="1">
        <f t="array" ref="BA80">IF(W80="",0,SUMPRODUCT((CA4:CA795="Fruits a coque")*(CB4:CB795="ALERTE")*(COUNTIF(AI80,"*"&amp;CC4:CC795&amp;"*")&gt;0)*1))</f>
        <v>0</v>
      </c>
      <c r="BB80" s="6625" cm="1">
        <f t="array" ref="BB80">IF(W80="",0,SUMPRODUCT((CA4:CA795="Celeri")*(CB4:CB795="ALERTE")*(COUNTIF(AI80,"*"&amp;CC4:CC795&amp;"*")&gt;0)*1))</f>
        <v>0</v>
      </c>
      <c r="BC80" s="6625" cm="1">
        <f t="array" ref="BC80">IF(W80="",0,SUMPRODUCT((CA4:CA795="Moutarde")*(CB4:CB795="ALERTE")*(COUNTIF(AI80,"*"&amp;CC4:CC795&amp;"*")&gt;0)*1))</f>
        <v>0</v>
      </c>
      <c r="BD80" s="6625" cm="1">
        <f t="array" ref="BD80">IF(W80="",0,SUMPRODUCT((CA4:CA795="Sesame")*(CB4:CB795="ALERTE")*(COUNTIF(AI80,"*"&amp;CC4:CC795&amp;"*")&gt;0)*1))</f>
        <v>0</v>
      </c>
      <c r="BE80" s="6625" cm="1">
        <f t="array" ref="BE80">IF(W80="",0,SUMPRODUCT((CA4:CA795="Sulfites")*(CB4:CB795="ALERTE")*(COUNTIF(AI80,"*"&amp;CC4:CC795&amp;"*")&gt;0)*1))</f>
        <v>0</v>
      </c>
      <c r="BF80" s="6625" cm="1">
        <f t="array" ref="BF80">IF(W80="",0,SUMPRODUCT((CA4:CA795="Lupin")*(CB4:CB795="ALERTE")*(COUNTIF(AI80,"*"&amp;CC4:CC795&amp;"*")&gt;0)*1))</f>
        <v>0</v>
      </c>
      <c r="BG80" s="6625" cm="1">
        <f t="array" ref="BG80">IF(W80="",0,SUMPRODUCT((CA4:CA795="Mollusques")*(CB4:CB795="EXCL")*(COUNTIF(AI80,"*"&amp;CC4:CC795&amp;"*")&gt;0)*1))</f>
        <v>0</v>
      </c>
      <c r="BH80" s="6625" cm="1">
        <f t="array" ref="BH80">IF(W80="",0,SUMPRODUCT((CA4:CA795="Mollusques")*(CB4:CB795="ALERTE")*(COUNTIF(AI80,"*"&amp;CC4:CC795&amp;"*")&gt;0)*1))</f>
        <v>0</v>
      </c>
      <c r="BI80" s="6625" t="str">
        <f t="shared" si="25"/>
        <v/>
      </c>
      <c r="BJ80" s="6625" t="str">
        <f t="shared" si="26"/>
        <v/>
      </c>
      <c r="BK80" s="6625" t="str">
        <f t="shared" si="27"/>
        <v/>
      </c>
      <c r="BL80" s="6625" t="str">
        <f t="shared" si="28"/>
        <v/>
      </c>
      <c r="BM80" s="6625" t="str">
        <f t="shared" si="29"/>
        <v/>
      </c>
      <c r="BN80" s="6625" t="str">
        <f t="shared" si="30"/>
        <v/>
      </c>
      <c r="BO80" s="6625" t="str">
        <f t="shared" si="31"/>
        <v/>
      </c>
      <c r="BP80" s="6625" t="str">
        <f t="shared" si="32"/>
        <v/>
      </c>
      <c r="BQ80" s="6625" t="str">
        <f t="shared" si="33"/>
        <v/>
      </c>
      <c r="BR80" s="6625" t="str">
        <f t="shared" si="34"/>
        <v/>
      </c>
      <c r="BS80" s="6625" t="str">
        <f t="shared" si="35"/>
        <v/>
      </c>
      <c r="BT80" s="6625" t="str">
        <f t="shared" si="36"/>
        <v/>
      </c>
      <c r="BU80" s="6625" t="str">
        <f t="shared" si="37"/>
        <v/>
      </c>
      <c r="BV80" s="6625" t="str">
        <f t="shared" si="38"/>
        <v/>
      </c>
      <c r="BW80" s="6625" t="str">
        <f t="shared" si="39"/>
        <v/>
      </c>
      <c r="BX80" s="6625" t="str">
        <f t="shared" si="40"/>
        <v/>
      </c>
      <c r="CA80" s="3170" t="s">
        <v>16449</v>
      </c>
      <c r="CB80" s="7634" t="s">
        <v>16255</v>
      </c>
      <c r="CC80" s="3170" t="s">
        <v>16489</v>
      </c>
      <c r="CD80" s="3170" t="s">
        <v>16490</v>
      </c>
    </row>
    <row r="81" spans="2:82" ht="30" customHeight="1">
      <c r="B81" s="7661" t="str">
        <f t="shared" si="0"/>
        <v/>
      </c>
      <c r="C81" s="7661" t="str">
        <f t="shared" si="1"/>
        <v/>
      </c>
      <c r="D81" s="7661" t="str">
        <f t="shared" si="2"/>
        <v/>
      </c>
      <c r="E81" s="7661">
        <f>IF(H80&lt;&gt;"",E80,IF(E80="","",IFERROR(MATCH(TRUE(),INDEX(INDEX($K:$K,E80+1):$K$203&lt;&gt;"",0),0)+E80,"")))</f>
        <v>256</v>
      </c>
      <c r="F81" s="7661">
        <f t="shared" si="41"/>
        <v>0</v>
      </c>
      <c r="G81" s="7661" t="str">
        <f t="shared" si="3"/>
        <v>0</v>
      </c>
      <c r="H81" s="7672" t="str">
        <f t="shared" si="4"/>
        <v/>
      </c>
      <c r="I81" s="7683" t="str">
        <f t="shared" si="5"/>
        <v/>
      </c>
      <c r="J81" s="7673" t="str">
        <f>IF(K81="","",COUNTIF($K$18:K81,"&lt;&gt;"))</f>
        <v/>
      </c>
      <c r="K81" s="7674"/>
      <c r="L81" s="7673" t="str">
        <f t="shared" si="6"/>
        <v/>
      </c>
      <c r="M81" s="7630">
        <f t="shared" si="7"/>
        <v>1</v>
      </c>
      <c r="N81" s="7675">
        <f t="shared" si="8"/>
        <v>64</v>
      </c>
      <c r="O81" s="7676" t="str">
        <f t="shared" si="9"/>
        <v>0</v>
      </c>
      <c r="P81" s="7675">
        <f t="shared" si="10"/>
        <v>1</v>
      </c>
      <c r="Q81" s="7675">
        <f t="shared" si="11"/>
        <v>1</v>
      </c>
      <c r="S81" s="7679" t="str">
        <f t="shared" si="42"/>
        <v>0</v>
      </c>
      <c r="T81" s="7680" t="str">
        <f t="shared" si="12"/>
        <v/>
      </c>
      <c r="V81" s="7677">
        <f t="shared" si="13"/>
        <v>81</v>
      </c>
      <c r="W81" s="7678" t="str">
        <f t="shared" si="43"/>
        <v>0</v>
      </c>
      <c r="X81" s="7677" t="s">
        <v>2</v>
      </c>
      <c r="Y81" s="7702" t="str">
        <f t="shared" si="14"/>
        <v>0</v>
      </c>
      <c r="Z81" s="7703" t="str">
        <f t="shared" si="15"/>
        <v/>
      </c>
      <c r="AA81" s="7681" t="str">
        <f t="shared" si="16"/>
        <v>0</v>
      </c>
      <c r="AB81" s="7682" t="str">
        <f t="shared" si="17"/>
        <v/>
      </c>
      <c r="AC81" s="7677">
        <f t="shared" si="18"/>
        <v>0</v>
      </c>
      <c r="AD81" s="7677">
        <f t="shared" si="19"/>
        <v>0</v>
      </c>
      <c r="AE81" s="7682" t="str">
        <f t="shared" si="20"/>
        <v>aucun match</v>
      </c>
      <c r="AF81" s="6625" t="str">
        <f t="shared" si="21"/>
        <v>0</v>
      </c>
      <c r="AG81" s="6625" t="str">
        <f t="shared" si="22"/>
        <v>0</v>
      </c>
      <c r="AH81" s="6625" t="str">
        <f t="shared" si="23"/>
        <v>0</v>
      </c>
      <c r="AI81" s="6625" t="str">
        <f t="shared" si="24"/>
        <v xml:space="preserve"> 0 </v>
      </c>
      <c r="AJ81" s="6625" cm="1">
        <f t="array" ref="AJ81">IF(W81="",0,SUMPRODUCT((CA4:CA795="Gluten")*(CB4:CB795="INFO")*(COUNTIF(AI81,"*"&amp;CC4:CC795&amp;"*")&gt;0)*1))</f>
        <v>0</v>
      </c>
      <c r="AK81" s="6625" cm="1">
        <f t="array" ref="AK81">IF(W81="",0,SUMPRODUCT((CA4:CA795="Gluten")*(CB4:CB795="EXCL")*(COUNTIF(AI81,"*"&amp;CC4:CC795&amp;"*")&gt;0)*1))</f>
        <v>0</v>
      </c>
      <c r="AL81" s="6625" cm="1">
        <f t="array" ref="AL81">IF(W81="",0,SUMPRODUCT((CA4:CA795="Gluten")*(CB4:CB795="ALERTE")*(COUNTIF(AI81,"*"&amp;CC4:CC795&amp;"*")&gt;0)*1))</f>
        <v>0</v>
      </c>
      <c r="AM81" s="6625" cm="1">
        <f t="array" ref="AM81">IF(W81="",0,SUMPRODUCT((CA4:CA795="Gluten")*(CB4:CB795="SUSP")*(COUNTIF(AI81,"*"&amp;CC4:CC795&amp;"*")&gt;0)*1))</f>
        <v>0</v>
      </c>
      <c r="AN81" s="6625" cm="1">
        <f t="array" ref="AN81">IF(W81="",0,SUMPRODUCT((CA4:CA795="Crustaces")*(CB4:CB795="ALERTE")*(COUNTIF(AI81,"*"&amp;CC4:CC795&amp;"*")&gt;0)*1))</f>
        <v>0</v>
      </c>
      <c r="AO81" s="6625" cm="1">
        <f t="array" ref="AO81">IF(W81="",0,SUMPRODUCT((CA4:CA795="Oeufs")*(CB4:CB795="ALERTE")*(COUNTIF(AI81,"*"&amp;CC4:CC795&amp;"*")&gt;0)*1))</f>
        <v>0</v>
      </c>
      <c r="AP81" s="6625" cm="1">
        <f t="array" ref="AP81">IF(W81="",0,SUMPRODUCT((CA4:CA795="Poissons")*(CB4:CB795="INFO")*(COUNTIF(AI81,"*"&amp;CC4:CC795&amp;"*")&gt;0)*1))</f>
        <v>0</v>
      </c>
      <c r="AQ81" s="6625" cm="1">
        <f t="array" ref="AQ81">IF(W81="",0,SUMPRODUCT((CA4:CA795="Poissons")*(CB4:CB795="EXCL")*(COUNTIF(AI81,"*"&amp;CC4:CC795&amp;"*")&gt;0)*1))</f>
        <v>0</v>
      </c>
      <c r="AR81" s="6625" cm="1">
        <f t="array" ref="AR81">IF(W81="",0,SUMPRODUCT((CA4:CA795="Poissons")*(CB4:CB795="ALERTE")*(COUNTIF(AI81,"*"&amp;CC4:CC795&amp;"*")&gt;0)*1))</f>
        <v>0</v>
      </c>
      <c r="AS81" s="6625" cm="1">
        <f t="array" ref="AS81">IF(W81="",0,SUMPRODUCT((CA4:CA795="Arachides")*(CB4:CB795="ALERTE")*(COUNTIF(AI81,"*"&amp;CC4:CC795&amp;"*")&gt;0)*1))</f>
        <v>0</v>
      </c>
      <c r="AT81" s="6625" cm="1">
        <f t="array" ref="AT81">IF(W81="",0,SUMPRODUCT((CA4:CA795="Soja")*(CB4:CB795="INFO")*(COUNTIF(AI81,"*"&amp;CC4:CC795&amp;"*")&gt;0)*1))</f>
        <v>0</v>
      </c>
      <c r="AU81" s="6625" cm="1">
        <f t="array" ref="AU81">IF(W81="",0,SUMPRODUCT((CA4:CA795="Soja")*(CB4:CB795="ALERTE")*(COUNTIF(AI81,"*"&amp;CC4:CC795&amp;"*")&gt;0)*1))</f>
        <v>0</v>
      </c>
      <c r="AV81" s="6625" cm="1">
        <f t="array" ref="AV81">IF(W81="",0,SUMPRODUCT((CA4:CA795="Lait")*(CB4:CB795="INFO")*(COUNTIF(AI81,"*"&amp;CC4:CC795&amp;"*")&gt;0)*1))</f>
        <v>0</v>
      </c>
      <c r="AW81" s="6625" cm="1">
        <f t="array" ref="AW81">IF(W81="",0,SUMPRODUCT((CA4:CA795="Lait")*(CB4:CB795="EXCL")*(COUNTIF(AI81,"*"&amp;CC4:CC795&amp;"*")&gt;0)*1))</f>
        <v>0</v>
      </c>
      <c r="AX81" s="6625" cm="1">
        <f t="array" ref="AX81">IF(W81="",0,SUMPRODUCT((CA4:CA795="Lait")*(CB4:CB795="ALERTE")*(COUNTIF(AI81,"*"&amp;CC4:CC795&amp;"*")&gt;0)*1))</f>
        <v>0</v>
      </c>
      <c r="AY81" s="6625" cm="1">
        <f t="array" ref="AY81">IF(W81="",0,SUMPRODUCT((CA4:CA795="Lait")*(CB4:CB795="SUSP")*(COUNTIF(AI81,"*"&amp;CC4:CC795&amp;"*")&gt;0)*1))</f>
        <v>0</v>
      </c>
      <c r="AZ81" s="6625" cm="1">
        <f t="array" ref="AZ81">IF(W81="",0,SUMPRODUCT((CA4:CA795="Fruits a coque")*(CB4:CB795="EXCL")*(COUNTIF(AI81,"*"&amp;CC4:CC795&amp;"*")&gt;0)*1))</f>
        <v>0</v>
      </c>
      <c r="BA81" s="6625" cm="1">
        <f t="array" ref="BA81">IF(W81="",0,SUMPRODUCT((CA4:CA795="Fruits a coque")*(CB4:CB795="ALERTE")*(COUNTIF(AI81,"*"&amp;CC4:CC795&amp;"*")&gt;0)*1))</f>
        <v>0</v>
      </c>
      <c r="BB81" s="6625" cm="1">
        <f t="array" ref="BB81">IF(W81="",0,SUMPRODUCT((CA4:CA795="Celeri")*(CB4:CB795="ALERTE")*(COUNTIF(AI81,"*"&amp;CC4:CC795&amp;"*")&gt;0)*1))</f>
        <v>0</v>
      </c>
      <c r="BC81" s="6625" cm="1">
        <f t="array" ref="BC81">IF(W81="",0,SUMPRODUCT((CA4:CA795="Moutarde")*(CB4:CB795="ALERTE")*(COUNTIF(AI81,"*"&amp;CC4:CC795&amp;"*")&gt;0)*1))</f>
        <v>0</v>
      </c>
      <c r="BD81" s="6625" cm="1">
        <f t="array" ref="BD81">IF(W81="",0,SUMPRODUCT((CA4:CA795="Sesame")*(CB4:CB795="ALERTE")*(COUNTIF(AI81,"*"&amp;CC4:CC795&amp;"*")&gt;0)*1))</f>
        <v>0</v>
      </c>
      <c r="BE81" s="6625" cm="1">
        <f t="array" ref="BE81">IF(W81="",0,SUMPRODUCT((CA4:CA795="Sulfites")*(CB4:CB795="ALERTE")*(COUNTIF(AI81,"*"&amp;CC4:CC795&amp;"*")&gt;0)*1))</f>
        <v>0</v>
      </c>
      <c r="BF81" s="6625" cm="1">
        <f t="array" ref="BF81">IF(W81="",0,SUMPRODUCT((CA4:CA795="Lupin")*(CB4:CB795="ALERTE")*(COUNTIF(AI81,"*"&amp;CC4:CC795&amp;"*")&gt;0)*1))</f>
        <v>0</v>
      </c>
      <c r="BG81" s="6625" cm="1">
        <f t="array" ref="BG81">IF(W81="",0,SUMPRODUCT((CA4:CA795="Mollusques")*(CB4:CB795="EXCL")*(COUNTIF(AI81,"*"&amp;CC4:CC795&amp;"*")&gt;0)*1))</f>
        <v>0</v>
      </c>
      <c r="BH81" s="6625" cm="1">
        <f t="array" ref="BH81">IF(W81="",0,SUMPRODUCT((CA4:CA795="Mollusques")*(CB4:CB795="ALERTE")*(COUNTIF(AI81,"*"&amp;CC4:CC795&amp;"*")&gt;0)*1))</f>
        <v>0</v>
      </c>
      <c r="BI81" s="6625" t="str">
        <f t="shared" si="25"/>
        <v/>
      </c>
      <c r="BJ81" s="6625" t="str">
        <f t="shared" si="26"/>
        <v/>
      </c>
      <c r="BK81" s="6625" t="str">
        <f t="shared" si="27"/>
        <v/>
      </c>
      <c r="BL81" s="6625" t="str">
        <f t="shared" si="28"/>
        <v/>
      </c>
      <c r="BM81" s="6625" t="str">
        <f t="shared" si="29"/>
        <v/>
      </c>
      <c r="BN81" s="6625" t="str">
        <f t="shared" si="30"/>
        <v/>
      </c>
      <c r="BO81" s="6625" t="str">
        <f t="shared" si="31"/>
        <v/>
      </c>
      <c r="BP81" s="6625" t="str">
        <f t="shared" si="32"/>
        <v/>
      </c>
      <c r="BQ81" s="6625" t="str">
        <f t="shared" si="33"/>
        <v/>
      </c>
      <c r="BR81" s="6625" t="str">
        <f t="shared" si="34"/>
        <v/>
      </c>
      <c r="BS81" s="6625" t="str">
        <f t="shared" si="35"/>
        <v/>
      </c>
      <c r="BT81" s="6625" t="str">
        <f t="shared" si="36"/>
        <v/>
      </c>
      <c r="BU81" s="6625" t="str">
        <f t="shared" si="37"/>
        <v/>
      </c>
      <c r="BV81" s="6625" t="str">
        <f t="shared" si="38"/>
        <v/>
      </c>
      <c r="BW81" s="6625" t="str">
        <f t="shared" si="39"/>
        <v/>
      </c>
      <c r="BX81" s="6625" t="str">
        <f t="shared" si="40"/>
        <v/>
      </c>
      <c r="CA81" s="3170" t="s">
        <v>16449</v>
      </c>
      <c r="CB81" s="7634" t="s">
        <v>16255</v>
      </c>
      <c r="CC81" s="3170" t="s">
        <v>16491</v>
      </c>
      <c r="CD81" s="3170" t="s">
        <v>16492</v>
      </c>
    </row>
    <row r="82" spans="2:82" ht="30" customHeight="1">
      <c r="B82" s="7661" t="str">
        <f t="shared" ref="B82:B145" si="44">IF(TRIM(SUBSTITUTE(K82,CHAR(160),""))="","",TRIM(SUBSTITUTE(SUBSTITUTE(SUBSTITUTE(SUBSTITUTE(CLEAN(K82),CHAR(160)," "),CHAR(9)," "),CHAR(10)," "),CHAR(13)," ")))</f>
        <v/>
      </c>
      <c r="C82" s="7661" t="str">
        <f t="shared" ref="C82:C145" si="45">IF(B82="","",TRIM(SUBSTITUTE(SUBSTITUTE(SUBSTITUTE(SUBSTITUTE(SUBSTITUTE(SUBSTITUTE(SUBSTITUTE(SUBSTITUTE(SUBSTITUTE(SUBSTITUTE(B82,","," "),";"," "),":"," "),"."," "),"?"," "), "!"," "),"/"," "), "("," "), ")"," "), "-"," ")))</f>
        <v/>
      </c>
      <c r="D82" s="7661" t="str">
        <f t="shared" ref="D82:D145" si="46">IF(UPPER(TRIM($N$11))="X",C82,B82)</f>
        <v/>
      </c>
      <c r="E82" s="7661">
        <f>IF(H81&lt;&gt;"",E81,IF(E81="","",IFERROR(MATCH(TRUE(),INDEX(INDEX($K:$K,E81+1):$K$203&lt;&gt;"",0),0)+E81,"")))</f>
        <v>257</v>
      </c>
      <c r="F82" s="7661">
        <f t="shared" si="41"/>
        <v>0</v>
      </c>
      <c r="G82" s="7661" t="str">
        <f t="shared" ref="G82:G145" si="47">IF(OR(F82="",M82=""),"",LEFT(F82,M82))</f>
        <v>0</v>
      </c>
      <c r="H82" s="7672" t="str">
        <f t="shared" ref="H82:H145" si="48">IF(OR(F82="",M82=""),"",TRIM(MID(F82,M82+1,99999)))</f>
        <v/>
      </c>
      <c r="I82" s="7683" t="str">
        <f t="shared" ref="I82:I145" si="49">IF(AND(F82&lt;&gt;"",$N$10&gt;0,M82&gt;$N$10),"Mot &gt; limite","")</f>
        <v/>
      </c>
      <c r="J82" s="7673" t="str">
        <f>IF(K82="","",COUNTIF($K$18:K82,"&lt;&gt;"))</f>
        <v/>
      </c>
      <c r="K82" s="7674"/>
      <c r="L82" s="7673" t="str">
        <f t="shared" ref="L82:L145" si="50">IF(TRIM(SUBSTITUTE(K82,CHAR(160),""))="","",LEN(K82))</f>
        <v/>
      </c>
      <c r="M82" s="7630">
        <f t="shared" ref="M82:M145" si="51">IF(OR(F82="",$N$10="",$N$10&lt;=0),"",IF(LEN(F82)&lt;=$N$10,LEN(F82),IFERROR(FIND("♦",SUBSTITUTE(LEFT(F82,$N$10)," ","♦",LEN(LEFT(F82,$N$10))-LEN(SUBSTITUTE(LEFT(F82,$N$10)," ","")))),FIND(" ",F82&amp;" ",$N$10+1)-1)))</f>
        <v>1</v>
      </c>
      <c r="N82" s="7675">
        <f t="shared" ref="N82:N145" si="52">IF(O82="","",ROW()-17)</f>
        <v>65</v>
      </c>
      <c r="O82" s="7676" t="str">
        <f t="shared" ref="O82:O145" si="53">G82</f>
        <v>0</v>
      </c>
      <c r="P82" s="7675">
        <f t="shared" ref="P82:P145" si="54">IF(O82="","",LEN(TRIM(O82))-LEN(SUBSTITUTE(TRIM(O82)," ",""))+1)</f>
        <v>1</v>
      </c>
      <c r="Q82" s="7675">
        <f t="shared" ref="Q82:Q145" si="55">IF(O82="","",LEN(O82))</f>
        <v>1</v>
      </c>
      <c r="S82" s="7679" t="str">
        <f t="shared" si="42"/>
        <v>0</v>
      </c>
      <c r="T82" s="7680" t="str">
        <f t="shared" si="42"/>
        <v/>
      </c>
      <c r="V82" s="7677">
        <f t="shared" ref="V82:V145" si="56">IF(W82="","",ROW())</f>
        <v>82</v>
      </c>
      <c r="W82" s="7678" t="str">
        <f t="shared" si="43"/>
        <v>0</v>
      </c>
      <c r="X82" s="7677" t="s">
        <v>2</v>
      </c>
      <c r="Y82" s="7702" t="str">
        <f t="shared" ref="Y82:Y145" si="57">IF(W82="","",TRIM(SUBSTITUTE(W82,"*",""))&amp;IF(COUNTIF(Z82,"*⚠*")&gt;0," *",""))</f>
        <v>0</v>
      </c>
      <c r="Z82" s="7703" t="str">
        <f t="shared" ref="Z82:Z145" si="58">IF(W82="","",MID(IF(BI82&lt;&gt;""," • "&amp;BI82,"")&amp;IF(BK82&lt;&gt;""," • "&amp;BK82,"")&amp;IF(BL82&lt;&gt;""," • "&amp;BL82,"")&amp;IF(BM82&lt;&gt;""," • "&amp;BM82,"")&amp;IF(BN82&lt;&gt;""," • "&amp;BN82,"")&amp;IF(BO82&lt;&gt;""," • "&amp;BO82,"")&amp;IF(BP82&lt;&gt;""," • "&amp;BP82,"")&amp;IF(BR82&lt;&gt;""," • "&amp;BR82,"")&amp;IF(BS82&lt;&gt;""," • "&amp;BS82,"")&amp;IF(BT82&lt;&gt;""," • "&amp;BT82,"")&amp;IF(BU82&lt;&gt;""," • "&amp;BU82,"")&amp;IF(BV82&lt;&gt;""," • "&amp;BV82,"")&amp;IF(BW82&lt;&gt;""," • "&amp;BW82,"")&amp;IF(BX82&lt;&gt;""," • "&amp;BX82,""),4,32767))</f>
        <v/>
      </c>
      <c r="AA82" s="7681" t="str">
        <f t="shared" ref="AA82:AA145" si="59">IF(W82="","",TRIM(W82)&amp;IF(AC82&gt;0," *",""))</f>
        <v>0</v>
      </c>
      <c r="AB82" s="7682" t="str">
        <f t="shared" ref="AB82:AB145" si="60">IF(W82="","",MID(IF(BJ82&lt;&gt;""," • "&amp;BJ82,"")&amp;IF(BQ82&lt;&gt;""," • "&amp;BQ82,""),4,32767))</f>
        <v/>
      </c>
      <c r="AC82" s="7677">
        <f t="shared" ref="AC82:AC145" si="61">IF(W82="","",--(BI82&lt;&gt;"")+--(BK82&lt;&gt;"")+--(BL82&lt;&gt;"")+--(BM82&lt;&gt;"")+--(BN82&lt;&gt;"")+--(BO82&lt;&gt;"")+--(BP82&lt;&gt;"")+--(BR82&lt;&gt;"")+--(BS82&lt;&gt;"")+--(BT82&lt;&gt;"")+--(BU82&lt;&gt;"")+--(BV82&lt;&gt;"")+--(BW82&lt;&gt;"")+--(BX82&lt;&gt;""))</f>
        <v>0</v>
      </c>
      <c r="AD82" s="7677">
        <f t="shared" ref="AD82:AD145" si="62">IF(W82="","",--(BJ82&lt;&gt;"")+--(BQ82&lt;&gt;""))</f>
        <v>0</v>
      </c>
      <c r="AE82" s="7682" t="str">
        <f t="shared" ref="AE82:AE145" si="63">IF(W82="","",IF(Z82&lt;&gt;"",Z82,IF(AB82&lt;&gt;"",AB82,"aucun match")))</f>
        <v>aucun match</v>
      </c>
      <c r="AF82" s="6625" t="str">
        <f t="shared" ref="AF82:AF145" si="64">IF(W82="","",LOWER(W82))</f>
        <v>0</v>
      </c>
      <c r="AG82" s="6625" t="str">
        <f t="shared" ref="AG82:AG145" si="65">IF(AF82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F82,"œ","oe"),"æ","ae"),"à","a"),"á","a"),"â","a"),"ä","a"),"ã","a"),"å","a"),"ç","c"),"è","e"),"é","e"),"ê","e"),"ë","e"),"ì","i"),"í","i"),"î","i"),"ï","i"),"ñ","n"),"ò","o"),"ó","o"),"ô","o"),"ö","o"),"õ","o"),"ù","u"),"ú","u"),"û","u"),"ü","u"),"ý","y"),"ÿ","y"))</f>
        <v>0</v>
      </c>
      <c r="AH82" s="6625" t="str">
        <f t="shared" ref="AH82:AH145" si="66">IF(AG82="","",SUBSTITUTE(SUBSTITUTE(SUBSTITUTE(SUBSTITUTE(SUBSTITUTE(SUBSTITUTE(SUBSTITUTE(SUBSTITUTE(SUBSTITUTE(SUBSTITUTE(SUBSTITUTE(SUBSTITUTE(SUBSTITUTE(SUBSTITUTE(SUBSTITUTE(SUBSTITUTE(SUBSTITUTE(AG82,CHAR(10)," "),CHAR(13)," "),","," "),"."," "),":"," "),"/"," "),"-"," "),"_"," "),CHAR(34)," "),CHAR(40)," "),CHAR(41)," "),CHAR(39)," "),"?"," "),"!"," "),"+"," "),"*"," "),"&amp;"," "))</f>
        <v>0</v>
      </c>
      <c r="AI82" s="6625" t="str">
        <f t="shared" ref="AI82:AI145" si="67">IF(AH82="",""," "&amp;TRIM(SUBSTITUTE(SUBSTITUTE(SUBSTITUTE(AH82,"  "," "),"  "," "),"  "," "))&amp;" ")</f>
        <v xml:space="preserve"> 0 </v>
      </c>
      <c r="AJ82" s="6625" cm="1">
        <f t="array" ref="AJ82">IF(W82="",0,SUMPRODUCT((CA4:CA795="Gluten")*(CB4:CB795="INFO")*(COUNTIF(AI82,"*"&amp;CC4:CC795&amp;"*")&gt;0)*1))</f>
        <v>0</v>
      </c>
      <c r="AK82" s="6625" cm="1">
        <f t="array" ref="AK82">IF(W82="",0,SUMPRODUCT((CA4:CA795="Gluten")*(CB4:CB795="EXCL")*(COUNTIF(AI82,"*"&amp;CC4:CC795&amp;"*")&gt;0)*1))</f>
        <v>0</v>
      </c>
      <c r="AL82" s="6625" cm="1">
        <f t="array" ref="AL82">IF(W82="",0,SUMPRODUCT((CA4:CA795="Gluten")*(CB4:CB795="ALERTE")*(COUNTIF(AI82,"*"&amp;CC4:CC795&amp;"*")&gt;0)*1))</f>
        <v>0</v>
      </c>
      <c r="AM82" s="6625" cm="1">
        <f t="array" ref="AM82">IF(W82="",0,SUMPRODUCT((CA4:CA795="Gluten")*(CB4:CB795="SUSP")*(COUNTIF(AI82,"*"&amp;CC4:CC795&amp;"*")&gt;0)*1))</f>
        <v>0</v>
      </c>
      <c r="AN82" s="6625" cm="1">
        <f t="array" ref="AN82">IF(W82="",0,SUMPRODUCT((CA4:CA795="Crustaces")*(CB4:CB795="ALERTE")*(COUNTIF(AI82,"*"&amp;CC4:CC795&amp;"*")&gt;0)*1))</f>
        <v>0</v>
      </c>
      <c r="AO82" s="6625" cm="1">
        <f t="array" ref="AO82">IF(W82="",0,SUMPRODUCT((CA4:CA795="Oeufs")*(CB4:CB795="ALERTE")*(COUNTIF(AI82,"*"&amp;CC4:CC795&amp;"*")&gt;0)*1))</f>
        <v>0</v>
      </c>
      <c r="AP82" s="6625" cm="1">
        <f t="array" ref="AP82">IF(W82="",0,SUMPRODUCT((CA4:CA795="Poissons")*(CB4:CB795="INFO")*(COUNTIF(AI82,"*"&amp;CC4:CC795&amp;"*")&gt;0)*1))</f>
        <v>0</v>
      </c>
      <c r="AQ82" s="6625" cm="1">
        <f t="array" ref="AQ82">IF(W82="",0,SUMPRODUCT((CA4:CA795="Poissons")*(CB4:CB795="EXCL")*(COUNTIF(AI82,"*"&amp;CC4:CC795&amp;"*")&gt;0)*1))</f>
        <v>0</v>
      </c>
      <c r="AR82" s="6625" cm="1">
        <f t="array" ref="AR82">IF(W82="",0,SUMPRODUCT((CA4:CA795="Poissons")*(CB4:CB795="ALERTE")*(COUNTIF(AI82,"*"&amp;CC4:CC795&amp;"*")&gt;0)*1))</f>
        <v>0</v>
      </c>
      <c r="AS82" s="6625" cm="1">
        <f t="array" ref="AS82">IF(W82="",0,SUMPRODUCT((CA4:CA795="Arachides")*(CB4:CB795="ALERTE")*(COUNTIF(AI82,"*"&amp;CC4:CC795&amp;"*")&gt;0)*1))</f>
        <v>0</v>
      </c>
      <c r="AT82" s="6625" cm="1">
        <f t="array" ref="AT82">IF(W82="",0,SUMPRODUCT((CA4:CA795="Soja")*(CB4:CB795="INFO")*(COUNTIF(AI82,"*"&amp;CC4:CC795&amp;"*")&gt;0)*1))</f>
        <v>0</v>
      </c>
      <c r="AU82" s="6625" cm="1">
        <f t="array" ref="AU82">IF(W82="",0,SUMPRODUCT((CA4:CA795="Soja")*(CB4:CB795="ALERTE")*(COUNTIF(AI82,"*"&amp;CC4:CC795&amp;"*")&gt;0)*1))</f>
        <v>0</v>
      </c>
      <c r="AV82" s="6625" cm="1">
        <f t="array" ref="AV82">IF(W82="",0,SUMPRODUCT((CA4:CA795="Lait")*(CB4:CB795="INFO")*(COUNTIF(AI82,"*"&amp;CC4:CC795&amp;"*")&gt;0)*1))</f>
        <v>0</v>
      </c>
      <c r="AW82" s="6625" cm="1">
        <f t="array" ref="AW82">IF(W82="",0,SUMPRODUCT((CA4:CA795="Lait")*(CB4:CB795="EXCL")*(COUNTIF(AI82,"*"&amp;CC4:CC795&amp;"*")&gt;0)*1))</f>
        <v>0</v>
      </c>
      <c r="AX82" s="6625" cm="1">
        <f t="array" ref="AX82">IF(W82="",0,SUMPRODUCT((CA4:CA795="Lait")*(CB4:CB795="ALERTE")*(COUNTIF(AI82,"*"&amp;CC4:CC795&amp;"*")&gt;0)*1))</f>
        <v>0</v>
      </c>
      <c r="AY82" s="6625" cm="1">
        <f t="array" ref="AY82">IF(W82="",0,SUMPRODUCT((CA4:CA795="Lait")*(CB4:CB795="SUSP")*(COUNTIF(AI82,"*"&amp;CC4:CC795&amp;"*")&gt;0)*1))</f>
        <v>0</v>
      </c>
      <c r="AZ82" s="6625" cm="1">
        <f t="array" ref="AZ82">IF(W82="",0,SUMPRODUCT((CA4:CA795="Fruits a coque")*(CB4:CB795="EXCL")*(COUNTIF(AI82,"*"&amp;CC4:CC795&amp;"*")&gt;0)*1))</f>
        <v>0</v>
      </c>
      <c r="BA82" s="6625" cm="1">
        <f t="array" ref="BA82">IF(W82="",0,SUMPRODUCT((CA4:CA795="Fruits a coque")*(CB4:CB795="ALERTE")*(COUNTIF(AI82,"*"&amp;CC4:CC795&amp;"*")&gt;0)*1))</f>
        <v>0</v>
      </c>
      <c r="BB82" s="6625" cm="1">
        <f t="array" ref="BB82">IF(W82="",0,SUMPRODUCT((CA4:CA795="Celeri")*(CB4:CB795="ALERTE")*(COUNTIF(AI82,"*"&amp;CC4:CC795&amp;"*")&gt;0)*1))</f>
        <v>0</v>
      </c>
      <c r="BC82" s="6625" cm="1">
        <f t="array" ref="BC82">IF(W82="",0,SUMPRODUCT((CA4:CA795="Moutarde")*(CB4:CB795="ALERTE")*(COUNTIF(AI82,"*"&amp;CC4:CC795&amp;"*")&gt;0)*1))</f>
        <v>0</v>
      </c>
      <c r="BD82" s="6625" cm="1">
        <f t="array" ref="BD82">IF(W82="",0,SUMPRODUCT((CA4:CA795="Sesame")*(CB4:CB795="ALERTE")*(COUNTIF(AI82,"*"&amp;CC4:CC795&amp;"*")&gt;0)*1))</f>
        <v>0</v>
      </c>
      <c r="BE82" s="6625" cm="1">
        <f t="array" ref="BE82">IF(W82="",0,SUMPRODUCT((CA4:CA795="Sulfites")*(CB4:CB795="ALERTE")*(COUNTIF(AI82,"*"&amp;CC4:CC795&amp;"*")&gt;0)*1))</f>
        <v>0</v>
      </c>
      <c r="BF82" s="6625" cm="1">
        <f t="array" ref="BF82">IF(W82="",0,SUMPRODUCT((CA4:CA795="Lupin")*(CB4:CB795="ALERTE")*(COUNTIF(AI82,"*"&amp;CC4:CC795&amp;"*")&gt;0)*1))</f>
        <v>0</v>
      </c>
      <c r="BG82" s="6625" cm="1">
        <f t="array" ref="BG82">IF(W82="",0,SUMPRODUCT((CA4:CA795="Mollusques")*(CB4:CB795="EXCL")*(COUNTIF(AI82,"*"&amp;CC4:CC795&amp;"*")&gt;0)*1))</f>
        <v>0</v>
      </c>
      <c r="BH82" s="6625" cm="1">
        <f t="array" ref="BH82">IF(W82="",0,SUMPRODUCT((CA4:CA795="Mollusques")*(CB4:CB795="ALERTE")*(COUNTIF(AI82,"*"&amp;CC4:CC795&amp;"*")&gt;0)*1))</f>
        <v>0</v>
      </c>
      <c r="BI82" s="6625" t="str">
        <f t="shared" ref="BI82:BI145" si="68">IF(W82="","",IF(AJ82&gt;0,"info Gluten",IF(AND(AL82&gt;0,AK82=0),"⚠ Gluten","")))</f>
        <v/>
      </c>
      <c r="BJ82" s="6625" t="str">
        <f t="shared" ref="BJ82:BJ145" si="69">IF(W82="","",IF(AND(BI82="",AM82&gt;0,AK82=0),"suspicion Gluten",""))</f>
        <v/>
      </c>
      <c r="BK82" s="6625" t="str">
        <f t="shared" ref="BK82:BK145" si="70">IF(W82="","",IF(AN82&gt;0,"⚠ Crustaces",""))</f>
        <v/>
      </c>
      <c r="BL82" s="6625" t="str">
        <f t="shared" ref="BL82:BL145" si="71">IF(W82="","",IF(AO82&gt;0,"⚠ Oeufs",""))</f>
        <v/>
      </c>
      <c r="BM82" s="6625" t="str">
        <f t="shared" ref="BM82:BM145" si="72">IF(W82="","",IF(AP82&gt;0,"info Poissons",IF(AND(AR82&gt;0,AQ82=0),"⚠ Poissons","")))</f>
        <v/>
      </c>
      <c r="BN82" s="6625" t="str">
        <f t="shared" ref="BN82:BN145" si="73">IF(W82="","",IF(AS82&gt;0,"⚠ Arachides",""))</f>
        <v/>
      </c>
      <c r="BO82" s="6625" t="str">
        <f t="shared" ref="BO82:BO145" si="74">IF(W82="","",IF(AT82&gt;0,"info Soja",IF(AU82&gt;0,"⚠ Soja","")))</f>
        <v/>
      </c>
      <c r="BP82" s="6625" t="str">
        <f t="shared" ref="BP82:BP145" si="75">IF(W82="","",IF(AV82&gt;0,"info Lait",IF(AND(AX82&gt;0,AW82=0),"⚠ Lait","")))</f>
        <v/>
      </c>
      <c r="BQ82" s="6625" t="str">
        <f t="shared" ref="BQ82:BQ145" si="76">IF(W82="","",IF(AND(BP82="",AY82&gt;0,AW82=0),"suspicion Lait",""))</f>
        <v/>
      </c>
      <c r="BR82" s="6625" t="str">
        <f t="shared" ref="BR82:BR145" si="77">IF(W82="","",IF(AND(BA82&gt;0,AZ82=0),"⚠ Fruits a coque",""))</f>
        <v/>
      </c>
      <c r="BS82" s="6625" t="str">
        <f t="shared" ref="BS82:BS145" si="78">IF(W82="","",IF(BB82&gt;0,"⚠ Celeri",""))</f>
        <v/>
      </c>
      <c r="BT82" s="6625" t="str">
        <f t="shared" ref="BT82:BT145" si="79">IF(W82="","",IF(BC82&gt;0,"⚠ Moutarde",""))</f>
        <v/>
      </c>
      <c r="BU82" s="6625" t="str">
        <f t="shared" ref="BU82:BU145" si="80">IF(W82="","",IF(BD82&gt;0,"⚠ Sesame",""))</f>
        <v/>
      </c>
      <c r="BV82" s="6625" t="str">
        <f t="shared" ref="BV82:BV145" si="81">IF(W82="","",IF(BE82&gt;0,"⚠ Sulfites",""))</f>
        <v/>
      </c>
      <c r="BW82" s="6625" t="str">
        <f t="shared" ref="BW82:BW145" si="82">IF(W82="","",IF(BF82&gt;0,"⚠ Lupin",""))</f>
        <v/>
      </c>
      <c r="BX82" s="6625" t="str">
        <f t="shared" ref="BX82:BX145" si="83">IF(W82="","",IF(AND(BH82&gt;0,BG82=0),"⚠ Mollusques",""))</f>
        <v/>
      </c>
      <c r="CA82" s="3170" t="s">
        <v>16449</v>
      </c>
      <c r="CB82" s="7634" t="s">
        <v>16255</v>
      </c>
      <c r="CC82" s="3170" t="s">
        <v>16493</v>
      </c>
      <c r="CD82" s="3170" t="s">
        <v>16494</v>
      </c>
    </row>
    <row r="83" spans="2:82" ht="30" customHeight="1">
      <c r="B83" s="7661" t="str">
        <f t="shared" si="44"/>
        <v/>
      </c>
      <c r="C83" s="7661" t="str">
        <f t="shared" si="45"/>
        <v/>
      </c>
      <c r="D83" s="7661" t="str">
        <f t="shared" si="46"/>
        <v/>
      </c>
      <c r="E83" s="7661">
        <f>IF(H82&lt;&gt;"",E82,IF(E82="","",IFERROR(MATCH(TRUE(),INDEX(INDEX($K:$K,E82+1):$K$203&lt;&gt;"",0),0)+E82,"")))</f>
        <v>258</v>
      </c>
      <c r="F83" s="7661">
        <f t="shared" ref="F83:F146" si="84">IF(E83="","",IF(H82&lt;&gt;"",H82,INDEX($D:$D,E83)))</f>
        <v>0</v>
      </c>
      <c r="G83" s="7661" t="str">
        <f t="shared" si="47"/>
        <v>0</v>
      </c>
      <c r="H83" s="7672" t="str">
        <f t="shared" si="48"/>
        <v/>
      </c>
      <c r="I83" s="7683" t="str">
        <f t="shared" si="49"/>
        <v/>
      </c>
      <c r="J83" s="7673" t="str">
        <f>IF(K83="","",COUNTIF($K$18:K83,"&lt;&gt;"))</f>
        <v/>
      </c>
      <c r="K83" s="7674"/>
      <c r="L83" s="7673" t="str">
        <f t="shared" si="50"/>
        <v/>
      </c>
      <c r="M83" s="7630">
        <f t="shared" si="51"/>
        <v>1</v>
      </c>
      <c r="N83" s="7675">
        <f t="shared" si="52"/>
        <v>66</v>
      </c>
      <c r="O83" s="7676" t="str">
        <f t="shared" si="53"/>
        <v>0</v>
      </c>
      <c r="P83" s="7675">
        <f t="shared" si="54"/>
        <v>1</v>
      </c>
      <c r="Q83" s="7675">
        <f t="shared" si="55"/>
        <v>1</v>
      </c>
      <c r="S83" s="7679" t="str">
        <f t="shared" ref="S83:T114" si="85">Y83</f>
        <v>0</v>
      </c>
      <c r="T83" s="7680" t="str">
        <f t="shared" si="85"/>
        <v/>
      </c>
      <c r="V83" s="7677">
        <f t="shared" si="56"/>
        <v>83</v>
      </c>
      <c r="W83" s="7678" t="str">
        <f t="shared" ref="W83:W146" si="86">O83</f>
        <v>0</v>
      </c>
      <c r="X83" s="7677" t="s">
        <v>2</v>
      </c>
      <c r="Y83" s="7702" t="str">
        <f t="shared" si="57"/>
        <v>0</v>
      </c>
      <c r="Z83" s="7703" t="str">
        <f t="shared" si="58"/>
        <v/>
      </c>
      <c r="AA83" s="7681" t="str">
        <f t="shared" si="59"/>
        <v>0</v>
      </c>
      <c r="AB83" s="7682" t="str">
        <f t="shared" si="60"/>
        <v/>
      </c>
      <c r="AC83" s="7677">
        <f t="shared" si="61"/>
        <v>0</v>
      </c>
      <c r="AD83" s="7677">
        <f t="shared" si="62"/>
        <v>0</v>
      </c>
      <c r="AE83" s="7682" t="str">
        <f t="shared" si="63"/>
        <v>aucun match</v>
      </c>
      <c r="AF83" s="6625" t="str">
        <f t="shared" si="64"/>
        <v>0</v>
      </c>
      <c r="AG83" s="6625" t="str">
        <f t="shared" si="65"/>
        <v>0</v>
      </c>
      <c r="AH83" s="6625" t="str">
        <f t="shared" si="66"/>
        <v>0</v>
      </c>
      <c r="AI83" s="6625" t="str">
        <f t="shared" si="67"/>
        <v xml:space="preserve"> 0 </v>
      </c>
      <c r="AJ83" s="6625" cm="1">
        <f t="array" ref="AJ83">IF(W83="",0,SUMPRODUCT((CA4:CA795="Gluten")*(CB4:CB795="INFO")*(COUNTIF(AI83,"*"&amp;CC4:CC795&amp;"*")&gt;0)*1))</f>
        <v>0</v>
      </c>
      <c r="AK83" s="6625" cm="1">
        <f t="array" ref="AK83">IF(W83="",0,SUMPRODUCT((CA4:CA795="Gluten")*(CB4:CB795="EXCL")*(COUNTIF(AI83,"*"&amp;CC4:CC795&amp;"*")&gt;0)*1))</f>
        <v>0</v>
      </c>
      <c r="AL83" s="6625" cm="1">
        <f t="array" ref="AL83">IF(W83="",0,SUMPRODUCT((CA4:CA795="Gluten")*(CB4:CB795="ALERTE")*(COUNTIF(AI83,"*"&amp;CC4:CC795&amp;"*")&gt;0)*1))</f>
        <v>0</v>
      </c>
      <c r="AM83" s="6625" cm="1">
        <f t="array" ref="AM83">IF(W83="",0,SUMPRODUCT((CA4:CA795="Gluten")*(CB4:CB795="SUSP")*(COUNTIF(AI83,"*"&amp;CC4:CC795&amp;"*")&gt;0)*1))</f>
        <v>0</v>
      </c>
      <c r="AN83" s="6625" cm="1">
        <f t="array" ref="AN83">IF(W83="",0,SUMPRODUCT((CA4:CA795="Crustaces")*(CB4:CB795="ALERTE")*(COUNTIF(AI83,"*"&amp;CC4:CC795&amp;"*")&gt;0)*1))</f>
        <v>0</v>
      </c>
      <c r="AO83" s="6625" cm="1">
        <f t="array" ref="AO83">IF(W83="",0,SUMPRODUCT((CA4:CA795="Oeufs")*(CB4:CB795="ALERTE")*(COUNTIF(AI83,"*"&amp;CC4:CC795&amp;"*")&gt;0)*1))</f>
        <v>0</v>
      </c>
      <c r="AP83" s="6625" cm="1">
        <f t="array" ref="AP83">IF(W83="",0,SUMPRODUCT((CA4:CA795="Poissons")*(CB4:CB795="INFO")*(COUNTIF(AI83,"*"&amp;CC4:CC795&amp;"*")&gt;0)*1))</f>
        <v>0</v>
      </c>
      <c r="AQ83" s="6625" cm="1">
        <f t="array" ref="AQ83">IF(W83="",0,SUMPRODUCT((CA4:CA795="Poissons")*(CB4:CB795="EXCL")*(COUNTIF(AI83,"*"&amp;CC4:CC795&amp;"*")&gt;0)*1))</f>
        <v>0</v>
      </c>
      <c r="AR83" s="6625" cm="1">
        <f t="array" ref="AR83">IF(W83="",0,SUMPRODUCT((CA4:CA795="Poissons")*(CB4:CB795="ALERTE")*(COUNTIF(AI83,"*"&amp;CC4:CC795&amp;"*")&gt;0)*1))</f>
        <v>0</v>
      </c>
      <c r="AS83" s="6625" cm="1">
        <f t="array" ref="AS83">IF(W83="",0,SUMPRODUCT((CA4:CA795="Arachides")*(CB4:CB795="ALERTE")*(COUNTIF(AI83,"*"&amp;CC4:CC795&amp;"*")&gt;0)*1))</f>
        <v>0</v>
      </c>
      <c r="AT83" s="6625" cm="1">
        <f t="array" ref="AT83">IF(W83="",0,SUMPRODUCT((CA4:CA795="Soja")*(CB4:CB795="INFO")*(COUNTIF(AI83,"*"&amp;CC4:CC795&amp;"*")&gt;0)*1))</f>
        <v>0</v>
      </c>
      <c r="AU83" s="6625" cm="1">
        <f t="array" ref="AU83">IF(W83="",0,SUMPRODUCT((CA4:CA795="Soja")*(CB4:CB795="ALERTE")*(COUNTIF(AI83,"*"&amp;CC4:CC795&amp;"*")&gt;0)*1))</f>
        <v>0</v>
      </c>
      <c r="AV83" s="6625" cm="1">
        <f t="array" ref="AV83">IF(W83="",0,SUMPRODUCT((CA4:CA795="Lait")*(CB4:CB795="INFO")*(COUNTIF(AI83,"*"&amp;CC4:CC795&amp;"*")&gt;0)*1))</f>
        <v>0</v>
      </c>
      <c r="AW83" s="6625" cm="1">
        <f t="array" ref="AW83">IF(W83="",0,SUMPRODUCT((CA4:CA795="Lait")*(CB4:CB795="EXCL")*(COUNTIF(AI83,"*"&amp;CC4:CC795&amp;"*")&gt;0)*1))</f>
        <v>0</v>
      </c>
      <c r="AX83" s="6625" cm="1">
        <f t="array" ref="AX83">IF(W83="",0,SUMPRODUCT((CA4:CA795="Lait")*(CB4:CB795="ALERTE")*(COUNTIF(AI83,"*"&amp;CC4:CC795&amp;"*")&gt;0)*1))</f>
        <v>0</v>
      </c>
      <c r="AY83" s="6625" cm="1">
        <f t="array" ref="AY83">IF(W83="",0,SUMPRODUCT((CA4:CA795="Lait")*(CB4:CB795="SUSP")*(COUNTIF(AI83,"*"&amp;CC4:CC795&amp;"*")&gt;0)*1))</f>
        <v>0</v>
      </c>
      <c r="AZ83" s="6625" cm="1">
        <f t="array" ref="AZ83">IF(W83="",0,SUMPRODUCT((CA4:CA795="Fruits a coque")*(CB4:CB795="EXCL")*(COUNTIF(AI83,"*"&amp;CC4:CC795&amp;"*")&gt;0)*1))</f>
        <v>0</v>
      </c>
      <c r="BA83" s="6625" cm="1">
        <f t="array" ref="BA83">IF(W83="",0,SUMPRODUCT((CA4:CA795="Fruits a coque")*(CB4:CB795="ALERTE")*(COUNTIF(AI83,"*"&amp;CC4:CC795&amp;"*")&gt;0)*1))</f>
        <v>0</v>
      </c>
      <c r="BB83" s="6625" cm="1">
        <f t="array" ref="BB83">IF(W83="",0,SUMPRODUCT((CA4:CA795="Celeri")*(CB4:CB795="ALERTE")*(COUNTIF(AI83,"*"&amp;CC4:CC795&amp;"*")&gt;0)*1))</f>
        <v>0</v>
      </c>
      <c r="BC83" s="6625" cm="1">
        <f t="array" ref="BC83">IF(W83="",0,SUMPRODUCT((CA4:CA795="Moutarde")*(CB4:CB795="ALERTE")*(COUNTIF(AI83,"*"&amp;CC4:CC795&amp;"*")&gt;0)*1))</f>
        <v>0</v>
      </c>
      <c r="BD83" s="6625" cm="1">
        <f t="array" ref="BD83">IF(W83="",0,SUMPRODUCT((CA4:CA795="Sesame")*(CB4:CB795="ALERTE")*(COUNTIF(AI83,"*"&amp;CC4:CC795&amp;"*")&gt;0)*1))</f>
        <v>0</v>
      </c>
      <c r="BE83" s="6625" cm="1">
        <f t="array" ref="BE83">IF(W83="",0,SUMPRODUCT((CA4:CA795="Sulfites")*(CB4:CB795="ALERTE")*(COUNTIF(AI83,"*"&amp;CC4:CC795&amp;"*")&gt;0)*1))</f>
        <v>0</v>
      </c>
      <c r="BF83" s="6625" cm="1">
        <f t="array" ref="BF83">IF(W83="",0,SUMPRODUCT((CA4:CA795="Lupin")*(CB4:CB795="ALERTE")*(COUNTIF(AI83,"*"&amp;CC4:CC795&amp;"*")&gt;0)*1))</f>
        <v>0</v>
      </c>
      <c r="BG83" s="6625" cm="1">
        <f t="array" ref="BG83">IF(W83="",0,SUMPRODUCT((CA4:CA795="Mollusques")*(CB4:CB795="EXCL")*(COUNTIF(AI83,"*"&amp;CC4:CC795&amp;"*")&gt;0)*1))</f>
        <v>0</v>
      </c>
      <c r="BH83" s="6625" cm="1">
        <f t="array" ref="BH83">IF(W83="",0,SUMPRODUCT((CA4:CA795="Mollusques")*(CB4:CB795="ALERTE")*(COUNTIF(AI83,"*"&amp;CC4:CC795&amp;"*")&gt;0)*1))</f>
        <v>0</v>
      </c>
      <c r="BI83" s="6625" t="str">
        <f t="shared" si="68"/>
        <v/>
      </c>
      <c r="BJ83" s="6625" t="str">
        <f t="shared" si="69"/>
        <v/>
      </c>
      <c r="BK83" s="6625" t="str">
        <f t="shared" si="70"/>
        <v/>
      </c>
      <c r="BL83" s="6625" t="str">
        <f t="shared" si="71"/>
        <v/>
      </c>
      <c r="BM83" s="6625" t="str">
        <f t="shared" si="72"/>
        <v/>
      </c>
      <c r="BN83" s="6625" t="str">
        <f t="shared" si="73"/>
        <v/>
      </c>
      <c r="BO83" s="6625" t="str">
        <f t="shared" si="74"/>
        <v/>
      </c>
      <c r="BP83" s="6625" t="str">
        <f t="shared" si="75"/>
        <v/>
      </c>
      <c r="BQ83" s="6625" t="str">
        <f t="shared" si="76"/>
        <v/>
      </c>
      <c r="BR83" s="6625" t="str">
        <f t="shared" si="77"/>
        <v/>
      </c>
      <c r="BS83" s="6625" t="str">
        <f t="shared" si="78"/>
        <v/>
      </c>
      <c r="BT83" s="6625" t="str">
        <f t="shared" si="79"/>
        <v/>
      </c>
      <c r="BU83" s="6625" t="str">
        <f t="shared" si="80"/>
        <v/>
      </c>
      <c r="BV83" s="6625" t="str">
        <f t="shared" si="81"/>
        <v/>
      </c>
      <c r="BW83" s="6625" t="str">
        <f t="shared" si="82"/>
        <v/>
      </c>
      <c r="BX83" s="6625" t="str">
        <f t="shared" si="83"/>
        <v/>
      </c>
      <c r="CA83" s="3170" t="s">
        <v>16449</v>
      </c>
      <c r="CB83" s="7634" t="s">
        <v>16255</v>
      </c>
      <c r="CC83" s="3170" t="s">
        <v>16495</v>
      </c>
      <c r="CD83" s="3170" t="s">
        <v>16496</v>
      </c>
    </row>
    <row r="84" spans="2:82" ht="30" customHeight="1">
      <c r="B84" s="7661" t="str">
        <f t="shared" si="44"/>
        <v/>
      </c>
      <c r="C84" s="7661" t="str">
        <f t="shared" si="45"/>
        <v/>
      </c>
      <c r="D84" s="7661" t="str">
        <f t="shared" si="46"/>
        <v/>
      </c>
      <c r="E84" s="7661">
        <f>IF(H83&lt;&gt;"",E83,IF(E83="","",IFERROR(MATCH(TRUE(),INDEX(INDEX($K:$K,E83+1):$K$203&lt;&gt;"",0),0)+E83,"")))</f>
        <v>259</v>
      </c>
      <c r="F84" s="7661">
        <f t="shared" si="84"/>
        <v>0</v>
      </c>
      <c r="G84" s="7661" t="str">
        <f t="shared" si="47"/>
        <v>0</v>
      </c>
      <c r="H84" s="7672" t="str">
        <f t="shared" si="48"/>
        <v/>
      </c>
      <c r="I84" s="7683" t="str">
        <f t="shared" si="49"/>
        <v/>
      </c>
      <c r="J84" s="7673" t="str">
        <f>IF(K84="","",COUNTIF($K$18:K84,"&lt;&gt;"))</f>
        <v/>
      </c>
      <c r="K84" s="7674"/>
      <c r="L84" s="7673" t="str">
        <f t="shared" si="50"/>
        <v/>
      </c>
      <c r="M84" s="7630">
        <f t="shared" si="51"/>
        <v>1</v>
      </c>
      <c r="N84" s="7675">
        <f t="shared" si="52"/>
        <v>67</v>
      </c>
      <c r="O84" s="7676" t="str">
        <f t="shared" si="53"/>
        <v>0</v>
      </c>
      <c r="P84" s="7675">
        <f t="shared" si="54"/>
        <v>1</v>
      </c>
      <c r="Q84" s="7675">
        <f t="shared" si="55"/>
        <v>1</v>
      </c>
      <c r="S84" s="7679" t="str">
        <f t="shared" si="85"/>
        <v>0</v>
      </c>
      <c r="T84" s="7680" t="str">
        <f t="shared" si="85"/>
        <v/>
      </c>
      <c r="V84" s="7677">
        <f t="shared" si="56"/>
        <v>84</v>
      </c>
      <c r="W84" s="7678" t="str">
        <f t="shared" si="86"/>
        <v>0</v>
      </c>
      <c r="X84" s="7677" t="s">
        <v>2</v>
      </c>
      <c r="Y84" s="7702" t="str">
        <f t="shared" si="57"/>
        <v>0</v>
      </c>
      <c r="Z84" s="7703" t="str">
        <f t="shared" si="58"/>
        <v/>
      </c>
      <c r="AA84" s="7681" t="str">
        <f t="shared" si="59"/>
        <v>0</v>
      </c>
      <c r="AB84" s="7682" t="str">
        <f t="shared" si="60"/>
        <v/>
      </c>
      <c r="AC84" s="7677">
        <f t="shared" si="61"/>
        <v>0</v>
      </c>
      <c r="AD84" s="7677">
        <f t="shared" si="62"/>
        <v>0</v>
      </c>
      <c r="AE84" s="7682" t="str">
        <f t="shared" si="63"/>
        <v>aucun match</v>
      </c>
      <c r="AF84" s="6625" t="str">
        <f t="shared" si="64"/>
        <v>0</v>
      </c>
      <c r="AG84" s="6625" t="str">
        <f t="shared" si="65"/>
        <v>0</v>
      </c>
      <c r="AH84" s="6625" t="str">
        <f t="shared" si="66"/>
        <v>0</v>
      </c>
      <c r="AI84" s="6625" t="str">
        <f t="shared" si="67"/>
        <v xml:space="preserve"> 0 </v>
      </c>
      <c r="AJ84" s="6625" cm="1">
        <f t="array" ref="AJ84">IF(W84="",0,SUMPRODUCT((CA4:CA795="Gluten")*(CB4:CB795="INFO")*(COUNTIF(AI84,"*"&amp;CC4:CC795&amp;"*")&gt;0)*1))</f>
        <v>0</v>
      </c>
      <c r="AK84" s="6625" cm="1">
        <f t="array" ref="AK84">IF(W84="",0,SUMPRODUCT((CA4:CA795="Gluten")*(CB4:CB795="EXCL")*(COUNTIF(AI84,"*"&amp;CC4:CC795&amp;"*")&gt;0)*1))</f>
        <v>0</v>
      </c>
      <c r="AL84" s="6625" cm="1">
        <f t="array" ref="AL84">IF(W84="",0,SUMPRODUCT((CA4:CA795="Gluten")*(CB4:CB795="ALERTE")*(COUNTIF(AI84,"*"&amp;CC4:CC795&amp;"*")&gt;0)*1))</f>
        <v>0</v>
      </c>
      <c r="AM84" s="6625" cm="1">
        <f t="array" ref="AM84">IF(W84="",0,SUMPRODUCT((CA4:CA795="Gluten")*(CB4:CB795="SUSP")*(COUNTIF(AI84,"*"&amp;CC4:CC795&amp;"*")&gt;0)*1))</f>
        <v>0</v>
      </c>
      <c r="AN84" s="6625" cm="1">
        <f t="array" ref="AN84">IF(W84="",0,SUMPRODUCT((CA4:CA795="Crustaces")*(CB4:CB795="ALERTE")*(COUNTIF(AI84,"*"&amp;CC4:CC795&amp;"*")&gt;0)*1))</f>
        <v>0</v>
      </c>
      <c r="AO84" s="6625" cm="1">
        <f t="array" ref="AO84">IF(W84="",0,SUMPRODUCT((CA4:CA795="Oeufs")*(CB4:CB795="ALERTE")*(COUNTIF(AI84,"*"&amp;CC4:CC795&amp;"*")&gt;0)*1))</f>
        <v>0</v>
      </c>
      <c r="AP84" s="6625" cm="1">
        <f t="array" ref="AP84">IF(W84="",0,SUMPRODUCT((CA4:CA795="Poissons")*(CB4:CB795="INFO")*(COUNTIF(AI84,"*"&amp;CC4:CC795&amp;"*")&gt;0)*1))</f>
        <v>0</v>
      </c>
      <c r="AQ84" s="6625" cm="1">
        <f t="array" ref="AQ84">IF(W84="",0,SUMPRODUCT((CA4:CA795="Poissons")*(CB4:CB795="EXCL")*(COUNTIF(AI84,"*"&amp;CC4:CC795&amp;"*")&gt;0)*1))</f>
        <v>0</v>
      </c>
      <c r="AR84" s="6625" cm="1">
        <f t="array" ref="AR84">IF(W84="",0,SUMPRODUCT((CA4:CA795="Poissons")*(CB4:CB795="ALERTE")*(COUNTIF(AI84,"*"&amp;CC4:CC795&amp;"*")&gt;0)*1))</f>
        <v>0</v>
      </c>
      <c r="AS84" s="6625" cm="1">
        <f t="array" ref="AS84">IF(W84="",0,SUMPRODUCT((CA4:CA795="Arachides")*(CB4:CB795="ALERTE")*(COUNTIF(AI84,"*"&amp;CC4:CC795&amp;"*")&gt;0)*1))</f>
        <v>0</v>
      </c>
      <c r="AT84" s="6625" cm="1">
        <f t="array" ref="AT84">IF(W84="",0,SUMPRODUCT((CA4:CA795="Soja")*(CB4:CB795="INFO")*(COUNTIF(AI84,"*"&amp;CC4:CC795&amp;"*")&gt;0)*1))</f>
        <v>0</v>
      </c>
      <c r="AU84" s="6625" cm="1">
        <f t="array" ref="AU84">IF(W84="",0,SUMPRODUCT((CA4:CA795="Soja")*(CB4:CB795="ALERTE")*(COUNTIF(AI84,"*"&amp;CC4:CC795&amp;"*")&gt;0)*1))</f>
        <v>0</v>
      </c>
      <c r="AV84" s="6625" cm="1">
        <f t="array" ref="AV84">IF(W84="",0,SUMPRODUCT((CA4:CA795="Lait")*(CB4:CB795="INFO")*(COUNTIF(AI84,"*"&amp;CC4:CC795&amp;"*")&gt;0)*1))</f>
        <v>0</v>
      </c>
      <c r="AW84" s="6625" cm="1">
        <f t="array" ref="AW84">IF(W84="",0,SUMPRODUCT((CA4:CA795="Lait")*(CB4:CB795="EXCL")*(COUNTIF(AI84,"*"&amp;CC4:CC795&amp;"*")&gt;0)*1))</f>
        <v>0</v>
      </c>
      <c r="AX84" s="6625" cm="1">
        <f t="array" ref="AX84">IF(W84="",0,SUMPRODUCT((CA4:CA795="Lait")*(CB4:CB795="ALERTE")*(COUNTIF(AI84,"*"&amp;CC4:CC795&amp;"*")&gt;0)*1))</f>
        <v>0</v>
      </c>
      <c r="AY84" s="6625" cm="1">
        <f t="array" ref="AY84">IF(W84="",0,SUMPRODUCT((CA4:CA795="Lait")*(CB4:CB795="SUSP")*(COUNTIF(AI84,"*"&amp;CC4:CC795&amp;"*")&gt;0)*1))</f>
        <v>0</v>
      </c>
      <c r="AZ84" s="6625" cm="1">
        <f t="array" ref="AZ84">IF(W84="",0,SUMPRODUCT((CA4:CA795="Fruits a coque")*(CB4:CB795="EXCL")*(COUNTIF(AI84,"*"&amp;CC4:CC795&amp;"*")&gt;0)*1))</f>
        <v>0</v>
      </c>
      <c r="BA84" s="6625" cm="1">
        <f t="array" ref="BA84">IF(W84="",0,SUMPRODUCT((CA4:CA795="Fruits a coque")*(CB4:CB795="ALERTE")*(COUNTIF(AI84,"*"&amp;CC4:CC795&amp;"*")&gt;0)*1))</f>
        <v>0</v>
      </c>
      <c r="BB84" s="6625" cm="1">
        <f t="array" ref="BB84">IF(W84="",0,SUMPRODUCT((CA4:CA795="Celeri")*(CB4:CB795="ALERTE")*(COUNTIF(AI84,"*"&amp;CC4:CC795&amp;"*")&gt;0)*1))</f>
        <v>0</v>
      </c>
      <c r="BC84" s="6625" cm="1">
        <f t="array" ref="BC84">IF(W84="",0,SUMPRODUCT((CA4:CA795="Moutarde")*(CB4:CB795="ALERTE")*(COUNTIF(AI84,"*"&amp;CC4:CC795&amp;"*")&gt;0)*1))</f>
        <v>0</v>
      </c>
      <c r="BD84" s="6625" cm="1">
        <f t="array" ref="BD84">IF(W84="",0,SUMPRODUCT((CA4:CA795="Sesame")*(CB4:CB795="ALERTE")*(COUNTIF(AI84,"*"&amp;CC4:CC795&amp;"*")&gt;0)*1))</f>
        <v>0</v>
      </c>
      <c r="BE84" s="6625" cm="1">
        <f t="array" ref="BE84">IF(W84="",0,SUMPRODUCT((CA4:CA795="Sulfites")*(CB4:CB795="ALERTE")*(COUNTIF(AI84,"*"&amp;CC4:CC795&amp;"*")&gt;0)*1))</f>
        <v>0</v>
      </c>
      <c r="BF84" s="6625" cm="1">
        <f t="array" ref="BF84">IF(W84="",0,SUMPRODUCT((CA4:CA795="Lupin")*(CB4:CB795="ALERTE")*(COUNTIF(AI84,"*"&amp;CC4:CC795&amp;"*")&gt;0)*1))</f>
        <v>0</v>
      </c>
      <c r="BG84" s="6625" cm="1">
        <f t="array" ref="BG84">IF(W84="",0,SUMPRODUCT((CA4:CA795="Mollusques")*(CB4:CB795="EXCL")*(COUNTIF(AI84,"*"&amp;CC4:CC795&amp;"*")&gt;0)*1))</f>
        <v>0</v>
      </c>
      <c r="BH84" s="6625" cm="1">
        <f t="array" ref="BH84">IF(W84="",0,SUMPRODUCT((CA4:CA795="Mollusques")*(CB4:CB795="ALERTE")*(COUNTIF(AI84,"*"&amp;CC4:CC795&amp;"*")&gt;0)*1))</f>
        <v>0</v>
      </c>
      <c r="BI84" s="6625" t="str">
        <f t="shared" si="68"/>
        <v/>
      </c>
      <c r="BJ84" s="6625" t="str">
        <f t="shared" si="69"/>
        <v/>
      </c>
      <c r="BK84" s="6625" t="str">
        <f t="shared" si="70"/>
        <v/>
      </c>
      <c r="BL84" s="6625" t="str">
        <f t="shared" si="71"/>
        <v/>
      </c>
      <c r="BM84" s="6625" t="str">
        <f t="shared" si="72"/>
        <v/>
      </c>
      <c r="BN84" s="6625" t="str">
        <f t="shared" si="73"/>
        <v/>
      </c>
      <c r="BO84" s="6625" t="str">
        <f t="shared" si="74"/>
        <v/>
      </c>
      <c r="BP84" s="6625" t="str">
        <f t="shared" si="75"/>
        <v/>
      </c>
      <c r="BQ84" s="6625" t="str">
        <f t="shared" si="76"/>
        <v/>
      </c>
      <c r="BR84" s="6625" t="str">
        <f t="shared" si="77"/>
        <v/>
      </c>
      <c r="BS84" s="6625" t="str">
        <f t="shared" si="78"/>
        <v/>
      </c>
      <c r="BT84" s="6625" t="str">
        <f t="shared" si="79"/>
        <v/>
      </c>
      <c r="BU84" s="6625" t="str">
        <f t="shared" si="80"/>
        <v/>
      </c>
      <c r="BV84" s="6625" t="str">
        <f t="shared" si="81"/>
        <v/>
      </c>
      <c r="BW84" s="6625" t="str">
        <f t="shared" si="82"/>
        <v/>
      </c>
      <c r="BX84" s="6625" t="str">
        <f t="shared" si="83"/>
        <v/>
      </c>
      <c r="CA84" s="3170" t="s">
        <v>16449</v>
      </c>
      <c r="CB84" s="7634" t="s">
        <v>16255</v>
      </c>
      <c r="CC84" s="3170" t="s">
        <v>16497</v>
      </c>
      <c r="CD84" s="3170" t="s">
        <v>16498</v>
      </c>
    </row>
    <row r="85" spans="2:82" ht="30" customHeight="1">
      <c r="B85" s="7661" t="str">
        <f t="shared" si="44"/>
        <v/>
      </c>
      <c r="C85" s="7661" t="str">
        <f t="shared" si="45"/>
        <v/>
      </c>
      <c r="D85" s="7661" t="str">
        <f t="shared" si="46"/>
        <v/>
      </c>
      <c r="E85" s="7661">
        <f>IF(H84&lt;&gt;"",E84,IF(E84="","",IFERROR(MATCH(TRUE(),INDEX(INDEX($K:$K,E84+1):$K$203&lt;&gt;"",0),0)+E84,"")))</f>
        <v>260</v>
      </c>
      <c r="F85" s="7661">
        <f t="shared" si="84"/>
        <v>0</v>
      </c>
      <c r="G85" s="7661" t="str">
        <f t="shared" si="47"/>
        <v>0</v>
      </c>
      <c r="H85" s="7672" t="str">
        <f t="shared" si="48"/>
        <v/>
      </c>
      <c r="I85" s="7683" t="str">
        <f t="shared" si="49"/>
        <v/>
      </c>
      <c r="J85" s="7673" t="str">
        <f>IF(K85="","",COUNTIF($K$18:K85,"&lt;&gt;"))</f>
        <v/>
      </c>
      <c r="K85" s="7674"/>
      <c r="L85" s="7673" t="str">
        <f t="shared" si="50"/>
        <v/>
      </c>
      <c r="M85" s="7630">
        <f t="shared" si="51"/>
        <v>1</v>
      </c>
      <c r="N85" s="7675">
        <f t="shared" si="52"/>
        <v>68</v>
      </c>
      <c r="O85" s="7676" t="str">
        <f t="shared" si="53"/>
        <v>0</v>
      </c>
      <c r="P85" s="7675">
        <f t="shared" si="54"/>
        <v>1</v>
      </c>
      <c r="Q85" s="7675">
        <f t="shared" si="55"/>
        <v>1</v>
      </c>
      <c r="S85" s="7679" t="str">
        <f t="shared" si="85"/>
        <v>0</v>
      </c>
      <c r="T85" s="7680" t="str">
        <f t="shared" si="85"/>
        <v/>
      </c>
      <c r="V85" s="7677">
        <f t="shared" si="56"/>
        <v>85</v>
      </c>
      <c r="W85" s="7678" t="str">
        <f t="shared" si="86"/>
        <v>0</v>
      </c>
      <c r="X85" s="7677" t="s">
        <v>2</v>
      </c>
      <c r="Y85" s="7702" t="str">
        <f t="shared" si="57"/>
        <v>0</v>
      </c>
      <c r="Z85" s="7703" t="str">
        <f t="shared" si="58"/>
        <v/>
      </c>
      <c r="AA85" s="7681" t="str">
        <f t="shared" si="59"/>
        <v>0</v>
      </c>
      <c r="AB85" s="7682" t="str">
        <f t="shared" si="60"/>
        <v/>
      </c>
      <c r="AC85" s="7677">
        <f t="shared" si="61"/>
        <v>0</v>
      </c>
      <c r="AD85" s="7677">
        <f t="shared" si="62"/>
        <v>0</v>
      </c>
      <c r="AE85" s="7682" t="str">
        <f t="shared" si="63"/>
        <v>aucun match</v>
      </c>
      <c r="AF85" s="6625" t="str">
        <f t="shared" si="64"/>
        <v>0</v>
      </c>
      <c r="AG85" s="6625" t="str">
        <f t="shared" si="65"/>
        <v>0</v>
      </c>
      <c r="AH85" s="6625" t="str">
        <f t="shared" si="66"/>
        <v>0</v>
      </c>
      <c r="AI85" s="6625" t="str">
        <f t="shared" si="67"/>
        <v xml:space="preserve"> 0 </v>
      </c>
      <c r="AJ85" s="6625" cm="1">
        <f t="array" ref="AJ85">IF(W85="",0,SUMPRODUCT((CA4:CA795="Gluten")*(CB4:CB795="INFO")*(COUNTIF(AI85,"*"&amp;CC4:CC795&amp;"*")&gt;0)*1))</f>
        <v>0</v>
      </c>
      <c r="AK85" s="6625" cm="1">
        <f t="array" ref="AK85">IF(W85="",0,SUMPRODUCT((CA4:CA795="Gluten")*(CB4:CB795="EXCL")*(COUNTIF(AI85,"*"&amp;CC4:CC795&amp;"*")&gt;0)*1))</f>
        <v>0</v>
      </c>
      <c r="AL85" s="6625" cm="1">
        <f t="array" ref="AL85">IF(W85="",0,SUMPRODUCT((CA4:CA795="Gluten")*(CB4:CB795="ALERTE")*(COUNTIF(AI85,"*"&amp;CC4:CC795&amp;"*")&gt;0)*1))</f>
        <v>0</v>
      </c>
      <c r="AM85" s="6625" cm="1">
        <f t="array" ref="AM85">IF(W85="",0,SUMPRODUCT((CA4:CA795="Gluten")*(CB4:CB795="SUSP")*(COUNTIF(AI85,"*"&amp;CC4:CC795&amp;"*")&gt;0)*1))</f>
        <v>0</v>
      </c>
      <c r="AN85" s="6625" cm="1">
        <f t="array" ref="AN85">IF(W85="",0,SUMPRODUCT((CA4:CA795="Crustaces")*(CB4:CB795="ALERTE")*(COUNTIF(AI85,"*"&amp;CC4:CC795&amp;"*")&gt;0)*1))</f>
        <v>0</v>
      </c>
      <c r="AO85" s="6625" cm="1">
        <f t="array" ref="AO85">IF(W85="",0,SUMPRODUCT((CA4:CA795="Oeufs")*(CB4:CB795="ALERTE")*(COUNTIF(AI85,"*"&amp;CC4:CC795&amp;"*")&gt;0)*1))</f>
        <v>0</v>
      </c>
      <c r="AP85" s="6625" cm="1">
        <f t="array" ref="AP85">IF(W85="",0,SUMPRODUCT((CA4:CA795="Poissons")*(CB4:CB795="INFO")*(COUNTIF(AI85,"*"&amp;CC4:CC795&amp;"*")&gt;0)*1))</f>
        <v>0</v>
      </c>
      <c r="AQ85" s="6625" cm="1">
        <f t="array" ref="AQ85">IF(W85="",0,SUMPRODUCT((CA4:CA795="Poissons")*(CB4:CB795="EXCL")*(COUNTIF(AI85,"*"&amp;CC4:CC795&amp;"*")&gt;0)*1))</f>
        <v>0</v>
      </c>
      <c r="AR85" s="6625" cm="1">
        <f t="array" ref="AR85">IF(W85="",0,SUMPRODUCT((CA4:CA795="Poissons")*(CB4:CB795="ALERTE")*(COUNTIF(AI85,"*"&amp;CC4:CC795&amp;"*")&gt;0)*1))</f>
        <v>0</v>
      </c>
      <c r="AS85" s="6625" cm="1">
        <f t="array" ref="AS85">IF(W85="",0,SUMPRODUCT((CA4:CA795="Arachides")*(CB4:CB795="ALERTE")*(COUNTIF(AI85,"*"&amp;CC4:CC795&amp;"*")&gt;0)*1))</f>
        <v>0</v>
      </c>
      <c r="AT85" s="6625" cm="1">
        <f t="array" ref="AT85">IF(W85="",0,SUMPRODUCT((CA4:CA795="Soja")*(CB4:CB795="INFO")*(COUNTIF(AI85,"*"&amp;CC4:CC795&amp;"*")&gt;0)*1))</f>
        <v>0</v>
      </c>
      <c r="AU85" s="6625" cm="1">
        <f t="array" ref="AU85">IF(W85="",0,SUMPRODUCT((CA4:CA795="Soja")*(CB4:CB795="ALERTE")*(COUNTIF(AI85,"*"&amp;CC4:CC795&amp;"*")&gt;0)*1))</f>
        <v>0</v>
      </c>
      <c r="AV85" s="6625" cm="1">
        <f t="array" ref="AV85">IF(W85="",0,SUMPRODUCT((CA4:CA795="Lait")*(CB4:CB795="INFO")*(COUNTIF(AI85,"*"&amp;CC4:CC795&amp;"*")&gt;0)*1))</f>
        <v>0</v>
      </c>
      <c r="AW85" s="6625" cm="1">
        <f t="array" ref="AW85">IF(W85="",0,SUMPRODUCT((CA4:CA795="Lait")*(CB4:CB795="EXCL")*(COUNTIF(AI85,"*"&amp;CC4:CC795&amp;"*")&gt;0)*1))</f>
        <v>0</v>
      </c>
      <c r="AX85" s="6625" cm="1">
        <f t="array" ref="AX85">IF(W85="",0,SUMPRODUCT((CA4:CA795="Lait")*(CB4:CB795="ALERTE")*(COUNTIF(AI85,"*"&amp;CC4:CC795&amp;"*")&gt;0)*1))</f>
        <v>0</v>
      </c>
      <c r="AY85" s="6625" cm="1">
        <f t="array" ref="AY85">IF(W85="",0,SUMPRODUCT((CA4:CA795="Lait")*(CB4:CB795="SUSP")*(COUNTIF(AI85,"*"&amp;CC4:CC795&amp;"*")&gt;0)*1))</f>
        <v>0</v>
      </c>
      <c r="AZ85" s="6625" cm="1">
        <f t="array" ref="AZ85">IF(W85="",0,SUMPRODUCT((CA4:CA795="Fruits a coque")*(CB4:CB795="EXCL")*(COUNTIF(AI85,"*"&amp;CC4:CC795&amp;"*")&gt;0)*1))</f>
        <v>0</v>
      </c>
      <c r="BA85" s="6625" cm="1">
        <f t="array" ref="BA85">IF(W85="",0,SUMPRODUCT((CA4:CA795="Fruits a coque")*(CB4:CB795="ALERTE")*(COUNTIF(AI85,"*"&amp;CC4:CC795&amp;"*")&gt;0)*1))</f>
        <v>0</v>
      </c>
      <c r="BB85" s="6625" cm="1">
        <f t="array" ref="BB85">IF(W85="",0,SUMPRODUCT((CA4:CA795="Celeri")*(CB4:CB795="ALERTE")*(COUNTIF(AI85,"*"&amp;CC4:CC795&amp;"*")&gt;0)*1))</f>
        <v>0</v>
      </c>
      <c r="BC85" s="6625" cm="1">
        <f t="array" ref="BC85">IF(W85="",0,SUMPRODUCT((CA4:CA795="Moutarde")*(CB4:CB795="ALERTE")*(COUNTIF(AI85,"*"&amp;CC4:CC795&amp;"*")&gt;0)*1))</f>
        <v>0</v>
      </c>
      <c r="BD85" s="6625" cm="1">
        <f t="array" ref="BD85">IF(W85="",0,SUMPRODUCT((CA4:CA795="Sesame")*(CB4:CB795="ALERTE")*(COUNTIF(AI85,"*"&amp;CC4:CC795&amp;"*")&gt;0)*1))</f>
        <v>0</v>
      </c>
      <c r="BE85" s="6625" cm="1">
        <f t="array" ref="BE85">IF(W85="",0,SUMPRODUCT((CA4:CA795="Sulfites")*(CB4:CB795="ALERTE")*(COUNTIF(AI85,"*"&amp;CC4:CC795&amp;"*")&gt;0)*1))</f>
        <v>0</v>
      </c>
      <c r="BF85" s="6625" cm="1">
        <f t="array" ref="BF85">IF(W85="",0,SUMPRODUCT((CA4:CA795="Lupin")*(CB4:CB795="ALERTE")*(COUNTIF(AI85,"*"&amp;CC4:CC795&amp;"*")&gt;0)*1))</f>
        <v>0</v>
      </c>
      <c r="BG85" s="6625" cm="1">
        <f t="array" ref="BG85">IF(W85="",0,SUMPRODUCT((CA4:CA795="Mollusques")*(CB4:CB795="EXCL")*(COUNTIF(AI85,"*"&amp;CC4:CC795&amp;"*")&gt;0)*1))</f>
        <v>0</v>
      </c>
      <c r="BH85" s="6625" cm="1">
        <f t="array" ref="BH85">IF(W85="",0,SUMPRODUCT((CA4:CA795="Mollusques")*(CB4:CB795="ALERTE")*(COUNTIF(AI85,"*"&amp;CC4:CC795&amp;"*")&gt;0)*1))</f>
        <v>0</v>
      </c>
      <c r="BI85" s="6625" t="str">
        <f t="shared" si="68"/>
        <v/>
      </c>
      <c r="BJ85" s="6625" t="str">
        <f t="shared" si="69"/>
        <v/>
      </c>
      <c r="BK85" s="6625" t="str">
        <f t="shared" si="70"/>
        <v/>
      </c>
      <c r="BL85" s="6625" t="str">
        <f t="shared" si="71"/>
        <v/>
      </c>
      <c r="BM85" s="6625" t="str">
        <f t="shared" si="72"/>
        <v/>
      </c>
      <c r="BN85" s="6625" t="str">
        <f t="shared" si="73"/>
        <v/>
      </c>
      <c r="BO85" s="6625" t="str">
        <f t="shared" si="74"/>
        <v/>
      </c>
      <c r="BP85" s="6625" t="str">
        <f t="shared" si="75"/>
        <v/>
      </c>
      <c r="BQ85" s="6625" t="str">
        <f t="shared" si="76"/>
        <v/>
      </c>
      <c r="BR85" s="6625" t="str">
        <f t="shared" si="77"/>
        <v/>
      </c>
      <c r="BS85" s="6625" t="str">
        <f t="shared" si="78"/>
        <v/>
      </c>
      <c r="BT85" s="6625" t="str">
        <f t="shared" si="79"/>
        <v/>
      </c>
      <c r="BU85" s="6625" t="str">
        <f t="shared" si="80"/>
        <v/>
      </c>
      <c r="BV85" s="6625" t="str">
        <f t="shared" si="81"/>
        <v/>
      </c>
      <c r="BW85" s="6625" t="str">
        <f t="shared" si="82"/>
        <v/>
      </c>
      <c r="BX85" s="6625" t="str">
        <f t="shared" si="83"/>
        <v/>
      </c>
      <c r="CA85" s="3170" t="s">
        <v>16449</v>
      </c>
      <c r="CB85" s="7634" t="s">
        <v>16255</v>
      </c>
      <c r="CC85" s="3170" t="s">
        <v>16499</v>
      </c>
      <c r="CD85" s="3170" t="s">
        <v>16500</v>
      </c>
    </row>
    <row r="86" spans="2:82" ht="30" customHeight="1">
      <c r="B86" s="7661" t="str">
        <f t="shared" si="44"/>
        <v/>
      </c>
      <c r="C86" s="7661" t="str">
        <f t="shared" si="45"/>
        <v/>
      </c>
      <c r="D86" s="7661" t="str">
        <f t="shared" si="46"/>
        <v/>
      </c>
      <c r="E86" s="7661">
        <f>IF(H85&lt;&gt;"",E85,IF(E85="","",IFERROR(MATCH(TRUE(),INDEX(INDEX($K:$K,E85+1):$K$203&lt;&gt;"",0),0)+E85,"")))</f>
        <v>261</v>
      </c>
      <c r="F86" s="7661">
        <f t="shared" si="84"/>
        <v>0</v>
      </c>
      <c r="G86" s="7661" t="str">
        <f t="shared" si="47"/>
        <v>0</v>
      </c>
      <c r="H86" s="7672" t="str">
        <f t="shared" si="48"/>
        <v/>
      </c>
      <c r="I86" s="7683" t="str">
        <f t="shared" si="49"/>
        <v/>
      </c>
      <c r="J86" s="7673" t="str">
        <f>IF(K86="","",COUNTIF($K$18:K86,"&lt;&gt;"))</f>
        <v/>
      </c>
      <c r="K86" s="7674"/>
      <c r="L86" s="7673" t="str">
        <f t="shared" si="50"/>
        <v/>
      </c>
      <c r="M86" s="7630">
        <f t="shared" si="51"/>
        <v>1</v>
      </c>
      <c r="N86" s="7675">
        <f t="shared" si="52"/>
        <v>69</v>
      </c>
      <c r="O86" s="7676" t="str">
        <f t="shared" si="53"/>
        <v>0</v>
      </c>
      <c r="P86" s="7675">
        <f t="shared" si="54"/>
        <v>1</v>
      </c>
      <c r="Q86" s="7675">
        <f t="shared" si="55"/>
        <v>1</v>
      </c>
      <c r="S86" s="7679" t="str">
        <f t="shared" si="85"/>
        <v>0</v>
      </c>
      <c r="T86" s="7680" t="str">
        <f t="shared" si="85"/>
        <v/>
      </c>
      <c r="V86" s="7677">
        <f t="shared" si="56"/>
        <v>86</v>
      </c>
      <c r="W86" s="7678" t="str">
        <f t="shared" si="86"/>
        <v>0</v>
      </c>
      <c r="X86" s="7677" t="s">
        <v>2</v>
      </c>
      <c r="Y86" s="7702" t="str">
        <f t="shared" si="57"/>
        <v>0</v>
      </c>
      <c r="Z86" s="7703" t="str">
        <f t="shared" si="58"/>
        <v/>
      </c>
      <c r="AA86" s="7681" t="str">
        <f t="shared" si="59"/>
        <v>0</v>
      </c>
      <c r="AB86" s="7682" t="str">
        <f t="shared" si="60"/>
        <v/>
      </c>
      <c r="AC86" s="7677">
        <f t="shared" si="61"/>
        <v>0</v>
      </c>
      <c r="AD86" s="7677">
        <f t="shared" si="62"/>
        <v>0</v>
      </c>
      <c r="AE86" s="7682" t="str">
        <f t="shared" si="63"/>
        <v>aucun match</v>
      </c>
      <c r="AF86" s="6625" t="str">
        <f t="shared" si="64"/>
        <v>0</v>
      </c>
      <c r="AG86" s="6625" t="str">
        <f t="shared" si="65"/>
        <v>0</v>
      </c>
      <c r="AH86" s="6625" t="str">
        <f t="shared" si="66"/>
        <v>0</v>
      </c>
      <c r="AI86" s="6625" t="str">
        <f t="shared" si="67"/>
        <v xml:space="preserve"> 0 </v>
      </c>
      <c r="AJ86" s="6625" cm="1">
        <f t="array" ref="AJ86">IF(W86="",0,SUMPRODUCT((CA4:CA795="Gluten")*(CB4:CB795="INFO")*(COUNTIF(AI86,"*"&amp;CC4:CC795&amp;"*")&gt;0)*1))</f>
        <v>0</v>
      </c>
      <c r="AK86" s="6625" cm="1">
        <f t="array" ref="AK86">IF(W86="",0,SUMPRODUCT((CA4:CA795="Gluten")*(CB4:CB795="EXCL")*(COUNTIF(AI86,"*"&amp;CC4:CC795&amp;"*")&gt;0)*1))</f>
        <v>0</v>
      </c>
      <c r="AL86" s="6625" cm="1">
        <f t="array" ref="AL86">IF(W86="",0,SUMPRODUCT((CA4:CA795="Gluten")*(CB4:CB795="ALERTE")*(COUNTIF(AI86,"*"&amp;CC4:CC795&amp;"*")&gt;0)*1))</f>
        <v>0</v>
      </c>
      <c r="AM86" s="6625" cm="1">
        <f t="array" ref="AM86">IF(W86="",0,SUMPRODUCT((CA4:CA795="Gluten")*(CB4:CB795="SUSP")*(COUNTIF(AI86,"*"&amp;CC4:CC795&amp;"*")&gt;0)*1))</f>
        <v>0</v>
      </c>
      <c r="AN86" s="6625" cm="1">
        <f t="array" ref="AN86">IF(W86="",0,SUMPRODUCT((CA4:CA795="Crustaces")*(CB4:CB795="ALERTE")*(COUNTIF(AI86,"*"&amp;CC4:CC795&amp;"*")&gt;0)*1))</f>
        <v>0</v>
      </c>
      <c r="AO86" s="6625" cm="1">
        <f t="array" ref="AO86">IF(W86="",0,SUMPRODUCT((CA4:CA795="Oeufs")*(CB4:CB795="ALERTE")*(COUNTIF(AI86,"*"&amp;CC4:CC795&amp;"*")&gt;0)*1))</f>
        <v>0</v>
      </c>
      <c r="AP86" s="6625" cm="1">
        <f t="array" ref="AP86">IF(W86="",0,SUMPRODUCT((CA4:CA795="Poissons")*(CB4:CB795="INFO")*(COUNTIF(AI86,"*"&amp;CC4:CC795&amp;"*")&gt;0)*1))</f>
        <v>0</v>
      </c>
      <c r="AQ86" s="6625" cm="1">
        <f t="array" ref="AQ86">IF(W86="",0,SUMPRODUCT((CA4:CA795="Poissons")*(CB4:CB795="EXCL")*(COUNTIF(AI86,"*"&amp;CC4:CC795&amp;"*")&gt;0)*1))</f>
        <v>0</v>
      </c>
      <c r="AR86" s="6625" cm="1">
        <f t="array" ref="AR86">IF(W86="",0,SUMPRODUCT((CA4:CA795="Poissons")*(CB4:CB795="ALERTE")*(COUNTIF(AI86,"*"&amp;CC4:CC795&amp;"*")&gt;0)*1))</f>
        <v>0</v>
      </c>
      <c r="AS86" s="6625" cm="1">
        <f t="array" ref="AS86">IF(W86="",0,SUMPRODUCT((CA4:CA795="Arachides")*(CB4:CB795="ALERTE")*(COUNTIF(AI86,"*"&amp;CC4:CC795&amp;"*")&gt;0)*1))</f>
        <v>0</v>
      </c>
      <c r="AT86" s="6625" cm="1">
        <f t="array" ref="AT86">IF(W86="",0,SUMPRODUCT((CA4:CA795="Soja")*(CB4:CB795="INFO")*(COUNTIF(AI86,"*"&amp;CC4:CC795&amp;"*")&gt;0)*1))</f>
        <v>0</v>
      </c>
      <c r="AU86" s="6625" cm="1">
        <f t="array" ref="AU86">IF(W86="",0,SUMPRODUCT((CA4:CA795="Soja")*(CB4:CB795="ALERTE")*(COUNTIF(AI86,"*"&amp;CC4:CC795&amp;"*")&gt;0)*1))</f>
        <v>0</v>
      </c>
      <c r="AV86" s="6625" cm="1">
        <f t="array" ref="AV86">IF(W86="",0,SUMPRODUCT((CA4:CA795="Lait")*(CB4:CB795="INFO")*(COUNTIF(AI86,"*"&amp;CC4:CC795&amp;"*")&gt;0)*1))</f>
        <v>0</v>
      </c>
      <c r="AW86" s="6625" cm="1">
        <f t="array" ref="AW86">IF(W86="",0,SUMPRODUCT((CA4:CA795="Lait")*(CB4:CB795="EXCL")*(COUNTIF(AI86,"*"&amp;CC4:CC795&amp;"*")&gt;0)*1))</f>
        <v>0</v>
      </c>
      <c r="AX86" s="6625" cm="1">
        <f t="array" ref="AX86">IF(W86="",0,SUMPRODUCT((CA4:CA795="Lait")*(CB4:CB795="ALERTE")*(COUNTIF(AI86,"*"&amp;CC4:CC795&amp;"*")&gt;0)*1))</f>
        <v>0</v>
      </c>
      <c r="AY86" s="6625" cm="1">
        <f t="array" ref="AY86">IF(W86="",0,SUMPRODUCT((CA4:CA795="Lait")*(CB4:CB795="SUSP")*(COUNTIF(AI86,"*"&amp;CC4:CC795&amp;"*")&gt;0)*1))</f>
        <v>0</v>
      </c>
      <c r="AZ86" s="6625" cm="1">
        <f t="array" ref="AZ86">IF(W86="",0,SUMPRODUCT((CA4:CA795="Fruits a coque")*(CB4:CB795="EXCL")*(COUNTIF(AI86,"*"&amp;CC4:CC795&amp;"*")&gt;0)*1))</f>
        <v>0</v>
      </c>
      <c r="BA86" s="6625" cm="1">
        <f t="array" ref="BA86">IF(W86="",0,SUMPRODUCT((CA4:CA795="Fruits a coque")*(CB4:CB795="ALERTE")*(COUNTIF(AI86,"*"&amp;CC4:CC795&amp;"*")&gt;0)*1))</f>
        <v>0</v>
      </c>
      <c r="BB86" s="6625" cm="1">
        <f t="array" ref="BB86">IF(W86="",0,SUMPRODUCT((CA4:CA795="Celeri")*(CB4:CB795="ALERTE")*(COUNTIF(AI86,"*"&amp;CC4:CC795&amp;"*")&gt;0)*1))</f>
        <v>0</v>
      </c>
      <c r="BC86" s="6625" cm="1">
        <f t="array" ref="BC86">IF(W86="",0,SUMPRODUCT((CA4:CA795="Moutarde")*(CB4:CB795="ALERTE")*(COUNTIF(AI86,"*"&amp;CC4:CC795&amp;"*")&gt;0)*1))</f>
        <v>0</v>
      </c>
      <c r="BD86" s="6625" cm="1">
        <f t="array" ref="BD86">IF(W86="",0,SUMPRODUCT((CA4:CA795="Sesame")*(CB4:CB795="ALERTE")*(COUNTIF(AI86,"*"&amp;CC4:CC795&amp;"*")&gt;0)*1))</f>
        <v>0</v>
      </c>
      <c r="BE86" s="6625" cm="1">
        <f t="array" ref="BE86">IF(W86="",0,SUMPRODUCT((CA4:CA795="Sulfites")*(CB4:CB795="ALERTE")*(COUNTIF(AI86,"*"&amp;CC4:CC795&amp;"*")&gt;0)*1))</f>
        <v>0</v>
      </c>
      <c r="BF86" s="6625" cm="1">
        <f t="array" ref="BF86">IF(W86="",0,SUMPRODUCT((CA4:CA795="Lupin")*(CB4:CB795="ALERTE")*(COUNTIF(AI86,"*"&amp;CC4:CC795&amp;"*")&gt;0)*1))</f>
        <v>0</v>
      </c>
      <c r="BG86" s="6625" cm="1">
        <f t="array" ref="BG86">IF(W86="",0,SUMPRODUCT((CA4:CA795="Mollusques")*(CB4:CB795="EXCL")*(COUNTIF(AI86,"*"&amp;CC4:CC795&amp;"*")&gt;0)*1))</f>
        <v>0</v>
      </c>
      <c r="BH86" s="6625" cm="1">
        <f t="array" ref="BH86">IF(W86="",0,SUMPRODUCT((CA4:CA795="Mollusques")*(CB4:CB795="ALERTE")*(COUNTIF(AI86,"*"&amp;CC4:CC795&amp;"*")&gt;0)*1))</f>
        <v>0</v>
      </c>
      <c r="BI86" s="6625" t="str">
        <f t="shared" si="68"/>
        <v/>
      </c>
      <c r="BJ86" s="6625" t="str">
        <f t="shared" si="69"/>
        <v/>
      </c>
      <c r="BK86" s="6625" t="str">
        <f t="shared" si="70"/>
        <v/>
      </c>
      <c r="BL86" s="6625" t="str">
        <f t="shared" si="71"/>
        <v/>
      </c>
      <c r="BM86" s="6625" t="str">
        <f t="shared" si="72"/>
        <v/>
      </c>
      <c r="BN86" s="6625" t="str">
        <f t="shared" si="73"/>
        <v/>
      </c>
      <c r="BO86" s="6625" t="str">
        <f t="shared" si="74"/>
        <v/>
      </c>
      <c r="BP86" s="6625" t="str">
        <f t="shared" si="75"/>
        <v/>
      </c>
      <c r="BQ86" s="6625" t="str">
        <f t="shared" si="76"/>
        <v/>
      </c>
      <c r="BR86" s="6625" t="str">
        <f t="shared" si="77"/>
        <v/>
      </c>
      <c r="BS86" s="6625" t="str">
        <f t="shared" si="78"/>
        <v/>
      </c>
      <c r="BT86" s="6625" t="str">
        <f t="shared" si="79"/>
        <v/>
      </c>
      <c r="BU86" s="6625" t="str">
        <f t="shared" si="80"/>
        <v/>
      </c>
      <c r="BV86" s="6625" t="str">
        <f t="shared" si="81"/>
        <v/>
      </c>
      <c r="BW86" s="6625" t="str">
        <f t="shared" si="82"/>
        <v/>
      </c>
      <c r="BX86" s="6625" t="str">
        <f t="shared" si="83"/>
        <v/>
      </c>
      <c r="CA86" s="3170" t="s">
        <v>16501</v>
      </c>
      <c r="CB86" s="7634" t="s">
        <v>16255</v>
      </c>
      <c r="CC86" s="3170" t="s">
        <v>16502</v>
      </c>
      <c r="CD86" s="3170" t="s">
        <v>16503</v>
      </c>
    </row>
    <row r="87" spans="2:82" ht="30" customHeight="1">
      <c r="B87" s="7661" t="str">
        <f t="shared" si="44"/>
        <v/>
      </c>
      <c r="C87" s="7661" t="str">
        <f t="shared" si="45"/>
        <v/>
      </c>
      <c r="D87" s="7661" t="str">
        <f t="shared" si="46"/>
        <v/>
      </c>
      <c r="E87" s="7661">
        <f>IF(H86&lt;&gt;"",E86,IF(E86="","",IFERROR(MATCH(TRUE(),INDEX(INDEX($K:$K,E86+1):$K$203&lt;&gt;"",0),0)+E86,"")))</f>
        <v>262</v>
      </c>
      <c r="F87" s="7661">
        <f t="shared" si="84"/>
        <v>0</v>
      </c>
      <c r="G87" s="7661" t="str">
        <f t="shared" si="47"/>
        <v>0</v>
      </c>
      <c r="H87" s="7672" t="str">
        <f t="shared" si="48"/>
        <v/>
      </c>
      <c r="I87" s="7683" t="str">
        <f t="shared" si="49"/>
        <v/>
      </c>
      <c r="J87" s="7673" t="str">
        <f>IF(K87="","",COUNTIF($K$18:K87,"&lt;&gt;"))</f>
        <v/>
      </c>
      <c r="K87" s="7674"/>
      <c r="L87" s="7673" t="str">
        <f t="shared" si="50"/>
        <v/>
      </c>
      <c r="M87" s="7630">
        <f t="shared" si="51"/>
        <v>1</v>
      </c>
      <c r="N87" s="7675">
        <f t="shared" si="52"/>
        <v>70</v>
      </c>
      <c r="O87" s="7676" t="str">
        <f t="shared" si="53"/>
        <v>0</v>
      </c>
      <c r="P87" s="7675">
        <f t="shared" si="54"/>
        <v>1</v>
      </c>
      <c r="Q87" s="7675">
        <f t="shared" si="55"/>
        <v>1</v>
      </c>
      <c r="S87" s="7679" t="str">
        <f t="shared" si="85"/>
        <v>0</v>
      </c>
      <c r="T87" s="7680" t="str">
        <f t="shared" si="85"/>
        <v/>
      </c>
      <c r="V87" s="7677">
        <f t="shared" si="56"/>
        <v>87</v>
      </c>
      <c r="W87" s="7678" t="str">
        <f t="shared" si="86"/>
        <v>0</v>
      </c>
      <c r="X87" s="7677" t="s">
        <v>2</v>
      </c>
      <c r="Y87" s="7702" t="str">
        <f t="shared" si="57"/>
        <v>0</v>
      </c>
      <c r="Z87" s="7703" t="str">
        <f t="shared" si="58"/>
        <v/>
      </c>
      <c r="AA87" s="7681" t="str">
        <f t="shared" si="59"/>
        <v>0</v>
      </c>
      <c r="AB87" s="7682" t="str">
        <f t="shared" si="60"/>
        <v/>
      </c>
      <c r="AC87" s="7677">
        <f t="shared" si="61"/>
        <v>0</v>
      </c>
      <c r="AD87" s="7677">
        <f t="shared" si="62"/>
        <v>0</v>
      </c>
      <c r="AE87" s="7682" t="str">
        <f t="shared" si="63"/>
        <v>aucun match</v>
      </c>
      <c r="AF87" s="6625" t="str">
        <f t="shared" si="64"/>
        <v>0</v>
      </c>
      <c r="AG87" s="6625" t="str">
        <f t="shared" si="65"/>
        <v>0</v>
      </c>
      <c r="AH87" s="6625" t="str">
        <f t="shared" si="66"/>
        <v>0</v>
      </c>
      <c r="AI87" s="6625" t="str">
        <f t="shared" si="67"/>
        <v xml:space="preserve"> 0 </v>
      </c>
      <c r="AJ87" s="6625" cm="1">
        <f t="array" ref="AJ87">IF(W87="",0,SUMPRODUCT((CA4:CA795="Gluten")*(CB4:CB795="INFO")*(COUNTIF(AI87,"*"&amp;CC4:CC795&amp;"*")&gt;0)*1))</f>
        <v>0</v>
      </c>
      <c r="AK87" s="6625" cm="1">
        <f t="array" ref="AK87">IF(W87="",0,SUMPRODUCT((CA4:CA795="Gluten")*(CB4:CB795="EXCL")*(COUNTIF(AI87,"*"&amp;CC4:CC795&amp;"*")&gt;0)*1))</f>
        <v>0</v>
      </c>
      <c r="AL87" s="6625" cm="1">
        <f t="array" ref="AL87">IF(W87="",0,SUMPRODUCT((CA4:CA795="Gluten")*(CB4:CB795="ALERTE")*(COUNTIF(AI87,"*"&amp;CC4:CC795&amp;"*")&gt;0)*1))</f>
        <v>0</v>
      </c>
      <c r="AM87" s="6625" cm="1">
        <f t="array" ref="AM87">IF(W87="",0,SUMPRODUCT((CA4:CA795="Gluten")*(CB4:CB795="SUSP")*(COUNTIF(AI87,"*"&amp;CC4:CC795&amp;"*")&gt;0)*1))</f>
        <v>0</v>
      </c>
      <c r="AN87" s="6625" cm="1">
        <f t="array" ref="AN87">IF(W87="",0,SUMPRODUCT((CA4:CA795="Crustaces")*(CB4:CB795="ALERTE")*(COUNTIF(AI87,"*"&amp;CC4:CC795&amp;"*")&gt;0)*1))</f>
        <v>0</v>
      </c>
      <c r="AO87" s="6625" cm="1">
        <f t="array" ref="AO87">IF(W87="",0,SUMPRODUCT((CA4:CA795="Oeufs")*(CB4:CB795="ALERTE")*(COUNTIF(AI87,"*"&amp;CC4:CC795&amp;"*")&gt;0)*1))</f>
        <v>0</v>
      </c>
      <c r="AP87" s="6625" cm="1">
        <f t="array" ref="AP87">IF(W87="",0,SUMPRODUCT((CA4:CA795="Poissons")*(CB4:CB795="INFO")*(COUNTIF(AI87,"*"&amp;CC4:CC795&amp;"*")&gt;0)*1))</f>
        <v>0</v>
      </c>
      <c r="AQ87" s="6625" cm="1">
        <f t="array" ref="AQ87">IF(W87="",0,SUMPRODUCT((CA4:CA795="Poissons")*(CB4:CB795="EXCL")*(COUNTIF(AI87,"*"&amp;CC4:CC795&amp;"*")&gt;0)*1))</f>
        <v>0</v>
      </c>
      <c r="AR87" s="6625" cm="1">
        <f t="array" ref="AR87">IF(W87="",0,SUMPRODUCT((CA4:CA795="Poissons")*(CB4:CB795="ALERTE")*(COUNTIF(AI87,"*"&amp;CC4:CC795&amp;"*")&gt;0)*1))</f>
        <v>0</v>
      </c>
      <c r="AS87" s="6625" cm="1">
        <f t="array" ref="AS87">IF(W87="",0,SUMPRODUCT((CA4:CA795="Arachides")*(CB4:CB795="ALERTE")*(COUNTIF(AI87,"*"&amp;CC4:CC795&amp;"*")&gt;0)*1))</f>
        <v>0</v>
      </c>
      <c r="AT87" s="6625" cm="1">
        <f t="array" ref="AT87">IF(W87="",0,SUMPRODUCT((CA4:CA795="Soja")*(CB4:CB795="INFO")*(COUNTIF(AI87,"*"&amp;CC4:CC795&amp;"*")&gt;0)*1))</f>
        <v>0</v>
      </c>
      <c r="AU87" s="6625" cm="1">
        <f t="array" ref="AU87">IF(W87="",0,SUMPRODUCT((CA4:CA795="Soja")*(CB4:CB795="ALERTE")*(COUNTIF(AI87,"*"&amp;CC4:CC795&amp;"*")&gt;0)*1))</f>
        <v>0</v>
      </c>
      <c r="AV87" s="6625" cm="1">
        <f t="array" ref="AV87">IF(W87="",0,SUMPRODUCT((CA4:CA795="Lait")*(CB4:CB795="INFO")*(COUNTIF(AI87,"*"&amp;CC4:CC795&amp;"*")&gt;0)*1))</f>
        <v>0</v>
      </c>
      <c r="AW87" s="6625" cm="1">
        <f t="array" ref="AW87">IF(W87="",0,SUMPRODUCT((CA4:CA795="Lait")*(CB4:CB795="EXCL")*(COUNTIF(AI87,"*"&amp;CC4:CC795&amp;"*")&gt;0)*1))</f>
        <v>0</v>
      </c>
      <c r="AX87" s="6625" cm="1">
        <f t="array" ref="AX87">IF(W87="",0,SUMPRODUCT((CA4:CA795="Lait")*(CB4:CB795="ALERTE")*(COUNTIF(AI87,"*"&amp;CC4:CC795&amp;"*")&gt;0)*1))</f>
        <v>0</v>
      </c>
      <c r="AY87" s="6625" cm="1">
        <f t="array" ref="AY87">IF(W87="",0,SUMPRODUCT((CA4:CA795="Lait")*(CB4:CB795="SUSP")*(COUNTIF(AI87,"*"&amp;CC4:CC795&amp;"*")&gt;0)*1))</f>
        <v>0</v>
      </c>
      <c r="AZ87" s="6625" cm="1">
        <f t="array" ref="AZ87">IF(W87="",0,SUMPRODUCT((CA4:CA795="Fruits a coque")*(CB4:CB795="EXCL")*(COUNTIF(AI87,"*"&amp;CC4:CC795&amp;"*")&gt;0)*1))</f>
        <v>0</v>
      </c>
      <c r="BA87" s="6625" cm="1">
        <f t="array" ref="BA87">IF(W87="",0,SUMPRODUCT((CA4:CA795="Fruits a coque")*(CB4:CB795="ALERTE")*(COUNTIF(AI87,"*"&amp;CC4:CC795&amp;"*")&gt;0)*1))</f>
        <v>0</v>
      </c>
      <c r="BB87" s="6625" cm="1">
        <f t="array" ref="BB87">IF(W87="",0,SUMPRODUCT((CA4:CA795="Celeri")*(CB4:CB795="ALERTE")*(COUNTIF(AI87,"*"&amp;CC4:CC795&amp;"*")&gt;0)*1))</f>
        <v>0</v>
      </c>
      <c r="BC87" s="6625" cm="1">
        <f t="array" ref="BC87">IF(W87="",0,SUMPRODUCT((CA4:CA795="Moutarde")*(CB4:CB795="ALERTE")*(COUNTIF(AI87,"*"&amp;CC4:CC795&amp;"*")&gt;0)*1))</f>
        <v>0</v>
      </c>
      <c r="BD87" s="6625" cm="1">
        <f t="array" ref="BD87">IF(W87="",0,SUMPRODUCT((CA4:CA795="Sesame")*(CB4:CB795="ALERTE")*(COUNTIF(AI87,"*"&amp;CC4:CC795&amp;"*")&gt;0)*1))</f>
        <v>0</v>
      </c>
      <c r="BE87" s="6625" cm="1">
        <f t="array" ref="BE87">IF(W87="",0,SUMPRODUCT((CA4:CA795="Sulfites")*(CB4:CB795="ALERTE")*(COUNTIF(AI87,"*"&amp;CC4:CC795&amp;"*")&gt;0)*1))</f>
        <v>0</v>
      </c>
      <c r="BF87" s="6625" cm="1">
        <f t="array" ref="BF87">IF(W87="",0,SUMPRODUCT((CA4:CA795="Lupin")*(CB4:CB795="ALERTE")*(COUNTIF(AI87,"*"&amp;CC4:CC795&amp;"*")&gt;0)*1))</f>
        <v>0</v>
      </c>
      <c r="BG87" s="6625" cm="1">
        <f t="array" ref="BG87">IF(W87="",0,SUMPRODUCT((CA4:CA795="Mollusques")*(CB4:CB795="EXCL")*(COUNTIF(AI87,"*"&amp;CC4:CC795&amp;"*")&gt;0)*1))</f>
        <v>0</v>
      </c>
      <c r="BH87" s="6625" cm="1">
        <f t="array" ref="BH87">IF(W87="",0,SUMPRODUCT((CA4:CA795="Mollusques")*(CB4:CB795="ALERTE")*(COUNTIF(AI87,"*"&amp;CC4:CC795&amp;"*")&gt;0)*1))</f>
        <v>0</v>
      </c>
      <c r="BI87" s="6625" t="str">
        <f t="shared" si="68"/>
        <v/>
      </c>
      <c r="BJ87" s="6625" t="str">
        <f t="shared" si="69"/>
        <v/>
      </c>
      <c r="BK87" s="6625" t="str">
        <f t="shared" si="70"/>
        <v/>
      </c>
      <c r="BL87" s="6625" t="str">
        <f t="shared" si="71"/>
        <v/>
      </c>
      <c r="BM87" s="6625" t="str">
        <f t="shared" si="72"/>
        <v/>
      </c>
      <c r="BN87" s="6625" t="str">
        <f t="shared" si="73"/>
        <v/>
      </c>
      <c r="BO87" s="6625" t="str">
        <f t="shared" si="74"/>
        <v/>
      </c>
      <c r="BP87" s="6625" t="str">
        <f t="shared" si="75"/>
        <v/>
      </c>
      <c r="BQ87" s="6625" t="str">
        <f t="shared" si="76"/>
        <v/>
      </c>
      <c r="BR87" s="6625" t="str">
        <f t="shared" si="77"/>
        <v/>
      </c>
      <c r="BS87" s="6625" t="str">
        <f t="shared" si="78"/>
        <v/>
      </c>
      <c r="BT87" s="6625" t="str">
        <f t="shared" si="79"/>
        <v/>
      </c>
      <c r="BU87" s="6625" t="str">
        <f t="shared" si="80"/>
        <v/>
      </c>
      <c r="BV87" s="6625" t="str">
        <f t="shared" si="81"/>
        <v/>
      </c>
      <c r="BW87" s="6625" t="str">
        <f t="shared" si="82"/>
        <v/>
      </c>
      <c r="BX87" s="6625" t="str">
        <f t="shared" si="83"/>
        <v/>
      </c>
      <c r="CA87" s="3170" t="s">
        <v>16501</v>
      </c>
      <c r="CB87" s="7634" t="s">
        <v>16255</v>
      </c>
      <c r="CC87" s="3170" t="s">
        <v>16504</v>
      </c>
      <c r="CD87" s="3170" t="s">
        <v>16505</v>
      </c>
    </row>
    <row r="88" spans="2:82" ht="30" customHeight="1">
      <c r="B88" s="7661" t="str">
        <f t="shared" si="44"/>
        <v/>
      </c>
      <c r="C88" s="7661" t="str">
        <f t="shared" si="45"/>
        <v/>
      </c>
      <c r="D88" s="7661" t="str">
        <f t="shared" si="46"/>
        <v/>
      </c>
      <c r="E88" s="7661">
        <f>IF(H87&lt;&gt;"",E87,IF(E87="","",IFERROR(MATCH(TRUE(),INDEX(INDEX($K:$K,E87+1):$K$203&lt;&gt;"",0),0)+E87,"")))</f>
        <v>263</v>
      </c>
      <c r="F88" s="7661">
        <f t="shared" si="84"/>
        <v>0</v>
      </c>
      <c r="G88" s="7661" t="str">
        <f t="shared" si="47"/>
        <v>0</v>
      </c>
      <c r="H88" s="7672" t="str">
        <f t="shared" si="48"/>
        <v/>
      </c>
      <c r="I88" s="7683" t="str">
        <f t="shared" si="49"/>
        <v/>
      </c>
      <c r="J88" s="7673" t="str">
        <f>IF(K88="","",COUNTIF($K$18:K88,"&lt;&gt;"))</f>
        <v/>
      </c>
      <c r="K88" s="7674"/>
      <c r="L88" s="7673" t="str">
        <f t="shared" si="50"/>
        <v/>
      </c>
      <c r="M88" s="7630">
        <f t="shared" si="51"/>
        <v>1</v>
      </c>
      <c r="N88" s="7675">
        <f t="shared" si="52"/>
        <v>71</v>
      </c>
      <c r="O88" s="7676" t="str">
        <f t="shared" si="53"/>
        <v>0</v>
      </c>
      <c r="P88" s="7675">
        <f t="shared" si="54"/>
        <v>1</v>
      </c>
      <c r="Q88" s="7675">
        <f t="shared" si="55"/>
        <v>1</v>
      </c>
      <c r="S88" s="7679" t="str">
        <f t="shared" si="85"/>
        <v>0</v>
      </c>
      <c r="T88" s="7680" t="str">
        <f t="shared" si="85"/>
        <v/>
      </c>
      <c r="V88" s="7677">
        <f t="shared" si="56"/>
        <v>88</v>
      </c>
      <c r="W88" s="7678" t="str">
        <f t="shared" si="86"/>
        <v>0</v>
      </c>
      <c r="X88" s="7677" t="s">
        <v>2</v>
      </c>
      <c r="Y88" s="7702" t="str">
        <f t="shared" si="57"/>
        <v>0</v>
      </c>
      <c r="Z88" s="7703" t="str">
        <f t="shared" si="58"/>
        <v/>
      </c>
      <c r="AA88" s="7681" t="str">
        <f t="shared" si="59"/>
        <v>0</v>
      </c>
      <c r="AB88" s="7682" t="str">
        <f t="shared" si="60"/>
        <v/>
      </c>
      <c r="AC88" s="7677">
        <f t="shared" si="61"/>
        <v>0</v>
      </c>
      <c r="AD88" s="7677">
        <f t="shared" si="62"/>
        <v>0</v>
      </c>
      <c r="AE88" s="7682" t="str">
        <f t="shared" si="63"/>
        <v>aucun match</v>
      </c>
      <c r="AF88" s="6625" t="str">
        <f t="shared" si="64"/>
        <v>0</v>
      </c>
      <c r="AG88" s="6625" t="str">
        <f t="shared" si="65"/>
        <v>0</v>
      </c>
      <c r="AH88" s="6625" t="str">
        <f t="shared" si="66"/>
        <v>0</v>
      </c>
      <c r="AI88" s="6625" t="str">
        <f t="shared" si="67"/>
        <v xml:space="preserve"> 0 </v>
      </c>
      <c r="AJ88" s="6625" cm="1">
        <f t="array" ref="AJ88">IF(W88="",0,SUMPRODUCT((CA4:CA795="Gluten")*(CB4:CB795="INFO")*(COUNTIF(AI88,"*"&amp;CC4:CC795&amp;"*")&gt;0)*1))</f>
        <v>0</v>
      </c>
      <c r="AK88" s="6625" cm="1">
        <f t="array" ref="AK88">IF(W88="",0,SUMPRODUCT((CA4:CA795="Gluten")*(CB4:CB795="EXCL")*(COUNTIF(AI88,"*"&amp;CC4:CC795&amp;"*")&gt;0)*1))</f>
        <v>0</v>
      </c>
      <c r="AL88" s="6625" cm="1">
        <f t="array" ref="AL88">IF(W88="",0,SUMPRODUCT((CA4:CA795="Gluten")*(CB4:CB795="ALERTE")*(COUNTIF(AI88,"*"&amp;CC4:CC795&amp;"*")&gt;0)*1))</f>
        <v>0</v>
      </c>
      <c r="AM88" s="6625" cm="1">
        <f t="array" ref="AM88">IF(W88="",0,SUMPRODUCT((CA4:CA795="Gluten")*(CB4:CB795="SUSP")*(COUNTIF(AI88,"*"&amp;CC4:CC795&amp;"*")&gt;0)*1))</f>
        <v>0</v>
      </c>
      <c r="AN88" s="6625" cm="1">
        <f t="array" ref="AN88">IF(W88="",0,SUMPRODUCT((CA4:CA795="Crustaces")*(CB4:CB795="ALERTE")*(COUNTIF(AI88,"*"&amp;CC4:CC795&amp;"*")&gt;0)*1))</f>
        <v>0</v>
      </c>
      <c r="AO88" s="6625" cm="1">
        <f t="array" ref="AO88">IF(W88="",0,SUMPRODUCT((CA4:CA795="Oeufs")*(CB4:CB795="ALERTE")*(COUNTIF(AI88,"*"&amp;CC4:CC795&amp;"*")&gt;0)*1))</f>
        <v>0</v>
      </c>
      <c r="AP88" s="6625" cm="1">
        <f t="array" ref="AP88">IF(W88="",0,SUMPRODUCT((CA4:CA795="Poissons")*(CB4:CB795="INFO")*(COUNTIF(AI88,"*"&amp;CC4:CC795&amp;"*")&gt;0)*1))</f>
        <v>0</v>
      </c>
      <c r="AQ88" s="6625" cm="1">
        <f t="array" ref="AQ88">IF(W88="",0,SUMPRODUCT((CA4:CA795="Poissons")*(CB4:CB795="EXCL")*(COUNTIF(AI88,"*"&amp;CC4:CC795&amp;"*")&gt;0)*1))</f>
        <v>0</v>
      </c>
      <c r="AR88" s="6625" cm="1">
        <f t="array" ref="AR88">IF(W88="",0,SUMPRODUCT((CA4:CA795="Poissons")*(CB4:CB795="ALERTE")*(COUNTIF(AI88,"*"&amp;CC4:CC795&amp;"*")&gt;0)*1))</f>
        <v>0</v>
      </c>
      <c r="AS88" s="6625" cm="1">
        <f t="array" ref="AS88">IF(W88="",0,SUMPRODUCT((CA4:CA795="Arachides")*(CB4:CB795="ALERTE")*(COUNTIF(AI88,"*"&amp;CC4:CC795&amp;"*")&gt;0)*1))</f>
        <v>0</v>
      </c>
      <c r="AT88" s="6625" cm="1">
        <f t="array" ref="AT88">IF(W88="",0,SUMPRODUCT((CA4:CA795="Soja")*(CB4:CB795="INFO")*(COUNTIF(AI88,"*"&amp;CC4:CC795&amp;"*")&gt;0)*1))</f>
        <v>0</v>
      </c>
      <c r="AU88" s="6625" cm="1">
        <f t="array" ref="AU88">IF(W88="",0,SUMPRODUCT((CA4:CA795="Soja")*(CB4:CB795="ALERTE")*(COUNTIF(AI88,"*"&amp;CC4:CC795&amp;"*")&gt;0)*1))</f>
        <v>0</v>
      </c>
      <c r="AV88" s="6625" cm="1">
        <f t="array" ref="AV88">IF(W88="",0,SUMPRODUCT((CA4:CA795="Lait")*(CB4:CB795="INFO")*(COUNTIF(AI88,"*"&amp;CC4:CC795&amp;"*")&gt;0)*1))</f>
        <v>0</v>
      </c>
      <c r="AW88" s="6625" cm="1">
        <f t="array" ref="AW88">IF(W88="",0,SUMPRODUCT((CA4:CA795="Lait")*(CB4:CB795="EXCL")*(COUNTIF(AI88,"*"&amp;CC4:CC795&amp;"*")&gt;0)*1))</f>
        <v>0</v>
      </c>
      <c r="AX88" s="6625" cm="1">
        <f t="array" ref="AX88">IF(W88="",0,SUMPRODUCT((CA4:CA795="Lait")*(CB4:CB795="ALERTE")*(COUNTIF(AI88,"*"&amp;CC4:CC795&amp;"*")&gt;0)*1))</f>
        <v>0</v>
      </c>
      <c r="AY88" s="6625" cm="1">
        <f t="array" ref="AY88">IF(W88="",0,SUMPRODUCT((CA4:CA795="Lait")*(CB4:CB795="SUSP")*(COUNTIF(AI88,"*"&amp;CC4:CC795&amp;"*")&gt;0)*1))</f>
        <v>0</v>
      </c>
      <c r="AZ88" s="6625" cm="1">
        <f t="array" ref="AZ88">IF(W88="",0,SUMPRODUCT((CA4:CA795="Fruits a coque")*(CB4:CB795="EXCL")*(COUNTIF(AI88,"*"&amp;CC4:CC795&amp;"*")&gt;0)*1))</f>
        <v>0</v>
      </c>
      <c r="BA88" s="6625" cm="1">
        <f t="array" ref="BA88">IF(W88="",0,SUMPRODUCT((CA4:CA795="Fruits a coque")*(CB4:CB795="ALERTE")*(COUNTIF(AI88,"*"&amp;CC4:CC795&amp;"*")&gt;0)*1))</f>
        <v>0</v>
      </c>
      <c r="BB88" s="6625" cm="1">
        <f t="array" ref="BB88">IF(W88="",0,SUMPRODUCT((CA4:CA795="Celeri")*(CB4:CB795="ALERTE")*(COUNTIF(AI88,"*"&amp;CC4:CC795&amp;"*")&gt;0)*1))</f>
        <v>0</v>
      </c>
      <c r="BC88" s="6625" cm="1">
        <f t="array" ref="BC88">IF(W88="",0,SUMPRODUCT((CA4:CA795="Moutarde")*(CB4:CB795="ALERTE")*(COUNTIF(AI88,"*"&amp;CC4:CC795&amp;"*")&gt;0)*1))</f>
        <v>0</v>
      </c>
      <c r="BD88" s="6625" cm="1">
        <f t="array" ref="BD88">IF(W88="",0,SUMPRODUCT((CA4:CA795="Sesame")*(CB4:CB795="ALERTE")*(COUNTIF(AI88,"*"&amp;CC4:CC795&amp;"*")&gt;0)*1))</f>
        <v>0</v>
      </c>
      <c r="BE88" s="6625" cm="1">
        <f t="array" ref="BE88">IF(W88="",0,SUMPRODUCT((CA4:CA795="Sulfites")*(CB4:CB795="ALERTE")*(COUNTIF(AI88,"*"&amp;CC4:CC795&amp;"*")&gt;0)*1))</f>
        <v>0</v>
      </c>
      <c r="BF88" s="6625" cm="1">
        <f t="array" ref="BF88">IF(W88="",0,SUMPRODUCT((CA4:CA795="Lupin")*(CB4:CB795="ALERTE")*(COUNTIF(AI88,"*"&amp;CC4:CC795&amp;"*")&gt;0)*1))</f>
        <v>0</v>
      </c>
      <c r="BG88" s="6625" cm="1">
        <f t="array" ref="BG88">IF(W88="",0,SUMPRODUCT((CA4:CA795="Mollusques")*(CB4:CB795="EXCL")*(COUNTIF(AI88,"*"&amp;CC4:CC795&amp;"*")&gt;0)*1))</f>
        <v>0</v>
      </c>
      <c r="BH88" s="6625" cm="1">
        <f t="array" ref="BH88">IF(W88="",0,SUMPRODUCT((CA4:CA795="Mollusques")*(CB4:CB795="ALERTE")*(COUNTIF(AI88,"*"&amp;CC4:CC795&amp;"*")&gt;0)*1))</f>
        <v>0</v>
      </c>
      <c r="BI88" s="6625" t="str">
        <f t="shared" si="68"/>
        <v/>
      </c>
      <c r="BJ88" s="6625" t="str">
        <f t="shared" si="69"/>
        <v/>
      </c>
      <c r="BK88" s="6625" t="str">
        <f t="shared" si="70"/>
        <v/>
      </c>
      <c r="BL88" s="6625" t="str">
        <f t="shared" si="71"/>
        <v/>
      </c>
      <c r="BM88" s="6625" t="str">
        <f t="shared" si="72"/>
        <v/>
      </c>
      <c r="BN88" s="6625" t="str">
        <f t="shared" si="73"/>
        <v/>
      </c>
      <c r="BO88" s="6625" t="str">
        <f t="shared" si="74"/>
        <v/>
      </c>
      <c r="BP88" s="6625" t="str">
        <f t="shared" si="75"/>
        <v/>
      </c>
      <c r="BQ88" s="6625" t="str">
        <f t="shared" si="76"/>
        <v/>
      </c>
      <c r="BR88" s="6625" t="str">
        <f t="shared" si="77"/>
        <v/>
      </c>
      <c r="BS88" s="6625" t="str">
        <f t="shared" si="78"/>
        <v/>
      </c>
      <c r="BT88" s="6625" t="str">
        <f t="shared" si="79"/>
        <v/>
      </c>
      <c r="BU88" s="6625" t="str">
        <f t="shared" si="80"/>
        <v/>
      </c>
      <c r="BV88" s="6625" t="str">
        <f t="shared" si="81"/>
        <v/>
      </c>
      <c r="BW88" s="6625" t="str">
        <f t="shared" si="82"/>
        <v/>
      </c>
      <c r="BX88" s="6625" t="str">
        <f t="shared" si="83"/>
        <v/>
      </c>
      <c r="CA88" s="3170" t="s">
        <v>16501</v>
      </c>
      <c r="CB88" s="7634" t="s">
        <v>16255</v>
      </c>
      <c r="CC88" s="3170" t="s">
        <v>16267</v>
      </c>
      <c r="CD88" s="3170" t="s">
        <v>16506</v>
      </c>
    </row>
    <row r="89" spans="2:82" ht="30" customHeight="1">
      <c r="B89" s="7661" t="str">
        <f t="shared" si="44"/>
        <v/>
      </c>
      <c r="C89" s="7661" t="str">
        <f t="shared" si="45"/>
        <v/>
      </c>
      <c r="D89" s="7661" t="str">
        <f t="shared" si="46"/>
        <v/>
      </c>
      <c r="E89" s="7661">
        <f>IF(H88&lt;&gt;"",E88,IF(E88="","",IFERROR(MATCH(TRUE(),INDEX(INDEX($K:$K,E88+1):$K$203&lt;&gt;"",0),0)+E88,"")))</f>
        <v>264</v>
      </c>
      <c r="F89" s="7661">
        <f t="shared" si="84"/>
        <v>0</v>
      </c>
      <c r="G89" s="7661" t="str">
        <f t="shared" si="47"/>
        <v>0</v>
      </c>
      <c r="H89" s="7672" t="str">
        <f t="shared" si="48"/>
        <v/>
      </c>
      <c r="I89" s="7683" t="str">
        <f t="shared" si="49"/>
        <v/>
      </c>
      <c r="J89" s="7673" t="str">
        <f>IF(K89="","",COUNTIF($K$18:K89,"&lt;&gt;"))</f>
        <v/>
      </c>
      <c r="K89" s="7674"/>
      <c r="L89" s="7673" t="str">
        <f t="shared" si="50"/>
        <v/>
      </c>
      <c r="M89" s="7630">
        <f t="shared" si="51"/>
        <v>1</v>
      </c>
      <c r="N89" s="7675">
        <f t="shared" si="52"/>
        <v>72</v>
      </c>
      <c r="O89" s="7676" t="str">
        <f t="shared" si="53"/>
        <v>0</v>
      </c>
      <c r="P89" s="7675">
        <f t="shared" si="54"/>
        <v>1</v>
      </c>
      <c r="Q89" s="7675">
        <f t="shared" si="55"/>
        <v>1</v>
      </c>
      <c r="S89" s="7679" t="str">
        <f t="shared" si="85"/>
        <v>0</v>
      </c>
      <c r="T89" s="7680" t="str">
        <f t="shared" si="85"/>
        <v/>
      </c>
      <c r="V89" s="7677">
        <f t="shared" si="56"/>
        <v>89</v>
      </c>
      <c r="W89" s="7678" t="str">
        <f t="shared" si="86"/>
        <v>0</v>
      </c>
      <c r="X89" s="7677" t="s">
        <v>2</v>
      </c>
      <c r="Y89" s="7702" t="str">
        <f t="shared" si="57"/>
        <v>0</v>
      </c>
      <c r="Z89" s="7703" t="str">
        <f t="shared" si="58"/>
        <v/>
      </c>
      <c r="AA89" s="7681" t="str">
        <f t="shared" si="59"/>
        <v>0</v>
      </c>
      <c r="AB89" s="7682" t="str">
        <f t="shared" si="60"/>
        <v/>
      </c>
      <c r="AC89" s="7677">
        <f t="shared" si="61"/>
        <v>0</v>
      </c>
      <c r="AD89" s="7677">
        <f t="shared" si="62"/>
        <v>0</v>
      </c>
      <c r="AE89" s="7682" t="str">
        <f t="shared" si="63"/>
        <v>aucun match</v>
      </c>
      <c r="AF89" s="6625" t="str">
        <f t="shared" si="64"/>
        <v>0</v>
      </c>
      <c r="AG89" s="6625" t="str">
        <f t="shared" si="65"/>
        <v>0</v>
      </c>
      <c r="AH89" s="6625" t="str">
        <f t="shared" si="66"/>
        <v>0</v>
      </c>
      <c r="AI89" s="6625" t="str">
        <f t="shared" si="67"/>
        <v xml:space="preserve"> 0 </v>
      </c>
      <c r="AJ89" s="6625" cm="1">
        <f t="array" ref="AJ89">IF(W89="",0,SUMPRODUCT((CA4:CA795="Gluten")*(CB4:CB795="INFO")*(COUNTIF(AI89,"*"&amp;CC4:CC795&amp;"*")&gt;0)*1))</f>
        <v>0</v>
      </c>
      <c r="AK89" s="6625" cm="1">
        <f t="array" ref="AK89">IF(W89="",0,SUMPRODUCT((CA4:CA795="Gluten")*(CB4:CB795="EXCL")*(COUNTIF(AI89,"*"&amp;CC4:CC795&amp;"*")&gt;0)*1))</f>
        <v>0</v>
      </c>
      <c r="AL89" s="6625" cm="1">
        <f t="array" ref="AL89">IF(W89="",0,SUMPRODUCT((CA4:CA795="Gluten")*(CB4:CB795="ALERTE")*(COUNTIF(AI89,"*"&amp;CC4:CC795&amp;"*")&gt;0)*1))</f>
        <v>0</v>
      </c>
      <c r="AM89" s="6625" cm="1">
        <f t="array" ref="AM89">IF(W89="",0,SUMPRODUCT((CA4:CA795="Gluten")*(CB4:CB795="SUSP")*(COUNTIF(AI89,"*"&amp;CC4:CC795&amp;"*")&gt;0)*1))</f>
        <v>0</v>
      </c>
      <c r="AN89" s="6625" cm="1">
        <f t="array" ref="AN89">IF(W89="",0,SUMPRODUCT((CA4:CA795="Crustaces")*(CB4:CB795="ALERTE")*(COUNTIF(AI89,"*"&amp;CC4:CC795&amp;"*")&gt;0)*1))</f>
        <v>0</v>
      </c>
      <c r="AO89" s="6625" cm="1">
        <f t="array" ref="AO89">IF(W89="",0,SUMPRODUCT((CA4:CA795="Oeufs")*(CB4:CB795="ALERTE")*(COUNTIF(AI89,"*"&amp;CC4:CC795&amp;"*")&gt;0)*1))</f>
        <v>0</v>
      </c>
      <c r="AP89" s="6625" cm="1">
        <f t="array" ref="AP89">IF(W89="",0,SUMPRODUCT((CA4:CA795="Poissons")*(CB4:CB795="INFO")*(COUNTIF(AI89,"*"&amp;CC4:CC795&amp;"*")&gt;0)*1))</f>
        <v>0</v>
      </c>
      <c r="AQ89" s="6625" cm="1">
        <f t="array" ref="AQ89">IF(W89="",0,SUMPRODUCT((CA4:CA795="Poissons")*(CB4:CB795="EXCL")*(COUNTIF(AI89,"*"&amp;CC4:CC795&amp;"*")&gt;0)*1))</f>
        <v>0</v>
      </c>
      <c r="AR89" s="6625" cm="1">
        <f t="array" ref="AR89">IF(W89="",0,SUMPRODUCT((CA4:CA795="Poissons")*(CB4:CB795="ALERTE")*(COUNTIF(AI89,"*"&amp;CC4:CC795&amp;"*")&gt;0)*1))</f>
        <v>0</v>
      </c>
      <c r="AS89" s="6625" cm="1">
        <f t="array" ref="AS89">IF(W89="",0,SUMPRODUCT((CA4:CA795="Arachides")*(CB4:CB795="ALERTE")*(COUNTIF(AI89,"*"&amp;CC4:CC795&amp;"*")&gt;0)*1))</f>
        <v>0</v>
      </c>
      <c r="AT89" s="6625" cm="1">
        <f t="array" ref="AT89">IF(W89="",0,SUMPRODUCT((CA4:CA795="Soja")*(CB4:CB795="INFO")*(COUNTIF(AI89,"*"&amp;CC4:CC795&amp;"*")&gt;0)*1))</f>
        <v>0</v>
      </c>
      <c r="AU89" s="6625" cm="1">
        <f t="array" ref="AU89">IF(W89="",0,SUMPRODUCT((CA4:CA795="Soja")*(CB4:CB795="ALERTE")*(COUNTIF(AI89,"*"&amp;CC4:CC795&amp;"*")&gt;0)*1))</f>
        <v>0</v>
      </c>
      <c r="AV89" s="6625" cm="1">
        <f t="array" ref="AV89">IF(W89="",0,SUMPRODUCT((CA4:CA795="Lait")*(CB4:CB795="INFO")*(COUNTIF(AI89,"*"&amp;CC4:CC795&amp;"*")&gt;0)*1))</f>
        <v>0</v>
      </c>
      <c r="AW89" s="6625" cm="1">
        <f t="array" ref="AW89">IF(W89="",0,SUMPRODUCT((CA4:CA795="Lait")*(CB4:CB795="EXCL")*(COUNTIF(AI89,"*"&amp;CC4:CC795&amp;"*")&gt;0)*1))</f>
        <v>0</v>
      </c>
      <c r="AX89" s="6625" cm="1">
        <f t="array" ref="AX89">IF(W89="",0,SUMPRODUCT((CA4:CA795="Lait")*(CB4:CB795="ALERTE")*(COUNTIF(AI89,"*"&amp;CC4:CC795&amp;"*")&gt;0)*1))</f>
        <v>0</v>
      </c>
      <c r="AY89" s="6625" cm="1">
        <f t="array" ref="AY89">IF(W89="",0,SUMPRODUCT((CA4:CA795="Lait")*(CB4:CB795="SUSP")*(COUNTIF(AI89,"*"&amp;CC4:CC795&amp;"*")&gt;0)*1))</f>
        <v>0</v>
      </c>
      <c r="AZ89" s="6625" cm="1">
        <f t="array" ref="AZ89">IF(W89="",0,SUMPRODUCT((CA4:CA795="Fruits a coque")*(CB4:CB795="EXCL")*(COUNTIF(AI89,"*"&amp;CC4:CC795&amp;"*")&gt;0)*1))</f>
        <v>0</v>
      </c>
      <c r="BA89" s="6625" cm="1">
        <f t="array" ref="BA89">IF(W89="",0,SUMPRODUCT((CA4:CA795="Fruits a coque")*(CB4:CB795="ALERTE")*(COUNTIF(AI89,"*"&amp;CC4:CC795&amp;"*")&gt;0)*1))</f>
        <v>0</v>
      </c>
      <c r="BB89" s="6625" cm="1">
        <f t="array" ref="BB89">IF(W89="",0,SUMPRODUCT((CA4:CA795="Celeri")*(CB4:CB795="ALERTE")*(COUNTIF(AI89,"*"&amp;CC4:CC795&amp;"*")&gt;0)*1))</f>
        <v>0</v>
      </c>
      <c r="BC89" s="6625" cm="1">
        <f t="array" ref="BC89">IF(W89="",0,SUMPRODUCT((CA4:CA795="Moutarde")*(CB4:CB795="ALERTE")*(COUNTIF(AI89,"*"&amp;CC4:CC795&amp;"*")&gt;0)*1))</f>
        <v>0</v>
      </c>
      <c r="BD89" s="6625" cm="1">
        <f t="array" ref="BD89">IF(W89="",0,SUMPRODUCT((CA4:CA795="Sesame")*(CB4:CB795="ALERTE")*(COUNTIF(AI89,"*"&amp;CC4:CC795&amp;"*")&gt;0)*1))</f>
        <v>0</v>
      </c>
      <c r="BE89" s="6625" cm="1">
        <f t="array" ref="BE89">IF(W89="",0,SUMPRODUCT((CA4:CA795="Sulfites")*(CB4:CB795="ALERTE")*(COUNTIF(AI89,"*"&amp;CC4:CC795&amp;"*")&gt;0)*1))</f>
        <v>0</v>
      </c>
      <c r="BF89" s="6625" cm="1">
        <f t="array" ref="BF89">IF(W89="",0,SUMPRODUCT((CA4:CA795="Lupin")*(CB4:CB795="ALERTE")*(COUNTIF(AI89,"*"&amp;CC4:CC795&amp;"*")&gt;0)*1))</f>
        <v>0</v>
      </c>
      <c r="BG89" s="6625" cm="1">
        <f t="array" ref="BG89">IF(W89="",0,SUMPRODUCT((CA4:CA795="Mollusques")*(CB4:CB795="EXCL")*(COUNTIF(AI89,"*"&amp;CC4:CC795&amp;"*")&gt;0)*1))</f>
        <v>0</v>
      </c>
      <c r="BH89" s="6625" cm="1">
        <f t="array" ref="BH89">IF(W89="",0,SUMPRODUCT((CA4:CA795="Mollusques")*(CB4:CB795="ALERTE")*(COUNTIF(AI89,"*"&amp;CC4:CC795&amp;"*")&gt;0)*1))</f>
        <v>0</v>
      </c>
      <c r="BI89" s="6625" t="str">
        <f t="shared" si="68"/>
        <v/>
      </c>
      <c r="BJ89" s="6625" t="str">
        <f t="shared" si="69"/>
        <v/>
      </c>
      <c r="BK89" s="6625" t="str">
        <f t="shared" si="70"/>
        <v/>
      </c>
      <c r="BL89" s="6625" t="str">
        <f t="shared" si="71"/>
        <v/>
      </c>
      <c r="BM89" s="6625" t="str">
        <f t="shared" si="72"/>
        <v/>
      </c>
      <c r="BN89" s="6625" t="str">
        <f t="shared" si="73"/>
        <v/>
      </c>
      <c r="BO89" s="6625" t="str">
        <f t="shared" si="74"/>
        <v/>
      </c>
      <c r="BP89" s="6625" t="str">
        <f t="shared" si="75"/>
        <v/>
      </c>
      <c r="BQ89" s="6625" t="str">
        <f t="shared" si="76"/>
        <v/>
      </c>
      <c r="BR89" s="6625" t="str">
        <f t="shared" si="77"/>
        <v/>
      </c>
      <c r="BS89" s="6625" t="str">
        <f t="shared" si="78"/>
        <v/>
      </c>
      <c r="BT89" s="6625" t="str">
        <f t="shared" si="79"/>
        <v/>
      </c>
      <c r="BU89" s="6625" t="str">
        <f t="shared" si="80"/>
        <v/>
      </c>
      <c r="BV89" s="6625" t="str">
        <f t="shared" si="81"/>
        <v/>
      </c>
      <c r="BW89" s="6625" t="str">
        <f t="shared" si="82"/>
        <v/>
      </c>
      <c r="BX89" s="6625" t="str">
        <f t="shared" si="83"/>
        <v/>
      </c>
      <c r="CA89" s="3170" t="s">
        <v>16501</v>
      </c>
      <c r="CB89" s="7634" t="s">
        <v>16255</v>
      </c>
      <c r="CC89" s="3170" t="s">
        <v>16507</v>
      </c>
      <c r="CD89" s="3170" t="s">
        <v>16508</v>
      </c>
    </row>
    <row r="90" spans="2:82" ht="30" customHeight="1">
      <c r="B90" s="7661" t="str">
        <f t="shared" si="44"/>
        <v/>
      </c>
      <c r="C90" s="7661" t="str">
        <f t="shared" si="45"/>
        <v/>
      </c>
      <c r="D90" s="7661" t="str">
        <f t="shared" si="46"/>
        <v/>
      </c>
      <c r="E90" s="7661">
        <f>IF(H89&lt;&gt;"",E89,IF(E89="","",IFERROR(MATCH(TRUE(),INDEX(INDEX($K:$K,E89+1):$K$203&lt;&gt;"",0),0)+E89,"")))</f>
        <v>265</v>
      </c>
      <c r="F90" s="7661">
        <f t="shared" si="84"/>
        <v>0</v>
      </c>
      <c r="G90" s="7661" t="str">
        <f t="shared" si="47"/>
        <v>0</v>
      </c>
      <c r="H90" s="7672" t="str">
        <f t="shared" si="48"/>
        <v/>
      </c>
      <c r="I90" s="7683" t="str">
        <f t="shared" si="49"/>
        <v/>
      </c>
      <c r="J90" s="7673" t="str">
        <f>IF(K90="","",COUNTIF($K$18:K90,"&lt;&gt;"))</f>
        <v/>
      </c>
      <c r="K90" s="7674"/>
      <c r="L90" s="7673" t="str">
        <f t="shared" si="50"/>
        <v/>
      </c>
      <c r="M90" s="7630">
        <f t="shared" si="51"/>
        <v>1</v>
      </c>
      <c r="N90" s="7675">
        <f t="shared" si="52"/>
        <v>73</v>
      </c>
      <c r="O90" s="7676" t="str">
        <f t="shared" si="53"/>
        <v>0</v>
      </c>
      <c r="P90" s="7675">
        <f t="shared" si="54"/>
        <v>1</v>
      </c>
      <c r="Q90" s="7675">
        <f t="shared" si="55"/>
        <v>1</v>
      </c>
      <c r="S90" s="7679" t="str">
        <f t="shared" si="85"/>
        <v>0</v>
      </c>
      <c r="T90" s="7680" t="str">
        <f t="shared" si="85"/>
        <v/>
      </c>
      <c r="V90" s="7677">
        <f t="shared" si="56"/>
        <v>90</v>
      </c>
      <c r="W90" s="7678" t="str">
        <f t="shared" si="86"/>
        <v>0</v>
      </c>
      <c r="X90" s="7677" t="s">
        <v>2</v>
      </c>
      <c r="Y90" s="7702" t="str">
        <f t="shared" si="57"/>
        <v>0</v>
      </c>
      <c r="Z90" s="7703" t="str">
        <f t="shared" si="58"/>
        <v/>
      </c>
      <c r="AA90" s="7681" t="str">
        <f t="shared" si="59"/>
        <v>0</v>
      </c>
      <c r="AB90" s="7682" t="str">
        <f t="shared" si="60"/>
        <v/>
      </c>
      <c r="AC90" s="7677">
        <f t="shared" si="61"/>
        <v>0</v>
      </c>
      <c r="AD90" s="7677">
        <f t="shared" si="62"/>
        <v>0</v>
      </c>
      <c r="AE90" s="7682" t="str">
        <f t="shared" si="63"/>
        <v>aucun match</v>
      </c>
      <c r="AF90" s="6625" t="str">
        <f t="shared" si="64"/>
        <v>0</v>
      </c>
      <c r="AG90" s="6625" t="str">
        <f t="shared" si="65"/>
        <v>0</v>
      </c>
      <c r="AH90" s="6625" t="str">
        <f t="shared" si="66"/>
        <v>0</v>
      </c>
      <c r="AI90" s="6625" t="str">
        <f t="shared" si="67"/>
        <v xml:space="preserve"> 0 </v>
      </c>
      <c r="AJ90" s="6625" cm="1">
        <f t="array" ref="AJ90">IF(W90="",0,SUMPRODUCT((CA4:CA795="Gluten")*(CB4:CB795="INFO")*(COUNTIF(AI90,"*"&amp;CC4:CC795&amp;"*")&gt;0)*1))</f>
        <v>0</v>
      </c>
      <c r="AK90" s="6625" cm="1">
        <f t="array" ref="AK90">IF(W90="",0,SUMPRODUCT((CA4:CA795="Gluten")*(CB4:CB795="EXCL")*(COUNTIF(AI90,"*"&amp;CC4:CC795&amp;"*")&gt;0)*1))</f>
        <v>0</v>
      </c>
      <c r="AL90" s="6625" cm="1">
        <f t="array" ref="AL90">IF(W90="",0,SUMPRODUCT((CA4:CA795="Gluten")*(CB4:CB795="ALERTE")*(COUNTIF(AI90,"*"&amp;CC4:CC795&amp;"*")&gt;0)*1))</f>
        <v>0</v>
      </c>
      <c r="AM90" s="6625" cm="1">
        <f t="array" ref="AM90">IF(W90="",0,SUMPRODUCT((CA4:CA795="Gluten")*(CB4:CB795="SUSP")*(COUNTIF(AI90,"*"&amp;CC4:CC795&amp;"*")&gt;0)*1))</f>
        <v>0</v>
      </c>
      <c r="AN90" s="6625" cm="1">
        <f t="array" ref="AN90">IF(W90="",0,SUMPRODUCT((CA4:CA795="Crustaces")*(CB4:CB795="ALERTE")*(COUNTIF(AI90,"*"&amp;CC4:CC795&amp;"*")&gt;0)*1))</f>
        <v>0</v>
      </c>
      <c r="AO90" s="6625" cm="1">
        <f t="array" ref="AO90">IF(W90="",0,SUMPRODUCT((CA4:CA795="Oeufs")*(CB4:CB795="ALERTE")*(COUNTIF(AI90,"*"&amp;CC4:CC795&amp;"*")&gt;0)*1))</f>
        <v>0</v>
      </c>
      <c r="AP90" s="6625" cm="1">
        <f t="array" ref="AP90">IF(W90="",0,SUMPRODUCT((CA4:CA795="Poissons")*(CB4:CB795="INFO")*(COUNTIF(AI90,"*"&amp;CC4:CC795&amp;"*")&gt;0)*1))</f>
        <v>0</v>
      </c>
      <c r="AQ90" s="6625" cm="1">
        <f t="array" ref="AQ90">IF(W90="",0,SUMPRODUCT((CA4:CA795="Poissons")*(CB4:CB795="EXCL")*(COUNTIF(AI90,"*"&amp;CC4:CC795&amp;"*")&gt;0)*1))</f>
        <v>0</v>
      </c>
      <c r="AR90" s="6625" cm="1">
        <f t="array" ref="AR90">IF(W90="",0,SUMPRODUCT((CA4:CA795="Poissons")*(CB4:CB795="ALERTE")*(COUNTIF(AI90,"*"&amp;CC4:CC795&amp;"*")&gt;0)*1))</f>
        <v>0</v>
      </c>
      <c r="AS90" s="6625" cm="1">
        <f t="array" ref="AS90">IF(W90="",0,SUMPRODUCT((CA4:CA795="Arachides")*(CB4:CB795="ALERTE")*(COUNTIF(AI90,"*"&amp;CC4:CC795&amp;"*")&gt;0)*1))</f>
        <v>0</v>
      </c>
      <c r="AT90" s="6625" cm="1">
        <f t="array" ref="AT90">IF(W90="",0,SUMPRODUCT((CA4:CA795="Soja")*(CB4:CB795="INFO")*(COUNTIF(AI90,"*"&amp;CC4:CC795&amp;"*")&gt;0)*1))</f>
        <v>0</v>
      </c>
      <c r="AU90" s="6625" cm="1">
        <f t="array" ref="AU90">IF(W90="",0,SUMPRODUCT((CA4:CA795="Soja")*(CB4:CB795="ALERTE")*(COUNTIF(AI90,"*"&amp;CC4:CC795&amp;"*")&gt;0)*1))</f>
        <v>0</v>
      </c>
      <c r="AV90" s="6625" cm="1">
        <f t="array" ref="AV90">IF(W90="",0,SUMPRODUCT((CA4:CA795="Lait")*(CB4:CB795="INFO")*(COUNTIF(AI90,"*"&amp;CC4:CC795&amp;"*")&gt;0)*1))</f>
        <v>0</v>
      </c>
      <c r="AW90" s="6625" cm="1">
        <f t="array" ref="AW90">IF(W90="",0,SUMPRODUCT((CA4:CA795="Lait")*(CB4:CB795="EXCL")*(COUNTIF(AI90,"*"&amp;CC4:CC795&amp;"*")&gt;0)*1))</f>
        <v>0</v>
      </c>
      <c r="AX90" s="6625" cm="1">
        <f t="array" ref="AX90">IF(W90="",0,SUMPRODUCT((CA4:CA795="Lait")*(CB4:CB795="ALERTE")*(COUNTIF(AI90,"*"&amp;CC4:CC795&amp;"*")&gt;0)*1))</f>
        <v>0</v>
      </c>
      <c r="AY90" s="6625" cm="1">
        <f t="array" ref="AY90">IF(W90="",0,SUMPRODUCT((CA4:CA795="Lait")*(CB4:CB795="SUSP")*(COUNTIF(AI90,"*"&amp;CC4:CC795&amp;"*")&gt;0)*1))</f>
        <v>0</v>
      </c>
      <c r="AZ90" s="6625" cm="1">
        <f t="array" ref="AZ90">IF(W90="",0,SUMPRODUCT((CA4:CA795="Fruits a coque")*(CB4:CB795="EXCL")*(COUNTIF(AI90,"*"&amp;CC4:CC795&amp;"*")&gt;0)*1))</f>
        <v>0</v>
      </c>
      <c r="BA90" s="6625" cm="1">
        <f t="array" ref="BA90">IF(W90="",0,SUMPRODUCT((CA4:CA795="Fruits a coque")*(CB4:CB795="ALERTE")*(COUNTIF(AI90,"*"&amp;CC4:CC795&amp;"*")&gt;0)*1))</f>
        <v>0</v>
      </c>
      <c r="BB90" s="6625" cm="1">
        <f t="array" ref="BB90">IF(W90="",0,SUMPRODUCT((CA4:CA795="Celeri")*(CB4:CB795="ALERTE")*(COUNTIF(AI90,"*"&amp;CC4:CC795&amp;"*")&gt;0)*1))</f>
        <v>0</v>
      </c>
      <c r="BC90" s="6625" cm="1">
        <f t="array" ref="BC90">IF(W90="",0,SUMPRODUCT((CA4:CA795="Moutarde")*(CB4:CB795="ALERTE")*(COUNTIF(AI90,"*"&amp;CC4:CC795&amp;"*")&gt;0)*1))</f>
        <v>0</v>
      </c>
      <c r="BD90" s="6625" cm="1">
        <f t="array" ref="BD90">IF(W90="",0,SUMPRODUCT((CA4:CA795="Sesame")*(CB4:CB795="ALERTE")*(COUNTIF(AI90,"*"&amp;CC4:CC795&amp;"*")&gt;0)*1))</f>
        <v>0</v>
      </c>
      <c r="BE90" s="6625" cm="1">
        <f t="array" ref="BE90">IF(W90="",0,SUMPRODUCT((CA4:CA795="Sulfites")*(CB4:CB795="ALERTE")*(COUNTIF(AI90,"*"&amp;CC4:CC795&amp;"*")&gt;0)*1))</f>
        <v>0</v>
      </c>
      <c r="BF90" s="6625" cm="1">
        <f t="array" ref="BF90">IF(W90="",0,SUMPRODUCT((CA4:CA795="Lupin")*(CB4:CB795="ALERTE")*(COUNTIF(AI90,"*"&amp;CC4:CC795&amp;"*")&gt;0)*1))</f>
        <v>0</v>
      </c>
      <c r="BG90" s="6625" cm="1">
        <f t="array" ref="BG90">IF(W90="",0,SUMPRODUCT((CA4:CA795="Mollusques")*(CB4:CB795="EXCL")*(COUNTIF(AI90,"*"&amp;CC4:CC795&amp;"*")&gt;0)*1))</f>
        <v>0</v>
      </c>
      <c r="BH90" s="6625" cm="1">
        <f t="array" ref="BH90">IF(W90="",0,SUMPRODUCT((CA4:CA795="Mollusques")*(CB4:CB795="ALERTE")*(COUNTIF(AI90,"*"&amp;CC4:CC795&amp;"*")&gt;0)*1))</f>
        <v>0</v>
      </c>
      <c r="BI90" s="6625" t="str">
        <f t="shared" si="68"/>
        <v/>
      </c>
      <c r="BJ90" s="6625" t="str">
        <f t="shared" si="69"/>
        <v/>
      </c>
      <c r="BK90" s="6625" t="str">
        <f t="shared" si="70"/>
        <v/>
      </c>
      <c r="BL90" s="6625" t="str">
        <f t="shared" si="71"/>
        <v/>
      </c>
      <c r="BM90" s="6625" t="str">
        <f t="shared" si="72"/>
        <v/>
      </c>
      <c r="BN90" s="6625" t="str">
        <f t="shared" si="73"/>
        <v/>
      </c>
      <c r="BO90" s="6625" t="str">
        <f t="shared" si="74"/>
        <v/>
      </c>
      <c r="BP90" s="6625" t="str">
        <f t="shared" si="75"/>
        <v/>
      </c>
      <c r="BQ90" s="6625" t="str">
        <f t="shared" si="76"/>
        <v/>
      </c>
      <c r="BR90" s="6625" t="str">
        <f t="shared" si="77"/>
        <v/>
      </c>
      <c r="BS90" s="6625" t="str">
        <f t="shared" si="78"/>
        <v/>
      </c>
      <c r="BT90" s="6625" t="str">
        <f t="shared" si="79"/>
        <v/>
      </c>
      <c r="BU90" s="6625" t="str">
        <f t="shared" si="80"/>
        <v/>
      </c>
      <c r="BV90" s="6625" t="str">
        <f t="shared" si="81"/>
        <v/>
      </c>
      <c r="BW90" s="6625" t="str">
        <f t="shared" si="82"/>
        <v/>
      </c>
      <c r="BX90" s="6625" t="str">
        <f t="shared" si="83"/>
        <v/>
      </c>
      <c r="CA90" s="3170" t="s">
        <v>16501</v>
      </c>
      <c r="CB90" s="7634" t="s">
        <v>16255</v>
      </c>
      <c r="CC90" s="3170" t="s">
        <v>16509</v>
      </c>
      <c r="CD90" s="3170" t="s">
        <v>16510</v>
      </c>
    </row>
    <row r="91" spans="2:82" ht="30" customHeight="1">
      <c r="B91" s="7661" t="str">
        <f t="shared" si="44"/>
        <v>►&gt; &gt; &gt;</v>
      </c>
      <c r="C91" s="7661" t="str">
        <f t="shared" si="45"/>
        <v>►&gt; &gt; &gt;</v>
      </c>
      <c r="D91" s="7661" t="str">
        <f t="shared" si="46"/>
        <v>►&gt; &gt; &gt;</v>
      </c>
      <c r="E91" s="7661">
        <f>IF(H90&lt;&gt;"",E90,IF(E90="","",IFERROR(MATCH(TRUE(),INDEX(INDEX($K:$K,E90+1):$K$203&lt;&gt;"",0),0)+E90,"")))</f>
        <v>266</v>
      </c>
      <c r="F91" s="7661">
        <f t="shared" si="84"/>
        <v>0</v>
      </c>
      <c r="G91" s="7661" t="str">
        <f t="shared" si="47"/>
        <v>0</v>
      </c>
      <c r="H91" s="7672" t="str">
        <f t="shared" si="48"/>
        <v/>
      </c>
      <c r="I91" s="7683" t="str">
        <f t="shared" si="49"/>
        <v/>
      </c>
      <c r="J91" s="7673">
        <f>IF(K91="","",COUNTIF($K$18:K91,"&lt;&gt;"))</f>
        <v>3</v>
      </c>
      <c r="K91" s="7674" t="s">
        <v>16511</v>
      </c>
      <c r="L91" s="7673">
        <f t="shared" si="50"/>
        <v>6</v>
      </c>
      <c r="M91" s="7630">
        <f t="shared" si="51"/>
        <v>1</v>
      </c>
      <c r="N91" s="7675">
        <f t="shared" si="52"/>
        <v>74</v>
      </c>
      <c r="O91" s="7676" t="str">
        <f t="shared" si="53"/>
        <v>0</v>
      </c>
      <c r="P91" s="7675">
        <f t="shared" si="54"/>
        <v>1</v>
      </c>
      <c r="Q91" s="7675">
        <f t="shared" si="55"/>
        <v>1</v>
      </c>
      <c r="S91" s="7679" t="str">
        <f t="shared" si="85"/>
        <v>0</v>
      </c>
      <c r="T91" s="7680" t="str">
        <f t="shared" si="85"/>
        <v/>
      </c>
      <c r="V91" s="7677">
        <f t="shared" si="56"/>
        <v>91</v>
      </c>
      <c r="W91" s="7678" t="str">
        <f t="shared" si="86"/>
        <v>0</v>
      </c>
      <c r="X91" s="7677" t="s">
        <v>2</v>
      </c>
      <c r="Y91" s="7702" t="str">
        <f t="shared" si="57"/>
        <v>0</v>
      </c>
      <c r="Z91" s="7703" t="str">
        <f t="shared" si="58"/>
        <v/>
      </c>
      <c r="AA91" s="7681" t="str">
        <f t="shared" si="59"/>
        <v>0</v>
      </c>
      <c r="AB91" s="7682" t="str">
        <f t="shared" si="60"/>
        <v/>
      </c>
      <c r="AC91" s="7677">
        <f t="shared" si="61"/>
        <v>0</v>
      </c>
      <c r="AD91" s="7677">
        <f t="shared" si="62"/>
        <v>0</v>
      </c>
      <c r="AE91" s="7682" t="str">
        <f t="shared" si="63"/>
        <v>aucun match</v>
      </c>
      <c r="AF91" s="6625" t="str">
        <f t="shared" si="64"/>
        <v>0</v>
      </c>
      <c r="AG91" s="6625" t="str">
        <f t="shared" si="65"/>
        <v>0</v>
      </c>
      <c r="AH91" s="6625" t="str">
        <f t="shared" si="66"/>
        <v>0</v>
      </c>
      <c r="AI91" s="6625" t="str">
        <f t="shared" si="67"/>
        <v xml:space="preserve"> 0 </v>
      </c>
      <c r="AJ91" s="6625" cm="1">
        <f t="array" ref="AJ91">IF(W91="",0,SUMPRODUCT((CA4:CA795="Gluten")*(CB4:CB795="INFO")*(COUNTIF(AI91,"*"&amp;CC4:CC795&amp;"*")&gt;0)*1))</f>
        <v>0</v>
      </c>
      <c r="AK91" s="6625" cm="1">
        <f t="array" ref="AK91">IF(W91="",0,SUMPRODUCT((CA4:CA795="Gluten")*(CB4:CB795="EXCL")*(COUNTIF(AI91,"*"&amp;CC4:CC795&amp;"*")&gt;0)*1))</f>
        <v>0</v>
      </c>
      <c r="AL91" s="6625" cm="1">
        <f t="array" ref="AL91">IF(W91="",0,SUMPRODUCT((CA4:CA795="Gluten")*(CB4:CB795="ALERTE")*(COUNTIF(AI91,"*"&amp;CC4:CC795&amp;"*")&gt;0)*1))</f>
        <v>0</v>
      </c>
      <c r="AM91" s="6625" cm="1">
        <f t="array" ref="AM91">IF(W91="",0,SUMPRODUCT((CA4:CA795="Gluten")*(CB4:CB795="SUSP")*(COUNTIF(AI91,"*"&amp;CC4:CC795&amp;"*")&gt;0)*1))</f>
        <v>0</v>
      </c>
      <c r="AN91" s="6625" cm="1">
        <f t="array" ref="AN91">IF(W91="",0,SUMPRODUCT((CA4:CA795="Crustaces")*(CB4:CB795="ALERTE")*(COUNTIF(AI91,"*"&amp;CC4:CC795&amp;"*")&gt;0)*1))</f>
        <v>0</v>
      </c>
      <c r="AO91" s="6625" cm="1">
        <f t="array" ref="AO91">IF(W91="",0,SUMPRODUCT((CA4:CA795="Oeufs")*(CB4:CB795="ALERTE")*(COUNTIF(AI91,"*"&amp;CC4:CC795&amp;"*")&gt;0)*1))</f>
        <v>0</v>
      </c>
      <c r="AP91" s="6625" cm="1">
        <f t="array" ref="AP91">IF(W91="",0,SUMPRODUCT((CA4:CA795="Poissons")*(CB4:CB795="INFO")*(COUNTIF(AI91,"*"&amp;CC4:CC795&amp;"*")&gt;0)*1))</f>
        <v>0</v>
      </c>
      <c r="AQ91" s="6625" cm="1">
        <f t="array" ref="AQ91">IF(W91="",0,SUMPRODUCT((CA4:CA795="Poissons")*(CB4:CB795="EXCL")*(COUNTIF(AI91,"*"&amp;CC4:CC795&amp;"*")&gt;0)*1))</f>
        <v>0</v>
      </c>
      <c r="AR91" s="6625" cm="1">
        <f t="array" ref="AR91">IF(W91="",0,SUMPRODUCT((CA4:CA795="Poissons")*(CB4:CB795="ALERTE")*(COUNTIF(AI91,"*"&amp;CC4:CC795&amp;"*")&gt;0)*1))</f>
        <v>0</v>
      </c>
      <c r="AS91" s="6625" cm="1">
        <f t="array" ref="AS91">IF(W91="",0,SUMPRODUCT((CA4:CA795="Arachides")*(CB4:CB795="ALERTE")*(COUNTIF(AI91,"*"&amp;CC4:CC795&amp;"*")&gt;0)*1))</f>
        <v>0</v>
      </c>
      <c r="AT91" s="6625" cm="1">
        <f t="array" ref="AT91">IF(W91="",0,SUMPRODUCT((CA4:CA795="Soja")*(CB4:CB795="INFO")*(COUNTIF(AI91,"*"&amp;CC4:CC795&amp;"*")&gt;0)*1))</f>
        <v>0</v>
      </c>
      <c r="AU91" s="6625" cm="1">
        <f t="array" ref="AU91">IF(W91="",0,SUMPRODUCT((CA4:CA795="Soja")*(CB4:CB795="ALERTE")*(COUNTIF(AI91,"*"&amp;CC4:CC795&amp;"*")&gt;0)*1))</f>
        <v>0</v>
      </c>
      <c r="AV91" s="6625" cm="1">
        <f t="array" ref="AV91">IF(W91="",0,SUMPRODUCT((CA4:CA795="Lait")*(CB4:CB795="INFO")*(COUNTIF(AI91,"*"&amp;CC4:CC795&amp;"*")&gt;0)*1))</f>
        <v>0</v>
      </c>
      <c r="AW91" s="6625" cm="1">
        <f t="array" ref="AW91">IF(W91="",0,SUMPRODUCT((CA4:CA795="Lait")*(CB4:CB795="EXCL")*(COUNTIF(AI91,"*"&amp;CC4:CC795&amp;"*")&gt;0)*1))</f>
        <v>0</v>
      </c>
      <c r="AX91" s="6625" cm="1">
        <f t="array" ref="AX91">IF(W91="",0,SUMPRODUCT((CA4:CA795="Lait")*(CB4:CB795="ALERTE")*(COUNTIF(AI91,"*"&amp;CC4:CC795&amp;"*")&gt;0)*1))</f>
        <v>0</v>
      </c>
      <c r="AY91" s="6625" cm="1">
        <f t="array" ref="AY91">IF(W91="",0,SUMPRODUCT((CA4:CA795="Lait")*(CB4:CB795="SUSP")*(COUNTIF(AI91,"*"&amp;CC4:CC795&amp;"*")&gt;0)*1))</f>
        <v>0</v>
      </c>
      <c r="AZ91" s="6625" cm="1">
        <f t="array" ref="AZ91">IF(W91="",0,SUMPRODUCT((CA4:CA795="Fruits a coque")*(CB4:CB795="EXCL")*(COUNTIF(AI91,"*"&amp;CC4:CC795&amp;"*")&gt;0)*1))</f>
        <v>0</v>
      </c>
      <c r="BA91" s="6625" cm="1">
        <f t="array" ref="BA91">IF(W91="",0,SUMPRODUCT((CA4:CA795="Fruits a coque")*(CB4:CB795="ALERTE")*(COUNTIF(AI91,"*"&amp;CC4:CC795&amp;"*")&gt;0)*1))</f>
        <v>0</v>
      </c>
      <c r="BB91" s="6625" cm="1">
        <f t="array" ref="BB91">IF(W91="",0,SUMPRODUCT((CA4:CA795="Celeri")*(CB4:CB795="ALERTE")*(COUNTIF(AI91,"*"&amp;CC4:CC795&amp;"*")&gt;0)*1))</f>
        <v>0</v>
      </c>
      <c r="BC91" s="6625" cm="1">
        <f t="array" ref="BC91">IF(W91="",0,SUMPRODUCT((CA4:CA795="Moutarde")*(CB4:CB795="ALERTE")*(COUNTIF(AI91,"*"&amp;CC4:CC795&amp;"*")&gt;0)*1))</f>
        <v>0</v>
      </c>
      <c r="BD91" s="6625" cm="1">
        <f t="array" ref="BD91">IF(W91="",0,SUMPRODUCT((CA4:CA795="Sesame")*(CB4:CB795="ALERTE")*(COUNTIF(AI91,"*"&amp;CC4:CC795&amp;"*")&gt;0)*1))</f>
        <v>0</v>
      </c>
      <c r="BE91" s="6625" cm="1">
        <f t="array" ref="BE91">IF(W91="",0,SUMPRODUCT((CA4:CA795="Sulfites")*(CB4:CB795="ALERTE")*(COUNTIF(AI91,"*"&amp;CC4:CC795&amp;"*")&gt;0)*1))</f>
        <v>0</v>
      </c>
      <c r="BF91" s="6625" cm="1">
        <f t="array" ref="BF91">IF(W91="",0,SUMPRODUCT((CA4:CA795="Lupin")*(CB4:CB795="ALERTE")*(COUNTIF(AI91,"*"&amp;CC4:CC795&amp;"*")&gt;0)*1))</f>
        <v>0</v>
      </c>
      <c r="BG91" s="6625" cm="1">
        <f t="array" ref="BG91">IF(W91="",0,SUMPRODUCT((CA4:CA795="Mollusques")*(CB4:CB795="EXCL")*(COUNTIF(AI91,"*"&amp;CC4:CC795&amp;"*")&gt;0)*1))</f>
        <v>0</v>
      </c>
      <c r="BH91" s="6625" cm="1">
        <f t="array" ref="BH91">IF(W91="",0,SUMPRODUCT((CA4:CA795="Mollusques")*(CB4:CB795="ALERTE")*(COUNTIF(AI91,"*"&amp;CC4:CC795&amp;"*")&gt;0)*1))</f>
        <v>0</v>
      </c>
      <c r="BI91" s="6625" t="str">
        <f t="shared" si="68"/>
        <v/>
      </c>
      <c r="BJ91" s="6625" t="str">
        <f t="shared" si="69"/>
        <v/>
      </c>
      <c r="BK91" s="6625" t="str">
        <f t="shared" si="70"/>
        <v/>
      </c>
      <c r="BL91" s="6625" t="str">
        <f t="shared" si="71"/>
        <v/>
      </c>
      <c r="BM91" s="6625" t="str">
        <f t="shared" si="72"/>
        <v/>
      </c>
      <c r="BN91" s="6625" t="str">
        <f t="shared" si="73"/>
        <v/>
      </c>
      <c r="BO91" s="6625" t="str">
        <f t="shared" si="74"/>
        <v/>
      </c>
      <c r="BP91" s="6625" t="str">
        <f t="shared" si="75"/>
        <v/>
      </c>
      <c r="BQ91" s="6625" t="str">
        <f t="shared" si="76"/>
        <v/>
      </c>
      <c r="BR91" s="6625" t="str">
        <f t="shared" si="77"/>
        <v/>
      </c>
      <c r="BS91" s="6625" t="str">
        <f t="shared" si="78"/>
        <v/>
      </c>
      <c r="BT91" s="6625" t="str">
        <f t="shared" si="79"/>
        <v/>
      </c>
      <c r="BU91" s="6625" t="str">
        <f t="shared" si="80"/>
        <v/>
      </c>
      <c r="BV91" s="6625" t="str">
        <f t="shared" si="81"/>
        <v/>
      </c>
      <c r="BW91" s="6625" t="str">
        <f t="shared" si="82"/>
        <v/>
      </c>
      <c r="BX91" s="6625" t="str">
        <f t="shared" si="83"/>
        <v/>
      </c>
      <c r="CA91" s="3170" t="s">
        <v>16501</v>
      </c>
      <c r="CB91" s="7634" t="s">
        <v>16255</v>
      </c>
      <c r="CC91" s="3170" t="s">
        <v>16512</v>
      </c>
      <c r="CD91" s="3170" t="s">
        <v>16513</v>
      </c>
    </row>
    <row r="92" spans="2:82" ht="30" customHeight="1">
      <c r="B92" s="7661" t="str">
        <f t="shared" si="44"/>
        <v/>
      </c>
      <c r="C92" s="7661" t="str">
        <f t="shared" si="45"/>
        <v/>
      </c>
      <c r="D92" s="7661" t="str">
        <f t="shared" si="46"/>
        <v/>
      </c>
      <c r="E92" s="7661">
        <f>IF(H91&lt;&gt;"",E91,IF(E91="","",IFERROR(MATCH(TRUE(),INDEX(INDEX($K:$K,E91+1):$K$203&lt;&gt;"",0),0)+E91,"")))</f>
        <v>267</v>
      </c>
      <c r="F92" s="7661">
        <f t="shared" si="84"/>
        <v>0</v>
      </c>
      <c r="G92" s="7661" t="str">
        <f t="shared" si="47"/>
        <v>0</v>
      </c>
      <c r="H92" s="7672" t="str">
        <f t="shared" si="48"/>
        <v/>
      </c>
      <c r="I92" s="7683" t="str">
        <f t="shared" si="49"/>
        <v/>
      </c>
      <c r="J92" s="7673" t="str">
        <f>IF(K92="","",COUNTIF($K$18:K92,"&lt;&gt;"))</f>
        <v/>
      </c>
      <c r="K92" s="7674"/>
      <c r="L92" s="7673" t="str">
        <f t="shared" si="50"/>
        <v/>
      </c>
      <c r="M92" s="7630">
        <f t="shared" si="51"/>
        <v>1</v>
      </c>
      <c r="N92" s="7675">
        <f t="shared" si="52"/>
        <v>75</v>
      </c>
      <c r="O92" s="7676" t="str">
        <f t="shared" si="53"/>
        <v>0</v>
      </c>
      <c r="P92" s="7675">
        <f t="shared" si="54"/>
        <v>1</v>
      </c>
      <c r="Q92" s="7675">
        <f t="shared" si="55"/>
        <v>1</v>
      </c>
      <c r="S92" s="7679" t="str">
        <f t="shared" si="85"/>
        <v>0</v>
      </c>
      <c r="T92" s="7680" t="str">
        <f t="shared" si="85"/>
        <v/>
      </c>
      <c r="V92" s="7677">
        <f t="shared" si="56"/>
        <v>92</v>
      </c>
      <c r="W92" s="7678" t="str">
        <f t="shared" si="86"/>
        <v>0</v>
      </c>
      <c r="X92" s="7677" t="s">
        <v>2</v>
      </c>
      <c r="Y92" s="7702" t="str">
        <f t="shared" si="57"/>
        <v>0</v>
      </c>
      <c r="Z92" s="7703" t="str">
        <f t="shared" si="58"/>
        <v/>
      </c>
      <c r="AA92" s="7681" t="str">
        <f t="shared" si="59"/>
        <v>0</v>
      </c>
      <c r="AB92" s="7682" t="str">
        <f t="shared" si="60"/>
        <v/>
      </c>
      <c r="AC92" s="7677">
        <f t="shared" si="61"/>
        <v>0</v>
      </c>
      <c r="AD92" s="7677">
        <f t="shared" si="62"/>
        <v>0</v>
      </c>
      <c r="AE92" s="7682" t="str">
        <f t="shared" si="63"/>
        <v>aucun match</v>
      </c>
      <c r="AF92" s="6625" t="str">
        <f t="shared" si="64"/>
        <v>0</v>
      </c>
      <c r="AG92" s="6625" t="str">
        <f t="shared" si="65"/>
        <v>0</v>
      </c>
      <c r="AH92" s="6625" t="str">
        <f t="shared" si="66"/>
        <v>0</v>
      </c>
      <c r="AI92" s="6625" t="str">
        <f t="shared" si="67"/>
        <v xml:space="preserve"> 0 </v>
      </c>
      <c r="AJ92" s="6625" cm="1">
        <f t="array" ref="AJ92">IF(W92="",0,SUMPRODUCT((CA4:CA795="Gluten")*(CB4:CB795="INFO")*(COUNTIF(AI92,"*"&amp;CC4:CC795&amp;"*")&gt;0)*1))</f>
        <v>0</v>
      </c>
      <c r="AK92" s="6625" cm="1">
        <f t="array" ref="AK92">IF(W92="",0,SUMPRODUCT((CA4:CA795="Gluten")*(CB4:CB795="EXCL")*(COUNTIF(AI92,"*"&amp;CC4:CC795&amp;"*")&gt;0)*1))</f>
        <v>0</v>
      </c>
      <c r="AL92" s="6625" cm="1">
        <f t="array" ref="AL92">IF(W92="",0,SUMPRODUCT((CA4:CA795="Gluten")*(CB4:CB795="ALERTE")*(COUNTIF(AI92,"*"&amp;CC4:CC795&amp;"*")&gt;0)*1))</f>
        <v>0</v>
      </c>
      <c r="AM92" s="6625" cm="1">
        <f t="array" ref="AM92">IF(W92="",0,SUMPRODUCT((CA4:CA795="Gluten")*(CB4:CB795="SUSP")*(COUNTIF(AI92,"*"&amp;CC4:CC795&amp;"*")&gt;0)*1))</f>
        <v>0</v>
      </c>
      <c r="AN92" s="6625" cm="1">
        <f t="array" ref="AN92">IF(W92="",0,SUMPRODUCT((CA4:CA795="Crustaces")*(CB4:CB795="ALERTE")*(COUNTIF(AI92,"*"&amp;CC4:CC795&amp;"*")&gt;0)*1))</f>
        <v>0</v>
      </c>
      <c r="AO92" s="6625" cm="1">
        <f t="array" ref="AO92">IF(W92="",0,SUMPRODUCT((CA4:CA795="Oeufs")*(CB4:CB795="ALERTE")*(COUNTIF(AI92,"*"&amp;CC4:CC795&amp;"*")&gt;0)*1))</f>
        <v>0</v>
      </c>
      <c r="AP92" s="6625" cm="1">
        <f t="array" ref="AP92">IF(W92="",0,SUMPRODUCT((CA4:CA795="Poissons")*(CB4:CB795="INFO")*(COUNTIF(AI92,"*"&amp;CC4:CC795&amp;"*")&gt;0)*1))</f>
        <v>0</v>
      </c>
      <c r="AQ92" s="6625" cm="1">
        <f t="array" ref="AQ92">IF(W92="",0,SUMPRODUCT((CA4:CA795="Poissons")*(CB4:CB795="EXCL")*(COUNTIF(AI92,"*"&amp;CC4:CC795&amp;"*")&gt;0)*1))</f>
        <v>0</v>
      </c>
      <c r="AR92" s="6625" cm="1">
        <f t="array" ref="AR92">IF(W92="",0,SUMPRODUCT((CA4:CA795="Poissons")*(CB4:CB795="ALERTE")*(COUNTIF(AI92,"*"&amp;CC4:CC795&amp;"*")&gt;0)*1))</f>
        <v>0</v>
      </c>
      <c r="AS92" s="6625" cm="1">
        <f t="array" ref="AS92">IF(W92="",0,SUMPRODUCT((CA4:CA795="Arachides")*(CB4:CB795="ALERTE")*(COUNTIF(AI92,"*"&amp;CC4:CC795&amp;"*")&gt;0)*1))</f>
        <v>0</v>
      </c>
      <c r="AT92" s="6625" cm="1">
        <f t="array" ref="AT92">IF(W92="",0,SUMPRODUCT((CA4:CA795="Soja")*(CB4:CB795="INFO")*(COUNTIF(AI92,"*"&amp;CC4:CC795&amp;"*")&gt;0)*1))</f>
        <v>0</v>
      </c>
      <c r="AU92" s="6625" cm="1">
        <f t="array" ref="AU92">IF(W92="",0,SUMPRODUCT((CA4:CA795="Soja")*(CB4:CB795="ALERTE")*(COUNTIF(AI92,"*"&amp;CC4:CC795&amp;"*")&gt;0)*1))</f>
        <v>0</v>
      </c>
      <c r="AV92" s="6625" cm="1">
        <f t="array" ref="AV92">IF(W92="",0,SUMPRODUCT((CA4:CA795="Lait")*(CB4:CB795="INFO")*(COUNTIF(AI92,"*"&amp;CC4:CC795&amp;"*")&gt;0)*1))</f>
        <v>0</v>
      </c>
      <c r="AW92" s="6625" cm="1">
        <f t="array" ref="AW92">IF(W92="",0,SUMPRODUCT((CA4:CA795="Lait")*(CB4:CB795="EXCL")*(COUNTIF(AI92,"*"&amp;CC4:CC795&amp;"*")&gt;0)*1))</f>
        <v>0</v>
      </c>
      <c r="AX92" s="6625" cm="1">
        <f t="array" ref="AX92">IF(W92="",0,SUMPRODUCT((CA4:CA795="Lait")*(CB4:CB795="ALERTE")*(COUNTIF(AI92,"*"&amp;CC4:CC795&amp;"*")&gt;0)*1))</f>
        <v>0</v>
      </c>
      <c r="AY92" s="6625" cm="1">
        <f t="array" ref="AY92">IF(W92="",0,SUMPRODUCT((CA4:CA795="Lait")*(CB4:CB795="SUSP")*(COUNTIF(AI92,"*"&amp;CC4:CC795&amp;"*")&gt;0)*1))</f>
        <v>0</v>
      </c>
      <c r="AZ92" s="6625" cm="1">
        <f t="array" ref="AZ92">IF(W92="",0,SUMPRODUCT((CA4:CA795="Fruits a coque")*(CB4:CB795="EXCL")*(COUNTIF(AI92,"*"&amp;CC4:CC795&amp;"*")&gt;0)*1))</f>
        <v>0</v>
      </c>
      <c r="BA92" s="6625" cm="1">
        <f t="array" ref="BA92">IF(W92="",0,SUMPRODUCT((CA4:CA795="Fruits a coque")*(CB4:CB795="ALERTE")*(COUNTIF(AI92,"*"&amp;CC4:CC795&amp;"*")&gt;0)*1))</f>
        <v>0</v>
      </c>
      <c r="BB92" s="6625" cm="1">
        <f t="array" ref="BB92">IF(W92="",0,SUMPRODUCT((CA4:CA795="Celeri")*(CB4:CB795="ALERTE")*(COUNTIF(AI92,"*"&amp;CC4:CC795&amp;"*")&gt;0)*1))</f>
        <v>0</v>
      </c>
      <c r="BC92" s="6625" cm="1">
        <f t="array" ref="BC92">IF(W92="",0,SUMPRODUCT((CA4:CA795="Moutarde")*(CB4:CB795="ALERTE")*(COUNTIF(AI92,"*"&amp;CC4:CC795&amp;"*")&gt;0)*1))</f>
        <v>0</v>
      </c>
      <c r="BD92" s="6625" cm="1">
        <f t="array" ref="BD92">IF(W92="",0,SUMPRODUCT((CA4:CA795="Sesame")*(CB4:CB795="ALERTE")*(COUNTIF(AI92,"*"&amp;CC4:CC795&amp;"*")&gt;0)*1))</f>
        <v>0</v>
      </c>
      <c r="BE92" s="6625" cm="1">
        <f t="array" ref="BE92">IF(W92="",0,SUMPRODUCT((CA4:CA795="Sulfites")*(CB4:CB795="ALERTE")*(COUNTIF(AI92,"*"&amp;CC4:CC795&amp;"*")&gt;0)*1))</f>
        <v>0</v>
      </c>
      <c r="BF92" s="6625" cm="1">
        <f t="array" ref="BF92">IF(W92="",0,SUMPRODUCT((CA4:CA795="Lupin")*(CB4:CB795="ALERTE")*(COUNTIF(AI92,"*"&amp;CC4:CC795&amp;"*")&gt;0)*1))</f>
        <v>0</v>
      </c>
      <c r="BG92" s="6625" cm="1">
        <f t="array" ref="BG92">IF(W92="",0,SUMPRODUCT((CA4:CA795="Mollusques")*(CB4:CB795="EXCL")*(COUNTIF(AI92,"*"&amp;CC4:CC795&amp;"*")&gt;0)*1))</f>
        <v>0</v>
      </c>
      <c r="BH92" s="6625" cm="1">
        <f t="array" ref="BH92">IF(W92="",0,SUMPRODUCT((CA4:CA795="Mollusques")*(CB4:CB795="ALERTE")*(COUNTIF(AI92,"*"&amp;CC4:CC795&amp;"*")&gt;0)*1))</f>
        <v>0</v>
      </c>
      <c r="BI92" s="6625" t="str">
        <f t="shared" si="68"/>
        <v/>
      </c>
      <c r="BJ92" s="6625" t="str">
        <f t="shared" si="69"/>
        <v/>
      </c>
      <c r="BK92" s="6625" t="str">
        <f t="shared" si="70"/>
        <v/>
      </c>
      <c r="BL92" s="6625" t="str">
        <f t="shared" si="71"/>
        <v/>
      </c>
      <c r="BM92" s="6625" t="str">
        <f t="shared" si="72"/>
        <v/>
      </c>
      <c r="BN92" s="6625" t="str">
        <f t="shared" si="73"/>
        <v/>
      </c>
      <c r="BO92" s="6625" t="str">
        <f t="shared" si="74"/>
        <v/>
      </c>
      <c r="BP92" s="6625" t="str">
        <f t="shared" si="75"/>
        <v/>
      </c>
      <c r="BQ92" s="6625" t="str">
        <f t="shared" si="76"/>
        <v/>
      </c>
      <c r="BR92" s="6625" t="str">
        <f t="shared" si="77"/>
        <v/>
      </c>
      <c r="BS92" s="6625" t="str">
        <f t="shared" si="78"/>
        <v/>
      </c>
      <c r="BT92" s="6625" t="str">
        <f t="shared" si="79"/>
        <v/>
      </c>
      <c r="BU92" s="6625" t="str">
        <f t="shared" si="80"/>
        <v/>
      </c>
      <c r="BV92" s="6625" t="str">
        <f t="shared" si="81"/>
        <v/>
      </c>
      <c r="BW92" s="6625" t="str">
        <f t="shared" si="82"/>
        <v/>
      </c>
      <c r="BX92" s="6625" t="str">
        <f t="shared" si="83"/>
        <v/>
      </c>
      <c r="CA92" s="3170" t="s">
        <v>16501</v>
      </c>
      <c r="CB92" s="7634" t="s">
        <v>16255</v>
      </c>
      <c r="CC92" s="3170" t="s">
        <v>16514</v>
      </c>
      <c r="CD92" s="3170" t="s">
        <v>16515</v>
      </c>
    </row>
    <row r="93" spans="2:82" ht="30" customHeight="1">
      <c r="B93" s="7661" t="str">
        <f t="shared" si="44"/>
        <v/>
      </c>
      <c r="C93" s="7661" t="str">
        <f t="shared" si="45"/>
        <v/>
      </c>
      <c r="D93" s="7661" t="str">
        <f t="shared" si="46"/>
        <v/>
      </c>
      <c r="E93" s="7661">
        <f>IF(H92&lt;&gt;"",E92,IF(E92="","",IFERROR(MATCH(TRUE(),INDEX(INDEX($K:$K,E92+1):$K$203&lt;&gt;"",0),0)+E92,"")))</f>
        <v>268</v>
      </c>
      <c r="F93" s="7661">
        <f t="shared" si="84"/>
        <v>0</v>
      </c>
      <c r="G93" s="7661" t="str">
        <f t="shared" si="47"/>
        <v>0</v>
      </c>
      <c r="H93" s="7672" t="str">
        <f t="shared" si="48"/>
        <v/>
      </c>
      <c r="I93" s="7683" t="str">
        <f t="shared" si="49"/>
        <v/>
      </c>
      <c r="J93" s="7673" t="str">
        <f>IF(K93="","",COUNTIF($K$18:K93,"&lt;&gt;"))</f>
        <v/>
      </c>
      <c r="K93" s="7674"/>
      <c r="L93" s="7673" t="str">
        <f t="shared" si="50"/>
        <v/>
      </c>
      <c r="M93" s="7630">
        <f t="shared" si="51"/>
        <v>1</v>
      </c>
      <c r="N93" s="7675">
        <f t="shared" si="52"/>
        <v>76</v>
      </c>
      <c r="O93" s="7676" t="str">
        <f t="shared" si="53"/>
        <v>0</v>
      </c>
      <c r="P93" s="7675">
        <f t="shared" si="54"/>
        <v>1</v>
      </c>
      <c r="Q93" s="7675">
        <f t="shared" si="55"/>
        <v>1</v>
      </c>
      <c r="S93" s="7679" t="str">
        <f t="shared" si="85"/>
        <v>0</v>
      </c>
      <c r="T93" s="7680" t="str">
        <f t="shared" si="85"/>
        <v/>
      </c>
      <c r="V93" s="7677">
        <f t="shared" si="56"/>
        <v>93</v>
      </c>
      <c r="W93" s="7678" t="str">
        <f t="shared" si="86"/>
        <v>0</v>
      </c>
      <c r="X93" s="7677" t="s">
        <v>2</v>
      </c>
      <c r="Y93" s="7702" t="str">
        <f t="shared" si="57"/>
        <v>0</v>
      </c>
      <c r="Z93" s="7703" t="str">
        <f t="shared" si="58"/>
        <v/>
      </c>
      <c r="AA93" s="7681" t="str">
        <f t="shared" si="59"/>
        <v>0</v>
      </c>
      <c r="AB93" s="7682" t="str">
        <f t="shared" si="60"/>
        <v/>
      </c>
      <c r="AC93" s="7677">
        <f t="shared" si="61"/>
        <v>0</v>
      </c>
      <c r="AD93" s="7677">
        <f t="shared" si="62"/>
        <v>0</v>
      </c>
      <c r="AE93" s="7682" t="str">
        <f t="shared" si="63"/>
        <v>aucun match</v>
      </c>
      <c r="AF93" s="6625" t="str">
        <f t="shared" si="64"/>
        <v>0</v>
      </c>
      <c r="AG93" s="6625" t="str">
        <f t="shared" si="65"/>
        <v>0</v>
      </c>
      <c r="AH93" s="6625" t="str">
        <f t="shared" si="66"/>
        <v>0</v>
      </c>
      <c r="AI93" s="6625" t="str">
        <f t="shared" si="67"/>
        <v xml:space="preserve"> 0 </v>
      </c>
      <c r="AJ93" s="6625" cm="1">
        <f t="array" ref="AJ93">IF(W93="",0,SUMPRODUCT((CA4:CA795="Gluten")*(CB4:CB795="INFO")*(COUNTIF(AI93,"*"&amp;CC4:CC795&amp;"*")&gt;0)*1))</f>
        <v>0</v>
      </c>
      <c r="AK93" s="6625" cm="1">
        <f t="array" ref="AK93">IF(W93="",0,SUMPRODUCT((CA4:CA795="Gluten")*(CB4:CB795="EXCL")*(COUNTIF(AI93,"*"&amp;CC4:CC795&amp;"*")&gt;0)*1))</f>
        <v>0</v>
      </c>
      <c r="AL93" s="6625" cm="1">
        <f t="array" ref="AL93">IF(W93="",0,SUMPRODUCT((CA4:CA795="Gluten")*(CB4:CB795="ALERTE")*(COUNTIF(AI93,"*"&amp;CC4:CC795&amp;"*")&gt;0)*1))</f>
        <v>0</v>
      </c>
      <c r="AM93" s="6625" cm="1">
        <f t="array" ref="AM93">IF(W93="",0,SUMPRODUCT((CA4:CA795="Gluten")*(CB4:CB795="SUSP")*(COUNTIF(AI93,"*"&amp;CC4:CC795&amp;"*")&gt;0)*1))</f>
        <v>0</v>
      </c>
      <c r="AN93" s="6625" cm="1">
        <f t="array" ref="AN93">IF(W93="",0,SUMPRODUCT((CA4:CA795="Crustaces")*(CB4:CB795="ALERTE")*(COUNTIF(AI93,"*"&amp;CC4:CC795&amp;"*")&gt;0)*1))</f>
        <v>0</v>
      </c>
      <c r="AO93" s="6625" cm="1">
        <f t="array" ref="AO93">IF(W93="",0,SUMPRODUCT((CA4:CA795="Oeufs")*(CB4:CB795="ALERTE")*(COUNTIF(AI93,"*"&amp;CC4:CC795&amp;"*")&gt;0)*1))</f>
        <v>0</v>
      </c>
      <c r="AP93" s="6625" cm="1">
        <f t="array" ref="AP93">IF(W93="",0,SUMPRODUCT((CA4:CA795="Poissons")*(CB4:CB795="INFO")*(COUNTIF(AI93,"*"&amp;CC4:CC795&amp;"*")&gt;0)*1))</f>
        <v>0</v>
      </c>
      <c r="AQ93" s="6625" cm="1">
        <f t="array" ref="AQ93">IF(W93="",0,SUMPRODUCT((CA4:CA795="Poissons")*(CB4:CB795="EXCL")*(COUNTIF(AI93,"*"&amp;CC4:CC795&amp;"*")&gt;0)*1))</f>
        <v>0</v>
      </c>
      <c r="AR93" s="6625" cm="1">
        <f t="array" ref="AR93">IF(W93="",0,SUMPRODUCT((CA4:CA795="Poissons")*(CB4:CB795="ALERTE")*(COUNTIF(AI93,"*"&amp;CC4:CC795&amp;"*")&gt;0)*1))</f>
        <v>0</v>
      </c>
      <c r="AS93" s="6625" cm="1">
        <f t="array" ref="AS93">IF(W93="",0,SUMPRODUCT((CA4:CA795="Arachides")*(CB4:CB795="ALERTE")*(COUNTIF(AI93,"*"&amp;CC4:CC795&amp;"*")&gt;0)*1))</f>
        <v>0</v>
      </c>
      <c r="AT93" s="6625" cm="1">
        <f t="array" ref="AT93">IF(W93="",0,SUMPRODUCT((CA4:CA795="Soja")*(CB4:CB795="INFO")*(COUNTIF(AI93,"*"&amp;CC4:CC795&amp;"*")&gt;0)*1))</f>
        <v>0</v>
      </c>
      <c r="AU93" s="6625" cm="1">
        <f t="array" ref="AU93">IF(W93="",0,SUMPRODUCT((CA4:CA795="Soja")*(CB4:CB795="ALERTE")*(COUNTIF(AI93,"*"&amp;CC4:CC795&amp;"*")&gt;0)*1))</f>
        <v>0</v>
      </c>
      <c r="AV93" s="6625" cm="1">
        <f t="array" ref="AV93">IF(W93="",0,SUMPRODUCT((CA4:CA795="Lait")*(CB4:CB795="INFO")*(COUNTIF(AI93,"*"&amp;CC4:CC795&amp;"*")&gt;0)*1))</f>
        <v>0</v>
      </c>
      <c r="AW93" s="6625" cm="1">
        <f t="array" ref="AW93">IF(W93="",0,SUMPRODUCT((CA4:CA795="Lait")*(CB4:CB795="EXCL")*(COUNTIF(AI93,"*"&amp;CC4:CC795&amp;"*")&gt;0)*1))</f>
        <v>0</v>
      </c>
      <c r="AX93" s="6625" cm="1">
        <f t="array" ref="AX93">IF(W93="",0,SUMPRODUCT((CA4:CA795="Lait")*(CB4:CB795="ALERTE")*(COUNTIF(AI93,"*"&amp;CC4:CC795&amp;"*")&gt;0)*1))</f>
        <v>0</v>
      </c>
      <c r="AY93" s="6625" cm="1">
        <f t="array" ref="AY93">IF(W93="",0,SUMPRODUCT((CA4:CA795="Lait")*(CB4:CB795="SUSP")*(COUNTIF(AI93,"*"&amp;CC4:CC795&amp;"*")&gt;0)*1))</f>
        <v>0</v>
      </c>
      <c r="AZ93" s="6625" cm="1">
        <f t="array" ref="AZ93">IF(W93="",0,SUMPRODUCT((CA4:CA795="Fruits a coque")*(CB4:CB795="EXCL")*(COUNTIF(AI93,"*"&amp;CC4:CC795&amp;"*")&gt;0)*1))</f>
        <v>0</v>
      </c>
      <c r="BA93" s="6625" cm="1">
        <f t="array" ref="BA93">IF(W93="",0,SUMPRODUCT((CA4:CA795="Fruits a coque")*(CB4:CB795="ALERTE")*(COUNTIF(AI93,"*"&amp;CC4:CC795&amp;"*")&gt;0)*1))</f>
        <v>0</v>
      </c>
      <c r="BB93" s="6625" cm="1">
        <f t="array" ref="BB93">IF(W93="",0,SUMPRODUCT((CA4:CA795="Celeri")*(CB4:CB795="ALERTE")*(COUNTIF(AI93,"*"&amp;CC4:CC795&amp;"*")&gt;0)*1))</f>
        <v>0</v>
      </c>
      <c r="BC93" s="6625" cm="1">
        <f t="array" ref="BC93">IF(W93="",0,SUMPRODUCT((CA4:CA795="Moutarde")*(CB4:CB795="ALERTE")*(COUNTIF(AI93,"*"&amp;CC4:CC795&amp;"*")&gt;0)*1))</f>
        <v>0</v>
      </c>
      <c r="BD93" s="6625" cm="1">
        <f t="array" ref="BD93">IF(W93="",0,SUMPRODUCT((CA4:CA795="Sesame")*(CB4:CB795="ALERTE")*(COUNTIF(AI93,"*"&amp;CC4:CC795&amp;"*")&gt;0)*1))</f>
        <v>0</v>
      </c>
      <c r="BE93" s="6625" cm="1">
        <f t="array" ref="BE93">IF(W93="",0,SUMPRODUCT((CA4:CA795="Sulfites")*(CB4:CB795="ALERTE")*(COUNTIF(AI93,"*"&amp;CC4:CC795&amp;"*")&gt;0)*1))</f>
        <v>0</v>
      </c>
      <c r="BF93" s="6625" cm="1">
        <f t="array" ref="BF93">IF(W93="",0,SUMPRODUCT((CA4:CA795="Lupin")*(CB4:CB795="ALERTE")*(COUNTIF(AI93,"*"&amp;CC4:CC795&amp;"*")&gt;0)*1))</f>
        <v>0</v>
      </c>
      <c r="BG93" s="6625" cm="1">
        <f t="array" ref="BG93">IF(W93="",0,SUMPRODUCT((CA4:CA795="Mollusques")*(CB4:CB795="EXCL")*(COUNTIF(AI93,"*"&amp;CC4:CC795&amp;"*")&gt;0)*1))</f>
        <v>0</v>
      </c>
      <c r="BH93" s="6625" cm="1">
        <f t="array" ref="BH93">IF(W93="",0,SUMPRODUCT((CA4:CA795="Mollusques")*(CB4:CB795="ALERTE")*(COUNTIF(AI93,"*"&amp;CC4:CC795&amp;"*")&gt;0)*1))</f>
        <v>0</v>
      </c>
      <c r="BI93" s="6625" t="str">
        <f t="shared" si="68"/>
        <v/>
      </c>
      <c r="BJ93" s="6625" t="str">
        <f t="shared" si="69"/>
        <v/>
      </c>
      <c r="BK93" s="6625" t="str">
        <f t="shared" si="70"/>
        <v/>
      </c>
      <c r="BL93" s="6625" t="str">
        <f t="shared" si="71"/>
        <v/>
      </c>
      <c r="BM93" s="6625" t="str">
        <f t="shared" si="72"/>
        <v/>
      </c>
      <c r="BN93" s="6625" t="str">
        <f t="shared" si="73"/>
        <v/>
      </c>
      <c r="BO93" s="6625" t="str">
        <f t="shared" si="74"/>
        <v/>
      </c>
      <c r="BP93" s="6625" t="str">
        <f t="shared" si="75"/>
        <v/>
      </c>
      <c r="BQ93" s="6625" t="str">
        <f t="shared" si="76"/>
        <v/>
      </c>
      <c r="BR93" s="6625" t="str">
        <f t="shared" si="77"/>
        <v/>
      </c>
      <c r="BS93" s="6625" t="str">
        <f t="shared" si="78"/>
        <v/>
      </c>
      <c r="BT93" s="6625" t="str">
        <f t="shared" si="79"/>
        <v/>
      </c>
      <c r="BU93" s="6625" t="str">
        <f t="shared" si="80"/>
        <v/>
      </c>
      <c r="BV93" s="6625" t="str">
        <f t="shared" si="81"/>
        <v/>
      </c>
      <c r="BW93" s="6625" t="str">
        <f t="shared" si="82"/>
        <v/>
      </c>
      <c r="BX93" s="6625" t="str">
        <f t="shared" si="83"/>
        <v/>
      </c>
      <c r="CA93" s="3170" t="s">
        <v>16501</v>
      </c>
      <c r="CB93" s="7634" t="s">
        <v>16255</v>
      </c>
      <c r="CC93" s="3170" t="s">
        <v>16516</v>
      </c>
      <c r="CD93" s="3170" t="s">
        <v>16517</v>
      </c>
    </row>
    <row r="94" spans="2:82" ht="30" customHeight="1">
      <c r="B94" s="7661" t="str">
        <f t="shared" si="44"/>
        <v/>
      </c>
      <c r="C94" s="7661" t="str">
        <f t="shared" si="45"/>
        <v/>
      </c>
      <c r="D94" s="7661" t="str">
        <f t="shared" si="46"/>
        <v/>
      </c>
      <c r="E94" s="7661">
        <f>IF(H93&lt;&gt;"",E93,IF(E93="","",IFERROR(MATCH(TRUE(),INDEX(INDEX($K:$K,E93+1):$K$203&lt;&gt;"",0),0)+E93,"")))</f>
        <v>269</v>
      </c>
      <c r="F94" s="7661">
        <f t="shared" si="84"/>
        <v>0</v>
      </c>
      <c r="G94" s="7661" t="str">
        <f t="shared" si="47"/>
        <v>0</v>
      </c>
      <c r="H94" s="7672" t="str">
        <f t="shared" si="48"/>
        <v/>
      </c>
      <c r="I94" s="7683" t="str">
        <f t="shared" si="49"/>
        <v/>
      </c>
      <c r="J94" s="7673" t="str">
        <f>IF(K94="","",COUNTIF($K$18:K94,"&lt;&gt;"))</f>
        <v/>
      </c>
      <c r="K94" s="7674"/>
      <c r="L94" s="7673" t="str">
        <f t="shared" si="50"/>
        <v/>
      </c>
      <c r="M94" s="7630">
        <f t="shared" si="51"/>
        <v>1</v>
      </c>
      <c r="N94" s="7675">
        <f t="shared" si="52"/>
        <v>77</v>
      </c>
      <c r="O94" s="7676" t="str">
        <f t="shared" si="53"/>
        <v>0</v>
      </c>
      <c r="P94" s="7675">
        <f t="shared" si="54"/>
        <v>1</v>
      </c>
      <c r="Q94" s="7675">
        <f t="shared" si="55"/>
        <v>1</v>
      </c>
      <c r="S94" s="7679" t="str">
        <f t="shared" si="85"/>
        <v>0</v>
      </c>
      <c r="T94" s="7680" t="str">
        <f t="shared" si="85"/>
        <v/>
      </c>
      <c r="V94" s="7677">
        <f t="shared" si="56"/>
        <v>94</v>
      </c>
      <c r="W94" s="7678" t="str">
        <f t="shared" si="86"/>
        <v>0</v>
      </c>
      <c r="X94" s="7677" t="s">
        <v>2</v>
      </c>
      <c r="Y94" s="7702" t="str">
        <f t="shared" si="57"/>
        <v>0</v>
      </c>
      <c r="Z94" s="7703" t="str">
        <f t="shared" si="58"/>
        <v/>
      </c>
      <c r="AA94" s="7681" t="str">
        <f t="shared" si="59"/>
        <v>0</v>
      </c>
      <c r="AB94" s="7682" t="str">
        <f t="shared" si="60"/>
        <v/>
      </c>
      <c r="AC94" s="7677">
        <f t="shared" si="61"/>
        <v>0</v>
      </c>
      <c r="AD94" s="7677">
        <f t="shared" si="62"/>
        <v>0</v>
      </c>
      <c r="AE94" s="7682" t="str">
        <f t="shared" si="63"/>
        <v>aucun match</v>
      </c>
      <c r="AF94" s="6625" t="str">
        <f t="shared" si="64"/>
        <v>0</v>
      </c>
      <c r="AG94" s="6625" t="str">
        <f t="shared" si="65"/>
        <v>0</v>
      </c>
      <c r="AH94" s="6625" t="str">
        <f t="shared" si="66"/>
        <v>0</v>
      </c>
      <c r="AI94" s="6625" t="str">
        <f t="shared" si="67"/>
        <v xml:space="preserve"> 0 </v>
      </c>
      <c r="AJ94" s="6625" cm="1">
        <f t="array" ref="AJ94">IF(W94="",0,SUMPRODUCT((CA4:CA795="Gluten")*(CB4:CB795="INFO")*(COUNTIF(AI94,"*"&amp;CC4:CC795&amp;"*")&gt;0)*1))</f>
        <v>0</v>
      </c>
      <c r="AK94" s="6625" cm="1">
        <f t="array" ref="AK94">IF(W94="",0,SUMPRODUCT((CA4:CA795="Gluten")*(CB4:CB795="EXCL")*(COUNTIF(AI94,"*"&amp;CC4:CC795&amp;"*")&gt;0)*1))</f>
        <v>0</v>
      </c>
      <c r="AL94" s="6625" cm="1">
        <f t="array" ref="AL94">IF(W94="",0,SUMPRODUCT((CA4:CA795="Gluten")*(CB4:CB795="ALERTE")*(COUNTIF(AI94,"*"&amp;CC4:CC795&amp;"*")&gt;0)*1))</f>
        <v>0</v>
      </c>
      <c r="AM94" s="6625" cm="1">
        <f t="array" ref="AM94">IF(W94="",0,SUMPRODUCT((CA4:CA795="Gluten")*(CB4:CB795="SUSP")*(COUNTIF(AI94,"*"&amp;CC4:CC795&amp;"*")&gt;0)*1))</f>
        <v>0</v>
      </c>
      <c r="AN94" s="6625" cm="1">
        <f t="array" ref="AN94">IF(W94="",0,SUMPRODUCT((CA4:CA795="Crustaces")*(CB4:CB795="ALERTE")*(COUNTIF(AI94,"*"&amp;CC4:CC795&amp;"*")&gt;0)*1))</f>
        <v>0</v>
      </c>
      <c r="AO94" s="6625" cm="1">
        <f t="array" ref="AO94">IF(W94="",0,SUMPRODUCT((CA4:CA795="Oeufs")*(CB4:CB795="ALERTE")*(COUNTIF(AI94,"*"&amp;CC4:CC795&amp;"*")&gt;0)*1))</f>
        <v>0</v>
      </c>
      <c r="AP94" s="6625" cm="1">
        <f t="array" ref="AP94">IF(W94="",0,SUMPRODUCT((CA4:CA795="Poissons")*(CB4:CB795="INFO")*(COUNTIF(AI94,"*"&amp;CC4:CC795&amp;"*")&gt;0)*1))</f>
        <v>0</v>
      </c>
      <c r="AQ94" s="6625" cm="1">
        <f t="array" ref="AQ94">IF(W94="",0,SUMPRODUCT((CA4:CA795="Poissons")*(CB4:CB795="EXCL")*(COUNTIF(AI94,"*"&amp;CC4:CC795&amp;"*")&gt;0)*1))</f>
        <v>0</v>
      </c>
      <c r="AR94" s="6625" cm="1">
        <f t="array" ref="AR94">IF(W94="",0,SUMPRODUCT((CA4:CA795="Poissons")*(CB4:CB795="ALERTE")*(COUNTIF(AI94,"*"&amp;CC4:CC795&amp;"*")&gt;0)*1))</f>
        <v>0</v>
      </c>
      <c r="AS94" s="6625" cm="1">
        <f t="array" ref="AS94">IF(W94="",0,SUMPRODUCT((CA4:CA795="Arachides")*(CB4:CB795="ALERTE")*(COUNTIF(AI94,"*"&amp;CC4:CC795&amp;"*")&gt;0)*1))</f>
        <v>0</v>
      </c>
      <c r="AT94" s="6625" cm="1">
        <f t="array" ref="AT94">IF(W94="",0,SUMPRODUCT((CA4:CA795="Soja")*(CB4:CB795="INFO")*(COUNTIF(AI94,"*"&amp;CC4:CC795&amp;"*")&gt;0)*1))</f>
        <v>0</v>
      </c>
      <c r="AU94" s="6625" cm="1">
        <f t="array" ref="AU94">IF(W94="",0,SUMPRODUCT((CA4:CA795="Soja")*(CB4:CB795="ALERTE")*(COUNTIF(AI94,"*"&amp;CC4:CC795&amp;"*")&gt;0)*1))</f>
        <v>0</v>
      </c>
      <c r="AV94" s="6625" cm="1">
        <f t="array" ref="AV94">IF(W94="",0,SUMPRODUCT((CA4:CA795="Lait")*(CB4:CB795="INFO")*(COUNTIF(AI94,"*"&amp;CC4:CC795&amp;"*")&gt;0)*1))</f>
        <v>0</v>
      </c>
      <c r="AW94" s="6625" cm="1">
        <f t="array" ref="AW94">IF(W94="",0,SUMPRODUCT((CA4:CA795="Lait")*(CB4:CB795="EXCL")*(COUNTIF(AI94,"*"&amp;CC4:CC795&amp;"*")&gt;0)*1))</f>
        <v>0</v>
      </c>
      <c r="AX94" s="6625" cm="1">
        <f t="array" ref="AX94">IF(W94="",0,SUMPRODUCT((CA4:CA795="Lait")*(CB4:CB795="ALERTE")*(COUNTIF(AI94,"*"&amp;CC4:CC795&amp;"*")&gt;0)*1))</f>
        <v>0</v>
      </c>
      <c r="AY94" s="6625" cm="1">
        <f t="array" ref="AY94">IF(W94="",0,SUMPRODUCT((CA4:CA795="Lait")*(CB4:CB795="SUSP")*(COUNTIF(AI94,"*"&amp;CC4:CC795&amp;"*")&gt;0)*1))</f>
        <v>0</v>
      </c>
      <c r="AZ94" s="6625" cm="1">
        <f t="array" ref="AZ94">IF(W94="",0,SUMPRODUCT((CA4:CA795="Fruits a coque")*(CB4:CB795="EXCL")*(COUNTIF(AI94,"*"&amp;CC4:CC795&amp;"*")&gt;0)*1))</f>
        <v>0</v>
      </c>
      <c r="BA94" s="6625" cm="1">
        <f t="array" ref="BA94">IF(W94="",0,SUMPRODUCT((CA4:CA795="Fruits a coque")*(CB4:CB795="ALERTE")*(COUNTIF(AI94,"*"&amp;CC4:CC795&amp;"*")&gt;0)*1))</f>
        <v>0</v>
      </c>
      <c r="BB94" s="6625" cm="1">
        <f t="array" ref="BB94">IF(W94="",0,SUMPRODUCT((CA4:CA795="Celeri")*(CB4:CB795="ALERTE")*(COUNTIF(AI94,"*"&amp;CC4:CC795&amp;"*")&gt;0)*1))</f>
        <v>0</v>
      </c>
      <c r="BC94" s="6625" cm="1">
        <f t="array" ref="BC94">IF(W94="",0,SUMPRODUCT((CA4:CA795="Moutarde")*(CB4:CB795="ALERTE")*(COUNTIF(AI94,"*"&amp;CC4:CC795&amp;"*")&gt;0)*1))</f>
        <v>0</v>
      </c>
      <c r="BD94" s="6625" cm="1">
        <f t="array" ref="BD94">IF(W94="",0,SUMPRODUCT((CA4:CA795="Sesame")*(CB4:CB795="ALERTE")*(COUNTIF(AI94,"*"&amp;CC4:CC795&amp;"*")&gt;0)*1))</f>
        <v>0</v>
      </c>
      <c r="BE94" s="6625" cm="1">
        <f t="array" ref="BE94">IF(W94="",0,SUMPRODUCT((CA4:CA795="Sulfites")*(CB4:CB795="ALERTE")*(COUNTIF(AI94,"*"&amp;CC4:CC795&amp;"*")&gt;0)*1))</f>
        <v>0</v>
      </c>
      <c r="BF94" s="6625" cm="1">
        <f t="array" ref="BF94">IF(W94="",0,SUMPRODUCT((CA4:CA795="Lupin")*(CB4:CB795="ALERTE")*(COUNTIF(AI94,"*"&amp;CC4:CC795&amp;"*")&gt;0)*1))</f>
        <v>0</v>
      </c>
      <c r="BG94" s="6625" cm="1">
        <f t="array" ref="BG94">IF(W94="",0,SUMPRODUCT((CA4:CA795="Mollusques")*(CB4:CB795="EXCL")*(COUNTIF(AI94,"*"&amp;CC4:CC795&amp;"*")&gt;0)*1))</f>
        <v>0</v>
      </c>
      <c r="BH94" s="6625" cm="1">
        <f t="array" ref="BH94">IF(W94="",0,SUMPRODUCT((CA4:CA795="Mollusques")*(CB4:CB795="ALERTE")*(COUNTIF(AI94,"*"&amp;CC4:CC795&amp;"*")&gt;0)*1))</f>
        <v>0</v>
      </c>
      <c r="BI94" s="6625" t="str">
        <f t="shared" si="68"/>
        <v/>
      </c>
      <c r="BJ94" s="6625" t="str">
        <f t="shared" si="69"/>
        <v/>
      </c>
      <c r="BK94" s="6625" t="str">
        <f t="shared" si="70"/>
        <v/>
      </c>
      <c r="BL94" s="6625" t="str">
        <f t="shared" si="71"/>
        <v/>
      </c>
      <c r="BM94" s="6625" t="str">
        <f t="shared" si="72"/>
        <v/>
      </c>
      <c r="BN94" s="6625" t="str">
        <f t="shared" si="73"/>
        <v/>
      </c>
      <c r="BO94" s="6625" t="str">
        <f t="shared" si="74"/>
        <v/>
      </c>
      <c r="BP94" s="6625" t="str">
        <f t="shared" si="75"/>
        <v/>
      </c>
      <c r="BQ94" s="6625" t="str">
        <f t="shared" si="76"/>
        <v/>
      </c>
      <c r="BR94" s="6625" t="str">
        <f t="shared" si="77"/>
        <v/>
      </c>
      <c r="BS94" s="6625" t="str">
        <f t="shared" si="78"/>
        <v/>
      </c>
      <c r="BT94" s="6625" t="str">
        <f t="shared" si="79"/>
        <v/>
      </c>
      <c r="BU94" s="6625" t="str">
        <f t="shared" si="80"/>
        <v/>
      </c>
      <c r="BV94" s="6625" t="str">
        <f t="shared" si="81"/>
        <v/>
      </c>
      <c r="BW94" s="6625" t="str">
        <f t="shared" si="82"/>
        <v/>
      </c>
      <c r="BX94" s="6625" t="str">
        <f t="shared" si="83"/>
        <v/>
      </c>
      <c r="CA94" s="3170" t="s">
        <v>16501</v>
      </c>
      <c r="CB94" s="7634" t="s">
        <v>16255</v>
      </c>
      <c r="CC94" s="3170" t="s">
        <v>16518</v>
      </c>
      <c r="CD94" s="3170" t="s">
        <v>16519</v>
      </c>
    </row>
    <row r="95" spans="2:82" ht="30" customHeight="1">
      <c r="B95" s="7661" t="str">
        <f t="shared" si="44"/>
        <v/>
      </c>
      <c r="C95" s="7661" t="str">
        <f t="shared" si="45"/>
        <v/>
      </c>
      <c r="D95" s="7661" t="str">
        <f t="shared" si="46"/>
        <v/>
      </c>
      <c r="E95" s="7661">
        <f>IF(H94&lt;&gt;"",E94,IF(E94="","",IFERROR(MATCH(TRUE(),INDEX(INDEX($K:$K,E94+1):$K$203&lt;&gt;"",0),0)+E94,"")))</f>
        <v>270</v>
      </c>
      <c r="F95" s="7661">
        <f t="shared" si="84"/>
        <v>0</v>
      </c>
      <c r="G95" s="7661" t="str">
        <f t="shared" si="47"/>
        <v>0</v>
      </c>
      <c r="H95" s="7672" t="str">
        <f t="shared" si="48"/>
        <v/>
      </c>
      <c r="I95" s="7683" t="str">
        <f t="shared" si="49"/>
        <v/>
      </c>
      <c r="J95" s="7673" t="str">
        <f>IF(K95="","",COUNTIF($K$18:K95,"&lt;&gt;"))</f>
        <v/>
      </c>
      <c r="K95" s="7674"/>
      <c r="L95" s="7673" t="str">
        <f t="shared" si="50"/>
        <v/>
      </c>
      <c r="M95" s="7630">
        <f t="shared" si="51"/>
        <v>1</v>
      </c>
      <c r="N95" s="7675">
        <f t="shared" si="52"/>
        <v>78</v>
      </c>
      <c r="O95" s="7676" t="str">
        <f t="shared" si="53"/>
        <v>0</v>
      </c>
      <c r="P95" s="7675">
        <f t="shared" si="54"/>
        <v>1</v>
      </c>
      <c r="Q95" s="7675">
        <f t="shared" si="55"/>
        <v>1</v>
      </c>
      <c r="S95" s="7679" t="str">
        <f t="shared" si="85"/>
        <v>0</v>
      </c>
      <c r="T95" s="7680" t="str">
        <f t="shared" si="85"/>
        <v/>
      </c>
      <c r="V95" s="7677">
        <f t="shared" si="56"/>
        <v>95</v>
      </c>
      <c r="W95" s="7678" t="str">
        <f t="shared" si="86"/>
        <v>0</v>
      </c>
      <c r="X95" s="7677" t="s">
        <v>2</v>
      </c>
      <c r="Y95" s="7702" t="str">
        <f t="shared" si="57"/>
        <v>0</v>
      </c>
      <c r="Z95" s="7703" t="str">
        <f t="shared" si="58"/>
        <v/>
      </c>
      <c r="AA95" s="7681" t="str">
        <f t="shared" si="59"/>
        <v>0</v>
      </c>
      <c r="AB95" s="7682" t="str">
        <f t="shared" si="60"/>
        <v/>
      </c>
      <c r="AC95" s="7677">
        <f t="shared" si="61"/>
        <v>0</v>
      </c>
      <c r="AD95" s="7677">
        <f t="shared" si="62"/>
        <v>0</v>
      </c>
      <c r="AE95" s="7682" t="str">
        <f t="shared" si="63"/>
        <v>aucun match</v>
      </c>
      <c r="AF95" s="6625" t="str">
        <f t="shared" si="64"/>
        <v>0</v>
      </c>
      <c r="AG95" s="6625" t="str">
        <f t="shared" si="65"/>
        <v>0</v>
      </c>
      <c r="AH95" s="6625" t="str">
        <f t="shared" si="66"/>
        <v>0</v>
      </c>
      <c r="AI95" s="6625" t="str">
        <f t="shared" si="67"/>
        <v xml:space="preserve"> 0 </v>
      </c>
      <c r="AJ95" s="6625" cm="1">
        <f t="array" ref="AJ95">IF(W95="",0,SUMPRODUCT((CA4:CA795="Gluten")*(CB4:CB795="INFO")*(COUNTIF(AI95,"*"&amp;CC4:CC795&amp;"*")&gt;0)*1))</f>
        <v>0</v>
      </c>
      <c r="AK95" s="6625" cm="1">
        <f t="array" ref="AK95">IF(W95="",0,SUMPRODUCT((CA4:CA795="Gluten")*(CB4:CB795="EXCL")*(COUNTIF(AI95,"*"&amp;CC4:CC795&amp;"*")&gt;0)*1))</f>
        <v>0</v>
      </c>
      <c r="AL95" s="6625" cm="1">
        <f t="array" ref="AL95">IF(W95="",0,SUMPRODUCT((CA4:CA795="Gluten")*(CB4:CB795="ALERTE")*(COUNTIF(AI95,"*"&amp;CC4:CC795&amp;"*")&gt;0)*1))</f>
        <v>0</v>
      </c>
      <c r="AM95" s="6625" cm="1">
        <f t="array" ref="AM95">IF(W95="",0,SUMPRODUCT((CA4:CA795="Gluten")*(CB4:CB795="SUSP")*(COUNTIF(AI95,"*"&amp;CC4:CC795&amp;"*")&gt;0)*1))</f>
        <v>0</v>
      </c>
      <c r="AN95" s="6625" cm="1">
        <f t="array" ref="AN95">IF(W95="",0,SUMPRODUCT((CA4:CA795="Crustaces")*(CB4:CB795="ALERTE")*(COUNTIF(AI95,"*"&amp;CC4:CC795&amp;"*")&gt;0)*1))</f>
        <v>0</v>
      </c>
      <c r="AO95" s="6625" cm="1">
        <f t="array" ref="AO95">IF(W95="",0,SUMPRODUCT((CA4:CA795="Oeufs")*(CB4:CB795="ALERTE")*(COUNTIF(AI95,"*"&amp;CC4:CC795&amp;"*")&gt;0)*1))</f>
        <v>0</v>
      </c>
      <c r="AP95" s="6625" cm="1">
        <f t="array" ref="AP95">IF(W95="",0,SUMPRODUCT((CA4:CA795="Poissons")*(CB4:CB795="INFO")*(COUNTIF(AI95,"*"&amp;CC4:CC795&amp;"*")&gt;0)*1))</f>
        <v>0</v>
      </c>
      <c r="AQ95" s="6625" cm="1">
        <f t="array" ref="AQ95">IF(W95="",0,SUMPRODUCT((CA4:CA795="Poissons")*(CB4:CB795="EXCL")*(COUNTIF(AI95,"*"&amp;CC4:CC795&amp;"*")&gt;0)*1))</f>
        <v>0</v>
      </c>
      <c r="AR95" s="6625" cm="1">
        <f t="array" ref="AR95">IF(W95="",0,SUMPRODUCT((CA4:CA795="Poissons")*(CB4:CB795="ALERTE")*(COUNTIF(AI95,"*"&amp;CC4:CC795&amp;"*")&gt;0)*1))</f>
        <v>0</v>
      </c>
      <c r="AS95" s="6625" cm="1">
        <f t="array" ref="AS95">IF(W95="",0,SUMPRODUCT((CA4:CA795="Arachides")*(CB4:CB795="ALERTE")*(COUNTIF(AI95,"*"&amp;CC4:CC795&amp;"*")&gt;0)*1))</f>
        <v>0</v>
      </c>
      <c r="AT95" s="6625" cm="1">
        <f t="array" ref="AT95">IF(W95="",0,SUMPRODUCT((CA4:CA795="Soja")*(CB4:CB795="INFO")*(COUNTIF(AI95,"*"&amp;CC4:CC795&amp;"*")&gt;0)*1))</f>
        <v>0</v>
      </c>
      <c r="AU95" s="6625" cm="1">
        <f t="array" ref="AU95">IF(W95="",0,SUMPRODUCT((CA4:CA795="Soja")*(CB4:CB795="ALERTE")*(COUNTIF(AI95,"*"&amp;CC4:CC795&amp;"*")&gt;0)*1))</f>
        <v>0</v>
      </c>
      <c r="AV95" s="6625" cm="1">
        <f t="array" ref="AV95">IF(W95="",0,SUMPRODUCT((CA4:CA795="Lait")*(CB4:CB795="INFO")*(COUNTIF(AI95,"*"&amp;CC4:CC795&amp;"*")&gt;0)*1))</f>
        <v>0</v>
      </c>
      <c r="AW95" s="6625" cm="1">
        <f t="array" ref="AW95">IF(W95="",0,SUMPRODUCT((CA4:CA795="Lait")*(CB4:CB795="EXCL")*(COUNTIF(AI95,"*"&amp;CC4:CC795&amp;"*")&gt;0)*1))</f>
        <v>0</v>
      </c>
      <c r="AX95" s="6625" cm="1">
        <f t="array" ref="AX95">IF(W95="",0,SUMPRODUCT((CA4:CA795="Lait")*(CB4:CB795="ALERTE")*(COUNTIF(AI95,"*"&amp;CC4:CC795&amp;"*")&gt;0)*1))</f>
        <v>0</v>
      </c>
      <c r="AY95" s="6625" cm="1">
        <f t="array" ref="AY95">IF(W95="",0,SUMPRODUCT((CA4:CA795="Lait")*(CB4:CB795="SUSP")*(COUNTIF(AI95,"*"&amp;CC4:CC795&amp;"*")&gt;0)*1))</f>
        <v>0</v>
      </c>
      <c r="AZ95" s="6625" cm="1">
        <f t="array" ref="AZ95">IF(W95="",0,SUMPRODUCT((CA4:CA795="Fruits a coque")*(CB4:CB795="EXCL")*(COUNTIF(AI95,"*"&amp;CC4:CC795&amp;"*")&gt;0)*1))</f>
        <v>0</v>
      </c>
      <c r="BA95" s="6625" cm="1">
        <f t="array" ref="BA95">IF(W95="",0,SUMPRODUCT((CA4:CA795="Fruits a coque")*(CB4:CB795="ALERTE")*(COUNTIF(AI95,"*"&amp;CC4:CC795&amp;"*")&gt;0)*1))</f>
        <v>0</v>
      </c>
      <c r="BB95" s="6625" cm="1">
        <f t="array" ref="BB95">IF(W95="",0,SUMPRODUCT((CA4:CA795="Celeri")*(CB4:CB795="ALERTE")*(COUNTIF(AI95,"*"&amp;CC4:CC795&amp;"*")&gt;0)*1))</f>
        <v>0</v>
      </c>
      <c r="BC95" s="6625" cm="1">
        <f t="array" ref="BC95">IF(W95="",0,SUMPRODUCT((CA4:CA795="Moutarde")*(CB4:CB795="ALERTE")*(COUNTIF(AI95,"*"&amp;CC4:CC795&amp;"*")&gt;0)*1))</f>
        <v>0</v>
      </c>
      <c r="BD95" s="6625" cm="1">
        <f t="array" ref="BD95">IF(W95="",0,SUMPRODUCT((CA4:CA795="Sesame")*(CB4:CB795="ALERTE")*(COUNTIF(AI95,"*"&amp;CC4:CC795&amp;"*")&gt;0)*1))</f>
        <v>0</v>
      </c>
      <c r="BE95" s="6625" cm="1">
        <f t="array" ref="BE95">IF(W95="",0,SUMPRODUCT((CA4:CA795="Sulfites")*(CB4:CB795="ALERTE")*(COUNTIF(AI95,"*"&amp;CC4:CC795&amp;"*")&gt;0)*1))</f>
        <v>0</v>
      </c>
      <c r="BF95" s="6625" cm="1">
        <f t="array" ref="BF95">IF(W95="",0,SUMPRODUCT((CA4:CA795="Lupin")*(CB4:CB795="ALERTE")*(COUNTIF(AI95,"*"&amp;CC4:CC795&amp;"*")&gt;0)*1))</f>
        <v>0</v>
      </c>
      <c r="BG95" s="6625" cm="1">
        <f t="array" ref="BG95">IF(W95="",0,SUMPRODUCT((CA4:CA795="Mollusques")*(CB4:CB795="EXCL")*(COUNTIF(AI95,"*"&amp;CC4:CC795&amp;"*")&gt;0)*1))</f>
        <v>0</v>
      </c>
      <c r="BH95" s="6625" cm="1">
        <f t="array" ref="BH95">IF(W95="",0,SUMPRODUCT((CA4:CA795="Mollusques")*(CB4:CB795="ALERTE")*(COUNTIF(AI95,"*"&amp;CC4:CC795&amp;"*")&gt;0)*1))</f>
        <v>0</v>
      </c>
      <c r="BI95" s="6625" t="str">
        <f t="shared" si="68"/>
        <v/>
      </c>
      <c r="BJ95" s="6625" t="str">
        <f t="shared" si="69"/>
        <v/>
      </c>
      <c r="BK95" s="6625" t="str">
        <f t="shared" si="70"/>
        <v/>
      </c>
      <c r="BL95" s="6625" t="str">
        <f t="shared" si="71"/>
        <v/>
      </c>
      <c r="BM95" s="6625" t="str">
        <f t="shared" si="72"/>
        <v/>
      </c>
      <c r="BN95" s="6625" t="str">
        <f t="shared" si="73"/>
        <v/>
      </c>
      <c r="BO95" s="6625" t="str">
        <f t="shared" si="74"/>
        <v/>
      </c>
      <c r="BP95" s="6625" t="str">
        <f t="shared" si="75"/>
        <v/>
      </c>
      <c r="BQ95" s="6625" t="str">
        <f t="shared" si="76"/>
        <v/>
      </c>
      <c r="BR95" s="6625" t="str">
        <f t="shared" si="77"/>
        <v/>
      </c>
      <c r="BS95" s="6625" t="str">
        <f t="shared" si="78"/>
        <v/>
      </c>
      <c r="BT95" s="6625" t="str">
        <f t="shared" si="79"/>
        <v/>
      </c>
      <c r="BU95" s="6625" t="str">
        <f t="shared" si="80"/>
        <v/>
      </c>
      <c r="BV95" s="6625" t="str">
        <f t="shared" si="81"/>
        <v/>
      </c>
      <c r="BW95" s="6625" t="str">
        <f t="shared" si="82"/>
        <v/>
      </c>
      <c r="BX95" s="6625" t="str">
        <f t="shared" si="83"/>
        <v/>
      </c>
      <c r="CA95" s="3170" t="s">
        <v>16501</v>
      </c>
      <c r="CB95" s="7634" t="s">
        <v>16255</v>
      </c>
      <c r="CC95" s="3170" t="s">
        <v>16520</v>
      </c>
      <c r="CD95" s="3170" t="s">
        <v>16521</v>
      </c>
    </row>
    <row r="96" spans="2:82" ht="30" customHeight="1">
      <c r="B96" s="7661" t="str">
        <f t="shared" si="44"/>
        <v/>
      </c>
      <c r="C96" s="7661" t="str">
        <f t="shared" si="45"/>
        <v/>
      </c>
      <c r="D96" s="7661" t="str">
        <f t="shared" si="46"/>
        <v/>
      </c>
      <c r="E96" s="7661">
        <f>IF(H95&lt;&gt;"",E95,IF(E95="","",IFERROR(MATCH(TRUE(),INDEX(INDEX($K:$K,E95+1):$K$203&lt;&gt;"",0),0)+E95,"")))</f>
        <v>271</v>
      </c>
      <c r="F96" s="7661">
        <f t="shared" si="84"/>
        <v>0</v>
      </c>
      <c r="G96" s="7661" t="str">
        <f t="shared" si="47"/>
        <v>0</v>
      </c>
      <c r="H96" s="7672" t="str">
        <f t="shared" si="48"/>
        <v/>
      </c>
      <c r="I96" s="7683" t="str">
        <f t="shared" si="49"/>
        <v/>
      </c>
      <c r="J96" s="7673" t="str">
        <f>IF(K96="","",COUNTIF($K$18:K96,"&lt;&gt;"))</f>
        <v/>
      </c>
      <c r="K96" s="7674"/>
      <c r="L96" s="7673" t="str">
        <f t="shared" si="50"/>
        <v/>
      </c>
      <c r="M96" s="7630">
        <f t="shared" si="51"/>
        <v>1</v>
      </c>
      <c r="N96" s="7675">
        <f t="shared" si="52"/>
        <v>79</v>
      </c>
      <c r="O96" s="7676" t="str">
        <f t="shared" si="53"/>
        <v>0</v>
      </c>
      <c r="P96" s="7675">
        <f t="shared" si="54"/>
        <v>1</v>
      </c>
      <c r="Q96" s="7675">
        <f t="shared" si="55"/>
        <v>1</v>
      </c>
      <c r="S96" s="7679" t="str">
        <f t="shared" si="85"/>
        <v>0</v>
      </c>
      <c r="T96" s="7680" t="str">
        <f t="shared" si="85"/>
        <v/>
      </c>
      <c r="V96" s="7677">
        <f t="shared" si="56"/>
        <v>96</v>
      </c>
      <c r="W96" s="7678" t="str">
        <f t="shared" si="86"/>
        <v>0</v>
      </c>
      <c r="X96" s="7677" t="s">
        <v>2</v>
      </c>
      <c r="Y96" s="7702" t="str">
        <f t="shared" si="57"/>
        <v>0</v>
      </c>
      <c r="Z96" s="7703" t="str">
        <f t="shared" si="58"/>
        <v/>
      </c>
      <c r="AA96" s="7681" t="str">
        <f t="shared" si="59"/>
        <v>0</v>
      </c>
      <c r="AB96" s="7682" t="str">
        <f t="shared" si="60"/>
        <v/>
      </c>
      <c r="AC96" s="7677">
        <f t="shared" si="61"/>
        <v>0</v>
      </c>
      <c r="AD96" s="7677">
        <f t="shared" si="62"/>
        <v>0</v>
      </c>
      <c r="AE96" s="7682" t="str">
        <f t="shared" si="63"/>
        <v>aucun match</v>
      </c>
      <c r="AF96" s="6625" t="str">
        <f t="shared" si="64"/>
        <v>0</v>
      </c>
      <c r="AG96" s="6625" t="str">
        <f t="shared" si="65"/>
        <v>0</v>
      </c>
      <c r="AH96" s="6625" t="str">
        <f t="shared" si="66"/>
        <v>0</v>
      </c>
      <c r="AI96" s="6625" t="str">
        <f t="shared" si="67"/>
        <v xml:space="preserve"> 0 </v>
      </c>
      <c r="AJ96" s="6625" cm="1">
        <f t="array" ref="AJ96">IF(W96="",0,SUMPRODUCT((CA4:CA795="Gluten")*(CB4:CB795="INFO")*(COUNTIF(AI96,"*"&amp;CC4:CC795&amp;"*")&gt;0)*1))</f>
        <v>0</v>
      </c>
      <c r="AK96" s="6625" cm="1">
        <f t="array" ref="AK96">IF(W96="",0,SUMPRODUCT((CA4:CA795="Gluten")*(CB4:CB795="EXCL")*(COUNTIF(AI96,"*"&amp;CC4:CC795&amp;"*")&gt;0)*1))</f>
        <v>0</v>
      </c>
      <c r="AL96" s="6625" cm="1">
        <f t="array" ref="AL96">IF(W96="",0,SUMPRODUCT((CA4:CA795="Gluten")*(CB4:CB795="ALERTE")*(COUNTIF(AI96,"*"&amp;CC4:CC795&amp;"*")&gt;0)*1))</f>
        <v>0</v>
      </c>
      <c r="AM96" s="6625" cm="1">
        <f t="array" ref="AM96">IF(W96="",0,SUMPRODUCT((CA4:CA795="Gluten")*(CB4:CB795="SUSP")*(COUNTIF(AI96,"*"&amp;CC4:CC795&amp;"*")&gt;0)*1))</f>
        <v>0</v>
      </c>
      <c r="AN96" s="6625" cm="1">
        <f t="array" ref="AN96">IF(W96="",0,SUMPRODUCT((CA4:CA795="Crustaces")*(CB4:CB795="ALERTE")*(COUNTIF(AI96,"*"&amp;CC4:CC795&amp;"*")&gt;0)*1))</f>
        <v>0</v>
      </c>
      <c r="AO96" s="6625" cm="1">
        <f t="array" ref="AO96">IF(W96="",0,SUMPRODUCT((CA4:CA795="Oeufs")*(CB4:CB795="ALERTE")*(COUNTIF(AI96,"*"&amp;CC4:CC795&amp;"*")&gt;0)*1))</f>
        <v>0</v>
      </c>
      <c r="AP96" s="6625" cm="1">
        <f t="array" ref="AP96">IF(W96="",0,SUMPRODUCT((CA4:CA795="Poissons")*(CB4:CB795="INFO")*(COUNTIF(AI96,"*"&amp;CC4:CC795&amp;"*")&gt;0)*1))</f>
        <v>0</v>
      </c>
      <c r="AQ96" s="6625" cm="1">
        <f t="array" ref="AQ96">IF(W96="",0,SUMPRODUCT((CA4:CA795="Poissons")*(CB4:CB795="EXCL")*(COUNTIF(AI96,"*"&amp;CC4:CC795&amp;"*")&gt;0)*1))</f>
        <v>0</v>
      </c>
      <c r="AR96" s="6625" cm="1">
        <f t="array" ref="AR96">IF(W96="",0,SUMPRODUCT((CA4:CA795="Poissons")*(CB4:CB795="ALERTE")*(COUNTIF(AI96,"*"&amp;CC4:CC795&amp;"*")&gt;0)*1))</f>
        <v>0</v>
      </c>
      <c r="AS96" s="6625" cm="1">
        <f t="array" ref="AS96">IF(W96="",0,SUMPRODUCT((CA4:CA795="Arachides")*(CB4:CB795="ALERTE")*(COUNTIF(AI96,"*"&amp;CC4:CC795&amp;"*")&gt;0)*1))</f>
        <v>0</v>
      </c>
      <c r="AT96" s="6625" cm="1">
        <f t="array" ref="AT96">IF(W96="",0,SUMPRODUCT((CA4:CA795="Soja")*(CB4:CB795="INFO")*(COUNTIF(AI96,"*"&amp;CC4:CC795&amp;"*")&gt;0)*1))</f>
        <v>0</v>
      </c>
      <c r="AU96" s="6625" cm="1">
        <f t="array" ref="AU96">IF(W96="",0,SUMPRODUCT((CA4:CA795="Soja")*(CB4:CB795="ALERTE")*(COUNTIF(AI96,"*"&amp;CC4:CC795&amp;"*")&gt;0)*1))</f>
        <v>0</v>
      </c>
      <c r="AV96" s="6625" cm="1">
        <f t="array" ref="AV96">IF(W96="",0,SUMPRODUCT((CA4:CA795="Lait")*(CB4:CB795="INFO")*(COUNTIF(AI96,"*"&amp;CC4:CC795&amp;"*")&gt;0)*1))</f>
        <v>0</v>
      </c>
      <c r="AW96" s="6625" cm="1">
        <f t="array" ref="AW96">IF(W96="",0,SUMPRODUCT((CA4:CA795="Lait")*(CB4:CB795="EXCL")*(COUNTIF(AI96,"*"&amp;CC4:CC795&amp;"*")&gt;0)*1))</f>
        <v>0</v>
      </c>
      <c r="AX96" s="6625" cm="1">
        <f t="array" ref="AX96">IF(W96="",0,SUMPRODUCT((CA4:CA795="Lait")*(CB4:CB795="ALERTE")*(COUNTIF(AI96,"*"&amp;CC4:CC795&amp;"*")&gt;0)*1))</f>
        <v>0</v>
      </c>
      <c r="AY96" s="6625" cm="1">
        <f t="array" ref="AY96">IF(W96="",0,SUMPRODUCT((CA4:CA795="Lait")*(CB4:CB795="SUSP")*(COUNTIF(AI96,"*"&amp;CC4:CC795&amp;"*")&gt;0)*1))</f>
        <v>0</v>
      </c>
      <c r="AZ96" s="6625" cm="1">
        <f t="array" ref="AZ96">IF(W96="",0,SUMPRODUCT((CA4:CA795="Fruits a coque")*(CB4:CB795="EXCL")*(COUNTIF(AI96,"*"&amp;CC4:CC795&amp;"*")&gt;0)*1))</f>
        <v>0</v>
      </c>
      <c r="BA96" s="6625" cm="1">
        <f t="array" ref="BA96">IF(W96="",0,SUMPRODUCT((CA4:CA795="Fruits a coque")*(CB4:CB795="ALERTE")*(COUNTIF(AI96,"*"&amp;CC4:CC795&amp;"*")&gt;0)*1))</f>
        <v>0</v>
      </c>
      <c r="BB96" s="6625" cm="1">
        <f t="array" ref="BB96">IF(W96="",0,SUMPRODUCT((CA4:CA795="Celeri")*(CB4:CB795="ALERTE")*(COUNTIF(AI96,"*"&amp;CC4:CC795&amp;"*")&gt;0)*1))</f>
        <v>0</v>
      </c>
      <c r="BC96" s="6625" cm="1">
        <f t="array" ref="BC96">IF(W96="",0,SUMPRODUCT((CA4:CA795="Moutarde")*(CB4:CB795="ALERTE")*(COUNTIF(AI96,"*"&amp;CC4:CC795&amp;"*")&gt;0)*1))</f>
        <v>0</v>
      </c>
      <c r="BD96" s="6625" cm="1">
        <f t="array" ref="BD96">IF(W96="",0,SUMPRODUCT((CA4:CA795="Sesame")*(CB4:CB795="ALERTE")*(COUNTIF(AI96,"*"&amp;CC4:CC795&amp;"*")&gt;0)*1))</f>
        <v>0</v>
      </c>
      <c r="BE96" s="6625" cm="1">
        <f t="array" ref="BE96">IF(W96="",0,SUMPRODUCT((CA4:CA795="Sulfites")*(CB4:CB795="ALERTE")*(COUNTIF(AI96,"*"&amp;CC4:CC795&amp;"*")&gt;0)*1))</f>
        <v>0</v>
      </c>
      <c r="BF96" s="6625" cm="1">
        <f t="array" ref="BF96">IF(W96="",0,SUMPRODUCT((CA4:CA795="Lupin")*(CB4:CB795="ALERTE")*(COUNTIF(AI96,"*"&amp;CC4:CC795&amp;"*")&gt;0)*1))</f>
        <v>0</v>
      </c>
      <c r="BG96" s="6625" cm="1">
        <f t="array" ref="BG96">IF(W96="",0,SUMPRODUCT((CA4:CA795="Mollusques")*(CB4:CB795="EXCL")*(COUNTIF(AI96,"*"&amp;CC4:CC795&amp;"*")&gt;0)*1))</f>
        <v>0</v>
      </c>
      <c r="BH96" s="6625" cm="1">
        <f t="array" ref="BH96">IF(W96="",0,SUMPRODUCT((CA4:CA795="Mollusques")*(CB4:CB795="ALERTE")*(COUNTIF(AI96,"*"&amp;CC4:CC795&amp;"*")&gt;0)*1))</f>
        <v>0</v>
      </c>
      <c r="BI96" s="6625" t="str">
        <f t="shared" si="68"/>
        <v/>
      </c>
      <c r="BJ96" s="6625" t="str">
        <f t="shared" si="69"/>
        <v/>
      </c>
      <c r="BK96" s="6625" t="str">
        <f t="shared" si="70"/>
        <v/>
      </c>
      <c r="BL96" s="6625" t="str">
        <f t="shared" si="71"/>
        <v/>
      </c>
      <c r="BM96" s="6625" t="str">
        <f t="shared" si="72"/>
        <v/>
      </c>
      <c r="BN96" s="6625" t="str">
        <f t="shared" si="73"/>
        <v/>
      </c>
      <c r="BO96" s="6625" t="str">
        <f t="shared" si="74"/>
        <v/>
      </c>
      <c r="BP96" s="6625" t="str">
        <f t="shared" si="75"/>
        <v/>
      </c>
      <c r="BQ96" s="6625" t="str">
        <f t="shared" si="76"/>
        <v/>
      </c>
      <c r="BR96" s="6625" t="str">
        <f t="shared" si="77"/>
        <v/>
      </c>
      <c r="BS96" s="6625" t="str">
        <f t="shared" si="78"/>
        <v/>
      </c>
      <c r="BT96" s="6625" t="str">
        <f t="shared" si="79"/>
        <v/>
      </c>
      <c r="BU96" s="6625" t="str">
        <f t="shared" si="80"/>
        <v/>
      </c>
      <c r="BV96" s="6625" t="str">
        <f t="shared" si="81"/>
        <v/>
      </c>
      <c r="BW96" s="6625" t="str">
        <f t="shared" si="82"/>
        <v/>
      </c>
      <c r="BX96" s="6625" t="str">
        <f t="shared" si="83"/>
        <v/>
      </c>
      <c r="CA96" s="3170" t="s">
        <v>16501</v>
      </c>
      <c r="CB96" s="7634" t="s">
        <v>16255</v>
      </c>
      <c r="CC96" s="3170" t="s">
        <v>16522</v>
      </c>
      <c r="CD96" s="3170" t="s">
        <v>16523</v>
      </c>
    </row>
    <row r="97" spans="2:82" ht="30" customHeight="1">
      <c r="B97" s="7661" t="str">
        <f t="shared" si="44"/>
        <v/>
      </c>
      <c r="C97" s="7661" t="str">
        <f t="shared" si="45"/>
        <v/>
      </c>
      <c r="D97" s="7661" t="str">
        <f t="shared" si="46"/>
        <v/>
      </c>
      <c r="E97" s="7661">
        <f>IF(H96&lt;&gt;"",E96,IF(E96="","",IFERROR(MATCH(TRUE(),INDEX(INDEX($K:$K,E96+1):$K$203&lt;&gt;"",0),0)+E96,"")))</f>
        <v>272</v>
      </c>
      <c r="F97" s="7661">
        <f t="shared" si="84"/>
        <v>0</v>
      </c>
      <c r="G97" s="7661" t="str">
        <f t="shared" si="47"/>
        <v>0</v>
      </c>
      <c r="H97" s="7672" t="str">
        <f t="shared" si="48"/>
        <v/>
      </c>
      <c r="I97" s="7683" t="str">
        <f t="shared" si="49"/>
        <v/>
      </c>
      <c r="J97" s="7673" t="str">
        <f>IF(K97="","",COUNTIF($K$18:K97,"&lt;&gt;"))</f>
        <v/>
      </c>
      <c r="K97" s="7674"/>
      <c r="L97" s="7673" t="str">
        <f t="shared" si="50"/>
        <v/>
      </c>
      <c r="M97" s="7630">
        <f t="shared" si="51"/>
        <v>1</v>
      </c>
      <c r="N97" s="7675">
        <f t="shared" si="52"/>
        <v>80</v>
      </c>
      <c r="O97" s="7676" t="str">
        <f t="shared" si="53"/>
        <v>0</v>
      </c>
      <c r="P97" s="7675">
        <f t="shared" si="54"/>
        <v>1</v>
      </c>
      <c r="Q97" s="7675">
        <f t="shared" si="55"/>
        <v>1</v>
      </c>
      <c r="S97" s="7679" t="str">
        <f t="shared" si="85"/>
        <v>0</v>
      </c>
      <c r="T97" s="7680" t="str">
        <f t="shared" si="85"/>
        <v/>
      </c>
      <c r="V97" s="7677">
        <f t="shared" si="56"/>
        <v>97</v>
      </c>
      <c r="W97" s="7678" t="str">
        <f t="shared" si="86"/>
        <v>0</v>
      </c>
      <c r="X97" s="7677" t="s">
        <v>2</v>
      </c>
      <c r="Y97" s="7702" t="str">
        <f t="shared" si="57"/>
        <v>0</v>
      </c>
      <c r="Z97" s="7703" t="str">
        <f t="shared" si="58"/>
        <v/>
      </c>
      <c r="AA97" s="7681" t="str">
        <f t="shared" si="59"/>
        <v>0</v>
      </c>
      <c r="AB97" s="7682" t="str">
        <f t="shared" si="60"/>
        <v/>
      </c>
      <c r="AC97" s="7677">
        <f t="shared" si="61"/>
        <v>0</v>
      </c>
      <c r="AD97" s="7677">
        <f t="shared" si="62"/>
        <v>0</v>
      </c>
      <c r="AE97" s="7682" t="str">
        <f t="shared" si="63"/>
        <v>aucun match</v>
      </c>
      <c r="AF97" s="6625" t="str">
        <f t="shared" si="64"/>
        <v>0</v>
      </c>
      <c r="AG97" s="6625" t="str">
        <f t="shared" si="65"/>
        <v>0</v>
      </c>
      <c r="AH97" s="6625" t="str">
        <f t="shared" si="66"/>
        <v>0</v>
      </c>
      <c r="AI97" s="6625" t="str">
        <f t="shared" si="67"/>
        <v xml:space="preserve"> 0 </v>
      </c>
      <c r="AJ97" s="6625" cm="1">
        <f t="array" ref="AJ97">IF(W97="",0,SUMPRODUCT((CA4:CA795="Gluten")*(CB4:CB795="INFO")*(COUNTIF(AI97,"*"&amp;CC4:CC795&amp;"*")&gt;0)*1))</f>
        <v>0</v>
      </c>
      <c r="AK97" s="6625" cm="1">
        <f t="array" ref="AK97">IF(W97="",0,SUMPRODUCT((CA4:CA795="Gluten")*(CB4:CB795="EXCL")*(COUNTIF(AI97,"*"&amp;CC4:CC795&amp;"*")&gt;0)*1))</f>
        <v>0</v>
      </c>
      <c r="AL97" s="6625" cm="1">
        <f t="array" ref="AL97">IF(W97="",0,SUMPRODUCT((CA4:CA795="Gluten")*(CB4:CB795="ALERTE")*(COUNTIF(AI97,"*"&amp;CC4:CC795&amp;"*")&gt;0)*1))</f>
        <v>0</v>
      </c>
      <c r="AM97" s="6625" cm="1">
        <f t="array" ref="AM97">IF(W97="",0,SUMPRODUCT((CA4:CA795="Gluten")*(CB4:CB795="SUSP")*(COUNTIF(AI97,"*"&amp;CC4:CC795&amp;"*")&gt;0)*1))</f>
        <v>0</v>
      </c>
      <c r="AN97" s="6625" cm="1">
        <f t="array" ref="AN97">IF(W97="",0,SUMPRODUCT((CA4:CA795="Crustaces")*(CB4:CB795="ALERTE")*(COUNTIF(AI97,"*"&amp;CC4:CC795&amp;"*")&gt;0)*1))</f>
        <v>0</v>
      </c>
      <c r="AO97" s="6625" cm="1">
        <f t="array" ref="AO97">IF(W97="",0,SUMPRODUCT((CA4:CA795="Oeufs")*(CB4:CB795="ALERTE")*(COUNTIF(AI97,"*"&amp;CC4:CC795&amp;"*")&gt;0)*1))</f>
        <v>0</v>
      </c>
      <c r="AP97" s="6625" cm="1">
        <f t="array" ref="AP97">IF(W97="",0,SUMPRODUCT((CA4:CA795="Poissons")*(CB4:CB795="INFO")*(COUNTIF(AI97,"*"&amp;CC4:CC795&amp;"*")&gt;0)*1))</f>
        <v>0</v>
      </c>
      <c r="AQ97" s="6625" cm="1">
        <f t="array" ref="AQ97">IF(W97="",0,SUMPRODUCT((CA4:CA795="Poissons")*(CB4:CB795="EXCL")*(COUNTIF(AI97,"*"&amp;CC4:CC795&amp;"*")&gt;0)*1))</f>
        <v>0</v>
      </c>
      <c r="AR97" s="6625" cm="1">
        <f t="array" ref="AR97">IF(W97="",0,SUMPRODUCT((CA4:CA795="Poissons")*(CB4:CB795="ALERTE")*(COUNTIF(AI97,"*"&amp;CC4:CC795&amp;"*")&gt;0)*1))</f>
        <v>0</v>
      </c>
      <c r="AS97" s="6625" cm="1">
        <f t="array" ref="AS97">IF(W97="",0,SUMPRODUCT((CA4:CA795="Arachides")*(CB4:CB795="ALERTE")*(COUNTIF(AI97,"*"&amp;CC4:CC795&amp;"*")&gt;0)*1))</f>
        <v>0</v>
      </c>
      <c r="AT97" s="6625" cm="1">
        <f t="array" ref="AT97">IF(W97="",0,SUMPRODUCT((CA4:CA795="Soja")*(CB4:CB795="INFO")*(COUNTIF(AI97,"*"&amp;CC4:CC795&amp;"*")&gt;0)*1))</f>
        <v>0</v>
      </c>
      <c r="AU97" s="6625" cm="1">
        <f t="array" ref="AU97">IF(W97="",0,SUMPRODUCT((CA4:CA795="Soja")*(CB4:CB795="ALERTE")*(COUNTIF(AI97,"*"&amp;CC4:CC795&amp;"*")&gt;0)*1))</f>
        <v>0</v>
      </c>
      <c r="AV97" s="6625" cm="1">
        <f t="array" ref="AV97">IF(W97="",0,SUMPRODUCT((CA4:CA795="Lait")*(CB4:CB795="INFO")*(COUNTIF(AI97,"*"&amp;CC4:CC795&amp;"*")&gt;0)*1))</f>
        <v>0</v>
      </c>
      <c r="AW97" s="6625" cm="1">
        <f t="array" ref="AW97">IF(W97="",0,SUMPRODUCT((CA4:CA795="Lait")*(CB4:CB795="EXCL")*(COUNTIF(AI97,"*"&amp;CC4:CC795&amp;"*")&gt;0)*1))</f>
        <v>0</v>
      </c>
      <c r="AX97" s="6625" cm="1">
        <f t="array" ref="AX97">IF(W97="",0,SUMPRODUCT((CA4:CA795="Lait")*(CB4:CB795="ALERTE")*(COUNTIF(AI97,"*"&amp;CC4:CC795&amp;"*")&gt;0)*1))</f>
        <v>0</v>
      </c>
      <c r="AY97" s="6625" cm="1">
        <f t="array" ref="AY97">IF(W97="",0,SUMPRODUCT((CA4:CA795="Lait")*(CB4:CB795="SUSP")*(COUNTIF(AI97,"*"&amp;CC4:CC795&amp;"*")&gt;0)*1))</f>
        <v>0</v>
      </c>
      <c r="AZ97" s="6625" cm="1">
        <f t="array" ref="AZ97">IF(W97="",0,SUMPRODUCT((CA4:CA795="Fruits a coque")*(CB4:CB795="EXCL")*(COUNTIF(AI97,"*"&amp;CC4:CC795&amp;"*")&gt;0)*1))</f>
        <v>0</v>
      </c>
      <c r="BA97" s="6625" cm="1">
        <f t="array" ref="BA97">IF(W97="",0,SUMPRODUCT((CA4:CA795="Fruits a coque")*(CB4:CB795="ALERTE")*(COUNTIF(AI97,"*"&amp;CC4:CC795&amp;"*")&gt;0)*1))</f>
        <v>0</v>
      </c>
      <c r="BB97" s="6625" cm="1">
        <f t="array" ref="BB97">IF(W97="",0,SUMPRODUCT((CA4:CA795="Celeri")*(CB4:CB795="ALERTE")*(COUNTIF(AI97,"*"&amp;CC4:CC795&amp;"*")&gt;0)*1))</f>
        <v>0</v>
      </c>
      <c r="BC97" s="6625" cm="1">
        <f t="array" ref="BC97">IF(W97="",0,SUMPRODUCT((CA4:CA795="Moutarde")*(CB4:CB795="ALERTE")*(COUNTIF(AI97,"*"&amp;CC4:CC795&amp;"*")&gt;0)*1))</f>
        <v>0</v>
      </c>
      <c r="BD97" s="6625" cm="1">
        <f t="array" ref="BD97">IF(W97="",0,SUMPRODUCT((CA4:CA795="Sesame")*(CB4:CB795="ALERTE")*(COUNTIF(AI97,"*"&amp;CC4:CC795&amp;"*")&gt;0)*1))</f>
        <v>0</v>
      </c>
      <c r="BE97" s="6625" cm="1">
        <f t="array" ref="BE97">IF(W97="",0,SUMPRODUCT((CA4:CA795="Sulfites")*(CB4:CB795="ALERTE")*(COUNTIF(AI97,"*"&amp;CC4:CC795&amp;"*")&gt;0)*1))</f>
        <v>0</v>
      </c>
      <c r="BF97" s="6625" cm="1">
        <f t="array" ref="BF97">IF(W97="",0,SUMPRODUCT((CA4:CA795="Lupin")*(CB4:CB795="ALERTE")*(COUNTIF(AI97,"*"&amp;CC4:CC795&amp;"*")&gt;0)*1))</f>
        <v>0</v>
      </c>
      <c r="BG97" s="6625" cm="1">
        <f t="array" ref="BG97">IF(W97="",0,SUMPRODUCT((CA4:CA795="Mollusques")*(CB4:CB795="EXCL")*(COUNTIF(AI97,"*"&amp;CC4:CC795&amp;"*")&gt;0)*1))</f>
        <v>0</v>
      </c>
      <c r="BH97" s="6625" cm="1">
        <f t="array" ref="BH97">IF(W97="",0,SUMPRODUCT((CA4:CA795="Mollusques")*(CB4:CB795="ALERTE")*(COUNTIF(AI97,"*"&amp;CC4:CC795&amp;"*")&gt;0)*1))</f>
        <v>0</v>
      </c>
      <c r="BI97" s="6625" t="str">
        <f t="shared" si="68"/>
        <v/>
      </c>
      <c r="BJ97" s="6625" t="str">
        <f t="shared" si="69"/>
        <v/>
      </c>
      <c r="BK97" s="6625" t="str">
        <f t="shared" si="70"/>
        <v/>
      </c>
      <c r="BL97" s="6625" t="str">
        <f t="shared" si="71"/>
        <v/>
      </c>
      <c r="BM97" s="6625" t="str">
        <f t="shared" si="72"/>
        <v/>
      </c>
      <c r="BN97" s="6625" t="str">
        <f t="shared" si="73"/>
        <v/>
      </c>
      <c r="BO97" s="6625" t="str">
        <f t="shared" si="74"/>
        <v/>
      </c>
      <c r="BP97" s="6625" t="str">
        <f t="shared" si="75"/>
        <v/>
      </c>
      <c r="BQ97" s="6625" t="str">
        <f t="shared" si="76"/>
        <v/>
      </c>
      <c r="BR97" s="6625" t="str">
        <f t="shared" si="77"/>
        <v/>
      </c>
      <c r="BS97" s="6625" t="str">
        <f t="shared" si="78"/>
        <v/>
      </c>
      <c r="BT97" s="6625" t="str">
        <f t="shared" si="79"/>
        <v/>
      </c>
      <c r="BU97" s="6625" t="str">
        <f t="shared" si="80"/>
        <v/>
      </c>
      <c r="BV97" s="6625" t="str">
        <f t="shared" si="81"/>
        <v/>
      </c>
      <c r="BW97" s="6625" t="str">
        <f t="shared" si="82"/>
        <v/>
      </c>
      <c r="BX97" s="6625" t="str">
        <f t="shared" si="83"/>
        <v/>
      </c>
      <c r="CA97" s="3170" t="s">
        <v>16501</v>
      </c>
      <c r="CB97" s="7634" t="s">
        <v>16255</v>
      </c>
      <c r="CC97" s="3170" t="s">
        <v>16524</v>
      </c>
      <c r="CD97" s="3170" t="s">
        <v>16525</v>
      </c>
    </row>
    <row r="98" spans="2:82" ht="30" customHeight="1">
      <c r="B98" s="7661" t="str">
        <f t="shared" si="44"/>
        <v/>
      </c>
      <c r="C98" s="7661" t="str">
        <f t="shared" si="45"/>
        <v/>
      </c>
      <c r="D98" s="7661" t="str">
        <f t="shared" si="46"/>
        <v/>
      </c>
      <c r="E98" s="7661">
        <f>IF(H97&lt;&gt;"",E97,IF(E97="","",IFERROR(MATCH(TRUE(),INDEX(INDEX($K:$K,E97+1):$K$203&lt;&gt;"",0),0)+E97,"")))</f>
        <v>273</v>
      </c>
      <c r="F98" s="7661">
        <f t="shared" si="84"/>
        <v>0</v>
      </c>
      <c r="G98" s="7661" t="str">
        <f t="shared" si="47"/>
        <v>0</v>
      </c>
      <c r="H98" s="7672" t="str">
        <f t="shared" si="48"/>
        <v/>
      </c>
      <c r="I98" s="7683" t="str">
        <f t="shared" si="49"/>
        <v/>
      </c>
      <c r="J98" s="7673" t="str">
        <f>IF(K98="","",COUNTIF($K$18:K98,"&lt;&gt;"))</f>
        <v/>
      </c>
      <c r="K98" s="7674"/>
      <c r="L98" s="7673" t="str">
        <f t="shared" si="50"/>
        <v/>
      </c>
      <c r="M98" s="7630">
        <f t="shared" si="51"/>
        <v>1</v>
      </c>
      <c r="N98" s="7675">
        <f t="shared" si="52"/>
        <v>81</v>
      </c>
      <c r="O98" s="7676" t="str">
        <f t="shared" si="53"/>
        <v>0</v>
      </c>
      <c r="P98" s="7675">
        <f t="shared" si="54"/>
        <v>1</v>
      </c>
      <c r="Q98" s="7675">
        <f t="shared" si="55"/>
        <v>1</v>
      </c>
      <c r="S98" s="7679" t="str">
        <f t="shared" si="85"/>
        <v>0</v>
      </c>
      <c r="T98" s="7680" t="str">
        <f t="shared" si="85"/>
        <v/>
      </c>
      <c r="V98" s="7677">
        <f t="shared" si="56"/>
        <v>98</v>
      </c>
      <c r="W98" s="7678" t="str">
        <f t="shared" si="86"/>
        <v>0</v>
      </c>
      <c r="X98" s="7677" t="s">
        <v>2</v>
      </c>
      <c r="Y98" s="7702" t="str">
        <f t="shared" si="57"/>
        <v>0</v>
      </c>
      <c r="Z98" s="7703" t="str">
        <f t="shared" si="58"/>
        <v/>
      </c>
      <c r="AA98" s="7681" t="str">
        <f t="shared" si="59"/>
        <v>0</v>
      </c>
      <c r="AB98" s="7682" t="str">
        <f t="shared" si="60"/>
        <v/>
      </c>
      <c r="AC98" s="7677">
        <f t="shared" si="61"/>
        <v>0</v>
      </c>
      <c r="AD98" s="7677">
        <f t="shared" si="62"/>
        <v>0</v>
      </c>
      <c r="AE98" s="7682" t="str">
        <f t="shared" si="63"/>
        <v>aucun match</v>
      </c>
      <c r="AF98" s="6625" t="str">
        <f t="shared" si="64"/>
        <v>0</v>
      </c>
      <c r="AG98" s="6625" t="str">
        <f t="shared" si="65"/>
        <v>0</v>
      </c>
      <c r="AH98" s="6625" t="str">
        <f t="shared" si="66"/>
        <v>0</v>
      </c>
      <c r="AI98" s="6625" t="str">
        <f t="shared" si="67"/>
        <v xml:space="preserve"> 0 </v>
      </c>
      <c r="AJ98" s="6625" cm="1">
        <f t="array" ref="AJ98">IF(W98="",0,SUMPRODUCT((CA4:CA795="Gluten")*(CB4:CB795="INFO")*(COUNTIF(AI98,"*"&amp;CC4:CC795&amp;"*")&gt;0)*1))</f>
        <v>0</v>
      </c>
      <c r="AK98" s="6625" cm="1">
        <f t="array" ref="AK98">IF(W98="",0,SUMPRODUCT((CA4:CA795="Gluten")*(CB4:CB795="EXCL")*(COUNTIF(AI98,"*"&amp;CC4:CC795&amp;"*")&gt;0)*1))</f>
        <v>0</v>
      </c>
      <c r="AL98" s="6625" cm="1">
        <f t="array" ref="AL98">IF(W98="",0,SUMPRODUCT((CA4:CA795="Gluten")*(CB4:CB795="ALERTE")*(COUNTIF(AI98,"*"&amp;CC4:CC795&amp;"*")&gt;0)*1))</f>
        <v>0</v>
      </c>
      <c r="AM98" s="6625" cm="1">
        <f t="array" ref="AM98">IF(W98="",0,SUMPRODUCT((CA4:CA795="Gluten")*(CB4:CB795="SUSP")*(COUNTIF(AI98,"*"&amp;CC4:CC795&amp;"*")&gt;0)*1))</f>
        <v>0</v>
      </c>
      <c r="AN98" s="6625" cm="1">
        <f t="array" ref="AN98">IF(W98="",0,SUMPRODUCT((CA4:CA795="Crustaces")*(CB4:CB795="ALERTE")*(COUNTIF(AI98,"*"&amp;CC4:CC795&amp;"*")&gt;0)*1))</f>
        <v>0</v>
      </c>
      <c r="AO98" s="6625" cm="1">
        <f t="array" ref="AO98">IF(W98="",0,SUMPRODUCT((CA4:CA795="Oeufs")*(CB4:CB795="ALERTE")*(COUNTIF(AI98,"*"&amp;CC4:CC795&amp;"*")&gt;0)*1))</f>
        <v>0</v>
      </c>
      <c r="AP98" s="6625" cm="1">
        <f t="array" ref="AP98">IF(W98="",0,SUMPRODUCT((CA4:CA795="Poissons")*(CB4:CB795="INFO")*(COUNTIF(AI98,"*"&amp;CC4:CC795&amp;"*")&gt;0)*1))</f>
        <v>0</v>
      </c>
      <c r="AQ98" s="6625" cm="1">
        <f t="array" ref="AQ98">IF(W98="",0,SUMPRODUCT((CA4:CA795="Poissons")*(CB4:CB795="EXCL")*(COUNTIF(AI98,"*"&amp;CC4:CC795&amp;"*")&gt;0)*1))</f>
        <v>0</v>
      </c>
      <c r="AR98" s="6625" cm="1">
        <f t="array" ref="AR98">IF(W98="",0,SUMPRODUCT((CA4:CA795="Poissons")*(CB4:CB795="ALERTE")*(COUNTIF(AI98,"*"&amp;CC4:CC795&amp;"*")&gt;0)*1))</f>
        <v>0</v>
      </c>
      <c r="AS98" s="6625" cm="1">
        <f t="array" ref="AS98">IF(W98="",0,SUMPRODUCT((CA4:CA795="Arachides")*(CB4:CB795="ALERTE")*(COUNTIF(AI98,"*"&amp;CC4:CC795&amp;"*")&gt;0)*1))</f>
        <v>0</v>
      </c>
      <c r="AT98" s="6625" cm="1">
        <f t="array" ref="AT98">IF(W98="",0,SUMPRODUCT((CA4:CA795="Soja")*(CB4:CB795="INFO")*(COUNTIF(AI98,"*"&amp;CC4:CC795&amp;"*")&gt;0)*1))</f>
        <v>0</v>
      </c>
      <c r="AU98" s="6625" cm="1">
        <f t="array" ref="AU98">IF(W98="",0,SUMPRODUCT((CA4:CA795="Soja")*(CB4:CB795="ALERTE")*(COUNTIF(AI98,"*"&amp;CC4:CC795&amp;"*")&gt;0)*1))</f>
        <v>0</v>
      </c>
      <c r="AV98" s="6625" cm="1">
        <f t="array" ref="AV98">IF(W98="",0,SUMPRODUCT((CA4:CA795="Lait")*(CB4:CB795="INFO")*(COUNTIF(AI98,"*"&amp;CC4:CC795&amp;"*")&gt;0)*1))</f>
        <v>0</v>
      </c>
      <c r="AW98" s="6625" cm="1">
        <f t="array" ref="AW98">IF(W98="",0,SUMPRODUCT((CA4:CA795="Lait")*(CB4:CB795="EXCL")*(COUNTIF(AI98,"*"&amp;CC4:CC795&amp;"*")&gt;0)*1))</f>
        <v>0</v>
      </c>
      <c r="AX98" s="6625" cm="1">
        <f t="array" ref="AX98">IF(W98="",0,SUMPRODUCT((CA4:CA795="Lait")*(CB4:CB795="ALERTE")*(COUNTIF(AI98,"*"&amp;CC4:CC795&amp;"*")&gt;0)*1))</f>
        <v>0</v>
      </c>
      <c r="AY98" s="6625" cm="1">
        <f t="array" ref="AY98">IF(W98="",0,SUMPRODUCT((CA4:CA795="Lait")*(CB4:CB795="SUSP")*(COUNTIF(AI98,"*"&amp;CC4:CC795&amp;"*")&gt;0)*1))</f>
        <v>0</v>
      </c>
      <c r="AZ98" s="6625" cm="1">
        <f t="array" ref="AZ98">IF(W98="",0,SUMPRODUCT((CA4:CA795="Fruits a coque")*(CB4:CB795="EXCL")*(COUNTIF(AI98,"*"&amp;CC4:CC795&amp;"*")&gt;0)*1))</f>
        <v>0</v>
      </c>
      <c r="BA98" s="6625" cm="1">
        <f t="array" ref="BA98">IF(W98="",0,SUMPRODUCT((CA4:CA795="Fruits a coque")*(CB4:CB795="ALERTE")*(COUNTIF(AI98,"*"&amp;CC4:CC795&amp;"*")&gt;0)*1))</f>
        <v>0</v>
      </c>
      <c r="BB98" s="6625" cm="1">
        <f t="array" ref="BB98">IF(W98="",0,SUMPRODUCT((CA4:CA795="Celeri")*(CB4:CB795="ALERTE")*(COUNTIF(AI98,"*"&amp;CC4:CC795&amp;"*")&gt;0)*1))</f>
        <v>0</v>
      </c>
      <c r="BC98" s="6625" cm="1">
        <f t="array" ref="BC98">IF(W98="",0,SUMPRODUCT((CA4:CA795="Moutarde")*(CB4:CB795="ALERTE")*(COUNTIF(AI98,"*"&amp;CC4:CC795&amp;"*")&gt;0)*1))</f>
        <v>0</v>
      </c>
      <c r="BD98" s="6625" cm="1">
        <f t="array" ref="BD98">IF(W98="",0,SUMPRODUCT((CA4:CA795="Sesame")*(CB4:CB795="ALERTE")*(COUNTIF(AI98,"*"&amp;CC4:CC795&amp;"*")&gt;0)*1))</f>
        <v>0</v>
      </c>
      <c r="BE98" s="6625" cm="1">
        <f t="array" ref="BE98">IF(W98="",0,SUMPRODUCT((CA4:CA795="Sulfites")*(CB4:CB795="ALERTE")*(COUNTIF(AI98,"*"&amp;CC4:CC795&amp;"*")&gt;0)*1))</f>
        <v>0</v>
      </c>
      <c r="BF98" s="6625" cm="1">
        <f t="array" ref="BF98">IF(W98="",0,SUMPRODUCT((CA4:CA795="Lupin")*(CB4:CB795="ALERTE")*(COUNTIF(AI98,"*"&amp;CC4:CC795&amp;"*")&gt;0)*1))</f>
        <v>0</v>
      </c>
      <c r="BG98" s="6625" cm="1">
        <f t="array" ref="BG98">IF(W98="",0,SUMPRODUCT((CA4:CA795="Mollusques")*(CB4:CB795="EXCL")*(COUNTIF(AI98,"*"&amp;CC4:CC795&amp;"*")&gt;0)*1))</f>
        <v>0</v>
      </c>
      <c r="BH98" s="6625" cm="1">
        <f t="array" ref="BH98">IF(W98="",0,SUMPRODUCT((CA4:CA795="Mollusques")*(CB4:CB795="ALERTE")*(COUNTIF(AI98,"*"&amp;CC4:CC795&amp;"*")&gt;0)*1))</f>
        <v>0</v>
      </c>
      <c r="BI98" s="6625" t="str">
        <f t="shared" si="68"/>
        <v/>
      </c>
      <c r="BJ98" s="6625" t="str">
        <f t="shared" si="69"/>
        <v/>
      </c>
      <c r="BK98" s="6625" t="str">
        <f t="shared" si="70"/>
        <v/>
      </c>
      <c r="BL98" s="6625" t="str">
        <f t="shared" si="71"/>
        <v/>
      </c>
      <c r="BM98" s="6625" t="str">
        <f t="shared" si="72"/>
        <v/>
      </c>
      <c r="BN98" s="6625" t="str">
        <f t="shared" si="73"/>
        <v/>
      </c>
      <c r="BO98" s="6625" t="str">
        <f t="shared" si="74"/>
        <v/>
      </c>
      <c r="BP98" s="6625" t="str">
        <f t="shared" si="75"/>
        <v/>
      </c>
      <c r="BQ98" s="6625" t="str">
        <f t="shared" si="76"/>
        <v/>
      </c>
      <c r="BR98" s="6625" t="str">
        <f t="shared" si="77"/>
        <v/>
      </c>
      <c r="BS98" s="6625" t="str">
        <f t="shared" si="78"/>
        <v/>
      </c>
      <c r="BT98" s="6625" t="str">
        <f t="shared" si="79"/>
        <v/>
      </c>
      <c r="BU98" s="6625" t="str">
        <f t="shared" si="80"/>
        <v/>
      </c>
      <c r="BV98" s="6625" t="str">
        <f t="shared" si="81"/>
        <v/>
      </c>
      <c r="BW98" s="6625" t="str">
        <f t="shared" si="82"/>
        <v/>
      </c>
      <c r="BX98" s="6625" t="str">
        <f t="shared" si="83"/>
        <v/>
      </c>
      <c r="CA98" s="3170" t="s">
        <v>16501</v>
      </c>
      <c r="CB98" s="7634" t="s">
        <v>16255</v>
      </c>
      <c r="CC98" s="3170" t="s">
        <v>16526</v>
      </c>
      <c r="CD98" s="3170" t="s">
        <v>16527</v>
      </c>
    </row>
    <row r="99" spans="2:82" ht="30" customHeight="1">
      <c r="B99" s="7661" t="str">
        <f t="shared" si="44"/>
        <v/>
      </c>
      <c r="C99" s="7661" t="str">
        <f t="shared" si="45"/>
        <v/>
      </c>
      <c r="D99" s="7661" t="str">
        <f t="shared" si="46"/>
        <v/>
      </c>
      <c r="E99" s="7661">
        <f>IF(H98&lt;&gt;"",E98,IF(E98="","",IFERROR(MATCH(TRUE(),INDEX(INDEX($K:$K,E98+1):$K$203&lt;&gt;"",0),0)+E98,"")))</f>
        <v>274</v>
      </c>
      <c r="F99" s="7661">
        <f t="shared" si="84"/>
        <v>0</v>
      </c>
      <c r="G99" s="7661" t="str">
        <f t="shared" si="47"/>
        <v>0</v>
      </c>
      <c r="H99" s="7672" t="str">
        <f t="shared" si="48"/>
        <v/>
      </c>
      <c r="I99" s="7683" t="str">
        <f t="shared" si="49"/>
        <v/>
      </c>
      <c r="J99" s="7673" t="str">
        <f>IF(K99="","",COUNTIF($K$18:K99,"&lt;&gt;"))</f>
        <v/>
      </c>
      <c r="K99" s="7674"/>
      <c r="L99" s="7673" t="str">
        <f t="shared" si="50"/>
        <v/>
      </c>
      <c r="M99" s="7630">
        <f t="shared" si="51"/>
        <v>1</v>
      </c>
      <c r="N99" s="7675">
        <f t="shared" si="52"/>
        <v>82</v>
      </c>
      <c r="O99" s="7676" t="str">
        <f t="shared" si="53"/>
        <v>0</v>
      </c>
      <c r="P99" s="7675">
        <f t="shared" si="54"/>
        <v>1</v>
      </c>
      <c r="Q99" s="7675">
        <f t="shared" si="55"/>
        <v>1</v>
      </c>
      <c r="S99" s="7679" t="str">
        <f t="shared" si="85"/>
        <v>0</v>
      </c>
      <c r="T99" s="7680" t="str">
        <f t="shared" si="85"/>
        <v/>
      </c>
      <c r="V99" s="7677">
        <f t="shared" si="56"/>
        <v>99</v>
      </c>
      <c r="W99" s="7678" t="str">
        <f t="shared" si="86"/>
        <v>0</v>
      </c>
      <c r="X99" s="7677" t="s">
        <v>2</v>
      </c>
      <c r="Y99" s="7702" t="str">
        <f t="shared" si="57"/>
        <v>0</v>
      </c>
      <c r="Z99" s="7703" t="str">
        <f t="shared" si="58"/>
        <v/>
      </c>
      <c r="AA99" s="7681" t="str">
        <f t="shared" si="59"/>
        <v>0</v>
      </c>
      <c r="AB99" s="7682" t="str">
        <f t="shared" si="60"/>
        <v/>
      </c>
      <c r="AC99" s="7677">
        <f t="shared" si="61"/>
        <v>0</v>
      </c>
      <c r="AD99" s="7677">
        <f t="shared" si="62"/>
        <v>0</v>
      </c>
      <c r="AE99" s="7682" t="str">
        <f t="shared" si="63"/>
        <v>aucun match</v>
      </c>
      <c r="AF99" s="6625" t="str">
        <f t="shared" si="64"/>
        <v>0</v>
      </c>
      <c r="AG99" s="6625" t="str">
        <f t="shared" si="65"/>
        <v>0</v>
      </c>
      <c r="AH99" s="6625" t="str">
        <f t="shared" si="66"/>
        <v>0</v>
      </c>
      <c r="AI99" s="6625" t="str">
        <f t="shared" si="67"/>
        <v xml:space="preserve"> 0 </v>
      </c>
      <c r="AJ99" s="6625" cm="1">
        <f t="array" ref="AJ99">IF(W99="",0,SUMPRODUCT((CA4:CA795="Gluten")*(CB4:CB795="INFO")*(COUNTIF(AI99,"*"&amp;CC4:CC795&amp;"*")&gt;0)*1))</f>
        <v>0</v>
      </c>
      <c r="AK99" s="6625" cm="1">
        <f t="array" ref="AK99">IF(W99="",0,SUMPRODUCT((CA4:CA795="Gluten")*(CB4:CB795="EXCL")*(COUNTIF(AI99,"*"&amp;CC4:CC795&amp;"*")&gt;0)*1))</f>
        <v>0</v>
      </c>
      <c r="AL99" s="6625" cm="1">
        <f t="array" ref="AL99">IF(W99="",0,SUMPRODUCT((CA4:CA795="Gluten")*(CB4:CB795="ALERTE")*(COUNTIF(AI99,"*"&amp;CC4:CC795&amp;"*")&gt;0)*1))</f>
        <v>0</v>
      </c>
      <c r="AM99" s="6625" cm="1">
        <f t="array" ref="AM99">IF(W99="",0,SUMPRODUCT((CA4:CA795="Gluten")*(CB4:CB795="SUSP")*(COUNTIF(AI99,"*"&amp;CC4:CC795&amp;"*")&gt;0)*1))</f>
        <v>0</v>
      </c>
      <c r="AN99" s="6625" cm="1">
        <f t="array" ref="AN99">IF(W99="",0,SUMPRODUCT((CA4:CA795="Crustaces")*(CB4:CB795="ALERTE")*(COUNTIF(AI99,"*"&amp;CC4:CC795&amp;"*")&gt;0)*1))</f>
        <v>0</v>
      </c>
      <c r="AO99" s="6625" cm="1">
        <f t="array" ref="AO99">IF(W99="",0,SUMPRODUCT((CA4:CA795="Oeufs")*(CB4:CB795="ALERTE")*(COUNTIF(AI99,"*"&amp;CC4:CC795&amp;"*")&gt;0)*1))</f>
        <v>0</v>
      </c>
      <c r="AP99" s="6625" cm="1">
        <f t="array" ref="AP99">IF(W99="",0,SUMPRODUCT((CA4:CA795="Poissons")*(CB4:CB795="INFO")*(COUNTIF(AI99,"*"&amp;CC4:CC795&amp;"*")&gt;0)*1))</f>
        <v>0</v>
      </c>
      <c r="AQ99" s="6625" cm="1">
        <f t="array" ref="AQ99">IF(W99="",0,SUMPRODUCT((CA4:CA795="Poissons")*(CB4:CB795="EXCL")*(COUNTIF(AI99,"*"&amp;CC4:CC795&amp;"*")&gt;0)*1))</f>
        <v>0</v>
      </c>
      <c r="AR99" s="6625" cm="1">
        <f t="array" ref="AR99">IF(W99="",0,SUMPRODUCT((CA4:CA795="Poissons")*(CB4:CB795="ALERTE")*(COUNTIF(AI99,"*"&amp;CC4:CC795&amp;"*")&gt;0)*1))</f>
        <v>0</v>
      </c>
      <c r="AS99" s="6625" cm="1">
        <f t="array" ref="AS99">IF(W99="",0,SUMPRODUCT((CA4:CA795="Arachides")*(CB4:CB795="ALERTE")*(COUNTIF(AI99,"*"&amp;CC4:CC795&amp;"*")&gt;0)*1))</f>
        <v>0</v>
      </c>
      <c r="AT99" s="6625" cm="1">
        <f t="array" ref="AT99">IF(W99="",0,SUMPRODUCT((CA4:CA795="Soja")*(CB4:CB795="INFO")*(COUNTIF(AI99,"*"&amp;CC4:CC795&amp;"*")&gt;0)*1))</f>
        <v>0</v>
      </c>
      <c r="AU99" s="6625" cm="1">
        <f t="array" ref="AU99">IF(W99="",0,SUMPRODUCT((CA4:CA795="Soja")*(CB4:CB795="ALERTE")*(COUNTIF(AI99,"*"&amp;CC4:CC795&amp;"*")&gt;0)*1))</f>
        <v>0</v>
      </c>
      <c r="AV99" s="6625" cm="1">
        <f t="array" ref="AV99">IF(W99="",0,SUMPRODUCT((CA4:CA795="Lait")*(CB4:CB795="INFO")*(COUNTIF(AI99,"*"&amp;CC4:CC795&amp;"*")&gt;0)*1))</f>
        <v>0</v>
      </c>
      <c r="AW99" s="6625" cm="1">
        <f t="array" ref="AW99">IF(W99="",0,SUMPRODUCT((CA4:CA795="Lait")*(CB4:CB795="EXCL")*(COUNTIF(AI99,"*"&amp;CC4:CC795&amp;"*")&gt;0)*1))</f>
        <v>0</v>
      </c>
      <c r="AX99" s="6625" cm="1">
        <f t="array" ref="AX99">IF(W99="",0,SUMPRODUCT((CA4:CA795="Lait")*(CB4:CB795="ALERTE")*(COUNTIF(AI99,"*"&amp;CC4:CC795&amp;"*")&gt;0)*1))</f>
        <v>0</v>
      </c>
      <c r="AY99" s="6625" cm="1">
        <f t="array" ref="AY99">IF(W99="",0,SUMPRODUCT((CA4:CA795="Lait")*(CB4:CB795="SUSP")*(COUNTIF(AI99,"*"&amp;CC4:CC795&amp;"*")&gt;0)*1))</f>
        <v>0</v>
      </c>
      <c r="AZ99" s="6625" cm="1">
        <f t="array" ref="AZ99">IF(W99="",0,SUMPRODUCT((CA4:CA795="Fruits a coque")*(CB4:CB795="EXCL")*(COUNTIF(AI99,"*"&amp;CC4:CC795&amp;"*")&gt;0)*1))</f>
        <v>0</v>
      </c>
      <c r="BA99" s="6625" cm="1">
        <f t="array" ref="BA99">IF(W99="",0,SUMPRODUCT((CA4:CA795="Fruits a coque")*(CB4:CB795="ALERTE")*(COUNTIF(AI99,"*"&amp;CC4:CC795&amp;"*")&gt;0)*1))</f>
        <v>0</v>
      </c>
      <c r="BB99" s="6625" cm="1">
        <f t="array" ref="BB99">IF(W99="",0,SUMPRODUCT((CA4:CA795="Celeri")*(CB4:CB795="ALERTE")*(COUNTIF(AI99,"*"&amp;CC4:CC795&amp;"*")&gt;0)*1))</f>
        <v>0</v>
      </c>
      <c r="BC99" s="6625" cm="1">
        <f t="array" ref="BC99">IF(W99="",0,SUMPRODUCT((CA4:CA795="Moutarde")*(CB4:CB795="ALERTE")*(COUNTIF(AI99,"*"&amp;CC4:CC795&amp;"*")&gt;0)*1))</f>
        <v>0</v>
      </c>
      <c r="BD99" s="6625" cm="1">
        <f t="array" ref="BD99">IF(W99="",0,SUMPRODUCT((CA4:CA795="Sesame")*(CB4:CB795="ALERTE")*(COUNTIF(AI99,"*"&amp;CC4:CC795&amp;"*")&gt;0)*1))</f>
        <v>0</v>
      </c>
      <c r="BE99" s="6625" cm="1">
        <f t="array" ref="BE99">IF(W99="",0,SUMPRODUCT((CA4:CA795="Sulfites")*(CB4:CB795="ALERTE")*(COUNTIF(AI99,"*"&amp;CC4:CC795&amp;"*")&gt;0)*1))</f>
        <v>0</v>
      </c>
      <c r="BF99" s="6625" cm="1">
        <f t="array" ref="BF99">IF(W99="",0,SUMPRODUCT((CA4:CA795="Lupin")*(CB4:CB795="ALERTE")*(COUNTIF(AI99,"*"&amp;CC4:CC795&amp;"*")&gt;0)*1))</f>
        <v>0</v>
      </c>
      <c r="BG99" s="6625" cm="1">
        <f t="array" ref="BG99">IF(W99="",0,SUMPRODUCT((CA4:CA795="Mollusques")*(CB4:CB795="EXCL")*(COUNTIF(AI99,"*"&amp;CC4:CC795&amp;"*")&gt;0)*1))</f>
        <v>0</v>
      </c>
      <c r="BH99" s="6625" cm="1">
        <f t="array" ref="BH99">IF(W99="",0,SUMPRODUCT((CA4:CA795="Mollusques")*(CB4:CB795="ALERTE")*(COUNTIF(AI99,"*"&amp;CC4:CC795&amp;"*")&gt;0)*1))</f>
        <v>0</v>
      </c>
      <c r="BI99" s="6625" t="str">
        <f t="shared" si="68"/>
        <v/>
      </c>
      <c r="BJ99" s="6625" t="str">
        <f t="shared" si="69"/>
        <v/>
      </c>
      <c r="BK99" s="6625" t="str">
        <f t="shared" si="70"/>
        <v/>
      </c>
      <c r="BL99" s="6625" t="str">
        <f t="shared" si="71"/>
        <v/>
      </c>
      <c r="BM99" s="6625" t="str">
        <f t="shared" si="72"/>
        <v/>
      </c>
      <c r="BN99" s="6625" t="str">
        <f t="shared" si="73"/>
        <v/>
      </c>
      <c r="BO99" s="6625" t="str">
        <f t="shared" si="74"/>
        <v/>
      </c>
      <c r="BP99" s="6625" t="str">
        <f t="shared" si="75"/>
        <v/>
      </c>
      <c r="BQ99" s="6625" t="str">
        <f t="shared" si="76"/>
        <v/>
      </c>
      <c r="BR99" s="6625" t="str">
        <f t="shared" si="77"/>
        <v/>
      </c>
      <c r="BS99" s="6625" t="str">
        <f t="shared" si="78"/>
        <v/>
      </c>
      <c r="BT99" s="6625" t="str">
        <f t="shared" si="79"/>
        <v/>
      </c>
      <c r="BU99" s="6625" t="str">
        <f t="shared" si="80"/>
        <v/>
      </c>
      <c r="BV99" s="6625" t="str">
        <f t="shared" si="81"/>
        <v/>
      </c>
      <c r="BW99" s="6625" t="str">
        <f t="shared" si="82"/>
        <v/>
      </c>
      <c r="BX99" s="6625" t="str">
        <f t="shared" si="83"/>
        <v/>
      </c>
      <c r="CA99" s="3170" t="s">
        <v>16501</v>
      </c>
      <c r="CB99" s="7634" t="s">
        <v>16255</v>
      </c>
      <c r="CC99" s="3170" t="s">
        <v>16528</v>
      </c>
      <c r="CD99" s="3170" t="s">
        <v>16529</v>
      </c>
    </row>
    <row r="100" spans="2:82" ht="30" customHeight="1">
      <c r="B100" s="7661" t="str">
        <f t="shared" si="44"/>
        <v/>
      </c>
      <c r="C100" s="7661" t="str">
        <f t="shared" si="45"/>
        <v/>
      </c>
      <c r="D100" s="7661" t="str">
        <f t="shared" si="46"/>
        <v/>
      </c>
      <c r="E100" s="7661">
        <f>IF(H99&lt;&gt;"",E99,IF(E99="","",IFERROR(MATCH(TRUE(),INDEX(INDEX($K:$K,E99+1):$K$203&lt;&gt;"",0),0)+E99,"")))</f>
        <v>275</v>
      </c>
      <c r="F100" s="7661">
        <f t="shared" si="84"/>
        <v>0</v>
      </c>
      <c r="G100" s="7661" t="str">
        <f t="shared" si="47"/>
        <v>0</v>
      </c>
      <c r="H100" s="7672" t="str">
        <f t="shared" si="48"/>
        <v/>
      </c>
      <c r="I100" s="7683" t="str">
        <f t="shared" si="49"/>
        <v/>
      </c>
      <c r="J100" s="7673" t="str">
        <f>IF(K100="","",COUNTIF($K$18:K100,"&lt;&gt;"))</f>
        <v/>
      </c>
      <c r="K100" s="7674"/>
      <c r="L100" s="7673" t="str">
        <f t="shared" si="50"/>
        <v/>
      </c>
      <c r="M100" s="7630">
        <f t="shared" si="51"/>
        <v>1</v>
      </c>
      <c r="N100" s="7675">
        <f t="shared" si="52"/>
        <v>83</v>
      </c>
      <c r="O100" s="7676" t="str">
        <f t="shared" si="53"/>
        <v>0</v>
      </c>
      <c r="P100" s="7675">
        <f t="shared" si="54"/>
        <v>1</v>
      </c>
      <c r="Q100" s="7675">
        <f t="shared" si="55"/>
        <v>1</v>
      </c>
      <c r="S100" s="7679" t="str">
        <f t="shared" si="85"/>
        <v>0</v>
      </c>
      <c r="T100" s="7680" t="str">
        <f t="shared" si="85"/>
        <v/>
      </c>
      <c r="V100" s="7677">
        <f t="shared" si="56"/>
        <v>100</v>
      </c>
      <c r="W100" s="7678" t="str">
        <f t="shared" si="86"/>
        <v>0</v>
      </c>
      <c r="X100" s="7677" t="s">
        <v>2</v>
      </c>
      <c r="Y100" s="7702" t="str">
        <f t="shared" si="57"/>
        <v>0</v>
      </c>
      <c r="Z100" s="7703" t="str">
        <f t="shared" si="58"/>
        <v/>
      </c>
      <c r="AA100" s="7681" t="str">
        <f t="shared" si="59"/>
        <v>0</v>
      </c>
      <c r="AB100" s="7682" t="str">
        <f t="shared" si="60"/>
        <v/>
      </c>
      <c r="AC100" s="7677">
        <f t="shared" si="61"/>
        <v>0</v>
      </c>
      <c r="AD100" s="7677">
        <f t="shared" si="62"/>
        <v>0</v>
      </c>
      <c r="AE100" s="7682" t="str">
        <f t="shared" si="63"/>
        <v>aucun match</v>
      </c>
      <c r="AF100" s="6625" t="str">
        <f t="shared" si="64"/>
        <v>0</v>
      </c>
      <c r="AG100" s="6625" t="str">
        <f t="shared" si="65"/>
        <v>0</v>
      </c>
      <c r="AH100" s="6625" t="str">
        <f t="shared" si="66"/>
        <v>0</v>
      </c>
      <c r="AI100" s="6625" t="str">
        <f t="shared" si="67"/>
        <v xml:space="preserve"> 0 </v>
      </c>
      <c r="AJ100" s="6625" cm="1">
        <f t="array" ref="AJ100">IF(W100="",0,SUMPRODUCT((CA4:CA795="Gluten")*(CB4:CB795="INFO")*(COUNTIF(AI100,"*"&amp;CC4:CC795&amp;"*")&gt;0)*1))</f>
        <v>0</v>
      </c>
      <c r="AK100" s="6625" cm="1">
        <f t="array" ref="AK100">IF(W100="",0,SUMPRODUCT((CA4:CA795="Gluten")*(CB4:CB795="EXCL")*(COUNTIF(AI100,"*"&amp;CC4:CC795&amp;"*")&gt;0)*1))</f>
        <v>0</v>
      </c>
      <c r="AL100" s="6625" cm="1">
        <f t="array" ref="AL100">IF(W100="",0,SUMPRODUCT((CA4:CA795="Gluten")*(CB4:CB795="ALERTE")*(COUNTIF(AI100,"*"&amp;CC4:CC795&amp;"*")&gt;0)*1))</f>
        <v>0</v>
      </c>
      <c r="AM100" s="6625" cm="1">
        <f t="array" ref="AM100">IF(W100="",0,SUMPRODUCT((CA4:CA795="Gluten")*(CB4:CB795="SUSP")*(COUNTIF(AI100,"*"&amp;CC4:CC795&amp;"*")&gt;0)*1))</f>
        <v>0</v>
      </c>
      <c r="AN100" s="6625" cm="1">
        <f t="array" ref="AN100">IF(W100="",0,SUMPRODUCT((CA4:CA795="Crustaces")*(CB4:CB795="ALERTE")*(COUNTIF(AI100,"*"&amp;CC4:CC795&amp;"*")&gt;0)*1))</f>
        <v>0</v>
      </c>
      <c r="AO100" s="6625" cm="1">
        <f t="array" ref="AO100">IF(W100="",0,SUMPRODUCT((CA4:CA795="Oeufs")*(CB4:CB795="ALERTE")*(COUNTIF(AI100,"*"&amp;CC4:CC795&amp;"*")&gt;0)*1))</f>
        <v>0</v>
      </c>
      <c r="AP100" s="6625" cm="1">
        <f t="array" ref="AP100">IF(W100="",0,SUMPRODUCT((CA4:CA795="Poissons")*(CB4:CB795="INFO")*(COUNTIF(AI100,"*"&amp;CC4:CC795&amp;"*")&gt;0)*1))</f>
        <v>0</v>
      </c>
      <c r="AQ100" s="6625" cm="1">
        <f t="array" ref="AQ100">IF(W100="",0,SUMPRODUCT((CA4:CA795="Poissons")*(CB4:CB795="EXCL")*(COUNTIF(AI100,"*"&amp;CC4:CC795&amp;"*")&gt;0)*1))</f>
        <v>0</v>
      </c>
      <c r="AR100" s="6625" cm="1">
        <f t="array" ref="AR100">IF(W100="",0,SUMPRODUCT((CA4:CA795="Poissons")*(CB4:CB795="ALERTE")*(COUNTIF(AI100,"*"&amp;CC4:CC795&amp;"*")&gt;0)*1))</f>
        <v>0</v>
      </c>
      <c r="AS100" s="6625" cm="1">
        <f t="array" ref="AS100">IF(W100="",0,SUMPRODUCT((CA4:CA795="Arachides")*(CB4:CB795="ALERTE")*(COUNTIF(AI100,"*"&amp;CC4:CC795&amp;"*")&gt;0)*1))</f>
        <v>0</v>
      </c>
      <c r="AT100" s="6625" cm="1">
        <f t="array" ref="AT100">IF(W100="",0,SUMPRODUCT((CA4:CA795="Soja")*(CB4:CB795="INFO")*(COUNTIF(AI100,"*"&amp;CC4:CC795&amp;"*")&gt;0)*1))</f>
        <v>0</v>
      </c>
      <c r="AU100" s="6625" cm="1">
        <f t="array" ref="AU100">IF(W100="",0,SUMPRODUCT((CA4:CA795="Soja")*(CB4:CB795="ALERTE")*(COUNTIF(AI100,"*"&amp;CC4:CC795&amp;"*")&gt;0)*1))</f>
        <v>0</v>
      </c>
      <c r="AV100" s="6625" cm="1">
        <f t="array" ref="AV100">IF(W100="",0,SUMPRODUCT((CA4:CA795="Lait")*(CB4:CB795="INFO")*(COUNTIF(AI100,"*"&amp;CC4:CC795&amp;"*")&gt;0)*1))</f>
        <v>0</v>
      </c>
      <c r="AW100" s="6625" cm="1">
        <f t="array" ref="AW100">IF(W100="",0,SUMPRODUCT((CA4:CA795="Lait")*(CB4:CB795="EXCL")*(COUNTIF(AI100,"*"&amp;CC4:CC795&amp;"*")&gt;0)*1))</f>
        <v>0</v>
      </c>
      <c r="AX100" s="6625" cm="1">
        <f t="array" ref="AX100">IF(W100="",0,SUMPRODUCT((CA4:CA795="Lait")*(CB4:CB795="ALERTE")*(COUNTIF(AI100,"*"&amp;CC4:CC795&amp;"*")&gt;0)*1))</f>
        <v>0</v>
      </c>
      <c r="AY100" s="6625" cm="1">
        <f t="array" ref="AY100">IF(W100="",0,SUMPRODUCT((CA4:CA795="Lait")*(CB4:CB795="SUSP")*(COUNTIF(AI100,"*"&amp;CC4:CC795&amp;"*")&gt;0)*1))</f>
        <v>0</v>
      </c>
      <c r="AZ100" s="6625" cm="1">
        <f t="array" ref="AZ100">IF(W100="",0,SUMPRODUCT((CA4:CA795="Fruits a coque")*(CB4:CB795="EXCL")*(COUNTIF(AI100,"*"&amp;CC4:CC795&amp;"*")&gt;0)*1))</f>
        <v>0</v>
      </c>
      <c r="BA100" s="6625" cm="1">
        <f t="array" ref="BA100">IF(W100="",0,SUMPRODUCT((CA4:CA795="Fruits a coque")*(CB4:CB795="ALERTE")*(COUNTIF(AI100,"*"&amp;CC4:CC795&amp;"*")&gt;0)*1))</f>
        <v>0</v>
      </c>
      <c r="BB100" s="6625" cm="1">
        <f t="array" ref="BB100">IF(W100="",0,SUMPRODUCT((CA4:CA795="Celeri")*(CB4:CB795="ALERTE")*(COUNTIF(AI100,"*"&amp;CC4:CC795&amp;"*")&gt;0)*1))</f>
        <v>0</v>
      </c>
      <c r="BC100" s="6625" cm="1">
        <f t="array" ref="BC100">IF(W100="",0,SUMPRODUCT((CA4:CA795="Moutarde")*(CB4:CB795="ALERTE")*(COUNTIF(AI100,"*"&amp;CC4:CC795&amp;"*")&gt;0)*1))</f>
        <v>0</v>
      </c>
      <c r="BD100" s="6625" cm="1">
        <f t="array" ref="BD100">IF(W100="",0,SUMPRODUCT((CA4:CA795="Sesame")*(CB4:CB795="ALERTE")*(COUNTIF(AI100,"*"&amp;CC4:CC795&amp;"*")&gt;0)*1))</f>
        <v>0</v>
      </c>
      <c r="BE100" s="6625" cm="1">
        <f t="array" ref="BE100">IF(W100="",0,SUMPRODUCT((CA4:CA795="Sulfites")*(CB4:CB795="ALERTE")*(COUNTIF(AI100,"*"&amp;CC4:CC795&amp;"*")&gt;0)*1))</f>
        <v>0</v>
      </c>
      <c r="BF100" s="6625" cm="1">
        <f t="array" ref="BF100">IF(W100="",0,SUMPRODUCT((CA4:CA795="Lupin")*(CB4:CB795="ALERTE")*(COUNTIF(AI100,"*"&amp;CC4:CC795&amp;"*")&gt;0)*1))</f>
        <v>0</v>
      </c>
      <c r="BG100" s="6625" cm="1">
        <f t="array" ref="BG100">IF(W100="",0,SUMPRODUCT((CA4:CA795="Mollusques")*(CB4:CB795="EXCL")*(COUNTIF(AI100,"*"&amp;CC4:CC795&amp;"*")&gt;0)*1))</f>
        <v>0</v>
      </c>
      <c r="BH100" s="6625" cm="1">
        <f t="array" ref="BH100">IF(W100="",0,SUMPRODUCT((CA4:CA795="Mollusques")*(CB4:CB795="ALERTE")*(COUNTIF(AI100,"*"&amp;CC4:CC795&amp;"*")&gt;0)*1))</f>
        <v>0</v>
      </c>
      <c r="BI100" s="6625" t="str">
        <f t="shared" si="68"/>
        <v/>
      </c>
      <c r="BJ100" s="6625" t="str">
        <f t="shared" si="69"/>
        <v/>
      </c>
      <c r="BK100" s="6625" t="str">
        <f t="shared" si="70"/>
        <v/>
      </c>
      <c r="BL100" s="6625" t="str">
        <f t="shared" si="71"/>
        <v/>
      </c>
      <c r="BM100" s="6625" t="str">
        <f t="shared" si="72"/>
        <v/>
      </c>
      <c r="BN100" s="6625" t="str">
        <f t="shared" si="73"/>
        <v/>
      </c>
      <c r="BO100" s="6625" t="str">
        <f t="shared" si="74"/>
        <v/>
      </c>
      <c r="BP100" s="6625" t="str">
        <f t="shared" si="75"/>
        <v/>
      </c>
      <c r="BQ100" s="6625" t="str">
        <f t="shared" si="76"/>
        <v/>
      </c>
      <c r="BR100" s="6625" t="str">
        <f t="shared" si="77"/>
        <v/>
      </c>
      <c r="BS100" s="6625" t="str">
        <f t="shared" si="78"/>
        <v/>
      </c>
      <c r="BT100" s="6625" t="str">
        <f t="shared" si="79"/>
        <v/>
      </c>
      <c r="BU100" s="6625" t="str">
        <f t="shared" si="80"/>
        <v/>
      </c>
      <c r="BV100" s="6625" t="str">
        <f t="shared" si="81"/>
        <v/>
      </c>
      <c r="BW100" s="6625" t="str">
        <f t="shared" si="82"/>
        <v/>
      </c>
      <c r="BX100" s="6625" t="str">
        <f t="shared" si="83"/>
        <v/>
      </c>
      <c r="CA100" s="3170" t="s">
        <v>16501</v>
      </c>
      <c r="CB100" s="7634" t="s">
        <v>16255</v>
      </c>
      <c r="CC100" s="3170" t="s">
        <v>16530</v>
      </c>
      <c r="CD100" s="3170" t="s">
        <v>16531</v>
      </c>
    </row>
    <row r="101" spans="2:82" ht="30" customHeight="1">
      <c r="B101" s="7661" t="str">
        <f t="shared" si="44"/>
        <v/>
      </c>
      <c r="C101" s="7661" t="str">
        <f t="shared" si="45"/>
        <v/>
      </c>
      <c r="D101" s="7661" t="str">
        <f t="shared" si="46"/>
        <v/>
      </c>
      <c r="E101" s="7661">
        <f>IF(H100&lt;&gt;"",E100,IF(E100="","",IFERROR(MATCH(TRUE(),INDEX(INDEX($K:$K,E100+1):$K$203&lt;&gt;"",0),0)+E100,"")))</f>
        <v>276</v>
      </c>
      <c r="F101" s="7661">
        <f t="shared" si="84"/>
        <v>0</v>
      </c>
      <c r="G101" s="7661" t="str">
        <f t="shared" si="47"/>
        <v>0</v>
      </c>
      <c r="H101" s="7672" t="str">
        <f t="shared" si="48"/>
        <v/>
      </c>
      <c r="I101" s="7683" t="str">
        <f t="shared" si="49"/>
        <v/>
      </c>
      <c r="J101" s="7673" t="str">
        <f>IF(K101="","",COUNTIF($K$18:K101,"&lt;&gt;"))</f>
        <v/>
      </c>
      <c r="K101" s="7674"/>
      <c r="L101" s="7673" t="str">
        <f t="shared" si="50"/>
        <v/>
      </c>
      <c r="M101" s="7630">
        <f t="shared" si="51"/>
        <v>1</v>
      </c>
      <c r="N101" s="7675">
        <f t="shared" si="52"/>
        <v>84</v>
      </c>
      <c r="O101" s="7676" t="str">
        <f t="shared" si="53"/>
        <v>0</v>
      </c>
      <c r="P101" s="7675">
        <f t="shared" si="54"/>
        <v>1</v>
      </c>
      <c r="Q101" s="7675">
        <f t="shared" si="55"/>
        <v>1</v>
      </c>
      <c r="S101" s="7679" t="str">
        <f t="shared" si="85"/>
        <v>0</v>
      </c>
      <c r="T101" s="7680" t="str">
        <f t="shared" si="85"/>
        <v/>
      </c>
      <c r="V101" s="7677">
        <f t="shared" si="56"/>
        <v>101</v>
      </c>
      <c r="W101" s="7678" t="str">
        <f t="shared" si="86"/>
        <v>0</v>
      </c>
      <c r="X101" s="7677" t="s">
        <v>2</v>
      </c>
      <c r="Y101" s="7702" t="str">
        <f t="shared" si="57"/>
        <v>0</v>
      </c>
      <c r="Z101" s="7703" t="str">
        <f t="shared" si="58"/>
        <v/>
      </c>
      <c r="AA101" s="7681" t="str">
        <f t="shared" si="59"/>
        <v>0</v>
      </c>
      <c r="AB101" s="7682" t="str">
        <f t="shared" si="60"/>
        <v/>
      </c>
      <c r="AC101" s="7677">
        <f t="shared" si="61"/>
        <v>0</v>
      </c>
      <c r="AD101" s="7677">
        <f t="shared" si="62"/>
        <v>0</v>
      </c>
      <c r="AE101" s="7682" t="str">
        <f t="shared" si="63"/>
        <v>aucun match</v>
      </c>
      <c r="AF101" s="6625" t="str">
        <f t="shared" si="64"/>
        <v>0</v>
      </c>
      <c r="AG101" s="6625" t="str">
        <f t="shared" si="65"/>
        <v>0</v>
      </c>
      <c r="AH101" s="6625" t="str">
        <f t="shared" si="66"/>
        <v>0</v>
      </c>
      <c r="AI101" s="6625" t="str">
        <f t="shared" si="67"/>
        <v xml:space="preserve"> 0 </v>
      </c>
      <c r="AJ101" s="6625" cm="1">
        <f t="array" ref="AJ101">IF(W101="",0,SUMPRODUCT((CA4:CA795="Gluten")*(CB4:CB795="INFO")*(COUNTIF(AI101,"*"&amp;CC4:CC795&amp;"*")&gt;0)*1))</f>
        <v>0</v>
      </c>
      <c r="AK101" s="6625" cm="1">
        <f t="array" ref="AK101">IF(W101="",0,SUMPRODUCT((CA4:CA795="Gluten")*(CB4:CB795="EXCL")*(COUNTIF(AI101,"*"&amp;CC4:CC795&amp;"*")&gt;0)*1))</f>
        <v>0</v>
      </c>
      <c r="AL101" s="6625" cm="1">
        <f t="array" ref="AL101">IF(W101="",0,SUMPRODUCT((CA4:CA795="Gluten")*(CB4:CB795="ALERTE")*(COUNTIF(AI101,"*"&amp;CC4:CC795&amp;"*")&gt;0)*1))</f>
        <v>0</v>
      </c>
      <c r="AM101" s="6625" cm="1">
        <f t="array" ref="AM101">IF(W101="",0,SUMPRODUCT((CA4:CA795="Gluten")*(CB4:CB795="SUSP")*(COUNTIF(AI101,"*"&amp;CC4:CC795&amp;"*")&gt;0)*1))</f>
        <v>0</v>
      </c>
      <c r="AN101" s="6625" cm="1">
        <f t="array" ref="AN101">IF(W101="",0,SUMPRODUCT((CA4:CA795="Crustaces")*(CB4:CB795="ALERTE")*(COUNTIF(AI101,"*"&amp;CC4:CC795&amp;"*")&gt;0)*1))</f>
        <v>0</v>
      </c>
      <c r="AO101" s="6625" cm="1">
        <f t="array" ref="AO101">IF(W101="",0,SUMPRODUCT((CA4:CA795="Oeufs")*(CB4:CB795="ALERTE")*(COUNTIF(AI101,"*"&amp;CC4:CC795&amp;"*")&gt;0)*1))</f>
        <v>0</v>
      </c>
      <c r="AP101" s="6625" cm="1">
        <f t="array" ref="AP101">IF(W101="",0,SUMPRODUCT((CA4:CA795="Poissons")*(CB4:CB795="INFO")*(COUNTIF(AI101,"*"&amp;CC4:CC795&amp;"*")&gt;0)*1))</f>
        <v>0</v>
      </c>
      <c r="AQ101" s="6625" cm="1">
        <f t="array" ref="AQ101">IF(W101="",0,SUMPRODUCT((CA4:CA795="Poissons")*(CB4:CB795="EXCL")*(COUNTIF(AI101,"*"&amp;CC4:CC795&amp;"*")&gt;0)*1))</f>
        <v>0</v>
      </c>
      <c r="AR101" s="6625" cm="1">
        <f t="array" ref="AR101">IF(W101="",0,SUMPRODUCT((CA4:CA795="Poissons")*(CB4:CB795="ALERTE")*(COUNTIF(AI101,"*"&amp;CC4:CC795&amp;"*")&gt;0)*1))</f>
        <v>0</v>
      </c>
      <c r="AS101" s="6625" cm="1">
        <f t="array" ref="AS101">IF(W101="",0,SUMPRODUCT((CA4:CA795="Arachides")*(CB4:CB795="ALERTE")*(COUNTIF(AI101,"*"&amp;CC4:CC795&amp;"*")&gt;0)*1))</f>
        <v>0</v>
      </c>
      <c r="AT101" s="6625" cm="1">
        <f t="array" ref="AT101">IF(W101="",0,SUMPRODUCT((CA4:CA795="Soja")*(CB4:CB795="INFO")*(COUNTIF(AI101,"*"&amp;CC4:CC795&amp;"*")&gt;0)*1))</f>
        <v>0</v>
      </c>
      <c r="AU101" s="6625" cm="1">
        <f t="array" ref="AU101">IF(W101="",0,SUMPRODUCT((CA4:CA795="Soja")*(CB4:CB795="ALERTE")*(COUNTIF(AI101,"*"&amp;CC4:CC795&amp;"*")&gt;0)*1))</f>
        <v>0</v>
      </c>
      <c r="AV101" s="6625" cm="1">
        <f t="array" ref="AV101">IF(W101="",0,SUMPRODUCT((CA4:CA795="Lait")*(CB4:CB795="INFO")*(COUNTIF(AI101,"*"&amp;CC4:CC795&amp;"*")&gt;0)*1))</f>
        <v>0</v>
      </c>
      <c r="AW101" s="6625" cm="1">
        <f t="array" ref="AW101">IF(W101="",0,SUMPRODUCT((CA4:CA795="Lait")*(CB4:CB795="EXCL")*(COUNTIF(AI101,"*"&amp;CC4:CC795&amp;"*")&gt;0)*1))</f>
        <v>0</v>
      </c>
      <c r="AX101" s="6625" cm="1">
        <f t="array" ref="AX101">IF(W101="",0,SUMPRODUCT((CA4:CA795="Lait")*(CB4:CB795="ALERTE")*(COUNTIF(AI101,"*"&amp;CC4:CC795&amp;"*")&gt;0)*1))</f>
        <v>0</v>
      </c>
      <c r="AY101" s="6625" cm="1">
        <f t="array" ref="AY101">IF(W101="",0,SUMPRODUCT((CA4:CA795="Lait")*(CB4:CB795="SUSP")*(COUNTIF(AI101,"*"&amp;CC4:CC795&amp;"*")&gt;0)*1))</f>
        <v>0</v>
      </c>
      <c r="AZ101" s="6625" cm="1">
        <f t="array" ref="AZ101">IF(W101="",0,SUMPRODUCT((CA4:CA795="Fruits a coque")*(CB4:CB795="EXCL")*(COUNTIF(AI101,"*"&amp;CC4:CC795&amp;"*")&gt;0)*1))</f>
        <v>0</v>
      </c>
      <c r="BA101" s="6625" cm="1">
        <f t="array" ref="BA101">IF(W101="",0,SUMPRODUCT((CA4:CA795="Fruits a coque")*(CB4:CB795="ALERTE")*(COUNTIF(AI101,"*"&amp;CC4:CC795&amp;"*")&gt;0)*1))</f>
        <v>0</v>
      </c>
      <c r="BB101" s="6625" cm="1">
        <f t="array" ref="BB101">IF(W101="",0,SUMPRODUCT((CA4:CA795="Celeri")*(CB4:CB795="ALERTE")*(COUNTIF(AI101,"*"&amp;CC4:CC795&amp;"*")&gt;0)*1))</f>
        <v>0</v>
      </c>
      <c r="BC101" s="6625" cm="1">
        <f t="array" ref="BC101">IF(W101="",0,SUMPRODUCT((CA4:CA795="Moutarde")*(CB4:CB795="ALERTE")*(COUNTIF(AI101,"*"&amp;CC4:CC795&amp;"*")&gt;0)*1))</f>
        <v>0</v>
      </c>
      <c r="BD101" s="6625" cm="1">
        <f t="array" ref="BD101">IF(W101="",0,SUMPRODUCT((CA4:CA795="Sesame")*(CB4:CB795="ALERTE")*(COUNTIF(AI101,"*"&amp;CC4:CC795&amp;"*")&gt;0)*1))</f>
        <v>0</v>
      </c>
      <c r="BE101" s="6625" cm="1">
        <f t="array" ref="BE101">IF(W101="",0,SUMPRODUCT((CA4:CA795="Sulfites")*(CB4:CB795="ALERTE")*(COUNTIF(AI101,"*"&amp;CC4:CC795&amp;"*")&gt;0)*1))</f>
        <v>0</v>
      </c>
      <c r="BF101" s="6625" cm="1">
        <f t="array" ref="BF101">IF(W101="",0,SUMPRODUCT((CA4:CA795="Lupin")*(CB4:CB795="ALERTE")*(COUNTIF(AI101,"*"&amp;CC4:CC795&amp;"*")&gt;0)*1))</f>
        <v>0</v>
      </c>
      <c r="BG101" s="6625" cm="1">
        <f t="array" ref="BG101">IF(W101="",0,SUMPRODUCT((CA4:CA795="Mollusques")*(CB4:CB795="EXCL")*(COUNTIF(AI101,"*"&amp;CC4:CC795&amp;"*")&gt;0)*1))</f>
        <v>0</v>
      </c>
      <c r="BH101" s="6625" cm="1">
        <f t="array" ref="BH101">IF(W101="",0,SUMPRODUCT((CA4:CA795="Mollusques")*(CB4:CB795="ALERTE")*(COUNTIF(AI101,"*"&amp;CC4:CC795&amp;"*")&gt;0)*1))</f>
        <v>0</v>
      </c>
      <c r="BI101" s="6625" t="str">
        <f t="shared" si="68"/>
        <v/>
      </c>
      <c r="BJ101" s="6625" t="str">
        <f t="shared" si="69"/>
        <v/>
      </c>
      <c r="BK101" s="6625" t="str">
        <f t="shared" si="70"/>
        <v/>
      </c>
      <c r="BL101" s="6625" t="str">
        <f t="shared" si="71"/>
        <v/>
      </c>
      <c r="BM101" s="6625" t="str">
        <f t="shared" si="72"/>
        <v/>
      </c>
      <c r="BN101" s="6625" t="str">
        <f t="shared" si="73"/>
        <v/>
      </c>
      <c r="BO101" s="6625" t="str">
        <f t="shared" si="74"/>
        <v/>
      </c>
      <c r="BP101" s="6625" t="str">
        <f t="shared" si="75"/>
        <v/>
      </c>
      <c r="BQ101" s="6625" t="str">
        <f t="shared" si="76"/>
        <v/>
      </c>
      <c r="BR101" s="6625" t="str">
        <f t="shared" si="77"/>
        <v/>
      </c>
      <c r="BS101" s="6625" t="str">
        <f t="shared" si="78"/>
        <v/>
      </c>
      <c r="BT101" s="6625" t="str">
        <f t="shared" si="79"/>
        <v/>
      </c>
      <c r="BU101" s="6625" t="str">
        <f t="shared" si="80"/>
        <v/>
      </c>
      <c r="BV101" s="6625" t="str">
        <f t="shared" si="81"/>
        <v/>
      </c>
      <c r="BW101" s="6625" t="str">
        <f t="shared" si="82"/>
        <v/>
      </c>
      <c r="BX101" s="6625" t="str">
        <f t="shared" si="83"/>
        <v/>
      </c>
      <c r="CA101" s="3170" t="s">
        <v>16501</v>
      </c>
      <c r="CB101" s="7634" t="s">
        <v>16255</v>
      </c>
      <c r="CC101" s="3170" t="s">
        <v>16532</v>
      </c>
      <c r="CD101" s="3170" t="s">
        <v>16533</v>
      </c>
    </row>
    <row r="102" spans="2:82" ht="30" customHeight="1">
      <c r="B102" s="7661" t="str">
        <f t="shared" si="44"/>
        <v/>
      </c>
      <c r="C102" s="7661" t="str">
        <f t="shared" si="45"/>
        <v/>
      </c>
      <c r="D102" s="7661" t="str">
        <f t="shared" si="46"/>
        <v/>
      </c>
      <c r="E102" s="7661">
        <f>IF(H101&lt;&gt;"",E101,IF(E101="","",IFERROR(MATCH(TRUE(),INDEX(INDEX($K:$K,E101+1):$K$203&lt;&gt;"",0),0)+E101,"")))</f>
        <v>277</v>
      </c>
      <c r="F102" s="7661">
        <f t="shared" si="84"/>
        <v>0</v>
      </c>
      <c r="G102" s="7661" t="str">
        <f t="shared" si="47"/>
        <v>0</v>
      </c>
      <c r="H102" s="7672" t="str">
        <f t="shared" si="48"/>
        <v/>
      </c>
      <c r="I102" s="7683" t="str">
        <f t="shared" si="49"/>
        <v/>
      </c>
      <c r="J102" s="7673" t="str">
        <f>IF(K102="","",COUNTIF($K$18:K102,"&lt;&gt;"))</f>
        <v/>
      </c>
      <c r="K102" s="7674"/>
      <c r="L102" s="7673" t="str">
        <f t="shared" si="50"/>
        <v/>
      </c>
      <c r="M102" s="7630">
        <f t="shared" si="51"/>
        <v>1</v>
      </c>
      <c r="N102" s="7675">
        <f t="shared" si="52"/>
        <v>85</v>
      </c>
      <c r="O102" s="7676" t="str">
        <f t="shared" si="53"/>
        <v>0</v>
      </c>
      <c r="P102" s="7675">
        <f t="shared" si="54"/>
        <v>1</v>
      </c>
      <c r="Q102" s="7675">
        <f t="shared" si="55"/>
        <v>1</v>
      </c>
      <c r="S102" s="7679" t="str">
        <f t="shared" si="85"/>
        <v>0</v>
      </c>
      <c r="T102" s="7680" t="str">
        <f t="shared" si="85"/>
        <v/>
      </c>
      <c r="V102" s="7677">
        <f t="shared" si="56"/>
        <v>102</v>
      </c>
      <c r="W102" s="7678" t="str">
        <f t="shared" si="86"/>
        <v>0</v>
      </c>
      <c r="X102" s="7677" t="s">
        <v>2</v>
      </c>
      <c r="Y102" s="7702" t="str">
        <f t="shared" si="57"/>
        <v>0</v>
      </c>
      <c r="Z102" s="7703" t="str">
        <f t="shared" si="58"/>
        <v/>
      </c>
      <c r="AA102" s="7681" t="str">
        <f t="shared" si="59"/>
        <v>0</v>
      </c>
      <c r="AB102" s="7682" t="str">
        <f t="shared" si="60"/>
        <v/>
      </c>
      <c r="AC102" s="7677">
        <f t="shared" si="61"/>
        <v>0</v>
      </c>
      <c r="AD102" s="7677">
        <f t="shared" si="62"/>
        <v>0</v>
      </c>
      <c r="AE102" s="7682" t="str">
        <f t="shared" si="63"/>
        <v>aucun match</v>
      </c>
      <c r="AF102" s="6625" t="str">
        <f t="shared" si="64"/>
        <v>0</v>
      </c>
      <c r="AG102" s="6625" t="str">
        <f t="shared" si="65"/>
        <v>0</v>
      </c>
      <c r="AH102" s="6625" t="str">
        <f t="shared" si="66"/>
        <v>0</v>
      </c>
      <c r="AI102" s="6625" t="str">
        <f t="shared" si="67"/>
        <v xml:space="preserve"> 0 </v>
      </c>
      <c r="AJ102" s="6625" cm="1">
        <f t="array" ref="AJ102">IF(W102="",0,SUMPRODUCT((CA4:CA795="Gluten")*(CB4:CB795="INFO")*(COUNTIF(AI102,"*"&amp;CC4:CC795&amp;"*")&gt;0)*1))</f>
        <v>0</v>
      </c>
      <c r="AK102" s="6625" cm="1">
        <f t="array" ref="AK102">IF(W102="",0,SUMPRODUCT((CA4:CA795="Gluten")*(CB4:CB795="EXCL")*(COUNTIF(AI102,"*"&amp;CC4:CC795&amp;"*")&gt;0)*1))</f>
        <v>0</v>
      </c>
      <c r="AL102" s="6625" cm="1">
        <f t="array" ref="AL102">IF(W102="",0,SUMPRODUCT((CA4:CA795="Gluten")*(CB4:CB795="ALERTE")*(COUNTIF(AI102,"*"&amp;CC4:CC795&amp;"*")&gt;0)*1))</f>
        <v>0</v>
      </c>
      <c r="AM102" s="6625" cm="1">
        <f t="array" ref="AM102">IF(W102="",0,SUMPRODUCT((CA4:CA795="Gluten")*(CB4:CB795="SUSP")*(COUNTIF(AI102,"*"&amp;CC4:CC795&amp;"*")&gt;0)*1))</f>
        <v>0</v>
      </c>
      <c r="AN102" s="6625" cm="1">
        <f t="array" ref="AN102">IF(W102="",0,SUMPRODUCT((CA4:CA795="Crustaces")*(CB4:CB795="ALERTE")*(COUNTIF(AI102,"*"&amp;CC4:CC795&amp;"*")&gt;0)*1))</f>
        <v>0</v>
      </c>
      <c r="AO102" s="6625" cm="1">
        <f t="array" ref="AO102">IF(W102="",0,SUMPRODUCT((CA4:CA795="Oeufs")*(CB4:CB795="ALERTE")*(COUNTIF(AI102,"*"&amp;CC4:CC795&amp;"*")&gt;0)*1))</f>
        <v>0</v>
      </c>
      <c r="AP102" s="6625" cm="1">
        <f t="array" ref="AP102">IF(W102="",0,SUMPRODUCT((CA4:CA795="Poissons")*(CB4:CB795="INFO")*(COUNTIF(AI102,"*"&amp;CC4:CC795&amp;"*")&gt;0)*1))</f>
        <v>0</v>
      </c>
      <c r="AQ102" s="6625" cm="1">
        <f t="array" ref="AQ102">IF(W102="",0,SUMPRODUCT((CA4:CA795="Poissons")*(CB4:CB795="EXCL")*(COUNTIF(AI102,"*"&amp;CC4:CC795&amp;"*")&gt;0)*1))</f>
        <v>0</v>
      </c>
      <c r="AR102" s="6625" cm="1">
        <f t="array" ref="AR102">IF(W102="",0,SUMPRODUCT((CA4:CA795="Poissons")*(CB4:CB795="ALERTE")*(COUNTIF(AI102,"*"&amp;CC4:CC795&amp;"*")&gt;0)*1))</f>
        <v>0</v>
      </c>
      <c r="AS102" s="6625" cm="1">
        <f t="array" ref="AS102">IF(W102="",0,SUMPRODUCT((CA4:CA795="Arachides")*(CB4:CB795="ALERTE")*(COUNTIF(AI102,"*"&amp;CC4:CC795&amp;"*")&gt;0)*1))</f>
        <v>0</v>
      </c>
      <c r="AT102" s="6625" cm="1">
        <f t="array" ref="AT102">IF(W102="",0,SUMPRODUCT((CA4:CA795="Soja")*(CB4:CB795="INFO")*(COUNTIF(AI102,"*"&amp;CC4:CC795&amp;"*")&gt;0)*1))</f>
        <v>0</v>
      </c>
      <c r="AU102" s="6625" cm="1">
        <f t="array" ref="AU102">IF(W102="",0,SUMPRODUCT((CA4:CA795="Soja")*(CB4:CB795="ALERTE")*(COUNTIF(AI102,"*"&amp;CC4:CC795&amp;"*")&gt;0)*1))</f>
        <v>0</v>
      </c>
      <c r="AV102" s="6625" cm="1">
        <f t="array" ref="AV102">IF(W102="",0,SUMPRODUCT((CA4:CA795="Lait")*(CB4:CB795="INFO")*(COUNTIF(AI102,"*"&amp;CC4:CC795&amp;"*")&gt;0)*1))</f>
        <v>0</v>
      </c>
      <c r="AW102" s="6625" cm="1">
        <f t="array" ref="AW102">IF(W102="",0,SUMPRODUCT((CA4:CA795="Lait")*(CB4:CB795="EXCL")*(COUNTIF(AI102,"*"&amp;CC4:CC795&amp;"*")&gt;0)*1))</f>
        <v>0</v>
      </c>
      <c r="AX102" s="6625" cm="1">
        <f t="array" ref="AX102">IF(W102="",0,SUMPRODUCT((CA4:CA795="Lait")*(CB4:CB795="ALERTE")*(COUNTIF(AI102,"*"&amp;CC4:CC795&amp;"*")&gt;0)*1))</f>
        <v>0</v>
      </c>
      <c r="AY102" s="6625" cm="1">
        <f t="array" ref="AY102">IF(W102="",0,SUMPRODUCT((CA4:CA795="Lait")*(CB4:CB795="SUSP")*(COUNTIF(AI102,"*"&amp;CC4:CC795&amp;"*")&gt;0)*1))</f>
        <v>0</v>
      </c>
      <c r="AZ102" s="6625" cm="1">
        <f t="array" ref="AZ102">IF(W102="",0,SUMPRODUCT((CA4:CA795="Fruits a coque")*(CB4:CB795="EXCL")*(COUNTIF(AI102,"*"&amp;CC4:CC795&amp;"*")&gt;0)*1))</f>
        <v>0</v>
      </c>
      <c r="BA102" s="6625" cm="1">
        <f t="array" ref="BA102">IF(W102="",0,SUMPRODUCT((CA4:CA795="Fruits a coque")*(CB4:CB795="ALERTE")*(COUNTIF(AI102,"*"&amp;CC4:CC795&amp;"*")&gt;0)*1))</f>
        <v>0</v>
      </c>
      <c r="BB102" s="6625" cm="1">
        <f t="array" ref="BB102">IF(W102="",0,SUMPRODUCT((CA4:CA795="Celeri")*(CB4:CB795="ALERTE")*(COUNTIF(AI102,"*"&amp;CC4:CC795&amp;"*")&gt;0)*1))</f>
        <v>0</v>
      </c>
      <c r="BC102" s="6625" cm="1">
        <f t="array" ref="BC102">IF(W102="",0,SUMPRODUCT((CA4:CA795="Moutarde")*(CB4:CB795="ALERTE")*(COUNTIF(AI102,"*"&amp;CC4:CC795&amp;"*")&gt;0)*1))</f>
        <v>0</v>
      </c>
      <c r="BD102" s="6625" cm="1">
        <f t="array" ref="BD102">IF(W102="",0,SUMPRODUCT((CA4:CA795="Sesame")*(CB4:CB795="ALERTE")*(COUNTIF(AI102,"*"&amp;CC4:CC795&amp;"*")&gt;0)*1))</f>
        <v>0</v>
      </c>
      <c r="BE102" s="6625" cm="1">
        <f t="array" ref="BE102">IF(W102="",0,SUMPRODUCT((CA4:CA795="Sulfites")*(CB4:CB795="ALERTE")*(COUNTIF(AI102,"*"&amp;CC4:CC795&amp;"*")&gt;0)*1))</f>
        <v>0</v>
      </c>
      <c r="BF102" s="6625" cm="1">
        <f t="array" ref="BF102">IF(W102="",0,SUMPRODUCT((CA4:CA795="Lupin")*(CB4:CB795="ALERTE")*(COUNTIF(AI102,"*"&amp;CC4:CC795&amp;"*")&gt;0)*1))</f>
        <v>0</v>
      </c>
      <c r="BG102" s="6625" cm="1">
        <f t="array" ref="BG102">IF(W102="",0,SUMPRODUCT((CA4:CA795="Mollusques")*(CB4:CB795="EXCL")*(COUNTIF(AI102,"*"&amp;CC4:CC795&amp;"*")&gt;0)*1))</f>
        <v>0</v>
      </c>
      <c r="BH102" s="6625" cm="1">
        <f t="array" ref="BH102">IF(W102="",0,SUMPRODUCT((CA4:CA795="Mollusques")*(CB4:CB795="ALERTE")*(COUNTIF(AI102,"*"&amp;CC4:CC795&amp;"*")&gt;0)*1))</f>
        <v>0</v>
      </c>
      <c r="BI102" s="6625" t="str">
        <f t="shared" si="68"/>
        <v/>
      </c>
      <c r="BJ102" s="6625" t="str">
        <f t="shared" si="69"/>
        <v/>
      </c>
      <c r="BK102" s="6625" t="str">
        <f t="shared" si="70"/>
        <v/>
      </c>
      <c r="BL102" s="6625" t="str">
        <f t="shared" si="71"/>
        <v/>
      </c>
      <c r="BM102" s="6625" t="str">
        <f t="shared" si="72"/>
        <v/>
      </c>
      <c r="BN102" s="6625" t="str">
        <f t="shared" si="73"/>
        <v/>
      </c>
      <c r="BO102" s="6625" t="str">
        <f t="shared" si="74"/>
        <v/>
      </c>
      <c r="BP102" s="6625" t="str">
        <f t="shared" si="75"/>
        <v/>
      </c>
      <c r="BQ102" s="6625" t="str">
        <f t="shared" si="76"/>
        <v/>
      </c>
      <c r="BR102" s="6625" t="str">
        <f t="shared" si="77"/>
        <v/>
      </c>
      <c r="BS102" s="6625" t="str">
        <f t="shared" si="78"/>
        <v/>
      </c>
      <c r="BT102" s="6625" t="str">
        <f t="shared" si="79"/>
        <v/>
      </c>
      <c r="BU102" s="6625" t="str">
        <f t="shared" si="80"/>
        <v/>
      </c>
      <c r="BV102" s="6625" t="str">
        <f t="shared" si="81"/>
        <v/>
      </c>
      <c r="BW102" s="6625" t="str">
        <f t="shared" si="82"/>
        <v/>
      </c>
      <c r="BX102" s="6625" t="str">
        <f t="shared" si="83"/>
        <v/>
      </c>
      <c r="CA102" s="3170" t="s">
        <v>16501</v>
      </c>
      <c r="CB102" s="7634" t="s">
        <v>16255</v>
      </c>
      <c r="CC102" s="3170" t="s">
        <v>16534</v>
      </c>
      <c r="CD102" s="3170" t="s">
        <v>16535</v>
      </c>
    </row>
    <row r="103" spans="2:82" ht="30" customHeight="1">
      <c r="B103" s="7661" t="str">
        <f t="shared" si="44"/>
        <v/>
      </c>
      <c r="C103" s="7661" t="str">
        <f t="shared" si="45"/>
        <v/>
      </c>
      <c r="D103" s="7661" t="str">
        <f t="shared" si="46"/>
        <v/>
      </c>
      <c r="E103" s="7661">
        <f>IF(H102&lt;&gt;"",E102,IF(E102="","",IFERROR(MATCH(TRUE(),INDEX(INDEX($K:$K,E102+1):$K$203&lt;&gt;"",0),0)+E102,"")))</f>
        <v>278</v>
      </c>
      <c r="F103" s="7661">
        <f t="shared" si="84"/>
        <v>0</v>
      </c>
      <c r="G103" s="7661" t="str">
        <f t="shared" si="47"/>
        <v>0</v>
      </c>
      <c r="H103" s="7672" t="str">
        <f t="shared" si="48"/>
        <v/>
      </c>
      <c r="I103" s="7683" t="str">
        <f t="shared" si="49"/>
        <v/>
      </c>
      <c r="J103" s="7673" t="str">
        <f>IF(K103="","",COUNTIF($K$18:K103,"&lt;&gt;"))</f>
        <v/>
      </c>
      <c r="K103" s="7674"/>
      <c r="L103" s="7673" t="str">
        <f t="shared" si="50"/>
        <v/>
      </c>
      <c r="M103" s="7630">
        <f t="shared" si="51"/>
        <v>1</v>
      </c>
      <c r="N103" s="7675">
        <f t="shared" si="52"/>
        <v>86</v>
      </c>
      <c r="O103" s="7676" t="str">
        <f t="shared" si="53"/>
        <v>0</v>
      </c>
      <c r="P103" s="7675">
        <f t="shared" si="54"/>
        <v>1</v>
      </c>
      <c r="Q103" s="7675">
        <f t="shared" si="55"/>
        <v>1</v>
      </c>
      <c r="S103" s="7679" t="str">
        <f t="shared" si="85"/>
        <v>0</v>
      </c>
      <c r="T103" s="7680" t="str">
        <f t="shared" si="85"/>
        <v/>
      </c>
      <c r="V103" s="7677">
        <f t="shared" si="56"/>
        <v>103</v>
      </c>
      <c r="W103" s="7678" t="str">
        <f t="shared" si="86"/>
        <v>0</v>
      </c>
      <c r="X103" s="7677" t="s">
        <v>2</v>
      </c>
      <c r="Y103" s="7702" t="str">
        <f t="shared" si="57"/>
        <v>0</v>
      </c>
      <c r="Z103" s="7703" t="str">
        <f t="shared" si="58"/>
        <v/>
      </c>
      <c r="AA103" s="7681" t="str">
        <f t="shared" si="59"/>
        <v>0</v>
      </c>
      <c r="AB103" s="7682" t="str">
        <f t="shared" si="60"/>
        <v/>
      </c>
      <c r="AC103" s="7677">
        <f t="shared" si="61"/>
        <v>0</v>
      </c>
      <c r="AD103" s="7677">
        <f t="shared" si="62"/>
        <v>0</v>
      </c>
      <c r="AE103" s="7682" t="str">
        <f t="shared" si="63"/>
        <v>aucun match</v>
      </c>
      <c r="AF103" s="6625" t="str">
        <f t="shared" si="64"/>
        <v>0</v>
      </c>
      <c r="AG103" s="6625" t="str">
        <f t="shared" si="65"/>
        <v>0</v>
      </c>
      <c r="AH103" s="6625" t="str">
        <f t="shared" si="66"/>
        <v>0</v>
      </c>
      <c r="AI103" s="6625" t="str">
        <f t="shared" si="67"/>
        <v xml:space="preserve"> 0 </v>
      </c>
      <c r="AJ103" s="6625" cm="1">
        <f t="array" ref="AJ103">IF(W103="",0,SUMPRODUCT((CA4:CA795="Gluten")*(CB4:CB795="INFO")*(COUNTIF(AI103,"*"&amp;CC4:CC795&amp;"*")&gt;0)*1))</f>
        <v>0</v>
      </c>
      <c r="AK103" s="6625" cm="1">
        <f t="array" ref="AK103">IF(W103="",0,SUMPRODUCT((CA4:CA795="Gluten")*(CB4:CB795="EXCL")*(COUNTIF(AI103,"*"&amp;CC4:CC795&amp;"*")&gt;0)*1))</f>
        <v>0</v>
      </c>
      <c r="AL103" s="6625" cm="1">
        <f t="array" ref="AL103">IF(W103="",0,SUMPRODUCT((CA4:CA795="Gluten")*(CB4:CB795="ALERTE")*(COUNTIF(AI103,"*"&amp;CC4:CC795&amp;"*")&gt;0)*1))</f>
        <v>0</v>
      </c>
      <c r="AM103" s="6625" cm="1">
        <f t="array" ref="AM103">IF(W103="",0,SUMPRODUCT((CA4:CA795="Gluten")*(CB4:CB795="SUSP")*(COUNTIF(AI103,"*"&amp;CC4:CC795&amp;"*")&gt;0)*1))</f>
        <v>0</v>
      </c>
      <c r="AN103" s="6625" cm="1">
        <f t="array" ref="AN103">IF(W103="",0,SUMPRODUCT((CA4:CA795="Crustaces")*(CB4:CB795="ALERTE")*(COUNTIF(AI103,"*"&amp;CC4:CC795&amp;"*")&gt;0)*1))</f>
        <v>0</v>
      </c>
      <c r="AO103" s="6625" cm="1">
        <f t="array" ref="AO103">IF(W103="",0,SUMPRODUCT((CA4:CA795="Oeufs")*(CB4:CB795="ALERTE")*(COUNTIF(AI103,"*"&amp;CC4:CC795&amp;"*")&gt;0)*1))</f>
        <v>0</v>
      </c>
      <c r="AP103" s="6625" cm="1">
        <f t="array" ref="AP103">IF(W103="",0,SUMPRODUCT((CA4:CA795="Poissons")*(CB4:CB795="INFO")*(COUNTIF(AI103,"*"&amp;CC4:CC795&amp;"*")&gt;0)*1))</f>
        <v>0</v>
      </c>
      <c r="AQ103" s="6625" cm="1">
        <f t="array" ref="AQ103">IF(W103="",0,SUMPRODUCT((CA4:CA795="Poissons")*(CB4:CB795="EXCL")*(COUNTIF(AI103,"*"&amp;CC4:CC795&amp;"*")&gt;0)*1))</f>
        <v>0</v>
      </c>
      <c r="AR103" s="6625" cm="1">
        <f t="array" ref="AR103">IF(W103="",0,SUMPRODUCT((CA4:CA795="Poissons")*(CB4:CB795="ALERTE")*(COUNTIF(AI103,"*"&amp;CC4:CC795&amp;"*")&gt;0)*1))</f>
        <v>0</v>
      </c>
      <c r="AS103" s="6625" cm="1">
        <f t="array" ref="AS103">IF(W103="",0,SUMPRODUCT((CA4:CA795="Arachides")*(CB4:CB795="ALERTE")*(COUNTIF(AI103,"*"&amp;CC4:CC795&amp;"*")&gt;0)*1))</f>
        <v>0</v>
      </c>
      <c r="AT103" s="6625" cm="1">
        <f t="array" ref="AT103">IF(W103="",0,SUMPRODUCT((CA4:CA795="Soja")*(CB4:CB795="INFO")*(COUNTIF(AI103,"*"&amp;CC4:CC795&amp;"*")&gt;0)*1))</f>
        <v>0</v>
      </c>
      <c r="AU103" s="6625" cm="1">
        <f t="array" ref="AU103">IF(W103="",0,SUMPRODUCT((CA4:CA795="Soja")*(CB4:CB795="ALERTE")*(COUNTIF(AI103,"*"&amp;CC4:CC795&amp;"*")&gt;0)*1))</f>
        <v>0</v>
      </c>
      <c r="AV103" s="6625" cm="1">
        <f t="array" ref="AV103">IF(W103="",0,SUMPRODUCT((CA4:CA795="Lait")*(CB4:CB795="INFO")*(COUNTIF(AI103,"*"&amp;CC4:CC795&amp;"*")&gt;0)*1))</f>
        <v>0</v>
      </c>
      <c r="AW103" s="6625" cm="1">
        <f t="array" ref="AW103">IF(W103="",0,SUMPRODUCT((CA4:CA795="Lait")*(CB4:CB795="EXCL")*(COUNTIF(AI103,"*"&amp;CC4:CC795&amp;"*")&gt;0)*1))</f>
        <v>0</v>
      </c>
      <c r="AX103" s="6625" cm="1">
        <f t="array" ref="AX103">IF(W103="",0,SUMPRODUCT((CA4:CA795="Lait")*(CB4:CB795="ALERTE")*(COUNTIF(AI103,"*"&amp;CC4:CC795&amp;"*")&gt;0)*1))</f>
        <v>0</v>
      </c>
      <c r="AY103" s="6625" cm="1">
        <f t="array" ref="AY103">IF(W103="",0,SUMPRODUCT((CA4:CA795="Lait")*(CB4:CB795="SUSP")*(COUNTIF(AI103,"*"&amp;CC4:CC795&amp;"*")&gt;0)*1))</f>
        <v>0</v>
      </c>
      <c r="AZ103" s="6625" cm="1">
        <f t="array" ref="AZ103">IF(W103="",0,SUMPRODUCT((CA4:CA795="Fruits a coque")*(CB4:CB795="EXCL")*(COUNTIF(AI103,"*"&amp;CC4:CC795&amp;"*")&gt;0)*1))</f>
        <v>0</v>
      </c>
      <c r="BA103" s="6625" cm="1">
        <f t="array" ref="BA103">IF(W103="",0,SUMPRODUCT((CA4:CA795="Fruits a coque")*(CB4:CB795="ALERTE")*(COUNTIF(AI103,"*"&amp;CC4:CC795&amp;"*")&gt;0)*1))</f>
        <v>0</v>
      </c>
      <c r="BB103" s="6625" cm="1">
        <f t="array" ref="BB103">IF(W103="",0,SUMPRODUCT((CA4:CA795="Celeri")*(CB4:CB795="ALERTE")*(COUNTIF(AI103,"*"&amp;CC4:CC795&amp;"*")&gt;0)*1))</f>
        <v>0</v>
      </c>
      <c r="BC103" s="6625" cm="1">
        <f t="array" ref="BC103">IF(W103="",0,SUMPRODUCT((CA4:CA795="Moutarde")*(CB4:CB795="ALERTE")*(COUNTIF(AI103,"*"&amp;CC4:CC795&amp;"*")&gt;0)*1))</f>
        <v>0</v>
      </c>
      <c r="BD103" s="6625" cm="1">
        <f t="array" ref="BD103">IF(W103="",0,SUMPRODUCT((CA4:CA795="Sesame")*(CB4:CB795="ALERTE")*(COUNTIF(AI103,"*"&amp;CC4:CC795&amp;"*")&gt;0)*1))</f>
        <v>0</v>
      </c>
      <c r="BE103" s="6625" cm="1">
        <f t="array" ref="BE103">IF(W103="",0,SUMPRODUCT((CA4:CA795="Sulfites")*(CB4:CB795="ALERTE")*(COUNTIF(AI103,"*"&amp;CC4:CC795&amp;"*")&gt;0)*1))</f>
        <v>0</v>
      </c>
      <c r="BF103" s="6625" cm="1">
        <f t="array" ref="BF103">IF(W103="",0,SUMPRODUCT((CA4:CA795="Lupin")*(CB4:CB795="ALERTE")*(COUNTIF(AI103,"*"&amp;CC4:CC795&amp;"*")&gt;0)*1))</f>
        <v>0</v>
      </c>
      <c r="BG103" s="6625" cm="1">
        <f t="array" ref="BG103">IF(W103="",0,SUMPRODUCT((CA4:CA795="Mollusques")*(CB4:CB795="EXCL")*(COUNTIF(AI103,"*"&amp;CC4:CC795&amp;"*")&gt;0)*1))</f>
        <v>0</v>
      </c>
      <c r="BH103" s="6625" cm="1">
        <f t="array" ref="BH103">IF(W103="",0,SUMPRODUCT((CA4:CA795="Mollusques")*(CB4:CB795="ALERTE")*(COUNTIF(AI103,"*"&amp;CC4:CC795&amp;"*")&gt;0)*1))</f>
        <v>0</v>
      </c>
      <c r="BI103" s="6625" t="str">
        <f t="shared" si="68"/>
        <v/>
      </c>
      <c r="BJ103" s="6625" t="str">
        <f t="shared" si="69"/>
        <v/>
      </c>
      <c r="BK103" s="6625" t="str">
        <f t="shared" si="70"/>
        <v/>
      </c>
      <c r="BL103" s="6625" t="str">
        <f t="shared" si="71"/>
        <v/>
      </c>
      <c r="BM103" s="6625" t="str">
        <f t="shared" si="72"/>
        <v/>
      </c>
      <c r="BN103" s="6625" t="str">
        <f t="shared" si="73"/>
        <v/>
      </c>
      <c r="BO103" s="6625" t="str">
        <f t="shared" si="74"/>
        <v/>
      </c>
      <c r="BP103" s="6625" t="str">
        <f t="shared" si="75"/>
        <v/>
      </c>
      <c r="BQ103" s="6625" t="str">
        <f t="shared" si="76"/>
        <v/>
      </c>
      <c r="BR103" s="6625" t="str">
        <f t="shared" si="77"/>
        <v/>
      </c>
      <c r="BS103" s="6625" t="str">
        <f t="shared" si="78"/>
        <v/>
      </c>
      <c r="BT103" s="6625" t="str">
        <f t="shared" si="79"/>
        <v/>
      </c>
      <c r="BU103" s="6625" t="str">
        <f t="shared" si="80"/>
        <v/>
      </c>
      <c r="BV103" s="6625" t="str">
        <f t="shared" si="81"/>
        <v/>
      </c>
      <c r="BW103" s="6625" t="str">
        <f t="shared" si="82"/>
        <v/>
      </c>
      <c r="BX103" s="6625" t="str">
        <f t="shared" si="83"/>
        <v/>
      </c>
      <c r="CA103" s="3170" t="s">
        <v>16501</v>
      </c>
      <c r="CB103" s="7634" t="s">
        <v>16255</v>
      </c>
      <c r="CC103" s="3170" t="s">
        <v>16536</v>
      </c>
      <c r="CD103" s="3170" t="s">
        <v>16537</v>
      </c>
    </row>
    <row r="104" spans="2:82" ht="30" customHeight="1">
      <c r="B104" s="7661" t="str">
        <f t="shared" si="44"/>
        <v/>
      </c>
      <c r="C104" s="7661" t="str">
        <f t="shared" si="45"/>
        <v/>
      </c>
      <c r="D104" s="7661" t="str">
        <f t="shared" si="46"/>
        <v/>
      </c>
      <c r="E104" s="7661">
        <f>IF(H103&lt;&gt;"",E103,IF(E103="","",IFERROR(MATCH(TRUE(),INDEX(INDEX($K:$K,E103+1):$K$203&lt;&gt;"",0),0)+E103,"")))</f>
        <v>279</v>
      </c>
      <c r="F104" s="7661">
        <f t="shared" si="84"/>
        <v>0</v>
      </c>
      <c r="G104" s="7661" t="str">
        <f t="shared" si="47"/>
        <v>0</v>
      </c>
      <c r="H104" s="7672" t="str">
        <f t="shared" si="48"/>
        <v/>
      </c>
      <c r="I104" s="7683" t="str">
        <f t="shared" si="49"/>
        <v/>
      </c>
      <c r="J104" s="7673" t="str">
        <f>IF(K104="","",COUNTIF($K$18:K104,"&lt;&gt;"))</f>
        <v/>
      </c>
      <c r="K104" s="7674"/>
      <c r="L104" s="7673" t="str">
        <f t="shared" si="50"/>
        <v/>
      </c>
      <c r="M104" s="7630">
        <f t="shared" si="51"/>
        <v>1</v>
      </c>
      <c r="N104" s="7675">
        <f t="shared" si="52"/>
        <v>87</v>
      </c>
      <c r="O104" s="7676" t="str">
        <f t="shared" si="53"/>
        <v>0</v>
      </c>
      <c r="P104" s="7675">
        <f t="shared" si="54"/>
        <v>1</v>
      </c>
      <c r="Q104" s="7675">
        <f t="shared" si="55"/>
        <v>1</v>
      </c>
      <c r="S104" s="7679" t="str">
        <f t="shared" si="85"/>
        <v>0</v>
      </c>
      <c r="T104" s="7680" t="str">
        <f t="shared" si="85"/>
        <v/>
      </c>
      <c r="V104" s="7677">
        <f t="shared" si="56"/>
        <v>104</v>
      </c>
      <c r="W104" s="7678" t="str">
        <f t="shared" si="86"/>
        <v>0</v>
      </c>
      <c r="X104" s="7677" t="s">
        <v>2</v>
      </c>
      <c r="Y104" s="7702" t="str">
        <f t="shared" si="57"/>
        <v>0</v>
      </c>
      <c r="Z104" s="7703" t="str">
        <f t="shared" si="58"/>
        <v/>
      </c>
      <c r="AA104" s="7681" t="str">
        <f t="shared" si="59"/>
        <v>0</v>
      </c>
      <c r="AB104" s="7682" t="str">
        <f t="shared" si="60"/>
        <v/>
      </c>
      <c r="AC104" s="7677">
        <f t="shared" si="61"/>
        <v>0</v>
      </c>
      <c r="AD104" s="7677">
        <f t="shared" si="62"/>
        <v>0</v>
      </c>
      <c r="AE104" s="7682" t="str">
        <f t="shared" si="63"/>
        <v>aucun match</v>
      </c>
      <c r="AF104" s="6625" t="str">
        <f t="shared" si="64"/>
        <v>0</v>
      </c>
      <c r="AG104" s="6625" t="str">
        <f t="shared" si="65"/>
        <v>0</v>
      </c>
      <c r="AH104" s="6625" t="str">
        <f t="shared" si="66"/>
        <v>0</v>
      </c>
      <c r="AI104" s="6625" t="str">
        <f t="shared" si="67"/>
        <v xml:space="preserve"> 0 </v>
      </c>
      <c r="AJ104" s="6625" cm="1">
        <f t="array" ref="AJ104">IF(W104="",0,SUMPRODUCT((CA4:CA795="Gluten")*(CB4:CB795="INFO")*(COUNTIF(AI104,"*"&amp;CC4:CC795&amp;"*")&gt;0)*1))</f>
        <v>0</v>
      </c>
      <c r="AK104" s="6625" cm="1">
        <f t="array" ref="AK104">IF(W104="",0,SUMPRODUCT((CA4:CA795="Gluten")*(CB4:CB795="EXCL")*(COUNTIF(AI104,"*"&amp;CC4:CC795&amp;"*")&gt;0)*1))</f>
        <v>0</v>
      </c>
      <c r="AL104" s="6625" cm="1">
        <f t="array" ref="AL104">IF(W104="",0,SUMPRODUCT((CA4:CA795="Gluten")*(CB4:CB795="ALERTE")*(COUNTIF(AI104,"*"&amp;CC4:CC795&amp;"*")&gt;0)*1))</f>
        <v>0</v>
      </c>
      <c r="AM104" s="6625" cm="1">
        <f t="array" ref="AM104">IF(W104="",0,SUMPRODUCT((CA4:CA795="Gluten")*(CB4:CB795="SUSP")*(COUNTIF(AI104,"*"&amp;CC4:CC795&amp;"*")&gt;0)*1))</f>
        <v>0</v>
      </c>
      <c r="AN104" s="6625" cm="1">
        <f t="array" ref="AN104">IF(W104="",0,SUMPRODUCT((CA4:CA795="Crustaces")*(CB4:CB795="ALERTE")*(COUNTIF(AI104,"*"&amp;CC4:CC795&amp;"*")&gt;0)*1))</f>
        <v>0</v>
      </c>
      <c r="AO104" s="6625" cm="1">
        <f t="array" ref="AO104">IF(W104="",0,SUMPRODUCT((CA4:CA795="Oeufs")*(CB4:CB795="ALERTE")*(COUNTIF(AI104,"*"&amp;CC4:CC795&amp;"*")&gt;0)*1))</f>
        <v>0</v>
      </c>
      <c r="AP104" s="6625" cm="1">
        <f t="array" ref="AP104">IF(W104="",0,SUMPRODUCT((CA4:CA795="Poissons")*(CB4:CB795="INFO")*(COUNTIF(AI104,"*"&amp;CC4:CC795&amp;"*")&gt;0)*1))</f>
        <v>0</v>
      </c>
      <c r="AQ104" s="6625" cm="1">
        <f t="array" ref="AQ104">IF(W104="",0,SUMPRODUCT((CA4:CA795="Poissons")*(CB4:CB795="EXCL")*(COUNTIF(AI104,"*"&amp;CC4:CC795&amp;"*")&gt;0)*1))</f>
        <v>0</v>
      </c>
      <c r="AR104" s="6625" cm="1">
        <f t="array" ref="AR104">IF(W104="",0,SUMPRODUCT((CA4:CA795="Poissons")*(CB4:CB795="ALERTE")*(COUNTIF(AI104,"*"&amp;CC4:CC795&amp;"*")&gt;0)*1))</f>
        <v>0</v>
      </c>
      <c r="AS104" s="6625" cm="1">
        <f t="array" ref="AS104">IF(W104="",0,SUMPRODUCT((CA4:CA795="Arachides")*(CB4:CB795="ALERTE")*(COUNTIF(AI104,"*"&amp;CC4:CC795&amp;"*")&gt;0)*1))</f>
        <v>0</v>
      </c>
      <c r="AT104" s="6625" cm="1">
        <f t="array" ref="AT104">IF(W104="",0,SUMPRODUCT((CA4:CA795="Soja")*(CB4:CB795="INFO")*(COUNTIF(AI104,"*"&amp;CC4:CC795&amp;"*")&gt;0)*1))</f>
        <v>0</v>
      </c>
      <c r="AU104" s="6625" cm="1">
        <f t="array" ref="AU104">IF(W104="",0,SUMPRODUCT((CA4:CA795="Soja")*(CB4:CB795="ALERTE")*(COUNTIF(AI104,"*"&amp;CC4:CC795&amp;"*")&gt;0)*1))</f>
        <v>0</v>
      </c>
      <c r="AV104" s="6625" cm="1">
        <f t="array" ref="AV104">IF(W104="",0,SUMPRODUCT((CA4:CA795="Lait")*(CB4:CB795="INFO")*(COUNTIF(AI104,"*"&amp;CC4:CC795&amp;"*")&gt;0)*1))</f>
        <v>0</v>
      </c>
      <c r="AW104" s="6625" cm="1">
        <f t="array" ref="AW104">IF(W104="",0,SUMPRODUCT((CA4:CA795="Lait")*(CB4:CB795="EXCL")*(COUNTIF(AI104,"*"&amp;CC4:CC795&amp;"*")&gt;0)*1))</f>
        <v>0</v>
      </c>
      <c r="AX104" s="6625" cm="1">
        <f t="array" ref="AX104">IF(W104="",0,SUMPRODUCT((CA4:CA795="Lait")*(CB4:CB795="ALERTE")*(COUNTIF(AI104,"*"&amp;CC4:CC795&amp;"*")&gt;0)*1))</f>
        <v>0</v>
      </c>
      <c r="AY104" s="6625" cm="1">
        <f t="array" ref="AY104">IF(W104="",0,SUMPRODUCT((CA4:CA795="Lait")*(CB4:CB795="SUSP")*(COUNTIF(AI104,"*"&amp;CC4:CC795&amp;"*")&gt;0)*1))</f>
        <v>0</v>
      </c>
      <c r="AZ104" s="6625" cm="1">
        <f t="array" ref="AZ104">IF(W104="",0,SUMPRODUCT((CA4:CA795="Fruits a coque")*(CB4:CB795="EXCL")*(COUNTIF(AI104,"*"&amp;CC4:CC795&amp;"*")&gt;0)*1))</f>
        <v>0</v>
      </c>
      <c r="BA104" s="6625" cm="1">
        <f t="array" ref="BA104">IF(W104="",0,SUMPRODUCT((CA4:CA795="Fruits a coque")*(CB4:CB795="ALERTE")*(COUNTIF(AI104,"*"&amp;CC4:CC795&amp;"*")&gt;0)*1))</f>
        <v>0</v>
      </c>
      <c r="BB104" s="6625" cm="1">
        <f t="array" ref="BB104">IF(W104="",0,SUMPRODUCT((CA4:CA795="Celeri")*(CB4:CB795="ALERTE")*(COUNTIF(AI104,"*"&amp;CC4:CC795&amp;"*")&gt;0)*1))</f>
        <v>0</v>
      </c>
      <c r="BC104" s="6625" cm="1">
        <f t="array" ref="BC104">IF(W104="",0,SUMPRODUCT((CA4:CA795="Moutarde")*(CB4:CB795="ALERTE")*(COUNTIF(AI104,"*"&amp;CC4:CC795&amp;"*")&gt;0)*1))</f>
        <v>0</v>
      </c>
      <c r="BD104" s="6625" cm="1">
        <f t="array" ref="BD104">IF(W104="",0,SUMPRODUCT((CA4:CA795="Sesame")*(CB4:CB795="ALERTE")*(COUNTIF(AI104,"*"&amp;CC4:CC795&amp;"*")&gt;0)*1))</f>
        <v>0</v>
      </c>
      <c r="BE104" s="6625" cm="1">
        <f t="array" ref="BE104">IF(W104="",0,SUMPRODUCT((CA4:CA795="Sulfites")*(CB4:CB795="ALERTE")*(COUNTIF(AI104,"*"&amp;CC4:CC795&amp;"*")&gt;0)*1))</f>
        <v>0</v>
      </c>
      <c r="BF104" s="6625" cm="1">
        <f t="array" ref="BF104">IF(W104="",0,SUMPRODUCT((CA4:CA795="Lupin")*(CB4:CB795="ALERTE")*(COUNTIF(AI104,"*"&amp;CC4:CC795&amp;"*")&gt;0)*1))</f>
        <v>0</v>
      </c>
      <c r="BG104" s="6625" cm="1">
        <f t="array" ref="BG104">IF(W104="",0,SUMPRODUCT((CA4:CA795="Mollusques")*(CB4:CB795="EXCL")*(COUNTIF(AI104,"*"&amp;CC4:CC795&amp;"*")&gt;0)*1))</f>
        <v>0</v>
      </c>
      <c r="BH104" s="6625" cm="1">
        <f t="array" ref="BH104">IF(W104="",0,SUMPRODUCT((CA4:CA795="Mollusques")*(CB4:CB795="ALERTE")*(COUNTIF(AI104,"*"&amp;CC4:CC795&amp;"*")&gt;0)*1))</f>
        <v>0</v>
      </c>
      <c r="BI104" s="6625" t="str">
        <f t="shared" si="68"/>
        <v/>
      </c>
      <c r="BJ104" s="6625" t="str">
        <f t="shared" si="69"/>
        <v/>
      </c>
      <c r="BK104" s="6625" t="str">
        <f t="shared" si="70"/>
        <v/>
      </c>
      <c r="BL104" s="6625" t="str">
        <f t="shared" si="71"/>
        <v/>
      </c>
      <c r="BM104" s="6625" t="str">
        <f t="shared" si="72"/>
        <v/>
      </c>
      <c r="BN104" s="6625" t="str">
        <f t="shared" si="73"/>
        <v/>
      </c>
      <c r="BO104" s="6625" t="str">
        <f t="shared" si="74"/>
        <v/>
      </c>
      <c r="BP104" s="6625" t="str">
        <f t="shared" si="75"/>
        <v/>
      </c>
      <c r="BQ104" s="6625" t="str">
        <f t="shared" si="76"/>
        <v/>
      </c>
      <c r="BR104" s="6625" t="str">
        <f t="shared" si="77"/>
        <v/>
      </c>
      <c r="BS104" s="6625" t="str">
        <f t="shared" si="78"/>
        <v/>
      </c>
      <c r="BT104" s="6625" t="str">
        <f t="shared" si="79"/>
        <v/>
      </c>
      <c r="BU104" s="6625" t="str">
        <f t="shared" si="80"/>
        <v/>
      </c>
      <c r="BV104" s="6625" t="str">
        <f t="shared" si="81"/>
        <v/>
      </c>
      <c r="BW104" s="6625" t="str">
        <f t="shared" si="82"/>
        <v/>
      </c>
      <c r="BX104" s="6625" t="str">
        <f t="shared" si="83"/>
        <v/>
      </c>
      <c r="CA104" s="3170" t="s">
        <v>16501</v>
      </c>
      <c r="CB104" s="7634" t="s">
        <v>16255</v>
      </c>
      <c r="CC104" s="3170" t="s">
        <v>16538</v>
      </c>
      <c r="CD104" s="3170" t="s">
        <v>16539</v>
      </c>
    </row>
    <row r="105" spans="2:82" ht="30" customHeight="1">
      <c r="B105" s="7661" t="str">
        <f t="shared" si="44"/>
        <v/>
      </c>
      <c r="C105" s="7661" t="str">
        <f t="shared" si="45"/>
        <v/>
      </c>
      <c r="D105" s="7661" t="str">
        <f t="shared" si="46"/>
        <v/>
      </c>
      <c r="E105" s="7661">
        <f>IF(H104&lt;&gt;"",E104,IF(E104="","",IFERROR(MATCH(TRUE(),INDEX(INDEX($K:$K,E104+1):$K$203&lt;&gt;"",0),0)+E104,"")))</f>
        <v>280</v>
      </c>
      <c r="F105" s="7661">
        <f t="shared" si="84"/>
        <v>0</v>
      </c>
      <c r="G105" s="7661" t="str">
        <f t="shared" si="47"/>
        <v>0</v>
      </c>
      <c r="H105" s="7672" t="str">
        <f t="shared" si="48"/>
        <v/>
      </c>
      <c r="I105" s="7683" t="str">
        <f t="shared" si="49"/>
        <v/>
      </c>
      <c r="J105" s="7673" t="str">
        <f>IF(K105="","",COUNTIF($K$18:K105,"&lt;&gt;"))</f>
        <v/>
      </c>
      <c r="K105" s="7674"/>
      <c r="L105" s="7673" t="str">
        <f t="shared" si="50"/>
        <v/>
      </c>
      <c r="M105" s="7630">
        <f t="shared" si="51"/>
        <v>1</v>
      </c>
      <c r="N105" s="7675">
        <f t="shared" si="52"/>
        <v>88</v>
      </c>
      <c r="O105" s="7676" t="str">
        <f t="shared" si="53"/>
        <v>0</v>
      </c>
      <c r="P105" s="7675">
        <f t="shared" si="54"/>
        <v>1</v>
      </c>
      <c r="Q105" s="7675">
        <f t="shared" si="55"/>
        <v>1</v>
      </c>
      <c r="S105" s="7679" t="str">
        <f t="shared" si="85"/>
        <v>0</v>
      </c>
      <c r="T105" s="7680" t="str">
        <f t="shared" si="85"/>
        <v/>
      </c>
      <c r="V105" s="7677">
        <f t="shared" si="56"/>
        <v>105</v>
      </c>
      <c r="W105" s="7678" t="str">
        <f t="shared" si="86"/>
        <v>0</v>
      </c>
      <c r="X105" s="7677" t="s">
        <v>2</v>
      </c>
      <c r="Y105" s="7702" t="str">
        <f t="shared" si="57"/>
        <v>0</v>
      </c>
      <c r="Z105" s="7703" t="str">
        <f t="shared" si="58"/>
        <v/>
      </c>
      <c r="AA105" s="7681" t="str">
        <f t="shared" si="59"/>
        <v>0</v>
      </c>
      <c r="AB105" s="7682" t="str">
        <f t="shared" si="60"/>
        <v/>
      </c>
      <c r="AC105" s="7677">
        <f t="shared" si="61"/>
        <v>0</v>
      </c>
      <c r="AD105" s="7677">
        <f t="shared" si="62"/>
        <v>0</v>
      </c>
      <c r="AE105" s="7682" t="str">
        <f t="shared" si="63"/>
        <v>aucun match</v>
      </c>
      <c r="AF105" s="6625" t="str">
        <f t="shared" si="64"/>
        <v>0</v>
      </c>
      <c r="AG105" s="6625" t="str">
        <f t="shared" si="65"/>
        <v>0</v>
      </c>
      <c r="AH105" s="6625" t="str">
        <f t="shared" si="66"/>
        <v>0</v>
      </c>
      <c r="AI105" s="6625" t="str">
        <f t="shared" si="67"/>
        <v xml:space="preserve"> 0 </v>
      </c>
      <c r="AJ105" s="6625" cm="1">
        <f t="array" ref="AJ105">IF(W105="",0,SUMPRODUCT((CA4:CA795="Gluten")*(CB4:CB795="INFO")*(COUNTIF(AI105,"*"&amp;CC4:CC795&amp;"*")&gt;0)*1))</f>
        <v>0</v>
      </c>
      <c r="AK105" s="6625" cm="1">
        <f t="array" ref="AK105">IF(W105="",0,SUMPRODUCT((CA4:CA795="Gluten")*(CB4:CB795="EXCL")*(COUNTIF(AI105,"*"&amp;CC4:CC795&amp;"*")&gt;0)*1))</f>
        <v>0</v>
      </c>
      <c r="AL105" s="6625" cm="1">
        <f t="array" ref="AL105">IF(W105="",0,SUMPRODUCT((CA4:CA795="Gluten")*(CB4:CB795="ALERTE")*(COUNTIF(AI105,"*"&amp;CC4:CC795&amp;"*")&gt;0)*1))</f>
        <v>0</v>
      </c>
      <c r="AM105" s="6625" cm="1">
        <f t="array" ref="AM105">IF(W105="",0,SUMPRODUCT((CA4:CA795="Gluten")*(CB4:CB795="SUSP")*(COUNTIF(AI105,"*"&amp;CC4:CC795&amp;"*")&gt;0)*1))</f>
        <v>0</v>
      </c>
      <c r="AN105" s="6625" cm="1">
        <f t="array" ref="AN105">IF(W105="",0,SUMPRODUCT((CA4:CA795="Crustaces")*(CB4:CB795="ALERTE")*(COUNTIF(AI105,"*"&amp;CC4:CC795&amp;"*")&gt;0)*1))</f>
        <v>0</v>
      </c>
      <c r="AO105" s="6625" cm="1">
        <f t="array" ref="AO105">IF(W105="",0,SUMPRODUCT((CA4:CA795="Oeufs")*(CB4:CB795="ALERTE")*(COUNTIF(AI105,"*"&amp;CC4:CC795&amp;"*")&gt;0)*1))</f>
        <v>0</v>
      </c>
      <c r="AP105" s="6625" cm="1">
        <f t="array" ref="AP105">IF(W105="",0,SUMPRODUCT((CA4:CA795="Poissons")*(CB4:CB795="INFO")*(COUNTIF(AI105,"*"&amp;CC4:CC795&amp;"*")&gt;0)*1))</f>
        <v>0</v>
      </c>
      <c r="AQ105" s="6625" cm="1">
        <f t="array" ref="AQ105">IF(W105="",0,SUMPRODUCT((CA4:CA795="Poissons")*(CB4:CB795="EXCL")*(COUNTIF(AI105,"*"&amp;CC4:CC795&amp;"*")&gt;0)*1))</f>
        <v>0</v>
      </c>
      <c r="AR105" s="6625" cm="1">
        <f t="array" ref="AR105">IF(W105="",0,SUMPRODUCT((CA4:CA795="Poissons")*(CB4:CB795="ALERTE")*(COUNTIF(AI105,"*"&amp;CC4:CC795&amp;"*")&gt;0)*1))</f>
        <v>0</v>
      </c>
      <c r="AS105" s="6625" cm="1">
        <f t="array" ref="AS105">IF(W105="",0,SUMPRODUCT((CA4:CA795="Arachides")*(CB4:CB795="ALERTE")*(COUNTIF(AI105,"*"&amp;CC4:CC795&amp;"*")&gt;0)*1))</f>
        <v>0</v>
      </c>
      <c r="AT105" s="6625" cm="1">
        <f t="array" ref="AT105">IF(W105="",0,SUMPRODUCT((CA4:CA795="Soja")*(CB4:CB795="INFO")*(COUNTIF(AI105,"*"&amp;CC4:CC795&amp;"*")&gt;0)*1))</f>
        <v>0</v>
      </c>
      <c r="AU105" s="6625" cm="1">
        <f t="array" ref="AU105">IF(W105="",0,SUMPRODUCT((CA4:CA795="Soja")*(CB4:CB795="ALERTE")*(COUNTIF(AI105,"*"&amp;CC4:CC795&amp;"*")&gt;0)*1))</f>
        <v>0</v>
      </c>
      <c r="AV105" s="6625" cm="1">
        <f t="array" ref="AV105">IF(W105="",0,SUMPRODUCT((CA4:CA795="Lait")*(CB4:CB795="INFO")*(COUNTIF(AI105,"*"&amp;CC4:CC795&amp;"*")&gt;0)*1))</f>
        <v>0</v>
      </c>
      <c r="AW105" s="6625" cm="1">
        <f t="array" ref="AW105">IF(W105="",0,SUMPRODUCT((CA4:CA795="Lait")*(CB4:CB795="EXCL")*(COUNTIF(AI105,"*"&amp;CC4:CC795&amp;"*")&gt;0)*1))</f>
        <v>0</v>
      </c>
      <c r="AX105" s="6625" cm="1">
        <f t="array" ref="AX105">IF(W105="",0,SUMPRODUCT((CA4:CA795="Lait")*(CB4:CB795="ALERTE")*(COUNTIF(AI105,"*"&amp;CC4:CC795&amp;"*")&gt;0)*1))</f>
        <v>0</v>
      </c>
      <c r="AY105" s="6625" cm="1">
        <f t="array" ref="AY105">IF(W105="",0,SUMPRODUCT((CA4:CA795="Lait")*(CB4:CB795="SUSP")*(COUNTIF(AI105,"*"&amp;CC4:CC795&amp;"*")&gt;0)*1))</f>
        <v>0</v>
      </c>
      <c r="AZ105" s="6625" cm="1">
        <f t="array" ref="AZ105">IF(W105="",0,SUMPRODUCT((CA4:CA795="Fruits a coque")*(CB4:CB795="EXCL")*(COUNTIF(AI105,"*"&amp;CC4:CC795&amp;"*")&gt;0)*1))</f>
        <v>0</v>
      </c>
      <c r="BA105" s="6625" cm="1">
        <f t="array" ref="BA105">IF(W105="",0,SUMPRODUCT((CA4:CA795="Fruits a coque")*(CB4:CB795="ALERTE")*(COUNTIF(AI105,"*"&amp;CC4:CC795&amp;"*")&gt;0)*1))</f>
        <v>0</v>
      </c>
      <c r="BB105" s="6625" cm="1">
        <f t="array" ref="BB105">IF(W105="",0,SUMPRODUCT((CA4:CA795="Celeri")*(CB4:CB795="ALERTE")*(COUNTIF(AI105,"*"&amp;CC4:CC795&amp;"*")&gt;0)*1))</f>
        <v>0</v>
      </c>
      <c r="BC105" s="6625" cm="1">
        <f t="array" ref="BC105">IF(W105="",0,SUMPRODUCT((CA4:CA795="Moutarde")*(CB4:CB795="ALERTE")*(COUNTIF(AI105,"*"&amp;CC4:CC795&amp;"*")&gt;0)*1))</f>
        <v>0</v>
      </c>
      <c r="BD105" s="6625" cm="1">
        <f t="array" ref="BD105">IF(W105="",0,SUMPRODUCT((CA4:CA795="Sesame")*(CB4:CB795="ALERTE")*(COUNTIF(AI105,"*"&amp;CC4:CC795&amp;"*")&gt;0)*1))</f>
        <v>0</v>
      </c>
      <c r="BE105" s="6625" cm="1">
        <f t="array" ref="BE105">IF(W105="",0,SUMPRODUCT((CA4:CA795="Sulfites")*(CB4:CB795="ALERTE")*(COUNTIF(AI105,"*"&amp;CC4:CC795&amp;"*")&gt;0)*1))</f>
        <v>0</v>
      </c>
      <c r="BF105" s="6625" cm="1">
        <f t="array" ref="BF105">IF(W105="",0,SUMPRODUCT((CA4:CA795="Lupin")*(CB4:CB795="ALERTE")*(COUNTIF(AI105,"*"&amp;CC4:CC795&amp;"*")&gt;0)*1))</f>
        <v>0</v>
      </c>
      <c r="BG105" s="6625" cm="1">
        <f t="array" ref="BG105">IF(W105="",0,SUMPRODUCT((CA4:CA795="Mollusques")*(CB4:CB795="EXCL")*(COUNTIF(AI105,"*"&amp;CC4:CC795&amp;"*")&gt;0)*1))</f>
        <v>0</v>
      </c>
      <c r="BH105" s="6625" cm="1">
        <f t="array" ref="BH105">IF(W105="",0,SUMPRODUCT((CA4:CA795="Mollusques")*(CB4:CB795="ALERTE")*(COUNTIF(AI105,"*"&amp;CC4:CC795&amp;"*")&gt;0)*1))</f>
        <v>0</v>
      </c>
      <c r="BI105" s="6625" t="str">
        <f t="shared" si="68"/>
        <v/>
      </c>
      <c r="BJ105" s="6625" t="str">
        <f t="shared" si="69"/>
        <v/>
      </c>
      <c r="BK105" s="6625" t="str">
        <f t="shared" si="70"/>
        <v/>
      </c>
      <c r="BL105" s="6625" t="str">
        <f t="shared" si="71"/>
        <v/>
      </c>
      <c r="BM105" s="6625" t="str">
        <f t="shared" si="72"/>
        <v/>
      </c>
      <c r="BN105" s="6625" t="str">
        <f t="shared" si="73"/>
        <v/>
      </c>
      <c r="BO105" s="6625" t="str">
        <f t="shared" si="74"/>
        <v/>
      </c>
      <c r="BP105" s="6625" t="str">
        <f t="shared" si="75"/>
        <v/>
      </c>
      <c r="BQ105" s="6625" t="str">
        <f t="shared" si="76"/>
        <v/>
      </c>
      <c r="BR105" s="6625" t="str">
        <f t="shared" si="77"/>
        <v/>
      </c>
      <c r="BS105" s="6625" t="str">
        <f t="shared" si="78"/>
        <v/>
      </c>
      <c r="BT105" s="6625" t="str">
        <f t="shared" si="79"/>
        <v/>
      </c>
      <c r="BU105" s="6625" t="str">
        <f t="shared" si="80"/>
        <v/>
      </c>
      <c r="BV105" s="6625" t="str">
        <f t="shared" si="81"/>
        <v/>
      </c>
      <c r="BW105" s="6625" t="str">
        <f t="shared" si="82"/>
        <v/>
      </c>
      <c r="BX105" s="6625" t="str">
        <f t="shared" si="83"/>
        <v/>
      </c>
      <c r="CA105" s="3170" t="s">
        <v>16501</v>
      </c>
      <c r="CB105" s="7634" t="s">
        <v>16255</v>
      </c>
      <c r="CC105" s="3170" t="s">
        <v>16540</v>
      </c>
      <c r="CD105" s="3170" t="s">
        <v>16541</v>
      </c>
    </row>
    <row r="106" spans="2:82" ht="30" customHeight="1">
      <c r="B106" s="7661" t="str">
        <f t="shared" si="44"/>
        <v/>
      </c>
      <c r="C106" s="7661" t="str">
        <f t="shared" si="45"/>
        <v/>
      </c>
      <c r="D106" s="7661" t="str">
        <f t="shared" si="46"/>
        <v/>
      </c>
      <c r="E106" s="7661">
        <f>IF(H105&lt;&gt;"",E105,IF(E105="","",IFERROR(MATCH(TRUE(),INDEX(INDEX($K:$K,E105+1):$K$203&lt;&gt;"",0),0)+E105,"")))</f>
        <v>281</v>
      </c>
      <c r="F106" s="7661">
        <f t="shared" si="84"/>
        <v>0</v>
      </c>
      <c r="G106" s="7661" t="str">
        <f t="shared" si="47"/>
        <v>0</v>
      </c>
      <c r="H106" s="7672" t="str">
        <f t="shared" si="48"/>
        <v/>
      </c>
      <c r="I106" s="7683" t="str">
        <f t="shared" si="49"/>
        <v/>
      </c>
      <c r="J106" s="7673" t="str">
        <f>IF(K106="","",COUNTIF($K$18:K106,"&lt;&gt;"))</f>
        <v/>
      </c>
      <c r="K106" s="7674"/>
      <c r="L106" s="7673" t="str">
        <f t="shared" si="50"/>
        <v/>
      </c>
      <c r="M106" s="7630">
        <f t="shared" si="51"/>
        <v>1</v>
      </c>
      <c r="N106" s="7675">
        <f t="shared" si="52"/>
        <v>89</v>
      </c>
      <c r="O106" s="7676" t="str">
        <f t="shared" si="53"/>
        <v>0</v>
      </c>
      <c r="P106" s="7675">
        <f t="shared" si="54"/>
        <v>1</v>
      </c>
      <c r="Q106" s="7675">
        <f t="shared" si="55"/>
        <v>1</v>
      </c>
      <c r="S106" s="7679" t="str">
        <f t="shared" si="85"/>
        <v>0</v>
      </c>
      <c r="T106" s="7680" t="str">
        <f t="shared" si="85"/>
        <v/>
      </c>
      <c r="V106" s="7677">
        <f t="shared" si="56"/>
        <v>106</v>
      </c>
      <c r="W106" s="7678" t="str">
        <f t="shared" si="86"/>
        <v>0</v>
      </c>
      <c r="X106" s="7677" t="s">
        <v>2</v>
      </c>
      <c r="Y106" s="7702" t="str">
        <f t="shared" si="57"/>
        <v>0</v>
      </c>
      <c r="Z106" s="7703" t="str">
        <f t="shared" si="58"/>
        <v/>
      </c>
      <c r="AA106" s="7681" t="str">
        <f t="shared" si="59"/>
        <v>0</v>
      </c>
      <c r="AB106" s="7682" t="str">
        <f t="shared" si="60"/>
        <v/>
      </c>
      <c r="AC106" s="7677">
        <f t="shared" si="61"/>
        <v>0</v>
      </c>
      <c r="AD106" s="7677">
        <f t="shared" si="62"/>
        <v>0</v>
      </c>
      <c r="AE106" s="7682" t="str">
        <f t="shared" si="63"/>
        <v>aucun match</v>
      </c>
      <c r="AF106" s="6625" t="str">
        <f t="shared" si="64"/>
        <v>0</v>
      </c>
      <c r="AG106" s="6625" t="str">
        <f t="shared" si="65"/>
        <v>0</v>
      </c>
      <c r="AH106" s="6625" t="str">
        <f t="shared" si="66"/>
        <v>0</v>
      </c>
      <c r="AI106" s="6625" t="str">
        <f t="shared" si="67"/>
        <v xml:space="preserve"> 0 </v>
      </c>
      <c r="AJ106" s="6625" cm="1">
        <f t="array" ref="AJ106">IF(W106="",0,SUMPRODUCT((CA4:CA795="Gluten")*(CB4:CB795="INFO")*(COUNTIF(AI106,"*"&amp;CC4:CC795&amp;"*")&gt;0)*1))</f>
        <v>0</v>
      </c>
      <c r="AK106" s="6625" cm="1">
        <f t="array" ref="AK106">IF(W106="",0,SUMPRODUCT((CA4:CA795="Gluten")*(CB4:CB795="EXCL")*(COUNTIF(AI106,"*"&amp;CC4:CC795&amp;"*")&gt;0)*1))</f>
        <v>0</v>
      </c>
      <c r="AL106" s="6625" cm="1">
        <f t="array" ref="AL106">IF(W106="",0,SUMPRODUCT((CA4:CA795="Gluten")*(CB4:CB795="ALERTE")*(COUNTIF(AI106,"*"&amp;CC4:CC795&amp;"*")&gt;0)*1))</f>
        <v>0</v>
      </c>
      <c r="AM106" s="6625" cm="1">
        <f t="array" ref="AM106">IF(W106="",0,SUMPRODUCT((CA4:CA795="Gluten")*(CB4:CB795="SUSP")*(COUNTIF(AI106,"*"&amp;CC4:CC795&amp;"*")&gt;0)*1))</f>
        <v>0</v>
      </c>
      <c r="AN106" s="6625" cm="1">
        <f t="array" ref="AN106">IF(W106="",0,SUMPRODUCT((CA4:CA795="Crustaces")*(CB4:CB795="ALERTE")*(COUNTIF(AI106,"*"&amp;CC4:CC795&amp;"*")&gt;0)*1))</f>
        <v>0</v>
      </c>
      <c r="AO106" s="6625" cm="1">
        <f t="array" ref="AO106">IF(W106="",0,SUMPRODUCT((CA4:CA795="Oeufs")*(CB4:CB795="ALERTE")*(COUNTIF(AI106,"*"&amp;CC4:CC795&amp;"*")&gt;0)*1))</f>
        <v>0</v>
      </c>
      <c r="AP106" s="6625" cm="1">
        <f t="array" ref="AP106">IF(W106="",0,SUMPRODUCT((CA4:CA795="Poissons")*(CB4:CB795="INFO")*(COUNTIF(AI106,"*"&amp;CC4:CC795&amp;"*")&gt;0)*1))</f>
        <v>0</v>
      </c>
      <c r="AQ106" s="6625" cm="1">
        <f t="array" ref="AQ106">IF(W106="",0,SUMPRODUCT((CA4:CA795="Poissons")*(CB4:CB795="EXCL")*(COUNTIF(AI106,"*"&amp;CC4:CC795&amp;"*")&gt;0)*1))</f>
        <v>0</v>
      </c>
      <c r="AR106" s="6625" cm="1">
        <f t="array" ref="AR106">IF(W106="",0,SUMPRODUCT((CA4:CA795="Poissons")*(CB4:CB795="ALERTE")*(COUNTIF(AI106,"*"&amp;CC4:CC795&amp;"*")&gt;0)*1))</f>
        <v>0</v>
      </c>
      <c r="AS106" s="6625" cm="1">
        <f t="array" ref="AS106">IF(W106="",0,SUMPRODUCT((CA4:CA795="Arachides")*(CB4:CB795="ALERTE")*(COUNTIF(AI106,"*"&amp;CC4:CC795&amp;"*")&gt;0)*1))</f>
        <v>0</v>
      </c>
      <c r="AT106" s="6625" cm="1">
        <f t="array" ref="AT106">IF(W106="",0,SUMPRODUCT((CA4:CA795="Soja")*(CB4:CB795="INFO")*(COUNTIF(AI106,"*"&amp;CC4:CC795&amp;"*")&gt;0)*1))</f>
        <v>0</v>
      </c>
      <c r="AU106" s="6625" cm="1">
        <f t="array" ref="AU106">IF(W106="",0,SUMPRODUCT((CA4:CA795="Soja")*(CB4:CB795="ALERTE")*(COUNTIF(AI106,"*"&amp;CC4:CC795&amp;"*")&gt;0)*1))</f>
        <v>0</v>
      </c>
      <c r="AV106" s="6625" cm="1">
        <f t="array" ref="AV106">IF(W106="",0,SUMPRODUCT((CA4:CA795="Lait")*(CB4:CB795="INFO")*(COUNTIF(AI106,"*"&amp;CC4:CC795&amp;"*")&gt;0)*1))</f>
        <v>0</v>
      </c>
      <c r="AW106" s="6625" cm="1">
        <f t="array" ref="AW106">IF(W106="",0,SUMPRODUCT((CA4:CA795="Lait")*(CB4:CB795="EXCL")*(COUNTIF(AI106,"*"&amp;CC4:CC795&amp;"*")&gt;0)*1))</f>
        <v>0</v>
      </c>
      <c r="AX106" s="6625" cm="1">
        <f t="array" ref="AX106">IF(W106="",0,SUMPRODUCT((CA4:CA795="Lait")*(CB4:CB795="ALERTE")*(COUNTIF(AI106,"*"&amp;CC4:CC795&amp;"*")&gt;0)*1))</f>
        <v>0</v>
      </c>
      <c r="AY106" s="6625" cm="1">
        <f t="array" ref="AY106">IF(W106="",0,SUMPRODUCT((CA4:CA795="Lait")*(CB4:CB795="SUSP")*(COUNTIF(AI106,"*"&amp;CC4:CC795&amp;"*")&gt;0)*1))</f>
        <v>0</v>
      </c>
      <c r="AZ106" s="6625" cm="1">
        <f t="array" ref="AZ106">IF(W106="",0,SUMPRODUCT((CA4:CA795="Fruits a coque")*(CB4:CB795="EXCL")*(COUNTIF(AI106,"*"&amp;CC4:CC795&amp;"*")&gt;0)*1))</f>
        <v>0</v>
      </c>
      <c r="BA106" s="6625" cm="1">
        <f t="array" ref="BA106">IF(W106="",0,SUMPRODUCT((CA4:CA795="Fruits a coque")*(CB4:CB795="ALERTE")*(COUNTIF(AI106,"*"&amp;CC4:CC795&amp;"*")&gt;0)*1))</f>
        <v>0</v>
      </c>
      <c r="BB106" s="6625" cm="1">
        <f t="array" ref="BB106">IF(W106="",0,SUMPRODUCT((CA4:CA795="Celeri")*(CB4:CB795="ALERTE")*(COUNTIF(AI106,"*"&amp;CC4:CC795&amp;"*")&gt;0)*1))</f>
        <v>0</v>
      </c>
      <c r="BC106" s="6625" cm="1">
        <f t="array" ref="BC106">IF(W106="",0,SUMPRODUCT((CA4:CA795="Moutarde")*(CB4:CB795="ALERTE")*(COUNTIF(AI106,"*"&amp;CC4:CC795&amp;"*")&gt;0)*1))</f>
        <v>0</v>
      </c>
      <c r="BD106" s="6625" cm="1">
        <f t="array" ref="BD106">IF(W106="",0,SUMPRODUCT((CA4:CA795="Sesame")*(CB4:CB795="ALERTE")*(COUNTIF(AI106,"*"&amp;CC4:CC795&amp;"*")&gt;0)*1))</f>
        <v>0</v>
      </c>
      <c r="BE106" s="6625" cm="1">
        <f t="array" ref="BE106">IF(W106="",0,SUMPRODUCT((CA4:CA795="Sulfites")*(CB4:CB795="ALERTE")*(COUNTIF(AI106,"*"&amp;CC4:CC795&amp;"*")&gt;0)*1))</f>
        <v>0</v>
      </c>
      <c r="BF106" s="6625" cm="1">
        <f t="array" ref="BF106">IF(W106="",0,SUMPRODUCT((CA4:CA795="Lupin")*(CB4:CB795="ALERTE")*(COUNTIF(AI106,"*"&amp;CC4:CC795&amp;"*")&gt;0)*1))</f>
        <v>0</v>
      </c>
      <c r="BG106" s="6625" cm="1">
        <f t="array" ref="BG106">IF(W106="",0,SUMPRODUCT((CA4:CA795="Mollusques")*(CB4:CB795="EXCL")*(COUNTIF(AI106,"*"&amp;CC4:CC795&amp;"*")&gt;0)*1))</f>
        <v>0</v>
      </c>
      <c r="BH106" s="6625" cm="1">
        <f t="array" ref="BH106">IF(W106="",0,SUMPRODUCT((CA4:CA795="Mollusques")*(CB4:CB795="ALERTE")*(COUNTIF(AI106,"*"&amp;CC4:CC795&amp;"*")&gt;0)*1))</f>
        <v>0</v>
      </c>
      <c r="BI106" s="6625" t="str">
        <f t="shared" si="68"/>
        <v/>
      </c>
      <c r="BJ106" s="6625" t="str">
        <f t="shared" si="69"/>
        <v/>
      </c>
      <c r="BK106" s="6625" t="str">
        <f t="shared" si="70"/>
        <v/>
      </c>
      <c r="BL106" s="6625" t="str">
        <f t="shared" si="71"/>
        <v/>
      </c>
      <c r="BM106" s="6625" t="str">
        <f t="shared" si="72"/>
        <v/>
      </c>
      <c r="BN106" s="6625" t="str">
        <f t="shared" si="73"/>
        <v/>
      </c>
      <c r="BO106" s="6625" t="str">
        <f t="shared" si="74"/>
        <v/>
      </c>
      <c r="BP106" s="6625" t="str">
        <f t="shared" si="75"/>
        <v/>
      </c>
      <c r="BQ106" s="6625" t="str">
        <f t="shared" si="76"/>
        <v/>
      </c>
      <c r="BR106" s="6625" t="str">
        <f t="shared" si="77"/>
        <v/>
      </c>
      <c r="BS106" s="6625" t="str">
        <f t="shared" si="78"/>
        <v/>
      </c>
      <c r="BT106" s="6625" t="str">
        <f t="shared" si="79"/>
        <v/>
      </c>
      <c r="BU106" s="6625" t="str">
        <f t="shared" si="80"/>
        <v/>
      </c>
      <c r="BV106" s="6625" t="str">
        <f t="shared" si="81"/>
        <v/>
      </c>
      <c r="BW106" s="6625" t="str">
        <f t="shared" si="82"/>
        <v/>
      </c>
      <c r="BX106" s="6625" t="str">
        <f t="shared" si="83"/>
        <v/>
      </c>
      <c r="CA106" s="3170" t="s">
        <v>16501</v>
      </c>
      <c r="CB106" s="7634" t="s">
        <v>16255</v>
      </c>
      <c r="CC106" s="3170" t="s">
        <v>16542</v>
      </c>
      <c r="CD106" s="3170" t="s">
        <v>16543</v>
      </c>
    </row>
    <row r="107" spans="2:82" ht="30" customHeight="1">
      <c r="B107" s="7661" t="str">
        <f t="shared" si="44"/>
        <v/>
      </c>
      <c r="C107" s="7661" t="str">
        <f t="shared" si="45"/>
        <v/>
      </c>
      <c r="D107" s="7661" t="str">
        <f t="shared" si="46"/>
        <v/>
      </c>
      <c r="E107" s="7661">
        <f>IF(H106&lt;&gt;"",E106,IF(E106="","",IFERROR(MATCH(TRUE(),INDEX(INDEX($K:$K,E106+1):$K$203&lt;&gt;"",0),0)+E106,"")))</f>
        <v>282</v>
      </c>
      <c r="F107" s="7661">
        <f t="shared" si="84"/>
        <v>0</v>
      </c>
      <c r="G107" s="7661" t="str">
        <f t="shared" si="47"/>
        <v>0</v>
      </c>
      <c r="H107" s="7672" t="str">
        <f t="shared" si="48"/>
        <v/>
      </c>
      <c r="I107" s="7683" t="str">
        <f t="shared" si="49"/>
        <v/>
      </c>
      <c r="J107" s="7673" t="str">
        <f>IF(K107="","",COUNTIF($K$18:K107,"&lt;&gt;"))</f>
        <v/>
      </c>
      <c r="K107" s="7674"/>
      <c r="L107" s="7673" t="str">
        <f t="shared" si="50"/>
        <v/>
      </c>
      <c r="M107" s="7630">
        <f t="shared" si="51"/>
        <v>1</v>
      </c>
      <c r="N107" s="7675">
        <f t="shared" si="52"/>
        <v>90</v>
      </c>
      <c r="O107" s="7676" t="str">
        <f t="shared" si="53"/>
        <v>0</v>
      </c>
      <c r="P107" s="7675">
        <f t="shared" si="54"/>
        <v>1</v>
      </c>
      <c r="Q107" s="7675">
        <f t="shared" si="55"/>
        <v>1</v>
      </c>
      <c r="S107" s="7679" t="str">
        <f t="shared" si="85"/>
        <v>0</v>
      </c>
      <c r="T107" s="7680" t="str">
        <f t="shared" si="85"/>
        <v/>
      </c>
      <c r="V107" s="7677">
        <f t="shared" si="56"/>
        <v>107</v>
      </c>
      <c r="W107" s="7678" t="str">
        <f t="shared" si="86"/>
        <v>0</v>
      </c>
      <c r="X107" s="7677" t="s">
        <v>2</v>
      </c>
      <c r="Y107" s="7702" t="str">
        <f t="shared" si="57"/>
        <v>0</v>
      </c>
      <c r="Z107" s="7703" t="str">
        <f t="shared" si="58"/>
        <v/>
      </c>
      <c r="AA107" s="7681" t="str">
        <f t="shared" si="59"/>
        <v>0</v>
      </c>
      <c r="AB107" s="7682" t="str">
        <f t="shared" si="60"/>
        <v/>
      </c>
      <c r="AC107" s="7677">
        <f t="shared" si="61"/>
        <v>0</v>
      </c>
      <c r="AD107" s="7677">
        <f t="shared" si="62"/>
        <v>0</v>
      </c>
      <c r="AE107" s="7682" t="str">
        <f t="shared" si="63"/>
        <v>aucun match</v>
      </c>
      <c r="AF107" s="6625" t="str">
        <f t="shared" si="64"/>
        <v>0</v>
      </c>
      <c r="AG107" s="6625" t="str">
        <f t="shared" si="65"/>
        <v>0</v>
      </c>
      <c r="AH107" s="6625" t="str">
        <f t="shared" si="66"/>
        <v>0</v>
      </c>
      <c r="AI107" s="6625" t="str">
        <f t="shared" si="67"/>
        <v xml:space="preserve"> 0 </v>
      </c>
      <c r="AJ107" s="6625" cm="1">
        <f t="array" ref="AJ107">IF(W107="",0,SUMPRODUCT((CA4:CA795="Gluten")*(CB4:CB795="INFO")*(COUNTIF(AI107,"*"&amp;CC4:CC795&amp;"*")&gt;0)*1))</f>
        <v>0</v>
      </c>
      <c r="AK107" s="6625" cm="1">
        <f t="array" ref="AK107">IF(W107="",0,SUMPRODUCT((CA4:CA795="Gluten")*(CB4:CB795="EXCL")*(COUNTIF(AI107,"*"&amp;CC4:CC795&amp;"*")&gt;0)*1))</f>
        <v>0</v>
      </c>
      <c r="AL107" s="6625" cm="1">
        <f t="array" ref="AL107">IF(W107="",0,SUMPRODUCT((CA4:CA795="Gluten")*(CB4:CB795="ALERTE")*(COUNTIF(AI107,"*"&amp;CC4:CC795&amp;"*")&gt;0)*1))</f>
        <v>0</v>
      </c>
      <c r="AM107" s="6625" cm="1">
        <f t="array" ref="AM107">IF(W107="",0,SUMPRODUCT((CA4:CA795="Gluten")*(CB4:CB795="SUSP")*(COUNTIF(AI107,"*"&amp;CC4:CC795&amp;"*")&gt;0)*1))</f>
        <v>0</v>
      </c>
      <c r="AN107" s="6625" cm="1">
        <f t="array" ref="AN107">IF(W107="",0,SUMPRODUCT((CA4:CA795="Crustaces")*(CB4:CB795="ALERTE")*(COUNTIF(AI107,"*"&amp;CC4:CC795&amp;"*")&gt;0)*1))</f>
        <v>0</v>
      </c>
      <c r="AO107" s="6625" cm="1">
        <f t="array" ref="AO107">IF(W107="",0,SUMPRODUCT((CA4:CA795="Oeufs")*(CB4:CB795="ALERTE")*(COUNTIF(AI107,"*"&amp;CC4:CC795&amp;"*")&gt;0)*1))</f>
        <v>0</v>
      </c>
      <c r="AP107" s="6625" cm="1">
        <f t="array" ref="AP107">IF(W107="",0,SUMPRODUCT((CA4:CA795="Poissons")*(CB4:CB795="INFO")*(COUNTIF(AI107,"*"&amp;CC4:CC795&amp;"*")&gt;0)*1))</f>
        <v>0</v>
      </c>
      <c r="AQ107" s="6625" cm="1">
        <f t="array" ref="AQ107">IF(W107="",0,SUMPRODUCT((CA4:CA795="Poissons")*(CB4:CB795="EXCL")*(COUNTIF(AI107,"*"&amp;CC4:CC795&amp;"*")&gt;0)*1))</f>
        <v>0</v>
      </c>
      <c r="AR107" s="6625" cm="1">
        <f t="array" ref="AR107">IF(W107="",0,SUMPRODUCT((CA4:CA795="Poissons")*(CB4:CB795="ALERTE")*(COUNTIF(AI107,"*"&amp;CC4:CC795&amp;"*")&gt;0)*1))</f>
        <v>0</v>
      </c>
      <c r="AS107" s="6625" cm="1">
        <f t="array" ref="AS107">IF(W107="",0,SUMPRODUCT((CA4:CA795="Arachides")*(CB4:CB795="ALERTE")*(COUNTIF(AI107,"*"&amp;CC4:CC795&amp;"*")&gt;0)*1))</f>
        <v>0</v>
      </c>
      <c r="AT107" s="6625" cm="1">
        <f t="array" ref="AT107">IF(W107="",0,SUMPRODUCT((CA4:CA795="Soja")*(CB4:CB795="INFO")*(COUNTIF(AI107,"*"&amp;CC4:CC795&amp;"*")&gt;0)*1))</f>
        <v>0</v>
      </c>
      <c r="AU107" s="6625" cm="1">
        <f t="array" ref="AU107">IF(W107="",0,SUMPRODUCT((CA4:CA795="Soja")*(CB4:CB795="ALERTE")*(COUNTIF(AI107,"*"&amp;CC4:CC795&amp;"*")&gt;0)*1))</f>
        <v>0</v>
      </c>
      <c r="AV107" s="6625" cm="1">
        <f t="array" ref="AV107">IF(W107="",0,SUMPRODUCT((CA4:CA795="Lait")*(CB4:CB795="INFO")*(COUNTIF(AI107,"*"&amp;CC4:CC795&amp;"*")&gt;0)*1))</f>
        <v>0</v>
      </c>
      <c r="AW107" s="6625" cm="1">
        <f t="array" ref="AW107">IF(W107="",0,SUMPRODUCT((CA4:CA795="Lait")*(CB4:CB795="EXCL")*(COUNTIF(AI107,"*"&amp;CC4:CC795&amp;"*")&gt;0)*1))</f>
        <v>0</v>
      </c>
      <c r="AX107" s="6625" cm="1">
        <f t="array" ref="AX107">IF(W107="",0,SUMPRODUCT((CA4:CA795="Lait")*(CB4:CB795="ALERTE")*(COUNTIF(AI107,"*"&amp;CC4:CC795&amp;"*")&gt;0)*1))</f>
        <v>0</v>
      </c>
      <c r="AY107" s="6625" cm="1">
        <f t="array" ref="AY107">IF(W107="",0,SUMPRODUCT((CA4:CA795="Lait")*(CB4:CB795="SUSP")*(COUNTIF(AI107,"*"&amp;CC4:CC795&amp;"*")&gt;0)*1))</f>
        <v>0</v>
      </c>
      <c r="AZ107" s="6625" cm="1">
        <f t="array" ref="AZ107">IF(W107="",0,SUMPRODUCT((CA4:CA795="Fruits a coque")*(CB4:CB795="EXCL")*(COUNTIF(AI107,"*"&amp;CC4:CC795&amp;"*")&gt;0)*1))</f>
        <v>0</v>
      </c>
      <c r="BA107" s="6625" cm="1">
        <f t="array" ref="BA107">IF(W107="",0,SUMPRODUCT((CA4:CA795="Fruits a coque")*(CB4:CB795="ALERTE")*(COUNTIF(AI107,"*"&amp;CC4:CC795&amp;"*")&gt;0)*1))</f>
        <v>0</v>
      </c>
      <c r="BB107" s="6625" cm="1">
        <f t="array" ref="BB107">IF(W107="",0,SUMPRODUCT((CA4:CA795="Celeri")*(CB4:CB795="ALERTE")*(COUNTIF(AI107,"*"&amp;CC4:CC795&amp;"*")&gt;0)*1))</f>
        <v>0</v>
      </c>
      <c r="BC107" s="6625" cm="1">
        <f t="array" ref="BC107">IF(W107="",0,SUMPRODUCT((CA4:CA795="Moutarde")*(CB4:CB795="ALERTE")*(COUNTIF(AI107,"*"&amp;CC4:CC795&amp;"*")&gt;0)*1))</f>
        <v>0</v>
      </c>
      <c r="BD107" s="6625" cm="1">
        <f t="array" ref="BD107">IF(W107="",0,SUMPRODUCT((CA4:CA795="Sesame")*(CB4:CB795="ALERTE")*(COUNTIF(AI107,"*"&amp;CC4:CC795&amp;"*")&gt;0)*1))</f>
        <v>0</v>
      </c>
      <c r="BE107" s="6625" cm="1">
        <f t="array" ref="BE107">IF(W107="",0,SUMPRODUCT((CA4:CA795="Sulfites")*(CB4:CB795="ALERTE")*(COUNTIF(AI107,"*"&amp;CC4:CC795&amp;"*")&gt;0)*1))</f>
        <v>0</v>
      </c>
      <c r="BF107" s="6625" cm="1">
        <f t="array" ref="BF107">IF(W107="",0,SUMPRODUCT((CA4:CA795="Lupin")*(CB4:CB795="ALERTE")*(COUNTIF(AI107,"*"&amp;CC4:CC795&amp;"*")&gt;0)*1))</f>
        <v>0</v>
      </c>
      <c r="BG107" s="6625" cm="1">
        <f t="array" ref="BG107">IF(W107="",0,SUMPRODUCT((CA4:CA795="Mollusques")*(CB4:CB795="EXCL")*(COUNTIF(AI107,"*"&amp;CC4:CC795&amp;"*")&gt;0)*1))</f>
        <v>0</v>
      </c>
      <c r="BH107" s="6625" cm="1">
        <f t="array" ref="BH107">IF(W107="",0,SUMPRODUCT((CA4:CA795="Mollusques")*(CB4:CB795="ALERTE")*(COUNTIF(AI107,"*"&amp;CC4:CC795&amp;"*")&gt;0)*1))</f>
        <v>0</v>
      </c>
      <c r="BI107" s="6625" t="str">
        <f t="shared" si="68"/>
        <v/>
      </c>
      <c r="BJ107" s="6625" t="str">
        <f t="shared" si="69"/>
        <v/>
      </c>
      <c r="BK107" s="6625" t="str">
        <f t="shared" si="70"/>
        <v/>
      </c>
      <c r="BL107" s="6625" t="str">
        <f t="shared" si="71"/>
        <v/>
      </c>
      <c r="BM107" s="6625" t="str">
        <f t="shared" si="72"/>
        <v/>
      </c>
      <c r="BN107" s="6625" t="str">
        <f t="shared" si="73"/>
        <v/>
      </c>
      <c r="BO107" s="6625" t="str">
        <f t="shared" si="74"/>
        <v/>
      </c>
      <c r="BP107" s="6625" t="str">
        <f t="shared" si="75"/>
        <v/>
      </c>
      <c r="BQ107" s="6625" t="str">
        <f t="shared" si="76"/>
        <v/>
      </c>
      <c r="BR107" s="6625" t="str">
        <f t="shared" si="77"/>
        <v/>
      </c>
      <c r="BS107" s="6625" t="str">
        <f t="shared" si="78"/>
        <v/>
      </c>
      <c r="BT107" s="6625" t="str">
        <f t="shared" si="79"/>
        <v/>
      </c>
      <c r="BU107" s="6625" t="str">
        <f t="shared" si="80"/>
        <v/>
      </c>
      <c r="BV107" s="6625" t="str">
        <f t="shared" si="81"/>
        <v/>
      </c>
      <c r="BW107" s="6625" t="str">
        <f t="shared" si="82"/>
        <v/>
      </c>
      <c r="BX107" s="6625" t="str">
        <f t="shared" si="83"/>
        <v/>
      </c>
      <c r="CA107" s="3170" t="s">
        <v>16501</v>
      </c>
      <c r="CB107" s="7634" t="s">
        <v>16255</v>
      </c>
      <c r="CC107" s="3170" t="s">
        <v>16544</v>
      </c>
      <c r="CD107" s="3170" t="s">
        <v>16545</v>
      </c>
    </row>
    <row r="108" spans="2:82" ht="30" customHeight="1">
      <c r="B108" s="7661" t="str">
        <f t="shared" si="44"/>
        <v/>
      </c>
      <c r="C108" s="7661" t="str">
        <f t="shared" si="45"/>
        <v/>
      </c>
      <c r="D108" s="7661" t="str">
        <f t="shared" si="46"/>
        <v/>
      </c>
      <c r="E108" s="7661">
        <f>IF(H107&lt;&gt;"",E107,IF(E107="","",IFERROR(MATCH(TRUE(),INDEX(INDEX($K:$K,E107+1):$K$203&lt;&gt;"",0),0)+E107,"")))</f>
        <v>283</v>
      </c>
      <c r="F108" s="7661">
        <f t="shared" si="84"/>
        <v>0</v>
      </c>
      <c r="G108" s="7661" t="str">
        <f t="shared" si="47"/>
        <v>0</v>
      </c>
      <c r="H108" s="7672" t="str">
        <f t="shared" si="48"/>
        <v/>
      </c>
      <c r="I108" s="7683" t="str">
        <f t="shared" si="49"/>
        <v/>
      </c>
      <c r="J108" s="7673" t="str">
        <f>IF(K108="","",COUNTIF($K$18:K108,"&lt;&gt;"))</f>
        <v/>
      </c>
      <c r="K108" s="7674"/>
      <c r="L108" s="7673" t="str">
        <f t="shared" si="50"/>
        <v/>
      </c>
      <c r="M108" s="7630">
        <f t="shared" si="51"/>
        <v>1</v>
      </c>
      <c r="N108" s="7675">
        <f t="shared" si="52"/>
        <v>91</v>
      </c>
      <c r="O108" s="7676" t="str">
        <f t="shared" si="53"/>
        <v>0</v>
      </c>
      <c r="P108" s="7675">
        <f t="shared" si="54"/>
        <v>1</v>
      </c>
      <c r="Q108" s="7675">
        <f t="shared" si="55"/>
        <v>1</v>
      </c>
      <c r="S108" s="7679" t="str">
        <f t="shared" si="85"/>
        <v>0</v>
      </c>
      <c r="T108" s="7680" t="str">
        <f t="shared" si="85"/>
        <v/>
      </c>
      <c r="V108" s="7677">
        <f t="shared" si="56"/>
        <v>108</v>
      </c>
      <c r="W108" s="7678" t="str">
        <f t="shared" si="86"/>
        <v>0</v>
      </c>
      <c r="X108" s="7677" t="s">
        <v>2</v>
      </c>
      <c r="Y108" s="7702" t="str">
        <f t="shared" si="57"/>
        <v>0</v>
      </c>
      <c r="Z108" s="7703" t="str">
        <f t="shared" si="58"/>
        <v/>
      </c>
      <c r="AA108" s="7681" t="str">
        <f t="shared" si="59"/>
        <v>0</v>
      </c>
      <c r="AB108" s="7682" t="str">
        <f t="shared" si="60"/>
        <v/>
      </c>
      <c r="AC108" s="7677">
        <f t="shared" si="61"/>
        <v>0</v>
      </c>
      <c r="AD108" s="7677">
        <f t="shared" si="62"/>
        <v>0</v>
      </c>
      <c r="AE108" s="7682" t="str">
        <f t="shared" si="63"/>
        <v>aucun match</v>
      </c>
      <c r="AF108" s="6625" t="str">
        <f t="shared" si="64"/>
        <v>0</v>
      </c>
      <c r="AG108" s="6625" t="str">
        <f t="shared" si="65"/>
        <v>0</v>
      </c>
      <c r="AH108" s="6625" t="str">
        <f t="shared" si="66"/>
        <v>0</v>
      </c>
      <c r="AI108" s="6625" t="str">
        <f t="shared" si="67"/>
        <v xml:space="preserve"> 0 </v>
      </c>
      <c r="AJ108" s="6625" cm="1">
        <f t="array" ref="AJ108">IF(W108="",0,SUMPRODUCT((CA4:CA795="Gluten")*(CB4:CB795="INFO")*(COUNTIF(AI108,"*"&amp;CC4:CC795&amp;"*")&gt;0)*1))</f>
        <v>0</v>
      </c>
      <c r="AK108" s="6625" cm="1">
        <f t="array" ref="AK108">IF(W108="",0,SUMPRODUCT((CA4:CA795="Gluten")*(CB4:CB795="EXCL")*(COUNTIF(AI108,"*"&amp;CC4:CC795&amp;"*")&gt;0)*1))</f>
        <v>0</v>
      </c>
      <c r="AL108" s="6625" cm="1">
        <f t="array" ref="AL108">IF(W108="",0,SUMPRODUCT((CA4:CA795="Gluten")*(CB4:CB795="ALERTE")*(COUNTIF(AI108,"*"&amp;CC4:CC795&amp;"*")&gt;0)*1))</f>
        <v>0</v>
      </c>
      <c r="AM108" s="6625" cm="1">
        <f t="array" ref="AM108">IF(W108="",0,SUMPRODUCT((CA4:CA795="Gluten")*(CB4:CB795="SUSP")*(COUNTIF(AI108,"*"&amp;CC4:CC795&amp;"*")&gt;0)*1))</f>
        <v>0</v>
      </c>
      <c r="AN108" s="6625" cm="1">
        <f t="array" ref="AN108">IF(W108="",0,SUMPRODUCT((CA4:CA795="Crustaces")*(CB4:CB795="ALERTE")*(COUNTIF(AI108,"*"&amp;CC4:CC795&amp;"*")&gt;0)*1))</f>
        <v>0</v>
      </c>
      <c r="AO108" s="6625" cm="1">
        <f t="array" ref="AO108">IF(W108="",0,SUMPRODUCT((CA4:CA795="Oeufs")*(CB4:CB795="ALERTE")*(COUNTIF(AI108,"*"&amp;CC4:CC795&amp;"*")&gt;0)*1))</f>
        <v>0</v>
      </c>
      <c r="AP108" s="6625" cm="1">
        <f t="array" ref="AP108">IF(W108="",0,SUMPRODUCT((CA4:CA795="Poissons")*(CB4:CB795="INFO")*(COUNTIF(AI108,"*"&amp;CC4:CC795&amp;"*")&gt;0)*1))</f>
        <v>0</v>
      </c>
      <c r="AQ108" s="6625" cm="1">
        <f t="array" ref="AQ108">IF(W108="",0,SUMPRODUCT((CA4:CA795="Poissons")*(CB4:CB795="EXCL")*(COUNTIF(AI108,"*"&amp;CC4:CC795&amp;"*")&gt;0)*1))</f>
        <v>0</v>
      </c>
      <c r="AR108" s="6625" cm="1">
        <f t="array" ref="AR108">IF(W108="",0,SUMPRODUCT((CA4:CA795="Poissons")*(CB4:CB795="ALERTE")*(COUNTIF(AI108,"*"&amp;CC4:CC795&amp;"*")&gt;0)*1))</f>
        <v>0</v>
      </c>
      <c r="AS108" s="6625" cm="1">
        <f t="array" ref="AS108">IF(W108="",0,SUMPRODUCT((CA4:CA795="Arachides")*(CB4:CB795="ALERTE")*(COUNTIF(AI108,"*"&amp;CC4:CC795&amp;"*")&gt;0)*1))</f>
        <v>0</v>
      </c>
      <c r="AT108" s="6625" cm="1">
        <f t="array" ref="AT108">IF(W108="",0,SUMPRODUCT((CA4:CA795="Soja")*(CB4:CB795="INFO")*(COUNTIF(AI108,"*"&amp;CC4:CC795&amp;"*")&gt;0)*1))</f>
        <v>0</v>
      </c>
      <c r="AU108" s="6625" cm="1">
        <f t="array" ref="AU108">IF(W108="",0,SUMPRODUCT((CA4:CA795="Soja")*(CB4:CB795="ALERTE")*(COUNTIF(AI108,"*"&amp;CC4:CC795&amp;"*")&gt;0)*1))</f>
        <v>0</v>
      </c>
      <c r="AV108" s="6625" cm="1">
        <f t="array" ref="AV108">IF(W108="",0,SUMPRODUCT((CA4:CA795="Lait")*(CB4:CB795="INFO")*(COUNTIF(AI108,"*"&amp;CC4:CC795&amp;"*")&gt;0)*1))</f>
        <v>0</v>
      </c>
      <c r="AW108" s="6625" cm="1">
        <f t="array" ref="AW108">IF(W108="",0,SUMPRODUCT((CA4:CA795="Lait")*(CB4:CB795="EXCL")*(COUNTIF(AI108,"*"&amp;CC4:CC795&amp;"*")&gt;0)*1))</f>
        <v>0</v>
      </c>
      <c r="AX108" s="6625" cm="1">
        <f t="array" ref="AX108">IF(W108="",0,SUMPRODUCT((CA4:CA795="Lait")*(CB4:CB795="ALERTE")*(COUNTIF(AI108,"*"&amp;CC4:CC795&amp;"*")&gt;0)*1))</f>
        <v>0</v>
      </c>
      <c r="AY108" s="6625" cm="1">
        <f t="array" ref="AY108">IF(W108="",0,SUMPRODUCT((CA4:CA795="Lait")*(CB4:CB795="SUSP")*(COUNTIF(AI108,"*"&amp;CC4:CC795&amp;"*")&gt;0)*1))</f>
        <v>0</v>
      </c>
      <c r="AZ108" s="6625" cm="1">
        <f t="array" ref="AZ108">IF(W108="",0,SUMPRODUCT((CA4:CA795="Fruits a coque")*(CB4:CB795="EXCL")*(COUNTIF(AI108,"*"&amp;CC4:CC795&amp;"*")&gt;0)*1))</f>
        <v>0</v>
      </c>
      <c r="BA108" s="6625" cm="1">
        <f t="array" ref="BA108">IF(W108="",0,SUMPRODUCT((CA4:CA795="Fruits a coque")*(CB4:CB795="ALERTE")*(COUNTIF(AI108,"*"&amp;CC4:CC795&amp;"*")&gt;0)*1))</f>
        <v>0</v>
      </c>
      <c r="BB108" s="6625" cm="1">
        <f t="array" ref="BB108">IF(W108="",0,SUMPRODUCT((CA4:CA795="Celeri")*(CB4:CB795="ALERTE")*(COUNTIF(AI108,"*"&amp;CC4:CC795&amp;"*")&gt;0)*1))</f>
        <v>0</v>
      </c>
      <c r="BC108" s="6625" cm="1">
        <f t="array" ref="BC108">IF(W108="",0,SUMPRODUCT((CA4:CA795="Moutarde")*(CB4:CB795="ALERTE")*(COUNTIF(AI108,"*"&amp;CC4:CC795&amp;"*")&gt;0)*1))</f>
        <v>0</v>
      </c>
      <c r="BD108" s="6625" cm="1">
        <f t="array" ref="BD108">IF(W108="",0,SUMPRODUCT((CA4:CA795="Sesame")*(CB4:CB795="ALERTE")*(COUNTIF(AI108,"*"&amp;CC4:CC795&amp;"*")&gt;0)*1))</f>
        <v>0</v>
      </c>
      <c r="BE108" s="6625" cm="1">
        <f t="array" ref="BE108">IF(W108="",0,SUMPRODUCT((CA4:CA795="Sulfites")*(CB4:CB795="ALERTE")*(COUNTIF(AI108,"*"&amp;CC4:CC795&amp;"*")&gt;0)*1))</f>
        <v>0</v>
      </c>
      <c r="BF108" s="6625" cm="1">
        <f t="array" ref="BF108">IF(W108="",0,SUMPRODUCT((CA4:CA795="Lupin")*(CB4:CB795="ALERTE")*(COUNTIF(AI108,"*"&amp;CC4:CC795&amp;"*")&gt;0)*1))</f>
        <v>0</v>
      </c>
      <c r="BG108" s="6625" cm="1">
        <f t="array" ref="BG108">IF(W108="",0,SUMPRODUCT((CA4:CA795="Mollusques")*(CB4:CB795="EXCL")*(COUNTIF(AI108,"*"&amp;CC4:CC795&amp;"*")&gt;0)*1))</f>
        <v>0</v>
      </c>
      <c r="BH108" s="6625" cm="1">
        <f t="array" ref="BH108">IF(W108="",0,SUMPRODUCT((CA4:CA795="Mollusques")*(CB4:CB795="ALERTE")*(COUNTIF(AI108,"*"&amp;CC4:CC795&amp;"*")&gt;0)*1))</f>
        <v>0</v>
      </c>
      <c r="BI108" s="6625" t="str">
        <f t="shared" si="68"/>
        <v/>
      </c>
      <c r="BJ108" s="6625" t="str">
        <f t="shared" si="69"/>
        <v/>
      </c>
      <c r="BK108" s="6625" t="str">
        <f t="shared" si="70"/>
        <v/>
      </c>
      <c r="BL108" s="6625" t="str">
        <f t="shared" si="71"/>
        <v/>
      </c>
      <c r="BM108" s="6625" t="str">
        <f t="shared" si="72"/>
        <v/>
      </c>
      <c r="BN108" s="6625" t="str">
        <f t="shared" si="73"/>
        <v/>
      </c>
      <c r="BO108" s="6625" t="str">
        <f t="shared" si="74"/>
        <v/>
      </c>
      <c r="BP108" s="6625" t="str">
        <f t="shared" si="75"/>
        <v/>
      </c>
      <c r="BQ108" s="6625" t="str">
        <f t="shared" si="76"/>
        <v/>
      </c>
      <c r="BR108" s="6625" t="str">
        <f t="shared" si="77"/>
        <v/>
      </c>
      <c r="BS108" s="6625" t="str">
        <f t="shared" si="78"/>
        <v/>
      </c>
      <c r="BT108" s="6625" t="str">
        <f t="shared" si="79"/>
        <v/>
      </c>
      <c r="BU108" s="6625" t="str">
        <f t="shared" si="80"/>
        <v/>
      </c>
      <c r="BV108" s="6625" t="str">
        <f t="shared" si="81"/>
        <v/>
      </c>
      <c r="BW108" s="6625" t="str">
        <f t="shared" si="82"/>
        <v/>
      </c>
      <c r="BX108" s="6625" t="str">
        <f t="shared" si="83"/>
        <v/>
      </c>
      <c r="CA108" s="3170" t="s">
        <v>16501</v>
      </c>
      <c r="CB108" s="7634" t="s">
        <v>16255</v>
      </c>
      <c r="CC108" s="3170" t="s">
        <v>16546</v>
      </c>
      <c r="CD108" s="3170" t="s">
        <v>16547</v>
      </c>
    </row>
    <row r="109" spans="2:82" ht="30" customHeight="1">
      <c r="B109" s="7661" t="str">
        <f t="shared" si="44"/>
        <v/>
      </c>
      <c r="C109" s="7661" t="str">
        <f t="shared" si="45"/>
        <v/>
      </c>
      <c r="D109" s="7661" t="str">
        <f t="shared" si="46"/>
        <v/>
      </c>
      <c r="E109" s="7661">
        <f>IF(H108&lt;&gt;"",E108,IF(E108="","",IFERROR(MATCH(TRUE(),INDEX(INDEX($K:$K,E108+1):$K$203&lt;&gt;"",0),0)+E108,"")))</f>
        <v>284</v>
      </c>
      <c r="F109" s="7661">
        <f t="shared" si="84"/>
        <v>0</v>
      </c>
      <c r="G109" s="7661" t="str">
        <f t="shared" si="47"/>
        <v>0</v>
      </c>
      <c r="H109" s="7672" t="str">
        <f t="shared" si="48"/>
        <v/>
      </c>
      <c r="I109" s="7683" t="str">
        <f t="shared" si="49"/>
        <v/>
      </c>
      <c r="J109" s="7673" t="str">
        <f>IF(K109="","",COUNTIF($K$18:K109,"&lt;&gt;"))</f>
        <v/>
      </c>
      <c r="K109" s="7674"/>
      <c r="L109" s="7673" t="str">
        <f t="shared" si="50"/>
        <v/>
      </c>
      <c r="M109" s="7630">
        <f t="shared" si="51"/>
        <v>1</v>
      </c>
      <c r="N109" s="7675">
        <f t="shared" si="52"/>
        <v>92</v>
      </c>
      <c r="O109" s="7676" t="str">
        <f t="shared" si="53"/>
        <v>0</v>
      </c>
      <c r="P109" s="7675">
        <f t="shared" si="54"/>
        <v>1</v>
      </c>
      <c r="Q109" s="7675">
        <f t="shared" si="55"/>
        <v>1</v>
      </c>
      <c r="S109" s="7679" t="str">
        <f t="shared" si="85"/>
        <v>0</v>
      </c>
      <c r="T109" s="7680" t="str">
        <f t="shared" si="85"/>
        <v/>
      </c>
      <c r="V109" s="7677">
        <f t="shared" si="56"/>
        <v>109</v>
      </c>
      <c r="W109" s="7678" t="str">
        <f t="shared" si="86"/>
        <v>0</v>
      </c>
      <c r="X109" s="7677" t="s">
        <v>2</v>
      </c>
      <c r="Y109" s="7702" t="str">
        <f t="shared" si="57"/>
        <v>0</v>
      </c>
      <c r="Z109" s="7703" t="str">
        <f t="shared" si="58"/>
        <v/>
      </c>
      <c r="AA109" s="7681" t="str">
        <f t="shared" si="59"/>
        <v>0</v>
      </c>
      <c r="AB109" s="7682" t="str">
        <f t="shared" si="60"/>
        <v/>
      </c>
      <c r="AC109" s="7677">
        <f t="shared" si="61"/>
        <v>0</v>
      </c>
      <c r="AD109" s="7677">
        <f t="shared" si="62"/>
        <v>0</v>
      </c>
      <c r="AE109" s="7682" t="str">
        <f t="shared" si="63"/>
        <v>aucun match</v>
      </c>
      <c r="AF109" s="6625" t="str">
        <f t="shared" si="64"/>
        <v>0</v>
      </c>
      <c r="AG109" s="6625" t="str">
        <f t="shared" si="65"/>
        <v>0</v>
      </c>
      <c r="AH109" s="6625" t="str">
        <f t="shared" si="66"/>
        <v>0</v>
      </c>
      <c r="AI109" s="6625" t="str">
        <f t="shared" si="67"/>
        <v xml:space="preserve"> 0 </v>
      </c>
      <c r="AJ109" s="6625" cm="1">
        <f t="array" ref="AJ109">IF(W109="",0,SUMPRODUCT((CA4:CA795="Gluten")*(CB4:CB795="INFO")*(COUNTIF(AI109,"*"&amp;CC4:CC795&amp;"*")&gt;0)*1))</f>
        <v>0</v>
      </c>
      <c r="AK109" s="6625" cm="1">
        <f t="array" ref="AK109">IF(W109="",0,SUMPRODUCT((CA4:CA795="Gluten")*(CB4:CB795="EXCL")*(COUNTIF(AI109,"*"&amp;CC4:CC795&amp;"*")&gt;0)*1))</f>
        <v>0</v>
      </c>
      <c r="AL109" s="6625" cm="1">
        <f t="array" ref="AL109">IF(W109="",0,SUMPRODUCT((CA4:CA795="Gluten")*(CB4:CB795="ALERTE")*(COUNTIF(AI109,"*"&amp;CC4:CC795&amp;"*")&gt;0)*1))</f>
        <v>0</v>
      </c>
      <c r="AM109" s="6625" cm="1">
        <f t="array" ref="AM109">IF(W109="",0,SUMPRODUCT((CA4:CA795="Gluten")*(CB4:CB795="SUSP")*(COUNTIF(AI109,"*"&amp;CC4:CC795&amp;"*")&gt;0)*1))</f>
        <v>0</v>
      </c>
      <c r="AN109" s="6625" cm="1">
        <f t="array" ref="AN109">IF(W109="",0,SUMPRODUCT((CA4:CA795="Crustaces")*(CB4:CB795="ALERTE")*(COUNTIF(AI109,"*"&amp;CC4:CC795&amp;"*")&gt;0)*1))</f>
        <v>0</v>
      </c>
      <c r="AO109" s="6625" cm="1">
        <f t="array" ref="AO109">IF(W109="",0,SUMPRODUCT((CA4:CA795="Oeufs")*(CB4:CB795="ALERTE")*(COUNTIF(AI109,"*"&amp;CC4:CC795&amp;"*")&gt;0)*1))</f>
        <v>0</v>
      </c>
      <c r="AP109" s="6625" cm="1">
        <f t="array" ref="AP109">IF(W109="",0,SUMPRODUCT((CA4:CA795="Poissons")*(CB4:CB795="INFO")*(COUNTIF(AI109,"*"&amp;CC4:CC795&amp;"*")&gt;0)*1))</f>
        <v>0</v>
      </c>
      <c r="AQ109" s="6625" cm="1">
        <f t="array" ref="AQ109">IF(W109="",0,SUMPRODUCT((CA4:CA795="Poissons")*(CB4:CB795="EXCL")*(COUNTIF(AI109,"*"&amp;CC4:CC795&amp;"*")&gt;0)*1))</f>
        <v>0</v>
      </c>
      <c r="AR109" s="6625" cm="1">
        <f t="array" ref="AR109">IF(W109="",0,SUMPRODUCT((CA4:CA795="Poissons")*(CB4:CB795="ALERTE")*(COUNTIF(AI109,"*"&amp;CC4:CC795&amp;"*")&gt;0)*1))</f>
        <v>0</v>
      </c>
      <c r="AS109" s="6625" cm="1">
        <f t="array" ref="AS109">IF(W109="",0,SUMPRODUCT((CA4:CA795="Arachides")*(CB4:CB795="ALERTE")*(COUNTIF(AI109,"*"&amp;CC4:CC795&amp;"*")&gt;0)*1))</f>
        <v>0</v>
      </c>
      <c r="AT109" s="6625" cm="1">
        <f t="array" ref="AT109">IF(W109="",0,SUMPRODUCT((CA4:CA795="Soja")*(CB4:CB795="INFO")*(COUNTIF(AI109,"*"&amp;CC4:CC795&amp;"*")&gt;0)*1))</f>
        <v>0</v>
      </c>
      <c r="AU109" s="6625" cm="1">
        <f t="array" ref="AU109">IF(W109="",0,SUMPRODUCT((CA4:CA795="Soja")*(CB4:CB795="ALERTE")*(COUNTIF(AI109,"*"&amp;CC4:CC795&amp;"*")&gt;0)*1))</f>
        <v>0</v>
      </c>
      <c r="AV109" s="6625" cm="1">
        <f t="array" ref="AV109">IF(W109="",0,SUMPRODUCT((CA4:CA795="Lait")*(CB4:CB795="INFO")*(COUNTIF(AI109,"*"&amp;CC4:CC795&amp;"*")&gt;0)*1))</f>
        <v>0</v>
      </c>
      <c r="AW109" s="6625" cm="1">
        <f t="array" ref="AW109">IF(W109="",0,SUMPRODUCT((CA4:CA795="Lait")*(CB4:CB795="EXCL")*(COUNTIF(AI109,"*"&amp;CC4:CC795&amp;"*")&gt;0)*1))</f>
        <v>0</v>
      </c>
      <c r="AX109" s="6625" cm="1">
        <f t="array" ref="AX109">IF(W109="",0,SUMPRODUCT((CA4:CA795="Lait")*(CB4:CB795="ALERTE")*(COUNTIF(AI109,"*"&amp;CC4:CC795&amp;"*")&gt;0)*1))</f>
        <v>0</v>
      </c>
      <c r="AY109" s="6625" cm="1">
        <f t="array" ref="AY109">IF(W109="",0,SUMPRODUCT((CA4:CA795="Lait")*(CB4:CB795="SUSP")*(COUNTIF(AI109,"*"&amp;CC4:CC795&amp;"*")&gt;0)*1))</f>
        <v>0</v>
      </c>
      <c r="AZ109" s="6625" cm="1">
        <f t="array" ref="AZ109">IF(W109="",0,SUMPRODUCT((CA4:CA795="Fruits a coque")*(CB4:CB795="EXCL")*(COUNTIF(AI109,"*"&amp;CC4:CC795&amp;"*")&gt;0)*1))</f>
        <v>0</v>
      </c>
      <c r="BA109" s="6625" cm="1">
        <f t="array" ref="BA109">IF(W109="",0,SUMPRODUCT((CA4:CA795="Fruits a coque")*(CB4:CB795="ALERTE")*(COUNTIF(AI109,"*"&amp;CC4:CC795&amp;"*")&gt;0)*1))</f>
        <v>0</v>
      </c>
      <c r="BB109" s="6625" cm="1">
        <f t="array" ref="BB109">IF(W109="",0,SUMPRODUCT((CA4:CA795="Celeri")*(CB4:CB795="ALERTE")*(COUNTIF(AI109,"*"&amp;CC4:CC795&amp;"*")&gt;0)*1))</f>
        <v>0</v>
      </c>
      <c r="BC109" s="6625" cm="1">
        <f t="array" ref="BC109">IF(W109="",0,SUMPRODUCT((CA4:CA795="Moutarde")*(CB4:CB795="ALERTE")*(COUNTIF(AI109,"*"&amp;CC4:CC795&amp;"*")&gt;0)*1))</f>
        <v>0</v>
      </c>
      <c r="BD109" s="6625" cm="1">
        <f t="array" ref="BD109">IF(W109="",0,SUMPRODUCT((CA4:CA795="Sesame")*(CB4:CB795="ALERTE")*(COUNTIF(AI109,"*"&amp;CC4:CC795&amp;"*")&gt;0)*1))</f>
        <v>0</v>
      </c>
      <c r="BE109" s="6625" cm="1">
        <f t="array" ref="BE109">IF(W109="",0,SUMPRODUCT((CA4:CA795="Sulfites")*(CB4:CB795="ALERTE")*(COUNTIF(AI109,"*"&amp;CC4:CC795&amp;"*")&gt;0)*1))</f>
        <v>0</v>
      </c>
      <c r="BF109" s="6625" cm="1">
        <f t="array" ref="BF109">IF(W109="",0,SUMPRODUCT((CA4:CA795="Lupin")*(CB4:CB795="ALERTE")*(COUNTIF(AI109,"*"&amp;CC4:CC795&amp;"*")&gt;0)*1))</f>
        <v>0</v>
      </c>
      <c r="BG109" s="6625" cm="1">
        <f t="array" ref="BG109">IF(W109="",0,SUMPRODUCT((CA4:CA795="Mollusques")*(CB4:CB795="EXCL")*(COUNTIF(AI109,"*"&amp;CC4:CC795&amp;"*")&gt;0)*1))</f>
        <v>0</v>
      </c>
      <c r="BH109" s="6625" cm="1">
        <f t="array" ref="BH109">IF(W109="",0,SUMPRODUCT((CA4:CA795="Mollusques")*(CB4:CB795="ALERTE")*(COUNTIF(AI109,"*"&amp;CC4:CC795&amp;"*")&gt;0)*1))</f>
        <v>0</v>
      </c>
      <c r="BI109" s="6625" t="str">
        <f t="shared" si="68"/>
        <v/>
      </c>
      <c r="BJ109" s="6625" t="str">
        <f t="shared" si="69"/>
        <v/>
      </c>
      <c r="BK109" s="6625" t="str">
        <f t="shared" si="70"/>
        <v/>
      </c>
      <c r="BL109" s="6625" t="str">
        <f t="shared" si="71"/>
        <v/>
      </c>
      <c r="BM109" s="6625" t="str">
        <f t="shared" si="72"/>
        <v/>
      </c>
      <c r="BN109" s="6625" t="str">
        <f t="shared" si="73"/>
        <v/>
      </c>
      <c r="BO109" s="6625" t="str">
        <f t="shared" si="74"/>
        <v/>
      </c>
      <c r="BP109" s="6625" t="str">
        <f t="shared" si="75"/>
        <v/>
      </c>
      <c r="BQ109" s="6625" t="str">
        <f t="shared" si="76"/>
        <v/>
      </c>
      <c r="BR109" s="6625" t="str">
        <f t="shared" si="77"/>
        <v/>
      </c>
      <c r="BS109" s="6625" t="str">
        <f t="shared" si="78"/>
        <v/>
      </c>
      <c r="BT109" s="6625" t="str">
        <f t="shared" si="79"/>
        <v/>
      </c>
      <c r="BU109" s="6625" t="str">
        <f t="shared" si="80"/>
        <v/>
      </c>
      <c r="BV109" s="6625" t="str">
        <f t="shared" si="81"/>
        <v/>
      </c>
      <c r="BW109" s="6625" t="str">
        <f t="shared" si="82"/>
        <v/>
      </c>
      <c r="BX109" s="6625" t="str">
        <f t="shared" si="83"/>
        <v/>
      </c>
      <c r="CA109" s="3170" t="s">
        <v>16501</v>
      </c>
      <c r="CB109" s="7634" t="s">
        <v>16255</v>
      </c>
      <c r="CC109" s="3170" t="s">
        <v>16548</v>
      </c>
      <c r="CD109" s="3170" t="s">
        <v>16549</v>
      </c>
    </row>
    <row r="110" spans="2:82" ht="30" customHeight="1">
      <c r="B110" s="7661" t="str">
        <f t="shared" si="44"/>
        <v/>
      </c>
      <c r="C110" s="7661" t="str">
        <f t="shared" si="45"/>
        <v/>
      </c>
      <c r="D110" s="7661" t="str">
        <f t="shared" si="46"/>
        <v/>
      </c>
      <c r="E110" s="7661">
        <f>IF(H109&lt;&gt;"",E109,IF(E109="","",IFERROR(MATCH(TRUE(),INDEX(INDEX($K:$K,E109+1):$K$203&lt;&gt;"",0),0)+E109,"")))</f>
        <v>285</v>
      </c>
      <c r="F110" s="7661">
        <f t="shared" si="84"/>
        <v>0</v>
      </c>
      <c r="G110" s="7661" t="str">
        <f t="shared" si="47"/>
        <v>0</v>
      </c>
      <c r="H110" s="7672" t="str">
        <f t="shared" si="48"/>
        <v/>
      </c>
      <c r="I110" s="7683" t="str">
        <f t="shared" si="49"/>
        <v/>
      </c>
      <c r="J110" s="7673" t="str">
        <f>IF(K110="","",COUNTIF($K$18:K110,"&lt;&gt;"))</f>
        <v/>
      </c>
      <c r="K110" s="7674"/>
      <c r="L110" s="7673" t="str">
        <f t="shared" si="50"/>
        <v/>
      </c>
      <c r="M110" s="7630">
        <f t="shared" si="51"/>
        <v>1</v>
      </c>
      <c r="N110" s="7675">
        <f t="shared" si="52"/>
        <v>93</v>
      </c>
      <c r="O110" s="7676" t="str">
        <f t="shared" si="53"/>
        <v>0</v>
      </c>
      <c r="P110" s="7675">
        <f t="shared" si="54"/>
        <v>1</v>
      </c>
      <c r="Q110" s="7675">
        <f t="shared" si="55"/>
        <v>1</v>
      </c>
      <c r="S110" s="7679" t="str">
        <f t="shared" si="85"/>
        <v>0</v>
      </c>
      <c r="T110" s="7680" t="str">
        <f t="shared" si="85"/>
        <v/>
      </c>
      <c r="V110" s="7677">
        <f t="shared" si="56"/>
        <v>110</v>
      </c>
      <c r="W110" s="7678" t="str">
        <f t="shared" si="86"/>
        <v>0</v>
      </c>
      <c r="X110" s="7677" t="s">
        <v>2</v>
      </c>
      <c r="Y110" s="7702" t="str">
        <f t="shared" si="57"/>
        <v>0</v>
      </c>
      <c r="Z110" s="7703" t="str">
        <f t="shared" si="58"/>
        <v/>
      </c>
      <c r="AA110" s="7681" t="str">
        <f t="shared" si="59"/>
        <v>0</v>
      </c>
      <c r="AB110" s="7682" t="str">
        <f t="shared" si="60"/>
        <v/>
      </c>
      <c r="AC110" s="7677">
        <f t="shared" si="61"/>
        <v>0</v>
      </c>
      <c r="AD110" s="7677">
        <f t="shared" si="62"/>
        <v>0</v>
      </c>
      <c r="AE110" s="7682" t="str">
        <f t="shared" si="63"/>
        <v>aucun match</v>
      </c>
      <c r="AF110" s="6625" t="str">
        <f t="shared" si="64"/>
        <v>0</v>
      </c>
      <c r="AG110" s="6625" t="str">
        <f t="shared" si="65"/>
        <v>0</v>
      </c>
      <c r="AH110" s="6625" t="str">
        <f t="shared" si="66"/>
        <v>0</v>
      </c>
      <c r="AI110" s="6625" t="str">
        <f t="shared" si="67"/>
        <v xml:space="preserve"> 0 </v>
      </c>
      <c r="AJ110" s="6625" cm="1">
        <f t="array" ref="AJ110">IF(W110="",0,SUMPRODUCT((CA4:CA795="Gluten")*(CB4:CB795="INFO")*(COUNTIF(AI110,"*"&amp;CC4:CC795&amp;"*")&gt;0)*1))</f>
        <v>0</v>
      </c>
      <c r="AK110" s="6625" cm="1">
        <f t="array" ref="AK110">IF(W110="",0,SUMPRODUCT((CA4:CA795="Gluten")*(CB4:CB795="EXCL")*(COUNTIF(AI110,"*"&amp;CC4:CC795&amp;"*")&gt;0)*1))</f>
        <v>0</v>
      </c>
      <c r="AL110" s="6625" cm="1">
        <f t="array" ref="AL110">IF(W110="",0,SUMPRODUCT((CA4:CA795="Gluten")*(CB4:CB795="ALERTE")*(COUNTIF(AI110,"*"&amp;CC4:CC795&amp;"*")&gt;0)*1))</f>
        <v>0</v>
      </c>
      <c r="AM110" s="6625" cm="1">
        <f t="array" ref="AM110">IF(W110="",0,SUMPRODUCT((CA4:CA795="Gluten")*(CB4:CB795="SUSP")*(COUNTIF(AI110,"*"&amp;CC4:CC795&amp;"*")&gt;0)*1))</f>
        <v>0</v>
      </c>
      <c r="AN110" s="6625" cm="1">
        <f t="array" ref="AN110">IF(W110="",0,SUMPRODUCT((CA4:CA795="Crustaces")*(CB4:CB795="ALERTE")*(COUNTIF(AI110,"*"&amp;CC4:CC795&amp;"*")&gt;0)*1))</f>
        <v>0</v>
      </c>
      <c r="AO110" s="6625" cm="1">
        <f t="array" ref="AO110">IF(W110="",0,SUMPRODUCT((CA4:CA795="Oeufs")*(CB4:CB795="ALERTE")*(COUNTIF(AI110,"*"&amp;CC4:CC795&amp;"*")&gt;0)*1))</f>
        <v>0</v>
      </c>
      <c r="AP110" s="6625" cm="1">
        <f t="array" ref="AP110">IF(W110="",0,SUMPRODUCT((CA4:CA795="Poissons")*(CB4:CB795="INFO")*(COUNTIF(AI110,"*"&amp;CC4:CC795&amp;"*")&gt;0)*1))</f>
        <v>0</v>
      </c>
      <c r="AQ110" s="6625" cm="1">
        <f t="array" ref="AQ110">IF(W110="",0,SUMPRODUCT((CA4:CA795="Poissons")*(CB4:CB795="EXCL")*(COUNTIF(AI110,"*"&amp;CC4:CC795&amp;"*")&gt;0)*1))</f>
        <v>0</v>
      </c>
      <c r="AR110" s="6625" cm="1">
        <f t="array" ref="AR110">IF(W110="",0,SUMPRODUCT((CA4:CA795="Poissons")*(CB4:CB795="ALERTE")*(COUNTIF(AI110,"*"&amp;CC4:CC795&amp;"*")&gt;0)*1))</f>
        <v>0</v>
      </c>
      <c r="AS110" s="6625" cm="1">
        <f t="array" ref="AS110">IF(W110="",0,SUMPRODUCT((CA4:CA795="Arachides")*(CB4:CB795="ALERTE")*(COUNTIF(AI110,"*"&amp;CC4:CC795&amp;"*")&gt;0)*1))</f>
        <v>0</v>
      </c>
      <c r="AT110" s="6625" cm="1">
        <f t="array" ref="AT110">IF(W110="",0,SUMPRODUCT((CA4:CA795="Soja")*(CB4:CB795="INFO")*(COUNTIF(AI110,"*"&amp;CC4:CC795&amp;"*")&gt;0)*1))</f>
        <v>0</v>
      </c>
      <c r="AU110" s="6625" cm="1">
        <f t="array" ref="AU110">IF(W110="",0,SUMPRODUCT((CA4:CA795="Soja")*(CB4:CB795="ALERTE")*(COUNTIF(AI110,"*"&amp;CC4:CC795&amp;"*")&gt;0)*1))</f>
        <v>0</v>
      </c>
      <c r="AV110" s="6625" cm="1">
        <f t="array" ref="AV110">IF(W110="",0,SUMPRODUCT((CA4:CA795="Lait")*(CB4:CB795="INFO")*(COUNTIF(AI110,"*"&amp;CC4:CC795&amp;"*")&gt;0)*1))</f>
        <v>0</v>
      </c>
      <c r="AW110" s="6625" cm="1">
        <f t="array" ref="AW110">IF(W110="",0,SUMPRODUCT((CA4:CA795="Lait")*(CB4:CB795="EXCL")*(COUNTIF(AI110,"*"&amp;CC4:CC795&amp;"*")&gt;0)*1))</f>
        <v>0</v>
      </c>
      <c r="AX110" s="6625" cm="1">
        <f t="array" ref="AX110">IF(W110="",0,SUMPRODUCT((CA4:CA795="Lait")*(CB4:CB795="ALERTE")*(COUNTIF(AI110,"*"&amp;CC4:CC795&amp;"*")&gt;0)*1))</f>
        <v>0</v>
      </c>
      <c r="AY110" s="6625" cm="1">
        <f t="array" ref="AY110">IF(W110="",0,SUMPRODUCT((CA4:CA795="Lait")*(CB4:CB795="SUSP")*(COUNTIF(AI110,"*"&amp;CC4:CC795&amp;"*")&gt;0)*1))</f>
        <v>0</v>
      </c>
      <c r="AZ110" s="6625" cm="1">
        <f t="array" ref="AZ110">IF(W110="",0,SUMPRODUCT((CA4:CA795="Fruits a coque")*(CB4:CB795="EXCL")*(COUNTIF(AI110,"*"&amp;CC4:CC795&amp;"*")&gt;0)*1))</f>
        <v>0</v>
      </c>
      <c r="BA110" s="6625" cm="1">
        <f t="array" ref="BA110">IF(W110="",0,SUMPRODUCT((CA4:CA795="Fruits a coque")*(CB4:CB795="ALERTE")*(COUNTIF(AI110,"*"&amp;CC4:CC795&amp;"*")&gt;0)*1))</f>
        <v>0</v>
      </c>
      <c r="BB110" s="6625" cm="1">
        <f t="array" ref="BB110">IF(W110="",0,SUMPRODUCT((CA4:CA795="Celeri")*(CB4:CB795="ALERTE")*(COUNTIF(AI110,"*"&amp;CC4:CC795&amp;"*")&gt;0)*1))</f>
        <v>0</v>
      </c>
      <c r="BC110" s="6625" cm="1">
        <f t="array" ref="BC110">IF(W110="",0,SUMPRODUCT((CA4:CA795="Moutarde")*(CB4:CB795="ALERTE")*(COUNTIF(AI110,"*"&amp;CC4:CC795&amp;"*")&gt;0)*1))</f>
        <v>0</v>
      </c>
      <c r="BD110" s="6625" cm="1">
        <f t="array" ref="BD110">IF(W110="",0,SUMPRODUCT((CA4:CA795="Sesame")*(CB4:CB795="ALERTE")*(COUNTIF(AI110,"*"&amp;CC4:CC795&amp;"*")&gt;0)*1))</f>
        <v>0</v>
      </c>
      <c r="BE110" s="6625" cm="1">
        <f t="array" ref="BE110">IF(W110="",0,SUMPRODUCT((CA4:CA795="Sulfites")*(CB4:CB795="ALERTE")*(COUNTIF(AI110,"*"&amp;CC4:CC795&amp;"*")&gt;0)*1))</f>
        <v>0</v>
      </c>
      <c r="BF110" s="6625" cm="1">
        <f t="array" ref="BF110">IF(W110="",0,SUMPRODUCT((CA4:CA795="Lupin")*(CB4:CB795="ALERTE")*(COUNTIF(AI110,"*"&amp;CC4:CC795&amp;"*")&gt;0)*1))</f>
        <v>0</v>
      </c>
      <c r="BG110" s="6625" cm="1">
        <f t="array" ref="BG110">IF(W110="",0,SUMPRODUCT((CA4:CA795="Mollusques")*(CB4:CB795="EXCL")*(COUNTIF(AI110,"*"&amp;CC4:CC795&amp;"*")&gt;0)*1))</f>
        <v>0</v>
      </c>
      <c r="BH110" s="6625" cm="1">
        <f t="array" ref="BH110">IF(W110="",0,SUMPRODUCT((CA4:CA795="Mollusques")*(CB4:CB795="ALERTE")*(COUNTIF(AI110,"*"&amp;CC4:CC795&amp;"*")&gt;0)*1))</f>
        <v>0</v>
      </c>
      <c r="BI110" s="6625" t="str">
        <f t="shared" si="68"/>
        <v/>
      </c>
      <c r="BJ110" s="6625" t="str">
        <f t="shared" si="69"/>
        <v/>
      </c>
      <c r="BK110" s="6625" t="str">
        <f t="shared" si="70"/>
        <v/>
      </c>
      <c r="BL110" s="6625" t="str">
        <f t="shared" si="71"/>
        <v/>
      </c>
      <c r="BM110" s="6625" t="str">
        <f t="shared" si="72"/>
        <v/>
      </c>
      <c r="BN110" s="6625" t="str">
        <f t="shared" si="73"/>
        <v/>
      </c>
      <c r="BO110" s="6625" t="str">
        <f t="shared" si="74"/>
        <v/>
      </c>
      <c r="BP110" s="6625" t="str">
        <f t="shared" si="75"/>
        <v/>
      </c>
      <c r="BQ110" s="6625" t="str">
        <f t="shared" si="76"/>
        <v/>
      </c>
      <c r="BR110" s="6625" t="str">
        <f t="shared" si="77"/>
        <v/>
      </c>
      <c r="BS110" s="6625" t="str">
        <f t="shared" si="78"/>
        <v/>
      </c>
      <c r="BT110" s="6625" t="str">
        <f t="shared" si="79"/>
        <v/>
      </c>
      <c r="BU110" s="6625" t="str">
        <f t="shared" si="80"/>
        <v/>
      </c>
      <c r="BV110" s="6625" t="str">
        <f t="shared" si="81"/>
        <v/>
      </c>
      <c r="BW110" s="6625" t="str">
        <f t="shared" si="82"/>
        <v/>
      </c>
      <c r="BX110" s="6625" t="str">
        <f t="shared" si="83"/>
        <v/>
      </c>
      <c r="CA110" s="3170" t="s">
        <v>16501</v>
      </c>
      <c r="CB110" s="7634" t="s">
        <v>16255</v>
      </c>
      <c r="CC110" s="3170" t="s">
        <v>16550</v>
      </c>
      <c r="CD110" s="3170" t="s">
        <v>16551</v>
      </c>
    </row>
    <row r="111" spans="2:82" ht="30" customHeight="1">
      <c r="B111" s="7661" t="str">
        <f t="shared" si="44"/>
        <v/>
      </c>
      <c r="C111" s="7661" t="str">
        <f t="shared" si="45"/>
        <v/>
      </c>
      <c r="D111" s="7661" t="str">
        <f t="shared" si="46"/>
        <v/>
      </c>
      <c r="E111" s="7661">
        <f>IF(H110&lt;&gt;"",E110,IF(E110="","",IFERROR(MATCH(TRUE(),INDEX(INDEX($K:$K,E110+1):$K$203&lt;&gt;"",0),0)+E110,"")))</f>
        <v>286</v>
      </c>
      <c r="F111" s="7661">
        <f t="shared" si="84"/>
        <v>0</v>
      </c>
      <c r="G111" s="7661" t="str">
        <f t="shared" si="47"/>
        <v>0</v>
      </c>
      <c r="H111" s="7672" t="str">
        <f t="shared" si="48"/>
        <v/>
      </c>
      <c r="I111" s="7683" t="str">
        <f t="shared" si="49"/>
        <v/>
      </c>
      <c r="J111" s="7673" t="str">
        <f>IF(K111="","",COUNTIF($K$18:K111,"&lt;&gt;"))</f>
        <v/>
      </c>
      <c r="K111" s="7674"/>
      <c r="L111" s="7673" t="str">
        <f t="shared" si="50"/>
        <v/>
      </c>
      <c r="M111" s="7630">
        <f t="shared" si="51"/>
        <v>1</v>
      </c>
      <c r="N111" s="7675">
        <f t="shared" si="52"/>
        <v>94</v>
      </c>
      <c r="O111" s="7676" t="str">
        <f t="shared" si="53"/>
        <v>0</v>
      </c>
      <c r="P111" s="7675">
        <f t="shared" si="54"/>
        <v>1</v>
      </c>
      <c r="Q111" s="7675">
        <f t="shared" si="55"/>
        <v>1</v>
      </c>
      <c r="S111" s="7679" t="str">
        <f t="shared" si="85"/>
        <v>0</v>
      </c>
      <c r="T111" s="7680" t="str">
        <f t="shared" si="85"/>
        <v/>
      </c>
      <c r="V111" s="7677">
        <f t="shared" si="56"/>
        <v>111</v>
      </c>
      <c r="W111" s="7678" t="str">
        <f t="shared" si="86"/>
        <v>0</v>
      </c>
      <c r="X111" s="7677" t="s">
        <v>2</v>
      </c>
      <c r="Y111" s="7702" t="str">
        <f t="shared" si="57"/>
        <v>0</v>
      </c>
      <c r="Z111" s="7703" t="str">
        <f t="shared" si="58"/>
        <v/>
      </c>
      <c r="AA111" s="7681" t="str">
        <f t="shared" si="59"/>
        <v>0</v>
      </c>
      <c r="AB111" s="7682" t="str">
        <f t="shared" si="60"/>
        <v/>
      </c>
      <c r="AC111" s="7677">
        <f t="shared" si="61"/>
        <v>0</v>
      </c>
      <c r="AD111" s="7677">
        <f t="shared" si="62"/>
        <v>0</v>
      </c>
      <c r="AE111" s="7682" t="str">
        <f t="shared" si="63"/>
        <v>aucun match</v>
      </c>
      <c r="AF111" s="6625" t="str">
        <f t="shared" si="64"/>
        <v>0</v>
      </c>
      <c r="AG111" s="6625" t="str">
        <f t="shared" si="65"/>
        <v>0</v>
      </c>
      <c r="AH111" s="6625" t="str">
        <f t="shared" si="66"/>
        <v>0</v>
      </c>
      <c r="AI111" s="6625" t="str">
        <f t="shared" si="67"/>
        <v xml:space="preserve"> 0 </v>
      </c>
      <c r="AJ111" s="6625" cm="1">
        <f t="array" ref="AJ111">IF(W111="",0,SUMPRODUCT((CA4:CA795="Gluten")*(CB4:CB795="INFO")*(COUNTIF(AI111,"*"&amp;CC4:CC795&amp;"*")&gt;0)*1))</f>
        <v>0</v>
      </c>
      <c r="AK111" s="6625" cm="1">
        <f t="array" ref="AK111">IF(W111="",0,SUMPRODUCT((CA4:CA795="Gluten")*(CB4:CB795="EXCL")*(COUNTIF(AI111,"*"&amp;CC4:CC795&amp;"*")&gt;0)*1))</f>
        <v>0</v>
      </c>
      <c r="AL111" s="6625" cm="1">
        <f t="array" ref="AL111">IF(W111="",0,SUMPRODUCT((CA4:CA795="Gluten")*(CB4:CB795="ALERTE")*(COUNTIF(AI111,"*"&amp;CC4:CC795&amp;"*")&gt;0)*1))</f>
        <v>0</v>
      </c>
      <c r="AM111" s="6625" cm="1">
        <f t="array" ref="AM111">IF(W111="",0,SUMPRODUCT((CA4:CA795="Gluten")*(CB4:CB795="SUSP")*(COUNTIF(AI111,"*"&amp;CC4:CC795&amp;"*")&gt;0)*1))</f>
        <v>0</v>
      </c>
      <c r="AN111" s="6625" cm="1">
        <f t="array" ref="AN111">IF(W111="",0,SUMPRODUCT((CA4:CA795="Crustaces")*(CB4:CB795="ALERTE")*(COUNTIF(AI111,"*"&amp;CC4:CC795&amp;"*")&gt;0)*1))</f>
        <v>0</v>
      </c>
      <c r="AO111" s="6625" cm="1">
        <f t="array" ref="AO111">IF(W111="",0,SUMPRODUCT((CA4:CA795="Oeufs")*(CB4:CB795="ALERTE")*(COUNTIF(AI111,"*"&amp;CC4:CC795&amp;"*")&gt;0)*1))</f>
        <v>0</v>
      </c>
      <c r="AP111" s="6625" cm="1">
        <f t="array" ref="AP111">IF(W111="",0,SUMPRODUCT((CA4:CA795="Poissons")*(CB4:CB795="INFO")*(COUNTIF(AI111,"*"&amp;CC4:CC795&amp;"*")&gt;0)*1))</f>
        <v>0</v>
      </c>
      <c r="AQ111" s="6625" cm="1">
        <f t="array" ref="AQ111">IF(W111="",0,SUMPRODUCT((CA4:CA795="Poissons")*(CB4:CB795="EXCL")*(COUNTIF(AI111,"*"&amp;CC4:CC795&amp;"*")&gt;0)*1))</f>
        <v>0</v>
      </c>
      <c r="AR111" s="6625" cm="1">
        <f t="array" ref="AR111">IF(W111="",0,SUMPRODUCT((CA4:CA795="Poissons")*(CB4:CB795="ALERTE")*(COUNTIF(AI111,"*"&amp;CC4:CC795&amp;"*")&gt;0)*1))</f>
        <v>0</v>
      </c>
      <c r="AS111" s="6625" cm="1">
        <f t="array" ref="AS111">IF(W111="",0,SUMPRODUCT((CA4:CA795="Arachides")*(CB4:CB795="ALERTE")*(COUNTIF(AI111,"*"&amp;CC4:CC795&amp;"*")&gt;0)*1))</f>
        <v>0</v>
      </c>
      <c r="AT111" s="6625" cm="1">
        <f t="array" ref="AT111">IF(W111="",0,SUMPRODUCT((CA4:CA795="Soja")*(CB4:CB795="INFO")*(COUNTIF(AI111,"*"&amp;CC4:CC795&amp;"*")&gt;0)*1))</f>
        <v>0</v>
      </c>
      <c r="AU111" s="6625" cm="1">
        <f t="array" ref="AU111">IF(W111="",0,SUMPRODUCT((CA4:CA795="Soja")*(CB4:CB795="ALERTE")*(COUNTIF(AI111,"*"&amp;CC4:CC795&amp;"*")&gt;0)*1))</f>
        <v>0</v>
      </c>
      <c r="AV111" s="6625" cm="1">
        <f t="array" ref="AV111">IF(W111="",0,SUMPRODUCT((CA4:CA795="Lait")*(CB4:CB795="INFO")*(COUNTIF(AI111,"*"&amp;CC4:CC795&amp;"*")&gt;0)*1))</f>
        <v>0</v>
      </c>
      <c r="AW111" s="6625" cm="1">
        <f t="array" ref="AW111">IF(W111="",0,SUMPRODUCT((CA4:CA795="Lait")*(CB4:CB795="EXCL")*(COUNTIF(AI111,"*"&amp;CC4:CC795&amp;"*")&gt;0)*1))</f>
        <v>0</v>
      </c>
      <c r="AX111" s="6625" cm="1">
        <f t="array" ref="AX111">IF(W111="",0,SUMPRODUCT((CA4:CA795="Lait")*(CB4:CB795="ALERTE")*(COUNTIF(AI111,"*"&amp;CC4:CC795&amp;"*")&gt;0)*1))</f>
        <v>0</v>
      </c>
      <c r="AY111" s="6625" cm="1">
        <f t="array" ref="AY111">IF(W111="",0,SUMPRODUCT((CA4:CA795="Lait")*(CB4:CB795="SUSP")*(COUNTIF(AI111,"*"&amp;CC4:CC795&amp;"*")&gt;0)*1))</f>
        <v>0</v>
      </c>
      <c r="AZ111" s="6625" cm="1">
        <f t="array" ref="AZ111">IF(W111="",0,SUMPRODUCT((CA4:CA795="Fruits a coque")*(CB4:CB795="EXCL")*(COUNTIF(AI111,"*"&amp;CC4:CC795&amp;"*")&gt;0)*1))</f>
        <v>0</v>
      </c>
      <c r="BA111" s="6625" cm="1">
        <f t="array" ref="BA111">IF(W111="",0,SUMPRODUCT((CA4:CA795="Fruits a coque")*(CB4:CB795="ALERTE")*(COUNTIF(AI111,"*"&amp;CC4:CC795&amp;"*")&gt;0)*1))</f>
        <v>0</v>
      </c>
      <c r="BB111" s="6625" cm="1">
        <f t="array" ref="BB111">IF(W111="",0,SUMPRODUCT((CA4:CA795="Celeri")*(CB4:CB795="ALERTE")*(COUNTIF(AI111,"*"&amp;CC4:CC795&amp;"*")&gt;0)*1))</f>
        <v>0</v>
      </c>
      <c r="BC111" s="6625" cm="1">
        <f t="array" ref="BC111">IF(W111="",0,SUMPRODUCT((CA4:CA795="Moutarde")*(CB4:CB795="ALERTE")*(COUNTIF(AI111,"*"&amp;CC4:CC795&amp;"*")&gt;0)*1))</f>
        <v>0</v>
      </c>
      <c r="BD111" s="6625" cm="1">
        <f t="array" ref="BD111">IF(W111="",0,SUMPRODUCT((CA4:CA795="Sesame")*(CB4:CB795="ALERTE")*(COUNTIF(AI111,"*"&amp;CC4:CC795&amp;"*")&gt;0)*1))</f>
        <v>0</v>
      </c>
      <c r="BE111" s="6625" cm="1">
        <f t="array" ref="BE111">IF(W111="",0,SUMPRODUCT((CA4:CA795="Sulfites")*(CB4:CB795="ALERTE")*(COUNTIF(AI111,"*"&amp;CC4:CC795&amp;"*")&gt;0)*1))</f>
        <v>0</v>
      </c>
      <c r="BF111" s="6625" cm="1">
        <f t="array" ref="BF111">IF(W111="",0,SUMPRODUCT((CA4:CA795="Lupin")*(CB4:CB795="ALERTE")*(COUNTIF(AI111,"*"&amp;CC4:CC795&amp;"*")&gt;0)*1))</f>
        <v>0</v>
      </c>
      <c r="BG111" s="6625" cm="1">
        <f t="array" ref="BG111">IF(W111="",0,SUMPRODUCT((CA4:CA795="Mollusques")*(CB4:CB795="EXCL")*(COUNTIF(AI111,"*"&amp;CC4:CC795&amp;"*")&gt;0)*1))</f>
        <v>0</v>
      </c>
      <c r="BH111" s="6625" cm="1">
        <f t="array" ref="BH111">IF(W111="",0,SUMPRODUCT((CA4:CA795="Mollusques")*(CB4:CB795="ALERTE")*(COUNTIF(AI111,"*"&amp;CC4:CC795&amp;"*")&gt;0)*1))</f>
        <v>0</v>
      </c>
      <c r="BI111" s="6625" t="str">
        <f t="shared" si="68"/>
        <v/>
      </c>
      <c r="BJ111" s="6625" t="str">
        <f t="shared" si="69"/>
        <v/>
      </c>
      <c r="BK111" s="6625" t="str">
        <f t="shared" si="70"/>
        <v/>
      </c>
      <c r="BL111" s="6625" t="str">
        <f t="shared" si="71"/>
        <v/>
      </c>
      <c r="BM111" s="6625" t="str">
        <f t="shared" si="72"/>
        <v/>
      </c>
      <c r="BN111" s="6625" t="str">
        <f t="shared" si="73"/>
        <v/>
      </c>
      <c r="BO111" s="6625" t="str">
        <f t="shared" si="74"/>
        <v/>
      </c>
      <c r="BP111" s="6625" t="str">
        <f t="shared" si="75"/>
        <v/>
      </c>
      <c r="BQ111" s="6625" t="str">
        <f t="shared" si="76"/>
        <v/>
      </c>
      <c r="BR111" s="6625" t="str">
        <f t="shared" si="77"/>
        <v/>
      </c>
      <c r="BS111" s="6625" t="str">
        <f t="shared" si="78"/>
        <v/>
      </c>
      <c r="BT111" s="6625" t="str">
        <f t="shared" si="79"/>
        <v/>
      </c>
      <c r="BU111" s="6625" t="str">
        <f t="shared" si="80"/>
        <v/>
      </c>
      <c r="BV111" s="6625" t="str">
        <f t="shared" si="81"/>
        <v/>
      </c>
      <c r="BW111" s="6625" t="str">
        <f t="shared" si="82"/>
        <v/>
      </c>
      <c r="BX111" s="6625" t="str">
        <f t="shared" si="83"/>
        <v/>
      </c>
      <c r="CA111" s="3170" t="s">
        <v>16501</v>
      </c>
      <c r="CB111" s="7634" t="s">
        <v>16255</v>
      </c>
      <c r="CC111" s="3170" t="s">
        <v>16552</v>
      </c>
      <c r="CD111" s="3170" t="s">
        <v>16553</v>
      </c>
    </row>
    <row r="112" spans="2:82" ht="30" customHeight="1">
      <c r="B112" s="7661" t="str">
        <f t="shared" si="44"/>
        <v/>
      </c>
      <c r="C112" s="7661" t="str">
        <f t="shared" si="45"/>
        <v/>
      </c>
      <c r="D112" s="7661" t="str">
        <f t="shared" si="46"/>
        <v/>
      </c>
      <c r="E112" s="7661">
        <f>IF(H111&lt;&gt;"",E111,IF(E111="","",IFERROR(MATCH(TRUE(),INDEX(INDEX($K:$K,E111+1):$K$203&lt;&gt;"",0),0)+E111,"")))</f>
        <v>287</v>
      </c>
      <c r="F112" s="7661">
        <f t="shared" si="84"/>
        <v>0</v>
      </c>
      <c r="G112" s="7661" t="str">
        <f t="shared" si="47"/>
        <v>0</v>
      </c>
      <c r="H112" s="7672" t="str">
        <f t="shared" si="48"/>
        <v/>
      </c>
      <c r="I112" s="7683" t="str">
        <f t="shared" si="49"/>
        <v/>
      </c>
      <c r="J112" s="7673" t="str">
        <f>IF(K112="","",COUNTIF($K$18:K112,"&lt;&gt;"))</f>
        <v/>
      </c>
      <c r="K112" s="7674"/>
      <c r="L112" s="7673" t="str">
        <f t="shared" si="50"/>
        <v/>
      </c>
      <c r="M112" s="7630">
        <f t="shared" si="51"/>
        <v>1</v>
      </c>
      <c r="N112" s="7675">
        <f t="shared" si="52"/>
        <v>95</v>
      </c>
      <c r="O112" s="7676" t="str">
        <f t="shared" si="53"/>
        <v>0</v>
      </c>
      <c r="P112" s="7675">
        <f t="shared" si="54"/>
        <v>1</v>
      </c>
      <c r="Q112" s="7675">
        <f t="shared" si="55"/>
        <v>1</v>
      </c>
      <c r="S112" s="7679" t="str">
        <f t="shared" si="85"/>
        <v>0</v>
      </c>
      <c r="T112" s="7680" t="str">
        <f t="shared" si="85"/>
        <v/>
      </c>
      <c r="V112" s="7677">
        <f t="shared" si="56"/>
        <v>112</v>
      </c>
      <c r="W112" s="7678" t="str">
        <f t="shared" si="86"/>
        <v>0</v>
      </c>
      <c r="X112" s="7677" t="s">
        <v>2</v>
      </c>
      <c r="Y112" s="7702" t="str">
        <f t="shared" si="57"/>
        <v>0</v>
      </c>
      <c r="Z112" s="7703" t="str">
        <f t="shared" si="58"/>
        <v/>
      </c>
      <c r="AA112" s="7681" t="str">
        <f t="shared" si="59"/>
        <v>0</v>
      </c>
      <c r="AB112" s="7682" t="str">
        <f t="shared" si="60"/>
        <v/>
      </c>
      <c r="AC112" s="7677">
        <f t="shared" si="61"/>
        <v>0</v>
      </c>
      <c r="AD112" s="7677">
        <f t="shared" si="62"/>
        <v>0</v>
      </c>
      <c r="AE112" s="7682" t="str">
        <f t="shared" si="63"/>
        <v>aucun match</v>
      </c>
      <c r="AF112" s="6625" t="str">
        <f t="shared" si="64"/>
        <v>0</v>
      </c>
      <c r="AG112" s="6625" t="str">
        <f t="shared" si="65"/>
        <v>0</v>
      </c>
      <c r="AH112" s="6625" t="str">
        <f t="shared" si="66"/>
        <v>0</v>
      </c>
      <c r="AI112" s="6625" t="str">
        <f t="shared" si="67"/>
        <v xml:space="preserve"> 0 </v>
      </c>
      <c r="AJ112" s="6625" cm="1">
        <f t="array" ref="AJ112">IF(W112="",0,SUMPRODUCT((CA4:CA795="Gluten")*(CB4:CB795="INFO")*(COUNTIF(AI112,"*"&amp;CC4:CC795&amp;"*")&gt;0)*1))</f>
        <v>0</v>
      </c>
      <c r="AK112" s="6625" cm="1">
        <f t="array" ref="AK112">IF(W112="",0,SUMPRODUCT((CA4:CA795="Gluten")*(CB4:CB795="EXCL")*(COUNTIF(AI112,"*"&amp;CC4:CC795&amp;"*")&gt;0)*1))</f>
        <v>0</v>
      </c>
      <c r="AL112" s="6625" cm="1">
        <f t="array" ref="AL112">IF(W112="",0,SUMPRODUCT((CA4:CA795="Gluten")*(CB4:CB795="ALERTE")*(COUNTIF(AI112,"*"&amp;CC4:CC795&amp;"*")&gt;0)*1))</f>
        <v>0</v>
      </c>
      <c r="AM112" s="6625" cm="1">
        <f t="array" ref="AM112">IF(W112="",0,SUMPRODUCT((CA4:CA795="Gluten")*(CB4:CB795="SUSP")*(COUNTIF(AI112,"*"&amp;CC4:CC795&amp;"*")&gt;0)*1))</f>
        <v>0</v>
      </c>
      <c r="AN112" s="6625" cm="1">
        <f t="array" ref="AN112">IF(W112="",0,SUMPRODUCT((CA4:CA795="Crustaces")*(CB4:CB795="ALERTE")*(COUNTIF(AI112,"*"&amp;CC4:CC795&amp;"*")&gt;0)*1))</f>
        <v>0</v>
      </c>
      <c r="AO112" s="6625" cm="1">
        <f t="array" ref="AO112">IF(W112="",0,SUMPRODUCT((CA4:CA795="Oeufs")*(CB4:CB795="ALERTE")*(COUNTIF(AI112,"*"&amp;CC4:CC795&amp;"*")&gt;0)*1))</f>
        <v>0</v>
      </c>
      <c r="AP112" s="6625" cm="1">
        <f t="array" ref="AP112">IF(W112="",0,SUMPRODUCT((CA4:CA795="Poissons")*(CB4:CB795="INFO")*(COUNTIF(AI112,"*"&amp;CC4:CC795&amp;"*")&gt;0)*1))</f>
        <v>0</v>
      </c>
      <c r="AQ112" s="6625" cm="1">
        <f t="array" ref="AQ112">IF(W112="",0,SUMPRODUCT((CA4:CA795="Poissons")*(CB4:CB795="EXCL")*(COUNTIF(AI112,"*"&amp;CC4:CC795&amp;"*")&gt;0)*1))</f>
        <v>0</v>
      </c>
      <c r="AR112" s="6625" cm="1">
        <f t="array" ref="AR112">IF(W112="",0,SUMPRODUCT((CA4:CA795="Poissons")*(CB4:CB795="ALERTE")*(COUNTIF(AI112,"*"&amp;CC4:CC795&amp;"*")&gt;0)*1))</f>
        <v>0</v>
      </c>
      <c r="AS112" s="6625" cm="1">
        <f t="array" ref="AS112">IF(W112="",0,SUMPRODUCT((CA4:CA795="Arachides")*(CB4:CB795="ALERTE")*(COUNTIF(AI112,"*"&amp;CC4:CC795&amp;"*")&gt;0)*1))</f>
        <v>0</v>
      </c>
      <c r="AT112" s="6625" cm="1">
        <f t="array" ref="AT112">IF(W112="",0,SUMPRODUCT((CA4:CA795="Soja")*(CB4:CB795="INFO")*(COUNTIF(AI112,"*"&amp;CC4:CC795&amp;"*")&gt;0)*1))</f>
        <v>0</v>
      </c>
      <c r="AU112" s="6625" cm="1">
        <f t="array" ref="AU112">IF(W112="",0,SUMPRODUCT((CA4:CA795="Soja")*(CB4:CB795="ALERTE")*(COUNTIF(AI112,"*"&amp;CC4:CC795&amp;"*")&gt;0)*1))</f>
        <v>0</v>
      </c>
      <c r="AV112" s="6625" cm="1">
        <f t="array" ref="AV112">IF(W112="",0,SUMPRODUCT((CA4:CA795="Lait")*(CB4:CB795="INFO")*(COUNTIF(AI112,"*"&amp;CC4:CC795&amp;"*")&gt;0)*1))</f>
        <v>0</v>
      </c>
      <c r="AW112" s="6625" cm="1">
        <f t="array" ref="AW112">IF(W112="",0,SUMPRODUCT((CA4:CA795="Lait")*(CB4:CB795="EXCL")*(COUNTIF(AI112,"*"&amp;CC4:CC795&amp;"*")&gt;0)*1))</f>
        <v>0</v>
      </c>
      <c r="AX112" s="6625" cm="1">
        <f t="array" ref="AX112">IF(W112="",0,SUMPRODUCT((CA4:CA795="Lait")*(CB4:CB795="ALERTE")*(COUNTIF(AI112,"*"&amp;CC4:CC795&amp;"*")&gt;0)*1))</f>
        <v>0</v>
      </c>
      <c r="AY112" s="6625" cm="1">
        <f t="array" ref="AY112">IF(W112="",0,SUMPRODUCT((CA4:CA795="Lait")*(CB4:CB795="SUSP")*(COUNTIF(AI112,"*"&amp;CC4:CC795&amp;"*")&gt;0)*1))</f>
        <v>0</v>
      </c>
      <c r="AZ112" s="6625" cm="1">
        <f t="array" ref="AZ112">IF(W112="",0,SUMPRODUCT((CA4:CA795="Fruits a coque")*(CB4:CB795="EXCL")*(COUNTIF(AI112,"*"&amp;CC4:CC795&amp;"*")&gt;0)*1))</f>
        <v>0</v>
      </c>
      <c r="BA112" s="6625" cm="1">
        <f t="array" ref="BA112">IF(W112="",0,SUMPRODUCT((CA4:CA795="Fruits a coque")*(CB4:CB795="ALERTE")*(COUNTIF(AI112,"*"&amp;CC4:CC795&amp;"*")&gt;0)*1))</f>
        <v>0</v>
      </c>
      <c r="BB112" s="6625" cm="1">
        <f t="array" ref="BB112">IF(W112="",0,SUMPRODUCT((CA4:CA795="Celeri")*(CB4:CB795="ALERTE")*(COUNTIF(AI112,"*"&amp;CC4:CC795&amp;"*")&gt;0)*1))</f>
        <v>0</v>
      </c>
      <c r="BC112" s="6625" cm="1">
        <f t="array" ref="BC112">IF(W112="",0,SUMPRODUCT((CA4:CA795="Moutarde")*(CB4:CB795="ALERTE")*(COUNTIF(AI112,"*"&amp;CC4:CC795&amp;"*")&gt;0)*1))</f>
        <v>0</v>
      </c>
      <c r="BD112" s="6625" cm="1">
        <f t="array" ref="BD112">IF(W112="",0,SUMPRODUCT((CA4:CA795="Sesame")*(CB4:CB795="ALERTE")*(COUNTIF(AI112,"*"&amp;CC4:CC795&amp;"*")&gt;0)*1))</f>
        <v>0</v>
      </c>
      <c r="BE112" s="6625" cm="1">
        <f t="array" ref="BE112">IF(W112="",0,SUMPRODUCT((CA4:CA795="Sulfites")*(CB4:CB795="ALERTE")*(COUNTIF(AI112,"*"&amp;CC4:CC795&amp;"*")&gt;0)*1))</f>
        <v>0</v>
      </c>
      <c r="BF112" s="6625" cm="1">
        <f t="array" ref="BF112">IF(W112="",0,SUMPRODUCT((CA4:CA795="Lupin")*(CB4:CB795="ALERTE")*(COUNTIF(AI112,"*"&amp;CC4:CC795&amp;"*")&gt;0)*1))</f>
        <v>0</v>
      </c>
      <c r="BG112" s="6625" cm="1">
        <f t="array" ref="BG112">IF(W112="",0,SUMPRODUCT((CA4:CA795="Mollusques")*(CB4:CB795="EXCL")*(COUNTIF(AI112,"*"&amp;CC4:CC795&amp;"*")&gt;0)*1))</f>
        <v>0</v>
      </c>
      <c r="BH112" s="6625" cm="1">
        <f t="array" ref="BH112">IF(W112="",0,SUMPRODUCT((CA4:CA795="Mollusques")*(CB4:CB795="ALERTE")*(COUNTIF(AI112,"*"&amp;CC4:CC795&amp;"*")&gt;0)*1))</f>
        <v>0</v>
      </c>
      <c r="BI112" s="6625" t="str">
        <f t="shared" si="68"/>
        <v/>
      </c>
      <c r="BJ112" s="6625" t="str">
        <f t="shared" si="69"/>
        <v/>
      </c>
      <c r="BK112" s="6625" t="str">
        <f t="shared" si="70"/>
        <v/>
      </c>
      <c r="BL112" s="6625" t="str">
        <f t="shared" si="71"/>
        <v/>
      </c>
      <c r="BM112" s="6625" t="str">
        <f t="shared" si="72"/>
        <v/>
      </c>
      <c r="BN112" s="6625" t="str">
        <f t="shared" si="73"/>
        <v/>
      </c>
      <c r="BO112" s="6625" t="str">
        <f t="shared" si="74"/>
        <v/>
      </c>
      <c r="BP112" s="6625" t="str">
        <f t="shared" si="75"/>
        <v/>
      </c>
      <c r="BQ112" s="6625" t="str">
        <f t="shared" si="76"/>
        <v/>
      </c>
      <c r="BR112" s="6625" t="str">
        <f t="shared" si="77"/>
        <v/>
      </c>
      <c r="BS112" s="6625" t="str">
        <f t="shared" si="78"/>
        <v/>
      </c>
      <c r="BT112" s="6625" t="str">
        <f t="shared" si="79"/>
        <v/>
      </c>
      <c r="BU112" s="6625" t="str">
        <f t="shared" si="80"/>
        <v/>
      </c>
      <c r="BV112" s="6625" t="str">
        <f t="shared" si="81"/>
        <v/>
      </c>
      <c r="BW112" s="6625" t="str">
        <f t="shared" si="82"/>
        <v/>
      </c>
      <c r="BX112" s="6625" t="str">
        <f t="shared" si="83"/>
        <v/>
      </c>
      <c r="CA112" s="3170" t="s">
        <v>16501</v>
      </c>
      <c r="CB112" s="7634" t="s">
        <v>16255</v>
      </c>
      <c r="CC112" s="3170" t="s">
        <v>16554</v>
      </c>
      <c r="CD112" s="3170" t="s">
        <v>16555</v>
      </c>
    </row>
    <row r="113" spans="2:82" ht="30" customHeight="1">
      <c r="B113" s="7661" t="str">
        <f t="shared" si="44"/>
        <v/>
      </c>
      <c r="C113" s="7661" t="str">
        <f t="shared" si="45"/>
        <v/>
      </c>
      <c r="D113" s="7661" t="str">
        <f t="shared" si="46"/>
        <v/>
      </c>
      <c r="E113" s="7661">
        <f>IF(H112&lt;&gt;"",E112,IF(E112="","",IFERROR(MATCH(TRUE(),INDEX(INDEX($K:$K,E112+1):$K$203&lt;&gt;"",0),0)+E112,"")))</f>
        <v>288</v>
      </c>
      <c r="F113" s="7661">
        <f t="shared" si="84"/>
        <v>0</v>
      </c>
      <c r="G113" s="7661" t="str">
        <f t="shared" si="47"/>
        <v>0</v>
      </c>
      <c r="H113" s="7672" t="str">
        <f t="shared" si="48"/>
        <v/>
      </c>
      <c r="I113" s="7683" t="str">
        <f t="shared" si="49"/>
        <v/>
      </c>
      <c r="J113" s="7673" t="str">
        <f>IF(K113="","",COUNTIF($K$18:K113,"&lt;&gt;"))</f>
        <v/>
      </c>
      <c r="K113" s="7674"/>
      <c r="L113" s="7673" t="str">
        <f t="shared" si="50"/>
        <v/>
      </c>
      <c r="M113" s="7630">
        <f t="shared" si="51"/>
        <v>1</v>
      </c>
      <c r="N113" s="7675">
        <f t="shared" si="52"/>
        <v>96</v>
      </c>
      <c r="O113" s="7676" t="str">
        <f t="shared" si="53"/>
        <v>0</v>
      </c>
      <c r="P113" s="7675">
        <f t="shared" si="54"/>
        <v>1</v>
      </c>
      <c r="Q113" s="7675">
        <f t="shared" si="55"/>
        <v>1</v>
      </c>
      <c r="S113" s="7679" t="str">
        <f t="shared" si="85"/>
        <v>0</v>
      </c>
      <c r="T113" s="7680" t="str">
        <f t="shared" si="85"/>
        <v/>
      </c>
      <c r="V113" s="7677">
        <f t="shared" si="56"/>
        <v>113</v>
      </c>
      <c r="W113" s="7678" t="str">
        <f t="shared" si="86"/>
        <v>0</v>
      </c>
      <c r="X113" s="7677" t="s">
        <v>2</v>
      </c>
      <c r="Y113" s="7702" t="str">
        <f t="shared" si="57"/>
        <v>0</v>
      </c>
      <c r="Z113" s="7703" t="str">
        <f t="shared" si="58"/>
        <v/>
      </c>
      <c r="AA113" s="7681" t="str">
        <f t="shared" si="59"/>
        <v>0</v>
      </c>
      <c r="AB113" s="7682" t="str">
        <f t="shared" si="60"/>
        <v/>
      </c>
      <c r="AC113" s="7677">
        <f t="shared" si="61"/>
        <v>0</v>
      </c>
      <c r="AD113" s="7677">
        <f t="shared" si="62"/>
        <v>0</v>
      </c>
      <c r="AE113" s="7682" t="str">
        <f t="shared" si="63"/>
        <v>aucun match</v>
      </c>
      <c r="AF113" s="6625" t="str">
        <f t="shared" si="64"/>
        <v>0</v>
      </c>
      <c r="AG113" s="6625" t="str">
        <f t="shared" si="65"/>
        <v>0</v>
      </c>
      <c r="AH113" s="6625" t="str">
        <f t="shared" si="66"/>
        <v>0</v>
      </c>
      <c r="AI113" s="6625" t="str">
        <f t="shared" si="67"/>
        <v xml:space="preserve"> 0 </v>
      </c>
      <c r="AJ113" s="6625" cm="1">
        <f t="array" ref="AJ113">IF(W113="",0,SUMPRODUCT((CA4:CA795="Gluten")*(CB4:CB795="INFO")*(COUNTIF(AI113,"*"&amp;CC4:CC795&amp;"*")&gt;0)*1))</f>
        <v>0</v>
      </c>
      <c r="AK113" s="6625" cm="1">
        <f t="array" ref="AK113">IF(W113="",0,SUMPRODUCT((CA4:CA795="Gluten")*(CB4:CB795="EXCL")*(COUNTIF(AI113,"*"&amp;CC4:CC795&amp;"*")&gt;0)*1))</f>
        <v>0</v>
      </c>
      <c r="AL113" s="6625" cm="1">
        <f t="array" ref="AL113">IF(W113="",0,SUMPRODUCT((CA4:CA795="Gluten")*(CB4:CB795="ALERTE")*(COUNTIF(AI113,"*"&amp;CC4:CC795&amp;"*")&gt;0)*1))</f>
        <v>0</v>
      </c>
      <c r="AM113" s="6625" cm="1">
        <f t="array" ref="AM113">IF(W113="",0,SUMPRODUCT((CA4:CA795="Gluten")*(CB4:CB795="SUSP")*(COUNTIF(AI113,"*"&amp;CC4:CC795&amp;"*")&gt;0)*1))</f>
        <v>0</v>
      </c>
      <c r="AN113" s="6625" cm="1">
        <f t="array" ref="AN113">IF(W113="",0,SUMPRODUCT((CA4:CA795="Crustaces")*(CB4:CB795="ALERTE")*(COUNTIF(AI113,"*"&amp;CC4:CC795&amp;"*")&gt;0)*1))</f>
        <v>0</v>
      </c>
      <c r="AO113" s="6625" cm="1">
        <f t="array" ref="AO113">IF(W113="",0,SUMPRODUCT((CA4:CA795="Oeufs")*(CB4:CB795="ALERTE")*(COUNTIF(AI113,"*"&amp;CC4:CC795&amp;"*")&gt;0)*1))</f>
        <v>0</v>
      </c>
      <c r="AP113" s="6625" cm="1">
        <f t="array" ref="AP113">IF(W113="",0,SUMPRODUCT((CA4:CA795="Poissons")*(CB4:CB795="INFO")*(COUNTIF(AI113,"*"&amp;CC4:CC795&amp;"*")&gt;0)*1))</f>
        <v>0</v>
      </c>
      <c r="AQ113" s="6625" cm="1">
        <f t="array" ref="AQ113">IF(W113="",0,SUMPRODUCT((CA4:CA795="Poissons")*(CB4:CB795="EXCL")*(COUNTIF(AI113,"*"&amp;CC4:CC795&amp;"*")&gt;0)*1))</f>
        <v>0</v>
      </c>
      <c r="AR113" s="6625" cm="1">
        <f t="array" ref="AR113">IF(W113="",0,SUMPRODUCT((CA4:CA795="Poissons")*(CB4:CB795="ALERTE")*(COUNTIF(AI113,"*"&amp;CC4:CC795&amp;"*")&gt;0)*1))</f>
        <v>0</v>
      </c>
      <c r="AS113" s="6625" cm="1">
        <f t="array" ref="AS113">IF(W113="",0,SUMPRODUCT((CA4:CA795="Arachides")*(CB4:CB795="ALERTE")*(COUNTIF(AI113,"*"&amp;CC4:CC795&amp;"*")&gt;0)*1))</f>
        <v>0</v>
      </c>
      <c r="AT113" s="6625" cm="1">
        <f t="array" ref="AT113">IF(W113="",0,SUMPRODUCT((CA4:CA795="Soja")*(CB4:CB795="INFO")*(COUNTIF(AI113,"*"&amp;CC4:CC795&amp;"*")&gt;0)*1))</f>
        <v>0</v>
      </c>
      <c r="AU113" s="6625" cm="1">
        <f t="array" ref="AU113">IF(W113="",0,SUMPRODUCT((CA4:CA795="Soja")*(CB4:CB795="ALERTE")*(COUNTIF(AI113,"*"&amp;CC4:CC795&amp;"*")&gt;0)*1))</f>
        <v>0</v>
      </c>
      <c r="AV113" s="6625" cm="1">
        <f t="array" ref="AV113">IF(W113="",0,SUMPRODUCT((CA4:CA795="Lait")*(CB4:CB795="INFO")*(COUNTIF(AI113,"*"&amp;CC4:CC795&amp;"*")&gt;0)*1))</f>
        <v>0</v>
      </c>
      <c r="AW113" s="6625" cm="1">
        <f t="array" ref="AW113">IF(W113="",0,SUMPRODUCT((CA4:CA795="Lait")*(CB4:CB795="EXCL")*(COUNTIF(AI113,"*"&amp;CC4:CC795&amp;"*")&gt;0)*1))</f>
        <v>0</v>
      </c>
      <c r="AX113" s="6625" cm="1">
        <f t="array" ref="AX113">IF(W113="",0,SUMPRODUCT((CA4:CA795="Lait")*(CB4:CB795="ALERTE")*(COUNTIF(AI113,"*"&amp;CC4:CC795&amp;"*")&gt;0)*1))</f>
        <v>0</v>
      </c>
      <c r="AY113" s="6625" cm="1">
        <f t="array" ref="AY113">IF(W113="",0,SUMPRODUCT((CA4:CA795="Lait")*(CB4:CB795="SUSP")*(COUNTIF(AI113,"*"&amp;CC4:CC795&amp;"*")&gt;0)*1))</f>
        <v>0</v>
      </c>
      <c r="AZ113" s="6625" cm="1">
        <f t="array" ref="AZ113">IF(W113="",0,SUMPRODUCT((CA4:CA795="Fruits a coque")*(CB4:CB795="EXCL")*(COUNTIF(AI113,"*"&amp;CC4:CC795&amp;"*")&gt;0)*1))</f>
        <v>0</v>
      </c>
      <c r="BA113" s="6625" cm="1">
        <f t="array" ref="BA113">IF(W113="",0,SUMPRODUCT((CA4:CA795="Fruits a coque")*(CB4:CB795="ALERTE")*(COUNTIF(AI113,"*"&amp;CC4:CC795&amp;"*")&gt;0)*1))</f>
        <v>0</v>
      </c>
      <c r="BB113" s="6625" cm="1">
        <f t="array" ref="BB113">IF(W113="",0,SUMPRODUCT((CA4:CA795="Celeri")*(CB4:CB795="ALERTE")*(COUNTIF(AI113,"*"&amp;CC4:CC795&amp;"*")&gt;0)*1))</f>
        <v>0</v>
      </c>
      <c r="BC113" s="6625" cm="1">
        <f t="array" ref="BC113">IF(W113="",0,SUMPRODUCT((CA4:CA795="Moutarde")*(CB4:CB795="ALERTE")*(COUNTIF(AI113,"*"&amp;CC4:CC795&amp;"*")&gt;0)*1))</f>
        <v>0</v>
      </c>
      <c r="BD113" s="6625" cm="1">
        <f t="array" ref="BD113">IF(W113="",0,SUMPRODUCT((CA4:CA795="Sesame")*(CB4:CB795="ALERTE")*(COUNTIF(AI113,"*"&amp;CC4:CC795&amp;"*")&gt;0)*1))</f>
        <v>0</v>
      </c>
      <c r="BE113" s="6625" cm="1">
        <f t="array" ref="BE113">IF(W113="",0,SUMPRODUCT((CA4:CA795="Sulfites")*(CB4:CB795="ALERTE")*(COUNTIF(AI113,"*"&amp;CC4:CC795&amp;"*")&gt;0)*1))</f>
        <v>0</v>
      </c>
      <c r="BF113" s="6625" cm="1">
        <f t="array" ref="BF113">IF(W113="",0,SUMPRODUCT((CA4:CA795="Lupin")*(CB4:CB795="ALERTE")*(COUNTIF(AI113,"*"&amp;CC4:CC795&amp;"*")&gt;0)*1))</f>
        <v>0</v>
      </c>
      <c r="BG113" s="6625" cm="1">
        <f t="array" ref="BG113">IF(W113="",0,SUMPRODUCT((CA4:CA795="Mollusques")*(CB4:CB795="EXCL")*(COUNTIF(AI113,"*"&amp;CC4:CC795&amp;"*")&gt;0)*1))</f>
        <v>0</v>
      </c>
      <c r="BH113" s="6625" cm="1">
        <f t="array" ref="BH113">IF(W113="",0,SUMPRODUCT((CA4:CA795="Mollusques")*(CB4:CB795="ALERTE")*(COUNTIF(AI113,"*"&amp;CC4:CC795&amp;"*")&gt;0)*1))</f>
        <v>0</v>
      </c>
      <c r="BI113" s="6625" t="str">
        <f t="shared" si="68"/>
        <v/>
      </c>
      <c r="BJ113" s="6625" t="str">
        <f t="shared" si="69"/>
        <v/>
      </c>
      <c r="BK113" s="6625" t="str">
        <f t="shared" si="70"/>
        <v/>
      </c>
      <c r="BL113" s="6625" t="str">
        <f t="shared" si="71"/>
        <v/>
      </c>
      <c r="BM113" s="6625" t="str">
        <f t="shared" si="72"/>
        <v/>
      </c>
      <c r="BN113" s="6625" t="str">
        <f t="shared" si="73"/>
        <v/>
      </c>
      <c r="BO113" s="6625" t="str">
        <f t="shared" si="74"/>
        <v/>
      </c>
      <c r="BP113" s="6625" t="str">
        <f t="shared" si="75"/>
        <v/>
      </c>
      <c r="BQ113" s="6625" t="str">
        <f t="shared" si="76"/>
        <v/>
      </c>
      <c r="BR113" s="6625" t="str">
        <f t="shared" si="77"/>
        <v/>
      </c>
      <c r="BS113" s="6625" t="str">
        <f t="shared" si="78"/>
        <v/>
      </c>
      <c r="BT113" s="6625" t="str">
        <f t="shared" si="79"/>
        <v/>
      </c>
      <c r="BU113" s="6625" t="str">
        <f t="shared" si="80"/>
        <v/>
      </c>
      <c r="BV113" s="6625" t="str">
        <f t="shared" si="81"/>
        <v/>
      </c>
      <c r="BW113" s="6625" t="str">
        <f t="shared" si="82"/>
        <v/>
      </c>
      <c r="BX113" s="6625" t="str">
        <f t="shared" si="83"/>
        <v/>
      </c>
      <c r="CA113" s="3170" t="s">
        <v>16501</v>
      </c>
      <c r="CB113" s="7634" t="s">
        <v>16255</v>
      </c>
      <c r="CC113" s="3170" t="s">
        <v>16556</v>
      </c>
      <c r="CD113" s="3170" t="s">
        <v>16557</v>
      </c>
    </row>
    <row r="114" spans="2:82" ht="30" customHeight="1">
      <c r="B114" s="7661" t="str">
        <f t="shared" si="44"/>
        <v/>
      </c>
      <c r="C114" s="7661" t="str">
        <f t="shared" si="45"/>
        <v/>
      </c>
      <c r="D114" s="7661" t="str">
        <f t="shared" si="46"/>
        <v/>
      </c>
      <c r="E114" s="7661">
        <f>IF(H113&lt;&gt;"",E113,IF(E113="","",IFERROR(MATCH(TRUE(),INDEX(INDEX($K:$K,E113+1):$K$203&lt;&gt;"",0),0)+E113,"")))</f>
        <v>289</v>
      </c>
      <c r="F114" s="7661">
        <f t="shared" si="84"/>
        <v>0</v>
      </c>
      <c r="G114" s="7661" t="str">
        <f t="shared" si="47"/>
        <v>0</v>
      </c>
      <c r="H114" s="7672" t="str">
        <f t="shared" si="48"/>
        <v/>
      </c>
      <c r="I114" s="7683" t="str">
        <f t="shared" si="49"/>
        <v/>
      </c>
      <c r="J114" s="7673" t="str">
        <f>IF(K114="","",COUNTIF($K$18:K114,"&lt;&gt;"))</f>
        <v/>
      </c>
      <c r="K114" s="7674"/>
      <c r="L114" s="7673" t="str">
        <f t="shared" si="50"/>
        <v/>
      </c>
      <c r="M114" s="7630">
        <f t="shared" si="51"/>
        <v>1</v>
      </c>
      <c r="N114" s="7675">
        <f t="shared" si="52"/>
        <v>97</v>
      </c>
      <c r="O114" s="7676" t="str">
        <f t="shared" si="53"/>
        <v>0</v>
      </c>
      <c r="P114" s="7675">
        <f t="shared" si="54"/>
        <v>1</v>
      </c>
      <c r="Q114" s="7675">
        <f t="shared" si="55"/>
        <v>1</v>
      </c>
      <c r="S114" s="7679" t="str">
        <f t="shared" si="85"/>
        <v>0</v>
      </c>
      <c r="T114" s="7680" t="str">
        <f t="shared" si="85"/>
        <v/>
      </c>
      <c r="V114" s="7677">
        <f t="shared" si="56"/>
        <v>114</v>
      </c>
      <c r="W114" s="7678" t="str">
        <f t="shared" si="86"/>
        <v>0</v>
      </c>
      <c r="X114" s="7677" t="s">
        <v>2</v>
      </c>
      <c r="Y114" s="7702" t="str">
        <f t="shared" si="57"/>
        <v>0</v>
      </c>
      <c r="Z114" s="7703" t="str">
        <f t="shared" si="58"/>
        <v/>
      </c>
      <c r="AA114" s="7681" t="str">
        <f t="shared" si="59"/>
        <v>0</v>
      </c>
      <c r="AB114" s="7682" t="str">
        <f t="shared" si="60"/>
        <v/>
      </c>
      <c r="AC114" s="7677">
        <f t="shared" si="61"/>
        <v>0</v>
      </c>
      <c r="AD114" s="7677">
        <f t="shared" si="62"/>
        <v>0</v>
      </c>
      <c r="AE114" s="7682" t="str">
        <f t="shared" si="63"/>
        <v>aucun match</v>
      </c>
      <c r="AF114" s="6625" t="str">
        <f t="shared" si="64"/>
        <v>0</v>
      </c>
      <c r="AG114" s="6625" t="str">
        <f t="shared" si="65"/>
        <v>0</v>
      </c>
      <c r="AH114" s="6625" t="str">
        <f t="shared" si="66"/>
        <v>0</v>
      </c>
      <c r="AI114" s="6625" t="str">
        <f t="shared" si="67"/>
        <v xml:space="preserve"> 0 </v>
      </c>
      <c r="AJ114" s="6625" cm="1">
        <f t="array" ref="AJ114">IF(W114="",0,SUMPRODUCT((CA4:CA795="Gluten")*(CB4:CB795="INFO")*(COUNTIF(AI114,"*"&amp;CC4:CC795&amp;"*")&gt;0)*1))</f>
        <v>0</v>
      </c>
      <c r="AK114" s="6625" cm="1">
        <f t="array" ref="AK114">IF(W114="",0,SUMPRODUCT((CA4:CA795="Gluten")*(CB4:CB795="EXCL")*(COUNTIF(AI114,"*"&amp;CC4:CC795&amp;"*")&gt;0)*1))</f>
        <v>0</v>
      </c>
      <c r="AL114" s="6625" cm="1">
        <f t="array" ref="AL114">IF(W114="",0,SUMPRODUCT((CA4:CA795="Gluten")*(CB4:CB795="ALERTE")*(COUNTIF(AI114,"*"&amp;CC4:CC795&amp;"*")&gt;0)*1))</f>
        <v>0</v>
      </c>
      <c r="AM114" s="6625" cm="1">
        <f t="array" ref="AM114">IF(W114="",0,SUMPRODUCT((CA4:CA795="Gluten")*(CB4:CB795="SUSP")*(COUNTIF(AI114,"*"&amp;CC4:CC795&amp;"*")&gt;0)*1))</f>
        <v>0</v>
      </c>
      <c r="AN114" s="6625" cm="1">
        <f t="array" ref="AN114">IF(W114="",0,SUMPRODUCT((CA4:CA795="Crustaces")*(CB4:CB795="ALERTE")*(COUNTIF(AI114,"*"&amp;CC4:CC795&amp;"*")&gt;0)*1))</f>
        <v>0</v>
      </c>
      <c r="AO114" s="6625" cm="1">
        <f t="array" ref="AO114">IF(W114="",0,SUMPRODUCT((CA4:CA795="Oeufs")*(CB4:CB795="ALERTE")*(COUNTIF(AI114,"*"&amp;CC4:CC795&amp;"*")&gt;0)*1))</f>
        <v>0</v>
      </c>
      <c r="AP114" s="6625" cm="1">
        <f t="array" ref="AP114">IF(W114="",0,SUMPRODUCT((CA4:CA795="Poissons")*(CB4:CB795="INFO")*(COUNTIF(AI114,"*"&amp;CC4:CC795&amp;"*")&gt;0)*1))</f>
        <v>0</v>
      </c>
      <c r="AQ114" s="6625" cm="1">
        <f t="array" ref="AQ114">IF(W114="",0,SUMPRODUCT((CA4:CA795="Poissons")*(CB4:CB795="EXCL")*(COUNTIF(AI114,"*"&amp;CC4:CC795&amp;"*")&gt;0)*1))</f>
        <v>0</v>
      </c>
      <c r="AR114" s="6625" cm="1">
        <f t="array" ref="AR114">IF(W114="",0,SUMPRODUCT((CA4:CA795="Poissons")*(CB4:CB795="ALERTE")*(COUNTIF(AI114,"*"&amp;CC4:CC795&amp;"*")&gt;0)*1))</f>
        <v>0</v>
      </c>
      <c r="AS114" s="6625" cm="1">
        <f t="array" ref="AS114">IF(W114="",0,SUMPRODUCT((CA4:CA795="Arachides")*(CB4:CB795="ALERTE")*(COUNTIF(AI114,"*"&amp;CC4:CC795&amp;"*")&gt;0)*1))</f>
        <v>0</v>
      </c>
      <c r="AT114" s="6625" cm="1">
        <f t="array" ref="AT114">IF(W114="",0,SUMPRODUCT((CA4:CA795="Soja")*(CB4:CB795="INFO")*(COUNTIF(AI114,"*"&amp;CC4:CC795&amp;"*")&gt;0)*1))</f>
        <v>0</v>
      </c>
      <c r="AU114" s="6625" cm="1">
        <f t="array" ref="AU114">IF(W114="",0,SUMPRODUCT((CA4:CA795="Soja")*(CB4:CB795="ALERTE")*(COUNTIF(AI114,"*"&amp;CC4:CC795&amp;"*")&gt;0)*1))</f>
        <v>0</v>
      </c>
      <c r="AV114" s="6625" cm="1">
        <f t="array" ref="AV114">IF(W114="",0,SUMPRODUCT((CA4:CA795="Lait")*(CB4:CB795="INFO")*(COUNTIF(AI114,"*"&amp;CC4:CC795&amp;"*")&gt;0)*1))</f>
        <v>0</v>
      </c>
      <c r="AW114" s="6625" cm="1">
        <f t="array" ref="AW114">IF(W114="",0,SUMPRODUCT((CA4:CA795="Lait")*(CB4:CB795="EXCL")*(COUNTIF(AI114,"*"&amp;CC4:CC795&amp;"*")&gt;0)*1))</f>
        <v>0</v>
      </c>
      <c r="AX114" s="6625" cm="1">
        <f t="array" ref="AX114">IF(W114="",0,SUMPRODUCT((CA4:CA795="Lait")*(CB4:CB795="ALERTE")*(COUNTIF(AI114,"*"&amp;CC4:CC795&amp;"*")&gt;0)*1))</f>
        <v>0</v>
      </c>
      <c r="AY114" s="6625" cm="1">
        <f t="array" ref="AY114">IF(W114="",0,SUMPRODUCT((CA4:CA795="Lait")*(CB4:CB795="SUSP")*(COUNTIF(AI114,"*"&amp;CC4:CC795&amp;"*")&gt;0)*1))</f>
        <v>0</v>
      </c>
      <c r="AZ114" s="6625" cm="1">
        <f t="array" ref="AZ114">IF(W114="",0,SUMPRODUCT((CA4:CA795="Fruits a coque")*(CB4:CB795="EXCL")*(COUNTIF(AI114,"*"&amp;CC4:CC795&amp;"*")&gt;0)*1))</f>
        <v>0</v>
      </c>
      <c r="BA114" s="6625" cm="1">
        <f t="array" ref="BA114">IF(W114="",0,SUMPRODUCT((CA4:CA795="Fruits a coque")*(CB4:CB795="ALERTE")*(COUNTIF(AI114,"*"&amp;CC4:CC795&amp;"*")&gt;0)*1))</f>
        <v>0</v>
      </c>
      <c r="BB114" s="6625" cm="1">
        <f t="array" ref="BB114">IF(W114="",0,SUMPRODUCT((CA4:CA795="Celeri")*(CB4:CB795="ALERTE")*(COUNTIF(AI114,"*"&amp;CC4:CC795&amp;"*")&gt;0)*1))</f>
        <v>0</v>
      </c>
      <c r="BC114" s="6625" cm="1">
        <f t="array" ref="BC114">IF(W114="",0,SUMPRODUCT((CA4:CA795="Moutarde")*(CB4:CB795="ALERTE")*(COUNTIF(AI114,"*"&amp;CC4:CC795&amp;"*")&gt;0)*1))</f>
        <v>0</v>
      </c>
      <c r="BD114" s="6625" cm="1">
        <f t="array" ref="BD114">IF(W114="",0,SUMPRODUCT((CA4:CA795="Sesame")*(CB4:CB795="ALERTE")*(COUNTIF(AI114,"*"&amp;CC4:CC795&amp;"*")&gt;0)*1))</f>
        <v>0</v>
      </c>
      <c r="BE114" s="6625" cm="1">
        <f t="array" ref="BE114">IF(W114="",0,SUMPRODUCT((CA4:CA795="Sulfites")*(CB4:CB795="ALERTE")*(COUNTIF(AI114,"*"&amp;CC4:CC795&amp;"*")&gt;0)*1))</f>
        <v>0</v>
      </c>
      <c r="BF114" s="6625" cm="1">
        <f t="array" ref="BF114">IF(W114="",0,SUMPRODUCT((CA4:CA795="Lupin")*(CB4:CB795="ALERTE")*(COUNTIF(AI114,"*"&amp;CC4:CC795&amp;"*")&gt;0)*1))</f>
        <v>0</v>
      </c>
      <c r="BG114" s="6625" cm="1">
        <f t="array" ref="BG114">IF(W114="",0,SUMPRODUCT((CA4:CA795="Mollusques")*(CB4:CB795="EXCL")*(COUNTIF(AI114,"*"&amp;CC4:CC795&amp;"*")&gt;0)*1))</f>
        <v>0</v>
      </c>
      <c r="BH114" s="6625" cm="1">
        <f t="array" ref="BH114">IF(W114="",0,SUMPRODUCT((CA4:CA795="Mollusques")*(CB4:CB795="ALERTE")*(COUNTIF(AI114,"*"&amp;CC4:CC795&amp;"*")&gt;0)*1))</f>
        <v>0</v>
      </c>
      <c r="BI114" s="6625" t="str">
        <f t="shared" si="68"/>
        <v/>
      </c>
      <c r="BJ114" s="6625" t="str">
        <f t="shared" si="69"/>
        <v/>
      </c>
      <c r="BK114" s="6625" t="str">
        <f t="shared" si="70"/>
        <v/>
      </c>
      <c r="BL114" s="6625" t="str">
        <f t="shared" si="71"/>
        <v/>
      </c>
      <c r="BM114" s="6625" t="str">
        <f t="shared" si="72"/>
        <v/>
      </c>
      <c r="BN114" s="6625" t="str">
        <f t="shared" si="73"/>
        <v/>
      </c>
      <c r="BO114" s="6625" t="str">
        <f t="shared" si="74"/>
        <v/>
      </c>
      <c r="BP114" s="6625" t="str">
        <f t="shared" si="75"/>
        <v/>
      </c>
      <c r="BQ114" s="6625" t="str">
        <f t="shared" si="76"/>
        <v/>
      </c>
      <c r="BR114" s="6625" t="str">
        <f t="shared" si="77"/>
        <v/>
      </c>
      <c r="BS114" s="6625" t="str">
        <f t="shared" si="78"/>
        <v/>
      </c>
      <c r="BT114" s="6625" t="str">
        <f t="shared" si="79"/>
        <v/>
      </c>
      <c r="BU114" s="6625" t="str">
        <f t="shared" si="80"/>
        <v/>
      </c>
      <c r="BV114" s="6625" t="str">
        <f t="shared" si="81"/>
        <v/>
      </c>
      <c r="BW114" s="6625" t="str">
        <f t="shared" si="82"/>
        <v/>
      </c>
      <c r="BX114" s="6625" t="str">
        <f t="shared" si="83"/>
        <v/>
      </c>
      <c r="CA114" s="3170" t="s">
        <v>16501</v>
      </c>
      <c r="CB114" s="7634" t="s">
        <v>16255</v>
      </c>
      <c r="CC114" s="3170" t="s">
        <v>16558</v>
      </c>
      <c r="CD114" s="3170" t="s">
        <v>16559</v>
      </c>
    </row>
    <row r="115" spans="2:82" ht="30" customHeight="1">
      <c r="B115" s="7661" t="str">
        <f t="shared" si="44"/>
        <v/>
      </c>
      <c r="C115" s="7661" t="str">
        <f t="shared" si="45"/>
        <v/>
      </c>
      <c r="D115" s="7661" t="str">
        <f t="shared" si="46"/>
        <v/>
      </c>
      <c r="E115" s="7661">
        <f>IF(H114&lt;&gt;"",E114,IF(E114="","",IFERROR(MATCH(TRUE(),INDEX(INDEX($K:$K,E114+1):$K$203&lt;&gt;"",0),0)+E114,"")))</f>
        <v>290</v>
      </c>
      <c r="F115" s="7661">
        <f t="shared" si="84"/>
        <v>0</v>
      </c>
      <c r="G115" s="7661" t="str">
        <f t="shared" si="47"/>
        <v>0</v>
      </c>
      <c r="H115" s="7672" t="str">
        <f t="shared" si="48"/>
        <v/>
      </c>
      <c r="I115" s="7683" t="str">
        <f t="shared" si="49"/>
        <v/>
      </c>
      <c r="J115" s="7673" t="str">
        <f>IF(K115="","",COUNTIF($K$18:K115,"&lt;&gt;"))</f>
        <v/>
      </c>
      <c r="K115" s="7674"/>
      <c r="L115" s="7673" t="str">
        <f t="shared" si="50"/>
        <v/>
      </c>
      <c r="M115" s="7630">
        <f t="shared" si="51"/>
        <v>1</v>
      </c>
      <c r="N115" s="7675">
        <f t="shared" si="52"/>
        <v>98</v>
      </c>
      <c r="O115" s="7676" t="str">
        <f t="shared" si="53"/>
        <v>0</v>
      </c>
      <c r="P115" s="7675">
        <f t="shared" si="54"/>
        <v>1</v>
      </c>
      <c r="Q115" s="7675">
        <f t="shared" si="55"/>
        <v>1</v>
      </c>
      <c r="S115" s="7679" t="str">
        <f t="shared" ref="S115:T146" si="87">Y115</f>
        <v>0</v>
      </c>
      <c r="T115" s="7680" t="str">
        <f t="shared" si="87"/>
        <v/>
      </c>
      <c r="V115" s="7677">
        <f t="shared" si="56"/>
        <v>115</v>
      </c>
      <c r="W115" s="7678" t="str">
        <f t="shared" si="86"/>
        <v>0</v>
      </c>
      <c r="X115" s="7677" t="s">
        <v>2</v>
      </c>
      <c r="Y115" s="7702" t="str">
        <f t="shared" si="57"/>
        <v>0</v>
      </c>
      <c r="Z115" s="7703" t="str">
        <f t="shared" si="58"/>
        <v/>
      </c>
      <c r="AA115" s="7681" t="str">
        <f t="shared" si="59"/>
        <v>0</v>
      </c>
      <c r="AB115" s="7682" t="str">
        <f t="shared" si="60"/>
        <v/>
      </c>
      <c r="AC115" s="7677">
        <f t="shared" si="61"/>
        <v>0</v>
      </c>
      <c r="AD115" s="7677">
        <f t="shared" si="62"/>
        <v>0</v>
      </c>
      <c r="AE115" s="7682" t="str">
        <f t="shared" si="63"/>
        <v>aucun match</v>
      </c>
      <c r="AF115" s="6625" t="str">
        <f t="shared" si="64"/>
        <v>0</v>
      </c>
      <c r="AG115" s="6625" t="str">
        <f t="shared" si="65"/>
        <v>0</v>
      </c>
      <c r="AH115" s="6625" t="str">
        <f t="shared" si="66"/>
        <v>0</v>
      </c>
      <c r="AI115" s="6625" t="str">
        <f t="shared" si="67"/>
        <v xml:space="preserve"> 0 </v>
      </c>
      <c r="AJ115" s="6625" cm="1">
        <f t="array" ref="AJ115">IF(W115="",0,SUMPRODUCT((CA4:CA795="Gluten")*(CB4:CB795="INFO")*(COUNTIF(AI115,"*"&amp;CC4:CC795&amp;"*")&gt;0)*1))</f>
        <v>0</v>
      </c>
      <c r="AK115" s="6625" cm="1">
        <f t="array" ref="AK115">IF(W115="",0,SUMPRODUCT((CA4:CA795="Gluten")*(CB4:CB795="EXCL")*(COUNTIF(AI115,"*"&amp;CC4:CC795&amp;"*")&gt;0)*1))</f>
        <v>0</v>
      </c>
      <c r="AL115" s="6625" cm="1">
        <f t="array" ref="AL115">IF(W115="",0,SUMPRODUCT((CA4:CA795="Gluten")*(CB4:CB795="ALERTE")*(COUNTIF(AI115,"*"&amp;CC4:CC795&amp;"*")&gt;0)*1))</f>
        <v>0</v>
      </c>
      <c r="AM115" s="6625" cm="1">
        <f t="array" ref="AM115">IF(W115="",0,SUMPRODUCT((CA4:CA795="Gluten")*(CB4:CB795="SUSP")*(COUNTIF(AI115,"*"&amp;CC4:CC795&amp;"*")&gt;0)*1))</f>
        <v>0</v>
      </c>
      <c r="AN115" s="6625" cm="1">
        <f t="array" ref="AN115">IF(W115="",0,SUMPRODUCT((CA4:CA795="Crustaces")*(CB4:CB795="ALERTE")*(COUNTIF(AI115,"*"&amp;CC4:CC795&amp;"*")&gt;0)*1))</f>
        <v>0</v>
      </c>
      <c r="AO115" s="6625" cm="1">
        <f t="array" ref="AO115">IF(W115="",0,SUMPRODUCT((CA4:CA795="Oeufs")*(CB4:CB795="ALERTE")*(COUNTIF(AI115,"*"&amp;CC4:CC795&amp;"*")&gt;0)*1))</f>
        <v>0</v>
      </c>
      <c r="AP115" s="6625" cm="1">
        <f t="array" ref="AP115">IF(W115="",0,SUMPRODUCT((CA4:CA795="Poissons")*(CB4:CB795="INFO")*(COUNTIF(AI115,"*"&amp;CC4:CC795&amp;"*")&gt;0)*1))</f>
        <v>0</v>
      </c>
      <c r="AQ115" s="6625" cm="1">
        <f t="array" ref="AQ115">IF(W115="",0,SUMPRODUCT((CA4:CA795="Poissons")*(CB4:CB795="EXCL")*(COUNTIF(AI115,"*"&amp;CC4:CC795&amp;"*")&gt;0)*1))</f>
        <v>0</v>
      </c>
      <c r="AR115" s="6625" cm="1">
        <f t="array" ref="AR115">IF(W115="",0,SUMPRODUCT((CA4:CA795="Poissons")*(CB4:CB795="ALERTE")*(COUNTIF(AI115,"*"&amp;CC4:CC795&amp;"*")&gt;0)*1))</f>
        <v>0</v>
      </c>
      <c r="AS115" s="6625" cm="1">
        <f t="array" ref="AS115">IF(W115="",0,SUMPRODUCT((CA4:CA795="Arachides")*(CB4:CB795="ALERTE")*(COUNTIF(AI115,"*"&amp;CC4:CC795&amp;"*")&gt;0)*1))</f>
        <v>0</v>
      </c>
      <c r="AT115" s="6625" cm="1">
        <f t="array" ref="AT115">IF(W115="",0,SUMPRODUCT((CA4:CA795="Soja")*(CB4:CB795="INFO")*(COUNTIF(AI115,"*"&amp;CC4:CC795&amp;"*")&gt;0)*1))</f>
        <v>0</v>
      </c>
      <c r="AU115" s="6625" cm="1">
        <f t="array" ref="AU115">IF(W115="",0,SUMPRODUCT((CA4:CA795="Soja")*(CB4:CB795="ALERTE")*(COUNTIF(AI115,"*"&amp;CC4:CC795&amp;"*")&gt;0)*1))</f>
        <v>0</v>
      </c>
      <c r="AV115" s="6625" cm="1">
        <f t="array" ref="AV115">IF(W115="",0,SUMPRODUCT((CA4:CA795="Lait")*(CB4:CB795="INFO")*(COUNTIF(AI115,"*"&amp;CC4:CC795&amp;"*")&gt;0)*1))</f>
        <v>0</v>
      </c>
      <c r="AW115" s="6625" cm="1">
        <f t="array" ref="AW115">IF(W115="",0,SUMPRODUCT((CA4:CA795="Lait")*(CB4:CB795="EXCL")*(COUNTIF(AI115,"*"&amp;CC4:CC795&amp;"*")&gt;0)*1))</f>
        <v>0</v>
      </c>
      <c r="AX115" s="6625" cm="1">
        <f t="array" ref="AX115">IF(W115="",0,SUMPRODUCT((CA4:CA795="Lait")*(CB4:CB795="ALERTE")*(COUNTIF(AI115,"*"&amp;CC4:CC795&amp;"*")&gt;0)*1))</f>
        <v>0</v>
      </c>
      <c r="AY115" s="6625" cm="1">
        <f t="array" ref="AY115">IF(W115="",0,SUMPRODUCT((CA4:CA795="Lait")*(CB4:CB795="SUSP")*(COUNTIF(AI115,"*"&amp;CC4:CC795&amp;"*")&gt;0)*1))</f>
        <v>0</v>
      </c>
      <c r="AZ115" s="6625" cm="1">
        <f t="array" ref="AZ115">IF(W115="",0,SUMPRODUCT((CA4:CA795="Fruits a coque")*(CB4:CB795="EXCL")*(COUNTIF(AI115,"*"&amp;CC4:CC795&amp;"*")&gt;0)*1))</f>
        <v>0</v>
      </c>
      <c r="BA115" s="6625" cm="1">
        <f t="array" ref="BA115">IF(W115="",0,SUMPRODUCT((CA4:CA795="Fruits a coque")*(CB4:CB795="ALERTE")*(COUNTIF(AI115,"*"&amp;CC4:CC795&amp;"*")&gt;0)*1))</f>
        <v>0</v>
      </c>
      <c r="BB115" s="6625" cm="1">
        <f t="array" ref="BB115">IF(W115="",0,SUMPRODUCT((CA4:CA795="Celeri")*(CB4:CB795="ALERTE")*(COUNTIF(AI115,"*"&amp;CC4:CC795&amp;"*")&gt;0)*1))</f>
        <v>0</v>
      </c>
      <c r="BC115" s="6625" cm="1">
        <f t="array" ref="BC115">IF(W115="",0,SUMPRODUCT((CA4:CA795="Moutarde")*(CB4:CB795="ALERTE")*(COUNTIF(AI115,"*"&amp;CC4:CC795&amp;"*")&gt;0)*1))</f>
        <v>0</v>
      </c>
      <c r="BD115" s="6625" cm="1">
        <f t="array" ref="BD115">IF(W115="",0,SUMPRODUCT((CA4:CA795="Sesame")*(CB4:CB795="ALERTE")*(COUNTIF(AI115,"*"&amp;CC4:CC795&amp;"*")&gt;0)*1))</f>
        <v>0</v>
      </c>
      <c r="BE115" s="6625" cm="1">
        <f t="array" ref="BE115">IF(W115="",0,SUMPRODUCT((CA4:CA795="Sulfites")*(CB4:CB795="ALERTE")*(COUNTIF(AI115,"*"&amp;CC4:CC795&amp;"*")&gt;0)*1))</f>
        <v>0</v>
      </c>
      <c r="BF115" s="6625" cm="1">
        <f t="array" ref="BF115">IF(W115="",0,SUMPRODUCT((CA4:CA795="Lupin")*(CB4:CB795="ALERTE")*(COUNTIF(AI115,"*"&amp;CC4:CC795&amp;"*")&gt;0)*1))</f>
        <v>0</v>
      </c>
      <c r="BG115" s="6625" cm="1">
        <f t="array" ref="BG115">IF(W115="",0,SUMPRODUCT((CA4:CA795="Mollusques")*(CB4:CB795="EXCL")*(COUNTIF(AI115,"*"&amp;CC4:CC795&amp;"*")&gt;0)*1))</f>
        <v>0</v>
      </c>
      <c r="BH115" s="6625" cm="1">
        <f t="array" ref="BH115">IF(W115="",0,SUMPRODUCT((CA4:CA795="Mollusques")*(CB4:CB795="ALERTE")*(COUNTIF(AI115,"*"&amp;CC4:CC795&amp;"*")&gt;0)*1))</f>
        <v>0</v>
      </c>
      <c r="BI115" s="6625" t="str">
        <f t="shared" si="68"/>
        <v/>
      </c>
      <c r="BJ115" s="6625" t="str">
        <f t="shared" si="69"/>
        <v/>
      </c>
      <c r="BK115" s="6625" t="str">
        <f t="shared" si="70"/>
        <v/>
      </c>
      <c r="BL115" s="6625" t="str">
        <f t="shared" si="71"/>
        <v/>
      </c>
      <c r="BM115" s="6625" t="str">
        <f t="shared" si="72"/>
        <v/>
      </c>
      <c r="BN115" s="6625" t="str">
        <f t="shared" si="73"/>
        <v/>
      </c>
      <c r="BO115" s="6625" t="str">
        <f t="shared" si="74"/>
        <v/>
      </c>
      <c r="BP115" s="6625" t="str">
        <f t="shared" si="75"/>
        <v/>
      </c>
      <c r="BQ115" s="6625" t="str">
        <f t="shared" si="76"/>
        <v/>
      </c>
      <c r="BR115" s="6625" t="str">
        <f t="shared" si="77"/>
        <v/>
      </c>
      <c r="BS115" s="6625" t="str">
        <f t="shared" si="78"/>
        <v/>
      </c>
      <c r="BT115" s="6625" t="str">
        <f t="shared" si="79"/>
        <v/>
      </c>
      <c r="BU115" s="6625" t="str">
        <f t="shared" si="80"/>
        <v/>
      </c>
      <c r="BV115" s="6625" t="str">
        <f t="shared" si="81"/>
        <v/>
      </c>
      <c r="BW115" s="6625" t="str">
        <f t="shared" si="82"/>
        <v/>
      </c>
      <c r="BX115" s="6625" t="str">
        <f t="shared" si="83"/>
        <v/>
      </c>
      <c r="CA115" s="3170" t="s">
        <v>16501</v>
      </c>
      <c r="CB115" s="7634" t="s">
        <v>16255</v>
      </c>
      <c r="CC115" s="3170" t="s">
        <v>16560</v>
      </c>
      <c r="CD115" s="3170" t="s">
        <v>16561</v>
      </c>
    </row>
    <row r="116" spans="2:82" ht="30" customHeight="1">
      <c r="B116" s="7661" t="str">
        <f t="shared" si="44"/>
        <v/>
      </c>
      <c r="C116" s="7661" t="str">
        <f t="shared" si="45"/>
        <v/>
      </c>
      <c r="D116" s="7661" t="str">
        <f t="shared" si="46"/>
        <v/>
      </c>
      <c r="E116" s="7661">
        <f>IF(H115&lt;&gt;"",E115,IF(E115="","",IFERROR(MATCH(TRUE(),INDEX(INDEX($K:$K,E115+1):$K$203&lt;&gt;"",0),0)+E115,"")))</f>
        <v>291</v>
      </c>
      <c r="F116" s="7661">
        <f t="shared" si="84"/>
        <v>0</v>
      </c>
      <c r="G116" s="7661" t="str">
        <f t="shared" si="47"/>
        <v>0</v>
      </c>
      <c r="H116" s="7672" t="str">
        <f t="shared" si="48"/>
        <v/>
      </c>
      <c r="I116" s="7683" t="str">
        <f t="shared" si="49"/>
        <v/>
      </c>
      <c r="J116" s="7673" t="str">
        <f>IF(K116="","",COUNTIF($K$18:K116,"&lt;&gt;"))</f>
        <v/>
      </c>
      <c r="K116" s="7674"/>
      <c r="L116" s="7673" t="str">
        <f t="shared" si="50"/>
        <v/>
      </c>
      <c r="M116" s="7630">
        <f t="shared" si="51"/>
        <v>1</v>
      </c>
      <c r="N116" s="7675">
        <f t="shared" si="52"/>
        <v>99</v>
      </c>
      <c r="O116" s="7676" t="str">
        <f t="shared" si="53"/>
        <v>0</v>
      </c>
      <c r="P116" s="7675">
        <f t="shared" si="54"/>
        <v>1</v>
      </c>
      <c r="Q116" s="7675">
        <f t="shared" si="55"/>
        <v>1</v>
      </c>
      <c r="S116" s="7679" t="str">
        <f t="shared" si="87"/>
        <v>0</v>
      </c>
      <c r="T116" s="7680" t="str">
        <f t="shared" si="87"/>
        <v/>
      </c>
      <c r="V116" s="7677">
        <f t="shared" si="56"/>
        <v>116</v>
      </c>
      <c r="W116" s="7678" t="str">
        <f t="shared" si="86"/>
        <v>0</v>
      </c>
      <c r="X116" s="7677" t="s">
        <v>2</v>
      </c>
      <c r="Y116" s="7702" t="str">
        <f t="shared" si="57"/>
        <v>0</v>
      </c>
      <c r="Z116" s="7703" t="str">
        <f t="shared" si="58"/>
        <v/>
      </c>
      <c r="AA116" s="7681" t="str">
        <f t="shared" si="59"/>
        <v>0</v>
      </c>
      <c r="AB116" s="7682" t="str">
        <f t="shared" si="60"/>
        <v/>
      </c>
      <c r="AC116" s="7677">
        <f t="shared" si="61"/>
        <v>0</v>
      </c>
      <c r="AD116" s="7677">
        <f t="shared" si="62"/>
        <v>0</v>
      </c>
      <c r="AE116" s="7682" t="str">
        <f t="shared" si="63"/>
        <v>aucun match</v>
      </c>
      <c r="AF116" s="6625" t="str">
        <f t="shared" si="64"/>
        <v>0</v>
      </c>
      <c r="AG116" s="6625" t="str">
        <f t="shared" si="65"/>
        <v>0</v>
      </c>
      <c r="AH116" s="6625" t="str">
        <f t="shared" si="66"/>
        <v>0</v>
      </c>
      <c r="AI116" s="6625" t="str">
        <f t="shared" si="67"/>
        <v xml:space="preserve"> 0 </v>
      </c>
      <c r="AJ116" s="6625" cm="1">
        <f t="array" ref="AJ116">IF(W116="",0,SUMPRODUCT((CA4:CA795="Gluten")*(CB4:CB795="INFO")*(COUNTIF(AI116,"*"&amp;CC4:CC795&amp;"*")&gt;0)*1))</f>
        <v>0</v>
      </c>
      <c r="AK116" s="6625" cm="1">
        <f t="array" ref="AK116">IF(W116="",0,SUMPRODUCT((CA4:CA795="Gluten")*(CB4:CB795="EXCL")*(COUNTIF(AI116,"*"&amp;CC4:CC795&amp;"*")&gt;0)*1))</f>
        <v>0</v>
      </c>
      <c r="AL116" s="6625" cm="1">
        <f t="array" ref="AL116">IF(W116="",0,SUMPRODUCT((CA4:CA795="Gluten")*(CB4:CB795="ALERTE")*(COUNTIF(AI116,"*"&amp;CC4:CC795&amp;"*")&gt;0)*1))</f>
        <v>0</v>
      </c>
      <c r="AM116" s="6625" cm="1">
        <f t="array" ref="AM116">IF(W116="",0,SUMPRODUCT((CA4:CA795="Gluten")*(CB4:CB795="SUSP")*(COUNTIF(AI116,"*"&amp;CC4:CC795&amp;"*")&gt;0)*1))</f>
        <v>0</v>
      </c>
      <c r="AN116" s="6625" cm="1">
        <f t="array" ref="AN116">IF(W116="",0,SUMPRODUCT((CA4:CA795="Crustaces")*(CB4:CB795="ALERTE")*(COUNTIF(AI116,"*"&amp;CC4:CC795&amp;"*")&gt;0)*1))</f>
        <v>0</v>
      </c>
      <c r="AO116" s="6625" cm="1">
        <f t="array" ref="AO116">IF(W116="",0,SUMPRODUCT((CA4:CA795="Oeufs")*(CB4:CB795="ALERTE")*(COUNTIF(AI116,"*"&amp;CC4:CC795&amp;"*")&gt;0)*1))</f>
        <v>0</v>
      </c>
      <c r="AP116" s="6625" cm="1">
        <f t="array" ref="AP116">IF(W116="",0,SUMPRODUCT((CA4:CA795="Poissons")*(CB4:CB795="INFO")*(COUNTIF(AI116,"*"&amp;CC4:CC795&amp;"*")&gt;0)*1))</f>
        <v>0</v>
      </c>
      <c r="AQ116" s="6625" cm="1">
        <f t="array" ref="AQ116">IF(W116="",0,SUMPRODUCT((CA4:CA795="Poissons")*(CB4:CB795="EXCL")*(COUNTIF(AI116,"*"&amp;CC4:CC795&amp;"*")&gt;0)*1))</f>
        <v>0</v>
      </c>
      <c r="AR116" s="6625" cm="1">
        <f t="array" ref="AR116">IF(W116="",0,SUMPRODUCT((CA4:CA795="Poissons")*(CB4:CB795="ALERTE")*(COUNTIF(AI116,"*"&amp;CC4:CC795&amp;"*")&gt;0)*1))</f>
        <v>0</v>
      </c>
      <c r="AS116" s="6625" cm="1">
        <f t="array" ref="AS116">IF(W116="",0,SUMPRODUCT((CA4:CA795="Arachides")*(CB4:CB795="ALERTE")*(COUNTIF(AI116,"*"&amp;CC4:CC795&amp;"*")&gt;0)*1))</f>
        <v>0</v>
      </c>
      <c r="AT116" s="6625" cm="1">
        <f t="array" ref="AT116">IF(W116="",0,SUMPRODUCT((CA4:CA795="Soja")*(CB4:CB795="INFO")*(COUNTIF(AI116,"*"&amp;CC4:CC795&amp;"*")&gt;0)*1))</f>
        <v>0</v>
      </c>
      <c r="AU116" s="6625" cm="1">
        <f t="array" ref="AU116">IF(W116="",0,SUMPRODUCT((CA4:CA795="Soja")*(CB4:CB795="ALERTE")*(COUNTIF(AI116,"*"&amp;CC4:CC795&amp;"*")&gt;0)*1))</f>
        <v>0</v>
      </c>
      <c r="AV116" s="6625" cm="1">
        <f t="array" ref="AV116">IF(W116="",0,SUMPRODUCT((CA4:CA795="Lait")*(CB4:CB795="INFO")*(COUNTIF(AI116,"*"&amp;CC4:CC795&amp;"*")&gt;0)*1))</f>
        <v>0</v>
      </c>
      <c r="AW116" s="6625" cm="1">
        <f t="array" ref="AW116">IF(W116="",0,SUMPRODUCT((CA4:CA795="Lait")*(CB4:CB795="EXCL")*(COUNTIF(AI116,"*"&amp;CC4:CC795&amp;"*")&gt;0)*1))</f>
        <v>0</v>
      </c>
      <c r="AX116" s="6625" cm="1">
        <f t="array" ref="AX116">IF(W116="",0,SUMPRODUCT((CA4:CA795="Lait")*(CB4:CB795="ALERTE")*(COUNTIF(AI116,"*"&amp;CC4:CC795&amp;"*")&gt;0)*1))</f>
        <v>0</v>
      </c>
      <c r="AY116" s="6625" cm="1">
        <f t="array" ref="AY116">IF(W116="",0,SUMPRODUCT((CA4:CA795="Lait")*(CB4:CB795="SUSP")*(COUNTIF(AI116,"*"&amp;CC4:CC795&amp;"*")&gt;0)*1))</f>
        <v>0</v>
      </c>
      <c r="AZ116" s="6625" cm="1">
        <f t="array" ref="AZ116">IF(W116="",0,SUMPRODUCT((CA4:CA795="Fruits a coque")*(CB4:CB795="EXCL")*(COUNTIF(AI116,"*"&amp;CC4:CC795&amp;"*")&gt;0)*1))</f>
        <v>0</v>
      </c>
      <c r="BA116" s="6625" cm="1">
        <f t="array" ref="BA116">IF(W116="",0,SUMPRODUCT((CA4:CA795="Fruits a coque")*(CB4:CB795="ALERTE")*(COUNTIF(AI116,"*"&amp;CC4:CC795&amp;"*")&gt;0)*1))</f>
        <v>0</v>
      </c>
      <c r="BB116" s="6625" cm="1">
        <f t="array" ref="BB116">IF(W116="",0,SUMPRODUCT((CA4:CA795="Celeri")*(CB4:CB795="ALERTE")*(COUNTIF(AI116,"*"&amp;CC4:CC795&amp;"*")&gt;0)*1))</f>
        <v>0</v>
      </c>
      <c r="BC116" s="6625" cm="1">
        <f t="array" ref="BC116">IF(W116="",0,SUMPRODUCT((CA4:CA795="Moutarde")*(CB4:CB795="ALERTE")*(COUNTIF(AI116,"*"&amp;CC4:CC795&amp;"*")&gt;0)*1))</f>
        <v>0</v>
      </c>
      <c r="BD116" s="6625" cm="1">
        <f t="array" ref="BD116">IF(W116="",0,SUMPRODUCT((CA4:CA795="Sesame")*(CB4:CB795="ALERTE")*(COUNTIF(AI116,"*"&amp;CC4:CC795&amp;"*")&gt;0)*1))</f>
        <v>0</v>
      </c>
      <c r="BE116" s="6625" cm="1">
        <f t="array" ref="BE116">IF(W116="",0,SUMPRODUCT((CA4:CA795="Sulfites")*(CB4:CB795="ALERTE")*(COUNTIF(AI116,"*"&amp;CC4:CC795&amp;"*")&gt;0)*1))</f>
        <v>0</v>
      </c>
      <c r="BF116" s="6625" cm="1">
        <f t="array" ref="BF116">IF(W116="",0,SUMPRODUCT((CA4:CA795="Lupin")*(CB4:CB795="ALERTE")*(COUNTIF(AI116,"*"&amp;CC4:CC795&amp;"*")&gt;0)*1))</f>
        <v>0</v>
      </c>
      <c r="BG116" s="6625" cm="1">
        <f t="array" ref="BG116">IF(W116="",0,SUMPRODUCT((CA4:CA795="Mollusques")*(CB4:CB795="EXCL")*(COUNTIF(AI116,"*"&amp;CC4:CC795&amp;"*")&gt;0)*1))</f>
        <v>0</v>
      </c>
      <c r="BH116" s="6625" cm="1">
        <f t="array" ref="BH116">IF(W116="",0,SUMPRODUCT((CA4:CA795="Mollusques")*(CB4:CB795="ALERTE")*(COUNTIF(AI116,"*"&amp;CC4:CC795&amp;"*")&gt;0)*1))</f>
        <v>0</v>
      </c>
      <c r="BI116" s="6625" t="str">
        <f t="shared" si="68"/>
        <v/>
      </c>
      <c r="BJ116" s="6625" t="str">
        <f t="shared" si="69"/>
        <v/>
      </c>
      <c r="BK116" s="6625" t="str">
        <f t="shared" si="70"/>
        <v/>
      </c>
      <c r="BL116" s="6625" t="str">
        <f t="shared" si="71"/>
        <v/>
      </c>
      <c r="BM116" s="6625" t="str">
        <f t="shared" si="72"/>
        <v/>
      </c>
      <c r="BN116" s="6625" t="str">
        <f t="shared" si="73"/>
        <v/>
      </c>
      <c r="BO116" s="6625" t="str">
        <f t="shared" si="74"/>
        <v/>
      </c>
      <c r="BP116" s="6625" t="str">
        <f t="shared" si="75"/>
        <v/>
      </c>
      <c r="BQ116" s="6625" t="str">
        <f t="shared" si="76"/>
        <v/>
      </c>
      <c r="BR116" s="6625" t="str">
        <f t="shared" si="77"/>
        <v/>
      </c>
      <c r="BS116" s="6625" t="str">
        <f t="shared" si="78"/>
        <v/>
      </c>
      <c r="BT116" s="6625" t="str">
        <f t="shared" si="79"/>
        <v/>
      </c>
      <c r="BU116" s="6625" t="str">
        <f t="shared" si="80"/>
        <v/>
      </c>
      <c r="BV116" s="6625" t="str">
        <f t="shared" si="81"/>
        <v/>
      </c>
      <c r="BW116" s="6625" t="str">
        <f t="shared" si="82"/>
        <v/>
      </c>
      <c r="BX116" s="6625" t="str">
        <f t="shared" si="83"/>
        <v/>
      </c>
      <c r="CA116" s="3170" t="s">
        <v>16501</v>
      </c>
      <c r="CB116" s="7634" t="s">
        <v>16255</v>
      </c>
      <c r="CC116" s="3170" t="s">
        <v>16562</v>
      </c>
      <c r="CD116" s="3170" t="s">
        <v>16563</v>
      </c>
    </row>
    <row r="117" spans="2:82" ht="30" customHeight="1">
      <c r="B117" s="7661" t="str">
        <f t="shared" si="44"/>
        <v/>
      </c>
      <c r="C117" s="7661" t="str">
        <f t="shared" si="45"/>
        <v/>
      </c>
      <c r="D117" s="7661" t="str">
        <f t="shared" si="46"/>
        <v/>
      </c>
      <c r="E117" s="7661">
        <f>IF(H116&lt;&gt;"",E116,IF(E116="","",IFERROR(MATCH(TRUE(),INDEX(INDEX($K:$K,E116+1):$K$203&lt;&gt;"",0),0)+E116,"")))</f>
        <v>292</v>
      </c>
      <c r="F117" s="7661">
        <f t="shared" si="84"/>
        <v>0</v>
      </c>
      <c r="G117" s="7661" t="str">
        <f t="shared" si="47"/>
        <v>0</v>
      </c>
      <c r="H117" s="7672" t="str">
        <f t="shared" si="48"/>
        <v/>
      </c>
      <c r="I117" s="7683" t="str">
        <f t="shared" si="49"/>
        <v/>
      </c>
      <c r="J117" s="7673" t="str">
        <f>IF(K117="","",COUNTIF($K$18:K117,"&lt;&gt;"))</f>
        <v/>
      </c>
      <c r="K117" s="7674"/>
      <c r="L117" s="7673" t="str">
        <f t="shared" si="50"/>
        <v/>
      </c>
      <c r="M117" s="7630">
        <f t="shared" si="51"/>
        <v>1</v>
      </c>
      <c r="N117" s="7675">
        <f t="shared" si="52"/>
        <v>100</v>
      </c>
      <c r="O117" s="7676" t="str">
        <f t="shared" si="53"/>
        <v>0</v>
      </c>
      <c r="P117" s="7675">
        <f t="shared" si="54"/>
        <v>1</v>
      </c>
      <c r="Q117" s="7675">
        <f t="shared" si="55"/>
        <v>1</v>
      </c>
      <c r="S117" s="7679" t="str">
        <f t="shared" si="87"/>
        <v>0</v>
      </c>
      <c r="T117" s="7680" t="str">
        <f t="shared" si="87"/>
        <v/>
      </c>
      <c r="V117" s="7677">
        <f t="shared" si="56"/>
        <v>117</v>
      </c>
      <c r="W117" s="7678" t="str">
        <f t="shared" si="86"/>
        <v>0</v>
      </c>
      <c r="X117" s="7677" t="s">
        <v>2</v>
      </c>
      <c r="Y117" s="7702" t="str">
        <f t="shared" si="57"/>
        <v>0</v>
      </c>
      <c r="Z117" s="7703" t="str">
        <f t="shared" si="58"/>
        <v/>
      </c>
      <c r="AA117" s="7681" t="str">
        <f t="shared" si="59"/>
        <v>0</v>
      </c>
      <c r="AB117" s="7682" t="str">
        <f t="shared" si="60"/>
        <v/>
      </c>
      <c r="AC117" s="7677">
        <f t="shared" si="61"/>
        <v>0</v>
      </c>
      <c r="AD117" s="7677">
        <f t="shared" si="62"/>
        <v>0</v>
      </c>
      <c r="AE117" s="7682" t="str">
        <f t="shared" si="63"/>
        <v>aucun match</v>
      </c>
      <c r="AF117" s="6625" t="str">
        <f t="shared" si="64"/>
        <v>0</v>
      </c>
      <c r="AG117" s="6625" t="str">
        <f t="shared" si="65"/>
        <v>0</v>
      </c>
      <c r="AH117" s="6625" t="str">
        <f t="shared" si="66"/>
        <v>0</v>
      </c>
      <c r="AI117" s="6625" t="str">
        <f t="shared" si="67"/>
        <v xml:space="preserve"> 0 </v>
      </c>
      <c r="AJ117" s="6625" cm="1">
        <f t="array" ref="AJ117">IF(W117="",0,SUMPRODUCT((CA4:CA795="Gluten")*(CB4:CB795="INFO")*(COUNTIF(AI117,"*"&amp;CC4:CC795&amp;"*")&gt;0)*1))</f>
        <v>0</v>
      </c>
      <c r="AK117" s="6625" cm="1">
        <f t="array" ref="AK117">IF(W117="",0,SUMPRODUCT((CA4:CA795="Gluten")*(CB4:CB795="EXCL")*(COUNTIF(AI117,"*"&amp;CC4:CC795&amp;"*")&gt;0)*1))</f>
        <v>0</v>
      </c>
      <c r="AL117" s="6625" cm="1">
        <f t="array" ref="AL117">IF(W117="",0,SUMPRODUCT((CA4:CA795="Gluten")*(CB4:CB795="ALERTE")*(COUNTIF(AI117,"*"&amp;CC4:CC795&amp;"*")&gt;0)*1))</f>
        <v>0</v>
      </c>
      <c r="AM117" s="6625" cm="1">
        <f t="array" ref="AM117">IF(W117="",0,SUMPRODUCT((CA4:CA795="Gluten")*(CB4:CB795="SUSP")*(COUNTIF(AI117,"*"&amp;CC4:CC795&amp;"*")&gt;0)*1))</f>
        <v>0</v>
      </c>
      <c r="AN117" s="6625" cm="1">
        <f t="array" ref="AN117">IF(W117="",0,SUMPRODUCT((CA4:CA795="Crustaces")*(CB4:CB795="ALERTE")*(COUNTIF(AI117,"*"&amp;CC4:CC795&amp;"*")&gt;0)*1))</f>
        <v>0</v>
      </c>
      <c r="AO117" s="6625" cm="1">
        <f t="array" ref="AO117">IF(W117="",0,SUMPRODUCT((CA4:CA795="Oeufs")*(CB4:CB795="ALERTE")*(COUNTIF(AI117,"*"&amp;CC4:CC795&amp;"*")&gt;0)*1))</f>
        <v>0</v>
      </c>
      <c r="AP117" s="6625" cm="1">
        <f t="array" ref="AP117">IF(W117="",0,SUMPRODUCT((CA4:CA795="Poissons")*(CB4:CB795="INFO")*(COUNTIF(AI117,"*"&amp;CC4:CC795&amp;"*")&gt;0)*1))</f>
        <v>0</v>
      </c>
      <c r="AQ117" s="6625" cm="1">
        <f t="array" ref="AQ117">IF(W117="",0,SUMPRODUCT((CA4:CA795="Poissons")*(CB4:CB795="EXCL")*(COUNTIF(AI117,"*"&amp;CC4:CC795&amp;"*")&gt;0)*1))</f>
        <v>0</v>
      </c>
      <c r="AR117" s="6625" cm="1">
        <f t="array" ref="AR117">IF(W117="",0,SUMPRODUCT((CA4:CA795="Poissons")*(CB4:CB795="ALERTE")*(COUNTIF(AI117,"*"&amp;CC4:CC795&amp;"*")&gt;0)*1))</f>
        <v>0</v>
      </c>
      <c r="AS117" s="6625" cm="1">
        <f t="array" ref="AS117">IF(W117="",0,SUMPRODUCT((CA4:CA795="Arachides")*(CB4:CB795="ALERTE")*(COUNTIF(AI117,"*"&amp;CC4:CC795&amp;"*")&gt;0)*1))</f>
        <v>0</v>
      </c>
      <c r="AT117" s="6625" cm="1">
        <f t="array" ref="AT117">IF(W117="",0,SUMPRODUCT((CA4:CA795="Soja")*(CB4:CB795="INFO")*(COUNTIF(AI117,"*"&amp;CC4:CC795&amp;"*")&gt;0)*1))</f>
        <v>0</v>
      </c>
      <c r="AU117" s="6625" cm="1">
        <f t="array" ref="AU117">IF(W117="",0,SUMPRODUCT((CA4:CA795="Soja")*(CB4:CB795="ALERTE")*(COUNTIF(AI117,"*"&amp;CC4:CC795&amp;"*")&gt;0)*1))</f>
        <v>0</v>
      </c>
      <c r="AV117" s="6625" cm="1">
        <f t="array" ref="AV117">IF(W117="",0,SUMPRODUCT((CA4:CA795="Lait")*(CB4:CB795="INFO")*(COUNTIF(AI117,"*"&amp;CC4:CC795&amp;"*")&gt;0)*1))</f>
        <v>0</v>
      </c>
      <c r="AW117" s="6625" cm="1">
        <f t="array" ref="AW117">IF(W117="",0,SUMPRODUCT((CA4:CA795="Lait")*(CB4:CB795="EXCL")*(COUNTIF(AI117,"*"&amp;CC4:CC795&amp;"*")&gt;0)*1))</f>
        <v>0</v>
      </c>
      <c r="AX117" s="6625" cm="1">
        <f t="array" ref="AX117">IF(W117="",0,SUMPRODUCT((CA4:CA795="Lait")*(CB4:CB795="ALERTE")*(COUNTIF(AI117,"*"&amp;CC4:CC795&amp;"*")&gt;0)*1))</f>
        <v>0</v>
      </c>
      <c r="AY117" s="6625" cm="1">
        <f t="array" ref="AY117">IF(W117="",0,SUMPRODUCT((CA4:CA795="Lait")*(CB4:CB795="SUSP")*(COUNTIF(AI117,"*"&amp;CC4:CC795&amp;"*")&gt;0)*1))</f>
        <v>0</v>
      </c>
      <c r="AZ117" s="6625" cm="1">
        <f t="array" ref="AZ117">IF(W117="",0,SUMPRODUCT((CA4:CA795="Fruits a coque")*(CB4:CB795="EXCL")*(COUNTIF(AI117,"*"&amp;CC4:CC795&amp;"*")&gt;0)*1))</f>
        <v>0</v>
      </c>
      <c r="BA117" s="6625" cm="1">
        <f t="array" ref="BA117">IF(W117="",0,SUMPRODUCT((CA4:CA795="Fruits a coque")*(CB4:CB795="ALERTE")*(COUNTIF(AI117,"*"&amp;CC4:CC795&amp;"*")&gt;0)*1))</f>
        <v>0</v>
      </c>
      <c r="BB117" s="6625" cm="1">
        <f t="array" ref="BB117">IF(W117="",0,SUMPRODUCT((CA4:CA795="Celeri")*(CB4:CB795="ALERTE")*(COUNTIF(AI117,"*"&amp;CC4:CC795&amp;"*")&gt;0)*1))</f>
        <v>0</v>
      </c>
      <c r="BC117" s="6625" cm="1">
        <f t="array" ref="BC117">IF(W117="",0,SUMPRODUCT((CA4:CA795="Moutarde")*(CB4:CB795="ALERTE")*(COUNTIF(AI117,"*"&amp;CC4:CC795&amp;"*")&gt;0)*1))</f>
        <v>0</v>
      </c>
      <c r="BD117" s="6625" cm="1">
        <f t="array" ref="BD117">IF(W117="",0,SUMPRODUCT((CA4:CA795="Sesame")*(CB4:CB795="ALERTE")*(COUNTIF(AI117,"*"&amp;CC4:CC795&amp;"*")&gt;0)*1))</f>
        <v>0</v>
      </c>
      <c r="BE117" s="6625" cm="1">
        <f t="array" ref="BE117">IF(W117="",0,SUMPRODUCT((CA4:CA795="Sulfites")*(CB4:CB795="ALERTE")*(COUNTIF(AI117,"*"&amp;CC4:CC795&amp;"*")&gt;0)*1))</f>
        <v>0</v>
      </c>
      <c r="BF117" s="6625" cm="1">
        <f t="array" ref="BF117">IF(W117="",0,SUMPRODUCT((CA4:CA795="Lupin")*(CB4:CB795="ALERTE")*(COUNTIF(AI117,"*"&amp;CC4:CC795&amp;"*")&gt;0)*1))</f>
        <v>0</v>
      </c>
      <c r="BG117" s="6625" cm="1">
        <f t="array" ref="BG117">IF(W117="",0,SUMPRODUCT((CA4:CA795="Mollusques")*(CB4:CB795="EXCL")*(COUNTIF(AI117,"*"&amp;CC4:CC795&amp;"*")&gt;0)*1))</f>
        <v>0</v>
      </c>
      <c r="BH117" s="6625" cm="1">
        <f t="array" ref="BH117">IF(W117="",0,SUMPRODUCT((CA4:CA795="Mollusques")*(CB4:CB795="ALERTE")*(COUNTIF(AI117,"*"&amp;CC4:CC795&amp;"*")&gt;0)*1))</f>
        <v>0</v>
      </c>
      <c r="BI117" s="6625" t="str">
        <f t="shared" si="68"/>
        <v/>
      </c>
      <c r="BJ117" s="6625" t="str">
        <f t="shared" si="69"/>
        <v/>
      </c>
      <c r="BK117" s="6625" t="str">
        <f t="shared" si="70"/>
        <v/>
      </c>
      <c r="BL117" s="6625" t="str">
        <f t="shared" si="71"/>
        <v/>
      </c>
      <c r="BM117" s="6625" t="str">
        <f t="shared" si="72"/>
        <v/>
      </c>
      <c r="BN117" s="6625" t="str">
        <f t="shared" si="73"/>
        <v/>
      </c>
      <c r="BO117" s="6625" t="str">
        <f t="shared" si="74"/>
        <v/>
      </c>
      <c r="BP117" s="6625" t="str">
        <f t="shared" si="75"/>
        <v/>
      </c>
      <c r="BQ117" s="6625" t="str">
        <f t="shared" si="76"/>
        <v/>
      </c>
      <c r="BR117" s="6625" t="str">
        <f t="shared" si="77"/>
        <v/>
      </c>
      <c r="BS117" s="6625" t="str">
        <f t="shared" si="78"/>
        <v/>
      </c>
      <c r="BT117" s="6625" t="str">
        <f t="shared" si="79"/>
        <v/>
      </c>
      <c r="BU117" s="6625" t="str">
        <f t="shared" si="80"/>
        <v/>
      </c>
      <c r="BV117" s="6625" t="str">
        <f t="shared" si="81"/>
        <v/>
      </c>
      <c r="BW117" s="6625" t="str">
        <f t="shared" si="82"/>
        <v/>
      </c>
      <c r="BX117" s="6625" t="str">
        <f t="shared" si="83"/>
        <v/>
      </c>
      <c r="CA117" s="3170" t="s">
        <v>16501</v>
      </c>
      <c r="CB117" s="7634" t="s">
        <v>16255</v>
      </c>
      <c r="CC117" s="3170" t="s">
        <v>16564</v>
      </c>
      <c r="CD117" s="3170" t="s">
        <v>16565</v>
      </c>
    </row>
    <row r="118" spans="2:82" ht="30" customHeight="1">
      <c r="B118" s="7661" t="str">
        <f t="shared" si="44"/>
        <v/>
      </c>
      <c r="C118" s="7661" t="str">
        <f t="shared" si="45"/>
        <v/>
      </c>
      <c r="D118" s="7661" t="str">
        <f t="shared" si="46"/>
        <v/>
      </c>
      <c r="E118" s="7661">
        <f>IF(H117&lt;&gt;"",E117,IF(E117="","",IFERROR(MATCH(TRUE(),INDEX(INDEX($K:$K,E117+1):$K$203&lt;&gt;"",0),0)+E117,"")))</f>
        <v>293</v>
      </c>
      <c r="F118" s="7661">
        <f t="shared" si="84"/>
        <v>0</v>
      </c>
      <c r="G118" s="7661" t="str">
        <f t="shared" si="47"/>
        <v>0</v>
      </c>
      <c r="H118" s="7672" t="str">
        <f t="shared" si="48"/>
        <v/>
      </c>
      <c r="I118" s="7683" t="str">
        <f t="shared" si="49"/>
        <v/>
      </c>
      <c r="J118" s="7673" t="str">
        <f>IF(K118="","",COUNTIF($K$18:K118,"&lt;&gt;"))</f>
        <v/>
      </c>
      <c r="K118" s="7674"/>
      <c r="L118" s="7673" t="str">
        <f t="shared" si="50"/>
        <v/>
      </c>
      <c r="M118" s="7630">
        <f t="shared" si="51"/>
        <v>1</v>
      </c>
      <c r="N118" s="7675">
        <f t="shared" si="52"/>
        <v>101</v>
      </c>
      <c r="O118" s="7676" t="str">
        <f t="shared" si="53"/>
        <v>0</v>
      </c>
      <c r="P118" s="7675">
        <f t="shared" si="54"/>
        <v>1</v>
      </c>
      <c r="Q118" s="7675">
        <f t="shared" si="55"/>
        <v>1</v>
      </c>
      <c r="S118" s="7679" t="str">
        <f t="shared" si="87"/>
        <v>0</v>
      </c>
      <c r="T118" s="7680" t="str">
        <f t="shared" si="87"/>
        <v/>
      </c>
      <c r="V118" s="7677">
        <f t="shared" si="56"/>
        <v>118</v>
      </c>
      <c r="W118" s="7678" t="str">
        <f t="shared" si="86"/>
        <v>0</v>
      </c>
      <c r="X118" s="7677" t="s">
        <v>2</v>
      </c>
      <c r="Y118" s="7702" t="str">
        <f t="shared" si="57"/>
        <v>0</v>
      </c>
      <c r="Z118" s="7703" t="str">
        <f t="shared" si="58"/>
        <v/>
      </c>
      <c r="AA118" s="7681" t="str">
        <f t="shared" si="59"/>
        <v>0</v>
      </c>
      <c r="AB118" s="7682" t="str">
        <f t="shared" si="60"/>
        <v/>
      </c>
      <c r="AC118" s="7677">
        <f t="shared" si="61"/>
        <v>0</v>
      </c>
      <c r="AD118" s="7677">
        <f t="shared" si="62"/>
        <v>0</v>
      </c>
      <c r="AE118" s="7682" t="str">
        <f t="shared" si="63"/>
        <v>aucun match</v>
      </c>
      <c r="AF118" s="6625" t="str">
        <f t="shared" si="64"/>
        <v>0</v>
      </c>
      <c r="AG118" s="6625" t="str">
        <f t="shared" si="65"/>
        <v>0</v>
      </c>
      <c r="AH118" s="6625" t="str">
        <f t="shared" si="66"/>
        <v>0</v>
      </c>
      <c r="AI118" s="6625" t="str">
        <f t="shared" si="67"/>
        <v xml:space="preserve"> 0 </v>
      </c>
      <c r="AJ118" s="6625" cm="1">
        <f t="array" ref="AJ118">IF(W118="",0,SUMPRODUCT((CA4:CA795="Gluten")*(CB4:CB795="INFO")*(COUNTIF(AI118,"*"&amp;CC4:CC795&amp;"*")&gt;0)*1))</f>
        <v>0</v>
      </c>
      <c r="AK118" s="6625" cm="1">
        <f t="array" ref="AK118">IF(W118="",0,SUMPRODUCT((CA4:CA795="Gluten")*(CB4:CB795="EXCL")*(COUNTIF(AI118,"*"&amp;CC4:CC795&amp;"*")&gt;0)*1))</f>
        <v>0</v>
      </c>
      <c r="AL118" s="6625" cm="1">
        <f t="array" ref="AL118">IF(W118="",0,SUMPRODUCT((CA4:CA795="Gluten")*(CB4:CB795="ALERTE")*(COUNTIF(AI118,"*"&amp;CC4:CC795&amp;"*")&gt;0)*1))</f>
        <v>0</v>
      </c>
      <c r="AM118" s="6625" cm="1">
        <f t="array" ref="AM118">IF(W118="",0,SUMPRODUCT((CA4:CA795="Gluten")*(CB4:CB795="SUSP")*(COUNTIF(AI118,"*"&amp;CC4:CC795&amp;"*")&gt;0)*1))</f>
        <v>0</v>
      </c>
      <c r="AN118" s="6625" cm="1">
        <f t="array" ref="AN118">IF(W118="",0,SUMPRODUCT((CA4:CA795="Crustaces")*(CB4:CB795="ALERTE")*(COUNTIF(AI118,"*"&amp;CC4:CC795&amp;"*")&gt;0)*1))</f>
        <v>0</v>
      </c>
      <c r="AO118" s="6625" cm="1">
        <f t="array" ref="AO118">IF(W118="",0,SUMPRODUCT((CA4:CA795="Oeufs")*(CB4:CB795="ALERTE")*(COUNTIF(AI118,"*"&amp;CC4:CC795&amp;"*")&gt;0)*1))</f>
        <v>0</v>
      </c>
      <c r="AP118" s="6625" cm="1">
        <f t="array" ref="AP118">IF(W118="",0,SUMPRODUCT((CA4:CA795="Poissons")*(CB4:CB795="INFO")*(COUNTIF(AI118,"*"&amp;CC4:CC795&amp;"*")&gt;0)*1))</f>
        <v>0</v>
      </c>
      <c r="AQ118" s="6625" cm="1">
        <f t="array" ref="AQ118">IF(W118="",0,SUMPRODUCT((CA4:CA795="Poissons")*(CB4:CB795="EXCL")*(COUNTIF(AI118,"*"&amp;CC4:CC795&amp;"*")&gt;0)*1))</f>
        <v>0</v>
      </c>
      <c r="AR118" s="6625" cm="1">
        <f t="array" ref="AR118">IF(W118="",0,SUMPRODUCT((CA4:CA795="Poissons")*(CB4:CB795="ALERTE")*(COUNTIF(AI118,"*"&amp;CC4:CC795&amp;"*")&gt;0)*1))</f>
        <v>0</v>
      </c>
      <c r="AS118" s="6625" cm="1">
        <f t="array" ref="AS118">IF(W118="",0,SUMPRODUCT((CA4:CA795="Arachides")*(CB4:CB795="ALERTE")*(COUNTIF(AI118,"*"&amp;CC4:CC795&amp;"*")&gt;0)*1))</f>
        <v>0</v>
      </c>
      <c r="AT118" s="6625" cm="1">
        <f t="array" ref="AT118">IF(W118="",0,SUMPRODUCT((CA4:CA795="Soja")*(CB4:CB795="INFO")*(COUNTIF(AI118,"*"&amp;CC4:CC795&amp;"*")&gt;0)*1))</f>
        <v>0</v>
      </c>
      <c r="AU118" s="6625" cm="1">
        <f t="array" ref="AU118">IF(W118="",0,SUMPRODUCT((CA4:CA795="Soja")*(CB4:CB795="ALERTE")*(COUNTIF(AI118,"*"&amp;CC4:CC795&amp;"*")&gt;0)*1))</f>
        <v>0</v>
      </c>
      <c r="AV118" s="6625" cm="1">
        <f t="array" ref="AV118">IF(W118="",0,SUMPRODUCT((CA4:CA795="Lait")*(CB4:CB795="INFO")*(COUNTIF(AI118,"*"&amp;CC4:CC795&amp;"*")&gt;0)*1))</f>
        <v>0</v>
      </c>
      <c r="AW118" s="6625" cm="1">
        <f t="array" ref="AW118">IF(W118="",0,SUMPRODUCT((CA4:CA795="Lait")*(CB4:CB795="EXCL")*(COUNTIF(AI118,"*"&amp;CC4:CC795&amp;"*")&gt;0)*1))</f>
        <v>0</v>
      </c>
      <c r="AX118" s="6625" cm="1">
        <f t="array" ref="AX118">IF(W118="",0,SUMPRODUCT((CA4:CA795="Lait")*(CB4:CB795="ALERTE")*(COUNTIF(AI118,"*"&amp;CC4:CC795&amp;"*")&gt;0)*1))</f>
        <v>0</v>
      </c>
      <c r="AY118" s="6625" cm="1">
        <f t="array" ref="AY118">IF(W118="",0,SUMPRODUCT((CA4:CA795="Lait")*(CB4:CB795="SUSP")*(COUNTIF(AI118,"*"&amp;CC4:CC795&amp;"*")&gt;0)*1))</f>
        <v>0</v>
      </c>
      <c r="AZ118" s="6625" cm="1">
        <f t="array" ref="AZ118">IF(W118="",0,SUMPRODUCT((CA4:CA795="Fruits a coque")*(CB4:CB795="EXCL")*(COUNTIF(AI118,"*"&amp;CC4:CC795&amp;"*")&gt;0)*1))</f>
        <v>0</v>
      </c>
      <c r="BA118" s="6625" cm="1">
        <f t="array" ref="BA118">IF(W118="",0,SUMPRODUCT((CA4:CA795="Fruits a coque")*(CB4:CB795="ALERTE")*(COUNTIF(AI118,"*"&amp;CC4:CC795&amp;"*")&gt;0)*1))</f>
        <v>0</v>
      </c>
      <c r="BB118" s="6625" cm="1">
        <f t="array" ref="BB118">IF(W118="",0,SUMPRODUCT((CA4:CA795="Celeri")*(CB4:CB795="ALERTE")*(COUNTIF(AI118,"*"&amp;CC4:CC795&amp;"*")&gt;0)*1))</f>
        <v>0</v>
      </c>
      <c r="BC118" s="6625" cm="1">
        <f t="array" ref="BC118">IF(W118="",0,SUMPRODUCT((CA4:CA795="Moutarde")*(CB4:CB795="ALERTE")*(COUNTIF(AI118,"*"&amp;CC4:CC795&amp;"*")&gt;0)*1))</f>
        <v>0</v>
      </c>
      <c r="BD118" s="6625" cm="1">
        <f t="array" ref="BD118">IF(W118="",0,SUMPRODUCT((CA4:CA795="Sesame")*(CB4:CB795="ALERTE")*(COUNTIF(AI118,"*"&amp;CC4:CC795&amp;"*")&gt;0)*1))</f>
        <v>0</v>
      </c>
      <c r="BE118" s="6625" cm="1">
        <f t="array" ref="BE118">IF(W118="",0,SUMPRODUCT((CA4:CA795="Sulfites")*(CB4:CB795="ALERTE")*(COUNTIF(AI118,"*"&amp;CC4:CC795&amp;"*")&gt;0)*1))</f>
        <v>0</v>
      </c>
      <c r="BF118" s="6625" cm="1">
        <f t="array" ref="BF118">IF(W118="",0,SUMPRODUCT((CA4:CA795="Lupin")*(CB4:CB795="ALERTE")*(COUNTIF(AI118,"*"&amp;CC4:CC795&amp;"*")&gt;0)*1))</f>
        <v>0</v>
      </c>
      <c r="BG118" s="6625" cm="1">
        <f t="array" ref="BG118">IF(W118="",0,SUMPRODUCT((CA4:CA795="Mollusques")*(CB4:CB795="EXCL")*(COUNTIF(AI118,"*"&amp;CC4:CC795&amp;"*")&gt;0)*1))</f>
        <v>0</v>
      </c>
      <c r="BH118" s="6625" cm="1">
        <f t="array" ref="BH118">IF(W118="",0,SUMPRODUCT((CA4:CA795="Mollusques")*(CB4:CB795="ALERTE")*(COUNTIF(AI118,"*"&amp;CC4:CC795&amp;"*")&gt;0)*1))</f>
        <v>0</v>
      </c>
      <c r="BI118" s="6625" t="str">
        <f t="shared" si="68"/>
        <v/>
      </c>
      <c r="BJ118" s="6625" t="str">
        <f t="shared" si="69"/>
        <v/>
      </c>
      <c r="BK118" s="6625" t="str">
        <f t="shared" si="70"/>
        <v/>
      </c>
      <c r="BL118" s="6625" t="str">
        <f t="shared" si="71"/>
        <v/>
      </c>
      <c r="BM118" s="6625" t="str">
        <f t="shared" si="72"/>
        <v/>
      </c>
      <c r="BN118" s="6625" t="str">
        <f t="shared" si="73"/>
        <v/>
      </c>
      <c r="BO118" s="6625" t="str">
        <f t="shared" si="74"/>
        <v/>
      </c>
      <c r="BP118" s="6625" t="str">
        <f t="shared" si="75"/>
        <v/>
      </c>
      <c r="BQ118" s="6625" t="str">
        <f t="shared" si="76"/>
        <v/>
      </c>
      <c r="BR118" s="6625" t="str">
        <f t="shared" si="77"/>
        <v/>
      </c>
      <c r="BS118" s="6625" t="str">
        <f t="shared" si="78"/>
        <v/>
      </c>
      <c r="BT118" s="6625" t="str">
        <f t="shared" si="79"/>
        <v/>
      </c>
      <c r="BU118" s="6625" t="str">
        <f t="shared" si="80"/>
        <v/>
      </c>
      <c r="BV118" s="6625" t="str">
        <f t="shared" si="81"/>
        <v/>
      </c>
      <c r="BW118" s="6625" t="str">
        <f t="shared" si="82"/>
        <v/>
      </c>
      <c r="BX118" s="6625" t="str">
        <f t="shared" si="83"/>
        <v/>
      </c>
      <c r="CA118" s="3170" t="s">
        <v>16501</v>
      </c>
      <c r="CB118" s="7634" t="s">
        <v>16255</v>
      </c>
      <c r="CC118" s="3170" t="s">
        <v>15959</v>
      </c>
      <c r="CD118" s="3170" t="s">
        <v>16566</v>
      </c>
    </row>
    <row r="119" spans="2:82" ht="30" customHeight="1">
      <c r="B119" s="7661" t="str">
        <f t="shared" si="44"/>
        <v/>
      </c>
      <c r="C119" s="7661" t="str">
        <f t="shared" si="45"/>
        <v/>
      </c>
      <c r="D119" s="7661" t="str">
        <f t="shared" si="46"/>
        <v/>
      </c>
      <c r="E119" s="7661">
        <f>IF(H118&lt;&gt;"",E118,IF(E118="","",IFERROR(MATCH(TRUE(),INDEX(INDEX($K:$K,E118+1):$K$203&lt;&gt;"",0),0)+E118,"")))</f>
        <v>294</v>
      </c>
      <c r="F119" s="7661">
        <f t="shared" si="84"/>
        <v>0</v>
      </c>
      <c r="G119" s="7661" t="str">
        <f t="shared" si="47"/>
        <v>0</v>
      </c>
      <c r="H119" s="7672" t="str">
        <f t="shared" si="48"/>
        <v/>
      </c>
      <c r="I119" s="7683" t="str">
        <f t="shared" si="49"/>
        <v/>
      </c>
      <c r="J119" s="7673" t="str">
        <f>IF(K119="","",COUNTIF($K$18:K119,"&lt;&gt;"))</f>
        <v/>
      </c>
      <c r="K119" s="7674"/>
      <c r="L119" s="7673" t="str">
        <f t="shared" si="50"/>
        <v/>
      </c>
      <c r="M119" s="7630">
        <f t="shared" si="51"/>
        <v>1</v>
      </c>
      <c r="N119" s="7675">
        <f t="shared" si="52"/>
        <v>102</v>
      </c>
      <c r="O119" s="7676" t="str">
        <f t="shared" si="53"/>
        <v>0</v>
      </c>
      <c r="P119" s="7675">
        <f t="shared" si="54"/>
        <v>1</v>
      </c>
      <c r="Q119" s="7675">
        <f t="shared" si="55"/>
        <v>1</v>
      </c>
      <c r="S119" s="7679" t="str">
        <f t="shared" si="87"/>
        <v>0</v>
      </c>
      <c r="T119" s="7680" t="str">
        <f t="shared" si="87"/>
        <v/>
      </c>
      <c r="V119" s="7677">
        <f t="shared" si="56"/>
        <v>119</v>
      </c>
      <c r="W119" s="7678" t="str">
        <f t="shared" si="86"/>
        <v>0</v>
      </c>
      <c r="X119" s="7677" t="s">
        <v>2</v>
      </c>
      <c r="Y119" s="7702" t="str">
        <f t="shared" si="57"/>
        <v>0</v>
      </c>
      <c r="Z119" s="7703" t="str">
        <f t="shared" si="58"/>
        <v/>
      </c>
      <c r="AA119" s="7681" t="str">
        <f t="shared" si="59"/>
        <v>0</v>
      </c>
      <c r="AB119" s="7682" t="str">
        <f t="shared" si="60"/>
        <v/>
      </c>
      <c r="AC119" s="7677">
        <f t="shared" si="61"/>
        <v>0</v>
      </c>
      <c r="AD119" s="7677">
        <f t="shared" si="62"/>
        <v>0</v>
      </c>
      <c r="AE119" s="7682" t="str">
        <f t="shared" si="63"/>
        <v>aucun match</v>
      </c>
      <c r="AF119" s="6625" t="str">
        <f t="shared" si="64"/>
        <v>0</v>
      </c>
      <c r="AG119" s="6625" t="str">
        <f t="shared" si="65"/>
        <v>0</v>
      </c>
      <c r="AH119" s="6625" t="str">
        <f t="shared" si="66"/>
        <v>0</v>
      </c>
      <c r="AI119" s="6625" t="str">
        <f t="shared" si="67"/>
        <v xml:space="preserve"> 0 </v>
      </c>
      <c r="AJ119" s="6625" cm="1">
        <f t="array" ref="AJ119">IF(W119="",0,SUMPRODUCT((CA4:CA795="Gluten")*(CB4:CB795="INFO")*(COUNTIF(AI119,"*"&amp;CC4:CC795&amp;"*")&gt;0)*1))</f>
        <v>0</v>
      </c>
      <c r="AK119" s="6625" cm="1">
        <f t="array" ref="AK119">IF(W119="",0,SUMPRODUCT((CA4:CA795="Gluten")*(CB4:CB795="EXCL")*(COUNTIF(AI119,"*"&amp;CC4:CC795&amp;"*")&gt;0)*1))</f>
        <v>0</v>
      </c>
      <c r="AL119" s="6625" cm="1">
        <f t="array" ref="AL119">IF(W119="",0,SUMPRODUCT((CA4:CA795="Gluten")*(CB4:CB795="ALERTE")*(COUNTIF(AI119,"*"&amp;CC4:CC795&amp;"*")&gt;0)*1))</f>
        <v>0</v>
      </c>
      <c r="AM119" s="6625" cm="1">
        <f t="array" ref="AM119">IF(W119="",0,SUMPRODUCT((CA4:CA795="Gluten")*(CB4:CB795="SUSP")*(COUNTIF(AI119,"*"&amp;CC4:CC795&amp;"*")&gt;0)*1))</f>
        <v>0</v>
      </c>
      <c r="AN119" s="6625" cm="1">
        <f t="array" ref="AN119">IF(W119="",0,SUMPRODUCT((CA4:CA795="Crustaces")*(CB4:CB795="ALERTE")*(COUNTIF(AI119,"*"&amp;CC4:CC795&amp;"*")&gt;0)*1))</f>
        <v>0</v>
      </c>
      <c r="AO119" s="6625" cm="1">
        <f t="array" ref="AO119">IF(W119="",0,SUMPRODUCT((CA4:CA795="Oeufs")*(CB4:CB795="ALERTE")*(COUNTIF(AI119,"*"&amp;CC4:CC795&amp;"*")&gt;0)*1))</f>
        <v>0</v>
      </c>
      <c r="AP119" s="6625" cm="1">
        <f t="array" ref="AP119">IF(W119="",0,SUMPRODUCT((CA4:CA795="Poissons")*(CB4:CB795="INFO")*(COUNTIF(AI119,"*"&amp;CC4:CC795&amp;"*")&gt;0)*1))</f>
        <v>0</v>
      </c>
      <c r="AQ119" s="6625" cm="1">
        <f t="array" ref="AQ119">IF(W119="",0,SUMPRODUCT((CA4:CA795="Poissons")*(CB4:CB795="EXCL")*(COUNTIF(AI119,"*"&amp;CC4:CC795&amp;"*")&gt;0)*1))</f>
        <v>0</v>
      </c>
      <c r="AR119" s="6625" cm="1">
        <f t="array" ref="AR119">IF(W119="",0,SUMPRODUCT((CA4:CA795="Poissons")*(CB4:CB795="ALERTE")*(COUNTIF(AI119,"*"&amp;CC4:CC795&amp;"*")&gt;0)*1))</f>
        <v>0</v>
      </c>
      <c r="AS119" s="6625" cm="1">
        <f t="array" ref="AS119">IF(W119="",0,SUMPRODUCT((CA4:CA795="Arachides")*(CB4:CB795="ALERTE")*(COUNTIF(AI119,"*"&amp;CC4:CC795&amp;"*")&gt;0)*1))</f>
        <v>0</v>
      </c>
      <c r="AT119" s="6625" cm="1">
        <f t="array" ref="AT119">IF(W119="",0,SUMPRODUCT((CA4:CA795="Soja")*(CB4:CB795="INFO")*(COUNTIF(AI119,"*"&amp;CC4:CC795&amp;"*")&gt;0)*1))</f>
        <v>0</v>
      </c>
      <c r="AU119" s="6625" cm="1">
        <f t="array" ref="AU119">IF(W119="",0,SUMPRODUCT((CA4:CA795="Soja")*(CB4:CB795="ALERTE")*(COUNTIF(AI119,"*"&amp;CC4:CC795&amp;"*")&gt;0)*1))</f>
        <v>0</v>
      </c>
      <c r="AV119" s="6625" cm="1">
        <f t="array" ref="AV119">IF(W119="",0,SUMPRODUCT((CA4:CA795="Lait")*(CB4:CB795="INFO")*(COUNTIF(AI119,"*"&amp;CC4:CC795&amp;"*")&gt;0)*1))</f>
        <v>0</v>
      </c>
      <c r="AW119" s="6625" cm="1">
        <f t="array" ref="AW119">IF(W119="",0,SUMPRODUCT((CA4:CA795="Lait")*(CB4:CB795="EXCL")*(COUNTIF(AI119,"*"&amp;CC4:CC795&amp;"*")&gt;0)*1))</f>
        <v>0</v>
      </c>
      <c r="AX119" s="6625" cm="1">
        <f t="array" ref="AX119">IF(W119="",0,SUMPRODUCT((CA4:CA795="Lait")*(CB4:CB795="ALERTE")*(COUNTIF(AI119,"*"&amp;CC4:CC795&amp;"*")&gt;0)*1))</f>
        <v>0</v>
      </c>
      <c r="AY119" s="6625" cm="1">
        <f t="array" ref="AY119">IF(W119="",0,SUMPRODUCT((CA4:CA795="Lait")*(CB4:CB795="SUSP")*(COUNTIF(AI119,"*"&amp;CC4:CC795&amp;"*")&gt;0)*1))</f>
        <v>0</v>
      </c>
      <c r="AZ119" s="6625" cm="1">
        <f t="array" ref="AZ119">IF(W119="",0,SUMPRODUCT((CA4:CA795="Fruits a coque")*(CB4:CB795="EXCL")*(COUNTIF(AI119,"*"&amp;CC4:CC795&amp;"*")&gt;0)*1))</f>
        <v>0</v>
      </c>
      <c r="BA119" s="6625" cm="1">
        <f t="array" ref="BA119">IF(W119="",0,SUMPRODUCT((CA4:CA795="Fruits a coque")*(CB4:CB795="ALERTE")*(COUNTIF(AI119,"*"&amp;CC4:CC795&amp;"*")&gt;0)*1))</f>
        <v>0</v>
      </c>
      <c r="BB119" s="6625" cm="1">
        <f t="array" ref="BB119">IF(W119="",0,SUMPRODUCT((CA4:CA795="Celeri")*(CB4:CB795="ALERTE")*(COUNTIF(AI119,"*"&amp;CC4:CC795&amp;"*")&gt;0)*1))</f>
        <v>0</v>
      </c>
      <c r="BC119" s="6625" cm="1">
        <f t="array" ref="BC119">IF(W119="",0,SUMPRODUCT((CA4:CA795="Moutarde")*(CB4:CB795="ALERTE")*(COUNTIF(AI119,"*"&amp;CC4:CC795&amp;"*")&gt;0)*1))</f>
        <v>0</v>
      </c>
      <c r="BD119" s="6625" cm="1">
        <f t="array" ref="BD119">IF(W119="",0,SUMPRODUCT((CA4:CA795="Sesame")*(CB4:CB795="ALERTE")*(COUNTIF(AI119,"*"&amp;CC4:CC795&amp;"*")&gt;0)*1))</f>
        <v>0</v>
      </c>
      <c r="BE119" s="6625" cm="1">
        <f t="array" ref="BE119">IF(W119="",0,SUMPRODUCT((CA4:CA795="Sulfites")*(CB4:CB795="ALERTE")*(COUNTIF(AI119,"*"&amp;CC4:CC795&amp;"*")&gt;0)*1))</f>
        <v>0</v>
      </c>
      <c r="BF119" s="6625" cm="1">
        <f t="array" ref="BF119">IF(W119="",0,SUMPRODUCT((CA4:CA795="Lupin")*(CB4:CB795="ALERTE")*(COUNTIF(AI119,"*"&amp;CC4:CC795&amp;"*")&gt;0)*1))</f>
        <v>0</v>
      </c>
      <c r="BG119" s="6625" cm="1">
        <f t="array" ref="BG119">IF(W119="",0,SUMPRODUCT((CA4:CA795="Mollusques")*(CB4:CB795="EXCL")*(COUNTIF(AI119,"*"&amp;CC4:CC795&amp;"*")&gt;0)*1))</f>
        <v>0</v>
      </c>
      <c r="BH119" s="6625" cm="1">
        <f t="array" ref="BH119">IF(W119="",0,SUMPRODUCT((CA4:CA795="Mollusques")*(CB4:CB795="ALERTE")*(COUNTIF(AI119,"*"&amp;CC4:CC795&amp;"*")&gt;0)*1))</f>
        <v>0</v>
      </c>
      <c r="BI119" s="6625" t="str">
        <f t="shared" si="68"/>
        <v/>
      </c>
      <c r="BJ119" s="6625" t="str">
        <f t="shared" si="69"/>
        <v/>
      </c>
      <c r="BK119" s="6625" t="str">
        <f t="shared" si="70"/>
        <v/>
      </c>
      <c r="BL119" s="6625" t="str">
        <f t="shared" si="71"/>
        <v/>
      </c>
      <c r="BM119" s="6625" t="str">
        <f t="shared" si="72"/>
        <v/>
      </c>
      <c r="BN119" s="6625" t="str">
        <f t="shared" si="73"/>
        <v/>
      </c>
      <c r="BO119" s="6625" t="str">
        <f t="shared" si="74"/>
        <v/>
      </c>
      <c r="BP119" s="6625" t="str">
        <f t="shared" si="75"/>
        <v/>
      </c>
      <c r="BQ119" s="6625" t="str">
        <f t="shared" si="76"/>
        <v/>
      </c>
      <c r="BR119" s="6625" t="str">
        <f t="shared" si="77"/>
        <v/>
      </c>
      <c r="BS119" s="6625" t="str">
        <f t="shared" si="78"/>
        <v/>
      </c>
      <c r="BT119" s="6625" t="str">
        <f t="shared" si="79"/>
        <v/>
      </c>
      <c r="BU119" s="6625" t="str">
        <f t="shared" si="80"/>
        <v/>
      </c>
      <c r="BV119" s="6625" t="str">
        <f t="shared" si="81"/>
        <v/>
      </c>
      <c r="BW119" s="6625" t="str">
        <f t="shared" si="82"/>
        <v/>
      </c>
      <c r="BX119" s="6625" t="str">
        <f t="shared" si="83"/>
        <v/>
      </c>
      <c r="CA119" s="3170" t="s">
        <v>16501</v>
      </c>
      <c r="CB119" s="7634" t="s">
        <v>16255</v>
      </c>
      <c r="CC119" s="3170" t="s">
        <v>16567</v>
      </c>
      <c r="CD119" s="3170" t="s">
        <v>16568</v>
      </c>
    </row>
    <row r="120" spans="2:82" ht="30" customHeight="1">
      <c r="B120" s="7661" t="str">
        <f t="shared" si="44"/>
        <v/>
      </c>
      <c r="C120" s="7661" t="str">
        <f t="shared" si="45"/>
        <v/>
      </c>
      <c r="D120" s="7661" t="str">
        <f t="shared" si="46"/>
        <v/>
      </c>
      <c r="E120" s="7661">
        <f>IF(H119&lt;&gt;"",E119,IF(E119="","",IFERROR(MATCH(TRUE(),INDEX(INDEX($K:$K,E119+1):$K$203&lt;&gt;"",0),0)+E119,"")))</f>
        <v>295</v>
      </c>
      <c r="F120" s="7661">
        <f t="shared" si="84"/>
        <v>0</v>
      </c>
      <c r="G120" s="7661" t="str">
        <f t="shared" si="47"/>
        <v>0</v>
      </c>
      <c r="H120" s="7672" t="str">
        <f t="shared" si="48"/>
        <v/>
      </c>
      <c r="I120" s="7683" t="str">
        <f t="shared" si="49"/>
        <v/>
      </c>
      <c r="J120" s="7673" t="str">
        <f>IF(K120="","",COUNTIF($K$18:K120,"&lt;&gt;"))</f>
        <v/>
      </c>
      <c r="K120" s="7674"/>
      <c r="L120" s="7673" t="str">
        <f t="shared" si="50"/>
        <v/>
      </c>
      <c r="M120" s="7630">
        <f t="shared" si="51"/>
        <v>1</v>
      </c>
      <c r="N120" s="7675">
        <f t="shared" si="52"/>
        <v>103</v>
      </c>
      <c r="O120" s="7676" t="str">
        <f t="shared" si="53"/>
        <v>0</v>
      </c>
      <c r="P120" s="7675">
        <f t="shared" si="54"/>
        <v>1</v>
      </c>
      <c r="Q120" s="7675">
        <f t="shared" si="55"/>
        <v>1</v>
      </c>
      <c r="S120" s="7679" t="str">
        <f t="shared" si="87"/>
        <v>0</v>
      </c>
      <c r="T120" s="7680" t="str">
        <f t="shared" si="87"/>
        <v/>
      </c>
      <c r="V120" s="7677">
        <f t="shared" si="56"/>
        <v>120</v>
      </c>
      <c r="W120" s="7678" t="str">
        <f t="shared" si="86"/>
        <v>0</v>
      </c>
      <c r="X120" s="7677" t="s">
        <v>2</v>
      </c>
      <c r="Y120" s="7702" t="str">
        <f t="shared" si="57"/>
        <v>0</v>
      </c>
      <c r="Z120" s="7703" t="str">
        <f t="shared" si="58"/>
        <v/>
      </c>
      <c r="AA120" s="7681" t="str">
        <f t="shared" si="59"/>
        <v>0</v>
      </c>
      <c r="AB120" s="7682" t="str">
        <f t="shared" si="60"/>
        <v/>
      </c>
      <c r="AC120" s="7677">
        <f t="shared" si="61"/>
        <v>0</v>
      </c>
      <c r="AD120" s="7677">
        <f t="shared" si="62"/>
        <v>0</v>
      </c>
      <c r="AE120" s="7682" t="str">
        <f t="shared" si="63"/>
        <v>aucun match</v>
      </c>
      <c r="AF120" s="6625" t="str">
        <f t="shared" si="64"/>
        <v>0</v>
      </c>
      <c r="AG120" s="6625" t="str">
        <f t="shared" si="65"/>
        <v>0</v>
      </c>
      <c r="AH120" s="6625" t="str">
        <f t="shared" si="66"/>
        <v>0</v>
      </c>
      <c r="AI120" s="6625" t="str">
        <f t="shared" si="67"/>
        <v xml:space="preserve"> 0 </v>
      </c>
      <c r="AJ120" s="6625" cm="1">
        <f t="array" ref="AJ120">IF(W120="",0,SUMPRODUCT((CA4:CA795="Gluten")*(CB4:CB795="INFO")*(COUNTIF(AI120,"*"&amp;CC4:CC795&amp;"*")&gt;0)*1))</f>
        <v>0</v>
      </c>
      <c r="AK120" s="6625" cm="1">
        <f t="array" ref="AK120">IF(W120="",0,SUMPRODUCT((CA4:CA795="Gluten")*(CB4:CB795="EXCL")*(COUNTIF(AI120,"*"&amp;CC4:CC795&amp;"*")&gt;0)*1))</f>
        <v>0</v>
      </c>
      <c r="AL120" s="6625" cm="1">
        <f t="array" ref="AL120">IF(W120="",0,SUMPRODUCT((CA4:CA795="Gluten")*(CB4:CB795="ALERTE")*(COUNTIF(AI120,"*"&amp;CC4:CC795&amp;"*")&gt;0)*1))</f>
        <v>0</v>
      </c>
      <c r="AM120" s="6625" cm="1">
        <f t="array" ref="AM120">IF(W120="",0,SUMPRODUCT((CA4:CA795="Gluten")*(CB4:CB795="SUSP")*(COUNTIF(AI120,"*"&amp;CC4:CC795&amp;"*")&gt;0)*1))</f>
        <v>0</v>
      </c>
      <c r="AN120" s="6625" cm="1">
        <f t="array" ref="AN120">IF(W120="",0,SUMPRODUCT((CA4:CA795="Crustaces")*(CB4:CB795="ALERTE")*(COUNTIF(AI120,"*"&amp;CC4:CC795&amp;"*")&gt;0)*1))</f>
        <v>0</v>
      </c>
      <c r="AO120" s="6625" cm="1">
        <f t="array" ref="AO120">IF(W120="",0,SUMPRODUCT((CA4:CA795="Oeufs")*(CB4:CB795="ALERTE")*(COUNTIF(AI120,"*"&amp;CC4:CC795&amp;"*")&gt;0)*1))</f>
        <v>0</v>
      </c>
      <c r="AP120" s="6625" cm="1">
        <f t="array" ref="AP120">IF(W120="",0,SUMPRODUCT((CA4:CA795="Poissons")*(CB4:CB795="INFO")*(COUNTIF(AI120,"*"&amp;CC4:CC795&amp;"*")&gt;0)*1))</f>
        <v>0</v>
      </c>
      <c r="AQ120" s="6625" cm="1">
        <f t="array" ref="AQ120">IF(W120="",0,SUMPRODUCT((CA4:CA795="Poissons")*(CB4:CB795="EXCL")*(COUNTIF(AI120,"*"&amp;CC4:CC795&amp;"*")&gt;0)*1))</f>
        <v>0</v>
      </c>
      <c r="AR120" s="6625" cm="1">
        <f t="array" ref="AR120">IF(W120="",0,SUMPRODUCT((CA4:CA795="Poissons")*(CB4:CB795="ALERTE")*(COUNTIF(AI120,"*"&amp;CC4:CC795&amp;"*")&gt;0)*1))</f>
        <v>0</v>
      </c>
      <c r="AS120" s="6625" cm="1">
        <f t="array" ref="AS120">IF(W120="",0,SUMPRODUCT((CA4:CA795="Arachides")*(CB4:CB795="ALERTE")*(COUNTIF(AI120,"*"&amp;CC4:CC795&amp;"*")&gt;0)*1))</f>
        <v>0</v>
      </c>
      <c r="AT120" s="6625" cm="1">
        <f t="array" ref="AT120">IF(W120="",0,SUMPRODUCT((CA4:CA795="Soja")*(CB4:CB795="INFO")*(COUNTIF(AI120,"*"&amp;CC4:CC795&amp;"*")&gt;0)*1))</f>
        <v>0</v>
      </c>
      <c r="AU120" s="6625" cm="1">
        <f t="array" ref="AU120">IF(W120="",0,SUMPRODUCT((CA4:CA795="Soja")*(CB4:CB795="ALERTE")*(COUNTIF(AI120,"*"&amp;CC4:CC795&amp;"*")&gt;0)*1))</f>
        <v>0</v>
      </c>
      <c r="AV120" s="6625" cm="1">
        <f t="array" ref="AV120">IF(W120="",0,SUMPRODUCT((CA4:CA795="Lait")*(CB4:CB795="INFO")*(COUNTIF(AI120,"*"&amp;CC4:CC795&amp;"*")&gt;0)*1))</f>
        <v>0</v>
      </c>
      <c r="AW120" s="6625" cm="1">
        <f t="array" ref="AW120">IF(W120="",0,SUMPRODUCT((CA4:CA795="Lait")*(CB4:CB795="EXCL")*(COUNTIF(AI120,"*"&amp;CC4:CC795&amp;"*")&gt;0)*1))</f>
        <v>0</v>
      </c>
      <c r="AX120" s="6625" cm="1">
        <f t="array" ref="AX120">IF(W120="",0,SUMPRODUCT((CA4:CA795="Lait")*(CB4:CB795="ALERTE")*(COUNTIF(AI120,"*"&amp;CC4:CC795&amp;"*")&gt;0)*1))</f>
        <v>0</v>
      </c>
      <c r="AY120" s="6625" cm="1">
        <f t="array" ref="AY120">IF(W120="",0,SUMPRODUCT((CA4:CA795="Lait")*(CB4:CB795="SUSP")*(COUNTIF(AI120,"*"&amp;CC4:CC795&amp;"*")&gt;0)*1))</f>
        <v>0</v>
      </c>
      <c r="AZ120" s="6625" cm="1">
        <f t="array" ref="AZ120">IF(W120="",0,SUMPRODUCT((CA4:CA795="Fruits a coque")*(CB4:CB795="EXCL")*(COUNTIF(AI120,"*"&amp;CC4:CC795&amp;"*")&gt;0)*1))</f>
        <v>0</v>
      </c>
      <c r="BA120" s="6625" cm="1">
        <f t="array" ref="BA120">IF(W120="",0,SUMPRODUCT((CA4:CA795="Fruits a coque")*(CB4:CB795="ALERTE")*(COUNTIF(AI120,"*"&amp;CC4:CC795&amp;"*")&gt;0)*1))</f>
        <v>0</v>
      </c>
      <c r="BB120" s="6625" cm="1">
        <f t="array" ref="BB120">IF(W120="",0,SUMPRODUCT((CA4:CA795="Celeri")*(CB4:CB795="ALERTE")*(COUNTIF(AI120,"*"&amp;CC4:CC795&amp;"*")&gt;0)*1))</f>
        <v>0</v>
      </c>
      <c r="BC120" s="6625" cm="1">
        <f t="array" ref="BC120">IF(W120="",0,SUMPRODUCT((CA4:CA795="Moutarde")*(CB4:CB795="ALERTE")*(COUNTIF(AI120,"*"&amp;CC4:CC795&amp;"*")&gt;0)*1))</f>
        <v>0</v>
      </c>
      <c r="BD120" s="6625" cm="1">
        <f t="array" ref="BD120">IF(W120="",0,SUMPRODUCT((CA4:CA795="Sesame")*(CB4:CB795="ALERTE")*(COUNTIF(AI120,"*"&amp;CC4:CC795&amp;"*")&gt;0)*1))</f>
        <v>0</v>
      </c>
      <c r="BE120" s="6625" cm="1">
        <f t="array" ref="BE120">IF(W120="",0,SUMPRODUCT((CA4:CA795="Sulfites")*(CB4:CB795="ALERTE")*(COUNTIF(AI120,"*"&amp;CC4:CC795&amp;"*")&gt;0)*1))</f>
        <v>0</v>
      </c>
      <c r="BF120" s="6625" cm="1">
        <f t="array" ref="BF120">IF(W120="",0,SUMPRODUCT((CA4:CA795="Lupin")*(CB4:CB795="ALERTE")*(COUNTIF(AI120,"*"&amp;CC4:CC795&amp;"*")&gt;0)*1))</f>
        <v>0</v>
      </c>
      <c r="BG120" s="6625" cm="1">
        <f t="array" ref="BG120">IF(W120="",0,SUMPRODUCT((CA4:CA795="Mollusques")*(CB4:CB795="EXCL")*(COUNTIF(AI120,"*"&amp;CC4:CC795&amp;"*")&gt;0)*1))</f>
        <v>0</v>
      </c>
      <c r="BH120" s="6625" cm="1">
        <f t="array" ref="BH120">IF(W120="",0,SUMPRODUCT((CA4:CA795="Mollusques")*(CB4:CB795="ALERTE")*(COUNTIF(AI120,"*"&amp;CC4:CC795&amp;"*")&gt;0)*1))</f>
        <v>0</v>
      </c>
      <c r="BI120" s="6625" t="str">
        <f t="shared" si="68"/>
        <v/>
      </c>
      <c r="BJ120" s="6625" t="str">
        <f t="shared" si="69"/>
        <v/>
      </c>
      <c r="BK120" s="6625" t="str">
        <f t="shared" si="70"/>
        <v/>
      </c>
      <c r="BL120" s="6625" t="str">
        <f t="shared" si="71"/>
        <v/>
      </c>
      <c r="BM120" s="6625" t="str">
        <f t="shared" si="72"/>
        <v/>
      </c>
      <c r="BN120" s="6625" t="str">
        <f t="shared" si="73"/>
        <v/>
      </c>
      <c r="BO120" s="6625" t="str">
        <f t="shared" si="74"/>
        <v/>
      </c>
      <c r="BP120" s="6625" t="str">
        <f t="shared" si="75"/>
        <v/>
      </c>
      <c r="BQ120" s="6625" t="str">
        <f t="shared" si="76"/>
        <v/>
      </c>
      <c r="BR120" s="6625" t="str">
        <f t="shared" si="77"/>
        <v/>
      </c>
      <c r="BS120" s="6625" t="str">
        <f t="shared" si="78"/>
        <v/>
      </c>
      <c r="BT120" s="6625" t="str">
        <f t="shared" si="79"/>
        <v/>
      </c>
      <c r="BU120" s="6625" t="str">
        <f t="shared" si="80"/>
        <v/>
      </c>
      <c r="BV120" s="6625" t="str">
        <f t="shared" si="81"/>
        <v/>
      </c>
      <c r="BW120" s="6625" t="str">
        <f t="shared" si="82"/>
        <v/>
      </c>
      <c r="BX120" s="6625" t="str">
        <f t="shared" si="83"/>
        <v/>
      </c>
      <c r="CA120" s="3170" t="s">
        <v>16501</v>
      </c>
      <c r="CB120" s="7634" t="s">
        <v>16255</v>
      </c>
      <c r="CC120" s="3170" t="s">
        <v>16569</v>
      </c>
      <c r="CD120" s="3170" t="s">
        <v>16570</v>
      </c>
    </row>
    <row r="121" spans="2:82" ht="30" customHeight="1">
      <c r="B121" s="7661" t="str">
        <f t="shared" si="44"/>
        <v/>
      </c>
      <c r="C121" s="7661" t="str">
        <f t="shared" si="45"/>
        <v/>
      </c>
      <c r="D121" s="7661" t="str">
        <f t="shared" si="46"/>
        <v/>
      </c>
      <c r="E121" s="7661">
        <f>IF(H120&lt;&gt;"",E120,IF(E120="","",IFERROR(MATCH(TRUE(),INDEX(INDEX($K:$K,E120+1):$K$203&lt;&gt;"",0),0)+E120,"")))</f>
        <v>296</v>
      </c>
      <c r="F121" s="7661">
        <f t="shared" si="84"/>
        <v>0</v>
      </c>
      <c r="G121" s="7661" t="str">
        <f t="shared" si="47"/>
        <v>0</v>
      </c>
      <c r="H121" s="7672" t="str">
        <f t="shared" si="48"/>
        <v/>
      </c>
      <c r="I121" s="7683" t="str">
        <f t="shared" si="49"/>
        <v/>
      </c>
      <c r="J121" s="7673" t="str">
        <f>IF(K121="","",COUNTIF($K$18:K121,"&lt;&gt;"))</f>
        <v/>
      </c>
      <c r="K121" s="7674"/>
      <c r="L121" s="7673" t="str">
        <f t="shared" si="50"/>
        <v/>
      </c>
      <c r="M121" s="7630">
        <f t="shared" si="51"/>
        <v>1</v>
      </c>
      <c r="N121" s="7675">
        <f t="shared" si="52"/>
        <v>104</v>
      </c>
      <c r="O121" s="7676" t="str">
        <f t="shared" si="53"/>
        <v>0</v>
      </c>
      <c r="P121" s="7675">
        <f t="shared" si="54"/>
        <v>1</v>
      </c>
      <c r="Q121" s="7675">
        <f t="shared" si="55"/>
        <v>1</v>
      </c>
      <c r="S121" s="7679" t="str">
        <f t="shared" si="87"/>
        <v>0</v>
      </c>
      <c r="T121" s="7680" t="str">
        <f t="shared" si="87"/>
        <v/>
      </c>
      <c r="V121" s="7677">
        <f t="shared" si="56"/>
        <v>121</v>
      </c>
      <c r="W121" s="7678" t="str">
        <f t="shared" si="86"/>
        <v>0</v>
      </c>
      <c r="X121" s="7677" t="s">
        <v>2</v>
      </c>
      <c r="Y121" s="7702" t="str">
        <f t="shared" si="57"/>
        <v>0</v>
      </c>
      <c r="Z121" s="7703" t="str">
        <f t="shared" si="58"/>
        <v/>
      </c>
      <c r="AA121" s="7681" t="str">
        <f t="shared" si="59"/>
        <v>0</v>
      </c>
      <c r="AB121" s="7682" t="str">
        <f t="shared" si="60"/>
        <v/>
      </c>
      <c r="AC121" s="7677">
        <f t="shared" si="61"/>
        <v>0</v>
      </c>
      <c r="AD121" s="7677">
        <f t="shared" si="62"/>
        <v>0</v>
      </c>
      <c r="AE121" s="7682" t="str">
        <f t="shared" si="63"/>
        <v>aucun match</v>
      </c>
      <c r="AF121" s="6625" t="str">
        <f t="shared" si="64"/>
        <v>0</v>
      </c>
      <c r="AG121" s="6625" t="str">
        <f t="shared" si="65"/>
        <v>0</v>
      </c>
      <c r="AH121" s="6625" t="str">
        <f t="shared" si="66"/>
        <v>0</v>
      </c>
      <c r="AI121" s="6625" t="str">
        <f t="shared" si="67"/>
        <v xml:space="preserve"> 0 </v>
      </c>
      <c r="AJ121" s="6625" cm="1">
        <f t="array" ref="AJ121">IF(W121="",0,SUMPRODUCT((CA4:CA795="Gluten")*(CB4:CB795="INFO")*(COUNTIF(AI121,"*"&amp;CC4:CC795&amp;"*")&gt;0)*1))</f>
        <v>0</v>
      </c>
      <c r="AK121" s="6625" cm="1">
        <f t="array" ref="AK121">IF(W121="",0,SUMPRODUCT((CA4:CA795="Gluten")*(CB4:CB795="EXCL")*(COUNTIF(AI121,"*"&amp;CC4:CC795&amp;"*")&gt;0)*1))</f>
        <v>0</v>
      </c>
      <c r="AL121" s="6625" cm="1">
        <f t="array" ref="AL121">IF(W121="",0,SUMPRODUCT((CA4:CA795="Gluten")*(CB4:CB795="ALERTE")*(COUNTIF(AI121,"*"&amp;CC4:CC795&amp;"*")&gt;0)*1))</f>
        <v>0</v>
      </c>
      <c r="AM121" s="6625" cm="1">
        <f t="array" ref="AM121">IF(W121="",0,SUMPRODUCT((CA4:CA795="Gluten")*(CB4:CB795="SUSP")*(COUNTIF(AI121,"*"&amp;CC4:CC795&amp;"*")&gt;0)*1))</f>
        <v>0</v>
      </c>
      <c r="AN121" s="6625" cm="1">
        <f t="array" ref="AN121">IF(W121="",0,SUMPRODUCT((CA4:CA795="Crustaces")*(CB4:CB795="ALERTE")*(COUNTIF(AI121,"*"&amp;CC4:CC795&amp;"*")&gt;0)*1))</f>
        <v>0</v>
      </c>
      <c r="AO121" s="6625" cm="1">
        <f t="array" ref="AO121">IF(W121="",0,SUMPRODUCT((CA4:CA795="Oeufs")*(CB4:CB795="ALERTE")*(COUNTIF(AI121,"*"&amp;CC4:CC795&amp;"*")&gt;0)*1))</f>
        <v>0</v>
      </c>
      <c r="AP121" s="6625" cm="1">
        <f t="array" ref="AP121">IF(W121="",0,SUMPRODUCT((CA4:CA795="Poissons")*(CB4:CB795="INFO")*(COUNTIF(AI121,"*"&amp;CC4:CC795&amp;"*")&gt;0)*1))</f>
        <v>0</v>
      </c>
      <c r="AQ121" s="6625" cm="1">
        <f t="array" ref="AQ121">IF(W121="",0,SUMPRODUCT((CA4:CA795="Poissons")*(CB4:CB795="EXCL")*(COUNTIF(AI121,"*"&amp;CC4:CC795&amp;"*")&gt;0)*1))</f>
        <v>0</v>
      </c>
      <c r="AR121" s="6625" cm="1">
        <f t="array" ref="AR121">IF(W121="",0,SUMPRODUCT((CA4:CA795="Poissons")*(CB4:CB795="ALERTE")*(COUNTIF(AI121,"*"&amp;CC4:CC795&amp;"*")&gt;0)*1))</f>
        <v>0</v>
      </c>
      <c r="AS121" s="6625" cm="1">
        <f t="array" ref="AS121">IF(W121="",0,SUMPRODUCT((CA4:CA795="Arachides")*(CB4:CB795="ALERTE")*(COUNTIF(AI121,"*"&amp;CC4:CC795&amp;"*")&gt;0)*1))</f>
        <v>0</v>
      </c>
      <c r="AT121" s="6625" cm="1">
        <f t="array" ref="AT121">IF(W121="",0,SUMPRODUCT((CA4:CA795="Soja")*(CB4:CB795="INFO")*(COUNTIF(AI121,"*"&amp;CC4:CC795&amp;"*")&gt;0)*1))</f>
        <v>0</v>
      </c>
      <c r="AU121" s="6625" cm="1">
        <f t="array" ref="AU121">IF(W121="",0,SUMPRODUCT((CA4:CA795="Soja")*(CB4:CB795="ALERTE")*(COUNTIF(AI121,"*"&amp;CC4:CC795&amp;"*")&gt;0)*1))</f>
        <v>0</v>
      </c>
      <c r="AV121" s="6625" cm="1">
        <f t="array" ref="AV121">IF(W121="",0,SUMPRODUCT((CA4:CA795="Lait")*(CB4:CB795="INFO")*(COUNTIF(AI121,"*"&amp;CC4:CC795&amp;"*")&gt;0)*1))</f>
        <v>0</v>
      </c>
      <c r="AW121" s="6625" cm="1">
        <f t="array" ref="AW121">IF(W121="",0,SUMPRODUCT((CA4:CA795="Lait")*(CB4:CB795="EXCL")*(COUNTIF(AI121,"*"&amp;CC4:CC795&amp;"*")&gt;0)*1))</f>
        <v>0</v>
      </c>
      <c r="AX121" s="6625" cm="1">
        <f t="array" ref="AX121">IF(W121="",0,SUMPRODUCT((CA4:CA795="Lait")*(CB4:CB795="ALERTE")*(COUNTIF(AI121,"*"&amp;CC4:CC795&amp;"*")&gt;0)*1))</f>
        <v>0</v>
      </c>
      <c r="AY121" s="6625" cm="1">
        <f t="array" ref="AY121">IF(W121="",0,SUMPRODUCT((CA4:CA795="Lait")*(CB4:CB795="SUSP")*(COUNTIF(AI121,"*"&amp;CC4:CC795&amp;"*")&gt;0)*1))</f>
        <v>0</v>
      </c>
      <c r="AZ121" s="6625" cm="1">
        <f t="array" ref="AZ121">IF(W121="",0,SUMPRODUCT((CA4:CA795="Fruits a coque")*(CB4:CB795="EXCL")*(COUNTIF(AI121,"*"&amp;CC4:CC795&amp;"*")&gt;0)*1))</f>
        <v>0</v>
      </c>
      <c r="BA121" s="6625" cm="1">
        <f t="array" ref="BA121">IF(W121="",0,SUMPRODUCT((CA4:CA795="Fruits a coque")*(CB4:CB795="ALERTE")*(COUNTIF(AI121,"*"&amp;CC4:CC795&amp;"*")&gt;0)*1))</f>
        <v>0</v>
      </c>
      <c r="BB121" s="6625" cm="1">
        <f t="array" ref="BB121">IF(W121="",0,SUMPRODUCT((CA4:CA795="Celeri")*(CB4:CB795="ALERTE")*(COUNTIF(AI121,"*"&amp;CC4:CC795&amp;"*")&gt;0)*1))</f>
        <v>0</v>
      </c>
      <c r="BC121" s="6625" cm="1">
        <f t="array" ref="BC121">IF(W121="",0,SUMPRODUCT((CA4:CA795="Moutarde")*(CB4:CB795="ALERTE")*(COUNTIF(AI121,"*"&amp;CC4:CC795&amp;"*")&gt;0)*1))</f>
        <v>0</v>
      </c>
      <c r="BD121" s="6625" cm="1">
        <f t="array" ref="BD121">IF(W121="",0,SUMPRODUCT((CA4:CA795="Sesame")*(CB4:CB795="ALERTE")*(COUNTIF(AI121,"*"&amp;CC4:CC795&amp;"*")&gt;0)*1))</f>
        <v>0</v>
      </c>
      <c r="BE121" s="6625" cm="1">
        <f t="array" ref="BE121">IF(W121="",0,SUMPRODUCT((CA4:CA795="Sulfites")*(CB4:CB795="ALERTE")*(COUNTIF(AI121,"*"&amp;CC4:CC795&amp;"*")&gt;0)*1))</f>
        <v>0</v>
      </c>
      <c r="BF121" s="6625" cm="1">
        <f t="array" ref="BF121">IF(W121="",0,SUMPRODUCT((CA4:CA795="Lupin")*(CB4:CB795="ALERTE")*(COUNTIF(AI121,"*"&amp;CC4:CC795&amp;"*")&gt;0)*1))</f>
        <v>0</v>
      </c>
      <c r="BG121" s="6625" cm="1">
        <f t="array" ref="BG121">IF(W121="",0,SUMPRODUCT((CA4:CA795="Mollusques")*(CB4:CB795="EXCL")*(COUNTIF(AI121,"*"&amp;CC4:CC795&amp;"*")&gt;0)*1))</f>
        <v>0</v>
      </c>
      <c r="BH121" s="6625" cm="1">
        <f t="array" ref="BH121">IF(W121="",0,SUMPRODUCT((CA4:CA795="Mollusques")*(CB4:CB795="ALERTE")*(COUNTIF(AI121,"*"&amp;CC4:CC795&amp;"*")&gt;0)*1))</f>
        <v>0</v>
      </c>
      <c r="BI121" s="6625" t="str">
        <f t="shared" si="68"/>
        <v/>
      </c>
      <c r="BJ121" s="6625" t="str">
        <f t="shared" si="69"/>
        <v/>
      </c>
      <c r="BK121" s="6625" t="str">
        <f t="shared" si="70"/>
        <v/>
      </c>
      <c r="BL121" s="6625" t="str">
        <f t="shared" si="71"/>
        <v/>
      </c>
      <c r="BM121" s="6625" t="str">
        <f t="shared" si="72"/>
        <v/>
      </c>
      <c r="BN121" s="6625" t="str">
        <f t="shared" si="73"/>
        <v/>
      </c>
      <c r="BO121" s="6625" t="str">
        <f t="shared" si="74"/>
        <v/>
      </c>
      <c r="BP121" s="6625" t="str">
        <f t="shared" si="75"/>
        <v/>
      </c>
      <c r="BQ121" s="6625" t="str">
        <f t="shared" si="76"/>
        <v/>
      </c>
      <c r="BR121" s="6625" t="str">
        <f t="shared" si="77"/>
        <v/>
      </c>
      <c r="BS121" s="6625" t="str">
        <f t="shared" si="78"/>
        <v/>
      </c>
      <c r="BT121" s="6625" t="str">
        <f t="shared" si="79"/>
        <v/>
      </c>
      <c r="BU121" s="6625" t="str">
        <f t="shared" si="80"/>
        <v/>
      </c>
      <c r="BV121" s="6625" t="str">
        <f t="shared" si="81"/>
        <v/>
      </c>
      <c r="BW121" s="6625" t="str">
        <f t="shared" si="82"/>
        <v/>
      </c>
      <c r="BX121" s="6625" t="str">
        <f t="shared" si="83"/>
        <v/>
      </c>
      <c r="CA121" s="3170" t="s">
        <v>16501</v>
      </c>
      <c r="CB121" s="7634" t="s">
        <v>16255</v>
      </c>
      <c r="CC121" s="3170" t="s">
        <v>16571</v>
      </c>
      <c r="CD121" s="3170" t="s">
        <v>16572</v>
      </c>
    </row>
    <row r="122" spans="2:82" ht="30" customHeight="1">
      <c r="B122" s="7661" t="str">
        <f t="shared" si="44"/>
        <v/>
      </c>
      <c r="C122" s="7661" t="str">
        <f t="shared" si="45"/>
        <v/>
      </c>
      <c r="D122" s="7661" t="str">
        <f t="shared" si="46"/>
        <v/>
      </c>
      <c r="E122" s="7661">
        <f>IF(H121&lt;&gt;"",E121,IF(E121="","",IFERROR(MATCH(TRUE(),INDEX(INDEX($K:$K,E121+1):$K$203&lt;&gt;"",0),0)+E121,"")))</f>
        <v>297</v>
      </c>
      <c r="F122" s="7661">
        <f t="shared" si="84"/>
        <v>0</v>
      </c>
      <c r="G122" s="7661" t="str">
        <f t="shared" si="47"/>
        <v>0</v>
      </c>
      <c r="H122" s="7672" t="str">
        <f t="shared" si="48"/>
        <v/>
      </c>
      <c r="I122" s="7683" t="str">
        <f t="shared" si="49"/>
        <v/>
      </c>
      <c r="J122" s="7673" t="str">
        <f>IF(K122="","",COUNTIF($K$18:K122,"&lt;&gt;"))</f>
        <v/>
      </c>
      <c r="K122" s="7674"/>
      <c r="L122" s="7673" t="str">
        <f t="shared" si="50"/>
        <v/>
      </c>
      <c r="M122" s="7630">
        <f t="shared" si="51"/>
        <v>1</v>
      </c>
      <c r="N122" s="7675">
        <f t="shared" si="52"/>
        <v>105</v>
      </c>
      <c r="O122" s="7676" t="str">
        <f t="shared" si="53"/>
        <v>0</v>
      </c>
      <c r="P122" s="7675">
        <f t="shared" si="54"/>
        <v>1</v>
      </c>
      <c r="Q122" s="7675">
        <f t="shared" si="55"/>
        <v>1</v>
      </c>
      <c r="S122" s="7679" t="str">
        <f t="shared" si="87"/>
        <v>0</v>
      </c>
      <c r="T122" s="7680" t="str">
        <f t="shared" si="87"/>
        <v/>
      </c>
      <c r="V122" s="7677">
        <f t="shared" si="56"/>
        <v>122</v>
      </c>
      <c r="W122" s="7678" t="str">
        <f t="shared" si="86"/>
        <v>0</v>
      </c>
      <c r="X122" s="7677" t="s">
        <v>2</v>
      </c>
      <c r="Y122" s="7702" t="str">
        <f t="shared" si="57"/>
        <v>0</v>
      </c>
      <c r="Z122" s="7703" t="str">
        <f t="shared" si="58"/>
        <v/>
      </c>
      <c r="AA122" s="7681" t="str">
        <f t="shared" si="59"/>
        <v>0</v>
      </c>
      <c r="AB122" s="7682" t="str">
        <f t="shared" si="60"/>
        <v/>
      </c>
      <c r="AC122" s="7677">
        <f t="shared" si="61"/>
        <v>0</v>
      </c>
      <c r="AD122" s="7677">
        <f t="shared" si="62"/>
        <v>0</v>
      </c>
      <c r="AE122" s="7682" t="str">
        <f t="shared" si="63"/>
        <v>aucun match</v>
      </c>
      <c r="AF122" s="6625" t="str">
        <f t="shared" si="64"/>
        <v>0</v>
      </c>
      <c r="AG122" s="6625" t="str">
        <f t="shared" si="65"/>
        <v>0</v>
      </c>
      <c r="AH122" s="6625" t="str">
        <f t="shared" si="66"/>
        <v>0</v>
      </c>
      <c r="AI122" s="6625" t="str">
        <f t="shared" si="67"/>
        <v xml:space="preserve"> 0 </v>
      </c>
      <c r="AJ122" s="6625" cm="1">
        <f t="array" ref="AJ122">IF(W122="",0,SUMPRODUCT((CA4:CA795="Gluten")*(CB4:CB795="INFO")*(COUNTIF(AI122,"*"&amp;CC4:CC795&amp;"*")&gt;0)*1))</f>
        <v>0</v>
      </c>
      <c r="AK122" s="6625" cm="1">
        <f t="array" ref="AK122">IF(W122="",0,SUMPRODUCT((CA4:CA795="Gluten")*(CB4:CB795="EXCL")*(COUNTIF(AI122,"*"&amp;CC4:CC795&amp;"*")&gt;0)*1))</f>
        <v>0</v>
      </c>
      <c r="AL122" s="6625" cm="1">
        <f t="array" ref="AL122">IF(W122="",0,SUMPRODUCT((CA4:CA795="Gluten")*(CB4:CB795="ALERTE")*(COUNTIF(AI122,"*"&amp;CC4:CC795&amp;"*")&gt;0)*1))</f>
        <v>0</v>
      </c>
      <c r="AM122" s="6625" cm="1">
        <f t="array" ref="AM122">IF(W122="",0,SUMPRODUCT((CA4:CA795="Gluten")*(CB4:CB795="SUSP")*(COUNTIF(AI122,"*"&amp;CC4:CC795&amp;"*")&gt;0)*1))</f>
        <v>0</v>
      </c>
      <c r="AN122" s="6625" cm="1">
        <f t="array" ref="AN122">IF(W122="",0,SUMPRODUCT((CA4:CA795="Crustaces")*(CB4:CB795="ALERTE")*(COUNTIF(AI122,"*"&amp;CC4:CC795&amp;"*")&gt;0)*1))</f>
        <v>0</v>
      </c>
      <c r="AO122" s="6625" cm="1">
        <f t="array" ref="AO122">IF(W122="",0,SUMPRODUCT((CA4:CA795="Oeufs")*(CB4:CB795="ALERTE")*(COUNTIF(AI122,"*"&amp;CC4:CC795&amp;"*")&gt;0)*1))</f>
        <v>0</v>
      </c>
      <c r="AP122" s="6625" cm="1">
        <f t="array" ref="AP122">IF(W122="",0,SUMPRODUCT((CA4:CA795="Poissons")*(CB4:CB795="INFO")*(COUNTIF(AI122,"*"&amp;CC4:CC795&amp;"*")&gt;0)*1))</f>
        <v>0</v>
      </c>
      <c r="AQ122" s="6625" cm="1">
        <f t="array" ref="AQ122">IF(W122="",0,SUMPRODUCT((CA4:CA795="Poissons")*(CB4:CB795="EXCL")*(COUNTIF(AI122,"*"&amp;CC4:CC795&amp;"*")&gt;0)*1))</f>
        <v>0</v>
      </c>
      <c r="AR122" s="6625" cm="1">
        <f t="array" ref="AR122">IF(W122="",0,SUMPRODUCT((CA4:CA795="Poissons")*(CB4:CB795="ALERTE")*(COUNTIF(AI122,"*"&amp;CC4:CC795&amp;"*")&gt;0)*1))</f>
        <v>0</v>
      </c>
      <c r="AS122" s="6625" cm="1">
        <f t="array" ref="AS122">IF(W122="",0,SUMPRODUCT((CA4:CA795="Arachides")*(CB4:CB795="ALERTE")*(COUNTIF(AI122,"*"&amp;CC4:CC795&amp;"*")&gt;0)*1))</f>
        <v>0</v>
      </c>
      <c r="AT122" s="6625" cm="1">
        <f t="array" ref="AT122">IF(W122="",0,SUMPRODUCT((CA4:CA795="Soja")*(CB4:CB795="INFO")*(COUNTIF(AI122,"*"&amp;CC4:CC795&amp;"*")&gt;0)*1))</f>
        <v>0</v>
      </c>
      <c r="AU122" s="6625" cm="1">
        <f t="array" ref="AU122">IF(W122="",0,SUMPRODUCT((CA4:CA795="Soja")*(CB4:CB795="ALERTE")*(COUNTIF(AI122,"*"&amp;CC4:CC795&amp;"*")&gt;0)*1))</f>
        <v>0</v>
      </c>
      <c r="AV122" s="6625" cm="1">
        <f t="array" ref="AV122">IF(W122="",0,SUMPRODUCT((CA4:CA795="Lait")*(CB4:CB795="INFO")*(COUNTIF(AI122,"*"&amp;CC4:CC795&amp;"*")&gt;0)*1))</f>
        <v>0</v>
      </c>
      <c r="AW122" s="6625" cm="1">
        <f t="array" ref="AW122">IF(W122="",0,SUMPRODUCT((CA4:CA795="Lait")*(CB4:CB795="EXCL")*(COUNTIF(AI122,"*"&amp;CC4:CC795&amp;"*")&gt;0)*1))</f>
        <v>0</v>
      </c>
      <c r="AX122" s="6625" cm="1">
        <f t="array" ref="AX122">IF(W122="",0,SUMPRODUCT((CA4:CA795="Lait")*(CB4:CB795="ALERTE")*(COUNTIF(AI122,"*"&amp;CC4:CC795&amp;"*")&gt;0)*1))</f>
        <v>0</v>
      </c>
      <c r="AY122" s="6625" cm="1">
        <f t="array" ref="AY122">IF(W122="",0,SUMPRODUCT((CA4:CA795="Lait")*(CB4:CB795="SUSP")*(COUNTIF(AI122,"*"&amp;CC4:CC795&amp;"*")&gt;0)*1))</f>
        <v>0</v>
      </c>
      <c r="AZ122" s="6625" cm="1">
        <f t="array" ref="AZ122">IF(W122="",0,SUMPRODUCT((CA4:CA795="Fruits a coque")*(CB4:CB795="EXCL")*(COUNTIF(AI122,"*"&amp;CC4:CC795&amp;"*")&gt;0)*1))</f>
        <v>0</v>
      </c>
      <c r="BA122" s="6625" cm="1">
        <f t="array" ref="BA122">IF(W122="",0,SUMPRODUCT((CA4:CA795="Fruits a coque")*(CB4:CB795="ALERTE")*(COUNTIF(AI122,"*"&amp;CC4:CC795&amp;"*")&gt;0)*1))</f>
        <v>0</v>
      </c>
      <c r="BB122" s="6625" cm="1">
        <f t="array" ref="BB122">IF(W122="",0,SUMPRODUCT((CA4:CA795="Celeri")*(CB4:CB795="ALERTE")*(COUNTIF(AI122,"*"&amp;CC4:CC795&amp;"*")&gt;0)*1))</f>
        <v>0</v>
      </c>
      <c r="BC122" s="6625" cm="1">
        <f t="array" ref="BC122">IF(W122="",0,SUMPRODUCT((CA4:CA795="Moutarde")*(CB4:CB795="ALERTE")*(COUNTIF(AI122,"*"&amp;CC4:CC795&amp;"*")&gt;0)*1))</f>
        <v>0</v>
      </c>
      <c r="BD122" s="6625" cm="1">
        <f t="array" ref="BD122">IF(W122="",0,SUMPRODUCT((CA4:CA795="Sesame")*(CB4:CB795="ALERTE")*(COUNTIF(AI122,"*"&amp;CC4:CC795&amp;"*")&gt;0)*1))</f>
        <v>0</v>
      </c>
      <c r="BE122" s="6625" cm="1">
        <f t="array" ref="BE122">IF(W122="",0,SUMPRODUCT((CA4:CA795="Sulfites")*(CB4:CB795="ALERTE")*(COUNTIF(AI122,"*"&amp;CC4:CC795&amp;"*")&gt;0)*1))</f>
        <v>0</v>
      </c>
      <c r="BF122" s="6625" cm="1">
        <f t="array" ref="BF122">IF(W122="",0,SUMPRODUCT((CA4:CA795="Lupin")*(CB4:CB795="ALERTE")*(COUNTIF(AI122,"*"&amp;CC4:CC795&amp;"*")&gt;0)*1))</f>
        <v>0</v>
      </c>
      <c r="BG122" s="6625" cm="1">
        <f t="array" ref="BG122">IF(W122="",0,SUMPRODUCT((CA4:CA795="Mollusques")*(CB4:CB795="EXCL")*(COUNTIF(AI122,"*"&amp;CC4:CC795&amp;"*")&gt;0)*1))</f>
        <v>0</v>
      </c>
      <c r="BH122" s="6625" cm="1">
        <f t="array" ref="BH122">IF(W122="",0,SUMPRODUCT((CA4:CA795="Mollusques")*(CB4:CB795="ALERTE")*(COUNTIF(AI122,"*"&amp;CC4:CC795&amp;"*")&gt;0)*1))</f>
        <v>0</v>
      </c>
      <c r="BI122" s="6625" t="str">
        <f t="shared" si="68"/>
        <v/>
      </c>
      <c r="BJ122" s="6625" t="str">
        <f t="shared" si="69"/>
        <v/>
      </c>
      <c r="BK122" s="6625" t="str">
        <f t="shared" si="70"/>
        <v/>
      </c>
      <c r="BL122" s="6625" t="str">
        <f t="shared" si="71"/>
        <v/>
      </c>
      <c r="BM122" s="6625" t="str">
        <f t="shared" si="72"/>
        <v/>
      </c>
      <c r="BN122" s="6625" t="str">
        <f t="shared" si="73"/>
        <v/>
      </c>
      <c r="BO122" s="6625" t="str">
        <f t="shared" si="74"/>
        <v/>
      </c>
      <c r="BP122" s="6625" t="str">
        <f t="shared" si="75"/>
        <v/>
      </c>
      <c r="BQ122" s="6625" t="str">
        <f t="shared" si="76"/>
        <v/>
      </c>
      <c r="BR122" s="6625" t="str">
        <f t="shared" si="77"/>
        <v/>
      </c>
      <c r="BS122" s="6625" t="str">
        <f t="shared" si="78"/>
        <v/>
      </c>
      <c r="BT122" s="6625" t="str">
        <f t="shared" si="79"/>
        <v/>
      </c>
      <c r="BU122" s="6625" t="str">
        <f t="shared" si="80"/>
        <v/>
      </c>
      <c r="BV122" s="6625" t="str">
        <f t="shared" si="81"/>
        <v/>
      </c>
      <c r="BW122" s="6625" t="str">
        <f t="shared" si="82"/>
        <v/>
      </c>
      <c r="BX122" s="6625" t="str">
        <f t="shared" si="83"/>
        <v/>
      </c>
      <c r="CA122" s="3170" t="s">
        <v>16501</v>
      </c>
      <c r="CB122" s="7634" t="s">
        <v>16255</v>
      </c>
      <c r="CC122" s="3170" t="s">
        <v>16573</v>
      </c>
      <c r="CD122" s="3170" t="s">
        <v>16574</v>
      </c>
    </row>
    <row r="123" spans="2:82" ht="30" customHeight="1">
      <c r="B123" s="7661" t="str">
        <f t="shared" si="44"/>
        <v/>
      </c>
      <c r="C123" s="7661" t="str">
        <f t="shared" si="45"/>
        <v/>
      </c>
      <c r="D123" s="7661" t="str">
        <f t="shared" si="46"/>
        <v/>
      </c>
      <c r="E123" s="7661">
        <f>IF(H122&lt;&gt;"",E122,IF(E122="","",IFERROR(MATCH(TRUE(),INDEX(INDEX($K:$K,E122+1):$K$203&lt;&gt;"",0),0)+E122,"")))</f>
        <v>298</v>
      </c>
      <c r="F123" s="7661">
        <f t="shared" si="84"/>
        <v>0</v>
      </c>
      <c r="G123" s="7661" t="str">
        <f t="shared" si="47"/>
        <v>0</v>
      </c>
      <c r="H123" s="7672" t="str">
        <f t="shared" si="48"/>
        <v/>
      </c>
      <c r="I123" s="7683" t="str">
        <f t="shared" si="49"/>
        <v/>
      </c>
      <c r="J123" s="7673" t="str">
        <f>IF(K123="","",COUNTIF($K$18:K123,"&lt;&gt;"))</f>
        <v/>
      </c>
      <c r="K123" s="7674"/>
      <c r="L123" s="7673" t="str">
        <f t="shared" si="50"/>
        <v/>
      </c>
      <c r="M123" s="7630">
        <f t="shared" si="51"/>
        <v>1</v>
      </c>
      <c r="N123" s="7675">
        <f t="shared" si="52"/>
        <v>106</v>
      </c>
      <c r="O123" s="7676" t="str">
        <f t="shared" si="53"/>
        <v>0</v>
      </c>
      <c r="P123" s="7675">
        <f t="shared" si="54"/>
        <v>1</v>
      </c>
      <c r="Q123" s="7675">
        <f t="shared" si="55"/>
        <v>1</v>
      </c>
      <c r="S123" s="7679" t="str">
        <f t="shared" si="87"/>
        <v>0</v>
      </c>
      <c r="T123" s="7680" t="str">
        <f t="shared" si="87"/>
        <v/>
      </c>
      <c r="V123" s="7677">
        <f t="shared" si="56"/>
        <v>123</v>
      </c>
      <c r="W123" s="7678" t="str">
        <f t="shared" si="86"/>
        <v>0</v>
      </c>
      <c r="X123" s="7677" t="s">
        <v>2</v>
      </c>
      <c r="Y123" s="7702" t="str">
        <f t="shared" si="57"/>
        <v>0</v>
      </c>
      <c r="Z123" s="7703" t="str">
        <f t="shared" si="58"/>
        <v/>
      </c>
      <c r="AA123" s="7681" t="str">
        <f t="shared" si="59"/>
        <v>0</v>
      </c>
      <c r="AB123" s="7682" t="str">
        <f t="shared" si="60"/>
        <v/>
      </c>
      <c r="AC123" s="7677">
        <f t="shared" si="61"/>
        <v>0</v>
      </c>
      <c r="AD123" s="7677">
        <f t="shared" si="62"/>
        <v>0</v>
      </c>
      <c r="AE123" s="7682" t="str">
        <f t="shared" si="63"/>
        <v>aucun match</v>
      </c>
      <c r="AF123" s="6625" t="str">
        <f t="shared" si="64"/>
        <v>0</v>
      </c>
      <c r="AG123" s="6625" t="str">
        <f t="shared" si="65"/>
        <v>0</v>
      </c>
      <c r="AH123" s="6625" t="str">
        <f t="shared" si="66"/>
        <v>0</v>
      </c>
      <c r="AI123" s="6625" t="str">
        <f t="shared" si="67"/>
        <v xml:space="preserve"> 0 </v>
      </c>
      <c r="AJ123" s="6625" cm="1">
        <f t="array" ref="AJ123">IF(W123="",0,SUMPRODUCT((CA4:CA795="Gluten")*(CB4:CB795="INFO")*(COUNTIF(AI123,"*"&amp;CC4:CC795&amp;"*")&gt;0)*1))</f>
        <v>0</v>
      </c>
      <c r="AK123" s="6625" cm="1">
        <f t="array" ref="AK123">IF(W123="",0,SUMPRODUCT((CA4:CA795="Gluten")*(CB4:CB795="EXCL")*(COUNTIF(AI123,"*"&amp;CC4:CC795&amp;"*")&gt;0)*1))</f>
        <v>0</v>
      </c>
      <c r="AL123" s="6625" cm="1">
        <f t="array" ref="AL123">IF(W123="",0,SUMPRODUCT((CA4:CA795="Gluten")*(CB4:CB795="ALERTE")*(COUNTIF(AI123,"*"&amp;CC4:CC795&amp;"*")&gt;0)*1))</f>
        <v>0</v>
      </c>
      <c r="AM123" s="6625" cm="1">
        <f t="array" ref="AM123">IF(W123="",0,SUMPRODUCT((CA4:CA795="Gluten")*(CB4:CB795="SUSP")*(COUNTIF(AI123,"*"&amp;CC4:CC795&amp;"*")&gt;0)*1))</f>
        <v>0</v>
      </c>
      <c r="AN123" s="6625" cm="1">
        <f t="array" ref="AN123">IF(W123="",0,SUMPRODUCT((CA4:CA795="Crustaces")*(CB4:CB795="ALERTE")*(COUNTIF(AI123,"*"&amp;CC4:CC795&amp;"*")&gt;0)*1))</f>
        <v>0</v>
      </c>
      <c r="AO123" s="6625" cm="1">
        <f t="array" ref="AO123">IF(W123="",0,SUMPRODUCT((CA4:CA795="Oeufs")*(CB4:CB795="ALERTE")*(COUNTIF(AI123,"*"&amp;CC4:CC795&amp;"*")&gt;0)*1))</f>
        <v>0</v>
      </c>
      <c r="AP123" s="6625" cm="1">
        <f t="array" ref="AP123">IF(W123="",0,SUMPRODUCT((CA4:CA795="Poissons")*(CB4:CB795="INFO")*(COUNTIF(AI123,"*"&amp;CC4:CC795&amp;"*")&gt;0)*1))</f>
        <v>0</v>
      </c>
      <c r="AQ123" s="6625" cm="1">
        <f t="array" ref="AQ123">IF(W123="",0,SUMPRODUCT((CA4:CA795="Poissons")*(CB4:CB795="EXCL")*(COUNTIF(AI123,"*"&amp;CC4:CC795&amp;"*")&gt;0)*1))</f>
        <v>0</v>
      </c>
      <c r="AR123" s="6625" cm="1">
        <f t="array" ref="AR123">IF(W123="",0,SUMPRODUCT((CA4:CA795="Poissons")*(CB4:CB795="ALERTE")*(COUNTIF(AI123,"*"&amp;CC4:CC795&amp;"*")&gt;0)*1))</f>
        <v>0</v>
      </c>
      <c r="AS123" s="6625" cm="1">
        <f t="array" ref="AS123">IF(W123="",0,SUMPRODUCT((CA4:CA795="Arachides")*(CB4:CB795="ALERTE")*(COUNTIF(AI123,"*"&amp;CC4:CC795&amp;"*")&gt;0)*1))</f>
        <v>0</v>
      </c>
      <c r="AT123" s="6625" cm="1">
        <f t="array" ref="AT123">IF(W123="",0,SUMPRODUCT((CA4:CA795="Soja")*(CB4:CB795="INFO")*(COUNTIF(AI123,"*"&amp;CC4:CC795&amp;"*")&gt;0)*1))</f>
        <v>0</v>
      </c>
      <c r="AU123" s="6625" cm="1">
        <f t="array" ref="AU123">IF(W123="",0,SUMPRODUCT((CA4:CA795="Soja")*(CB4:CB795="ALERTE")*(COUNTIF(AI123,"*"&amp;CC4:CC795&amp;"*")&gt;0)*1))</f>
        <v>0</v>
      </c>
      <c r="AV123" s="6625" cm="1">
        <f t="array" ref="AV123">IF(W123="",0,SUMPRODUCT((CA4:CA795="Lait")*(CB4:CB795="INFO")*(COUNTIF(AI123,"*"&amp;CC4:CC795&amp;"*")&gt;0)*1))</f>
        <v>0</v>
      </c>
      <c r="AW123" s="6625" cm="1">
        <f t="array" ref="AW123">IF(W123="",0,SUMPRODUCT((CA4:CA795="Lait")*(CB4:CB795="EXCL")*(COUNTIF(AI123,"*"&amp;CC4:CC795&amp;"*")&gt;0)*1))</f>
        <v>0</v>
      </c>
      <c r="AX123" s="6625" cm="1">
        <f t="array" ref="AX123">IF(W123="",0,SUMPRODUCT((CA4:CA795="Lait")*(CB4:CB795="ALERTE")*(COUNTIF(AI123,"*"&amp;CC4:CC795&amp;"*")&gt;0)*1))</f>
        <v>0</v>
      </c>
      <c r="AY123" s="6625" cm="1">
        <f t="array" ref="AY123">IF(W123="",0,SUMPRODUCT((CA4:CA795="Lait")*(CB4:CB795="SUSP")*(COUNTIF(AI123,"*"&amp;CC4:CC795&amp;"*")&gt;0)*1))</f>
        <v>0</v>
      </c>
      <c r="AZ123" s="6625" cm="1">
        <f t="array" ref="AZ123">IF(W123="",0,SUMPRODUCT((CA4:CA795="Fruits a coque")*(CB4:CB795="EXCL")*(COUNTIF(AI123,"*"&amp;CC4:CC795&amp;"*")&gt;0)*1))</f>
        <v>0</v>
      </c>
      <c r="BA123" s="6625" cm="1">
        <f t="array" ref="BA123">IF(W123="",0,SUMPRODUCT((CA4:CA795="Fruits a coque")*(CB4:CB795="ALERTE")*(COUNTIF(AI123,"*"&amp;CC4:CC795&amp;"*")&gt;0)*1))</f>
        <v>0</v>
      </c>
      <c r="BB123" s="6625" cm="1">
        <f t="array" ref="BB123">IF(W123="",0,SUMPRODUCT((CA4:CA795="Celeri")*(CB4:CB795="ALERTE")*(COUNTIF(AI123,"*"&amp;CC4:CC795&amp;"*")&gt;0)*1))</f>
        <v>0</v>
      </c>
      <c r="BC123" s="6625" cm="1">
        <f t="array" ref="BC123">IF(W123="",0,SUMPRODUCT((CA4:CA795="Moutarde")*(CB4:CB795="ALERTE")*(COUNTIF(AI123,"*"&amp;CC4:CC795&amp;"*")&gt;0)*1))</f>
        <v>0</v>
      </c>
      <c r="BD123" s="6625" cm="1">
        <f t="array" ref="BD123">IF(W123="",0,SUMPRODUCT((CA4:CA795="Sesame")*(CB4:CB795="ALERTE")*(COUNTIF(AI123,"*"&amp;CC4:CC795&amp;"*")&gt;0)*1))</f>
        <v>0</v>
      </c>
      <c r="BE123" s="6625" cm="1">
        <f t="array" ref="BE123">IF(W123="",0,SUMPRODUCT((CA4:CA795="Sulfites")*(CB4:CB795="ALERTE")*(COUNTIF(AI123,"*"&amp;CC4:CC795&amp;"*")&gt;0)*1))</f>
        <v>0</v>
      </c>
      <c r="BF123" s="6625" cm="1">
        <f t="array" ref="BF123">IF(W123="",0,SUMPRODUCT((CA4:CA795="Lupin")*(CB4:CB795="ALERTE")*(COUNTIF(AI123,"*"&amp;CC4:CC795&amp;"*")&gt;0)*1))</f>
        <v>0</v>
      </c>
      <c r="BG123" s="6625" cm="1">
        <f t="array" ref="BG123">IF(W123="",0,SUMPRODUCT((CA4:CA795="Mollusques")*(CB4:CB795="EXCL")*(COUNTIF(AI123,"*"&amp;CC4:CC795&amp;"*")&gt;0)*1))</f>
        <v>0</v>
      </c>
      <c r="BH123" s="6625" cm="1">
        <f t="array" ref="BH123">IF(W123="",0,SUMPRODUCT((CA4:CA795="Mollusques")*(CB4:CB795="ALERTE")*(COUNTIF(AI123,"*"&amp;CC4:CC795&amp;"*")&gt;0)*1))</f>
        <v>0</v>
      </c>
      <c r="BI123" s="6625" t="str">
        <f t="shared" si="68"/>
        <v/>
      </c>
      <c r="BJ123" s="6625" t="str">
        <f t="shared" si="69"/>
        <v/>
      </c>
      <c r="BK123" s="6625" t="str">
        <f t="shared" si="70"/>
        <v/>
      </c>
      <c r="BL123" s="6625" t="str">
        <f t="shared" si="71"/>
        <v/>
      </c>
      <c r="BM123" s="6625" t="str">
        <f t="shared" si="72"/>
        <v/>
      </c>
      <c r="BN123" s="6625" t="str">
        <f t="shared" si="73"/>
        <v/>
      </c>
      <c r="BO123" s="6625" t="str">
        <f t="shared" si="74"/>
        <v/>
      </c>
      <c r="BP123" s="6625" t="str">
        <f t="shared" si="75"/>
        <v/>
      </c>
      <c r="BQ123" s="6625" t="str">
        <f t="shared" si="76"/>
        <v/>
      </c>
      <c r="BR123" s="6625" t="str">
        <f t="shared" si="77"/>
        <v/>
      </c>
      <c r="BS123" s="6625" t="str">
        <f t="shared" si="78"/>
        <v/>
      </c>
      <c r="BT123" s="6625" t="str">
        <f t="shared" si="79"/>
        <v/>
      </c>
      <c r="BU123" s="6625" t="str">
        <f t="shared" si="80"/>
        <v/>
      </c>
      <c r="BV123" s="6625" t="str">
        <f t="shared" si="81"/>
        <v/>
      </c>
      <c r="BW123" s="6625" t="str">
        <f t="shared" si="82"/>
        <v/>
      </c>
      <c r="BX123" s="6625" t="str">
        <f t="shared" si="83"/>
        <v/>
      </c>
      <c r="CA123" s="3170" t="s">
        <v>16501</v>
      </c>
      <c r="CB123" s="7634" t="s">
        <v>16255</v>
      </c>
      <c r="CC123" s="3170" t="s">
        <v>16575</v>
      </c>
      <c r="CD123" s="3170" t="s">
        <v>16576</v>
      </c>
    </row>
    <row r="124" spans="2:82" ht="30" customHeight="1">
      <c r="B124" s="7661" t="str">
        <f t="shared" si="44"/>
        <v/>
      </c>
      <c r="C124" s="7661" t="str">
        <f t="shared" si="45"/>
        <v/>
      </c>
      <c r="D124" s="7661" t="str">
        <f t="shared" si="46"/>
        <v/>
      </c>
      <c r="E124" s="7661">
        <f>IF(H123&lt;&gt;"",E123,IF(E123="","",IFERROR(MATCH(TRUE(),INDEX(INDEX($K:$K,E123+1):$K$203&lt;&gt;"",0),0)+E123,"")))</f>
        <v>299</v>
      </c>
      <c r="F124" s="7661">
        <f t="shared" si="84"/>
        <v>0</v>
      </c>
      <c r="G124" s="7661" t="str">
        <f t="shared" si="47"/>
        <v>0</v>
      </c>
      <c r="H124" s="7672" t="str">
        <f t="shared" si="48"/>
        <v/>
      </c>
      <c r="I124" s="7683" t="str">
        <f t="shared" si="49"/>
        <v/>
      </c>
      <c r="J124" s="7673" t="str">
        <f>IF(K124="","",COUNTIF($K$18:K124,"&lt;&gt;"))</f>
        <v/>
      </c>
      <c r="K124" s="7674"/>
      <c r="L124" s="7673" t="str">
        <f t="shared" si="50"/>
        <v/>
      </c>
      <c r="M124" s="7630">
        <f t="shared" si="51"/>
        <v>1</v>
      </c>
      <c r="N124" s="7675">
        <f t="shared" si="52"/>
        <v>107</v>
      </c>
      <c r="O124" s="7676" t="str">
        <f t="shared" si="53"/>
        <v>0</v>
      </c>
      <c r="P124" s="7675">
        <f t="shared" si="54"/>
        <v>1</v>
      </c>
      <c r="Q124" s="7675">
        <f t="shared" si="55"/>
        <v>1</v>
      </c>
      <c r="S124" s="7679" t="str">
        <f t="shared" si="87"/>
        <v>0</v>
      </c>
      <c r="T124" s="7680" t="str">
        <f t="shared" si="87"/>
        <v/>
      </c>
      <c r="V124" s="7677">
        <f t="shared" si="56"/>
        <v>124</v>
      </c>
      <c r="W124" s="7678" t="str">
        <f t="shared" si="86"/>
        <v>0</v>
      </c>
      <c r="X124" s="7677" t="s">
        <v>2</v>
      </c>
      <c r="Y124" s="7702" t="str">
        <f t="shared" si="57"/>
        <v>0</v>
      </c>
      <c r="Z124" s="7703" t="str">
        <f t="shared" si="58"/>
        <v/>
      </c>
      <c r="AA124" s="7681" t="str">
        <f t="shared" si="59"/>
        <v>0</v>
      </c>
      <c r="AB124" s="7682" t="str">
        <f t="shared" si="60"/>
        <v/>
      </c>
      <c r="AC124" s="7677">
        <f t="shared" si="61"/>
        <v>0</v>
      </c>
      <c r="AD124" s="7677">
        <f t="shared" si="62"/>
        <v>0</v>
      </c>
      <c r="AE124" s="7682" t="str">
        <f t="shared" si="63"/>
        <v>aucun match</v>
      </c>
      <c r="AF124" s="6625" t="str">
        <f t="shared" si="64"/>
        <v>0</v>
      </c>
      <c r="AG124" s="6625" t="str">
        <f t="shared" si="65"/>
        <v>0</v>
      </c>
      <c r="AH124" s="6625" t="str">
        <f t="shared" si="66"/>
        <v>0</v>
      </c>
      <c r="AI124" s="6625" t="str">
        <f t="shared" si="67"/>
        <v xml:space="preserve"> 0 </v>
      </c>
      <c r="AJ124" s="6625" cm="1">
        <f t="array" ref="AJ124">IF(W124="",0,SUMPRODUCT((CA4:CA795="Gluten")*(CB4:CB795="INFO")*(COUNTIF(AI124,"*"&amp;CC4:CC795&amp;"*")&gt;0)*1))</f>
        <v>0</v>
      </c>
      <c r="AK124" s="6625" cm="1">
        <f t="array" ref="AK124">IF(W124="",0,SUMPRODUCT((CA4:CA795="Gluten")*(CB4:CB795="EXCL")*(COUNTIF(AI124,"*"&amp;CC4:CC795&amp;"*")&gt;0)*1))</f>
        <v>0</v>
      </c>
      <c r="AL124" s="6625" cm="1">
        <f t="array" ref="AL124">IF(W124="",0,SUMPRODUCT((CA4:CA795="Gluten")*(CB4:CB795="ALERTE")*(COUNTIF(AI124,"*"&amp;CC4:CC795&amp;"*")&gt;0)*1))</f>
        <v>0</v>
      </c>
      <c r="AM124" s="6625" cm="1">
        <f t="array" ref="AM124">IF(W124="",0,SUMPRODUCT((CA4:CA795="Gluten")*(CB4:CB795="SUSP")*(COUNTIF(AI124,"*"&amp;CC4:CC795&amp;"*")&gt;0)*1))</f>
        <v>0</v>
      </c>
      <c r="AN124" s="6625" cm="1">
        <f t="array" ref="AN124">IF(W124="",0,SUMPRODUCT((CA4:CA795="Crustaces")*(CB4:CB795="ALERTE")*(COUNTIF(AI124,"*"&amp;CC4:CC795&amp;"*")&gt;0)*1))</f>
        <v>0</v>
      </c>
      <c r="AO124" s="6625" cm="1">
        <f t="array" ref="AO124">IF(W124="",0,SUMPRODUCT((CA4:CA795="Oeufs")*(CB4:CB795="ALERTE")*(COUNTIF(AI124,"*"&amp;CC4:CC795&amp;"*")&gt;0)*1))</f>
        <v>0</v>
      </c>
      <c r="AP124" s="6625" cm="1">
        <f t="array" ref="AP124">IF(W124="",0,SUMPRODUCT((CA4:CA795="Poissons")*(CB4:CB795="INFO")*(COUNTIF(AI124,"*"&amp;CC4:CC795&amp;"*")&gt;0)*1))</f>
        <v>0</v>
      </c>
      <c r="AQ124" s="6625" cm="1">
        <f t="array" ref="AQ124">IF(W124="",0,SUMPRODUCT((CA4:CA795="Poissons")*(CB4:CB795="EXCL")*(COUNTIF(AI124,"*"&amp;CC4:CC795&amp;"*")&gt;0)*1))</f>
        <v>0</v>
      </c>
      <c r="AR124" s="6625" cm="1">
        <f t="array" ref="AR124">IF(W124="",0,SUMPRODUCT((CA4:CA795="Poissons")*(CB4:CB795="ALERTE")*(COUNTIF(AI124,"*"&amp;CC4:CC795&amp;"*")&gt;0)*1))</f>
        <v>0</v>
      </c>
      <c r="AS124" s="6625" cm="1">
        <f t="array" ref="AS124">IF(W124="",0,SUMPRODUCT((CA4:CA795="Arachides")*(CB4:CB795="ALERTE")*(COUNTIF(AI124,"*"&amp;CC4:CC795&amp;"*")&gt;0)*1))</f>
        <v>0</v>
      </c>
      <c r="AT124" s="6625" cm="1">
        <f t="array" ref="AT124">IF(W124="",0,SUMPRODUCT((CA4:CA795="Soja")*(CB4:CB795="INFO")*(COUNTIF(AI124,"*"&amp;CC4:CC795&amp;"*")&gt;0)*1))</f>
        <v>0</v>
      </c>
      <c r="AU124" s="6625" cm="1">
        <f t="array" ref="AU124">IF(W124="",0,SUMPRODUCT((CA4:CA795="Soja")*(CB4:CB795="ALERTE")*(COUNTIF(AI124,"*"&amp;CC4:CC795&amp;"*")&gt;0)*1))</f>
        <v>0</v>
      </c>
      <c r="AV124" s="6625" cm="1">
        <f t="array" ref="AV124">IF(W124="",0,SUMPRODUCT((CA4:CA795="Lait")*(CB4:CB795="INFO")*(COUNTIF(AI124,"*"&amp;CC4:CC795&amp;"*")&gt;0)*1))</f>
        <v>0</v>
      </c>
      <c r="AW124" s="6625" cm="1">
        <f t="array" ref="AW124">IF(W124="",0,SUMPRODUCT((CA4:CA795="Lait")*(CB4:CB795="EXCL")*(COUNTIF(AI124,"*"&amp;CC4:CC795&amp;"*")&gt;0)*1))</f>
        <v>0</v>
      </c>
      <c r="AX124" s="6625" cm="1">
        <f t="array" ref="AX124">IF(W124="",0,SUMPRODUCT((CA4:CA795="Lait")*(CB4:CB795="ALERTE")*(COUNTIF(AI124,"*"&amp;CC4:CC795&amp;"*")&gt;0)*1))</f>
        <v>0</v>
      </c>
      <c r="AY124" s="6625" cm="1">
        <f t="array" ref="AY124">IF(W124="",0,SUMPRODUCT((CA4:CA795="Lait")*(CB4:CB795="SUSP")*(COUNTIF(AI124,"*"&amp;CC4:CC795&amp;"*")&gt;0)*1))</f>
        <v>0</v>
      </c>
      <c r="AZ124" s="6625" cm="1">
        <f t="array" ref="AZ124">IF(W124="",0,SUMPRODUCT((CA4:CA795="Fruits a coque")*(CB4:CB795="EXCL")*(COUNTIF(AI124,"*"&amp;CC4:CC795&amp;"*")&gt;0)*1))</f>
        <v>0</v>
      </c>
      <c r="BA124" s="6625" cm="1">
        <f t="array" ref="BA124">IF(W124="",0,SUMPRODUCT((CA4:CA795="Fruits a coque")*(CB4:CB795="ALERTE")*(COUNTIF(AI124,"*"&amp;CC4:CC795&amp;"*")&gt;0)*1))</f>
        <v>0</v>
      </c>
      <c r="BB124" s="6625" cm="1">
        <f t="array" ref="BB124">IF(W124="",0,SUMPRODUCT((CA4:CA795="Celeri")*(CB4:CB795="ALERTE")*(COUNTIF(AI124,"*"&amp;CC4:CC795&amp;"*")&gt;0)*1))</f>
        <v>0</v>
      </c>
      <c r="BC124" s="6625" cm="1">
        <f t="array" ref="BC124">IF(W124="",0,SUMPRODUCT((CA4:CA795="Moutarde")*(CB4:CB795="ALERTE")*(COUNTIF(AI124,"*"&amp;CC4:CC795&amp;"*")&gt;0)*1))</f>
        <v>0</v>
      </c>
      <c r="BD124" s="6625" cm="1">
        <f t="array" ref="BD124">IF(W124="",0,SUMPRODUCT((CA4:CA795="Sesame")*(CB4:CB795="ALERTE")*(COUNTIF(AI124,"*"&amp;CC4:CC795&amp;"*")&gt;0)*1))</f>
        <v>0</v>
      </c>
      <c r="BE124" s="6625" cm="1">
        <f t="array" ref="BE124">IF(W124="",0,SUMPRODUCT((CA4:CA795="Sulfites")*(CB4:CB795="ALERTE")*(COUNTIF(AI124,"*"&amp;CC4:CC795&amp;"*")&gt;0)*1))</f>
        <v>0</v>
      </c>
      <c r="BF124" s="6625" cm="1">
        <f t="array" ref="BF124">IF(W124="",0,SUMPRODUCT((CA4:CA795="Lupin")*(CB4:CB795="ALERTE")*(COUNTIF(AI124,"*"&amp;CC4:CC795&amp;"*")&gt;0)*1))</f>
        <v>0</v>
      </c>
      <c r="BG124" s="6625" cm="1">
        <f t="array" ref="BG124">IF(W124="",0,SUMPRODUCT((CA4:CA795="Mollusques")*(CB4:CB795="EXCL")*(COUNTIF(AI124,"*"&amp;CC4:CC795&amp;"*")&gt;0)*1))</f>
        <v>0</v>
      </c>
      <c r="BH124" s="6625" cm="1">
        <f t="array" ref="BH124">IF(W124="",0,SUMPRODUCT((CA4:CA795="Mollusques")*(CB4:CB795="ALERTE")*(COUNTIF(AI124,"*"&amp;CC4:CC795&amp;"*")&gt;0)*1))</f>
        <v>0</v>
      </c>
      <c r="BI124" s="6625" t="str">
        <f t="shared" si="68"/>
        <v/>
      </c>
      <c r="BJ124" s="6625" t="str">
        <f t="shared" si="69"/>
        <v/>
      </c>
      <c r="BK124" s="6625" t="str">
        <f t="shared" si="70"/>
        <v/>
      </c>
      <c r="BL124" s="6625" t="str">
        <f t="shared" si="71"/>
        <v/>
      </c>
      <c r="BM124" s="6625" t="str">
        <f t="shared" si="72"/>
        <v/>
      </c>
      <c r="BN124" s="6625" t="str">
        <f t="shared" si="73"/>
        <v/>
      </c>
      <c r="BO124" s="6625" t="str">
        <f t="shared" si="74"/>
        <v/>
      </c>
      <c r="BP124" s="6625" t="str">
        <f t="shared" si="75"/>
        <v/>
      </c>
      <c r="BQ124" s="6625" t="str">
        <f t="shared" si="76"/>
        <v/>
      </c>
      <c r="BR124" s="6625" t="str">
        <f t="shared" si="77"/>
        <v/>
      </c>
      <c r="BS124" s="6625" t="str">
        <f t="shared" si="78"/>
        <v/>
      </c>
      <c r="BT124" s="6625" t="str">
        <f t="shared" si="79"/>
        <v/>
      </c>
      <c r="BU124" s="6625" t="str">
        <f t="shared" si="80"/>
        <v/>
      </c>
      <c r="BV124" s="6625" t="str">
        <f t="shared" si="81"/>
        <v/>
      </c>
      <c r="BW124" s="6625" t="str">
        <f t="shared" si="82"/>
        <v/>
      </c>
      <c r="BX124" s="6625" t="str">
        <f t="shared" si="83"/>
        <v/>
      </c>
      <c r="CA124" s="3170" t="s">
        <v>16501</v>
      </c>
      <c r="CB124" s="7634" t="s">
        <v>16255</v>
      </c>
      <c r="CC124" s="3170" t="s">
        <v>16577</v>
      </c>
      <c r="CD124" s="3170" t="s">
        <v>16578</v>
      </c>
    </row>
    <row r="125" spans="2:82" ht="30" customHeight="1">
      <c r="B125" s="7661" t="str">
        <f t="shared" si="44"/>
        <v/>
      </c>
      <c r="C125" s="7661" t="str">
        <f t="shared" si="45"/>
        <v/>
      </c>
      <c r="D125" s="7661" t="str">
        <f t="shared" si="46"/>
        <v/>
      </c>
      <c r="E125" s="7661">
        <f>IF(H124&lt;&gt;"",E124,IF(E124="","",IFERROR(MATCH(TRUE(),INDEX(INDEX($K:$K,E124+1):$K$203&lt;&gt;"",0),0)+E124,"")))</f>
        <v>300</v>
      </c>
      <c r="F125" s="7661">
        <f t="shared" si="84"/>
        <v>0</v>
      </c>
      <c r="G125" s="7661" t="str">
        <f t="shared" si="47"/>
        <v>0</v>
      </c>
      <c r="H125" s="7672" t="str">
        <f t="shared" si="48"/>
        <v/>
      </c>
      <c r="I125" s="7683" t="str">
        <f t="shared" si="49"/>
        <v/>
      </c>
      <c r="J125" s="7673" t="str">
        <f>IF(K125="","",COUNTIF($K$18:K125,"&lt;&gt;"))</f>
        <v/>
      </c>
      <c r="K125" s="7674"/>
      <c r="L125" s="7673" t="str">
        <f t="shared" si="50"/>
        <v/>
      </c>
      <c r="M125" s="7630">
        <f t="shared" si="51"/>
        <v>1</v>
      </c>
      <c r="N125" s="7675">
        <f t="shared" si="52"/>
        <v>108</v>
      </c>
      <c r="O125" s="7676" t="str">
        <f t="shared" si="53"/>
        <v>0</v>
      </c>
      <c r="P125" s="7675">
        <f t="shared" si="54"/>
        <v>1</v>
      </c>
      <c r="Q125" s="7675">
        <f t="shared" si="55"/>
        <v>1</v>
      </c>
      <c r="S125" s="7679" t="str">
        <f t="shared" si="87"/>
        <v>0</v>
      </c>
      <c r="T125" s="7680" t="str">
        <f t="shared" si="87"/>
        <v/>
      </c>
      <c r="V125" s="7677">
        <f t="shared" si="56"/>
        <v>125</v>
      </c>
      <c r="W125" s="7678" t="str">
        <f t="shared" si="86"/>
        <v>0</v>
      </c>
      <c r="X125" s="7677" t="s">
        <v>2</v>
      </c>
      <c r="Y125" s="7702" t="str">
        <f t="shared" si="57"/>
        <v>0</v>
      </c>
      <c r="Z125" s="7703" t="str">
        <f t="shared" si="58"/>
        <v/>
      </c>
      <c r="AA125" s="7681" t="str">
        <f t="shared" si="59"/>
        <v>0</v>
      </c>
      <c r="AB125" s="7682" t="str">
        <f t="shared" si="60"/>
        <v/>
      </c>
      <c r="AC125" s="7677">
        <f t="shared" si="61"/>
        <v>0</v>
      </c>
      <c r="AD125" s="7677">
        <f t="shared" si="62"/>
        <v>0</v>
      </c>
      <c r="AE125" s="7682" t="str">
        <f t="shared" si="63"/>
        <v>aucun match</v>
      </c>
      <c r="AF125" s="6625" t="str">
        <f t="shared" si="64"/>
        <v>0</v>
      </c>
      <c r="AG125" s="6625" t="str">
        <f t="shared" si="65"/>
        <v>0</v>
      </c>
      <c r="AH125" s="6625" t="str">
        <f t="shared" si="66"/>
        <v>0</v>
      </c>
      <c r="AI125" s="6625" t="str">
        <f t="shared" si="67"/>
        <v xml:space="preserve"> 0 </v>
      </c>
      <c r="AJ125" s="6625" cm="1">
        <f t="array" ref="AJ125">IF(W125="",0,SUMPRODUCT((CA4:CA795="Gluten")*(CB4:CB795="INFO")*(COUNTIF(AI125,"*"&amp;CC4:CC795&amp;"*")&gt;0)*1))</f>
        <v>0</v>
      </c>
      <c r="AK125" s="6625" cm="1">
        <f t="array" ref="AK125">IF(W125="",0,SUMPRODUCT((CA4:CA795="Gluten")*(CB4:CB795="EXCL")*(COUNTIF(AI125,"*"&amp;CC4:CC795&amp;"*")&gt;0)*1))</f>
        <v>0</v>
      </c>
      <c r="AL125" s="6625" cm="1">
        <f t="array" ref="AL125">IF(W125="",0,SUMPRODUCT((CA4:CA795="Gluten")*(CB4:CB795="ALERTE")*(COUNTIF(AI125,"*"&amp;CC4:CC795&amp;"*")&gt;0)*1))</f>
        <v>0</v>
      </c>
      <c r="AM125" s="6625" cm="1">
        <f t="array" ref="AM125">IF(W125="",0,SUMPRODUCT((CA4:CA795="Gluten")*(CB4:CB795="SUSP")*(COUNTIF(AI125,"*"&amp;CC4:CC795&amp;"*")&gt;0)*1))</f>
        <v>0</v>
      </c>
      <c r="AN125" s="6625" cm="1">
        <f t="array" ref="AN125">IF(W125="",0,SUMPRODUCT((CA4:CA795="Crustaces")*(CB4:CB795="ALERTE")*(COUNTIF(AI125,"*"&amp;CC4:CC795&amp;"*")&gt;0)*1))</f>
        <v>0</v>
      </c>
      <c r="AO125" s="6625" cm="1">
        <f t="array" ref="AO125">IF(W125="",0,SUMPRODUCT((CA4:CA795="Oeufs")*(CB4:CB795="ALERTE")*(COUNTIF(AI125,"*"&amp;CC4:CC795&amp;"*")&gt;0)*1))</f>
        <v>0</v>
      </c>
      <c r="AP125" s="6625" cm="1">
        <f t="array" ref="AP125">IF(W125="",0,SUMPRODUCT((CA4:CA795="Poissons")*(CB4:CB795="INFO")*(COUNTIF(AI125,"*"&amp;CC4:CC795&amp;"*")&gt;0)*1))</f>
        <v>0</v>
      </c>
      <c r="AQ125" s="6625" cm="1">
        <f t="array" ref="AQ125">IF(W125="",0,SUMPRODUCT((CA4:CA795="Poissons")*(CB4:CB795="EXCL")*(COUNTIF(AI125,"*"&amp;CC4:CC795&amp;"*")&gt;0)*1))</f>
        <v>0</v>
      </c>
      <c r="AR125" s="6625" cm="1">
        <f t="array" ref="AR125">IF(W125="",0,SUMPRODUCT((CA4:CA795="Poissons")*(CB4:CB795="ALERTE")*(COUNTIF(AI125,"*"&amp;CC4:CC795&amp;"*")&gt;0)*1))</f>
        <v>0</v>
      </c>
      <c r="AS125" s="6625" cm="1">
        <f t="array" ref="AS125">IF(W125="",0,SUMPRODUCT((CA4:CA795="Arachides")*(CB4:CB795="ALERTE")*(COUNTIF(AI125,"*"&amp;CC4:CC795&amp;"*")&gt;0)*1))</f>
        <v>0</v>
      </c>
      <c r="AT125" s="6625" cm="1">
        <f t="array" ref="AT125">IF(W125="",0,SUMPRODUCT((CA4:CA795="Soja")*(CB4:CB795="INFO")*(COUNTIF(AI125,"*"&amp;CC4:CC795&amp;"*")&gt;0)*1))</f>
        <v>0</v>
      </c>
      <c r="AU125" s="6625" cm="1">
        <f t="array" ref="AU125">IF(W125="",0,SUMPRODUCT((CA4:CA795="Soja")*(CB4:CB795="ALERTE")*(COUNTIF(AI125,"*"&amp;CC4:CC795&amp;"*")&gt;0)*1))</f>
        <v>0</v>
      </c>
      <c r="AV125" s="6625" cm="1">
        <f t="array" ref="AV125">IF(W125="",0,SUMPRODUCT((CA4:CA795="Lait")*(CB4:CB795="INFO")*(COUNTIF(AI125,"*"&amp;CC4:CC795&amp;"*")&gt;0)*1))</f>
        <v>0</v>
      </c>
      <c r="AW125" s="6625" cm="1">
        <f t="array" ref="AW125">IF(W125="",0,SUMPRODUCT((CA4:CA795="Lait")*(CB4:CB795="EXCL")*(COUNTIF(AI125,"*"&amp;CC4:CC795&amp;"*")&gt;0)*1))</f>
        <v>0</v>
      </c>
      <c r="AX125" s="6625" cm="1">
        <f t="array" ref="AX125">IF(W125="",0,SUMPRODUCT((CA4:CA795="Lait")*(CB4:CB795="ALERTE")*(COUNTIF(AI125,"*"&amp;CC4:CC795&amp;"*")&gt;0)*1))</f>
        <v>0</v>
      </c>
      <c r="AY125" s="6625" cm="1">
        <f t="array" ref="AY125">IF(W125="",0,SUMPRODUCT((CA4:CA795="Lait")*(CB4:CB795="SUSP")*(COUNTIF(AI125,"*"&amp;CC4:CC795&amp;"*")&gt;0)*1))</f>
        <v>0</v>
      </c>
      <c r="AZ125" s="6625" cm="1">
        <f t="array" ref="AZ125">IF(W125="",0,SUMPRODUCT((CA4:CA795="Fruits a coque")*(CB4:CB795="EXCL")*(COUNTIF(AI125,"*"&amp;CC4:CC795&amp;"*")&gt;0)*1))</f>
        <v>0</v>
      </c>
      <c r="BA125" s="6625" cm="1">
        <f t="array" ref="BA125">IF(W125="",0,SUMPRODUCT((CA4:CA795="Fruits a coque")*(CB4:CB795="ALERTE")*(COUNTIF(AI125,"*"&amp;CC4:CC795&amp;"*")&gt;0)*1))</f>
        <v>0</v>
      </c>
      <c r="BB125" s="6625" cm="1">
        <f t="array" ref="BB125">IF(W125="",0,SUMPRODUCT((CA4:CA795="Celeri")*(CB4:CB795="ALERTE")*(COUNTIF(AI125,"*"&amp;CC4:CC795&amp;"*")&gt;0)*1))</f>
        <v>0</v>
      </c>
      <c r="BC125" s="6625" cm="1">
        <f t="array" ref="BC125">IF(W125="",0,SUMPRODUCT((CA4:CA795="Moutarde")*(CB4:CB795="ALERTE")*(COUNTIF(AI125,"*"&amp;CC4:CC795&amp;"*")&gt;0)*1))</f>
        <v>0</v>
      </c>
      <c r="BD125" s="6625" cm="1">
        <f t="array" ref="BD125">IF(W125="",0,SUMPRODUCT((CA4:CA795="Sesame")*(CB4:CB795="ALERTE")*(COUNTIF(AI125,"*"&amp;CC4:CC795&amp;"*")&gt;0)*1))</f>
        <v>0</v>
      </c>
      <c r="BE125" s="6625" cm="1">
        <f t="array" ref="BE125">IF(W125="",0,SUMPRODUCT((CA4:CA795="Sulfites")*(CB4:CB795="ALERTE")*(COUNTIF(AI125,"*"&amp;CC4:CC795&amp;"*")&gt;0)*1))</f>
        <v>0</v>
      </c>
      <c r="BF125" s="6625" cm="1">
        <f t="array" ref="BF125">IF(W125="",0,SUMPRODUCT((CA4:CA795="Lupin")*(CB4:CB795="ALERTE")*(COUNTIF(AI125,"*"&amp;CC4:CC795&amp;"*")&gt;0)*1))</f>
        <v>0</v>
      </c>
      <c r="BG125" s="6625" cm="1">
        <f t="array" ref="BG125">IF(W125="",0,SUMPRODUCT((CA4:CA795="Mollusques")*(CB4:CB795="EXCL")*(COUNTIF(AI125,"*"&amp;CC4:CC795&amp;"*")&gt;0)*1))</f>
        <v>0</v>
      </c>
      <c r="BH125" s="6625" cm="1">
        <f t="array" ref="BH125">IF(W125="",0,SUMPRODUCT((CA4:CA795="Mollusques")*(CB4:CB795="ALERTE")*(COUNTIF(AI125,"*"&amp;CC4:CC795&amp;"*")&gt;0)*1))</f>
        <v>0</v>
      </c>
      <c r="BI125" s="6625" t="str">
        <f t="shared" si="68"/>
        <v/>
      </c>
      <c r="BJ125" s="6625" t="str">
        <f t="shared" si="69"/>
        <v/>
      </c>
      <c r="BK125" s="6625" t="str">
        <f t="shared" si="70"/>
        <v/>
      </c>
      <c r="BL125" s="6625" t="str">
        <f t="shared" si="71"/>
        <v/>
      </c>
      <c r="BM125" s="6625" t="str">
        <f t="shared" si="72"/>
        <v/>
      </c>
      <c r="BN125" s="6625" t="str">
        <f t="shared" si="73"/>
        <v/>
      </c>
      <c r="BO125" s="6625" t="str">
        <f t="shared" si="74"/>
        <v/>
      </c>
      <c r="BP125" s="6625" t="str">
        <f t="shared" si="75"/>
        <v/>
      </c>
      <c r="BQ125" s="6625" t="str">
        <f t="shared" si="76"/>
        <v/>
      </c>
      <c r="BR125" s="6625" t="str">
        <f t="shared" si="77"/>
        <v/>
      </c>
      <c r="BS125" s="6625" t="str">
        <f t="shared" si="78"/>
        <v/>
      </c>
      <c r="BT125" s="6625" t="str">
        <f t="shared" si="79"/>
        <v/>
      </c>
      <c r="BU125" s="6625" t="str">
        <f t="shared" si="80"/>
        <v/>
      </c>
      <c r="BV125" s="6625" t="str">
        <f t="shared" si="81"/>
        <v/>
      </c>
      <c r="BW125" s="6625" t="str">
        <f t="shared" si="82"/>
        <v/>
      </c>
      <c r="BX125" s="6625" t="str">
        <f t="shared" si="83"/>
        <v/>
      </c>
      <c r="CA125" s="3170" t="s">
        <v>16501</v>
      </c>
      <c r="CB125" s="7634" t="s">
        <v>16255</v>
      </c>
      <c r="CC125" s="3170" t="s">
        <v>16579</v>
      </c>
      <c r="CD125" s="3170" t="s">
        <v>16580</v>
      </c>
    </row>
    <row r="126" spans="2:82" ht="30" customHeight="1">
      <c r="B126" s="7661" t="str">
        <f t="shared" si="44"/>
        <v/>
      </c>
      <c r="C126" s="7661" t="str">
        <f t="shared" si="45"/>
        <v/>
      </c>
      <c r="D126" s="7661" t="str">
        <f t="shared" si="46"/>
        <v/>
      </c>
      <c r="E126" s="7661">
        <f>IF(H125&lt;&gt;"",E125,IF(E125="","",IFERROR(MATCH(TRUE(),INDEX(INDEX($K:$K,E125+1):$K$203&lt;&gt;"",0),0)+E125,"")))</f>
        <v>301</v>
      </c>
      <c r="F126" s="7661">
        <f t="shared" si="84"/>
        <v>0</v>
      </c>
      <c r="G126" s="7661" t="str">
        <f t="shared" si="47"/>
        <v>0</v>
      </c>
      <c r="H126" s="7672" t="str">
        <f t="shared" si="48"/>
        <v/>
      </c>
      <c r="I126" s="7683" t="str">
        <f t="shared" si="49"/>
        <v/>
      </c>
      <c r="J126" s="7673" t="str">
        <f>IF(K126="","",COUNTIF($K$18:K126,"&lt;&gt;"))</f>
        <v/>
      </c>
      <c r="K126" s="7674"/>
      <c r="L126" s="7673" t="str">
        <f t="shared" si="50"/>
        <v/>
      </c>
      <c r="M126" s="7630">
        <f t="shared" si="51"/>
        <v>1</v>
      </c>
      <c r="N126" s="7675">
        <f t="shared" si="52"/>
        <v>109</v>
      </c>
      <c r="O126" s="7676" t="str">
        <f t="shared" si="53"/>
        <v>0</v>
      </c>
      <c r="P126" s="7675">
        <f t="shared" si="54"/>
        <v>1</v>
      </c>
      <c r="Q126" s="7675">
        <f t="shared" si="55"/>
        <v>1</v>
      </c>
      <c r="S126" s="7679" t="str">
        <f t="shared" si="87"/>
        <v>0</v>
      </c>
      <c r="T126" s="7680" t="str">
        <f t="shared" si="87"/>
        <v/>
      </c>
      <c r="V126" s="7677">
        <f t="shared" si="56"/>
        <v>126</v>
      </c>
      <c r="W126" s="7678" t="str">
        <f t="shared" si="86"/>
        <v>0</v>
      </c>
      <c r="X126" s="7677" t="s">
        <v>2</v>
      </c>
      <c r="Y126" s="7702" t="str">
        <f t="shared" si="57"/>
        <v>0</v>
      </c>
      <c r="Z126" s="7703" t="str">
        <f t="shared" si="58"/>
        <v/>
      </c>
      <c r="AA126" s="7681" t="str">
        <f t="shared" si="59"/>
        <v>0</v>
      </c>
      <c r="AB126" s="7682" t="str">
        <f t="shared" si="60"/>
        <v/>
      </c>
      <c r="AC126" s="7677">
        <f t="shared" si="61"/>
        <v>0</v>
      </c>
      <c r="AD126" s="7677">
        <f t="shared" si="62"/>
        <v>0</v>
      </c>
      <c r="AE126" s="7682" t="str">
        <f t="shared" si="63"/>
        <v>aucun match</v>
      </c>
      <c r="AF126" s="6625" t="str">
        <f t="shared" si="64"/>
        <v>0</v>
      </c>
      <c r="AG126" s="6625" t="str">
        <f t="shared" si="65"/>
        <v>0</v>
      </c>
      <c r="AH126" s="6625" t="str">
        <f t="shared" si="66"/>
        <v>0</v>
      </c>
      <c r="AI126" s="6625" t="str">
        <f t="shared" si="67"/>
        <v xml:space="preserve"> 0 </v>
      </c>
      <c r="AJ126" s="6625" cm="1">
        <f t="array" ref="AJ126">IF(W126="",0,SUMPRODUCT((CA4:CA795="Gluten")*(CB4:CB795="INFO")*(COUNTIF(AI126,"*"&amp;CC4:CC795&amp;"*")&gt;0)*1))</f>
        <v>0</v>
      </c>
      <c r="AK126" s="6625" cm="1">
        <f t="array" ref="AK126">IF(W126="",0,SUMPRODUCT((CA4:CA795="Gluten")*(CB4:CB795="EXCL")*(COUNTIF(AI126,"*"&amp;CC4:CC795&amp;"*")&gt;0)*1))</f>
        <v>0</v>
      </c>
      <c r="AL126" s="6625" cm="1">
        <f t="array" ref="AL126">IF(W126="",0,SUMPRODUCT((CA4:CA795="Gluten")*(CB4:CB795="ALERTE")*(COUNTIF(AI126,"*"&amp;CC4:CC795&amp;"*")&gt;0)*1))</f>
        <v>0</v>
      </c>
      <c r="AM126" s="6625" cm="1">
        <f t="array" ref="AM126">IF(W126="",0,SUMPRODUCT((CA4:CA795="Gluten")*(CB4:CB795="SUSP")*(COUNTIF(AI126,"*"&amp;CC4:CC795&amp;"*")&gt;0)*1))</f>
        <v>0</v>
      </c>
      <c r="AN126" s="6625" cm="1">
        <f t="array" ref="AN126">IF(W126="",0,SUMPRODUCT((CA4:CA795="Crustaces")*(CB4:CB795="ALERTE")*(COUNTIF(AI126,"*"&amp;CC4:CC795&amp;"*")&gt;0)*1))</f>
        <v>0</v>
      </c>
      <c r="AO126" s="6625" cm="1">
        <f t="array" ref="AO126">IF(W126="",0,SUMPRODUCT((CA4:CA795="Oeufs")*(CB4:CB795="ALERTE")*(COUNTIF(AI126,"*"&amp;CC4:CC795&amp;"*")&gt;0)*1))</f>
        <v>0</v>
      </c>
      <c r="AP126" s="6625" cm="1">
        <f t="array" ref="AP126">IF(W126="",0,SUMPRODUCT((CA4:CA795="Poissons")*(CB4:CB795="INFO")*(COUNTIF(AI126,"*"&amp;CC4:CC795&amp;"*")&gt;0)*1))</f>
        <v>0</v>
      </c>
      <c r="AQ126" s="6625" cm="1">
        <f t="array" ref="AQ126">IF(W126="",0,SUMPRODUCT((CA4:CA795="Poissons")*(CB4:CB795="EXCL")*(COUNTIF(AI126,"*"&amp;CC4:CC795&amp;"*")&gt;0)*1))</f>
        <v>0</v>
      </c>
      <c r="AR126" s="6625" cm="1">
        <f t="array" ref="AR126">IF(W126="",0,SUMPRODUCT((CA4:CA795="Poissons")*(CB4:CB795="ALERTE")*(COUNTIF(AI126,"*"&amp;CC4:CC795&amp;"*")&gt;0)*1))</f>
        <v>0</v>
      </c>
      <c r="AS126" s="6625" cm="1">
        <f t="array" ref="AS126">IF(W126="",0,SUMPRODUCT((CA4:CA795="Arachides")*(CB4:CB795="ALERTE")*(COUNTIF(AI126,"*"&amp;CC4:CC795&amp;"*")&gt;0)*1))</f>
        <v>0</v>
      </c>
      <c r="AT126" s="6625" cm="1">
        <f t="array" ref="AT126">IF(W126="",0,SUMPRODUCT((CA4:CA795="Soja")*(CB4:CB795="INFO")*(COUNTIF(AI126,"*"&amp;CC4:CC795&amp;"*")&gt;0)*1))</f>
        <v>0</v>
      </c>
      <c r="AU126" s="6625" cm="1">
        <f t="array" ref="AU126">IF(W126="",0,SUMPRODUCT((CA4:CA795="Soja")*(CB4:CB795="ALERTE")*(COUNTIF(AI126,"*"&amp;CC4:CC795&amp;"*")&gt;0)*1))</f>
        <v>0</v>
      </c>
      <c r="AV126" s="6625" cm="1">
        <f t="array" ref="AV126">IF(W126="",0,SUMPRODUCT((CA4:CA795="Lait")*(CB4:CB795="INFO")*(COUNTIF(AI126,"*"&amp;CC4:CC795&amp;"*")&gt;0)*1))</f>
        <v>0</v>
      </c>
      <c r="AW126" s="6625" cm="1">
        <f t="array" ref="AW126">IF(W126="",0,SUMPRODUCT((CA4:CA795="Lait")*(CB4:CB795="EXCL")*(COUNTIF(AI126,"*"&amp;CC4:CC795&amp;"*")&gt;0)*1))</f>
        <v>0</v>
      </c>
      <c r="AX126" s="6625" cm="1">
        <f t="array" ref="AX126">IF(W126="",0,SUMPRODUCT((CA4:CA795="Lait")*(CB4:CB795="ALERTE")*(COUNTIF(AI126,"*"&amp;CC4:CC795&amp;"*")&gt;0)*1))</f>
        <v>0</v>
      </c>
      <c r="AY126" s="6625" cm="1">
        <f t="array" ref="AY126">IF(W126="",0,SUMPRODUCT((CA4:CA795="Lait")*(CB4:CB795="SUSP")*(COUNTIF(AI126,"*"&amp;CC4:CC795&amp;"*")&gt;0)*1))</f>
        <v>0</v>
      </c>
      <c r="AZ126" s="6625" cm="1">
        <f t="array" ref="AZ126">IF(W126="",0,SUMPRODUCT((CA4:CA795="Fruits a coque")*(CB4:CB795="EXCL")*(COUNTIF(AI126,"*"&amp;CC4:CC795&amp;"*")&gt;0)*1))</f>
        <v>0</v>
      </c>
      <c r="BA126" s="6625" cm="1">
        <f t="array" ref="BA126">IF(W126="",0,SUMPRODUCT((CA4:CA795="Fruits a coque")*(CB4:CB795="ALERTE")*(COUNTIF(AI126,"*"&amp;CC4:CC795&amp;"*")&gt;0)*1))</f>
        <v>0</v>
      </c>
      <c r="BB126" s="6625" cm="1">
        <f t="array" ref="BB126">IF(W126="",0,SUMPRODUCT((CA4:CA795="Celeri")*(CB4:CB795="ALERTE")*(COUNTIF(AI126,"*"&amp;CC4:CC795&amp;"*")&gt;0)*1))</f>
        <v>0</v>
      </c>
      <c r="BC126" s="6625" cm="1">
        <f t="array" ref="BC126">IF(W126="",0,SUMPRODUCT((CA4:CA795="Moutarde")*(CB4:CB795="ALERTE")*(COUNTIF(AI126,"*"&amp;CC4:CC795&amp;"*")&gt;0)*1))</f>
        <v>0</v>
      </c>
      <c r="BD126" s="6625" cm="1">
        <f t="array" ref="BD126">IF(W126="",0,SUMPRODUCT((CA4:CA795="Sesame")*(CB4:CB795="ALERTE")*(COUNTIF(AI126,"*"&amp;CC4:CC795&amp;"*")&gt;0)*1))</f>
        <v>0</v>
      </c>
      <c r="BE126" s="6625" cm="1">
        <f t="array" ref="BE126">IF(W126="",0,SUMPRODUCT((CA4:CA795="Sulfites")*(CB4:CB795="ALERTE")*(COUNTIF(AI126,"*"&amp;CC4:CC795&amp;"*")&gt;0)*1))</f>
        <v>0</v>
      </c>
      <c r="BF126" s="6625" cm="1">
        <f t="array" ref="BF126">IF(W126="",0,SUMPRODUCT((CA4:CA795="Lupin")*(CB4:CB795="ALERTE")*(COUNTIF(AI126,"*"&amp;CC4:CC795&amp;"*")&gt;0)*1))</f>
        <v>0</v>
      </c>
      <c r="BG126" s="6625" cm="1">
        <f t="array" ref="BG126">IF(W126="",0,SUMPRODUCT((CA4:CA795="Mollusques")*(CB4:CB795="EXCL")*(COUNTIF(AI126,"*"&amp;CC4:CC795&amp;"*")&gt;0)*1))</f>
        <v>0</v>
      </c>
      <c r="BH126" s="6625" cm="1">
        <f t="array" ref="BH126">IF(W126="",0,SUMPRODUCT((CA4:CA795="Mollusques")*(CB4:CB795="ALERTE")*(COUNTIF(AI126,"*"&amp;CC4:CC795&amp;"*")&gt;0)*1))</f>
        <v>0</v>
      </c>
      <c r="BI126" s="6625" t="str">
        <f t="shared" si="68"/>
        <v/>
      </c>
      <c r="BJ126" s="6625" t="str">
        <f t="shared" si="69"/>
        <v/>
      </c>
      <c r="BK126" s="6625" t="str">
        <f t="shared" si="70"/>
        <v/>
      </c>
      <c r="BL126" s="6625" t="str">
        <f t="shared" si="71"/>
        <v/>
      </c>
      <c r="BM126" s="6625" t="str">
        <f t="shared" si="72"/>
        <v/>
      </c>
      <c r="BN126" s="6625" t="str">
        <f t="shared" si="73"/>
        <v/>
      </c>
      <c r="BO126" s="6625" t="str">
        <f t="shared" si="74"/>
        <v/>
      </c>
      <c r="BP126" s="6625" t="str">
        <f t="shared" si="75"/>
        <v/>
      </c>
      <c r="BQ126" s="6625" t="str">
        <f t="shared" si="76"/>
        <v/>
      </c>
      <c r="BR126" s="6625" t="str">
        <f t="shared" si="77"/>
        <v/>
      </c>
      <c r="BS126" s="6625" t="str">
        <f t="shared" si="78"/>
        <v/>
      </c>
      <c r="BT126" s="6625" t="str">
        <f t="shared" si="79"/>
        <v/>
      </c>
      <c r="BU126" s="6625" t="str">
        <f t="shared" si="80"/>
        <v/>
      </c>
      <c r="BV126" s="6625" t="str">
        <f t="shared" si="81"/>
        <v/>
      </c>
      <c r="BW126" s="6625" t="str">
        <f t="shared" si="82"/>
        <v/>
      </c>
      <c r="BX126" s="6625" t="str">
        <f t="shared" si="83"/>
        <v/>
      </c>
      <c r="CA126" s="3170" t="s">
        <v>16501</v>
      </c>
      <c r="CB126" s="7634" t="s">
        <v>16255</v>
      </c>
      <c r="CC126" s="3170" t="s">
        <v>16581</v>
      </c>
      <c r="CD126" s="3170" t="s">
        <v>16582</v>
      </c>
    </row>
    <row r="127" spans="2:82" ht="30" customHeight="1">
      <c r="B127" s="7661" t="str">
        <f t="shared" si="44"/>
        <v/>
      </c>
      <c r="C127" s="7661" t="str">
        <f t="shared" si="45"/>
        <v/>
      </c>
      <c r="D127" s="7661" t="str">
        <f t="shared" si="46"/>
        <v/>
      </c>
      <c r="E127" s="7661">
        <f>IF(H126&lt;&gt;"",E126,IF(E126="","",IFERROR(MATCH(TRUE(),INDEX(INDEX($K:$K,E126+1):$K$203&lt;&gt;"",0),0)+E126,"")))</f>
        <v>302</v>
      </c>
      <c r="F127" s="7661">
        <f t="shared" si="84"/>
        <v>0</v>
      </c>
      <c r="G127" s="7661" t="str">
        <f t="shared" si="47"/>
        <v>0</v>
      </c>
      <c r="H127" s="7672" t="str">
        <f t="shared" si="48"/>
        <v/>
      </c>
      <c r="I127" s="7683" t="str">
        <f t="shared" si="49"/>
        <v/>
      </c>
      <c r="J127" s="7673" t="str">
        <f>IF(K127="","",COUNTIF($K$18:K127,"&lt;&gt;"))</f>
        <v/>
      </c>
      <c r="K127" s="7674"/>
      <c r="L127" s="7673" t="str">
        <f t="shared" si="50"/>
        <v/>
      </c>
      <c r="M127" s="7630">
        <f t="shared" si="51"/>
        <v>1</v>
      </c>
      <c r="N127" s="7675">
        <f t="shared" si="52"/>
        <v>110</v>
      </c>
      <c r="O127" s="7676" t="str">
        <f t="shared" si="53"/>
        <v>0</v>
      </c>
      <c r="P127" s="7675">
        <f t="shared" si="54"/>
        <v>1</v>
      </c>
      <c r="Q127" s="7675">
        <f t="shared" si="55"/>
        <v>1</v>
      </c>
      <c r="S127" s="7679" t="str">
        <f t="shared" si="87"/>
        <v>0</v>
      </c>
      <c r="T127" s="7680" t="str">
        <f t="shared" si="87"/>
        <v/>
      </c>
      <c r="V127" s="7677">
        <f t="shared" si="56"/>
        <v>127</v>
      </c>
      <c r="W127" s="7678" t="str">
        <f t="shared" si="86"/>
        <v>0</v>
      </c>
      <c r="X127" s="7677" t="s">
        <v>2</v>
      </c>
      <c r="Y127" s="7702" t="str">
        <f t="shared" si="57"/>
        <v>0</v>
      </c>
      <c r="Z127" s="7703" t="str">
        <f t="shared" si="58"/>
        <v/>
      </c>
      <c r="AA127" s="7681" t="str">
        <f t="shared" si="59"/>
        <v>0</v>
      </c>
      <c r="AB127" s="7682" t="str">
        <f t="shared" si="60"/>
        <v/>
      </c>
      <c r="AC127" s="7677">
        <f t="shared" si="61"/>
        <v>0</v>
      </c>
      <c r="AD127" s="7677">
        <f t="shared" si="62"/>
        <v>0</v>
      </c>
      <c r="AE127" s="7682" t="str">
        <f t="shared" si="63"/>
        <v>aucun match</v>
      </c>
      <c r="AF127" s="6625" t="str">
        <f t="shared" si="64"/>
        <v>0</v>
      </c>
      <c r="AG127" s="6625" t="str">
        <f t="shared" si="65"/>
        <v>0</v>
      </c>
      <c r="AH127" s="6625" t="str">
        <f t="shared" si="66"/>
        <v>0</v>
      </c>
      <c r="AI127" s="6625" t="str">
        <f t="shared" si="67"/>
        <v xml:space="preserve"> 0 </v>
      </c>
      <c r="AJ127" s="6625" cm="1">
        <f t="array" ref="AJ127">IF(W127="",0,SUMPRODUCT((CA4:CA795="Gluten")*(CB4:CB795="INFO")*(COUNTIF(AI127,"*"&amp;CC4:CC795&amp;"*")&gt;0)*1))</f>
        <v>0</v>
      </c>
      <c r="AK127" s="6625" cm="1">
        <f t="array" ref="AK127">IF(W127="",0,SUMPRODUCT((CA4:CA795="Gluten")*(CB4:CB795="EXCL")*(COUNTIF(AI127,"*"&amp;CC4:CC795&amp;"*")&gt;0)*1))</f>
        <v>0</v>
      </c>
      <c r="AL127" s="6625" cm="1">
        <f t="array" ref="AL127">IF(W127="",0,SUMPRODUCT((CA4:CA795="Gluten")*(CB4:CB795="ALERTE")*(COUNTIF(AI127,"*"&amp;CC4:CC795&amp;"*")&gt;0)*1))</f>
        <v>0</v>
      </c>
      <c r="AM127" s="6625" cm="1">
        <f t="array" ref="AM127">IF(W127="",0,SUMPRODUCT((CA4:CA795="Gluten")*(CB4:CB795="SUSP")*(COUNTIF(AI127,"*"&amp;CC4:CC795&amp;"*")&gt;0)*1))</f>
        <v>0</v>
      </c>
      <c r="AN127" s="6625" cm="1">
        <f t="array" ref="AN127">IF(W127="",0,SUMPRODUCT((CA4:CA795="Crustaces")*(CB4:CB795="ALERTE")*(COUNTIF(AI127,"*"&amp;CC4:CC795&amp;"*")&gt;0)*1))</f>
        <v>0</v>
      </c>
      <c r="AO127" s="6625" cm="1">
        <f t="array" ref="AO127">IF(W127="",0,SUMPRODUCT((CA4:CA795="Oeufs")*(CB4:CB795="ALERTE")*(COUNTIF(AI127,"*"&amp;CC4:CC795&amp;"*")&gt;0)*1))</f>
        <v>0</v>
      </c>
      <c r="AP127" s="6625" cm="1">
        <f t="array" ref="AP127">IF(W127="",0,SUMPRODUCT((CA4:CA795="Poissons")*(CB4:CB795="INFO")*(COUNTIF(AI127,"*"&amp;CC4:CC795&amp;"*")&gt;0)*1))</f>
        <v>0</v>
      </c>
      <c r="AQ127" s="6625" cm="1">
        <f t="array" ref="AQ127">IF(W127="",0,SUMPRODUCT((CA4:CA795="Poissons")*(CB4:CB795="EXCL")*(COUNTIF(AI127,"*"&amp;CC4:CC795&amp;"*")&gt;0)*1))</f>
        <v>0</v>
      </c>
      <c r="AR127" s="6625" cm="1">
        <f t="array" ref="AR127">IF(W127="",0,SUMPRODUCT((CA4:CA795="Poissons")*(CB4:CB795="ALERTE")*(COUNTIF(AI127,"*"&amp;CC4:CC795&amp;"*")&gt;0)*1))</f>
        <v>0</v>
      </c>
      <c r="AS127" s="6625" cm="1">
        <f t="array" ref="AS127">IF(W127="",0,SUMPRODUCT((CA4:CA795="Arachides")*(CB4:CB795="ALERTE")*(COUNTIF(AI127,"*"&amp;CC4:CC795&amp;"*")&gt;0)*1))</f>
        <v>0</v>
      </c>
      <c r="AT127" s="6625" cm="1">
        <f t="array" ref="AT127">IF(W127="",0,SUMPRODUCT((CA4:CA795="Soja")*(CB4:CB795="INFO")*(COUNTIF(AI127,"*"&amp;CC4:CC795&amp;"*")&gt;0)*1))</f>
        <v>0</v>
      </c>
      <c r="AU127" s="6625" cm="1">
        <f t="array" ref="AU127">IF(W127="",0,SUMPRODUCT((CA4:CA795="Soja")*(CB4:CB795="ALERTE")*(COUNTIF(AI127,"*"&amp;CC4:CC795&amp;"*")&gt;0)*1))</f>
        <v>0</v>
      </c>
      <c r="AV127" s="6625" cm="1">
        <f t="array" ref="AV127">IF(W127="",0,SUMPRODUCT((CA4:CA795="Lait")*(CB4:CB795="INFO")*(COUNTIF(AI127,"*"&amp;CC4:CC795&amp;"*")&gt;0)*1))</f>
        <v>0</v>
      </c>
      <c r="AW127" s="6625" cm="1">
        <f t="array" ref="AW127">IF(W127="",0,SUMPRODUCT((CA4:CA795="Lait")*(CB4:CB795="EXCL")*(COUNTIF(AI127,"*"&amp;CC4:CC795&amp;"*")&gt;0)*1))</f>
        <v>0</v>
      </c>
      <c r="AX127" s="6625" cm="1">
        <f t="array" ref="AX127">IF(W127="",0,SUMPRODUCT((CA4:CA795="Lait")*(CB4:CB795="ALERTE")*(COUNTIF(AI127,"*"&amp;CC4:CC795&amp;"*")&gt;0)*1))</f>
        <v>0</v>
      </c>
      <c r="AY127" s="6625" cm="1">
        <f t="array" ref="AY127">IF(W127="",0,SUMPRODUCT((CA4:CA795="Lait")*(CB4:CB795="SUSP")*(COUNTIF(AI127,"*"&amp;CC4:CC795&amp;"*")&gt;0)*1))</f>
        <v>0</v>
      </c>
      <c r="AZ127" s="6625" cm="1">
        <f t="array" ref="AZ127">IF(W127="",0,SUMPRODUCT((CA4:CA795="Fruits a coque")*(CB4:CB795="EXCL")*(COUNTIF(AI127,"*"&amp;CC4:CC795&amp;"*")&gt;0)*1))</f>
        <v>0</v>
      </c>
      <c r="BA127" s="6625" cm="1">
        <f t="array" ref="BA127">IF(W127="",0,SUMPRODUCT((CA4:CA795="Fruits a coque")*(CB4:CB795="ALERTE")*(COUNTIF(AI127,"*"&amp;CC4:CC795&amp;"*")&gt;0)*1))</f>
        <v>0</v>
      </c>
      <c r="BB127" s="6625" cm="1">
        <f t="array" ref="BB127">IF(W127="",0,SUMPRODUCT((CA4:CA795="Celeri")*(CB4:CB795="ALERTE")*(COUNTIF(AI127,"*"&amp;CC4:CC795&amp;"*")&gt;0)*1))</f>
        <v>0</v>
      </c>
      <c r="BC127" s="6625" cm="1">
        <f t="array" ref="BC127">IF(W127="",0,SUMPRODUCT((CA4:CA795="Moutarde")*(CB4:CB795="ALERTE")*(COUNTIF(AI127,"*"&amp;CC4:CC795&amp;"*")&gt;0)*1))</f>
        <v>0</v>
      </c>
      <c r="BD127" s="6625" cm="1">
        <f t="array" ref="BD127">IF(W127="",0,SUMPRODUCT((CA4:CA795="Sesame")*(CB4:CB795="ALERTE")*(COUNTIF(AI127,"*"&amp;CC4:CC795&amp;"*")&gt;0)*1))</f>
        <v>0</v>
      </c>
      <c r="BE127" s="6625" cm="1">
        <f t="array" ref="BE127">IF(W127="",0,SUMPRODUCT((CA4:CA795="Sulfites")*(CB4:CB795="ALERTE")*(COUNTIF(AI127,"*"&amp;CC4:CC795&amp;"*")&gt;0)*1))</f>
        <v>0</v>
      </c>
      <c r="BF127" s="6625" cm="1">
        <f t="array" ref="BF127">IF(W127="",0,SUMPRODUCT((CA4:CA795="Lupin")*(CB4:CB795="ALERTE")*(COUNTIF(AI127,"*"&amp;CC4:CC795&amp;"*")&gt;0)*1))</f>
        <v>0</v>
      </c>
      <c r="BG127" s="6625" cm="1">
        <f t="array" ref="BG127">IF(W127="",0,SUMPRODUCT((CA4:CA795="Mollusques")*(CB4:CB795="EXCL")*(COUNTIF(AI127,"*"&amp;CC4:CC795&amp;"*")&gt;0)*1))</f>
        <v>0</v>
      </c>
      <c r="BH127" s="6625" cm="1">
        <f t="array" ref="BH127">IF(W127="",0,SUMPRODUCT((CA4:CA795="Mollusques")*(CB4:CB795="ALERTE")*(COUNTIF(AI127,"*"&amp;CC4:CC795&amp;"*")&gt;0)*1))</f>
        <v>0</v>
      </c>
      <c r="BI127" s="6625" t="str">
        <f t="shared" si="68"/>
        <v/>
      </c>
      <c r="BJ127" s="6625" t="str">
        <f t="shared" si="69"/>
        <v/>
      </c>
      <c r="BK127" s="6625" t="str">
        <f t="shared" si="70"/>
        <v/>
      </c>
      <c r="BL127" s="6625" t="str">
        <f t="shared" si="71"/>
        <v/>
      </c>
      <c r="BM127" s="6625" t="str">
        <f t="shared" si="72"/>
        <v/>
      </c>
      <c r="BN127" s="6625" t="str">
        <f t="shared" si="73"/>
        <v/>
      </c>
      <c r="BO127" s="6625" t="str">
        <f t="shared" si="74"/>
        <v/>
      </c>
      <c r="BP127" s="6625" t="str">
        <f t="shared" si="75"/>
        <v/>
      </c>
      <c r="BQ127" s="6625" t="str">
        <f t="shared" si="76"/>
        <v/>
      </c>
      <c r="BR127" s="6625" t="str">
        <f t="shared" si="77"/>
        <v/>
      </c>
      <c r="BS127" s="6625" t="str">
        <f t="shared" si="78"/>
        <v/>
      </c>
      <c r="BT127" s="6625" t="str">
        <f t="shared" si="79"/>
        <v/>
      </c>
      <c r="BU127" s="6625" t="str">
        <f t="shared" si="80"/>
        <v/>
      </c>
      <c r="BV127" s="6625" t="str">
        <f t="shared" si="81"/>
        <v/>
      </c>
      <c r="BW127" s="6625" t="str">
        <f t="shared" si="82"/>
        <v/>
      </c>
      <c r="BX127" s="6625" t="str">
        <f t="shared" si="83"/>
        <v/>
      </c>
      <c r="CA127" s="3170" t="s">
        <v>16501</v>
      </c>
      <c r="CB127" s="7634" t="s">
        <v>16255</v>
      </c>
      <c r="CC127" s="3170" t="s">
        <v>16583</v>
      </c>
      <c r="CD127" s="3170" t="s">
        <v>16584</v>
      </c>
    </row>
    <row r="128" spans="2:82" ht="30" customHeight="1">
      <c r="B128" s="7661" t="str">
        <f t="shared" si="44"/>
        <v/>
      </c>
      <c r="C128" s="7661" t="str">
        <f t="shared" si="45"/>
        <v/>
      </c>
      <c r="D128" s="7661" t="str">
        <f t="shared" si="46"/>
        <v/>
      </c>
      <c r="E128" s="7661">
        <f>IF(H127&lt;&gt;"",E127,IF(E127="","",IFERROR(MATCH(TRUE(),INDEX(INDEX($K:$K,E127+1):$K$203&lt;&gt;"",0),0)+E127,"")))</f>
        <v>303</v>
      </c>
      <c r="F128" s="7661">
        <f t="shared" si="84"/>
        <v>0</v>
      </c>
      <c r="G128" s="7661" t="str">
        <f t="shared" si="47"/>
        <v>0</v>
      </c>
      <c r="H128" s="7672" t="str">
        <f t="shared" si="48"/>
        <v/>
      </c>
      <c r="I128" s="7683" t="str">
        <f t="shared" si="49"/>
        <v/>
      </c>
      <c r="J128" s="7673" t="str">
        <f>IF(K128="","",COUNTIF($K$18:K128,"&lt;&gt;"))</f>
        <v/>
      </c>
      <c r="K128" s="7674"/>
      <c r="L128" s="7673" t="str">
        <f t="shared" si="50"/>
        <v/>
      </c>
      <c r="M128" s="7630">
        <f t="shared" si="51"/>
        <v>1</v>
      </c>
      <c r="N128" s="7675">
        <f t="shared" si="52"/>
        <v>111</v>
      </c>
      <c r="O128" s="7676" t="str">
        <f t="shared" si="53"/>
        <v>0</v>
      </c>
      <c r="P128" s="7675">
        <f t="shared" si="54"/>
        <v>1</v>
      </c>
      <c r="Q128" s="7675">
        <f t="shared" si="55"/>
        <v>1</v>
      </c>
      <c r="S128" s="7679" t="str">
        <f t="shared" si="87"/>
        <v>0</v>
      </c>
      <c r="T128" s="7680" t="str">
        <f t="shared" si="87"/>
        <v/>
      </c>
      <c r="V128" s="7677">
        <f t="shared" si="56"/>
        <v>128</v>
      </c>
      <c r="W128" s="7678" t="str">
        <f t="shared" si="86"/>
        <v>0</v>
      </c>
      <c r="X128" s="7677" t="s">
        <v>2</v>
      </c>
      <c r="Y128" s="7702" t="str">
        <f t="shared" si="57"/>
        <v>0</v>
      </c>
      <c r="Z128" s="7703" t="str">
        <f t="shared" si="58"/>
        <v/>
      </c>
      <c r="AA128" s="7681" t="str">
        <f t="shared" si="59"/>
        <v>0</v>
      </c>
      <c r="AB128" s="7682" t="str">
        <f t="shared" si="60"/>
        <v/>
      </c>
      <c r="AC128" s="7677">
        <f t="shared" si="61"/>
        <v>0</v>
      </c>
      <c r="AD128" s="7677">
        <f t="shared" si="62"/>
        <v>0</v>
      </c>
      <c r="AE128" s="7682" t="str">
        <f t="shared" si="63"/>
        <v>aucun match</v>
      </c>
      <c r="AF128" s="6625" t="str">
        <f t="shared" si="64"/>
        <v>0</v>
      </c>
      <c r="AG128" s="6625" t="str">
        <f t="shared" si="65"/>
        <v>0</v>
      </c>
      <c r="AH128" s="6625" t="str">
        <f t="shared" si="66"/>
        <v>0</v>
      </c>
      <c r="AI128" s="6625" t="str">
        <f t="shared" si="67"/>
        <v xml:space="preserve"> 0 </v>
      </c>
      <c r="AJ128" s="6625" cm="1">
        <f t="array" ref="AJ128">IF(W128="",0,SUMPRODUCT((CA4:CA795="Gluten")*(CB4:CB795="INFO")*(COUNTIF(AI128,"*"&amp;CC4:CC795&amp;"*")&gt;0)*1))</f>
        <v>0</v>
      </c>
      <c r="AK128" s="6625" cm="1">
        <f t="array" ref="AK128">IF(W128="",0,SUMPRODUCT((CA4:CA795="Gluten")*(CB4:CB795="EXCL")*(COUNTIF(AI128,"*"&amp;CC4:CC795&amp;"*")&gt;0)*1))</f>
        <v>0</v>
      </c>
      <c r="AL128" s="6625" cm="1">
        <f t="array" ref="AL128">IF(W128="",0,SUMPRODUCT((CA4:CA795="Gluten")*(CB4:CB795="ALERTE")*(COUNTIF(AI128,"*"&amp;CC4:CC795&amp;"*")&gt;0)*1))</f>
        <v>0</v>
      </c>
      <c r="AM128" s="6625" cm="1">
        <f t="array" ref="AM128">IF(W128="",0,SUMPRODUCT((CA4:CA795="Gluten")*(CB4:CB795="SUSP")*(COUNTIF(AI128,"*"&amp;CC4:CC795&amp;"*")&gt;0)*1))</f>
        <v>0</v>
      </c>
      <c r="AN128" s="6625" cm="1">
        <f t="array" ref="AN128">IF(W128="",0,SUMPRODUCT((CA4:CA795="Crustaces")*(CB4:CB795="ALERTE")*(COUNTIF(AI128,"*"&amp;CC4:CC795&amp;"*")&gt;0)*1))</f>
        <v>0</v>
      </c>
      <c r="AO128" s="6625" cm="1">
        <f t="array" ref="AO128">IF(W128="",0,SUMPRODUCT((CA4:CA795="Oeufs")*(CB4:CB795="ALERTE")*(COUNTIF(AI128,"*"&amp;CC4:CC795&amp;"*")&gt;0)*1))</f>
        <v>0</v>
      </c>
      <c r="AP128" s="6625" cm="1">
        <f t="array" ref="AP128">IF(W128="",0,SUMPRODUCT((CA4:CA795="Poissons")*(CB4:CB795="INFO")*(COUNTIF(AI128,"*"&amp;CC4:CC795&amp;"*")&gt;0)*1))</f>
        <v>0</v>
      </c>
      <c r="AQ128" s="6625" cm="1">
        <f t="array" ref="AQ128">IF(W128="",0,SUMPRODUCT((CA4:CA795="Poissons")*(CB4:CB795="EXCL")*(COUNTIF(AI128,"*"&amp;CC4:CC795&amp;"*")&gt;0)*1))</f>
        <v>0</v>
      </c>
      <c r="AR128" s="6625" cm="1">
        <f t="array" ref="AR128">IF(W128="",0,SUMPRODUCT((CA4:CA795="Poissons")*(CB4:CB795="ALERTE")*(COUNTIF(AI128,"*"&amp;CC4:CC795&amp;"*")&gt;0)*1))</f>
        <v>0</v>
      </c>
      <c r="AS128" s="6625" cm="1">
        <f t="array" ref="AS128">IF(W128="",0,SUMPRODUCT((CA4:CA795="Arachides")*(CB4:CB795="ALERTE")*(COUNTIF(AI128,"*"&amp;CC4:CC795&amp;"*")&gt;0)*1))</f>
        <v>0</v>
      </c>
      <c r="AT128" s="6625" cm="1">
        <f t="array" ref="AT128">IF(W128="",0,SUMPRODUCT((CA4:CA795="Soja")*(CB4:CB795="INFO")*(COUNTIF(AI128,"*"&amp;CC4:CC795&amp;"*")&gt;0)*1))</f>
        <v>0</v>
      </c>
      <c r="AU128" s="6625" cm="1">
        <f t="array" ref="AU128">IF(W128="",0,SUMPRODUCT((CA4:CA795="Soja")*(CB4:CB795="ALERTE")*(COUNTIF(AI128,"*"&amp;CC4:CC795&amp;"*")&gt;0)*1))</f>
        <v>0</v>
      </c>
      <c r="AV128" s="6625" cm="1">
        <f t="array" ref="AV128">IF(W128="",0,SUMPRODUCT((CA4:CA795="Lait")*(CB4:CB795="INFO")*(COUNTIF(AI128,"*"&amp;CC4:CC795&amp;"*")&gt;0)*1))</f>
        <v>0</v>
      </c>
      <c r="AW128" s="6625" cm="1">
        <f t="array" ref="AW128">IF(W128="",0,SUMPRODUCT((CA4:CA795="Lait")*(CB4:CB795="EXCL")*(COUNTIF(AI128,"*"&amp;CC4:CC795&amp;"*")&gt;0)*1))</f>
        <v>0</v>
      </c>
      <c r="AX128" s="6625" cm="1">
        <f t="array" ref="AX128">IF(W128="",0,SUMPRODUCT((CA4:CA795="Lait")*(CB4:CB795="ALERTE")*(COUNTIF(AI128,"*"&amp;CC4:CC795&amp;"*")&gt;0)*1))</f>
        <v>0</v>
      </c>
      <c r="AY128" s="6625" cm="1">
        <f t="array" ref="AY128">IF(W128="",0,SUMPRODUCT((CA4:CA795="Lait")*(CB4:CB795="SUSP")*(COUNTIF(AI128,"*"&amp;CC4:CC795&amp;"*")&gt;0)*1))</f>
        <v>0</v>
      </c>
      <c r="AZ128" s="6625" cm="1">
        <f t="array" ref="AZ128">IF(W128="",0,SUMPRODUCT((CA4:CA795="Fruits a coque")*(CB4:CB795="EXCL")*(COUNTIF(AI128,"*"&amp;CC4:CC795&amp;"*")&gt;0)*1))</f>
        <v>0</v>
      </c>
      <c r="BA128" s="6625" cm="1">
        <f t="array" ref="BA128">IF(W128="",0,SUMPRODUCT((CA4:CA795="Fruits a coque")*(CB4:CB795="ALERTE")*(COUNTIF(AI128,"*"&amp;CC4:CC795&amp;"*")&gt;0)*1))</f>
        <v>0</v>
      </c>
      <c r="BB128" s="6625" cm="1">
        <f t="array" ref="BB128">IF(W128="",0,SUMPRODUCT((CA4:CA795="Celeri")*(CB4:CB795="ALERTE")*(COUNTIF(AI128,"*"&amp;CC4:CC795&amp;"*")&gt;0)*1))</f>
        <v>0</v>
      </c>
      <c r="BC128" s="6625" cm="1">
        <f t="array" ref="BC128">IF(W128="",0,SUMPRODUCT((CA4:CA795="Moutarde")*(CB4:CB795="ALERTE")*(COUNTIF(AI128,"*"&amp;CC4:CC795&amp;"*")&gt;0)*1))</f>
        <v>0</v>
      </c>
      <c r="BD128" s="6625" cm="1">
        <f t="array" ref="BD128">IF(W128="",0,SUMPRODUCT((CA4:CA795="Sesame")*(CB4:CB795="ALERTE")*(COUNTIF(AI128,"*"&amp;CC4:CC795&amp;"*")&gt;0)*1))</f>
        <v>0</v>
      </c>
      <c r="BE128" s="6625" cm="1">
        <f t="array" ref="BE128">IF(W128="",0,SUMPRODUCT((CA4:CA795="Sulfites")*(CB4:CB795="ALERTE")*(COUNTIF(AI128,"*"&amp;CC4:CC795&amp;"*")&gt;0)*1))</f>
        <v>0</v>
      </c>
      <c r="BF128" s="6625" cm="1">
        <f t="array" ref="BF128">IF(W128="",0,SUMPRODUCT((CA4:CA795="Lupin")*(CB4:CB795="ALERTE")*(COUNTIF(AI128,"*"&amp;CC4:CC795&amp;"*")&gt;0)*1))</f>
        <v>0</v>
      </c>
      <c r="BG128" s="6625" cm="1">
        <f t="array" ref="BG128">IF(W128="",0,SUMPRODUCT((CA4:CA795="Mollusques")*(CB4:CB795="EXCL")*(COUNTIF(AI128,"*"&amp;CC4:CC795&amp;"*")&gt;0)*1))</f>
        <v>0</v>
      </c>
      <c r="BH128" s="6625" cm="1">
        <f t="array" ref="BH128">IF(W128="",0,SUMPRODUCT((CA4:CA795="Mollusques")*(CB4:CB795="ALERTE")*(COUNTIF(AI128,"*"&amp;CC4:CC795&amp;"*")&gt;0)*1))</f>
        <v>0</v>
      </c>
      <c r="BI128" s="6625" t="str">
        <f t="shared" si="68"/>
        <v/>
      </c>
      <c r="BJ128" s="6625" t="str">
        <f t="shared" si="69"/>
        <v/>
      </c>
      <c r="BK128" s="6625" t="str">
        <f t="shared" si="70"/>
        <v/>
      </c>
      <c r="BL128" s="6625" t="str">
        <f t="shared" si="71"/>
        <v/>
      </c>
      <c r="BM128" s="6625" t="str">
        <f t="shared" si="72"/>
        <v/>
      </c>
      <c r="BN128" s="6625" t="str">
        <f t="shared" si="73"/>
        <v/>
      </c>
      <c r="BO128" s="6625" t="str">
        <f t="shared" si="74"/>
        <v/>
      </c>
      <c r="BP128" s="6625" t="str">
        <f t="shared" si="75"/>
        <v/>
      </c>
      <c r="BQ128" s="6625" t="str">
        <f t="shared" si="76"/>
        <v/>
      </c>
      <c r="BR128" s="6625" t="str">
        <f t="shared" si="77"/>
        <v/>
      </c>
      <c r="BS128" s="6625" t="str">
        <f t="shared" si="78"/>
        <v/>
      </c>
      <c r="BT128" s="6625" t="str">
        <f t="shared" si="79"/>
        <v/>
      </c>
      <c r="BU128" s="6625" t="str">
        <f t="shared" si="80"/>
        <v/>
      </c>
      <c r="BV128" s="6625" t="str">
        <f t="shared" si="81"/>
        <v/>
      </c>
      <c r="BW128" s="6625" t="str">
        <f t="shared" si="82"/>
        <v/>
      </c>
      <c r="BX128" s="6625" t="str">
        <f t="shared" si="83"/>
        <v/>
      </c>
      <c r="CA128" s="3170" t="s">
        <v>16501</v>
      </c>
      <c r="CB128" s="7634" t="s">
        <v>16255</v>
      </c>
      <c r="CC128" s="3170" t="s">
        <v>16585</v>
      </c>
      <c r="CD128" s="3170" t="s">
        <v>16586</v>
      </c>
    </row>
    <row r="129" spans="2:82" ht="30" customHeight="1">
      <c r="B129" s="7661" t="str">
        <f t="shared" si="44"/>
        <v/>
      </c>
      <c r="C129" s="7661" t="str">
        <f t="shared" si="45"/>
        <v/>
      </c>
      <c r="D129" s="7661" t="str">
        <f t="shared" si="46"/>
        <v/>
      </c>
      <c r="E129" s="7661">
        <f>IF(H128&lt;&gt;"",E128,IF(E128="","",IFERROR(MATCH(TRUE(),INDEX(INDEX($K:$K,E128+1):$K$203&lt;&gt;"",0),0)+E128,"")))</f>
        <v>304</v>
      </c>
      <c r="F129" s="7661">
        <f t="shared" si="84"/>
        <v>0</v>
      </c>
      <c r="G129" s="7661" t="str">
        <f t="shared" si="47"/>
        <v>0</v>
      </c>
      <c r="H129" s="7672" t="str">
        <f t="shared" si="48"/>
        <v/>
      </c>
      <c r="I129" s="7683" t="str">
        <f t="shared" si="49"/>
        <v/>
      </c>
      <c r="J129" s="7673" t="str">
        <f>IF(K129="","",COUNTIF($K$18:K129,"&lt;&gt;"))</f>
        <v/>
      </c>
      <c r="K129" s="7674"/>
      <c r="L129" s="7673" t="str">
        <f t="shared" si="50"/>
        <v/>
      </c>
      <c r="M129" s="7630">
        <f t="shared" si="51"/>
        <v>1</v>
      </c>
      <c r="N129" s="7675">
        <f t="shared" si="52"/>
        <v>112</v>
      </c>
      <c r="O129" s="7676" t="str">
        <f t="shared" si="53"/>
        <v>0</v>
      </c>
      <c r="P129" s="7675">
        <f t="shared" si="54"/>
        <v>1</v>
      </c>
      <c r="Q129" s="7675">
        <f t="shared" si="55"/>
        <v>1</v>
      </c>
      <c r="S129" s="7679" t="str">
        <f t="shared" si="87"/>
        <v>0</v>
      </c>
      <c r="T129" s="7680" t="str">
        <f t="shared" si="87"/>
        <v/>
      </c>
      <c r="V129" s="7677">
        <f t="shared" si="56"/>
        <v>129</v>
      </c>
      <c r="W129" s="7678" t="str">
        <f t="shared" si="86"/>
        <v>0</v>
      </c>
      <c r="X129" s="7677" t="s">
        <v>2</v>
      </c>
      <c r="Y129" s="7702" t="str">
        <f t="shared" si="57"/>
        <v>0</v>
      </c>
      <c r="Z129" s="7703" t="str">
        <f t="shared" si="58"/>
        <v/>
      </c>
      <c r="AA129" s="7681" t="str">
        <f t="shared" si="59"/>
        <v>0</v>
      </c>
      <c r="AB129" s="7682" t="str">
        <f t="shared" si="60"/>
        <v/>
      </c>
      <c r="AC129" s="7677">
        <f t="shared" si="61"/>
        <v>0</v>
      </c>
      <c r="AD129" s="7677">
        <f t="shared" si="62"/>
        <v>0</v>
      </c>
      <c r="AE129" s="7682" t="str">
        <f t="shared" si="63"/>
        <v>aucun match</v>
      </c>
      <c r="AF129" s="6625" t="str">
        <f t="shared" si="64"/>
        <v>0</v>
      </c>
      <c r="AG129" s="6625" t="str">
        <f t="shared" si="65"/>
        <v>0</v>
      </c>
      <c r="AH129" s="6625" t="str">
        <f t="shared" si="66"/>
        <v>0</v>
      </c>
      <c r="AI129" s="6625" t="str">
        <f t="shared" si="67"/>
        <v xml:space="preserve"> 0 </v>
      </c>
      <c r="AJ129" s="6625" cm="1">
        <f t="array" ref="AJ129">IF(W129="",0,SUMPRODUCT((CA4:CA795="Gluten")*(CB4:CB795="INFO")*(COUNTIF(AI129,"*"&amp;CC4:CC795&amp;"*")&gt;0)*1))</f>
        <v>0</v>
      </c>
      <c r="AK129" s="6625" cm="1">
        <f t="array" ref="AK129">IF(W129="",0,SUMPRODUCT((CA4:CA795="Gluten")*(CB4:CB795="EXCL")*(COUNTIF(AI129,"*"&amp;CC4:CC795&amp;"*")&gt;0)*1))</f>
        <v>0</v>
      </c>
      <c r="AL129" s="6625" cm="1">
        <f t="array" ref="AL129">IF(W129="",0,SUMPRODUCT((CA4:CA795="Gluten")*(CB4:CB795="ALERTE")*(COUNTIF(AI129,"*"&amp;CC4:CC795&amp;"*")&gt;0)*1))</f>
        <v>0</v>
      </c>
      <c r="AM129" s="6625" cm="1">
        <f t="array" ref="AM129">IF(W129="",0,SUMPRODUCT((CA4:CA795="Gluten")*(CB4:CB795="SUSP")*(COUNTIF(AI129,"*"&amp;CC4:CC795&amp;"*")&gt;0)*1))</f>
        <v>0</v>
      </c>
      <c r="AN129" s="6625" cm="1">
        <f t="array" ref="AN129">IF(W129="",0,SUMPRODUCT((CA4:CA795="Crustaces")*(CB4:CB795="ALERTE")*(COUNTIF(AI129,"*"&amp;CC4:CC795&amp;"*")&gt;0)*1))</f>
        <v>0</v>
      </c>
      <c r="AO129" s="6625" cm="1">
        <f t="array" ref="AO129">IF(W129="",0,SUMPRODUCT((CA4:CA795="Oeufs")*(CB4:CB795="ALERTE")*(COUNTIF(AI129,"*"&amp;CC4:CC795&amp;"*")&gt;0)*1))</f>
        <v>0</v>
      </c>
      <c r="AP129" s="6625" cm="1">
        <f t="array" ref="AP129">IF(W129="",0,SUMPRODUCT((CA4:CA795="Poissons")*(CB4:CB795="INFO")*(COUNTIF(AI129,"*"&amp;CC4:CC795&amp;"*")&gt;0)*1))</f>
        <v>0</v>
      </c>
      <c r="AQ129" s="6625" cm="1">
        <f t="array" ref="AQ129">IF(W129="",0,SUMPRODUCT((CA4:CA795="Poissons")*(CB4:CB795="EXCL")*(COUNTIF(AI129,"*"&amp;CC4:CC795&amp;"*")&gt;0)*1))</f>
        <v>0</v>
      </c>
      <c r="AR129" s="6625" cm="1">
        <f t="array" ref="AR129">IF(W129="",0,SUMPRODUCT((CA4:CA795="Poissons")*(CB4:CB795="ALERTE")*(COUNTIF(AI129,"*"&amp;CC4:CC795&amp;"*")&gt;0)*1))</f>
        <v>0</v>
      </c>
      <c r="AS129" s="6625" cm="1">
        <f t="array" ref="AS129">IF(W129="",0,SUMPRODUCT((CA4:CA795="Arachides")*(CB4:CB795="ALERTE")*(COUNTIF(AI129,"*"&amp;CC4:CC795&amp;"*")&gt;0)*1))</f>
        <v>0</v>
      </c>
      <c r="AT129" s="6625" cm="1">
        <f t="array" ref="AT129">IF(W129="",0,SUMPRODUCT((CA4:CA795="Soja")*(CB4:CB795="INFO")*(COUNTIF(AI129,"*"&amp;CC4:CC795&amp;"*")&gt;0)*1))</f>
        <v>0</v>
      </c>
      <c r="AU129" s="6625" cm="1">
        <f t="array" ref="AU129">IF(W129="",0,SUMPRODUCT((CA4:CA795="Soja")*(CB4:CB795="ALERTE")*(COUNTIF(AI129,"*"&amp;CC4:CC795&amp;"*")&gt;0)*1))</f>
        <v>0</v>
      </c>
      <c r="AV129" s="6625" cm="1">
        <f t="array" ref="AV129">IF(W129="",0,SUMPRODUCT((CA4:CA795="Lait")*(CB4:CB795="INFO")*(COUNTIF(AI129,"*"&amp;CC4:CC795&amp;"*")&gt;0)*1))</f>
        <v>0</v>
      </c>
      <c r="AW129" s="6625" cm="1">
        <f t="array" ref="AW129">IF(W129="",0,SUMPRODUCT((CA4:CA795="Lait")*(CB4:CB795="EXCL")*(COUNTIF(AI129,"*"&amp;CC4:CC795&amp;"*")&gt;0)*1))</f>
        <v>0</v>
      </c>
      <c r="AX129" s="6625" cm="1">
        <f t="array" ref="AX129">IF(W129="",0,SUMPRODUCT((CA4:CA795="Lait")*(CB4:CB795="ALERTE")*(COUNTIF(AI129,"*"&amp;CC4:CC795&amp;"*")&gt;0)*1))</f>
        <v>0</v>
      </c>
      <c r="AY129" s="6625" cm="1">
        <f t="array" ref="AY129">IF(W129="",0,SUMPRODUCT((CA4:CA795="Lait")*(CB4:CB795="SUSP")*(COUNTIF(AI129,"*"&amp;CC4:CC795&amp;"*")&gt;0)*1))</f>
        <v>0</v>
      </c>
      <c r="AZ129" s="6625" cm="1">
        <f t="array" ref="AZ129">IF(W129="",0,SUMPRODUCT((CA4:CA795="Fruits a coque")*(CB4:CB795="EXCL")*(COUNTIF(AI129,"*"&amp;CC4:CC795&amp;"*")&gt;0)*1))</f>
        <v>0</v>
      </c>
      <c r="BA129" s="6625" cm="1">
        <f t="array" ref="BA129">IF(W129="",0,SUMPRODUCT((CA4:CA795="Fruits a coque")*(CB4:CB795="ALERTE")*(COUNTIF(AI129,"*"&amp;CC4:CC795&amp;"*")&gt;0)*1))</f>
        <v>0</v>
      </c>
      <c r="BB129" s="6625" cm="1">
        <f t="array" ref="BB129">IF(W129="",0,SUMPRODUCT((CA4:CA795="Celeri")*(CB4:CB795="ALERTE")*(COUNTIF(AI129,"*"&amp;CC4:CC795&amp;"*")&gt;0)*1))</f>
        <v>0</v>
      </c>
      <c r="BC129" s="6625" cm="1">
        <f t="array" ref="BC129">IF(W129="",0,SUMPRODUCT((CA4:CA795="Moutarde")*(CB4:CB795="ALERTE")*(COUNTIF(AI129,"*"&amp;CC4:CC795&amp;"*")&gt;0)*1))</f>
        <v>0</v>
      </c>
      <c r="BD129" s="6625" cm="1">
        <f t="array" ref="BD129">IF(W129="",0,SUMPRODUCT((CA4:CA795="Sesame")*(CB4:CB795="ALERTE")*(COUNTIF(AI129,"*"&amp;CC4:CC795&amp;"*")&gt;0)*1))</f>
        <v>0</v>
      </c>
      <c r="BE129" s="6625" cm="1">
        <f t="array" ref="BE129">IF(W129="",0,SUMPRODUCT((CA4:CA795="Sulfites")*(CB4:CB795="ALERTE")*(COUNTIF(AI129,"*"&amp;CC4:CC795&amp;"*")&gt;0)*1))</f>
        <v>0</v>
      </c>
      <c r="BF129" s="6625" cm="1">
        <f t="array" ref="BF129">IF(W129="",0,SUMPRODUCT((CA4:CA795="Lupin")*(CB4:CB795="ALERTE")*(COUNTIF(AI129,"*"&amp;CC4:CC795&amp;"*")&gt;0)*1))</f>
        <v>0</v>
      </c>
      <c r="BG129" s="6625" cm="1">
        <f t="array" ref="BG129">IF(W129="",0,SUMPRODUCT((CA4:CA795="Mollusques")*(CB4:CB795="EXCL")*(COUNTIF(AI129,"*"&amp;CC4:CC795&amp;"*")&gt;0)*1))</f>
        <v>0</v>
      </c>
      <c r="BH129" s="6625" cm="1">
        <f t="array" ref="BH129">IF(W129="",0,SUMPRODUCT((CA4:CA795="Mollusques")*(CB4:CB795="ALERTE")*(COUNTIF(AI129,"*"&amp;CC4:CC795&amp;"*")&gt;0)*1))</f>
        <v>0</v>
      </c>
      <c r="BI129" s="6625" t="str">
        <f t="shared" si="68"/>
        <v/>
      </c>
      <c r="BJ129" s="6625" t="str">
        <f t="shared" si="69"/>
        <v/>
      </c>
      <c r="BK129" s="6625" t="str">
        <f t="shared" si="70"/>
        <v/>
      </c>
      <c r="BL129" s="6625" t="str">
        <f t="shared" si="71"/>
        <v/>
      </c>
      <c r="BM129" s="6625" t="str">
        <f t="shared" si="72"/>
        <v/>
      </c>
      <c r="BN129" s="6625" t="str">
        <f t="shared" si="73"/>
        <v/>
      </c>
      <c r="BO129" s="6625" t="str">
        <f t="shared" si="74"/>
        <v/>
      </c>
      <c r="BP129" s="6625" t="str">
        <f t="shared" si="75"/>
        <v/>
      </c>
      <c r="BQ129" s="6625" t="str">
        <f t="shared" si="76"/>
        <v/>
      </c>
      <c r="BR129" s="6625" t="str">
        <f t="shared" si="77"/>
        <v/>
      </c>
      <c r="BS129" s="6625" t="str">
        <f t="shared" si="78"/>
        <v/>
      </c>
      <c r="BT129" s="6625" t="str">
        <f t="shared" si="79"/>
        <v/>
      </c>
      <c r="BU129" s="6625" t="str">
        <f t="shared" si="80"/>
        <v/>
      </c>
      <c r="BV129" s="6625" t="str">
        <f t="shared" si="81"/>
        <v/>
      </c>
      <c r="BW129" s="6625" t="str">
        <f t="shared" si="82"/>
        <v/>
      </c>
      <c r="BX129" s="6625" t="str">
        <f t="shared" si="83"/>
        <v/>
      </c>
      <c r="CA129" s="3170" t="s">
        <v>16501</v>
      </c>
      <c r="CB129" s="7634" t="s">
        <v>16255</v>
      </c>
      <c r="CC129" s="3170" t="s">
        <v>16587</v>
      </c>
      <c r="CD129" s="3170" t="s">
        <v>16588</v>
      </c>
    </row>
    <row r="130" spans="2:82" ht="30" customHeight="1">
      <c r="B130" s="7661" t="str">
        <f t="shared" si="44"/>
        <v/>
      </c>
      <c r="C130" s="7661" t="str">
        <f t="shared" si="45"/>
        <v/>
      </c>
      <c r="D130" s="7661" t="str">
        <f t="shared" si="46"/>
        <v/>
      </c>
      <c r="E130" s="7661">
        <f>IF(H129&lt;&gt;"",E129,IF(E129="","",IFERROR(MATCH(TRUE(),INDEX(INDEX($K:$K,E129+1):$K$203&lt;&gt;"",0),0)+E129,"")))</f>
        <v>305</v>
      </c>
      <c r="F130" s="7661">
        <f t="shared" si="84"/>
        <v>0</v>
      </c>
      <c r="G130" s="7661" t="str">
        <f t="shared" si="47"/>
        <v>0</v>
      </c>
      <c r="H130" s="7672" t="str">
        <f t="shared" si="48"/>
        <v/>
      </c>
      <c r="I130" s="7683" t="str">
        <f t="shared" si="49"/>
        <v/>
      </c>
      <c r="J130" s="7673" t="str">
        <f>IF(K130="","",COUNTIF($K$18:K130,"&lt;&gt;"))</f>
        <v/>
      </c>
      <c r="K130" s="7674"/>
      <c r="L130" s="7673" t="str">
        <f t="shared" si="50"/>
        <v/>
      </c>
      <c r="M130" s="7630">
        <f t="shared" si="51"/>
        <v>1</v>
      </c>
      <c r="N130" s="7675">
        <f t="shared" si="52"/>
        <v>113</v>
      </c>
      <c r="O130" s="7676" t="str">
        <f t="shared" si="53"/>
        <v>0</v>
      </c>
      <c r="P130" s="7675">
        <f t="shared" si="54"/>
        <v>1</v>
      </c>
      <c r="Q130" s="7675">
        <f t="shared" si="55"/>
        <v>1</v>
      </c>
      <c r="S130" s="7679" t="str">
        <f t="shared" si="87"/>
        <v>0</v>
      </c>
      <c r="T130" s="7680" t="str">
        <f t="shared" si="87"/>
        <v/>
      </c>
      <c r="V130" s="7677">
        <f t="shared" si="56"/>
        <v>130</v>
      </c>
      <c r="W130" s="7678" t="str">
        <f t="shared" si="86"/>
        <v>0</v>
      </c>
      <c r="X130" s="7677" t="s">
        <v>2</v>
      </c>
      <c r="Y130" s="7702" t="str">
        <f t="shared" si="57"/>
        <v>0</v>
      </c>
      <c r="Z130" s="7703" t="str">
        <f t="shared" si="58"/>
        <v/>
      </c>
      <c r="AA130" s="7681" t="str">
        <f t="shared" si="59"/>
        <v>0</v>
      </c>
      <c r="AB130" s="7682" t="str">
        <f t="shared" si="60"/>
        <v/>
      </c>
      <c r="AC130" s="7677">
        <f t="shared" si="61"/>
        <v>0</v>
      </c>
      <c r="AD130" s="7677">
        <f t="shared" si="62"/>
        <v>0</v>
      </c>
      <c r="AE130" s="7682" t="str">
        <f t="shared" si="63"/>
        <v>aucun match</v>
      </c>
      <c r="AF130" s="6625" t="str">
        <f t="shared" si="64"/>
        <v>0</v>
      </c>
      <c r="AG130" s="6625" t="str">
        <f t="shared" si="65"/>
        <v>0</v>
      </c>
      <c r="AH130" s="6625" t="str">
        <f t="shared" si="66"/>
        <v>0</v>
      </c>
      <c r="AI130" s="6625" t="str">
        <f t="shared" si="67"/>
        <v xml:space="preserve"> 0 </v>
      </c>
      <c r="AJ130" s="6625" cm="1">
        <f t="array" ref="AJ130">IF(W130="",0,SUMPRODUCT((CA4:CA795="Gluten")*(CB4:CB795="INFO")*(COUNTIF(AI130,"*"&amp;CC4:CC795&amp;"*")&gt;0)*1))</f>
        <v>0</v>
      </c>
      <c r="AK130" s="6625" cm="1">
        <f t="array" ref="AK130">IF(W130="",0,SUMPRODUCT((CA4:CA795="Gluten")*(CB4:CB795="EXCL")*(COUNTIF(AI130,"*"&amp;CC4:CC795&amp;"*")&gt;0)*1))</f>
        <v>0</v>
      </c>
      <c r="AL130" s="6625" cm="1">
        <f t="array" ref="AL130">IF(W130="",0,SUMPRODUCT((CA4:CA795="Gluten")*(CB4:CB795="ALERTE")*(COUNTIF(AI130,"*"&amp;CC4:CC795&amp;"*")&gt;0)*1))</f>
        <v>0</v>
      </c>
      <c r="AM130" s="6625" cm="1">
        <f t="array" ref="AM130">IF(W130="",0,SUMPRODUCT((CA4:CA795="Gluten")*(CB4:CB795="SUSP")*(COUNTIF(AI130,"*"&amp;CC4:CC795&amp;"*")&gt;0)*1))</f>
        <v>0</v>
      </c>
      <c r="AN130" s="6625" cm="1">
        <f t="array" ref="AN130">IF(W130="",0,SUMPRODUCT((CA4:CA795="Crustaces")*(CB4:CB795="ALERTE")*(COUNTIF(AI130,"*"&amp;CC4:CC795&amp;"*")&gt;0)*1))</f>
        <v>0</v>
      </c>
      <c r="AO130" s="6625" cm="1">
        <f t="array" ref="AO130">IF(W130="",0,SUMPRODUCT((CA4:CA795="Oeufs")*(CB4:CB795="ALERTE")*(COUNTIF(AI130,"*"&amp;CC4:CC795&amp;"*")&gt;0)*1))</f>
        <v>0</v>
      </c>
      <c r="AP130" s="6625" cm="1">
        <f t="array" ref="AP130">IF(W130="",0,SUMPRODUCT((CA4:CA795="Poissons")*(CB4:CB795="INFO")*(COUNTIF(AI130,"*"&amp;CC4:CC795&amp;"*")&gt;0)*1))</f>
        <v>0</v>
      </c>
      <c r="AQ130" s="6625" cm="1">
        <f t="array" ref="AQ130">IF(W130="",0,SUMPRODUCT((CA4:CA795="Poissons")*(CB4:CB795="EXCL")*(COUNTIF(AI130,"*"&amp;CC4:CC795&amp;"*")&gt;0)*1))</f>
        <v>0</v>
      </c>
      <c r="AR130" s="6625" cm="1">
        <f t="array" ref="AR130">IF(W130="",0,SUMPRODUCT((CA4:CA795="Poissons")*(CB4:CB795="ALERTE")*(COUNTIF(AI130,"*"&amp;CC4:CC795&amp;"*")&gt;0)*1))</f>
        <v>0</v>
      </c>
      <c r="AS130" s="6625" cm="1">
        <f t="array" ref="AS130">IF(W130="",0,SUMPRODUCT((CA4:CA795="Arachides")*(CB4:CB795="ALERTE")*(COUNTIF(AI130,"*"&amp;CC4:CC795&amp;"*")&gt;0)*1))</f>
        <v>0</v>
      </c>
      <c r="AT130" s="6625" cm="1">
        <f t="array" ref="AT130">IF(W130="",0,SUMPRODUCT((CA4:CA795="Soja")*(CB4:CB795="INFO")*(COUNTIF(AI130,"*"&amp;CC4:CC795&amp;"*")&gt;0)*1))</f>
        <v>0</v>
      </c>
      <c r="AU130" s="6625" cm="1">
        <f t="array" ref="AU130">IF(W130="",0,SUMPRODUCT((CA4:CA795="Soja")*(CB4:CB795="ALERTE")*(COUNTIF(AI130,"*"&amp;CC4:CC795&amp;"*")&gt;0)*1))</f>
        <v>0</v>
      </c>
      <c r="AV130" s="6625" cm="1">
        <f t="array" ref="AV130">IF(W130="",0,SUMPRODUCT((CA4:CA795="Lait")*(CB4:CB795="INFO")*(COUNTIF(AI130,"*"&amp;CC4:CC795&amp;"*")&gt;0)*1))</f>
        <v>0</v>
      </c>
      <c r="AW130" s="6625" cm="1">
        <f t="array" ref="AW130">IF(W130="",0,SUMPRODUCT((CA4:CA795="Lait")*(CB4:CB795="EXCL")*(COUNTIF(AI130,"*"&amp;CC4:CC795&amp;"*")&gt;0)*1))</f>
        <v>0</v>
      </c>
      <c r="AX130" s="6625" cm="1">
        <f t="array" ref="AX130">IF(W130="",0,SUMPRODUCT((CA4:CA795="Lait")*(CB4:CB795="ALERTE")*(COUNTIF(AI130,"*"&amp;CC4:CC795&amp;"*")&gt;0)*1))</f>
        <v>0</v>
      </c>
      <c r="AY130" s="6625" cm="1">
        <f t="array" ref="AY130">IF(W130="",0,SUMPRODUCT((CA4:CA795="Lait")*(CB4:CB795="SUSP")*(COUNTIF(AI130,"*"&amp;CC4:CC795&amp;"*")&gt;0)*1))</f>
        <v>0</v>
      </c>
      <c r="AZ130" s="6625" cm="1">
        <f t="array" ref="AZ130">IF(W130="",0,SUMPRODUCT((CA4:CA795="Fruits a coque")*(CB4:CB795="EXCL")*(COUNTIF(AI130,"*"&amp;CC4:CC795&amp;"*")&gt;0)*1))</f>
        <v>0</v>
      </c>
      <c r="BA130" s="6625" cm="1">
        <f t="array" ref="BA130">IF(W130="",0,SUMPRODUCT((CA4:CA795="Fruits a coque")*(CB4:CB795="ALERTE")*(COUNTIF(AI130,"*"&amp;CC4:CC795&amp;"*")&gt;0)*1))</f>
        <v>0</v>
      </c>
      <c r="BB130" s="6625" cm="1">
        <f t="array" ref="BB130">IF(W130="",0,SUMPRODUCT((CA4:CA795="Celeri")*(CB4:CB795="ALERTE")*(COUNTIF(AI130,"*"&amp;CC4:CC795&amp;"*")&gt;0)*1))</f>
        <v>0</v>
      </c>
      <c r="BC130" s="6625" cm="1">
        <f t="array" ref="BC130">IF(W130="",0,SUMPRODUCT((CA4:CA795="Moutarde")*(CB4:CB795="ALERTE")*(COUNTIF(AI130,"*"&amp;CC4:CC795&amp;"*")&gt;0)*1))</f>
        <v>0</v>
      </c>
      <c r="BD130" s="6625" cm="1">
        <f t="array" ref="BD130">IF(W130="",0,SUMPRODUCT((CA4:CA795="Sesame")*(CB4:CB795="ALERTE")*(COUNTIF(AI130,"*"&amp;CC4:CC795&amp;"*")&gt;0)*1))</f>
        <v>0</v>
      </c>
      <c r="BE130" s="6625" cm="1">
        <f t="array" ref="BE130">IF(W130="",0,SUMPRODUCT((CA4:CA795="Sulfites")*(CB4:CB795="ALERTE")*(COUNTIF(AI130,"*"&amp;CC4:CC795&amp;"*")&gt;0)*1))</f>
        <v>0</v>
      </c>
      <c r="BF130" s="6625" cm="1">
        <f t="array" ref="BF130">IF(W130="",0,SUMPRODUCT((CA4:CA795="Lupin")*(CB4:CB795="ALERTE")*(COUNTIF(AI130,"*"&amp;CC4:CC795&amp;"*")&gt;0)*1))</f>
        <v>0</v>
      </c>
      <c r="BG130" s="6625" cm="1">
        <f t="array" ref="BG130">IF(W130="",0,SUMPRODUCT((CA4:CA795="Mollusques")*(CB4:CB795="EXCL")*(COUNTIF(AI130,"*"&amp;CC4:CC795&amp;"*")&gt;0)*1))</f>
        <v>0</v>
      </c>
      <c r="BH130" s="6625" cm="1">
        <f t="array" ref="BH130">IF(W130="",0,SUMPRODUCT((CA4:CA795="Mollusques")*(CB4:CB795="ALERTE")*(COUNTIF(AI130,"*"&amp;CC4:CC795&amp;"*")&gt;0)*1))</f>
        <v>0</v>
      </c>
      <c r="BI130" s="6625" t="str">
        <f t="shared" si="68"/>
        <v/>
      </c>
      <c r="BJ130" s="6625" t="str">
        <f t="shared" si="69"/>
        <v/>
      </c>
      <c r="BK130" s="6625" t="str">
        <f t="shared" si="70"/>
        <v/>
      </c>
      <c r="BL130" s="6625" t="str">
        <f t="shared" si="71"/>
        <v/>
      </c>
      <c r="BM130" s="6625" t="str">
        <f t="shared" si="72"/>
        <v/>
      </c>
      <c r="BN130" s="6625" t="str">
        <f t="shared" si="73"/>
        <v/>
      </c>
      <c r="BO130" s="6625" t="str">
        <f t="shared" si="74"/>
        <v/>
      </c>
      <c r="BP130" s="6625" t="str">
        <f t="shared" si="75"/>
        <v/>
      </c>
      <c r="BQ130" s="6625" t="str">
        <f t="shared" si="76"/>
        <v/>
      </c>
      <c r="BR130" s="6625" t="str">
        <f t="shared" si="77"/>
        <v/>
      </c>
      <c r="BS130" s="6625" t="str">
        <f t="shared" si="78"/>
        <v/>
      </c>
      <c r="BT130" s="6625" t="str">
        <f t="shared" si="79"/>
        <v/>
      </c>
      <c r="BU130" s="6625" t="str">
        <f t="shared" si="80"/>
        <v/>
      </c>
      <c r="BV130" s="6625" t="str">
        <f t="shared" si="81"/>
        <v/>
      </c>
      <c r="BW130" s="6625" t="str">
        <f t="shared" si="82"/>
        <v/>
      </c>
      <c r="BX130" s="6625" t="str">
        <f t="shared" si="83"/>
        <v/>
      </c>
      <c r="CA130" s="3170" t="s">
        <v>16501</v>
      </c>
      <c r="CB130" s="7634" t="s">
        <v>16255</v>
      </c>
      <c r="CC130" s="3170" t="s">
        <v>16589</v>
      </c>
      <c r="CD130" s="3170" t="s">
        <v>16590</v>
      </c>
    </row>
    <row r="131" spans="2:82" ht="30" customHeight="1">
      <c r="B131" s="7661" t="str">
        <f t="shared" si="44"/>
        <v/>
      </c>
      <c r="C131" s="7661" t="str">
        <f t="shared" si="45"/>
        <v/>
      </c>
      <c r="D131" s="7661" t="str">
        <f t="shared" si="46"/>
        <v/>
      </c>
      <c r="E131" s="7661">
        <f>IF(H130&lt;&gt;"",E130,IF(E130="","",IFERROR(MATCH(TRUE(),INDEX(INDEX($K:$K,E130+1):$K$203&lt;&gt;"",0),0)+E130,"")))</f>
        <v>306</v>
      </c>
      <c r="F131" s="7661">
        <f t="shared" si="84"/>
        <v>0</v>
      </c>
      <c r="G131" s="7661" t="str">
        <f t="shared" si="47"/>
        <v>0</v>
      </c>
      <c r="H131" s="7672" t="str">
        <f t="shared" si="48"/>
        <v/>
      </c>
      <c r="I131" s="7683" t="str">
        <f t="shared" si="49"/>
        <v/>
      </c>
      <c r="J131" s="7673" t="str">
        <f>IF(K131="","",COUNTIF($K$18:K131,"&lt;&gt;"))</f>
        <v/>
      </c>
      <c r="K131" s="7674"/>
      <c r="L131" s="7673" t="str">
        <f t="shared" si="50"/>
        <v/>
      </c>
      <c r="M131" s="7630">
        <f t="shared" si="51"/>
        <v>1</v>
      </c>
      <c r="N131" s="7675">
        <f t="shared" si="52"/>
        <v>114</v>
      </c>
      <c r="O131" s="7676" t="str">
        <f t="shared" si="53"/>
        <v>0</v>
      </c>
      <c r="P131" s="7675">
        <f t="shared" si="54"/>
        <v>1</v>
      </c>
      <c r="Q131" s="7675">
        <f t="shared" si="55"/>
        <v>1</v>
      </c>
      <c r="S131" s="7679" t="str">
        <f t="shared" si="87"/>
        <v>0</v>
      </c>
      <c r="T131" s="7680" t="str">
        <f t="shared" si="87"/>
        <v/>
      </c>
      <c r="V131" s="7677">
        <f t="shared" si="56"/>
        <v>131</v>
      </c>
      <c r="W131" s="7678" t="str">
        <f t="shared" si="86"/>
        <v>0</v>
      </c>
      <c r="X131" s="7677" t="s">
        <v>2</v>
      </c>
      <c r="Y131" s="7702" t="str">
        <f t="shared" si="57"/>
        <v>0</v>
      </c>
      <c r="Z131" s="7703" t="str">
        <f t="shared" si="58"/>
        <v/>
      </c>
      <c r="AA131" s="7681" t="str">
        <f t="shared" si="59"/>
        <v>0</v>
      </c>
      <c r="AB131" s="7682" t="str">
        <f t="shared" si="60"/>
        <v/>
      </c>
      <c r="AC131" s="7677">
        <f t="shared" si="61"/>
        <v>0</v>
      </c>
      <c r="AD131" s="7677">
        <f t="shared" si="62"/>
        <v>0</v>
      </c>
      <c r="AE131" s="7682" t="str">
        <f t="shared" si="63"/>
        <v>aucun match</v>
      </c>
      <c r="AF131" s="6625" t="str">
        <f t="shared" si="64"/>
        <v>0</v>
      </c>
      <c r="AG131" s="6625" t="str">
        <f t="shared" si="65"/>
        <v>0</v>
      </c>
      <c r="AH131" s="6625" t="str">
        <f t="shared" si="66"/>
        <v>0</v>
      </c>
      <c r="AI131" s="6625" t="str">
        <f t="shared" si="67"/>
        <v xml:space="preserve"> 0 </v>
      </c>
      <c r="AJ131" s="6625" cm="1">
        <f t="array" ref="AJ131">IF(W131="",0,SUMPRODUCT((CA4:CA795="Gluten")*(CB4:CB795="INFO")*(COUNTIF(AI131,"*"&amp;CC4:CC795&amp;"*")&gt;0)*1))</f>
        <v>0</v>
      </c>
      <c r="AK131" s="6625" cm="1">
        <f t="array" ref="AK131">IF(W131="",0,SUMPRODUCT((CA4:CA795="Gluten")*(CB4:CB795="EXCL")*(COUNTIF(AI131,"*"&amp;CC4:CC795&amp;"*")&gt;0)*1))</f>
        <v>0</v>
      </c>
      <c r="AL131" s="6625" cm="1">
        <f t="array" ref="AL131">IF(W131="",0,SUMPRODUCT((CA4:CA795="Gluten")*(CB4:CB795="ALERTE")*(COUNTIF(AI131,"*"&amp;CC4:CC795&amp;"*")&gt;0)*1))</f>
        <v>0</v>
      </c>
      <c r="AM131" s="6625" cm="1">
        <f t="array" ref="AM131">IF(W131="",0,SUMPRODUCT((CA4:CA795="Gluten")*(CB4:CB795="SUSP")*(COUNTIF(AI131,"*"&amp;CC4:CC795&amp;"*")&gt;0)*1))</f>
        <v>0</v>
      </c>
      <c r="AN131" s="6625" cm="1">
        <f t="array" ref="AN131">IF(W131="",0,SUMPRODUCT((CA4:CA795="Crustaces")*(CB4:CB795="ALERTE")*(COUNTIF(AI131,"*"&amp;CC4:CC795&amp;"*")&gt;0)*1))</f>
        <v>0</v>
      </c>
      <c r="AO131" s="6625" cm="1">
        <f t="array" ref="AO131">IF(W131="",0,SUMPRODUCT((CA4:CA795="Oeufs")*(CB4:CB795="ALERTE")*(COUNTIF(AI131,"*"&amp;CC4:CC795&amp;"*")&gt;0)*1))</f>
        <v>0</v>
      </c>
      <c r="AP131" s="6625" cm="1">
        <f t="array" ref="AP131">IF(W131="",0,SUMPRODUCT((CA4:CA795="Poissons")*(CB4:CB795="INFO")*(COUNTIF(AI131,"*"&amp;CC4:CC795&amp;"*")&gt;0)*1))</f>
        <v>0</v>
      </c>
      <c r="AQ131" s="6625" cm="1">
        <f t="array" ref="AQ131">IF(W131="",0,SUMPRODUCT((CA4:CA795="Poissons")*(CB4:CB795="EXCL")*(COUNTIF(AI131,"*"&amp;CC4:CC795&amp;"*")&gt;0)*1))</f>
        <v>0</v>
      </c>
      <c r="AR131" s="6625" cm="1">
        <f t="array" ref="AR131">IF(W131="",0,SUMPRODUCT((CA4:CA795="Poissons")*(CB4:CB795="ALERTE")*(COUNTIF(AI131,"*"&amp;CC4:CC795&amp;"*")&gt;0)*1))</f>
        <v>0</v>
      </c>
      <c r="AS131" s="6625" cm="1">
        <f t="array" ref="AS131">IF(W131="",0,SUMPRODUCT((CA4:CA795="Arachides")*(CB4:CB795="ALERTE")*(COUNTIF(AI131,"*"&amp;CC4:CC795&amp;"*")&gt;0)*1))</f>
        <v>0</v>
      </c>
      <c r="AT131" s="6625" cm="1">
        <f t="array" ref="AT131">IF(W131="",0,SUMPRODUCT((CA4:CA795="Soja")*(CB4:CB795="INFO")*(COUNTIF(AI131,"*"&amp;CC4:CC795&amp;"*")&gt;0)*1))</f>
        <v>0</v>
      </c>
      <c r="AU131" s="6625" cm="1">
        <f t="array" ref="AU131">IF(W131="",0,SUMPRODUCT((CA4:CA795="Soja")*(CB4:CB795="ALERTE")*(COUNTIF(AI131,"*"&amp;CC4:CC795&amp;"*")&gt;0)*1))</f>
        <v>0</v>
      </c>
      <c r="AV131" s="6625" cm="1">
        <f t="array" ref="AV131">IF(W131="",0,SUMPRODUCT((CA4:CA795="Lait")*(CB4:CB795="INFO")*(COUNTIF(AI131,"*"&amp;CC4:CC795&amp;"*")&gt;0)*1))</f>
        <v>0</v>
      </c>
      <c r="AW131" s="6625" cm="1">
        <f t="array" ref="AW131">IF(W131="",0,SUMPRODUCT((CA4:CA795="Lait")*(CB4:CB795="EXCL")*(COUNTIF(AI131,"*"&amp;CC4:CC795&amp;"*")&gt;0)*1))</f>
        <v>0</v>
      </c>
      <c r="AX131" s="6625" cm="1">
        <f t="array" ref="AX131">IF(W131="",0,SUMPRODUCT((CA4:CA795="Lait")*(CB4:CB795="ALERTE")*(COUNTIF(AI131,"*"&amp;CC4:CC795&amp;"*")&gt;0)*1))</f>
        <v>0</v>
      </c>
      <c r="AY131" s="6625" cm="1">
        <f t="array" ref="AY131">IF(W131="",0,SUMPRODUCT((CA4:CA795="Lait")*(CB4:CB795="SUSP")*(COUNTIF(AI131,"*"&amp;CC4:CC795&amp;"*")&gt;0)*1))</f>
        <v>0</v>
      </c>
      <c r="AZ131" s="6625" cm="1">
        <f t="array" ref="AZ131">IF(W131="",0,SUMPRODUCT((CA4:CA795="Fruits a coque")*(CB4:CB795="EXCL")*(COUNTIF(AI131,"*"&amp;CC4:CC795&amp;"*")&gt;0)*1))</f>
        <v>0</v>
      </c>
      <c r="BA131" s="6625" cm="1">
        <f t="array" ref="BA131">IF(W131="",0,SUMPRODUCT((CA4:CA795="Fruits a coque")*(CB4:CB795="ALERTE")*(COUNTIF(AI131,"*"&amp;CC4:CC795&amp;"*")&gt;0)*1))</f>
        <v>0</v>
      </c>
      <c r="BB131" s="6625" cm="1">
        <f t="array" ref="BB131">IF(W131="",0,SUMPRODUCT((CA4:CA795="Celeri")*(CB4:CB795="ALERTE")*(COUNTIF(AI131,"*"&amp;CC4:CC795&amp;"*")&gt;0)*1))</f>
        <v>0</v>
      </c>
      <c r="BC131" s="6625" cm="1">
        <f t="array" ref="BC131">IF(W131="",0,SUMPRODUCT((CA4:CA795="Moutarde")*(CB4:CB795="ALERTE")*(COUNTIF(AI131,"*"&amp;CC4:CC795&amp;"*")&gt;0)*1))</f>
        <v>0</v>
      </c>
      <c r="BD131" s="6625" cm="1">
        <f t="array" ref="BD131">IF(W131="",0,SUMPRODUCT((CA4:CA795="Sesame")*(CB4:CB795="ALERTE")*(COUNTIF(AI131,"*"&amp;CC4:CC795&amp;"*")&gt;0)*1))</f>
        <v>0</v>
      </c>
      <c r="BE131" s="6625" cm="1">
        <f t="array" ref="BE131">IF(W131="",0,SUMPRODUCT((CA4:CA795="Sulfites")*(CB4:CB795="ALERTE")*(COUNTIF(AI131,"*"&amp;CC4:CC795&amp;"*")&gt;0)*1))</f>
        <v>0</v>
      </c>
      <c r="BF131" s="6625" cm="1">
        <f t="array" ref="BF131">IF(W131="",0,SUMPRODUCT((CA4:CA795="Lupin")*(CB4:CB795="ALERTE")*(COUNTIF(AI131,"*"&amp;CC4:CC795&amp;"*")&gt;0)*1))</f>
        <v>0</v>
      </c>
      <c r="BG131" s="6625" cm="1">
        <f t="array" ref="BG131">IF(W131="",0,SUMPRODUCT((CA4:CA795="Mollusques")*(CB4:CB795="EXCL")*(COUNTIF(AI131,"*"&amp;CC4:CC795&amp;"*")&gt;0)*1))</f>
        <v>0</v>
      </c>
      <c r="BH131" s="6625" cm="1">
        <f t="array" ref="BH131">IF(W131="",0,SUMPRODUCT((CA4:CA795="Mollusques")*(CB4:CB795="ALERTE")*(COUNTIF(AI131,"*"&amp;CC4:CC795&amp;"*")&gt;0)*1))</f>
        <v>0</v>
      </c>
      <c r="BI131" s="6625" t="str">
        <f t="shared" si="68"/>
        <v/>
      </c>
      <c r="BJ131" s="6625" t="str">
        <f t="shared" si="69"/>
        <v/>
      </c>
      <c r="BK131" s="6625" t="str">
        <f t="shared" si="70"/>
        <v/>
      </c>
      <c r="BL131" s="6625" t="str">
        <f t="shared" si="71"/>
        <v/>
      </c>
      <c r="BM131" s="6625" t="str">
        <f t="shared" si="72"/>
        <v/>
      </c>
      <c r="BN131" s="6625" t="str">
        <f t="shared" si="73"/>
        <v/>
      </c>
      <c r="BO131" s="6625" t="str">
        <f t="shared" si="74"/>
        <v/>
      </c>
      <c r="BP131" s="6625" t="str">
        <f t="shared" si="75"/>
        <v/>
      </c>
      <c r="BQ131" s="6625" t="str">
        <f t="shared" si="76"/>
        <v/>
      </c>
      <c r="BR131" s="6625" t="str">
        <f t="shared" si="77"/>
        <v/>
      </c>
      <c r="BS131" s="6625" t="str">
        <f t="shared" si="78"/>
        <v/>
      </c>
      <c r="BT131" s="6625" t="str">
        <f t="shared" si="79"/>
        <v/>
      </c>
      <c r="BU131" s="6625" t="str">
        <f t="shared" si="80"/>
        <v/>
      </c>
      <c r="BV131" s="6625" t="str">
        <f t="shared" si="81"/>
        <v/>
      </c>
      <c r="BW131" s="6625" t="str">
        <f t="shared" si="82"/>
        <v/>
      </c>
      <c r="BX131" s="6625" t="str">
        <f t="shared" si="83"/>
        <v/>
      </c>
      <c r="CA131" s="3170" t="s">
        <v>16501</v>
      </c>
      <c r="CB131" s="7634" t="s">
        <v>16255</v>
      </c>
      <c r="CC131" s="3170" t="s">
        <v>16591</v>
      </c>
      <c r="CD131" s="3170" t="s">
        <v>16592</v>
      </c>
    </row>
    <row r="132" spans="2:82" ht="30" customHeight="1">
      <c r="B132" s="7661" t="str">
        <f t="shared" si="44"/>
        <v/>
      </c>
      <c r="C132" s="7661" t="str">
        <f t="shared" si="45"/>
        <v/>
      </c>
      <c r="D132" s="7661" t="str">
        <f t="shared" si="46"/>
        <v/>
      </c>
      <c r="E132" s="7661">
        <f>IF(H131&lt;&gt;"",E131,IF(E131="","",IFERROR(MATCH(TRUE(),INDEX(INDEX($K:$K,E131+1):$K$203&lt;&gt;"",0),0)+E131,"")))</f>
        <v>307</v>
      </c>
      <c r="F132" s="7661">
        <f t="shared" si="84"/>
        <v>0</v>
      </c>
      <c r="G132" s="7661" t="str">
        <f t="shared" si="47"/>
        <v>0</v>
      </c>
      <c r="H132" s="7672" t="str">
        <f t="shared" si="48"/>
        <v/>
      </c>
      <c r="I132" s="7683" t="str">
        <f t="shared" si="49"/>
        <v/>
      </c>
      <c r="J132" s="7673" t="str">
        <f>IF(K132="","",COUNTIF($K$18:K132,"&lt;&gt;"))</f>
        <v/>
      </c>
      <c r="K132" s="7674"/>
      <c r="L132" s="7673" t="str">
        <f t="shared" si="50"/>
        <v/>
      </c>
      <c r="M132" s="7630">
        <f t="shared" si="51"/>
        <v>1</v>
      </c>
      <c r="N132" s="7675">
        <f t="shared" si="52"/>
        <v>115</v>
      </c>
      <c r="O132" s="7676" t="str">
        <f t="shared" si="53"/>
        <v>0</v>
      </c>
      <c r="P132" s="7675">
        <f t="shared" si="54"/>
        <v>1</v>
      </c>
      <c r="Q132" s="7675">
        <f t="shared" si="55"/>
        <v>1</v>
      </c>
      <c r="S132" s="7679" t="str">
        <f t="shared" si="87"/>
        <v>0</v>
      </c>
      <c r="T132" s="7680" t="str">
        <f t="shared" si="87"/>
        <v/>
      </c>
      <c r="V132" s="7677">
        <f t="shared" si="56"/>
        <v>132</v>
      </c>
      <c r="W132" s="7678" t="str">
        <f t="shared" si="86"/>
        <v>0</v>
      </c>
      <c r="X132" s="7677" t="s">
        <v>2</v>
      </c>
      <c r="Y132" s="7702" t="str">
        <f t="shared" si="57"/>
        <v>0</v>
      </c>
      <c r="Z132" s="7703" t="str">
        <f t="shared" si="58"/>
        <v/>
      </c>
      <c r="AA132" s="7681" t="str">
        <f t="shared" si="59"/>
        <v>0</v>
      </c>
      <c r="AB132" s="7682" t="str">
        <f t="shared" si="60"/>
        <v/>
      </c>
      <c r="AC132" s="7677">
        <f t="shared" si="61"/>
        <v>0</v>
      </c>
      <c r="AD132" s="7677">
        <f t="shared" si="62"/>
        <v>0</v>
      </c>
      <c r="AE132" s="7682" t="str">
        <f t="shared" si="63"/>
        <v>aucun match</v>
      </c>
      <c r="AF132" s="6625" t="str">
        <f t="shared" si="64"/>
        <v>0</v>
      </c>
      <c r="AG132" s="6625" t="str">
        <f t="shared" si="65"/>
        <v>0</v>
      </c>
      <c r="AH132" s="6625" t="str">
        <f t="shared" si="66"/>
        <v>0</v>
      </c>
      <c r="AI132" s="6625" t="str">
        <f t="shared" si="67"/>
        <v xml:space="preserve"> 0 </v>
      </c>
      <c r="AJ132" s="6625" cm="1">
        <f t="array" ref="AJ132">IF(W132="",0,SUMPRODUCT((CA4:CA795="Gluten")*(CB4:CB795="INFO")*(COUNTIF(AI132,"*"&amp;CC4:CC795&amp;"*")&gt;0)*1))</f>
        <v>0</v>
      </c>
      <c r="AK132" s="6625" cm="1">
        <f t="array" ref="AK132">IF(W132="",0,SUMPRODUCT((CA4:CA795="Gluten")*(CB4:CB795="EXCL")*(COUNTIF(AI132,"*"&amp;CC4:CC795&amp;"*")&gt;0)*1))</f>
        <v>0</v>
      </c>
      <c r="AL132" s="6625" cm="1">
        <f t="array" ref="AL132">IF(W132="",0,SUMPRODUCT((CA4:CA795="Gluten")*(CB4:CB795="ALERTE")*(COUNTIF(AI132,"*"&amp;CC4:CC795&amp;"*")&gt;0)*1))</f>
        <v>0</v>
      </c>
      <c r="AM132" s="6625" cm="1">
        <f t="array" ref="AM132">IF(W132="",0,SUMPRODUCT((CA4:CA795="Gluten")*(CB4:CB795="SUSP")*(COUNTIF(AI132,"*"&amp;CC4:CC795&amp;"*")&gt;0)*1))</f>
        <v>0</v>
      </c>
      <c r="AN132" s="6625" cm="1">
        <f t="array" ref="AN132">IF(W132="",0,SUMPRODUCT((CA4:CA795="Crustaces")*(CB4:CB795="ALERTE")*(COUNTIF(AI132,"*"&amp;CC4:CC795&amp;"*")&gt;0)*1))</f>
        <v>0</v>
      </c>
      <c r="AO132" s="6625" cm="1">
        <f t="array" ref="AO132">IF(W132="",0,SUMPRODUCT((CA4:CA795="Oeufs")*(CB4:CB795="ALERTE")*(COUNTIF(AI132,"*"&amp;CC4:CC795&amp;"*")&gt;0)*1))</f>
        <v>0</v>
      </c>
      <c r="AP132" s="6625" cm="1">
        <f t="array" ref="AP132">IF(W132="",0,SUMPRODUCT((CA4:CA795="Poissons")*(CB4:CB795="INFO")*(COUNTIF(AI132,"*"&amp;CC4:CC795&amp;"*")&gt;0)*1))</f>
        <v>0</v>
      </c>
      <c r="AQ132" s="6625" cm="1">
        <f t="array" ref="AQ132">IF(W132="",0,SUMPRODUCT((CA4:CA795="Poissons")*(CB4:CB795="EXCL")*(COUNTIF(AI132,"*"&amp;CC4:CC795&amp;"*")&gt;0)*1))</f>
        <v>0</v>
      </c>
      <c r="AR132" s="6625" cm="1">
        <f t="array" ref="AR132">IF(W132="",0,SUMPRODUCT((CA4:CA795="Poissons")*(CB4:CB795="ALERTE")*(COUNTIF(AI132,"*"&amp;CC4:CC795&amp;"*")&gt;0)*1))</f>
        <v>0</v>
      </c>
      <c r="AS132" s="6625" cm="1">
        <f t="array" ref="AS132">IF(W132="",0,SUMPRODUCT((CA4:CA795="Arachides")*(CB4:CB795="ALERTE")*(COUNTIF(AI132,"*"&amp;CC4:CC795&amp;"*")&gt;0)*1))</f>
        <v>0</v>
      </c>
      <c r="AT132" s="6625" cm="1">
        <f t="array" ref="AT132">IF(W132="",0,SUMPRODUCT((CA4:CA795="Soja")*(CB4:CB795="INFO")*(COUNTIF(AI132,"*"&amp;CC4:CC795&amp;"*")&gt;0)*1))</f>
        <v>0</v>
      </c>
      <c r="AU132" s="6625" cm="1">
        <f t="array" ref="AU132">IF(W132="",0,SUMPRODUCT((CA4:CA795="Soja")*(CB4:CB795="ALERTE")*(COUNTIF(AI132,"*"&amp;CC4:CC795&amp;"*")&gt;0)*1))</f>
        <v>0</v>
      </c>
      <c r="AV132" s="6625" cm="1">
        <f t="array" ref="AV132">IF(W132="",0,SUMPRODUCT((CA4:CA795="Lait")*(CB4:CB795="INFO")*(COUNTIF(AI132,"*"&amp;CC4:CC795&amp;"*")&gt;0)*1))</f>
        <v>0</v>
      </c>
      <c r="AW132" s="6625" cm="1">
        <f t="array" ref="AW132">IF(W132="",0,SUMPRODUCT((CA4:CA795="Lait")*(CB4:CB795="EXCL")*(COUNTIF(AI132,"*"&amp;CC4:CC795&amp;"*")&gt;0)*1))</f>
        <v>0</v>
      </c>
      <c r="AX132" s="6625" cm="1">
        <f t="array" ref="AX132">IF(W132="",0,SUMPRODUCT((CA4:CA795="Lait")*(CB4:CB795="ALERTE")*(COUNTIF(AI132,"*"&amp;CC4:CC795&amp;"*")&gt;0)*1))</f>
        <v>0</v>
      </c>
      <c r="AY132" s="6625" cm="1">
        <f t="array" ref="AY132">IF(W132="",0,SUMPRODUCT((CA4:CA795="Lait")*(CB4:CB795="SUSP")*(COUNTIF(AI132,"*"&amp;CC4:CC795&amp;"*")&gt;0)*1))</f>
        <v>0</v>
      </c>
      <c r="AZ132" s="6625" cm="1">
        <f t="array" ref="AZ132">IF(W132="",0,SUMPRODUCT((CA4:CA795="Fruits a coque")*(CB4:CB795="EXCL")*(COUNTIF(AI132,"*"&amp;CC4:CC795&amp;"*")&gt;0)*1))</f>
        <v>0</v>
      </c>
      <c r="BA132" s="6625" cm="1">
        <f t="array" ref="BA132">IF(W132="",0,SUMPRODUCT((CA4:CA795="Fruits a coque")*(CB4:CB795="ALERTE")*(COUNTIF(AI132,"*"&amp;CC4:CC795&amp;"*")&gt;0)*1))</f>
        <v>0</v>
      </c>
      <c r="BB132" s="6625" cm="1">
        <f t="array" ref="BB132">IF(W132="",0,SUMPRODUCT((CA4:CA795="Celeri")*(CB4:CB795="ALERTE")*(COUNTIF(AI132,"*"&amp;CC4:CC795&amp;"*")&gt;0)*1))</f>
        <v>0</v>
      </c>
      <c r="BC132" s="6625" cm="1">
        <f t="array" ref="BC132">IF(W132="",0,SUMPRODUCT((CA4:CA795="Moutarde")*(CB4:CB795="ALERTE")*(COUNTIF(AI132,"*"&amp;CC4:CC795&amp;"*")&gt;0)*1))</f>
        <v>0</v>
      </c>
      <c r="BD132" s="6625" cm="1">
        <f t="array" ref="BD132">IF(W132="",0,SUMPRODUCT((CA4:CA795="Sesame")*(CB4:CB795="ALERTE")*(COUNTIF(AI132,"*"&amp;CC4:CC795&amp;"*")&gt;0)*1))</f>
        <v>0</v>
      </c>
      <c r="BE132" s="6625" cm="1">
        <f t="array" ref="BE132">IF(W132="",0,SUMPRODUCT((CA4:CA795="Sulfites")*(CB4:CB795="ALERTE")*(COUNTIF(AI132,"*"&amp;CC4:CC795&amp;"*")&gt;0)*1))</f>
        <v>0</v>
      </c>
      <c r="BF132" s="6625" cm="1">
        <f t="array" ref="BF132">IF(W132="",0,SUMPRODUCT((CA4:CA795="Lupin")*(CB4:CB795="ALERTE")*(COUNTIF(AI132,"*"&amp;CC4:CC795&amp;"*")&gt;0)*1))</f>
        <v>0</v>
      </c>
      <c r="BG132" s="6625" cm="1">
        <f t="array" ref="BG132">IF(W132="",0,SUMPRODUCT((CA4:CA795="Mollusques")*(CB4:CB795="EXCL")*(COUNTIF(AI132,"*"&amp;CC4:CC795&amp;"*")&gt;0)*1))</f>
        <v>0</v>
      </c>
      <c r="BH132" s="6625" cm="1">
        <f t="array" ref="BH132">IF(W132="",0,SUMPRODUCT((CA4:CA795="Mollusques")*(CB4:CB795="ALERTE")*(COUNTIF(AI132,"*"&amp;CC4:CC795&amp;"*")&gt;0)*1))</f>
        <v>0</v>
      </c>
      <c r="BI132" s="6625" t="str">
        <f t="shared" si="68"/>
        <v/>
      </c>
      <c r="BJ132" s="6625" t="str">
        <f t="shared" si="69"/>
        <v/>
      </c>
      <c r="BK132" s="6625" t="str">
        <f t="shared" si="70"/>
        <v/>
      </c>
      <c r="BL132" s="6625" t="str">
        <f t="shared" si="71"/>
        <v/>
      </c>
      <c r="BM132" s="6625" t="str">
        <f t="shared" si="72"/>
        <v/>
      </c>
      <c r="BN132" s="6625" t="str">
        <f t="shared" si="73"/>
        <v/>
      </c>
      <c r="BO132" s="6625" t="str">
        <f t="shared" si="74"/>
        <v/>
      </c>
      <c r="BP132" s="6625" t="str">
        <f t="shared" si="75"/>
        <v/>
      </c>
      <c r="BQ132" s="6625" t="str">
        <f t="shared" si="76"/>
        <v/>
      </c>
      <c r="BR132" s="6625" t="str">
        <f t="shared" si="77"/>
        <v/>
      </c>
      <c r="BS132" s="6625" t="str">
        <f t="shared" si="78"/>
        <v/>
      </c>
      <c r="BT132" s="6625" t="str">
        <f t="shared" si="79"/>
        <v/>
      </c>
      <c r="BU132" s="6625" t="str">
        <f t="shared" si="80"/>
        <v/>
      </c>
      <c r="BV132" s="6625" t="str">
        <f t="shared" si="81"/>
        <v/>
      </c>
      <c r="BW132" s="6625" t="str">
        <f t="shared" si="82"/>
        <v/>
      </c>
      <c r="BX132" s="6625" t="str">
        <f t="shared" si="83"/>
        <v/>
      </c>
      <c r="CA132" s="3170" t="s">
        <v>16501</v>
      </c>
      <c r="CB132" s="7634" t="s">
        <v>16255</v>
      </c>
      <c r="CC132" s="3170" t="s">
        <v>16593</v>
      </c>
      <c r="CD132" s="3170" t="s">
        <v>16594</v>
      </c>
    </row>
    <row r="133" spans="2:82" ht="30" customHeight="1">
      <c r="B133" s="7661" t="str">
        <f t="shared" si="44"/>
        <v/>
      </c>
      <c r="C133" s="7661" t="str">
        <f t="shared" si="45"/>
        <v/>
      </c>
      <c r="D133" s="7661" t="str">
        <f t="shared" si="46"/>
        <v/>
      </c>
      <c r="E133" s="7661">
        <f>IF(H132&lt;&gt;"",E132,IF(E132="","",IFERROR(MATCH(TRUE(),INDEX(INDEX($K:$K,E132+1):$K$203&lt;&gt;"",0),0)+E132,"")))</f>
        <v>308</v>
      </c>
      <c r="F133" s="7661">
        <f t="shared" si="84"/>
        <v>0</v>
      </c>
      <c r="G133" s="7661" t="str">
        <f t="shared" si="47"/>
        <v>0</v>
      </c>
      <c r="H133" s="7672" t="str">
        <f t="shared" si="48"/>
        <v/>
      </c>
      <c r="I133" s="7683" t="str">
        <f t="shared" si="49"/>
        <v/>
      </c>
      <c r="J133" s="7673" t="str">
        <f>IF(K133="","",COUNTIF($K$18:K133,"&lt;&gt;"))</f>
        <v/>
      </c>
      <c r="K133" s="7674"/>
      <c r="L133" s="7673" t="str">
        <f t="shared" si="50"/>
        <v/>
      </c>
      <c r="M133" s="7630">
        <f t="shared" si="51"/>
        <v>1</v>
      </c>
      <c r="N133" s="7675">
        <f t="shared" si="52"/>
        <v>116</v>
      </c>
      <c r="O133" s="7676" t="str">
        <f t="shared" si="53"/>
        <v>0</v>
      </c>
      <c r="P133" s="7675">
        <f t="shared" si="54"/>
        <v>1</v>
      </c>
      <c r="Q133" s="7675">
        <f t="shared" si="55"/>
        <v>1</v>
      </c>
      <c r="S133" s="7679" t="str">
        <f t="shared" si="87"/>
        <v>0</v>
      </c>
      <c r="T133" s="7680" t="str">
        <f t="shared" si="87"/>
        <v/>
      </c>
      <c r="V133" s="7677">
        <f t="shared" si="56"/>
        <v>133</v>
      </c>
      <c r="W133" s="7678" t="str">
        <f t="shared" si="86"/>
        <v>0</v>
      </c>
      <c r="X133" s="7677" t="s">
        <v>2</v>
      </c>
      <c r="Y133" s="7702" t="str">
        <f t="shared" si="57"/>
        <v>0</v>
      </c>
      <c r="Z133" s="7703" t="str">
        <f t="shared" si="58"/>
        <v/>
      </c>
      <c r="AA133" s="7681" t="str">
        <f t="shared" si="59"/>
        <v>0</v>
      </c>
      <c r="AB133" s="7682" t="str">
        <f t="shared" si="60"/>
        <v/>
      </c>
      <c r="AC133" s="7677">
        <f t="shared" si="61"/>
        <v>0</v>
      </c>
      <c r="AD133" s="7677">
        <f t="shared" si="62"/>
        <v>0</v>
      </c>
      <c r="AE133" s="7682" t="str">
        <f t="shared" si="63"/>
        <v>aucun match</v>
      </c>
      <c r="AF133" s="6625" t="str">
        <f t="shared" si="64"/>
        <v>0</v>
      </c>
      <c r="AG133" s="6625" t="str">
        <f t="shared" si="65"/>
        <v>0</v>
      </c>
      <c r="AH133" s="6625" t="str">
        <f t="shared" si="66"/>
        <v>0</v>
      </c>
      <c r="AI133" s="6625" t="str">
        <f t="shared" si="67"/>
        <v xml:space="preserve"> 0 </v>
      </c>
      <c r="AJ133" s="6625" cm="1">
        <f t="array" ref="AJ133">IF(W133="",0,SUMPRODUCT((CA4:CA795="Gluten")*(CB4:CB795="INFO")*(COUNTIF(AI133,"*"&amp;CC4:CC795&amp;"*")&gt;0)*1))</f>
        <v>0</v>
      </c>
      <c r="AK133" s="6625" cm="1">
        <f t="array" ref="AK133">IF(W133="",0,SUMPRODUCT((CA4:CA795="Gluten")*(CB4:CB795="EXCL")*(COUNTIF(AI133,"*"&amp;CC4:CC795&amp;"*")&gt;0)*1))</f>
        <v>0</v>
      </c>
      <c r="AL133" s="6625" cm="1">
        <f t="array" ref="AL133">IF(W133="",0,SUMPRODUCT((CA4:CA795="Gluten")*(CB4:CB795="ALERTE")*(COUNTIF(AI133,"*"&amp;CC4:CC795&amp;"*")&gt;0)*1))</f>
        <v>0</v>
      </c>
      <c r="AM133" s="6625" cm="1">
        <f t="array" ref="AM133">IF(W133="",0,SUMPRODUCT((CA4:CA795="Gluten")*(CB4:CB795="SUSP")*(COUNTIF(AI133,"*"&amp;CC4:CC795&amp;"*")&gt;0)*1))</f>
        <v>0</v>
      </c>
      <c r="AN133" s="6625" cm="1">
        <f t="array" ref="AN133">IF(W133="",0,SUMPRODUCT((CA4:CA795="Crustaces")*(CB4:CB795="ALERTE")*(COUNTIF(AI133,"*"&amp;CC4:CC795&amp;"*")&gt;0)*1))</f>
        <v>0</v>
      </c>
      <c r="AO133" s="6625" cm="1">
        <f t="array" ref="AO133">IF(W133="",0,SUMPRODUCT((CA4:CA795="Oeufs")*(CB4:CB795="ALERTE")*(COUNTIF(AI133,"*"&amp;CC4:CC795&amp;"*")&gt;0)*1))</f>
        <v>0</v>
      </c>
      <c r="AP133" s="6625" cm="1">
        <f t="array" ref="AP133">IF(W133="",0,SUMPRODUCT((CA4:CA795="Poissons")*(CB4:CB795="INFO")*(COUNTIF(AI133,"*"&amp;CC4:CC795&amp;"*")&gt;0)*1))</f>
        <v>0</v>
      </c>
      <c r="AQ133" s="6625" cm="1">
        <f t="array" ref="AQ133">IF(W133="",0,SUMPRODUCT((CA4:CA795="Poissons")*(CB4:CB795="EXCL")*(COUNTIF(AI133,"*"&amp;CC4:CC795&amp;"*")&gt;0)*1))</f>
        <v>0</v>
      </c>
      <c r="AR133" s="6625" cm="1">
        <f t="array" ref="AR133">IF(W133="",0,SUMPRODUCT((CA4:CA795="Poissons")*(CB4:CB795="ALERTE")*(COUNTIF(AI133,"*"&amp;CC4:CC795&amp;"*")&gt;0)*1))</f>
        <v>0</v>
      </c>
      <c r="AS133" s="6625" cm="1">
        <f t="array" ref="AS133">IF(W133="",0,SUMPRODUCT((CA4:CA795="Arachides")*(CB4:CB795="ALERTE")*(COUNTIF(AI133,"*"&amp;CC4:CC795&amp;"*")&gt;0)*1))</f>
        <v>0</v>
      </c>
      <c r="AT133" s="6625" cm="1">
        <f t="array" ref="AT133">IF(W133="",0,SUMPRODUCT((CA4:CA795="Soja")*(CB4:CB795="INFO")*(COUNTIF(AI133,"*"&amp;CC4:CC795&amp;"*")&gt;0)*1))</f>
        <v>0</v>
      </c>
      <c r="AU133" s="6625" cm="1">
        <f t="array" ref="AU133">IF(W133="",0,SUMPRODUCT((CA4:CA795="Soja")*(CB4:CB795="ALERTE")*(COUNTIF(AI133,"*"&amp;CC4:CC795&amp;"*")&gt;0)*1))</f>
        <v>0</v>
      </c>
      <c r="AV133" s="6625" cm="1">
        <f t="array" ref="AV133">IF(W133="",0,SUMPRODUCT((CA4:CA795="Lait")*(CB4:CB795="INFO")*(COUNTIF(AI133,"*"&amp;CC4:CC795&amp;"*")&gt;0)*1))</f>
        <v>0</v>
      </c>
      <c r="AW133" s="6625" cm="1">
        <f t="array" ref="AW133">IF(W133="",0,SUMPRODUCT((CA4:CA795="Lait")*(CB4:CB795="EXCL")*(COUNTIF(AI133,"*"&amp;CC4:CC795&amp;"*")&gt;0)*1))</f>
        <v>0</v>
      </c>
      <c r="AX133" s="6625" cm="1">
        <f t="array" ref="AX133">IF(W133="",0,SUMPRODUCT((CA4:CA795="Lait")*(CB4:CB795="ALERTE")*(COUNTIF(AI133,"*"&amp;CC4:CC795&amp;"*")&gt;0)*1))</f>
        <v>0</v>
      </c>
      <c r="AY133" s="6625" cm="1">
        <f t="array" ref="AY133">IF(W133="",0,SUMPRODUCT((CA4:CA795="Lait")*(CB4:CB795="SUSP")*(COUNTIF(AI133,"*"&amp;CC4:CC795&amp;"*")&gt;0)*1))</f>
        <v>0</v>
      </c>
      <c r="AZ133" s="6625" cm="1">
        <f t="array" ref="AZ133">IF(W133="",0,SUMPRODUCT((CA4:CA795="Fruits a coque")*(CB4:CB795="EXCL")*(COUNTIF(AI133,"*"&amp;CC4:CC795&amp;"*")&gt;0)*1))</f>
        <v>0</v>
      </c>
      <c r="BA133" s="6625" cm="1">
        <f t="array" ref="BA133">IF(W133="",0,SUMPRODUCT((CA4:CA795="Fruits a coque")*(CB4:CB795="ALERTE")*(COUNTIF(AI133,"*"&amp;CC4:CC795&amp;"*")&gt;0)*1))</f>
        <v>0</v>
      </c>
      <c r="BB133" s="6625" cm="1">
        <f t="array" ref="BB133">IF(W133="",0,SUMPRODUCT((CA4:CA795="Celeri")*(CB4:CB795="ALERTE")*(COUNTIF(AI133,"*"&amp;CC4:CC795&amp;"*")&gt;0)*1))</f>
        <v>0</v>
      </c>
      <c r="BC133" s="6625" cm="1">
        <f t="array" ref="BC133">IF(W133="",0,SUMPRODUCT((CA4:CA795="Moutarde")*(CB4:CB795="ALERTE")*(COUNTIF(AI133,"*"&amp;CC4:CC795&amp;"*")&gt;0)*1))</f>
        <v>0</v>
      </c>
      <c r="BD133" s="6625" cm="1">
        <f t="array" ref="BD133">IF(W133="",0,SUMPRODUCT((CA4:CA795="Sesame")*(CB4:CB795="ALERTE")*(COUNTIF(AI133,"*"&amp;CC4:CC795&amp;"*")&gt;0)*1))</f>
        <v>0</v>
      </c>
      <c r="BE133" s="6625" cm="1">
        <f t="array" ref="BE133">IF(W133="",0,SUMPRODUCT((CA4:CA795="Sulfites")*(CB4:CB795="ALERTE")*(COUNTIF(AI133,"*"&amp;CC4:CC795&amp;"*")&gt;0)*1))</f>
        <v>0</v>
      </c>
      <c r="BF133" s="6625" cm="1">
        <f t="array" ref="BF133">IF(W133="",0,SUMPRODUCT((CA4:CA795="Lupin")*(CB4:CB795="ALERTE")*(COUNTIF(AI133,"*"&amp;CC4:CC795&amp;"*")&gt;0)*1))</f>
        <v>0</v>
      </c>
      <c r="BG133" s="6625" cm="1">
        <f t="array" ref="BG133">IF(W133="",0,SUMPRODUCT((CA4:CA795="Mollusques")*(CB4:CB795="EXCL")*(COUNTIF(AI133,"*"&amp;CC4:CC795&amp;"*")&gt;0)*1))</f>
        <v>0</v>
      </c>
      <c r="BH133" s="6625" cm="1">
        <f t="array" ref="BH133">IF(W133="",0,SUMPRODUCT((CA4:CA795="Mollusques")*(CB4:CB795="ALERTE")*(COUNTIF(AI133,"*"&amp;CC4:CC795&amp;"*")&gt;0)*1))</f>
        <v>0</v>
      </c>
      <c r="BI133" s="6625" t="str">
        <f t="shared" si="68"/>
        <v/>
      </c>
      <c r="BJ133" s="6625" t="str">
        <f t="shared" si="69"/>
        <v/>
      </c>
      <c r="BK133" s="6625" t="str">
        <f t="shared" si="70"/>
        <v/>
      </c>
      <c r="BL133" s="6625" t="str">
        <f t="shared" si="71"/>
        <v/>
      </c>
      <c r="BM133" s="6625" t="str">
        <f t="shared" si="72"/>
        <v/>
      </c>
      <c r="BN133" s="6625" t="str">
        <f t="shared" si="73"/>
        <v/>
      </c>
      <c r="BO133" s="6625" t="str">
        <f t="shared" si="74"/>
        <v/>
      </c>
      <c r="BP133" s="6625" t="str">
        <f t="shared" si="75"/>
        <v/>
      </c>
      <c r="BQ133" s="6625" t="str">
        <f t="shared" si="76"/>
        <v/>
      </c>
      <c r="BR133" s="6625" t="str">
        <f t="shared" si="77"/>
        <v/>
      </c>
      <c r="BS133" s="6625" t="str">
        <f t="shared" si="78"/>
        <v/>
      </c>
      <c r="BT133" s="6625" t="str">
        <f t="shared" si="79"/>
        <v/>
      </c>
      <c r="BU133" s="6625" t="str">
        <f t="shared" si="80"/>
        <v/>
      </c>
      <c r="BV133" s="6625" t="str">
        <f t="shared" si="81"/>
        <v/>
      </c>
      <c r="BW133" s="6625" t="str">
        <f t="shared" si="82"/>
        <v/>
      </c>
      <c r="BX133" s="6625" t="str">
        <f t="shared" si="83"/>
        <v/>
      </c>
      <c r="CA133" s="3170" t="s">
        <v>16501</v>
      </c>
      <c r="CB133" s="7634" t="s">
        <v>16255</v>
      </c>
      <c r="CC133" s="3170" t="s">
        <v>16595</v>
      </c>
      <c r="CD133" s="3170" t="s">
        <v>16596</v>
      </c>
    </row>
    <row r="134" spans="2:82" ht="30" customHeight="1">
      <c r="B134" s="7661" t="str">
        <f t="shared" si="44"/>
        <v/>
      </c>
      <c r="C134" s="7661" t="str">
        <f t="shared" si="45"/>
        <v/>
      </c>
      <c r="D134" s="7661" t="str">
        <f t="shared" si="46"/>
        <v/>
      </c>
      <c r="E134" s="7661">
        <f>IF(H133&lt;&gt;"",E133,IF(E133="","",IFERROR(MATCH(TRUE(),INDEX(INDEX($K:$K,E133+1):$K$203&lt;&gt;"",0),0)+E133,"")))</f>
        <v>309</v>
      </c>
      <c r="F134" s="7661">
        <f t="shared" si="84"/>
        <v>0</v>
      </c>
      <c r="G134" s="7661" t="str">
        <f t="shared" si="47"/>
        <v>0</v>
      </c>
      <c r="H134" s="7672" t="str">
        <f t="shared" si="48"/>
        <v/>
      </c>
      <c r="I134" s="7683" t="str">
        <f t="shared" si="49"/>
        <v/>
      </c>
      <c r="J134" s="7673" t="str">
        <f>IF(K134="","",COUNTIF($K$18:K134,"&lt;&gt;"))</f>
        <v/>
      </c>
      <c r="K134" s="7674"/>
      <c r="L134" s="7673" t="str">
        <f t="shared" si="50"/>
        <v/>
      </c>
      <c r="M134" s="7630">
        <f t="shared" si="51"/>
        <v>1</v>
      </c>
      <c r="N134" s="7675">
        <f t="shared" si="52"/>
        <v>117</v>
      </c>
      <c r="O134" s="7676" t="str">
        <f t="shared" si="53"/>
        <v>0</v>
      </c>
      <c r="P134" s="7675">
        <f t="shared" si="54"/>
        <v>1</v>
      </c>
      <c r="Q134" s="7675">
        <f t="shared" si="55"/>
        <v>1</v>
      </c>
      <c r="S134" s="7679" t="str">
        <f t="shared" si="87"/>
        <v>0</v>
      </c>
      <c r="T134" s="7680" t="str">
        <f t="shared" si="87"/>
        <v/>
      </c>
      <c r="V134" s="7677">
        <f t="shared" si="56"/>
        <v>134</v>
      </c>
      <c r="W134" s="7678" t="str">
        <f t="shared" si="86"/>
        <v>0</v>
      </c>
      <c r="X134" s="7677" t="s">
        <v>2</v>
      </c>
      <c r="Y134" s="7702" t="str">
        <f t="shared" si="57"/>
        <v>0</v>
      </c>
      <c r="Z134" s="7703" t="str">
        <f t="shared" si="58"/>
        <v/>
      </c>
      <c r="AA134" s="7681" t="str">
        <f t="shared" si="59"/>
        <v>0</v>
      </c>
      <c r="AB134" s="7682" t="str">
        <f t="shared" si="60"/>
        <v/>
      </c>
      <c r="AC134" s="7677">
        <f t="shared" si="61"/>
        <v>0</v>
      </c>
      <c r="AD134" s="7677">
        <f t="shared" si="62"/>
        <v>0</v>
      </c>
      <c r="AE134" s="7682" t="str">
        <f t="shared" si="63"/>
        <v>aucun match</v>
      </c>
      <c r="AF134" s="6625" t="str">
        <f t="shared" si="64"/>
        <v>0</v>
      </c>
      <c r="AG134" s="6625" t="str">
        <f t="shared" si="65"/>
        <v>0</v>
      </c>
      <c r="AH134" s="6625" t="str">
        <f t="shared" si="66"/>
        <v>0</v>
      </c>
      <c r="AI134" s="6625" t="str">
        <f t="shared" si="67"/>
        <v xml:space="preserve"> 0 </v>
      </c>
      <c r="AJ134" s="6625" cm="1">
        <f t="array" ref="AJ134">IF(W134="",0,SUMPRODUCT((CA4:CA795="Gluten")*(CB4:CB795="INFO")*(COUNTIF(AI134,"*"&amp;CC4:CC795&amp;"*")&gt;0)*1))</f>
        <v>0</v>
      </c>
      <c r="AK134" s="6625" cm="1">
        <f t="array" ref="AK134">IF(W134="",0,SUMPRODUCT((CA4:CA795="Gluten")*(CB4:CB795="EXCL")*(COUNTIF(AI134,"*"&amp;CC4:CC795&amp;"*")&gt;0)*1))</f>
        <v>0</v>
      </c>
      <c r="AL134" s="6625" cm="1">
        <f t="array" ref="AL134">IF(W134="",0,SUMPRODUCT((CA4:CA795="Gluten")*(CB4:CB795="ALERTE")*(COUNTIF(AI134,"*"&amp;CC4:CC795&amp;"*")&gt;0)*1))</f>
        <v>0</v>
      </c>
      <c r="AM134" s="6625" cm="1">
        <f t="array" ref="AM134">IF(W134="",0,SUMPRODUCT((CA4:CA795="Gluten")*(CB4:CB795="SUSP")*(COUNTIF(AI134,"*"&amp;CC4:CC795&amp;"*")&gt;0)*1))</f>
        <v>0</v>
      </c>
      <c r="AN134" s="6625" cm="1">
        <f t="array" ref="AN134">IF(W134="",0,SUMPRODUCT((CA4:CA795="Crustaces")*(CB4:CB795="ALERTE")*(COUNTIF(AI134,"*"&amp;CC4:CC795&amp;"*")&gt;0)*1))</f>
        <v>0</v>
      </c>
      <c r="AO134" s="6625" cm="1">
        <f t="array" ref="AO134">IF(W134="",0,SUMPRODUCT((CA4:CA795="Oeufs")*(CB4:CB795="ALERTE")*(COUNTIF(AI134,"*"&amp;CC4:CC795&amp;"*")&gt;0)*1))</f>
        <v>0</v>
      </c>
      <c r="AP134" s="6625" cm="1">
        <f t="array" ref="AP134">IF(W134="",0,SUMPRODUCT((CA4:CA795="Poissons")*(CB4:CB795="INFO")*(COUNTIF(AI134,"*"&amp;CC4:CC795&amp;"*")&gt;0)*1))</f>
        <v>0</v>
      </c>
      <c r="AQ134" s="6625" cm="1">
        <f t="array" ref="AQ134">IF(W134="",0,SUMPRODUCT((CA4:CA795="Poissons")*(CB4:CB795="EXCL")*(COUNTIF(AI134,"*"&amp;CC4:CC795&amp;"*")&gt;0)*1))</f>
        <v>0</v>
      </c>
      <c r="AR134" s="6625" cm="1">
        <f t="array" ref="AR134">IF(W134="",0,SUMPRODUCT((CA4:CA795="Poissons")*(CB4:CB795="ALERTE")*(COUNTIF(AI134,"*"&amp;CC4:CC795&amp;"*")&gt;0)*1))</f>
        <v>0</v>
      </c>
      <c r="AS134" s="6625" cm="1">
        <f t="array" ref="AS134">IF(W134="",0,SUMPRODUCT((CA4:CA795="Arachides")*(CB4:CB795="ALERTE")*(COUNTIF(AI134,"*"&amp;CC4:CC795&amp;"*")&gt;0)*1))</f>
        <v>0</v>
      </c>
      <c r="AT134" s="6625" cm="1">
        <f t="array" ref="AT134">IF(W134="",0,SUMPRODUCT((CA4:CA795="Soja")*(CB4:CB795="INFO")*(COUNTIF(AI134,"*"&amp;CC4:CC795&amp;"*")&gt;0)*1))</f>
        <v>0</v>
      </c>
      <c r="AU134" s="6625" cm="1">
        <f t="array" ref="AU134">IF(W134="",0,SUMPRODUCT((CA4:CA795="Soja")*(CB4:CB795="ALERTE")*(COUNTIF(AI134,"*"&amp;CC4:CC795&amp;"*")&gt;0)*1))</f>
        <v>0</v>
      </c>
      <c r="AV134" s="6625" cm="1">
        <f t="array" ref="AV134">IF(W134="",0,SUMPRODUCT((CA4:CA795="Lait")*(CB4:CB795="INFO")*(COUNTIF(AI134,"*"&amp;CC4:CC795&amp;"*")&gt;0)*1))</f>
        <v>0</v>
      </c>
      <c r="AW134" s="6625" cm="1">
        <f t="array" ref="AW134">IF(W134="",0,SUMPRODUCT((CA4:CA795="Lait")*(CB4:CB795="EXCL")*(COUNTIF(AI134,"*"&amp;CC4:CC795&amp;"*")&gt;0)*1))</f>
        <v>0</v>
      </c>
      <c r="AX134" s="6625" cm="1">
        <f t="array" ref="AX134">IF(W134="",0,SUMPRODUCT((CA4:CA795="Lait")*(CB4:CB795="ALERTE")*(COUNTIF(AI134,"*"&amp;CC4:CC795&amp;"*")&gt;0)*1))</f>
        <v>0</v>
      </c>
      <c r="AY134" s="6625" cm="1">
        <f t="array" ref="AY134">IF(W134="",0,SUMPRODUCT((CA4:CA795="Lait")*(CB4:CB795="SUSP")*(COUNTIF(AI134,"*"&amp;CC4:CC795&amp;"*")&gt;0)*1))</f>
        <v>0</v>
      </c>
      <c r="AZ134" s="6625" cm="1">
        <f t="array" ref="AZ134">IF(W134="",0,SUMPRODUCT((CA4:CA795="Fruits a coque")*(CB4:CB795="EXCL")*(COUNTIF(AI134,"*"&amp;CC4:CC795&amp;"*")&gt;0)*1))</f>
        <v>0</v>
      </c>
      <c r="BA134" s="6625" cm="1">
        <f t="array" ref="BA134">IF(W134="",0,SUMPRODUCT((CA4:CA795="Fruits a coque")*(CB4:CB795="ALERTE")*(COUNTIF(AI134,"*"&amp;CC4:CC795&amp;"*")&gt;0)*1))</f>
        <v>0</v>
      </c>
      <c r="BB134" s="6625" cm="1">
        <f t="array" ref="BB134">IF(W134="",0,SUMPRODUCT((CA4:CA795="Celeri")*(CB4:CB795="ALERTE")*(COUNTIF(AI134,"*"&amp;CC4:CC795&amp;"*")&gt;0)*1))</f>
        <v>0</v>
      </c>
      <c r="BC134" s="6625" cm="1">
        <f t="array" ref="BC134">IF(W134="",0,SUMPRODUCT((CA4:CA795="Moutarde")*(CB4:CB795="ALERTE")*(COUNTIF(AI134,"*"&amp;CC4:CC795&amp;"*")&gt;0)*1))</f>
        <v>0</v>
      </c>
      <c r="BD134" s="6625" cm="1">
        <f t="array" ref="BD134">IF(W134="",0,SUMPRODUCT((CA4:CA795="Sesame")*(CB4:CB795="ALERTE")*(COUNTIF(AI134,"*"&amp;CC4:CC795&amp;"*")&gt;0)*1))</f>
        <v>0</v>
      </c>
      <c r="BE134" s="6625" cm="1">
        <f t="array" ref="BE134">IF(W134="",0,SUMPRODUCT((CA4:CA795="Sulfites")*(CB4:CB795="ALERTE")*(COUNTIF(AI134,"*"&amp;CC4:CC795&amp;"*")&gt;0)*1))</f>
        <v>0</v>
      </c>
      <c r="BF134" s="6625" cm="1">
        <f t="array" ref="BF134">IF(W134="",0,SUMPRODUCT((CA4:CA795="Lupin")*(CB4:CB795="ALERTE")*(COUNTIF(AI134,"*"&amp;CC4:CC795&amp;"*")&gt;0)*1))</f>
        <v>0</v>
      </c>
      <c r="BG134" s="6625" cm="1">
        <f t="array" ref="BG134">IF(W134="",0,SUMPRODUCT((CA4:CA795="Mollusques")*(CB4:CB795="EXCL")*(COUNTIF(AI134,"*"&amp;CC4:CC795&amp;"*")&gt;0)*1))</f>
        <v>0</v>
      </c>
      <c r="BH134" s="6625" cm="1">
        <f t="array" ref="BH134">IF(W134="",0,SUMPRODUCT((CA4:CA795="Mollusques")*(CB4:CB795="ALERTE")*(COUNTIF(AI134,"*"&amp;CC4:CC795&amp;"*")&gt;0)*1))</f>
        <v>0</v>
      </c>
      <c r="BI134" s="6625" t="str">
        <f t="shared" si="68"/>
        <v/>
      </c>
      <c r="BJ134" s="6625" t="str">
        <f t="shared" si="69"/>
        <v/>
      </c>
      <c r="BK134" s="6625" t="str">
        <f t="shared" si="70"/>
        <v/>
      </c>
      <c r="BL134" s="6625" t="str">
        <f t="shared" si="71"/>
        <v/>
      </c>
      <c r="BM134" s="6625" t="str">
        <f t="shared" si="72"/>
        <v/>
      </c>
      <c r="BN134" s="6625" t="str">
        <f t="shared" si="73"/>
        <v/>
      </c>
      <c r="BO134" s="6625" t="str">
        <f t="shared" si="74"/>
        <v/>
      </c>
      <c r="BP134" s="6625" t="str">
        <f t="shared" si="75"/>
        <v/>
      </c>
      <c r="BQ134" s="6625" t="str">
        <f t="shared" si="76"/>
        <v/>
      </c>
      <c r="BR134" s="6625" t="str">
        <f t="shared" si="77"/>
        <v/>
      </c>
      <c r="BS134" s="6625" t="str">
        <f t="shared" si="78"/>
        <v/>
      </c>
      <c r="BT134" s="6625" t="str">
        <f t="shared" si="79"/>
        <v/>
      </c>
      <c r="BU134" s="6625" t="str">
        <f t="shared" si="80"/>
        <v/>
      </c>
      <c r="BV134" s="6625" t="str">
        <f t="shared" si="81"/>
        <v/>
      </c>
      <c r="BW134" s="6625" t="str">
        <f t="shared" si="82"/>
        <v/>
      </c>
      <c r="BX134" s="6625" t="str">
        <f t="shared" si="83"/>
        <v/>
      </c>
      <c r="CA134" s="3170" t="s">
        <v>16501</v>
      </c>
      <c r="CB134" s="7634" t="s">
        <v>16255</v>
      </c>
      <c r="CC134" s="3170" t="s">
        <v>16597</v>
      </c>
      <c r="CD134" s="3170" t="s">
        <v>16598</v>
      </c>
    </row>
    <row r="135" spans="2:82" ht="30" customHeight="1">
      <c r="B135" s="7661" t="str">
        <f t="shared" si="44"/>
        <v/>
      </c>
      <c r="C135" s="7661" t="str">
        <f t="shared" si="45"/>
        <v/>
      </c>
      <c r="D135" s="7661" t="str">
        <f t="shared" si="46"/>
        <v/>
      </c>
      <c r="E135" s="7661">
        <f>IF(H134&lt;&gt;"",E134,IF(E134="","",IFERROR(MATCH(TRUE(),INDEX(INDEX($K:$K,E134+1):$K$203&lt;&gt;"",0),0)+E134,"")))</f>
        <v>310</v>
      </c>
      <c r="F135" s="7661">
        <f t="shared" si="84"/>
        <v>0</v>
      </c>
      <c r="G135" s="7661" t="str">
        <f t="shared" si="47"/>
        <v>0</v>
      </c>
      <c r="H135" s="7672" t="str">
        <f t="shared" si="48"/>
        <v/>
      </c>
      <c r="I135" s="7683" t="str">
        <f t="shared" si="49"/>
        <v/>
      </c>
      <c r="J135" s="7673" t="str">
        <f>IF(K135="","",COUNTIF($K$18:K135,"&lt;&gt;"))</f>
        <v/>
      </c>
      <c r="K135" s="7674"/>
      <c r="L135" s="7673" t="str">
        <f t="shared" si="50"/>
        <v/>
      </c>
      <c r="M135" s="7630">
        <f t="shared" si="51"/>
        <v>1</v>
      </c>
      <c r="N135" s="7675">
        <f t="shared" si="52"/>
        <v>118</v>
      </c>
      <c r="O135" s="7676" t="str">
        <f t="shared" si="53"/>
        <v>0</v>
      </c>
      <c r="P135" s="7675">
        <f t="shared" si="54"/>
        <v>1</v>
      </c>
      <c r="Q135" s="7675">
        <f t="shared" si="55"/>
        <v>1</v>
      </c>
      <c r="S135" s="7679" t="str">
        <f t="shared" si="87"/>
        <v>0</v>
      </c>
      <c r="T135" s="7680" t="str">
        <f t="shared" si="87"/>
        <v/>
      </c>
      <c r="V135" s="7677">
        <f t="shared" si="56"/>
        <v>135</v>
      </c>
      <c r="W135" s="7678" t="str">
        <f t="shared" si="86"/>
        <v>0</v>
      </c>
      <c r="X135" s="7677" t="s">
        <v>2</v>
      </c>
      <c r="Y135" s="7702" t="str">
        <f t="shared" si="57"/>
        <v>0</v>
      </c>
      <c r="Z135" s="7703" t="str">
        <f t="shared" si="58"/>
        <v/>
      </c>
      <c r="AA135" s="7681" t="str">
        <f t="shared" si="59"/>
        <v>0</v>
      </c>
      <c r="AB135" s="7682" t="str">
        <f t="shared" si="60"/>
        <v/>
      </c>
      <c r="AC135" s="7677">
        <f t="shared" si="61"/>
        <v>0</v>
      </c>
      <c r="AD135" s="7677">
        <f t="shared" si="62"/>
        <v>0</v>
      </c>
      <c r="AE135" s="7682" t="str">
        <f t="shared" si="63"/>
        <v>aucun match</v>
      </c>
      <c r="AF135" s="6625" t="str">
        <f t="shared" si="64"/>
        <v>0</v>
      </c>
      <c r="AG135" s="6625" t="str">
        <f t="shared" si="65"/>
        <v>0</v>
      </c>
      <c r="AH135" s="6625" t="str">
        <f t="shared" si="66"/>
        <v>0</v>
      </c>
      <c r="AI135" s="6625" t="str">
        <f t="shared" si="67"/>
        <v xml:space="preserve"> 0 </v>
      </c>
      <c r="AJ135" s="6625" cm="1">
        <f t="array" ref="AJ135">IF(W135="",0,SUMPRODUCT((CA4:CA795="Gluten")*(CB4:CB795="INFO")*(COUNTIF(AI135,"*"&amp;CC4:CC795&amp;"*")&gt;0)*1))</f>
        <v>0</v>
      </c>
      <c r="AK135" s="6625" cm="1">
        <f t="array" ref="AK135">IF(W135="",0,SUMPRODUCT((CA4:CA795="Gluten")*(CB4:CB795="EXCL")*(COUNTIF(AI135,"*"&amp;CC4:CC795&amp;"*")&gt;0)*1))</f>
        <v>0</v>
      </c>
      <c r="AL135" s="6625" cm="1">
        <f t="array" ref="AL135">IF(W135="",0,SUMPRODUCT((CA4:CA795="Gluten")*(CB4:CB795="ALERTE")*(COUNTIF(AI135,"*"&amp;CC4:CC795&amp;"*")&gt;0)*1))</f>
        <v>0</v>
      </c>
      <c r="AM135" s="6625" cm="1">
        <f t="array" ref="AM135">IF(W135="",0,SUMPRODUCT((CA4:CA795="Gluten")*(CB4:CB795="SUSP")*(COUNTIF(AI135,"*"&amp;CC4:CC795&amp;"*")&gt;0)*1))</f>
        <v>0</v>
      </c>
      <c r="AN135" s="6625" cm="1">
        <f t="array" ref="AN135">IF(W135="",0,SUMPRODUCT((CA4:CA795="Crustaces")*(CB4:CB795="ALERTE")*(COUNTIF(AI135,"*"&amp;CC4:CC795&amp;"*")&gt;0)*1))</f>
        <v>0</v>
      </c>
      <c r="AO135" s="6625" cm="1">
        <f t="array" ref="AO135">IF(W135="",0,SUMPRODUCT((CA4:CA795="Oeufs")*(CB4:CB795="ALERTE")*(COUNTIF(AI135,"*"&amp;CC4:CC795&amp;"*")&gt;0)*1))</f>
        <v>0</v>
      </c>
      <c r="AP135" s="6625" cm="1">
        <f t="array" ref="AP135">IF(W135="",0,SUMPRODUCT((CA4:CA795="Poissons")*(CB4:CB795="INFO")*(COUNTIF(AI135,"*"&amp;CC4:CC795&amp;"*")&gt;0)*1))</f>
        <v>0</v>
      </c>
      <c r="AQ135" s="6625" cm="1">
        <f t="array" ref="AQ135">IF(W135="",0,SUMPRODUCT((CA4:CA795="Poissons")*(CB4:CB795="EXCL")*(COUNTIF(AI135,"*"&amp;CC4:CC795&amp;"*")&gt;0)*1))</f>
        <v>0</v>
      </c>
      <c r="AR135" s="6625" cm="1">
        <f t="array" ref="AR135">IF(W135="",0,SUMPRODUCT((CA4:CA795="Poissons")*(CB4:CB795="ALERTE")*(COUNTIF(AI135,"*"&amp;CC4:CC795&amp;"*")&gt;0)*1))</f>
        <v>0</v>
      </c>
      <c r="AS135" s="6625" cm="1">
        <f t="array" ref="AS135">IF(W135="",0,SUMPRODUCT((CA4:CA795="Arachides")*(CB4:CB795="ALERTE")*(COUNTIF(AI135,"*"&amp;CC4:CC795&amp;"*")&gt;0)*1))</f>
        <v>0</v>
      </c>
      <c r="AT135" s="6625" cm="1">
        <f t="array" ref="AT135">IF(W135="",0,SUMPRODUCT((CA4:CA795="Soja")*(CB4:CB795="INFO")*(COUNTIF(AI135,"*"&amp;CC4:CC795&amp;"*")&gt;0)*1))</f>
        <v>0</v>
      </c>
      <c r="AU135" s="6625" cm="1">
        <f t="array" ref="AU135">IF(W135="",0,SUMPRODUCT((CA4:CA795="Soja")*(CB4:CB795="ALERTE")*(COUNTIF(AI135,"*"&amp;CC4:CC795&amp;"*")&gt;0)*1))</f>
        <v>0</v>
      </c>
      <c r="AV135" s="6625" cm="1">
        <f t="array" ref="AV135">IF(W135="",0,SUMPRODUCT((CA4:CA795="Lait")*(CB4:CB795="INFO")*(COUNTIF(AI135,"*"&amp;CC4:CC795&amp;"*")&gt;0)*1))</f>
        <v>0</v>
      </c>
      <c r="AW135" s="6625" cm="1">
        <f t="array" ref="AW135">IF(W135="",0,SUMPRODUCT((CA4:CA795="Lait")*(CB4:CB795="EXCL")*(COUNTIF(AI135,"*"&amp;CC4:CC795&amp;"*")&gt;0)*1))</f>
        <v>0</v>
      </c>
      <c r="AX135" s="6625" cm="1">
        <f t="array" ref="AX135">IF(W135="",0,SUMPRODUCT((CA4:CA795="Lait")*(CB4:CB795="ALERTE")*(COUNTIF(AI135,"*"&amp;CC4:CC795&amp;"*")&gt;0)*1))</f>
        <v>0</v>
      </c>
      <c r="AY135" s="6625" cm="1">
        <f t="array" ref="AY135">IF(W135="",0,SUMPRODUCT((CA4:CA795="Lait")*(CB4:CB795="SUSP")*(COUNTIF(AI135,"*"&amp;CC4:CC795&amp;"*")&gt;0)*1))</f>
        <v>0</v>
      </c>
      <c r="AZ135" s="6625" cm="1">
        <f t="array" ref="AZ135">IF(W135="",0,SUMPRODUCT((CA4:CA795="Fruits a coque")*(CB4:CB795="EXCL")*(COUNTIF(AI135,"*"&amp;CC4:CC795&amp;"*")&gt;0)*1))</f>
        <v>0</v>
      </c>
      <c r="BA135" s="6625" cm="1">
        <f t="array" ref="BA135">IF(W135="",0,SUMPRODUCT((CA4:CA795="Fruits a coque")*(CB4:CB795="ALERTE")*(COUNTIF(AI135,"*"&amp;CC4:CC795&amp;"*")&gt;0)*1))</f>
        <v>0</v>
      </c>
      <c r="BB135" s="6625" cm="1">
        <f t="array" ref="BB135">IF(W135="",0,SUMPRODUCT((CA4:CA795="Celeri")*(CB4:CB795="ALERTE")*(COUNTIF(AI135,"*"&amp;CC4:CC795&amp;"*")&gt;0)*1))</f>
        <v>0</v>
      </c>
      <c r="BC135" s="6625" cm="1">
        <f t="array" ref="BC135">IF(W135="",0,SUMPRODUCT((CA4:CA795="Moutarde")*(CB4:CB795="ALERTE")*(COUNTIF(AI135,"*"&amp;CC4:CC795&amp;"*")&gt;0)*1))</f>
        <v>0</v>
      </c>
      <c r="BD135" s="6625" cm="1">
        <f t="array" ref="BD135">IF(W135="",0,SUMPRODUCT((CA4:CA795="Sesame")*(CB4:CB795="ALERTE")*(COUNTIF(AI135,"*"&amp;CC4:CC795&amp;"*")&gt;0)*1))</f>
        <v>0</v>
      </c>
      <c r="BE135" s="6625" cm="1">
        <f t="array" ref="BE135">IF(W135="",0,SUMPRODUCT((CA4:CA795="Sulfites")*(CB4:CB795="ALERTE")*(COUNTIF(AI135,"*"&amp;CC4:CC795&amp;"*")&gt;0)*1))</f>
        <v>0</v>
      </c>
      <c r="BF135" s="6625" cm="1">
        <f t="array" ref="BF135">IF(W135="",0,SUMPRODUCT((CA4:CA795="Lupin")*(CB4:CB795="ALERTE")*(COUNTIF(AI135,"*"&amp;CC4:CC795&amp;"*")&gt;0)*1))</f>
        <v>0</v>
      </c>
      <c r="BG135" s="6625" cm="1">
        <f t="array" ref="BG135">IF(W135="",0,SUMPRODUCT((CA4:CA795="Mollusques")*(CB4:CB795="EXCL")*(COUNTIF(AI135,"*"&amp;CC4:CC795&amp;"*")&gt;0)*1))</f>
        <v>0</v>
      </c>
      <c r="BH135" s="6625" cm="1">
        <f t="array" ref="BH135">IF(W135="",0,SUMPRODUCT((CA4:CA795="Mollusques")*(CB4:CB795="ALERTE")*(COUNTIF(AI135,"*"&amp;CC4:CC795&amp;"*")&gt;0)*1))</f>
        <v>0</v>
      </c>
      <c r="BI135" s="6625" t="str">
        <f t="shared" si="68"/>
        <v/>
      </c>
      <c r="BJ135" s="6625" t="str">
        <f t="shared" si="69"/>
        <v/>
      </c>
      <c r="BK135" s="6625" t="str">
        <f t="shared" si="70"/>
        <v/>
      </c>
      <c r="BL135" s="6625" t="str">
        <f t="shared" si="71"/>
        <v/>
      </c>
      <c r="BM135" s="6625" t="str">
        <f t="shared" si="72"/>
        <v/>
      </c>
      <c r="BN135" s="6625" t="str">
        <f t="shared" si="73"/>
        <v/>
      </c>
      <c r="BO135" s="6625" t="str">
        <f t="shared" si="74"/>
        <v/>
      </c>
      <c r="BP135" s="6625" t="str">
        <f t="shared" si="75"/>
        <v/>
      </c>
      <c r="BQ135" s="6625" t="str">
        <f t="shared" si="76"/>
        <v/>
      </c>
      <c r="BR135" s="6625" t="str">
        <f t="shared" si="77"/>
        <v/>
      </c>
      <c r="BS135" s="6625" t="str">
        <f t="shared" si="78"/>
        <v/>
      </c>
      <c r="BT135" s="6625" t="str">
        <f t="shared" si="79"/>
        <v/>
      </c>
      <c r="BU135" s="6625" t="str">
        <f t="shared" si="80"/>
        <v/>
      </c>
      <c r="BV135" s="6625" t="str">
        <f t="shared" si="81"/>
        <v/>
      </c>
      <c r="BW135" s="6625" t="str">
        <f t="shared" si="82"/>
        <v/>
      </c>
      <c r="BX135" s="6625" t="str">
        <f t="shared" si="83"/>
        <v/>
      </c>
      <c r="CA135" s="3170" t="s">
        <v>16501</v>
      </c>
      <c r="CB135" s="7634" t="s">
        <v>16255</v>
      </c>
      <c r="CC135" s="3170" t="s">
        <v>16599</v>
      </c>
      <c r="CD135" s="3170" t="s">
        <v>16600</v>
      </c>
    </row>
    <row r="136" spans="2:82" ht="30" customHeight="1">
      <c r="B136" s="7661" t="str">
        <f t="shared" si="44"/>
        <v/>
      </c>
      <c r="C136" s="7661" t="str">
        <f t="shared" si="45"/>
        <v/>
      </c>
      <c r="D136" s="7661" t="str">
        <f t="shared" si="46"/>
        <v/>
      </c>
      <c r="E136" s="7661">
        <f>IF(H135&lt;&gt;"",E135,IF(E135="","",IFERROR(MATCH(TRUE(),INDEX(INDEX($K:$K,E135+1):$K$203&lt;&gt;"",0),0)+E135,"")))</f>
        <v>311</v>
      </c>
      <c r="F136" s="7661">
        <f t="shared" si="84"/>
        <v>0</v>
      </c>
      <c r="G136" s="7661" t="str">
        <f t="shared" si="47"/>
        <v>0</v>
      </c>
      <c r="H136" s="7672" t="str">
        <f t="shared" si="48"/>
        <v/>
      </c>
      <c r="I136" s="7683" t="str">
        <f t="shared" si="49"/>
        <v/>
      </c>
      <c r="J136" s="7673" t="str">
        <f>IF(K136="","",COUNTIF($K$18:K136,"&lt;&gt;"))</f>
        <v/>
      </c>
      <c r="K136" s="7674"/>
      <c r="L136" s="7673" t="str">
        <f t="shared" si="50"/>
        <v/>
      </c>
      <c r="M136" s="7630">
        <f t="shared" si="51"/>
        <v>1</v>
      </c>
      <c r="N136" s="7675">
        <f t="shared" si="52"/>
        <v>119</v>
      </c>
      <c r="O136" s="7676" t="str">
        <f t="shared" si="53"/>
        <v>0</v>
      </c>
      <c r="P136" s="7675">
        <f t="shared" si="54"/>
        <v>1</v>
      </c>
      <c r="Q136" s="7675">
        <f t="shared" si="55"/>
        <v>1</v>
      </c>
      <c r="S136" s="7679" t="str">
        <f t="shared" si="87"/>
        <v>0</v>
      </c>
      <c r="T136" s="7680" t="str">
        <f t="shared" si="87"/>
        <v/>
      </c>
      <c r="V136" s="7677">
        <f t="shared" si="56"/>
        <v>136</v>
      </c>
      <c r="W136" s="7678" t="str">
        <f t="shared" si="86"/>
        <v>0</v>
      </c>
      <c r="X136" s="7677" t="s">
        <v>2</v>
      </c>
      <c r="Y136" s="7702" t="str">
        <f t="shared" si="57"/>
        <v>0</v>
      </c>
      <c r="Z136" s="7703" t="str">
        <f t="shared" si="58"/>
        <v/>
      </c>
      <c r="AA136" s="7681" t="str">
        <f t="shared" si="59"/>
        <v>0</v>
      </c>
      <c r="AB136" s="7682" t="str">
        <f t="shared" si="60"/>
        <v/>
      </c>
      <c r="AC136" s="7677">
        <f t="shared" si="61"/>
        <v>0</v>
      </c>
      <c r="AD136" s="7677">
        <f t="shared" si="62"/>
        <v>0</v>
      </c>
      <c r="AE136" s="7682" t="str">
        <f t="shared" si="63"/>
        <v>aucun match</v>
      </c>
      <c r="AF136" s="6625" t="str">
        <f t="shared" si="64"/>
        <v>0</v>
      </c>
      <c r="AG136" s="6625" t="str">
        <f t="shared" si="65"/>
        <v>0</v>
      </c>
      <c r="AH136" s="6625" t="str">
        <f t="shared" si="66"/>
        <v>0</v>
      </c>
      <c r="AI136" s="6625" t="str">
        <f t="shared" si="67"/>
        <v xml:space="preserve"> 0 </v>
      </c>
      <c r="AJ136" s="6625" cm="1">
        <f t="array" ref="AJ136">IF(W136="",0,SUMPRODUCT((CA4:CA795="Gluten")*(CB4:CB795="INFO")*(COUNTIF(AI136,"*"&amp;CC4:CC795&amp;"*")&gt;0)*1))</f>
        <v>0</v>
      </c>
      <c r="AK136" s="6625" cm="1">
        <f t="array" ref="AK136">IF(W136="",0,SUMPRODUCT((CA4:CA795="Gluten")*(CB4:CB795="EXCL")*(COUNTIF(AI136,"*"&amp;CC4:CC795&amp;"*")&gt;0)*1))</f>
        <v>0</v>
      </c>
      <c r="AL136" s="6625" cm="1">
        <f t="array" ref="AL136">IF(W136="",0,SUMPRODUCT((CA4:CA795="Gluten")*(CB4:CB795="ALERTE")*(COUNTIF(AI136,"*"&amp;CC4:CC795&amp;"*")&gt;0)*1))</f>
        <v>0</v>
      </c>
      <c r="AM136" s="6625" cm="1">
        <f t="array" ref="AM136">IF(W136="",0,SUMPRODUCT((CA4:CA795="Gluten")*(CB4:CB795="SUSP")*(COUNTIF(AI136,"*"&amp;CC4:CC795&amp;"*")&gt;0)*1))</f>
        <v>0</v>
      </c>
      <c r="AN136" s="6625" cm="1">
        <f t="array" ref="AN136">IF(W136="",0,SUMPRODUCT((CA4:CA795="Crustaces")*(CB4:CB795="ALERTE")*(COUNTIF(AI136,"*"&amp;CC4:CC795&amp;"*")&gt;0)*1))</f>
        <v>0</v>
      </c>
      <c r="AO136" s="6625" cm="1">
        <f t="array" ref="AO136">IF(W136="",0,SUMPRODUCT((CA4:CA795="Oeufs")*(CB4:CB795="ALERTE")*(COUNTIF(AI136,"*"&amp;CC4:CC795&amp;"*")&gt;0)*1))</f>
        <v>0</v>
      </c>
      <c r="AP136" s="6625" cm="1">
        <f t="array" ref="AP136">IF(W136="",0,SUMPRODUCT((CA4:CA795="Poissons")*(CB4:CB795="INFO")*(COUNTIF(AI136,"*"&amp;CC4:CC795&amp;"*")&gt;0)*1))</f>
        <v>0</v>
      </c>
      <c r="AQ136" s="6625" cm="1">
        <f t="array" ref="AQ136">IF(W136="",0,SUMPRODUCT((CA4:CA795="Poissons")*(CB4:CB795="EXCL")*(COUNTIF(AI136,"*"&amp;CC4:CC795&amp;"*")&gt;0)*1))</f>
        <v>0</v>
      </c>
      <c r="AR136" s="6625" cm="1">
        <f t="array" ref="AR136">IF(W136="",0,SUMPRODUCT((CA4:CA795="Poissons")*(CB4:CB795="ALERTE")*(COUNTIF(AI136,"*"&amp;CC4:CC795&amp;"*")&gt;0)*1))</f>
        <v>0</v>
      </c>
      <c r="AS136" s="6625" cm="1">
        <f t="array" ref="AS136">IF(W136="",0,SUMPRODUCT((CA4:CA795="Arachides")*(CB4:CB795="ALERTE")*(COUNTIF(AI136,"*"&amp;CC4:CC795&amp;"*")&gt;0)*1))</f>
        <v>0</v>
      </c>
      <c r="AT136" s="6625" cm="1">
        <f t="array" ref="AT136">IF(W136="",0,SUMPRODUCT((CA4:CA795="Soja")*(CB4:CB795="INFO")*(COUNTIF(AI136,"*"&amp;CC4:CC795&amp;"*")&gt;0)*1))</f>
        <v>0</v>
      </c>
      <c r="AU136" s="6625" cm="1">
        <f t="array" ref="AU136">IF(W136="",0,SUMPRODUCT((CA4:CA795="Soja")*(CB4:CB795="ALERTE")*(COUNTIF(AI136,"*"&amp;CC4:CC795&amp;"*")&gt;0)*1))</f>
        <v>0</v>
      </c>
      <c r="AV136" s="6625" cm="1">
        <f t="array" ref="AV136">IF(W136="",0,SUMPRODUCT((CA4:CA795="Lait")*(CB4:CB795="INFO")*(COUNTIF(AI136,"*"&amp;CC4:CC795&amp;"*")&gt;0)*1))</f>
        <v>0</v>
      </c>
      <c r="AW136" s="6625" cm="1">
        <f t="array" ref="AW136">IF(W136="",0,SUMPRODUCT((CA4:CA795="Lait")*(CB4:CB795="EXCL")*(COUNTIF(AI136,"*"&amp;CC4:CC795&amp;"*")&gt;0)*1))</f>
        <v>0</v>
      </c>
      <c r="AX136" s="6625" cm="1">
        <f t="array" ref="AX136">IF(W136="",0,SUMPRODUCT((CA4:CA795="Lait")*(CB4:CB795="ALERTE")*(COUNTIF(AI136,"*"&amp;CC4:CC795&amp;"*")&gt;0)*1))</f>
        <v>0</v>
      </c>
      <c r="AY136" s="6625" cm="1">
        <f t="array" ref="AY136">IF(W136="",0,SUMPRODUCT((CA4:CA795="Lait")*(CB4:CB795="SUSP")*(COUNTIF(AI136,"*"&amp;CC4:CC795&amp;"*")&gt;0)*1))</f>
        <v>0</v>
      </c>
      <c r="AZ136" s="6625" cm="1">
        <f t="array" ref="AZ136">IF(W136="",0,SUMPRODUCT((CA4:CA795="Fruits a coque")*(CB4:CB795="EXCL")*(COUNTIF(AI136,"*"&amp;CC4:CC795&amp;"*")&gt;0)*1))</f>
        <v>0</v>
      </c>
      <c r="BA136" s="6625" cm="1">
        <f t="array" ref="BA136">IF(W136="",0,SUMPRODUCT((CA4:CA795="Fruits a coque")*(CB4:CB795="ALERTE")*(COUNTIF(AI136,"*"&amp;CC4:CC795&amp;"*")&gt;0)*1))</f>
        <v>0</v>
      </c>
      <c r="BB136" s="6625" cm="1">
        <f t="array" ref="BB136">IF(W136="",0,SUMPRODUCT((CA4:CA795="Celeri")*(CB4:CB795="ALERTE")*(COUNTIF(AI136,"*"&amp;CC4:CC795&amp;"*")&gt;0)*1))</f>
        <v>0</v>
      </c>
      <c r="BC136" s="6625" cm="1">
        <f t="array" ref="BC136">IF(W136="",0,SUMPRODUCT((CA4:CA795="Moutarde")*(CB4:CB795="ALERTE")*(COUNTIF(AI136,"*"&amp;CC4:CC795&amp;"*")&gt;0)*1))</f>
        <v>0</v>
      </c>
      <c r="BD136" s="6625" cm="1">
        <f t="array" ref="BD136">IF(W136="",0,SUMPRODUCT((CA4:CA795="Sesame")*(CB4:CB795="ALERTE")*(COUNTIF(AI136,"*"&amp;CC4:CC795&amp;"*")&gt;0)*1))</f>
        <v>0</v>
      </c>
      <c r="BE136" s="6625" cm="1">
        <f t="array" ref="BE136">IF(W136="",0,SUMPRODUCT((CA4:CA795="Sulfites")*(CB4:CB795="ALERTE")*(COUNTIF(AI136,"*"&amp;CC4:CC795&amp;"*")&gt;0)*1))</f>
        <v>0</v>
      </c>
      <c r="BF136" s="6625" cm="1">
        <f t="array" ref="BF136">IF(W136="",0,SUMPRODUCT((CA4:CA795="Lupin")*(CB4:CB795="ALERTE")*(COUNTIF(AI136,"*"&amp;CC4:CC795&amp;"*")&gt;0)*1))</f>
        <v>0</v>
      </c>
      <c r="BG136" s="6625" cm="1">
        <f t="array" ref="BG136">IF(W136="",0,SUMPRODUCT((CA4:CA795="Mollusques")*(CB4:CB795="EXCL")*(COUNTIF(AI136,"*"&amp;CC4:CC795&amp;"*")&gt;0)*1))</f>
        <v>0</v>
      </c>
      <c r="BH136" s="6625" cm="1">
        <f t="array" ref="BH136">IF(W136="",0,SUMPRODUCT((CA4:CA795="Mollusques")*(CB4:CB795="ALERTE")*(COUNTIF(AI136,"*"&amp;CC4:CC795&amp;"*")&gt;0)*1))</f>
        <v>0</v>
      </c>
      <c r="BI136" s="6625" t="str">
        <f t="shared" si="68"/>
        <v/>
      </c>
      <c r="BJ136" s="6625" t="str">
        <f t="shared" si="69"/>
        <v/>
      </c>
      <c r="BK136" s="6625" t="str">
        <f t="shared" si="70"/>
        <v/>
      </c>
      <c r="BL136" s="6625" t="str">
        <f t="shared" si="71"/>
        <v/>
      </c>
      <c r="BM136" s="6625" t="str">
        <f t="shared" si="72"/>
        <v/>
      </c>
      <c r="BN136" s="6625" t="str">
        <f t="shared" si="73"/>
        <v/>
      </c>
      <c r="BO136" s="6625" t="str">
        <f t="shared" si="74"/>
        <v/>
      </c>
      <c r="BP136" s="6625" t="str">
        <f t="shared" si="75"/>
        <v/>
      </c>
      <c r="BQ136" s="6625" t="str">
        <f t="shared" si="76"/>
        <v/>
      </c>
      <c r="BR136" s="6625" t="str">
        <f t="shared" si="77"/>
        <v/>
      </c>
      <c r="BS136" s="6625" t="str">
        <f t="shared" si="78"/>
        <v/>
      </c>
      <c r="BT136" s="6625" t="str">
        <f t="shared" si="79"/>
        <v/>
      </c>
      <c r="BU136" s="6625" t="str">
        <f t="shared" si="80"/>
        <v/>
      </c>
      <c r="BV136" s="6625" t="str">
        <f t="shared" si="81"/>
        <v/>
      </c>
      <c r="BW136" s="6625" t="str">
        <f t="shared" si="82"/>
        <v/>
      </c>
      <c r="BX136" s="6625" t="str">
        <f t="shared" si="83"/>
        <v/>
      </c>
      <c r="CA136" s="3170" t="s">
        <v>16501</v>
      </c>
      <c r="CB136" s="7634" t="s">
        <v>16255</v>
      </c>
      <c r="CC136" s="3170" t="s">
        <v>16601</v>
      </c>
      <c r="CD136" s="3170" t="s">
        <v>16602</v>
      </c>
    </row>
    <row r="137" spans="2:82" ht="30" customHeight="1">
      <c r="B137" s="7661" t="str">
        <f t="shared" si="44"/>
        <v/>
      </c>
      <c r="C137" s="7661" t="str">
        <f t="shared" si="45"/>
        <v/>
      </c>
      <c r="D137" s="7661" t="str">
        <f t="shared" si="46"/>
        <v/>
      </c>
      <c r="E137" s="7661">
        <f>IF(H136&lt;&gt;"",E136,IF(E136="","",IFERROR(MATCH(TRUE(),INDEX(INDEX($K:$K,E136+1):$K$203&lt;&gt;"",0),0)+E136,"")))</f>
        <v>312</v>
      </c>
      <c r="F137" s="7661">
        <f t="shared" si="84"/>
        <v>0</v>
      </c>
      <c r="G137" s="7661" t="str">
        <f t="shared" si="47"/>
        <v>0</v>
      </c>
      <c r="H137" s="7672" t="str">
        <f t="shared" si="48"/>
        <v/>
      </c>
      <c r="I137" s="7683" t="str">
        <f t="shared" si="49"/>
        <v/>
      </c>
      <c r="J137" s="7673" t="str">
        <f>IF(K137="","",COUNTIF($K$18:K137,"&lt;&gt;"))</f>
        <v/>
      </c>
      <c r="K137" s="7674"/>
      <c r="L137" s="7673" t="str">
        <f t="shared" si="50"/>
        <v/>
      </c>
      <c r="M137" s="7630">
        <f t="shared" si="51"/>
        <v>1</v>
      </c>
      <c r="N137" s="7675">
        <f t="shared" si="52"/>
        <v>120</v>
      </c>
      <c r="O137" s="7676" t="str">
        <f t="shared" si="53"/>
        <v>0</v>
      </c>
      <c r="P137" s="7675">
        <f t="shared" si="54"/>
        <v>1</v>
      </c>
      <c r="Q137" s="7675">
        <f t="shared" si="55"/>
        <v>1</v>
      </c>
      <c r="S137" s="7679" t="str">
        <f t="shared" si="87"/>
        <v>0</v>
      </c>
      <c r="T137" s="7680" t="str">
        <f t="shared" si="87"/>
        <v/>
      </c>
      <c r="V137" s="7677">
        <f t="shared" si="56"/>
        <v>137</v>
      </c>
      <c r="W137" s="7678" t="str">
        <f t="shared" si="86"/>
        <v>0</v>
      </c>
      <c r="X137" s="7677" t="s">
        <v>2</v>
      </c>
      <c r="Y137" s="7702" t="str">
        <f t="shared" si="57"/>
        <v>0</v>
      </c>
      <c r="Z137" s="7703" t="str">
        <f t="shared" si="58"/>
        <v/>
      </c>
      <c r="AA137" s="7681" t="str">
        <f t="shared" si="59"/>
        <v>0</v>
      </c>
      <c r="AB137" s="7682" t="str">
        <f t="shared" si="60"/>
        <v/>
      </c>
      <c r="AC137" s="7677">
        <f t="shared" si="61"/>
        <v>0</v>
      </c>
      <c r="AD137" s="7677">
        <f t="shared" si="62"/>
        <v>0</v>
      </c>
      <c r="AE137" s="7682" t="str">
        <f t="shared" si="63"/>
        <v>aucun match</v>
      </c>
      <c r="AF137" s="6625" t="str">
        <f t="shared" si="64"/>
        <v>0</v>
      </c>
      <c r="AG137" s="6625" t="str">
        <f t="shared" si="65"/>
        <v>0</v>
      </c>
      <c r="AH137" s="6625" t="str">
        <f t="shared" si="66"/>
        <v>0</v>
      </c>
      <c r="AI137" s="6625" t="str">
        <f t="shared" si="67"/>
        <v xml:space="preserve"> 0 </v>
      </c>
      <c r="AJ137" s="6625" cm="1">
        <f t="array" ref="AJ137">IF(W137="",0,SUMPRODUCT((CA4:CA795="Gluten")*(CB4:CB795="INFO")*(COUNTIF(AI137,"*"&amp;CC4:CC795&amp;"*")&gt;0)*1))</f>
        <v>0</v>
      </c>
      <c r="AK137" s="6625" cm="1">
        <f t="array" ref="AK137">IF(W137="",0,SUMPRODUCT((CA4:CA795="Gluten")*(CB4:CB795="EXCL")*(COUNTIF(AI137,"*"&amp;CC4:CC795&amp;"*")&gt;0)*1))</f>
        <v>0</v>
      </c>
      <c r="AL137" s="6625" cm="1">
        <f t="array" ref="AL137">IF(W137="",0,SUMPRODUCT((CA4:CA795="Gluten")*(CB4:CB795="ALERTE")*(COUNTIF(AI137,"*"&amp;CC4:CC795&amp;"*")&gt;0)*1))</f>
        <v>0</v>
      </c>
      <c r="AM137" s="6625" cm="1">
        <f t="array" ref="AM137">IF(W137="",0,SUMPRODUCT((CA4:CA795="Gluten")*(CB4:CB795="SUSP")*(COUNTIF(AI137,"*"&amp;CC4:CC795&amp;"*")&gt;0)*1))</f>
        <v>0</v>
      </c>
      <c r="AN137" s="6625" cm="1">
        <f t="array" ref="AN137">IF(W137="",0,SUMPRODUCT((CA4:CA795="Crustaces")*(CB4:CB795="ALERTE")*(COUNTIF(AI137,"*"&amp;CC4:CC795&amp;"*")&gt;0)*1))</f>
        <v>0</v>
      </c>
      <c r="AO137" s="6625" cm="1">
        <f t="array" ref="AO137">IF(W137="",0,SUMPRODUCT((CA4:CA795="Oeufs")*(CB4:CB795="ALERTE")*(COUNTIF(AI137,"*"&amp;CC4:CC795&amp;"*")&gt;0)*1))</f>
        <v>0</v>
      </c>
      <c r="AP137" s="6625" cm="1">
        <f t="array" ref="AP137">IF(W137="",0,SUMPRODUCT((CA4:CA795="Poissons")*(CB4:CB795="INFO")*(COUNTIF(AI137,"*"&amp;CC4:CC795&amp;"*")&gt;0)*1))</f>
        <v>0</v>
      </c>
      <c r="AQ137" s="6625" cm="1">
        <f t="array" ref="AQ137">IF(W137="",0,SUMPRODUCT((CA4:CA795="Poissons")*(CB4:CB795="EXCL")*(COUNTIF(AI137,"*"&amp;CC4:CC795&amp;"*")&gt;0)*1))</f>
        <v>0</v>
      </c>
      <c r="AR137" s="6625" cm="1">
        <f t="array" ref="AR137">IF(W137="",0,SUMPRODUCT((CA4:CA795="Poissons")*(CB4:CB795="ALERTE")*(COUNTIF(AI137,"*"&amp;CC4:CC795&amp;"*")&gt;0)*1))</f>
        <v>0</v>
      </c>
      <c r="AS137" s="6625" cm="1">
        <f t="array" ref="AS137">IF(W137="",0,SUMPRODUCT((CA4:CA795="Arachides")*(CB4:CB795="ALERTE")*(COUNTIF(AI137,"*"&amp;CC4:CC795&amp;"*")&gt;0)*1))</f>
        <v>0</v>
      </c>
      <c r="AT137" s="6625" cm="1">
        <f t="array" ref="AT137">IF(W137="",0,SUMPRODUCT((CA4:CA795="Soja")*(CB4:CB795="INFO")*(COUNTIF(AI137,"*"&amp;CC4:CC795&amp;"*")&gt;0)*1))</f>
        <v>0</v>
      </c>
      <c r="AU137" s="6625" cm="1">
        <f t="array" ref="AU137">IF(W137="",0,SUMPRODUCT((CA4:CA795="Soja")*(CB4:CB795="ALERTE")*(COUNTIF(AI137,"*"&amp;CC4:CC795&amp;"*")&gt;0)*1))</f>
        <v>0</v>
      </c>
      <c r="AV137" s="6625" cm="1">
        <f t="array" ref="AV137">IF(W137="",0,SUMPRODUCT((CA4:CA795="Lait")*(CB4:CB795="INFO")*(COUNTIF(AI137,"*"&amp;CC4:CC795&amp;"*")&gt;0)*1))</f>
        <v>0</v>
      </c>
      <c r="AW137" s="6625" cm="1">
        <f t="array" ref="AW137">IF(W137="",0,SUMPRODUCT((CA4:CA795="Lait")*(CB4:CB795="EXCL")*(COUNTIF(AI137,"*"&amp;CC4:CC795&amp;"*")&gt;0)*1))</f>
        <v>0</v>
      </c>
      <c r="AX137" s="6625" cm="1">
        <f t="array" ref="AX137">IF(W137="",0,SUMPRODUCT((CA4:CA795="Lait")*(CB4:CB795="ALERTE")*(COUNTIF(AI137,"*"&amp;CC4:CC795&amp;"*")&gt;0)*1))</f>
        <v>0</v>
      </c>
      <c r="AY137" s="6625" cm="1">
        <f t="array" ref="AY137">IF(W137="",0,SUMPRODUCT((CA4:CA795="Lait")*(CB4:CB795="SUSP")*(COUNTIF(AI137,"*"&amp;CC4:CC795&amp;"*")&gt;0)*1))</f>
        <v>0</v>
      </c>
      <c r="AZ137" s="6625" cm="1">
        <f t="array" ref="AZ137">IF(W137="",0,SUMPRODUCT((CA4:CA795="Fruits a coque")*(CB4:CB795="EXCL")*(COUNTIF(AI137,"*"&amp;CC4:CC795&amp;"*")&gt;0)*1))</f>
        <v>0</v>
      </c>
      <c r="BA137" s="6625" cm="1">
        <f t="array" ref="BA137">IF(W137="",0,SUMPRODUCT((CA4:CA795="Fruits a coque")*(CB4:CB795="ALERTE")*(COUNTIF(AI137,"*"&amp;CC4:CC795&amp;"*")&gt;0)*1))</f>
        <v>0</v>
      </c>
      <c r="BB137" s="6625" cm="1">
        <f t="array" ref="BB137">IF(W137="",0,SUMPRODUCT((CA4:CA795="Celeri")*(CB4:CB795="ALERTE")*(COUNTIF(AI137,"*"&amp;CC4:CC795&amp;"*")&gt;0)*1))</f>
        <v>0</v>
      </c>
      <c r="BC137" s="6625" cm="1">
        <f t="array" ref="BC137">IF(W137="",0,SUMPRODUCT((CA4:CA795="Moutarde")*(CB4:CB795="ALERTE")*(COUNTIF(AI137,"*"&amp;CC4:CC795&amp;"*")&gt;0)*1))</f>
        <v>0</v>
      </c>
      <c r="BD137" s="6625" cm="1">
        <f t="array" ref="BD137">IF(W137="",0,SUMPRODUCT((CA4:CA795="Sesame")*(CB4:CB795="ALERTE")*(COUNTIF(AI137,"*"&amp;CC4:CC795&amp;"*")&gt;0)*1))</f>
        <v>0</v>
      </c>
      <c r="BE137" s="6625" cm="1">
        <f t="array" ref="BE137">IF(W137="",0,SUMPRODUCT((CA4:CA795="Sulfites")*(CB4:CB795="ALERTE")*(COUNTIF(AI137,"*"&amp;CC4:CC795&amp;"*")&gt;0)*1))</f>
        <v>0</v>
      </c>
      <c r="BF137" s="6625" cm="1">
        <f t="array" ref="BF137">IF(W137="",0,SUMPRODUCT((CA4:CA795="Lupin")*(CB4:CB795="ALERTE")*(COUNTIF(AI137,"*"&amp;CC4:CC795&amp;"*")&gt;0)*1))</f>
        <v>0</v>
      </c>
      <c r="BG137" s="6625" cm="1">
        <f t="array" ref="BG137">IF(W137="",0,SUMPRODUCT((CA4:CA795="Mollusques")*(CB4:CB795="EXCL")*(COUNTIF(AI137,"*"&amp;CC4:CC795&amp;"*")&gt;0)*1))</f>
        <v>0</v>
      </c>
      <c r="BH137" s="6625" cm="1">
        <f t="array" ref="BH137">IF(W137="",0,SUMPRODUCT((CA4:CA795="Mollusques")*(CB4:CB795="ALERTE")*(COUNTIF(AI137,"*"&amp;CC4:CC795&amp;"*")&gt;0)*1))</f>
        <v>0</v>
      </c>
      <c r="BI137" s="6625" t="str">
        <f t="shared" si="68"/>
        <v/>
      </c>
      <c r="BJ137" s="6625" t="str">
        <f t="shared" si="69"/>
        <v/>
      </c>
      <c r="BK137" s="6625" t="str">
        <f t="shared" si="70"/>
        <v/>
      </c>
      <c r="BL137" s="6625" t="str">
        <f t="shared" si="71"/>
        <v/>
      </c>
      <c r="BM137" s="6625" t="str">
        <f t="shared" si="72"/>
        <v/>
      </c>
      <c r="BN137" s="6625" t="str">
        <f t="shared" si="73"/>
        <v/>
      </c>
      <c r="BO137" s="6625" t="str">
        <f t="shared" si="74"/>
        <v/>
      </c>
      <c r="BP137" s="6625" t="str">
        <f t="shared" si="75"/>
        <v/>
      </c>
      <c r="BQ137" s="6625" t="str">
        <f t="shared" si="76"/>
        <v/>
      </c>
      <c r="BR137" s="6625" t="str">
        <f t="shared" si="77"/>
        <v/>
      </c>
      <c r="BS137" s="6625" t="str">
        <f t="shared" si="78"/>
        <v/>
      </c>
      <c r="BT137" s="6625" t="str">
        <f t="shared" si="79"/>
        <v/>
      </c>
      <c r="BU137" s="6625" t="str">
        <f t="shared" si="80"/>
        <v/>
      </c>
      <c r="BV137" s="6625" t="str">
        <f t="shared" si="81"/>
        <v/>
      </c>
      <c r="BW137" s="6625" t="str">
        <f t="shared" si="82"/>
        <v/>
      </c>
      <c r="BX137" s="6625" t="str">
        <f t="shared" si="83"/>
        <v/>
      </c>
      <c r="CA137" s="3170" t="s">
        <v>16501</v>
      </c>
      <c r="CB137" s="7634" t="s">
        <v>16255</v>
      </c>
      <c r="CC137" s="3170" t="s">
        <v>16603</v>
      </c>
      <c r="CD137" s="3170" t="s">
        <v>16604</v>
      </c>
    </row>
    <row r="138" spans="2:82" ht="30" customHeight="1">
      <c r="B138" s="7661" t="str">
        <f t="shared" si="44"/>
        <v/>
      </c>
      <c r="C138" s="7661" t="str">
        <f t="shared" si="45"/>
        <v/>
      </c>
      <c r="D138" s="7661" t="str">
        <f t="shared" si="46"/>
        <v/>
      </c>
      <c r="E138" s="7661">
        <f>IF(H137&lt;&gt;"",E137,IF(E137="","",IFERROR(MATCH(TRUE(),INDEX(INDEX($K:$K,E137+1):$K$203&lt;&gt;"",0),0)+E137,"")))</f>
        <v>313</v>
      </c>
      <c r="F138" s="7661">
        <f t="shared" si="84"/>
        <v>0</v>
      </c>
      <c r="G138" s="7661" t="str">
        <f t="shared" si="47"/>
        <v>0</v>
      </c>
      <c r="H138" s="7672" t="str">
        <f t="shared" si="48"/>
        <v/>
      </c>
      <c r="I138" s="7683" t="str">
        <f t="shared" si="49"/>
        <v/>
      </c>
      <c r="J138" s="7673" t="str">
        <f>IF(K138="","",COUNTIF($K$18:K138,"&lt;&gt;"))</f>
        <v/>
      </c>
      <c r="K138" s="7674"/>
      <c r="L138" s="7673" t="str">
        <f t="shared" si="50"/>
        <v/>
      </c>
      <c r="M138" s="7630">
        <f t="shared" si="51"/>
        <v>1</v>
      </c>
      <c r="N138" s="7675">
        <f t="shared" si="52"/>
        <v>121</v>
      </c>
      <c r="O138" s="7676" t="str">
        <f t="shared" si="53"/>
        <v>0</v>
      </c>
      <c r="P138" s="7675">
        <f t="shared" si="54"/>
        <v>1</v>
      </c>
      <c r="Q138" s="7675">
        <f t="shared" si="55"/>
        <v>1</v>
      </c>
      <c r="S138" s="7679" t="str">
        <f t="shared" si="87"/>
        <v>0</v>
      </c>
      <c r="T138" s="7680" t="str">
        <f t="shared" si="87"/>
        <v/>
      </c>
      <c r="V138" s="7677">
        <f t="shared" si="56"/>
        <v>138</v>
      </c>
      <c r="W138" s="7678" t="str">
        <f t="shared" si="86"/>
        <v>0</v>
      </c>
      <c r="X138" s="7677" t="s">
        <v>2</v>
      </c>
      <c r="Y138" s="7702" t="str">
        <f t="shared" si="57"/>
        <v>0</v>
      </c>
      <c r="Z138" s="7703" t="str">
        <f t="shared" si="58"/>
        <v/>
      </c>
      <c r="AA138" s="7681" t="str">
        <f t="shared" si="59"/>
        <v>0</v>
      </c>
      <c r="AB138" s="7682" t="str">
        <f t="shared" si="60"/>
        <v/>
      </c>
      <c r="AC138" s="7677">
        <f t="shared" si="61"/>
        <v>0</v>
      </c>
      <c r="AD138" s="7677">
        <f t="shared" si="62"/>
        <v>0</v>
      </c>
      <c r="AE138" s="7682" t="str">
        <f t="shared" si="63"/>
        <v>aucun match</v>
      </c>
      <c r="AF138" s="6625" t="str">
        <f t="shared" si="64"/>
        <v>0</v>
      </c>
      <c r="AG138" s="6625" t="str">
        <f t="shared" si="65"/>
        <v>0</v>
      </c>
      <c r="AH138" s="6625" t="str">
        <f t="shared" si="66"/>
        <v>0</v>
      </c>
      <c r="AI138" s="6625" t="str">
        <f t="shared" si="67"/>
        <v xml:space="preserve"> 0 </v>
      </c>
      <c r="AJ138" s="6625" cm="1">
        <f t="array" ref="AJ138">IF(W138="",0,SUMPRODUCT((CA4:CA795="Gluten")*(CB4:CB795="INFO")*(COUNTIF(AI138,"*"&amp;CC4:CC795&amp;"*")&gt;0)*1))</f>
        <v>0</v>
      </c>
      <c r="AK138" s="6625" cm="1">
        <f t="array" ref="AK138">IF(W138="",0,SUMPRODUCT((CA4:CA795="Gluten")*(CB4:CB795="EXCL")*(COUNTIF(AI138,"*"&amp;CC4:CC795&amp;"*")&gt;0)*1))</f>
        <v>0</v>
      </c>
      <c r="AL138" s="6625" cm="1">
        <f t="array" ref="AL138">IF(W138="",0,SUMPRODUCT((CA4:CA795="Gluten")*(CB4:CB795="ALERTE")*(COUNTIF(AI138,"*"&amp;CC4:CC795&amp;"*")&gt;0)*1))</f>
        <v>0</v>
      </c>
      <c r="AM138" s="6625" cm="1">
        <f t="array" ref="AM138">IF(W138="",0,SUMPRODUCT((CA4:CA795="Gluten")*(CB4:CB795="SUSP")*(COUNTIF(AI138,"*"&amp;CC4:CC795&amp;"*")&gt;0)*1))</f>
        <v>0</v>
      </c>
      <c r="AN138" s="6625" cm="1">
        <f t="array" ref="AN138">IF(W138="",0,SUMPRODUCT((CA4:CA795="Crustaces")*(CB4:CB795="ALERTE")*(COUNTIF(AI138,"*"&amp;CC4:CC795&amp;"*")&gt;0)*1))</f>
        <v>0</v>
      </c>
      <c r="AO138" s="6625" cm="1">
        <f t="array" ref="AO138">IF(W138="",0,SUMPRODUCT((CA4:CA795="Oeufs")*(CB4:CB795="ALERTE")*(COUNTIF(AI138,"*"&amp;CC4:CC795&amp;"*")&gt;0)*1))</f>
        <v>0</v>
      </c>
      <c r="AP138" s="6625" cm="1">
        <f t="array" ref="AP138">IF(W138="",0,SUMPRODUCT((CA4:CA795="Poissons")*(CB4:CB795="INFO")*(COUNTIF(AI138,"*"&amp;CC4:CC795&amp;"*")&gt;0)*1))</f>
        <v>0</v>
      </c>
      <c r="AQ138" s="6625" cm="1">
        <f t="array" ref="AQ138">IF(W138="",0,SUMPRODUCT((CA4:CA795="Poissons")*(CB4:CB795="EXCL")*(COUNTIF(AI138,"*"&amp;CC4:CC795&amp;"*")&gt;0)*1))</f>
        <v>0</v>
      </c>
      <c r="AR138" s="6625" cm="1">
        <f t="array" ref="AR138">IF(W138="",0,SUMPRODUCT((CA4:CA795="Poissons")*(CB4:CB795="ALERTE")*(COUNTIF(AI138,"*"&amp;CC4:CC795&amp;"*")&gt;0)*1))</f>
        <v>0</v>
      </c>
      <c r="AS138" s="6625" cm="1">
        <f t="array" ref="AS138">IF(W138="",0,SUMPRODUCT((CA4:CA795="Arachides")*(CB4:CB795="ALERTE")*(COUNTIF(AI138,"*"&amp;CC4:CC795&amp;"*")&gt;0)*1))</f>
        <v>0</v>
      </c>
      <c r="AT138" s="6625" cm="1">
        <f t="array" ref="AT138">IF(W138="",0,SUMPRODUCT((CA4:CA795="Soja")*(CB4:CB795="INFO")*(COUNTIF(AI138,"*"&amp;CC4:CC795&amp;"*")&gt;0)*1))</f>
        <v>0</v>
      </c>
      <c r="AU138" s="6625" cm="1">
        <f t="array" ref="AU138">IF(W138="",0,SUMPRODUCT((CA4:CA795="Soja")*(CB4:CB795="ALERTE")*(COUNTIF(AI138,"*"&amp;CC4:CC795&amp;"*")&gt;0)*1))</f>
        <v>0</v>
      </c>
      <c r="AV138" s="6625" cm="1">
        <f t="array" ref="AV138">IF(W138="",0,SUMPRODUCT((CA4:CA795="Lait")*(CB4:CB795="INFO")*(COUNTIF(AI138,"*"&amp;CC4:CC795&amp;"*")&gt;0)*1))</f>
        <v>0</v>
      </c>
      <c r="AW138" s="6625" cm="1">
        <f t="array" ref="AW138">IF(W138="",0,SUMPRODUCT((CA4:CA795="Lait")*(CB4:CB795="EXCL")*(COUNTIF(AI138,"*"&amp;CC4:CC795&amp;"*")&gt;0)*1))</f>
        <v>0</v>
      </c>
      <c r="AX138" s="6625" cm="1">
        <f t="array" ref="AX138">IF(W138="",0,SUMPRODUCT((CA4:CA795="Lait")*(CB4:CB795="ALERTE")*(COUNTIF(AI138,"*"&amp;CC4:CC795&amp;"*")&gt;0)*1))</f>
        <v>0</v>
      </c>
      <c r="AY138" s="6625" cm="1">
        <f t="array" ref="AY138">IF(W138="",0,SUMPRODUCT((CA4:CA795="Lait")*(CB4:CB795="SUSP")*(COUNTIF(AI138,"*"&amp;CC4:CC795&amp;"*")&gt;0)*1))</f>
        <v>0</v>
      </c>
      <c r="AZ138" s="6625" cm="1">
        <f t="array" ref="AZ138">IF(W138="",0,SUMPRODUCT((CA4:CA795="Fruits a coque")*(CB4:CB795="EXCL")*(COUNTIF(AI138,"*"&amp;CC4:CC795&amp;"*")&gt;0)*1))</f>
        <v>0</v>
      </c>
      <c r="BA138" s="6625" cm="1">
        <f t="array" ref="BA138">IF(W138="",0,SUMPRODUCT((CA4:CA795="Fruits a coque")*(CB4:CB795="ALERTE")*(COUNTIF(AI138,"*"&amp;CC4:CC795&amp;"*")&gt;0)*1))</f>
        <v>0</v>
      </c>
      <c r="BB138" s="6625" cm="1">
        <f t="array" ref="BB138">IF(W138="",0,SUMPRODUCT((CA4:CA795="Celeri")*(CB4:CB795="ALERTE")*(COUNTIF(AI138,"*"&amp;CC4:CC795&amp;"*")&gt;0)*1))</f>
        <v>0</v>
      </c>
      <c r="BC138" s="6625" cm="1">
        <f t="array" ref="BC138">IF(W138="",0,SUMPRODUCT((CA4:CA795="Moutarde")*(CB4:CB795="ALERTE")*(COUNTIF(AI138,"*"&amp;CC4:CC795&amp;"*")&gt;0)*1))</f>
        <v>0</v>
      </c>
      <c r="BD138" s="6625" cm="1">
        <f t="array" ref="BD138">IF(W138="",0,SUMPRODUCT((CA4:CA795="Sesame")*(CB4:CB795="ALERTE")*(COUNTIF(AI138,"*"&amp;CC4:CC795&amp;"*")&gt;0)*1))</f>
        <v>0</v>
      </c>
      <c r="BE138" s="6625" cm="1">
        <f t="array" ref="BE138">IF(W138="",0,SUMPRODUCT((CA4:CA795="Sulfites")*(CB4:CB795="ALERTE")*(COUNTIF(AI138,"*"&amp;CC4:CC795&amp;"*")&gt;0)*1))</f>
        <v>0</v>
      </c>
      <c r="BF138" s="6625" cm="1">
        <f t="array" ref="BF138">IF(W138="",0,SUMPRODUCT((CA4:CA795="Lupin")*(CB4:CB795="ALERTE")*(COUNTIF(AI138,"*"&amp;CC4:CC795&amp;"*")&gt;0)*1))</f>
        <v>0</v>
      </c>
      <c r="BG138" s="6625" cm="1">
        <f t="array" ref="BG138">IF(W138="",0,SUMPRODUCT((CA4:CA795="Mollusques")*(CB4:CB795="EXCL")*(COUNTIF(AI138,"*"&amp;CC4:CC795&amp;"*")&gt;0)*1))</f>
        <v>0</v>
      </c>
      <c r="BH138" s="6625" cm="1">
        <f t="array" ref="BH138">IF(W138="",0,SUMPRODUCT((CA4:CA795="Mollusques")*(CB4:CB795="ALERTE")*(COUNTIF(AI138,"*"&amp;CC4:CC795&amp;"*")&gt;0)*1))</f>
        <v>0</v>
      </c>
      <c r="BI138" s="6625" t="str">
        <f t="shared" si="68"/>
        <v/>
      </c>
      <c r="BJ138" s="6625" t="str">
        <f t="shared" si="69"/>
        <v/>
      </c>
      <c r="BK138" s="6625" t="str">
        <f t="shared" si="70"/>
        <v/>
      </c>
      <c r="BL138" s="6625" t="str">
        <f t="shared" si="71"/>
        <v/>
      </c>
      <c r="BM138" s="6625" t="str">
        <f t="shared" si="72"/>
        <v/>
      </c>
      <c r="BN138" s="6625" t="str">
        <f t="shared" si="73"/>
        <v/>
      </c>
      <c r="BO138" s="6625" t="str">
        <f t="shared" si="74"/>
        <v/>
      </c>
      <c r="BP138" s="6625" t="str">
        <f t="shared" si="75"/>
        <v/>
      </c>
      <c r="BQ138" s="6625" t="str">
        <f t="shared" si="76"/>
        <v/>
      </c>
      <c r="BR138" s="6625" t="str">
        <f t="shared" si="77"/>
        <v/>
      </c>
      <c r="BS138" s="6625" t="str">
        <f t="shared" si="78"/>
        <v/>
      </c>
      <c r="BT138" s="6625" t="str">
        <f t="shared" si="79"/>
        <v/>
      </c>
      <c r="BU138" s="6625" t="str">
        <f t="shared" si="80"/>
        <v/>
      </c>
      <c r="BV138" s="6625" t="str">
        <f t="shared" si="81"/>
        <v/>
      </c>
      <c r="BW138" s="6625" t="str">
        <f t="shared" si="82"/>
        <v/>
      </c>
      <c r="BX138" s="6625" t="str">
        <f t="shared" si="83"/>
        <v/>
      </c>
      <c r="CA138" s="3170" t="s">
        <v>16501</v>
      </c>
      <c r="CB138" s="7634" t="s">
        <v>16255</v>
      </c>
      <c r="CC138" s="3170" t="s">
        <v>16605</v>
      </c>
      <c r="CD138" s="3170" t="s">
        <v>16606</v>
      </c>
    </row>
    <row r="139" spans="2:82" ht="30" customHeight="1">
      <c r="B139" s="7661" t="str">
        <f t="shared" si="44"/>
        <v/>
      </c>
      <c r="C139" s="7661" t="str">
        <f t="shared" si="45"/>
        <v/>
      </c>
      <c r="D139" s="7661" t="str">
        <f t="shared" si="46"/>
        <v/>
      </c>
      <c r="E139" s="7661">
        <f>IF(H138&lt;&gt;"",E138,IF(E138="","",IFERROR(MATCH(TRUE(),INDEX(INDEX($K:$K,E138+1):$K$203&lt;&gt;"",0),0)+E138,"")))</f>
        <v>314</v>
      </c>
      <c r="F139" s="7661">
        <f t="shared" si="84"/>
        <v>0</v>
      </c>
      <c r="G139" s="7661" t="str">
        <f t="shared" si="47"/>
        <v>0</v>
      </c>
      <c r="H139" s="7672" t="str">
        <f t="shared" si="48"/>
        <v/>
      </c>
      <c r="I139" s="7683" t="str">
        <f t="shared" si="49"/>
        <v/>
      </c>
      <c r="J139" s="7673" t="str">
        <f>IF(K139="","",COUNTIF($K$18:K139,"&lt;&gt;"))</f>
        <v/>
      </c>
      <c r="K139" s="7674"/>
      <c r="L139" s="7673" t="str">
        <f t="shared" si="50"/>
        <v/>
      </c>
      <c r="M139" s="7630">
        <f t="shared" si="51"/>
        <v>1</v>
      </c>
      <c r="N139" s="7675">
        <f t="shared" si="52"/>
        <v>122</v>
      </c>
      <c r="O139" s="7676" t="str">
        <f t="shared" si="53"/>
        <v>0</v>
      </c>
      <c r="P139" s="7675">
        <f t="shared" si="54"/>
        <v>1</v>
      </c>
      <c r="Q139" s="7675">
        <f t="shared" si="55"/>
        <v>1</v>
      </c>
      <c r="S139" s="7679" t="str">
        <f t="shared" si="87"/>
        <v>0</v>
      </c>
      <c r="T139" s="7680" t="str">
        <f t="shared" si="87"/>
        <v/>
      </c>
      <c r="V139" s="7677">
        <f t="shared" si="56"/>
        <v>139</v>
      </c>
      <c r="W139" s="7678" t="str">
        <f t="shared" si="86"/>
        <v>0</v>
      </c>
      <c r="X139" s="7677" t="s">
        <v>2</v>
      </c>
      <c r="Y139" s="7702" t="str">
        <f t="shared" si="57"/>
        <v>0</v>
      </c>
      <c r="Z139" s="7703" t="str">
        <f t="shared" si="58"/>
        <v/>
      </c>
      <c r="AA139" s="7681" t="str">
        <f t="shared" si="59"/>
        <v>0</v>
      </c>
      <c r="AB139" s="7682" t="str">
        <f t="shared" si="60"/>
        <v/>
      </c>
      <c r="AC139" s="7677">
        <f t="shared" si="61"/>
        <v>0</v>
      </c>
      <c r="AD139" s="7677">
        <f t="shared" si="62"/>
        <v>0</v>
      </c>
      <c r="AE139" s="7682" t="str">
        <f t="shared" si="63"/>
        <v>aucun match</v>
      </c>
      <c r="AF139" s="6625" t="str">
        <f t="shared" si="64"/>
        <v>0</v>
      </c>
      <c r="AG139" s="6625" t="str">
        <f t="shared" si="65"/>
        <v>0</v>
      </c>
      <c r="AH139" s="6625" t="str">
        <f t="shared" si="66"/>
        <v>0</v>
      </c>
      <c r="AI139" s="6625" t="str">
        <f t="shared" si="67"/>
        <v xml:space="preserve"> 0 </v>
      </c>
      <c r="AJ139" s="6625" cm="1">
        <f t="array" ref="AJ139">IF(W139="",0,SUMPRODUCT((CA4:CA795="Gluten")*(CB4:CB795="INFO")*(COUNTIF(AI139,"*"&amp;CC4:CC795&amp;"*")&gt;0)*1))</f>
        <v>0</v>
      </c>
      <c r="AK139" s="6625" cm="1">
        <f t="array" ref="AK139">IF(W139="",0,SUMPRODUCT((CA4:CA795="Gluten")*(CB4:CB795="EXCL")*(COUNTIF(AI139,"*"&amp;CC4:CC795&amp;"*")&gt;0)*1))</f>
        <v>0</v>
      </c>
      <c r="AL139" s="6625" cm="1">
        <f t="array" ref="AL139">IF(W139="",0,SUMPRODUCT((CA4:CA795="Gluten")*(CB4:CB795="ALERTE")*(COUNTIF(AI139,"*"&amp;CC4:CC795&amp;"*")&gt;0)*1))</f>
        <v>0</v>
      </c>
      <c r="AM139" s="6625" cm="1">
        <f t="array" ref="AM139">IF(W139="",0,SUMPRODUCT((CA4:CA795="Gluten")*(CB4:CB795="SUSP")*(COUNTIF(AI139,"*"&amp;CC4:CC795&amp;"*")&gt;0)*1))</f>
        <v>0</v>
      </c>
      <c r="AN139" s="6625" cm="1">
        <f t="array" ref="AN139">IF(W139="",0,SUMPRODUCT((CA4:CA795="Crustaces")*(CB4:CB795="ALERTE")*(COUNTIF(AI139,"*"&amp;CC4:CC795&amp;"*")&gt;0)*1))</f>
        <v>0</v>
      </c>
      <c r="AO139" s="6625" cm="1">
        <f t="array" ref="AO139">IF(W139="",0,SUMPRODUCT((CA4:CA795="Oeufs")*(CB4:CB795="ALERTE")*(COUNTIF(AI139,"*"&amp;CC4:CC795&amp;"*")&gt;0)*1))</f>
        <v>0</v>
      </c>
      <c r="AP139" s="6625" cm="1">
        <f t="array" ref="AP139">IF(W139="",0,SUMPRODUCT((CA4:CA795="Poissons")*(CB4:CB795="INFO")*(COUNTIF(AI139,"*"&amp;CC4:CC795&amp;"*")&gt;0)*1))</f>
        <v>0</v>
      </c>
      <c r="AQ139" s="6625" cm="1">
        <f t="array" ref="AQ139">IF(W139="",0,SUMPRODUCT((CA4:CA795="Poissons")*(CB4:CB795="EXCL")*(COUNTIF(AI139,"*"&amp;CC4:CC795&amp;"*")&gt;0)*1))</f>
        <v>0</v>
      </c>
      <c r="AR139" s="6625" cm="1">
        <f t="array" ref="AR139">IF(W139="",0,SUMPRODUCT((CA4:CA795="Poissons")*(CB4:CB795="ALERTE")*(COUNTIF(AI139,"*"&amp;CC4:CC795&amp;"*")&gt;0)*1))</f>
        <v>0</v>
      </c>
      <c r="AS139" s="6625" cm="1">
        <f t="array" ref="AS139">IF(W139="",0,SUMPRODUCT((CA4:CA795="Arachides")*(CB4:CB795="ALERTE")*(COUNTIF(AI139,"*"&amp;CC4:CC795&amp;"*")&gt;0)*1))</f>
        <v>0</v>
      </c>
      <c r="AT139" s="6625" cm="1">
        <f t="array" ref="AT139">IF(W139="",0,SUMPRODUCT((CA4:CA795="Soja")*(CB4:CB795="INFO")*(COUNTIF(AI139,"*"&amp;CC4:CC795&amp;"*")&gt;0)*1))</f>
        <v>0</v>
      </c>
      <c r="AU139" s="6625" cm="1">
        <f t="array" ref="AU139">IF(W139="",0,SUMPRODUCT((CA4:CA795="Soja")*(CB4:CB795="ALERTE")*(COUNTIF(AI139,"*"&amp;CC4:CC795&amp;"*")&gt;0)*1))</f>
        <v>0</v>
      </c>
      <c r="AV139" s="6625" cm="1">
        <f t="array" ref="AV139">IF(W139="",0,SUMPRODUCT((CA4:CA795="Lait")*(CB4:CB795="INFO")*(COUNTIF(AI139,"*"&amp;CC4:CC795&amp;"*")&gt;0)*1))</f>
        <v>0</v>
      </c>
      <c r="AW139" s="6625" cm="1">
        <f t="array" ref="AW139">IF(W139="",0,SUMPRODUCT((CA4:CA795="Lait")*(CB4:CB795="EXCL")*(COUNTIF(AI139,"*"&amp;CC4:CC795&amp;"*")&gt;0)*1))</f>
        <v>0</v>
      </c>
      <c r="AX139" s="6625" cm="1">
        <f t="array" ref="AX139">IF(W139="",0,SUMPRODUCT((CA4:CA795="Lait")*(CB4:CB795="ALERTE")*(COUNTIF(AI139,"*"&amp;CC4:CC795&amp;"*")&gt;0)*1))</f>
        <v>0</v>
      </c>
      <c r="AY139" s="6625" cm="1">
        <f t="array" ref="AY139">IF(W139="",0,SUMPRODUCT((CA4:CA795="Lait")*(CB4:CB795="SUSP")*(COUNTIF(AI139,"*"&amp;CC4:CC795&amp;"*")&gt;0)*1))</f>
        <v>0</v>
      </c>
      <c r="AZ139" s="6625" cm="1">
        <f t="array" ref="AZ139">IF(W139="",0,SUMPRODUCT((CA4:CA795="Fruits a coque")*(CB4:CB795="EXCL")*(COUNTIF(AI139,"*"&amp;CC4:CC795&amp;"*")&gt;0)*1))</f>
        <v>0</v>
      </c>
      <c r="BA139" s="6625" cm="1">
        <f t="array" ref="BA139">IF(W139="",0,SUMPRODUCT((CA4:CA795="Fruits a coque")*(CB4:CB795="ALERTE")*(COUNTIF(AI139,"*"&amp;CC4:CC795&amp;"*")&gt;0)*1))</f>
        <v>0</v>
      </c>
      <c r="BB139" s="6625" cm="1">
        <f t="array" ref="BB139">IF(W139="",0,SUMPRODUCT((CA4:CA795="Celeri")*(CB4:CB795="ALERTE")*(COUNTIF(AI139,"*"&amp;CC4:CC795&amp;"*")&gt;0)*1))</f>
        <v>0</v>
      </c>
      <c r="BC139" s="6625" cm="1">
        <f t="array" ref="BC139">IF(W139="",0,SUMPRODUCT((CA4:CA795="Moutarde")*(CB4:CB795="ALERTE")*(COUNTIF(AI139,"*"&amp;CC4:CC795&amp;"*")&gt;0)*1))</f>
        <v>0</v>
      </c>
      <c r="BD139" s="6625" cm="1">
        <f t="array" ref="BD139">IF(W139="",0,SUMPRODUCT((CA4:CA795="Sesame")*(CB4:CB795="ALERTE")*(COUNTIF(AI139,"*"&amp;CC4:CC795&amp;"*")&gt;0)*1))</f>
        <v>0</v>
      </c>
      <c r="BE139" s="6625" cm="1">
        <f t="array" ref="BE139">IF(W139="",0,SUMPRODUCT((CA4:CA795="Sulfites")*(CB4:CB795="ALERTE")*(COUNTIF(AI139,"*"&amp;CC4:CC795&amp;"*")&gt;0)*1))</f>
        <v>0</v>
      </c>
      <c r="BF139" s="6625" cm="1">
        <f t="array" ref="BF139">IF(W139="",0,SUMPRODUCT((CA4:CA795="Lupin")*(CB4:CB795="ALERTE")*(COUNTIF(AI139,"*"&amp;CC4:CC795&amp;"*")&gt;0)*1))</f>
        <v>0</v>
      </c>
      <c r="BG139" s="6625" cm="1">
        <f t="array" ref="BG139">IF(W139="",0,SUMPRODUCT((CA4:CA795="Mollusques")*(CB4:CB795="EXCL")*(COUNTIF(AI139,"*"&amp;CC4:CC795&amp;"*")&gt;0)*1))</f>
        <v>0</v>
      </c>
      <c r="BH139" s="6625" cm="1">
        <f t="array" ref="BH139">IF(W139="",0,SUMPRODUCT((CA4:CA795="Mollusques")*(CB4:CB795="ALERTE")*(COUNTIF(AI139,"*"&amp;CC4:CC795&amp;"*")&gt;0)*1))</f>
        <v>0</v>
      </c>
      <c r="BI139" s="6625" t="str">
        <f t="shared" si="68"/>
        <v/>
      </c>
      <c r="BJ139" s="6625" t="str">
        <f t="shared" si="69"/>
        <v/>
      </c>
      <c r="BK139" s="6625" t="str">
        <f t="shared" si="70"/>
        <v/>
      </c>
      <c r="BL139" s="6625" t="str">
        <f t="shared" si="71"/>
        <v/>
      </c>
      <c r="BM139" s="6625" t="str">
        <f t="shared" si="72"/>
        <v/>
      </c>
      <c r="BN139" s="6625" t="str">
        <f t="shared" si="73"/>
        <v/>
      </c>
      <c r="BO139" s="6625" t="str">
        <f t="shared" si="74"/>
        <v/>
      </c>
      <c r="BP139" s="6625" t="str">
        <f t="shared" si="75"/>
        <v/>
      </c>
      <c r="BQ139" s="6625" t="str">
        <f t="shared" si="76"/>
        <v/>
      </c>
      <c r="BR139" s="6625" t="str">
        <f t="shared" si="77"/>
        <v/>
      </c>
      <c r="BS139" s="6625" t="str">
        <f t="shared" si="78"/>
        <v/>
      </c>
      <c r="BT139" s="6625" t="str">
        <f t="shared" si="79"/>
        <v/>
      </c>
      <c r="BU139" s="6625" t="str">
        <f t="shared" si="80"/>
        <v/>
      </c>
      <c r="BV139" s="6625" t="str">
        <f t="shared" si="81"/>
        <v/>
      </c>
      <c r="BW139" s="6625" t="str">
        <f t="shared" si="82"/>
        <v/>
      </c>
      <c r="BX139" s="6625" t="str">
        <f t="shared" si="83"/>
        <v/>
      </c>
      <c r="CA139" s="3170" t="s">
        <v>16501</v>
      </c>
      <c r="CB139" s="7634" t="s">
        <v>16255</v>
      </c>
      <c r="CC139" s="3170" t="s">
        <v>16607</v>
      </c>
      <c r="CD139" s="3170" t="s">
        <v>16608</v>
      </c>
    </row>
    <row r="140" spans="2:82" ht="30" customHeight="1">
      <c r="B140" s="7661" t="str">
        <f t="shared" si="44"/>
        <v/>
      </c>
      <c r="C140" s="7661" t="str">
        <f t="shared" si="45"/>
        <v/>
      </c>
      <c r="D140" s="7661" t="str">
        <f t="shared" si="46"/>
        <v/>
      </c>
      <c r="E140" s="7661">
        <f>IF(H139&lt;&gt;"",E139,IF(E139="","",IFERROR(MATCH(TRUE(),INDEX(INDEX($K:$K,E139+1):$K$203&lt;&gt;"",0),0)+E139,"")))</f>
        <v>315</v>
      </c>
      <c r="F140" s="7661">
        <f t="shared" si="84"/>
        <v>0</v>
      </c>
      <c r="G140" s="7661" t="str">
        <f t="shared" si="47"/>
        <v>0</v>
      </c>
      <c r="H140" s="7672" t="str">
        <f t="shared" si="48"/>
        <v/>
      </c>
      <c r="I140" s="7683" t="str">
        <f t="shared" si="49"/>
        <v/>
      </c>
      <c r="J140" s="7673" t="str">
        <f>IF(K140="","",COUNTIF($K$18:K140,"&lt;&gt;"))</f>
        <v/>
      </c>
      <c r="K140" s="7674"/>
      <c r="L140" s="7673" t="str">
        <f t="shared" si="50"/>
        <v/>
      </c>
      <c r="M140" s="7630">
        <f t="shared" si="51"/>
        <v>1</v>
      </c>
      <c r="N140" s="7675">
        <f t="shared" si="52"/>
        <v>123</v>
      </c>
      <c r="O140" s="7676" t="str">
        <f t="shared" si="53"/>
        <v>0</v>
      </c>
      <c r="P140" s="7675">
        <f t="shared" si="54"/>
        <v>1</v>
      </c>
      <c r="Q140" s="7675">
        <f t="shared" si="55"/>
        <v>1</v>
      </c>
      <c r="S140" s="7679" t="str">
        <f t="shared" si="87"/>
        <v>0</v>
      </c>
      <c r="T140" s="7680" t="str">
        <f t="shared" si="87"/>
        <v/>
      </c>
      <c r="V140" s="7677">
        <f t="shared" si="56"/>
        <v>140</v>
      </c>
      <c r="W140" s="7678" t="str">
        <f t="shared" si="86"/>
        <v>0</v>
      </c>
      <c r="X140" s="7677" t="s">
        <v>2</v>
      </c>
      <c r="Y140" s="7702" t="str">
        <f t="shared" si="57"/>
        <v>0</v>
      </c>
      <c r="Z140" s="7703" t="str">
        <f t="shared" si="58"/>
        <v/>
      </c>
      <c r="AA140" s="7681" t="str">
        <f t="shared" si="59"/>
        <v>0</v>
      </c>
      <c r="AB140" s="7682" t="str">
        <f t="shared" si="60"/>
        <v/>
      </c>
      <c r="AC140" s="7677">
        <f t="shared" si="61"/>
        <v>0</v>
      </c>
      <c r="AD140" s="7677">
        <f t="shared" si="62"/>
        <v>0</v>
      </c>
      <c r="AE140" s="7682" t="str">
        <f t="shared" si="63"/>
        <v>aucun match</v>
      </c>
      <c r="AF140" s="6625" t="str">
        <f t="shared" si="64"/>
        <v>0</v>
      </c>
      <c r="AG140" s="6625" t="str">
        <f t="shared" si="65"/>
        <v>0</v>
      </c>
      <c r="AH140" s="6625" t="str">
        <f t="shared" si="66"/>
        <v>0</v>
      </c>
      <c r="AI140" s="6625" t="str">
        <f t="shared" si="67"/>
        <v xml:space="preserve"> 0 </v>
      </c>
      <c r="AJ140" s="6625" cm="1">
        <f t="array" ref="AJ140">IF(W140="",0,SUMPRODUCT((CA4:CA795="Gluten")*(CB4:CB795="INFO")*(COUNTIF(AI140,"*"&amp;CC4:CC795&amp;"*")&gt;0)*1))</f>
        <v>0</v>
      </c>
      <c r="AK140" s="6625" cm="1">
        <f t="array" ref="AK140">IF(W140="",0,SUMPRODUCT((CA4:CA795="Gluten")*(CB4:CB795="EXCL")*(COUNTIF(AI140,"*"&amp;CC4:CC795&amp;"*")&gt;0)*1))</f>
        <v>0</v>
      </c>
      <c r="AL140" s="6625" cm="1">
        <f t="array" ref="AL140">IF(W140="",0,SUMPRODUCT((CA4:CA795="Gluten")*(CB4:CB795="ALERTE")*(COUNTIF(AI140,"*"&amp;CC4:CC795&amp;"*")&gt;0)*1))</f>
        <v>0</v>
      </c>
      <c r="AM140" s="6625" cm="1">
        <f t="array" ref="AM140">IF(W140="",0,SUMPRODUCT((CA4:CA795="Gluten")*(CB4:CB795="SUSP")*(COUNTIF(AI140,"*"&amp;CC4:CC795&amp;"*")&gt;0)*1))</f>
        <v>0</v>
      </c>
      <c r="AN140" s="6625" cm="1">
        <f t="array" ref="AN140">IF(W140="",0,SUMPRODUCT((CA4:CA795="Crustaces")*(CB4:CB795="ALERTE")*(COUNTIF(AI140,"*"&amp;CC4:CC795&amp;"*")&gt;0)*1))</f>
        <v>0</v>
      </c>
      <c r="AO140" s="6625" cm="1">
        <f t="array" ref="AO140">IF(W140="",0,SUMPRODUCT((CA4:CA795="Oeufs")*(CB4:CB795="ALERTE")*(COUNTIF(AI140,"*"&amp;CC4:CC795&amp;"*")&gt;0)*1))</f>
        <v>0</v>
      </c>
      <c r="AP140" s="6625" cm="1">
        <f t="array" ref="AP140">IF(W140="",0,SUMPRODUCT((CA4:CA795="Poissons")*(CB4:CB795="INFO")*(COUNTIF(AI140,"*"&amp;CC4:CC795&amp;"*")&gt;0)*1))</f>
        <v>0</v>
      </c>
      <c r="AQ140" s="6625" cm="1">
        <f t="array" ref="AQ140">IF(W140="",0,SUMPRODUCT((CA4:CA795="Poissons")*(CB4:CB795="EXCL")*(COUNTIF(AI140,"*"&amp;CC4:CC795&amp;"*")&gt;0)*1))</f>
        <v>0</v>
      </c>
      <c r="AR140" s="6625" cm="1">
        <f t="array" ref="AR140">IF(W140="",0,SUMPRODUCT((CA4:CA795="Poissons")*(CB4:CB795="ALERTE")*(COUNTIF(AI140,"*"&amp;CC4:CC795&amp;"*")&gt;0)*1))</f>
        <v>0</v>
      </c>
      <c r="AS140" s="6625" cm="1">
        <f t="array" ref="AS140">IF(W140="",0,SUMPRODUCT((CA4:CA795="Arachides")*(CB4:CB795="ALERTE")*(COUNTIF(AI140,"*"&amp;CC4:CC795&amp;"*")&gt;0)*1))</f>
        <v>0</v>
      </c>
      <c r="AT140" s="6625" cm="1">
        <f t="array" ref="AT140">IF(W140="",0,SUMPRODUCT((CA4:CA795="Soja")*(CB4:CB795="INFO")*(COUNTIF(AI140,"*"&amp;CC4:CC795&amp;"*")&gt;0)*1))</f>
        <v>0</v>
      </c>
      <c r="AU140" s="6625" cm="1">
        <f t="array" ref="AU140">IF(W140="",0,SUMPRODUCT((CA4:CA795="Soja")*(CB4:CB795="ALERTE")*(COUNTIF(AI140,"*"&amp;CC4:CC795&amp;"*")&gt;0)*1))</f>
        <v>0</v>
      </c>
      <c r="AV140" s="6625" cm="1">
        <f t="array" ref="AV140">IF(W140="",0,SUMPRODUCT((CA4:CA795="Lait")*(CB4:CB795="INFO")*(COUNTIF(AI140,"*"&amp;CC4:CC795&amp;"*")&gt;0)*1))</f>
        <v>0</v>
      </c>
      <c r="AW140" s="6625" cm="1">
        <f t="array" ref="AW140">IF(W140="",0,SUMPRODUCT((CA4:CA795="Lait")*(CB4:CB795="EXCL")*(COUNTIF(AI140,"*"&amp;CC4:CC795&amp;"*")&gt;0)*1))</f>
        <v>0</v>
      </c>
      <c r="AX140" s="6625" cm="1">
        <f t="array" ref="AX140">IF(W140="",0,SUMPRODUCT((CA4:CA795="Lait")*(CB4:CB795="ALERTE")*(COUNTIF(AI140,"*"&amp;CC4:CC795&amp;"*")&gt;0)*1))</f>
        <v>0</v>
      </c>
      <c r="AY140" s="6625" cm="1">
        <f t="array" ref="AY140">IF(W140="",0,SUMPRODUCT((CA4:CA795="Lait")*(CB4:CB795="SUSP")*(COUNTIF(AI140,"*"&amp;CC4:CC795&amp;"*")&gt;0)*1))</f>
        <v>0</v>
      </c>
      <c r="AZ140" s="6625" cm="1">
        <f t="array" ref="AZ140">IF(W140="",0,SUMPRODUCT((CA4:CA795="Fruits a coque")*(CB4:CB795="EXCL")*(COUNTIF(AI140,"*"&amp;CC4:CC795&amp;"*")&gt;0)*1))</f>
        <v>0</v>
      </c>
      <c r="BA140" s="6625" cm="1">
        <f t="array" ref="BA140">IF(W140="",0,SUMPRODUCT((CA4:CA795="Fruits a coque")*(CB4:CB795="ALERTE")*(COUNTIF(AI140,"*"&amp;CC4:CC795&amp;"*")&gt;0)*1))</f>
        <v>0</v>
      </c>
      <c r="BB140" s="6625" cm="1">
        <f t="array" ref="BB140">IF(W140="",0,SUMPRODUCT((CA4:CA795="Celeri")*(CB4:CB795="ALERTE")*(COUNTIF(AI140,"*"&amp;CC4:CC795&amp;"*")&gt;0)*1))</f>
        <v>0</v>
      </c>
      <c r="BC140" s="6625" cm="1">
        <f t="array" ref="BC140">IF(W140="",0,SUMPRODUCT((CA4:CA795="Moutarde")*(CB4:CB795="ALERTE")*(COUNTIF(AI140,"*"&amp;CC4:CC795&amp;"*")&gt;0)*1))</f>
        <v>0</v>
      </c>
      <c r="BD140" s="6625" cm="1">
        <f t="array" ref="BD140">IF(W140="",0,SUMPRODUCT((CA4:CA795="Sesame")*(CB4:CB795="ALERTE")*(COUNTIF(AI140,"*"&amp;CC4:CC795&amp;"*")&gt;0)*1))</f>
        <v>0</v>
      </c>
      <c r="BE140" s="6625" cm="1">
        <f t="array" ref="BE140">IF(W140="",0,SUMPRODUCT((CA4:CA795="Sulfites")*(CB4:CB795="ALERTE")*(COUNTIF(AI140,"*"&amp;CC4:CC795&amp;"*")&gt;0)*1))</f>
        <v>0</v>
      </c>
      <c r="BF140" s="6625" cm="1">
        <f t="array" ref="BF140">IF(W140="",0,SUMPRODUCT((CA4:CA795="Lupin")*(CB4:CB795="ALERTE")*(COUNTIF(AI140,"*"&amp;CC4:CC795&amp;"*")&gt;0)*1))</f>
        <v>0</v>
      </c>
      <c r="BG140" s="6625" cm="1">
        <f t="array" ref="BG140">IF(W140="",0,SUMPRODUCT((CA4:CA795="Mollusques")*(CB4:CB795="EXCL")*(COUNTIF(AI140,"*"&amp;CC4:CC795&amp;"*")&gt;0)*1))</f>
        <v>0</v>
      </c>
      <c r="BH140" s="6625" cm="1">
        <f t="array" ref="BH140">IF(W140="",0,SUMPRODUCT((CA4:CA795="Mollusques")*(CB4:CB795="ALERTE")*(COUNTIF(AI140,"*"&amp;CC4:CC795&amp;"*")&gt;0)*1))</f>
        <v>0</v>
      </c>
      <c r="BI140" s="6625" t="str">
        <f t="shared" si="68"/>
        <v/>
      </c>
      <c r="BJ140" s="6625" t="str">
        <f t="shared" si="69"/>
        <v/>
      </c>
      <c r="BK140" s="6625" t="str">
        <f t="shared" si="70"/>
        <v/>
      </c>
      <c r="BL140" s="6625" t="str">
        <f t="shared" si="71"/>
        <v/>
      </c>
      <c r="BM140" s="6625" t="str">
        <f t="shared" si="72"/>
        <v/>
      </c>
      <c r="BN140" s="6625" t="str">
        <f t="shared" si="73"/>
        <v/>
      </c>
      <c r="BO140" s="6625" t="str">
        <f t="shared" si="74"/>
        <v/>
      </c>
      <c r="BP140" s="6625" t="str">
        <f t="shared" si="75"/>
        <v/>
      </c>
      <c r="BQ140" s="6625" t="str">
        <f t="shared" si="76"/>
        <v/>
      </c>
      <c r="BR140" s="6625" t="str">
        <f t="shared" si="77"/>
        <v/>
      </c>
      <c r="BS140" s="6625" t="str">
        <f t="shared" si="78"/>
        <v/>
      </c>
      <c r="BT140" s="6625" t="str">
        <f t="shared" si="79"/>
        <v/>
      </c>
      <c r="BU140" s="6625" t="str">
        <f t="shared" si="80"/>
        <v/>
      </c>
      <c r="BV140" s="6625" t="str">
        <f t="shared" si="81"/>
        <v/>
      </c>
      <c r="BW140" s="6625" t="str">
        <f t="shared" si="82"/>
        <v/>
      </c>
      <c r="BX140" s="6625" t="str">
        <f t="shared" si="83"/>
        <v/>
      </c>
      <c r="CA140" s="3170" t="s">
        <v>16501</v>
      </c>
      <c r="CB140" s="7634" t="s">
        <v>16255</v>
      </c>
      <c r="CC140" s="3170" t="s">
        <v>16609</v>
      </c>
      <c r="CD140" s="3170" t="s">
        <v>16610</v>
      </c>
    </row>
    <row r="141" spans="2:82" ht="30" customHeight="1">
      <c r="B141" s="7661" t="str">
        <f t="shared" si="44"/>
        <v/>
      </c>
      <c r="C141" s="7661" t="str">
        <f t="shared" si="45"/>
        <v/>
      </c>
      <c r="D141" s="7661" t="str">
        <f t="shared" si="46"/>
        <v/>
      </c>
      <c r="E141" s="7661">
        <f>IF(H140&lt;&gt;"",E140,IF(E140="","",IFERROR(MATCH(TRUE(),INDEX(INDEX($K:$K,E140+1):$K$203&lt;&gt;"",0),0)+E140,"")))</f>
        <v>316</v>
      </c>
      <c r="F141" s="7661">
        <f t="shared" si="84"/>
        <v>0</v>
      </c>
      <c r="G141" s="7661" t="str">
        <f t="shared" si="47"/>
        <v>0</v>
      </c>
      <c r="H141" s="7672" t="str">
        <f t="shared" si="48"/>
        <v/>
      </c>
      <c r="I141" s="7683" t="str">
        <f t="shared" si="49"/>
        <v/>
      </c>
      <c r="J141" s="7673" t="str">
        <f>IF(K141="","",COUNTIF($K$18:K141,"&lt;&gt;"))</f>
        <v/>
      </c>
      <c r="K141" s="7674"/>
      <c r="L141" s="7673" t="str">
        <f t="shared" si="50"/>
        <v/>
      </c>
      <c r="M141" s="7630">
        <f t="shared" si="51"/>
        <v>1</v>
      </c>
      <c r="N141" s="7675">
        <f t="shared" si="52"/>
        <v>124</v>
      </c>
      <c r="O141" s="7676" t="str">
        <f t="shared" si="53"/>
        <v>0</v>
      </c>
      <c r="P141" s="7675">
        <f t="shared" si="54"/>
        <v>1</v>
      </c>
      <c r="Q141" s="7675">
        <f t="shared" si="55"/>
        <v>1</v>
      </c>
      <c r="S141" s="7679" t="str">
        <f t="shared" si="87"/>
        <v>0</v>
      </c>
      <c r="T141" s="7680" t="str">
        <f t="shared" si="87"/>
        <v/>
      </c>
      <c r="V141" s="7677">
        <f t="shared" si="56"/>
        <v>141</v>
      </c>
      <c r="W141" s="7678" t="str">
        <f t="shared" si="86"/>
        <v>0</v>
      </c>
      <c r="X141" s="7677" t="s">
        <v>2</v>
      </c>
      <c r="Y141" s="7702" t="str">
        <f t="shared" si="57"/>
        <v>0</v>
      </c>
      <c r="Z141" s="7703" t="str">
        <f t="shared" si="58"/>
        <v/>
      </c>
      <c r="AA141" s="7681" t="str">
        <f t="shared" si="59"/>
        <v>0</v>
      </c>
      <c r="AB141" s="7682" t="str">
        <f t="shared" si="60"/>
        <v/>
      </c>
      <c r="AC141" s="7677">
        <f t="shared" si="61"/>
        <v>0</v>
      </c>
      <c r="AD141" s="7677">
        <f t="shared" si="62"/>
        <v>0</v>
      </c>
      <c r="AE141" s="7682" t="str">
        <f t="shared" si="63"/>
        <v>aucun match</v>
      </c>
      <c r="AF141" s="6625" t="str">
        <f t="shared" si="64"/>
        <v>0</v>
      </c>
      <c r="AG141" s="6625" t="str">
        <f t="shared" si="65"/>
        <v>0</v>
      </c>
      <c r="AH141" s="6625" t="str">
        <f t="shared" si="66"/>
        <v>0</v>
      </c>
      <c r="AI141" s="6625" t="str">
        <f t="shared" si="67"/>
        <v xml:space="preserve"> 0 </v>
      </c>
      <c r="AJ141" s="6625" cm="1">
        <f t="array" ref="AJ141">IF(W141="",0,SUMPRODUCT((CA4:CA795="Gluten")*(CB4:CB795="INFO")*(COUNTIF(AI141,"*"&amp;CC4:CC795&amp;"*")&gt;0)*1))</f>
        <v>0</v>
      </c>
      <c r="AK141" s="6625" cm="1">
        <f t="array" ref="AK141">IF(W141="",0,SUMPRODUCT((CA4:CA795="Gluten")*(CB4:CB795="EXCL")*(COUNTIF(AI141,"*"&amp;CC4:CC795&amp;"*")&gt;0)*1))</f>
        <v>0</v>
      </c>
      <c r="AL141" s="6625" cm="1">
        <f t="array" ref="AL141">IF(W141="",0,SUMPRODUCT((CA4:CA795="Gluten")*(CB4:CB795="ALERTE")*(COUNTIF(AI141,"*"&amp;CC4:CC795&amp;"*")&gt;0)*1))</f>
        <v>0</v>
      </c>
      <c r="AM141" s="6625" cm="1">
        <f t="array" ref="AM141">IF(W141="",0,SUMPRODUCT((CA4:CA795="Gluten")*(CB4:CB795="SUSP")*(COUNTIF(AI141,"*"&amp;CC4:CC795&amp;"*")&gt;0)*1))</f>
        <v>0</v>
      </c>
      <c r="AN141" s="6625" cm="1">
        <f t="array" ref="AN141">IF(W141="",0,SUMPRODUCT((CA4:CA795="Crustaces")*(CB4:CB795="ALERTE")*(COUNTIF(AI141,"*"&amp;CC4:CC795&amp;"*")&gt;0)*1))</f>
        <v>0</v>
      </c>
      <c r="AO141" s="6625" cm="1">
        <f t="array" ref="AO141">IF(W141="",0,SUMPRODUCT((CA4:CA795="Oeufs")*(CB4:CB795="ALERTE")*(COUNTIF(AI141,"*"&amp;CC4:CC795&amp;"*")&gt;0)*1))</f>
        <v>0</v>
      </c>
      <c r="AP141" s="6625" cm="1">
        <f t="array" ref="AP141">IF(W141="",0,SUMPRODUCT((CA4:CA795="Poissons")*(CB4:CB795="INFO")*(COUNTIF(AI141,"*"&amp;CC4:CC795&amp;"*")&gt;0)*1))</f>
        <v>0</v>
      </c>
      <c r="AQ141" s="6625" cm="1">
        <f t="array" ref="AQ141">IF(W141="",0,SUMPRODUCT((CA4:CA795="Poissons")*(CB4:CB795="EXCL")*(COUNTIF(AI141,"*"&amp;CC4:CC795&amp;"*")&gt;0)*1))</f>
        <v>0</v>
      </c>
      <c r="AR141" s="6625" cm="1">
        <f t="array" ref="AR141">IF(W141="",0,SUMPRODUCT((CA4:CA795="Poissons")*(CB4:CB795="ALERTE")*(COUNTIF(AI141,"*"&amp;CC4:CC795&amp;"*")&gt;0)*1))</f>
        <v>0</v>
      </c>
      <c r="AS141" s="6625" cm="1">
        <f t="array" ref="AS141">IF(W141="",0,SUMPRODUCT((CA4:CA795="Arachides")*(CB4:CB795="ALERTE")*(COUNTIF(AI141,"*"&amp;CC4:CC795&amp;"*")&gt;0)*1))</f>
        <v>0</v>
      </c>
      <c r="AT141" s="6625" cm="1">
        <f t="array" ref="AT141">IF(W141="",0,SUMPRODUCT((CA4:CA795="Soja")*(CB4:CB795="INFO")*(COUNTIF(AI141,"*"&amp;CC4:CC795&amp;"*")&gt;0)*1))</f>
        <v>0</v>
      </c>
      <c r="AU141" s="6625" cm="1">
        <f t="array" ref="AU141">IF(W141="",0,SUMPRODUCT((CA4:CA795="Soja")*(CB4:CB795="ALERTE")*(COUNTIF(AI141,"*"&amp;CC4:CC795&amp;"*")&gt;0)*1))</f>
        <v>0</v>
      </c>
      <c r="AV141" s="6625" cm="1">
        <f t="array" ref="AV141">IF(W141="",0,SUMPRODUCT((CA4:CA795="Lait")*(CB4:CB795="INFO")*(COUNTIF(AI141,"*"&amp;CC4:CC795&amp;"*")&gt;0)*1))</f>
        <v>0</v>
      </c>
      <c r="AW141" s="6625" cm="1">
        <f t="array" ref="AW141">IF(W141="",0,SUMPRODUCT((CA4:CA795="Lait")*(CB4:CB795="EXCL")*(COUNTIF(AI141,"*"&amp;CC4:CC795&amp;"*")&gt;0)*1))</f>
        <v>0</v>
      </c>
      <c r="AX141" s="6625" cm="1">
        <f t="array" ref="AX141">IF(W141="",0,SUMPRODUCT((CA4:CA795="Lait")*(CB4:CB795="ALERTE")*(COUNTIF(AI141,"*"&amp;CC4:CC795&amp;"*")&gt;0)*1))</f>
        <v>0</v>
      </c>
      <c r="AY141" s="6625" cm="1">
        <f t="array" ref="AY141">IF(W141="",0,SUMPRODUCT((CA4:CA795="Lait")*(CB4:CB795="SUSP")*(COUNTIF(AI141,"*"&amp;CC4:CC795&amp;"*")&gt;0)*1))</f>
        <v>0</v>
      </c>
      <c r="AZ141" s="6625" cm="1">
        <f t="array" ref="AZ141">IF(W141="",0,SUMPRODUCT((CA4:CA795="Fruits a coque")*(CB4:CB795="EXCL")*(COUNTIF(AI141,"*"&amp;CC4:CC795&amp;"*")&gt;0)*1))</f>
        <v>0</v>
      </c>
      <c r="BA141" s="6625" cm="1">
        <f t="array" ref="BA141">IF(W141="",0,SUMPRODUCT((CA4:CA795="Fruits a coque")*(CB4:CB795="ALERTE")*(COUNTIF(AI141,"*"&amp;CC4:CC795&amp;"*")&gt;0)*1))</f>
        <v>0</v>
      </c>
      <c r="BB141" s="6625" cm="1">
        <f t="array" ref="BB141">IF(W141="",0,SUMPRODUCT((CA4:CA795="Celeri")*(CB4:CB795="ALERTE")*(COUNTIF(AI141,"*"&amp;CC4:CC795&amp;"*")&gt;0)*1))</f>
        <v>0</v>
      </c>
      <c r="BC141" s="6625" cm="1">
        <f t="array" ref="BC141">IF(W141="",0,SUMPRODUCT((CA4:CA795="Moutarde")*(CB4:CB795="ALERTE")*(COUNTIF(AI141,"*"&amp;CC4:CC795&amp;"*")&gt;0)*1))</f>
        <v>0</v>
      </c>
      <c r="BD141" s="6625" cm="1">
        <f t="array" ref="BD141">IF(W141="",0,SUMPRODUCT((CA4:CA795="Sesame")*(CB4:CB795="ALERTE")*(COUNTIF(AI141,"*"&amp;CC4:CC795&amp;"*")&gt;0)*1))</f>
        <v>0</v>
      </c>
      <c r="BE141" s="6625" cm="1">
        <f t="array" ref="BE141">IF(W141="",0,SUMPRODUCT((CA4:CA795="Sulfites")*(CB4:CB795="ALERTE")*(COUNTIF(AI141,"*"&amp;CC4:CC795&amp;"*")&gt;0)*1))</f>
        <v>0</v>
      </c>
      <c r="BF141" s="6625" cm="1">
        <f t="array" ref="BF141">IF(W141="",0,SUMPRODUCT((CA4:CA795="Lupin")*(CB4:CB795="ALERTE")*(COUNTIF(AI141,"*"&amp;CC4:CC795&amp;"*")&gt;0)*1))</f>
        <v>0</v>
      </c>
      <c r="BG141" s="6625" cm="1">
        <f t="array" ref="BG141">IF(W141="",0,SUMPRODUCT((CA4:CA795="Mollusques")*(CB4:CB795="EXCL")*(COUNTIF(AI141,"*"&amp;CC4:CC795&amp;"*")&gt;0)*1))</f>
        <v>0</v>
      </c>
      <c r="BH141" s="6625" cm="1">
        <f t="array" ref="BH141">IF(W141="",0,SUMPRODUCT((CA4:CA795="Mollusques")*(CB4:CB795="ALERTE")*(COUNTIF(AI141,"*"&amp;CC4:CC795&amp;"*")&gt;0)*1))</f>
        <v>0</v>
      </c>
      <c r="BI141" s="6625" t="str">
        <f t="shared" si="68"/>
        <v/>
      </c>
      <c r="BJ141" s="6625" t="str">
        <f t="shared" si="69"/>
        <v/>
      </c>
      <c r="BK141" s="6625" t="str">
        <f t="shared" si="70"/>
        <v/>
      </c>
      <c r="BL141" s="6625" t="str">
        <f t="shared" si="71"/>
        <v/>
      </c>
      <c r="BM141" s="6625" t="str">
        <f t="shared" si="72"/>
        <v/>
      </c>
      <c r="BN141" s="6625" t="str">
        <f t="shared" si="73"/>
        <v/>
      </c>
      <c r="BO141" s="6625" t="str">
        <f t="shared" si="74"/>
        <v/>
      </c>
      <c r="BP141" s="6625" t="str">
        <f t="shared" si="75"/>
        <v/>
      </c>
      <c r="BQ141" s="6625" t="str">
        <f t="shared" si="76"/>
        <v/>
      </c>
      <c r="BR141" s="6625" t="str">
        <f t="shared" si="77"/>
        <v/>
      </c>
      <c r="BS141" s="6625" t="str">
        <f t="shared" si="78"/>
        <v/>
      </c>
      <c r="BT141" s="6625" t="str">
        <f t="shared" si="79"/>
        <v/>
      </c>
      <c r="BU141" s="6625" t="str">
        <f t="shared" si="80"/>
        <v/>
      </c>
      <c r="BV141" s="6625" t="str">
        <f t="shared" si="81"/>
        <v/>
      </c>
      <c r="BW141" s="6625" t="str">
        <f t="shared" si="82"/>
        <v/>
      </c>
      <c r="BX141" s="6625" t="str">
        <f t="shared" si="83"/>
        <v/>
      </c>
      <c r="CA141" s="3170" t="s">
        <v>16501</v>
      </c>
      <c r="CB141" s="7634" t="s">
        <v>16255</v>
      </c>
      <c r="CC141" s="3170" t="s">
        <v>16611</v>
      </c>
      <c r="CD141" s="3170" t="s">
        <v>16612</v>
      </c>
    </row>
    <row r="142" spans="2:82" ht="30" customHeight="1">
      <c r="B142" s="7661" t="str">
        <f t="shared" si="44"/>
        <v/>
      </c>
      <c r="C142" s="7661" t="str">
        <f t="shared" si="45"/>
        <v/>
      </c>
      <c r="D142" s="7661" t="str">
        <f t="shared" si="46"/>
        <v/>
      </c>
      <c r="E142" s="7661">
        <f>IF(H141&lt;&gt;"",E141,IF(E141="","",IFERROR(MATCH(TRUE(),INDEX(INDEX($K:$K,E141+1):$K$203&lt;&gt;"",0),0)+E141,"")))</f>
        <v>317</v>
      </c>
      <c r="F142" s="7661">
        <f t="shared" si="84"/>
        <v>0</v>
      </c>
      <c r="G142" s="7661" t="str">
        <f t="shared" si="47"/>
        <v>0</v>
      </c>
      <c r="H142" s="7672" t="str">
        <f t="shared" si="48"/>
        <v/>
      </c>
      <c r="I142" s="7683" t="str">
        <f t="shared" si="49"/>
        <v/>
      </c>
      <c r="J142" s="7673" t="str">
        <f>IF(K142="","",COUNTIF($K$18:K142,"&lt;&gt;"))</f>
        <v/>
      </c>
      <c r="K142" s="7674"/>
      <c r="L142" s="7673" t="str">
        <f t="shared" si="50"/>
        <v/>
      </c>
      <c r="M142" s="7630">
        <f t="shared" si="51"/>
        <v>1</v>
      </c>
      <c r="N142" s="7675">
        <f t="shared" si="52"/>
        <v>125</v>
      </c>
      <c r="O142" s="7676" t="str">
        <f t="shared" si="53"/>
        <v>0</v>
      </c>
      <c r="P142" s="7675">
        <f t="shared" si="54"/>
        <v>1</v>
      </c>
      <c r="Q142" s="7675">
        <f t="shared" si="55"/>
        <v>1</v>
      </c>
      <c r="S142" s="7679" t="str">
        <f t="shared" si="87"/>
        <v>0</v>
      </c>
      <c r="T142" s="7680" t="str">
        <f t="shared" si="87"/>
        <v/>
      </c>
      <c r="V142" s="7677">
        <f t="shared" si="56"/>
        <v>142</v>
      </c>
      <c r="W142" s="7678" t="str">
        <f t="shared" si="86"/>
        <v>0</v>
      </c>
      <c r="X142" s="7677" t="s">
        <v>2</v>
      </c>
      <c r="Y142" s="7702" t="str">
        <f t="shared" si="57"/>
        <v>0</v>
      </c>
      <c r="Z142" s="7703" t="str">
        <f t="shared" si="58"/>
        <v/>
      </c>
      <c r="AA142" s="7681" t="str">
        <f t="shared" si="59"/>
        <v>0</v>
      </c>
      <c r="AB142" s="7682" t="str">
        <f t="shared" si="60"/>
        <v/>
      </c>
      <c r="AC142" s="7677">
        <f t="shared" si="61"/>
        <v>0</v>
      </c>
      <c r="AD142" s="7677">
        <f t="shared" si="62"/>
        <v>0</v>
      </c>
      <c r="AE142" s="7682" t="str">
        <f t="shared" si="63"/>
        <v>aucun match</v>
      </c>
      <c r="AF142" s="6625" t="str">
        <f t="shared" si="64"/>
        <v>0</v>
      </c>
      <c r="AG142" s="6625" t="str">
        <f t="shared" si="65"/>
        <v>0</v>
      </c>
      <c r="AH142" s="6625" t="str">
        <f t="shared" si="66"/>
        <v>0</v>
      </c>
      <c r="AI142" s="6625" t="str">
        <f t="shared" si="67"/>
        <v xml:space="preserve"> 0 </v>
      </c>
      <c r="AJ142" s="6625" cm="1">
        <f t="array" ref="AJ142">IF(W142="",0,SUMPRODUCT((CA4:CA795="Gluten")*(CB4:CB795="INFO")*(COUNTIF(AI142,"*"&amp;CC4:CC795&amp;"*")&gt;0)*1))</f>
        <v>0</v>
      </c>
      <c r="AK142" s="6625" cm="1">
        <f t="array" ref="AK142">IF(W142="",0,SUMPRODUCT((CA4:CA795="Gluten")*(CB4:CB795="EXCL")*(COUNTIF(AI142,"*"&amp;CC4:CC795&amp;"*")&gt;0)*1))</f>
        <v>0</v>
      </c>
      <c r="AL142" s="6625" cm="1">
        <f t="array" ref="AL142">IF(W142="",0,SUMPRODUCT((CA4:CA795="Gluten")*(CB4:CB795="ALERTE")*(COUNTIF(AI142,"*"&amp;CC4:CC795&amp;"*")&gt;0)*1))</f>
        <v>0</v>
      </c>
      <c r="AM142" s="6625" cm="1">
        <f t="array" ref="AM142">IF(W142="",0,SUMPRODUCT((CA4:CA795="Gluten")*(CB4:CB795="SUSP")*(COUNTIF(AI142,"*"&amp;CC4:CC795&amp;"*")&gt;0)*1))</f>
        <v>0</v>
      </c>
      <c r="AN142" s="6625" cm="1">
        <f t="array" ref="AN142">IF(W142="",0,SUMPRODUCT((CA4:CA795="Crustaces")*(CB4:CB795="ALERTE")*(COUNTIF(AI142,"*"&amp;CC4:CC795&amp;"*")&gt;0)*1))</f>
        <v>0</v>
      </c>
      <c r="AO142" s="6625" cm="1">
        <f t="array" ref="AO142">IF(W142="",0,SUMPRODUCT((CA4:CA795="Oeufs")*(CB4:CB795="ALERTE")*(COUNTIF(AI142,"*"&amp;CC4:CC795&amp;"*")&gt;0)*1))</f>
        <v>0</v>
      </c>
      <c r="AP142" s="6625" cm="1">
        <f t="array" ref="AP142">IF(W142="",0,SUMPRODUCT((CA4:CA795="Poissons")*(CB4:CB795="INFO")*(COUNTIF(AI142,"*"&amp;CC4:CC795&amp;"*")&gt;0)*1))</f>
        <v>0</v>
      </c>
      <c r="AQ142" s="6625" cm="1">
        <f t="array" ref="AQ142">IF(W142="",0,SUMPRODUCT((CA4:CA795="Poissons")*(CB4:CB795="EXCL")*(COUNTIF(AI142,"*"&amp;CC4:CC795&amp;"*")&gt;0)*1))</f>
        <v>0</v>
      </c>
      <c r="AR142" s="6625" cm="1">
        <f t="array" ref="AR142">IF(W142="",0,SUMPRODUCT((CA4:CA795="Poissons")*(CB4:CB795="ALERTE")*(COUNTIF(AI142,"*"&amp;CC4:CC795&amp;"*")&gt;0)*1))</f>
        <v>0</v>
      </c>
      <c r="AS142" s="6625" cm="1">
        <f t="array" ref="AS142">IF(W142="",0,SUMPRODUCT((CA4:CA795="Arachides")*(CB4:CB795="ALERTE")*(COUNTIF(AI142,"*"&amp;CC4:CC795&amp;"*")&gt;0)*1))</f>
        <v>0</v>
      </c>
      <c r="AT142" s="6625" cm="1">
        <f t="array" ref="AT142">IF(W142="",0,SUMPRODUCT((CA4:CA795="Soja")*(CB4:CB795="INFO")*(COUNTIF(AI142,"*"&amp;CC4:CC795&amp;"*")&gt;0)*1))</f>
        <v>0</v>
      </c>
      <c r="AU142" s="6625" cm="1">
        <f t="array" ref="AU142">IF(W142="",0,SUMPRODUCT((CA4:CA795="Soja")*(CB4:CB795="ALERTE")*(COUNTIF(AI142,"*"&amp;CC4:CC795&amp;"*")&gt;0)*1))</f>
        <v>0</v>
      </c>
      <c r="AV142" s="6625" cm="1">
        <f t="array" ref="AV142">IF(W142="",0,SUMPRODUCT((CA4:CA795="Lait")*(CB4:CB795="INFO")*(COUNTIF(AI142,"*"&amp;CC4:CC795&amp;"*")&gt;0)*1))</f>
        <v>0</v>
      </c>
      <c r="AW142" s="6625" cm="1">
        <f t="array" ref="AW142">IF(W142="",0,SUMPRODUCT((CA4:CA795="Lait")*(CB4:CB795="EXCL")*(COUNTIF(AI142,"*"&amp;CC4:CC795&amp;"*")&gt;0)*1))</f>
        <v>0</v>
      </c>
      <c r="AX142" s="6625" cm="1">
        <f t="array" ref="AX142">IF(W142="",0,SUMPRODUCT((CA4:CA795="Lait")*(CB4:CB795="ALERTE")*(COUNTIF(AI142,"*"&amp;CC4:CC795&amp;"*")&gt;0)*1))</f>
        <v>0</v>
      </c>
      <c r="AY142" s="6625" cm="1">
        <f t="array" ref="AY142">IF(W142="",0,SUMPRODUCT((CA4:CA795="Lait")*(CB4:CB795="SUSP")*(COUNTIF(AI142,"*"&amp;CC4:CC795&amp;"*")&gt;0)*1))</f>
        <v>0</v>
      </c>
      <c r="AZ142" s="6625" cm="1">
        <f t="array" ref="AZ142">IF(W142="",0,SUMPRODUCT((CA4:CA795="Fruits a coque")*(CB4:CB795="EXCL")*(COUNTIF(AI142,"*"&amp;CC4:CC795&amp;"*")&gt;0)*1))</f>
        <v>0</v>
      </c>
      <c r="BA142" s="6625" cm="1">
        <f t="array" ref="BA142">IF(W142="",0,SUMPRODUCT((CA4:CA795="Fruits a coque")*(CB4:CB795="ALERTE")*(COUNTIF(AI142,"*"&amp;CC4:CC795&amp;"*")&gt;0)*1))</f>
        <v>0</v>
      </c>
      <c r="BB142" s="6625" cm="1">
        <f t="array" ref="BB142">IF(W142="",0,SUMPRODUCT((CA4:CA795="Celeri")*(CB4:CB795="ALERTE")*(COUNTIF(AI142,"*"&amp;CC4:CC795&amp;"*")&gt;0)*1))</f>
        <v>0</v>
      </c>
      <c r="BC142" s="6625" cm="1">
        <f t="array" ref="BC142">IF(W142="",0,SUMPRODUCT((CA4:CA795="Moutarde")*(CB4:CB795="ALERTE")*(COUNTIF(AI142,"*"&amp;CC4:CC795&amp;"*")&gt;0)*1))</f>
        <v>0</v>
      </c>
      <c r="BD142" s="6625" cm="1">
        <f t="array" ref="BD142">IF(W142="",0,SUMPRODUCT((CA4:CA795="Sesame")*(CB4:CB795="ALERTE")*(COUNTIF(AI142,"*"&amp;CC4:CC795&amp;"*")&gt;0)*1))</f>
        <v>0</v>
      </c>
      <c r="BE142" s="6625" cm="1">
        <f t="array" ref="BE142">IF(W142="",0,SUMPRODUCT((CA4:CA795="Sulfites")*(CB4:CB795="ALERTE")*(COUNTIF(AI142,"*"&amp;CC4:CC795&amp;"*")&gt;0)*1))</f>
        <v>0</v>
      </c>
      <c r="BF142" s="6625" cm="1">
        <f t="array" ref="BF142">IF(W142="",0,SUMPRODUCT((CA4:CA795="Lupin")*(CB4:CB795="ALERTE")*(COUNTIF(AI142,"*"&amp;CC4:CC795&amp;"*")&gt;0)*1))</f>
        <v>0</v>
      </c>
      <c r="BG142" s="6625" cm="1">
        <f t="array" ref="BG142">IF(W142="",0,SUMPRODUCT((CA4:CA795="Mollusques")*(CB4:CB795="EXCL")*(COUNTIF(AI142,"*"&amp;CC4:CC795&amp;"*")&gt;0)*1))</f>
        <v>0</v>
      </c>
      <c r="BH142" s="6625" cm="1">
        <f t="array" ref="BH142">IF(W142="",0,SUMPRODUCT((CA4:CA795="Mollusques")*(CB4:CB795="ALERTE")*(COUNTIF(AI142,"*"&amp;CC4:CC795&amp;"*")&gt;0)*1))</f>
        <v>0</v>
      </c>
      <c r="BI142" s="6625" t="str">
        <f t="shared" si="68"/>
        <v/>
      </c>
      <c r="BJ142" s="6625" t="str">
        <f t="shared" si="69"/>
        <v/>
      </c>
      <c r="BK142" s="6625" t="str">
        <f t="shared" si="70"/>
        <v/>
      </c>
      <c r="BL142" s="6625" t="str">
        <f t="shared" si="71"/>
        <v/>
      </c>
      <c r="BM142" s="6625" t="str">
        <f t="shared" si="72"/>
        <v/>
      </c>
      <c r="BN142" s="6625" t="str">
        <f t="shared" si="73"/>
        <v/>
      </c>
      <c r="BO142" s="6625" t="str">
        <f t="shared" si="74"/>
        <v/>
      </c>
      <c r="BP142" s="6625" t="str">
        <f t="shared" si="75"/>
        <v/>
      </c>
      <c r="BQ142" s="6625" t="str">
        <f t="shared" si="76"/>
        <v/>
      </c>
      <c r="BR142" s="6625" t="str">
        <f t="shared" si="77"/>
        <v/>
      </c>
      <c r="BS142" s="6625" t="str">
        <f t="shared" si="78"/>
        <v/>
      </c>
      <c r="BT142" s="6625" t="str">
        <f t="shared" si="79"/>
        <v/>
      </c>
      <c r="BU142" s="6625" t="str">
        <f t="shared" si="80"/>
        <v/>
      </c>
      <c r="BV142" s="6625" t="str">
        <f t="shared" si="81"/>
        <v/>
      </c>
      <c r="BW142" s="6625" t="str">
        <f t="shared" si="82"/>
        <v/>
      </c>
      <c r="BX142" s="6625" t="str">
        <f t="shared" si="83"/>
        <v/>
      </c>
      <c r="CA142" s="3170" t="s">
        <v>16501</v>
      </c>
      <c r="CB142" s="7634" t="s">
        <v>16255</v>
      </c>
      <c r="CC142" s="3170" t="s">
        <v>16613</v>
      </c>
      <c r="CD142" s="3170" t="s">
        <v>16614</v>
      </c>
    </row>
    <row r="143" spans="2:82" ht="30" customHeight="1">
      <c r="B143" s="7661" t="str">
        <f t="shared" si="44"/>
        <v/>
      </c>
      <c r="C143" s="7661" t="str">
        <f t="shared" si="45"/>
        <v/>
      </c>
      <c r="D143" s="7661" t="str">
        <f t="shared" si="46"/>
        <v/>
      </c>
      <c r="E143" s="7661">
        <f>IF(H142&lt;&gt;"",E142,IF(E142="","",IFERROR(MATCH(TRUE(),INDEX(INDEX($K:$K,E142+1):$K$203&lt;&gt;"",0),0)+E142,"")))</f>
        <v>318</v>
      </c>
      <c r="F143" s="7661">
        <f t="shared" si="84"/>
        <v>0</v>
      </c>
      <c r="G143" s="7661" t="str">
        <f t="shared" si="47"/>
        <v>0</v>
      </c>
      <c r="H143" s="7672" t="str">
        <f t="shared" si="48"/>
        <v/>
      </c>
      <c r="I143" s="7683" t="str">
        <f t="shared" si="49"/>
        <v/>
      </c>
      <c r="J143" s="7673" t="str">
        <f>IF(K143="","",COUNTIF($K$18:K143,"&lt;&gt;"))</f>
        <v/>
      </c>
      <c r="K143" s="7674"/>
      <c r="L143" s="7673" t="str">
        <f t="shared" si="50"/>
        <v/>
      </c>
      <c r="M143" s="7630">
        <f t="shared" si="51"/>
        <v>1</v>
      </c>
      <c r="N143" s="7675">
        <f t="shared" si="52"/>
        <v>126</v>
      </c>
      <c r="O143" s="7676" t="str">
        <f t="shared" si="53"/>
        <v>0</v>
      </c>
      <c r="P143" s="7675">
        <f t="shared" si="54"/>
        <v>1</v>
      </c>
      <c r="Q143" s="7675">
        <f t="shared" si="55"/>
        <v>1</v>
      </c>
      <c r="S143" s="7679" t="str">
        <f t="shared" si="87"/>
        <v>0</v>
      </c>
      <c r="T143" s="7680" t="str">
        <f t="shared" si="87"/>
        <v/>
      </c>
      <c r="V143" s="7677">
        <f t="shared" si="56"/>
        <v>143</v>
      </c>
      <c r="W143" s="7678" t="str">
        <f t="shared" si="86"/>
        <v>0</v>
      </c>
      <c r="X143" s="7677" t="s">
        <v>2</v>
      </c>
      <c r="Y143" s="7702" t="str">
        <f t="shared" si="57"/>
        <v>0</v>
      </c>
      <c r="Z143" s="7703" t="str">
        <f t="shared" si="58"/>
        <v/>
      </c>
      <c r="AA143" s="7681" t="str">
        <f t="shared" si="59"/>
        <v>0</v>
      </c>
      <c r="AB143" s="7682" t="str">
        <f t="shared" si="60"/>
        <v/>
      </c>
      <c r="AC143" s="7677">
        <f t="shared" si="61"/>
        <v>0</v>
      </c>
      <c r="AD143" s="7677">
        <f t="shared" si="62"/>
        <v>0</v>
      </c>
      <c r="AE143" s="7682" t="str">
        <f t="shared" si="63"/>
        <v>aucun match</v>
      </c>
      <c r="AF143" s="6625" t="str">
        <f t="shared" si="64"/>
        <v>0</v>
      </c>
      <c r="AG143" s="6625" t="str">
        <f t="shared" si="65"/>
        <v>0</v>
      </c>
      <c r="AH143" s="6625" t="str">
        <f t="shared" si="66"/>
        <v>0</v>
      </c>
      <c r="AI143" s="6625" t="str">
        <f t="shared" si="67"/>
        <v xml:space="preserve"> 0 </v>
      </c>
      <c r="AJ143" s="6625" cm="1">
        <f t="array" ref="AJ143">IF(W143="",0,SUMPRODUCT((CA4:CA795="Gluten")*(CB4:CB795="INFO")*(COUNTIF(AI143,"*"&amp;CC4:CC795&amp;"*")&gt;0)*1))</f>
        <v>0</v>
      </c>
      <c r="AK143" s="6625" cm="1">
        <f t="array" ref="AK143">IF(W143="",0,SUMPRODUCT((CA4:CA795="Gluten")*(CB4:CB795="EXCL")*(COUNTIF(AI143,"*"&amp;CC4:CC795&amp;"*")&gt;0)*1))</f>
        <v>0</v>
      </c>
      <c r="AL143" s="6625" cm="1">
        <f t="array" ref="AL143">IF(W143="",0,SUMPRODUCT((CA4:CA795="Gluten")*(CB4:CB795="ALERTE")*(COUNTIF(AI143,"*"&amp;CC4:CC795&amp;"*")&gt;0)*1))</f>
        <v>0</v>
      </c>
      <c r="AM143" s="6625" cm="1">
        <f t="array" ref="AM143">IF(W143="",0,SUMPRODUCT((CA4:CA795="Gluten")*(CB4:CB795="SUSP")*(COUNTIF(AI143,"*"&amp;CC4:CC795&amp;"*")&gt;0)*1))</f>
        <v>0</v>
      </c>
      <c r="AN143" s="6625" cm="1">
        <f t="array" ref="AN143">IF(W143="",0,SUMPRODUCT((CA4:CA795="Crustaces")*(CB4:CB795="ALERTE")*(COUNTIF(AI143,"*"&amp;CC4:CC795&amp;"*")&gt;0)*1))</f>
        <v>0</v>
      </c>
      <c r="AO143" s="6625" cm="1">
        <f t="array" ref="AO143">IF(W143="",0,SUMPRODUCT((CA4:CA795="Oeufs")*(CB4:CB795="ALERTE")*(COUNTIF(AI143,"*"&amp;CC4:CC795&amp;"*")&gt;0)*1))</f>
        <v>0</v>
      </c>
      <c r="AP143" s="6625" cm="1">
        <f t="array" ref="AP143">IF(W143="",0,SUMPRODUCT((CA4:CA795="Poissons")*(CB4:CB795="INFO")*(COUNTIF(AI143,"*"&amp;CC4:CC795&amp;"*")&gt;0)*1))</f>
        <v>0</v>
      </c>
      <c r="AQ143" s="6625" cm="1">
        <f t="array" ref="AQ143">IF(W143="",0,SUMPRODUCT((CA4:CA795="Poissons")*(CB4:CB795="EXCL")*(COUNTIF(AI143,"*"&amp;CC4:CC795&amp;"*")&gt;0)*1))</f>
        <v>0</v>
      </c>
      <c r="AR143" s="6625" cm="1">
        <f t="array" ref="AR143">IF(W143="",0,SUMPRODUCT((CA4:CA795="Poissons")*(CB4:CB795="ALERTE")*(COUNTIF(AI143,"*"&amp;CC4:CC795&amp;"*")&gt;0)*1))</f>
        <v>0</v>
      </c>
      <c r="AS143" s="6625" cm="1">
        <f t="array" ref="AS143">IF(W143="",0,SUMPRODUCT((CA4:CA795="Arachides")*(CB4:CB795="ALERTE")*(COUNTIF(AI143,"*"&amp;CC4:CC795&amp;"*")&gt;0)*1))</f>
        <v>0</v>
      </c>
      <c r="AT143" s="6625" cm="1">
        <f t="array" ref="AT143">IF(W143="",0,SUMPRODUCT((CA4:CA795="Soja")*(CB4:CB795="INFO")*(COUNTIF(AI143,"*"&amp;CC4:CC795&amp;"*")&gt;0)*1))</f>
        <v>0</v>
      </c>
      <c r="AU143" s="6625" cm="1">
        <f t="array" ref="AU143">IF(W143="",0,SUMPRODUCT((CA4:CA795="Soja")*(CB4:CB795="ALERTE")*(COUNTIF(AI143,"*"&amp;CC4:CC795&amp;"*")&gt;0)*1))</f>
        <v>0</v>
      </c>
      <c r="AV143" s="6625" cm="1">
        <f t="array" ref="AV143">IF(W143="",0,SUMPRODUCT((CA4:CA795="Lait")*(CB4:CB795="INFO")*(COUNTIF(AI143,"*"&amp;CC4:CC795&amp;"*")&gt;0)*1))</f>
        <v>0</v>
      </c>
      <c r="AW143" s="6625" cm="1">
        <f t="array" ref="AW143">IF(W143="",0,SUMPRODUCT((CA4:CA795="Lait")*(CB4:CB795="EXCL")*(COUNTIF(AI143,"*"&amp;CC4:CC795&amp;"*")&gt;0)*1))</f>
        <v>0</v>
      </c>
      <c r="AX143" s="6625" cm="1">
        <f t="array" ref="AX143">IF(W143="",0,SUMPRODUCT((CA4:CA795="Lait")*(CB4:CB795="ALERTE")*(COUNTIF(AI143,"*"&amp;CC4:CC795&amp;"*")&gt;0)*1))</f>
        <v>0</v>
      </c>
      <c r="AY143" s="6625" cm="1">
        <f t="array" ref="AY143">IF(W143="",0,SUMPRODUCT((CA4:CA795="Lait")*(CB4:CB795="SUSP")*(COUNTIF(AI143,"*"&amp;CC4:CC795&amp;"*")&gt;0)*1))</f>
        <v>0</v>
      </c>
      <c r="AZ143" s="6625" cm="1">
        <f t="array" ref="AZ143">IF(W143="",0,SUMPRODUCT((CA4:CA795="Fruits a coque")*(CB4:CB795="EXCL")*(COUNTIF(AI143,"*"&amp;CC4:CC795&amp;"*")&gt;0)*1))</f>
        <v>0</v>
      </c>
      <c r="BA143" s="6625" cm="1">
        <f t="array" ref="BA143">IF(W143="",0,SUMPRODUCT((CA4:CA795="Fruits a coque")*(CB4:CB795="ALERTE")*(COUNTIF(AI143,"*"&amp;CC4:CC795&amp;"*")&gt;0)*1))</f>
        <v>0</v>
      </c>
      <c r="BB143" s="6625" cm="1">
        <f t="array" ref="BB143">IF(W143="",0,SUMPRODUCT((CA4:CA795="Celeri")*(CB4:CB795="ALERTE")*(COUNTIF(AI143,"*"&amp;CC4:CC795&amp;"*")&gt;0)*1))</f>
        <v>0</v>
      </c>
      <c r="BC143" s="6625" cm="1">
        <f t="array" ref="BC143">IF(W143="",0,SUMPRODUCT((CA4:CA795="Moutarde")*(CB4:CB795="ALERTE")*(COUNTIF(AI143,"*"&amp;CC4:CC795&amp;"*")&gt;0)*1))</f>
        <v>0</v>
      </c>
      <c r="BD143" s="6625" cm="1">
        <f t="array" ref="BD143">IF(W143="",0,SUMPRODUCT((CA4:CA795="Sesame")*(CB4:CB795="ALERTE")*(COUNTIF(AI143,"*"&amp;CC4:CC795&amp;"*")&gt;0)*1))</f>
        <v>0</v>
      </c>
      <c r="BE143" s="6625" cm="1">
        <f t="array" ref="BE143">IF(W143="",0,SUMPRODUCT((CA4:CA795="Sulfites")*(CB4:CB795="ALERTE")*(COUNTIF(AI143,"*"&amp;CC4:CC795&amp;"*")&gt;0)*1))</f>
        <v>0</v>
      </c>
      <c r="BF143" s="6625" cm="1">
        <f t="array" ref="BF143">IF(W143="",0,SUMPRODUCT((CA4:CA795="Lupin")*(CB4:CB795="ALERTE")*(COUNTIF(AI143,"*"&amp;CC4:CC795&amp;"*")&gt;0)*1))</f>
        <v>0</v>
      </c>
      <c r="BG143" s="6625" cm="1">
        <f t="array" ref="BG143">IF(W143="",0,SUMPRODUCT((CA4:CA795="Mollusques")*(CB4:CB795="EXCL")*(COUNTIF(AI143,"*"&amp;CC4:CC795&amp;"*")&gt;0)*1))</f>
        <v>0</v>
      </c>
      <c r="BH143" s="6625" cm="1">
        <f t="array" ref="BH143">IF(W143="",0,SUMPRODUCT((CA4:CA795="Mollusques")*(CB4:CB795="ALERTE")*(COUNTIF(AI143,"*"&amp;CC4:CC795&amp;"*")&gt;0)*1))</f>
        <v>0</v>
      </c>
      <c r="BI143" s="6625" t="str">
        <f t="shared" si="68"/>
        <v/>
      </c>
      <c r="BJ143" s="6625" t="str">
        <f t="shared" si="69"/>
        <v/>
      </c>
      <c r="BK143" s="6625" t="str">
        <f t="shared" si="70"/>
        <v/>
      </c>
      <c r="BL143" s="6625" t="str">
        <f t="shared" si="71"/>
        <v/>
      </c>
      <c r="BM143" s="6625" t="str">
        <f t="shared" si="72"/>
        <v/>
      </c>
      <c r="BN143" s="6625" t="str">
        <f t="shared" si="73"/>
        <v/>
      </c>
      <c r="BO143" s="6625" t="str">
        <f t="shared" si="74"/>
        <v/>
      </c>
      <c r="BP143" s="6625" t="str">
        <f t="shared" si="75"/>
        <v/>
      </c>
      <c r="BQ143" s="6625" t="str">
        <f t="shared" si="76"/>
        <v/>
      </c>
      <c r="BR143" s="6625" t="str">
        <f t="shared" si="77"/>
        <v/>
      </c>
      <c r="BS143" s="6625" t="str">
        <f t="shared" si="78"/>
        <v/>
      </c>
      <c r="BT143" s="6625" t="str">
        <f t="shared" si="79"/>
        <v/>
      </c>
      <c r="BU143" s="6625" t="str">
        <f t="shared" si="80"/>
        <v/>
      </c>
      <c r="BV143" s="6625" t="str">
        <f t="shared" si="81"/>
        <v/>
      </c>
      <c r="BW143" s="6625" t="str">
        <f t="shared" si="82"/>
        <v/>
      </c>
      <c r="BX143" s="6625" t="str">
        <f t="shared" si="83"/>
        <v/>
      </c>
      <c r="CA143" s="3170" t="s">
        <v>16501</v>
      </c>
      <c r="CB143" s="7634" t="s">
        <v>16255</v>
      </c>
      <c r="CC143" s="3170" t="s">
        <v>16615</v>
      </c>
      <c r="CD143" s="3170" t="s">
        <v>16616</v>
      </c>
    </row>
    <row r="144" spans="2:82" ht="30" customHeight="1">
      <c r="B144" s="7661" t="str">
        <f t="shared" si="44"/>
        <v/>
      </c>
      <c r="C144" s="7661" t="str">
        <f t="shared" si="45"/>
        <v/>
      </c>
      <c r="D144" s="7661" t="str">
        <f t="shared" si="46"/>
        <v/>
      </c>
      <c r="E144" s="7661">
        <f>IF(H143&lt;&gt;"",E143,IF(E143="","",IFERROR(MATCH(TRUE(),INDEX(INDEX($K:$K,E143+1):$K$203&lt;&gt;"",0),0)+E143,"")))</f>
        <v>319</v>
      </c>
      <c r="F144" s="7661">
        <f t="shared" si="84"/>
        <v>0</v>
      </c>
      <c r="G144" s="7661" t="str">
        <f t="shared" si="47"/>
        <v>0</v>
      </c>
      <c r="H144" s="7672" t="str">
        <f t="shared" si="48"/>
        <v/>
      </c>
      <c r="I144" s="7683" t="str">
        <f t="shared" si="49"/>
        <v/>
      </c>
      <c r="J144" s="7673" t="str">
        <f>IF(K144="","",COUNTIF($K$18:K144,"&lt;&gt;"))</f>
        <v/>
      </c>
      <c r="K144" s="7674"/>
      <c r="L144" s="7673" t="str">
        <f t="shared" si="50"/>
        <v/>
      </c>
      <c r="M144" s="7630">
        <f t="shared" si="51"/>
        <v>1</v>
      </c>
      <c r="N144" s="7675">
        <f t="shared" si="52"/>
        <v>127</v>
      </c>
      <c r="O144" s="7676" t="str">
        <f t="shared" si="53"/>
        <v>0</v>
      </c>
      <c r="P144" s="7675">
        <f t="shared" si="54"/>
        <v>1</v>
      </c>
      <c r="Q144" s="7675">
        <f t="shared" si="55"/>
        <v>1</v>
      </c>
      <c r="S144" s="7679" t="str">
        <f t="shared" si="87"/>
        <v>0</v>
      </c>
      <c r="T144" s="7680" t="str">
        <f t="shared" si="87"/>
        <v/>
      </c>
      <c r="V144" s="7677">
        <f t="shared" si="56"/>
        <v>144</v>
      </c>
      <c r="W144" s="7678" t="str">
        <f t="shared" si="86"/>
        <v>0</v>
      </c>
      <c r="X144" s="7677" t="s">
        <v>2</v>
      </c>
      <c r="Y144" s="7702" t="str">
        <f t="shared" si="57"/>
        <v>0</v>
      </c>
      <c r="Z144" s="7703" t="str">
        <f t="shared" si="58"/>
        <v/>
      </c>
      <c r="AA144" s="7681" t="str">
        <f t="shared" si="59"/>
        <v>0</v>
      </c>
      <c r="AB144" s="7682" t="str">
        <f t="shared" si="60"/>
        <v/>
      </c>
      <c r="AC144" s="7677">
        <f t="shared" si="61"/>
        <v>0</v>
      </c>
      <c r="AD144" s="7677">
        <f t="shared" si="62"/>
        <v>0</v>
      </c>
      <c r="AE144" s="7682" t="str">
        <f t="shared" si="63"/>
        <v>aucun match</v>
      </c>
      <c r="AF144" s="6625" t="str">
        <f t="shared" si="64"/>
        <v>0</v>
      </c>
      <c r="AG144" s="6625" t="str">
        <f t="shared" si="65"/>
        <v>0</v>
      </c>
      <c r="AH144" s="6625" t="str">
        <f t="shared" si="66"/>
        <v>0</v>
      </c>
      <c r="AI144" s="6625" t="str">
        <f t="shared" si="67"/>
        <v xml:space="preserve"> 0 </v>
      </c>
      <c r="AJ144" s="6625" cm="1">
        <f t="array" ref="AJ144">IF(W144="",0,SUMPRODUCT((CA4:CA795="Gluten")*(CB4:CB795="INFO")*(COUNTIF(AI144,"*"&amp;CC4:CC795&amp;"*")&gt;0)*1))</f>
        <v>0</v>
      </c>
      <c r="AK144" s="6625" cm="1">
        <f t="array" ref="AK144">IF(W144="",0,SUMPRODUCT((CA4:CA795="Gluten")*(CB4:CB795="EXCL")*(COUNTIF(AI144,"*"&amp;CC4:CC795&amp;"*")&gt;0)*1))</f>
        <v>0</v>
      </c>
      <c r="AL144" s="6625" cm="1">
        <f t="array" ref="AL144">IF(W144="",0,SUMPRODUCT((CA4:CA795="Gluten")*(CB4:CB795="ALERTE")*(COUNTIF(AI144,"*"&amp;CC4:CC795&amp;"*")&gt;0)*1))</f>
        <v>0</v>
      </c>
      <c r="AM144" s="6625" cm="1">
        <f t="array" ref="AM144">IF(W144="",0,SUMPRODUCT((CA4:CA795="Gluten")*(CB4:CB795="SUSP")*(COUNTIF(AI144,"*"&amp;CC4:CC795&amp;"*")&gt;0)*1))</f>
        <v>0</v>
      </c>
      <c r="AN144" s="6625" cm="1">
        <f t="array" ref="AN144">IF(W144="",0,SUMPRODUCT((CA4:CA795="Crustaces")*(CB4:CB795="ALERTE")*(COUNTIF(AI144,"*"&amp;CC4:CC795&amp;"*")&gt;0)*1))</f>
        <v>0</v>
      </c>
      <c r="AO144" s="6625" cm="1">
        <f t="array" ref="AO144">IF(W144="",0,SUMPRODUCT((CA4:CA795="Oeufs")*(CB4:CB795="ALERTE")*(COUNTIF(AI144,"*"&amp;CC4:CC795&amp;"*")&gt;0)*1))</f>
        <v>0</v>
      </c>
      <c r="AP144" s="6625" cm="1">
        <f t="array" ref="AP144">IF(W144="",0,SUMPRODUCT((CA4:CA795="Poissons")*(CB4:CB795="INFO")*(COUNTIF(AI144,"*"&amp;CC4:CC795&amp;"*")&gt;0)*1))</f>
        <v>0</v>
      </c>
      <c r="AQ144" s="6625" cm="1">
        <f t="array" ref="AQ144">IF(W144="",0,SUMPRODUCT((CA4:CA795="Poissons")*(CB4:CB795="EXCL")*(COUNTIF(AI144,"*"&amp;CC4:CC795&amp;"*")&gt;0)*1))</f>
        <v>0</v>
      </c>
      <c r="AR144" s="6625" cm="1">
        <f t="array" ref="AR144">IF(W144="",0,SUMPRODUCT((CA4:CA795="Poissons")*(CB4:CB795="ALERTE")*(COUNTIF(AI144,"*"&amp;CC4:CC795&amp;"*")&gt;0)*1))</f>
        <v>0</v>
      </c>
      <c r="AS144" s="6625" cm="1">
        <f t="array" ref="AS144">IF(W144="",0,SUMPRODUCT((CA4:CA795="Arachides")*(CB4:CB795="ALERTE")*(COUNTIF(AI144,"*"&amp;CC4:CC795&amp;"*")&gt;0)*1))</f>
        <v>0</v>
      </c>
      <c r="AT144" s="6625" cm="1">
        <f t="array" ref="AT144">IF(W144="",0,SUMPRODUCT((CA4:CA795="Soja")*(CB4:CB795="INFO")*(COUNTIF(AI144,"*"&amp;CC4:CC795&amp;"*")&gt;0)*1))</f>
        <v>0</v>
      </c>
      <c r="AU144" s="6625" cm="1">
        <f t="array" ref="AU144">IF(W144="",0,SUMPRODUCT((CA4:CA795="Soja")*(CB4:CB795="ALERTE")*(COUNTIF(AI144,"*"&amp;CC4:CC795&amp;"*")&gt;0)*1))</f>
        <v>0</v>
      </c>
      <c r="AV144" s="6625" cm="1">
        <f t="array" ref="AV144">IF(W144="",0,SUMPRODUCT((CA4:CA795="Lait")*(CB4:CB795="INFO")*(COUNTIF(AI144,"*"&amp;CC4:CC795&amp;"*")&gt;0)*1))</f>
        <v>0</v>
      </c>
      <c r="AW144" s="6625" cm="1">
        <f t="array" ref="AW144">IF(W144="",0,SUMPRODUCT((CA4:CA795="Lait")*(CB4:CB795="EXCL")*(COUNTIF(AI144,"*"&amp;CC4:CC795&amp;"*")&gt;0)*1))</f>
        <v>0</v>
      </c>
      <c r="AX144" s="6625" cm="1">
        <f t="array" ref="AX144">IF(W144="",0,SUMPRODUCT((CA4:CA795="Lait")*(CB4:CB795="ALERTE")*(COUNTIF(AI144,"*"&amp;CC4:CC795&amp;"*")&gt;0)*1))</f>
        <v>0</v>
      </c>
      <c r="AY144" s="6625" cm="1">
        <f t="array" ref="AY144">IF(W144="",0,SUMPRODUCT((CA4:CA795="Lait")*(CB4:CB795="SUSP")*(COUNTIF(AI144,"*"&amp;CC4:CC795&amp;"*")&gt;0)*1))</f>
        <v>0</v>
      </c>
      <c r="AZ144" s="6625" cm="1">
        <f t="array" ref="AZ144">IF(W144="",0,SUMPRODUCT((CA4:CA795="Fruits a coque")*(CB4:CB795="EXCL")*(COUNTIF(AI144,"*"&amp;CC4:CC795&amp;"*")&gt;0)*1))</f>
        <v>0</v>
      </c>
      <c r="BA144" s="6625" cm="1">
        <f t="array" ref="BA144">IF(W144="",0,SUMPRODUCT((CA4:CA795="Fruits a coque")*(CB4:CB795="ALERTE")*(COUNTIF(AI144,"*"&amp;CC4:CC795&amp;"*")&gt;0)*1))</f>
        <v>0</v>
      </c>
      <c r="BB144" s="6625" cm="1">
        <f t="array" ref="BB144">IF(W144="",0,SUMPRODUCT((CA4:CA795="Celeri")*(CB4:CB795="ALERTE")*(COUNTIF(AI144,"*"&amp;CC4:CC795&amp;"*")&gt;0)*1))</f>
        <v>0</v>
      </c>
      <c r="BC144" s="6625" cm="1">
        <f t="array" ref="BC144">IF(W144="",0,SUMPRODUCT((CA4:CA795="Moutarde")*(CB4:CB795="ALERTE")*(COUNTIF(AI144,"*"&amp;CC4:CC795&amp;"*")&gt;0)*1))</f>
        <v>0</v>
      </c>
      <c r="BD144" s="6625" cm="1">
        <f t="array" ref="BD144">IF(W144="",0,SUMPRODUCT((CA4:CA795="Sesame")*(CB4:CB795="ALERTE")*(COUNTIF(AI144,"*"&amp;CC4:CC795&amp;"*")&gt;0)*1))</f>
        <v>0</v>
      </c>
      <c r="BE144" s="6625" cm="1">
        <f t="array" ref="BE144">IF(W144="",0,SUMPRODUCT((CA4:CA795="Sulfites")*(CB4:CB795="ALERTE")*(COUNTIF(AI144,"*"&amp;CC4:CC795&amp;"*")&gt;0)*1))</f>
        <v>0</v>
      </c>
      <c r="BF144" s="6625" cm="1">
        <f t="array" ref="BF144">IF(W144="",0,SUMPRODUCT((CA4:CA795="Lupin")*(CB4:CB795="ALERTE")*(COUNTIF(AI144,"*"&amp;CC4:CC795&amp;"*")&gt;0)*1))</f>
        <v>0</v>
      </c>
      <c r="BG144" s="6625" cm="1">
        <f t="array" ref="BG144">IF(W144="",0,SUMPRODUCT((CA4:CA795="Mollusques")*(CB4:CB795="EXCL")*(COUNTIF(AI144,"*"&amp;CC4:CC795&amp;"*")&gt;0)*1))</f>
        <v>0</v>
      </c>
      <c r="BH144" s="6625" cm="1">
        <f t="array" ref="BH144">IF(W144="",0,SUMPRODUCT((CA4:CA795="Mollusques")*(CB4:CB795="ALERTE")*(COUNTIF(AI144,"*"&amp;CC4:CC795&amp;"*")&gt;0)*1))</f>
        <v>0</v>
      </c>
      <c r="BI144" s="6625" t="str">
        <f t="shared" si="68"/>
        <v/>
      </c>
      <c r="BJ144" s="6625" t="str">
        <f t="shared" si="69"/>
        <v/>
      </c>
      <c r="BK144" s="6625" t="str">
        <f t="shared" si="70"/>
        <v/>
      </c>
      <c r="BL144" s="6625" t="str">
        <f t="shared" si="71"/>
        <v/>
      </c>
      <c r="BM144" s="6625" t="str">
        <f t="shared" si="72"/>
        <v/>
      </c>
      <c r="BN144" s="6625" t="str">
        <f t="shared" si="73"/>
        <v/>
      </c>
      <c r="BO144" s="6625" t="str">
        <f t="shared" si="74"/>
        <v/>
      </c>
      <c r="BP144" s="6625" t="str">
        <f t="shared" si="75"/>
        <v/>
      </c>
      <c r="BQ144" s="6625" t="str">
        <f t="shared" si="76"/>
        <v/>
      </c>
      <c r="BR144" s="6625" t="str">
        <f t="shared" si="77"/>
        <v/>
      </c>
      <c r="BS144" s="6625" t="str">
        <f t="shared" si="78"/>
        <v/>
      </c>
      <c r="BT144" s="6625" t="str">
        <f t="shared" si="79"/>
        <v/>
      </c>
      <c r="BU144" s="6625" t="str">
        <f t="shared" si="80"/>
        <v/>
      </c>
      <c r="BV144" s="6625" t="str">
        <f t="shared" si="81"/>
        <v/>
      </c>
      <c r="BW144" s="6625" t="str">
        <f t="shared" si="82"/>
        <v/>
      </c>
      <c r="BX144" s="6625" t="str">
        <f t="shared" si="83"/>
        <v/>
      </c>
      <c r="CA144" s="3170" t="s">
        <v>16501</v>
      </c>
      <c r="CB144" s="7634" t="s">
        <v>16255</v>
      </c>
      <c r="CC144" s="3170" t="s">
        <v>16617</v>
      </c>
      <c r="CD144" s="3170" t="s">
        <v>16618</v>
      </c>
    </row>
    <row r="145" spans="2:82" ht="30" customHeight="1">
      <c r="B145" s="7661" t="str">
        <f t="shared" si="44"/>
        <v/>
      </c>
      <c r="C145" s="7661" t="str">
        <f t="shared" si="45"/>
        <v/>
      </c>
      <c r="D145" s="7661" t="str">
        <f t="shared" si="46"/>
        <v/>
      </c>
      <c r="E145" s="7661">
        <f>IF(H144&lt;&gt;"",E144,IF(E144="","",IFERROR(MATCH(TRUE(),INDEX(INDEX($K:$K,E144+1):$K$203&lt;&gt;"",0),0)+E144,"")))</f>
        <v>320</v>
      </c>
      <c r="F145" s="7661">
        <f t="shared" si="84"/>
        <v>0</v>
      </c>
      <c r="G145" s="7661" t="str">
        <f t="shared" si="47"/>
        <v>0</v>
      </c>
      <c r="H145" s="7672" t="str">
        <f t="shared" si="48"/>
        <v/>
      </c>
      <c r="I145" s="7683" t="str">
        <f t="shared" si="49"/>
        <v/>
      </c>
      <c r="J145" s="7673" t="str">
        <f>IF(K145="","",COUNTIF($K$18:K145,"&lt;&gt;"))</f>
        <v/>
      </c>
      <c r="K145" s="7674"/>
      <c r="L145" s="7673" t="str">
        <f t="shared" si="50"/>
        <v/>
      </c>
      <c r="M145" s="7630">
        <f t="shared" si="51"/>
        <v>1</v>
      </c>
      <c r="N145" s="7675">
        <f t="shared" si="52"/>
        <v>128</v>
      </c>
      <c r="O145" s="7676" t="str">
        <f t="shared" si="53"/>
        <v>0</v>
      </c>
      <c r="P145" s="7675">
        <f t="shared" si="54"/>
        <v>1</v>
      </c>
      <c r="Q145" s="7675">
        <f t="shared" si="55"/>
        <v>1</v>
      </c>
      <c r="S145" s="7679" t="str">
        <f t="shared" si="87"/>
        <v>0</v>
      </c>
      <c r="T145" s="7680" t="str">
        <f t="shared" si="87"/>
        <v/>
      </c>
      <c r="V145" s="7677">
        <f t="shared" si="56"/>
        <v>145</v>
      </c>
      <c r="W145" s="7678" t="str">
        <f t="shared" si="86"/>
        <v>0</v>
      </c>
      <c r="X145" s="7677" t="s">
        <v>2</v>
      </c>
      <c r="Y145" s="7702" t="str">
        <f t="shared" si="57"/>
        <v>0</v>
      </c>
      <c r="Z145" s="7703" t="str">
        <f t="shared" si="58"/>
        <v/>
      </c>
      <c r="AA145" s="7681" t="str">
        <f t="shared" si="59"/>
        <v>0</v>
      </c>
      <c r="AB145" s="7682" t="str">
        <f t="shared" si="60"/>
        <v/>
      </c>
      <c r="AC145" s="7677">
        <f t="shared" si="61"/>
        <v>0</v>
      </c>
      <c r="AD145" s="7677">
        <f t="shared" si="62"/>
        <v>0</v>
      </c>
      <c r="AE145" s="7682" t="str">
        <f t="shared" si="63"/>
        <v>aucun match</v>
      </c>
      <c r="AF145" s="6625" t="str">
        <f t="shared" si="64"/>
        <v>0</v>
      </c>
      <c r="AG145" s="6625" t="str">
        <f t="shared" si="65"/>
        <v>0</v>
      </c>
      <c r="AH145" s="6625" t="str">
        <f t="shared" si="66"/>
        <v>0</v>
      </c>
      <c r="AI145" s="6625" t="str">
        <f t="shared" si="67"/>
        <v xml:space="preserve"> 0 </v>
      </c>
      <c r="AJ145" s="6625" cm="1">
        <f t="array" ref="AJ145">IF(W145="",0,SUMPRODUCT((CA4:CA795="Gluten")*(CB4:CB795="INFO")*(COUNTIF(AI145,"*"&amp;CC4:CC795&amp;"*")&gt;0)*1))</f>
        <v>0</v>
      </c>
      <c r="AK145" s="6625" cm="1">
        <f t="array" ref="AK145">IF(W145="",0,SUMPRODUCT((CA4:CA795="Gluten")*(CB4:CB795="EXCL")*(COUNTIF(AI145,"*"&amp;CC4:CC795&amp;"*")&gt;0)*1))</f>
        <v>0</v>
      </c>
      <c r="AL145" s="6625" cm="1">
        <f t="array" ref="AL145">IF(W145="",0,SUMPRODUCT((CA4:CA795="Gluten")*(CB4:CB795="ALERTE")*(COUNTIF(AI145,"*"&amp;CC4:CC795&amp;"*")&gt;0)*1))</f>
        <v>0</v>
      </c>
      <c r="AM145" s="6625" cm="1">
        <f t="array" ref="AM145">IF(W145="",0,SUMPRODUCT((CA4:CA795="Gluten")*(CB4:CB795="SUSP")*(COUNTIF(AI145,"*"&amp;CC4:CC795&amp;"*")&gt;0)*1))</f>
        <v>0</v>
      </c>
      <c r="AN145" s="6625" cm="1">
        <f t="array" ref="AN145">IF(W145="",0,SUMPRODUCT((CA4:CA795="Crustaces")*(CB4:CB795="ALERTE")*(COUNTIF(AI145,"*"&amp;CC4:CC795&amp;"*")&gt;0)*1))</f>
        <v>0</v>
      </c>
      <c r="AO145" s="6625" cm="1">
        <f t="array" ref="AO145">IF(W145="",0,SUMPRODUCT((CA4:CA795="Oeufs")*(CB4:CB795="ALERTE")*(COUNTIF(AI145,"*"&amp;CC4:CC795&amp;"*")&gt;0)*1))</f>
        <v>0</v>
      </c>
      <c r="AP145" s="6625" cm="1">
        <f t="array" ref="AP145">IF(W145="",0,SUMPRODUCT((CA4:CA795="Poissons")*(CB4:CB795="INFO")*(COUNTIF(AI145,"*"&amp;CC4:CC795&amp;"*")&gt;0)*1))</f>
        <v>0</v>
      </c>
      <c r="AQ145" s="6625" cm="1">
        <f t="array" ref="AQ145">IF(W145="",0,SUMPRODUCT((CA4:CA795="Poissons")*(CB4:CB795="EXCL")*(COUNTIF(AI145,"*"&amp;CC4:CC795&amp;"*")&gt;0)*1))</f>
        <v>0</v>
      </c>
      <c r="AR145" s="6625" cm="1">
        <f t="array" ref="AR145">IF(W145="",0,SUMPRODUCT((CA4:CA795="Poissons")*(CB4:CB795="ALERTE")*(COUNTIF(AI145,"*"&amp;CC4:CC795&amp;"*")&gt;0)*1))</f>
        <v>0</v>
      </c>
      <c r="AS145" s="6625" cm="1">
        <f t="array" ref="AS145">IF(W145="",0,SUMPRODUCT((CA4:CA795="Arachides")*(CB4:CB795="ALERTE")*(COUNTIF(AI145,"*"&amp;CC4:CC795&amp;"*")&gt;0)*1))</f>
        <v>0</v>
      </c>
      <c r="AT145" s="6625" cm="1">
        <f t="array" ref="AT145">IF(W145="",0,SUMPRODUCT((CA4:CA795="Soja")*(CB4:CB795="INFO")*(COUNTIF(AI145,"*"&amp;CC4:CC795&amp;"*")&gt;0)*1))</f>
        <v>0</v>
      </c>
      <c r="AU145" s="6625" cm="1">
        <f t="array" ref="AU145">IF(W145="",0,SUMPRODUCT((CA4:CA795="Soja")*(CB4:CB795="ALERTE")*(COUNTIF(AI145,"*"&amp;CC4:CC795&amp;"*")&gt;0)*1))</f>
        <v>0</v>
      </c>
      <c r="AV145" s="6625" cm="1">
        <f t="array" ref="AV145">IF(W145="",0,SUMPRODUCT((CA4:CA795="Lait")*(CB4:CB795="INFO")*(COUNTIF(AI145,"*"&amp;CC4:CC795&amp;"*")&gt;0)*1))</f>
        <v>0</v>
      </c>
      <c r="AW145" s="6625" cm="1">
        <f t="array" ref="AW145">IF(W145="",0,SUMPRODUCT((CA4:CA795="Lait")*(CB4:CB795="EXCL")*(COUNTIF(AI145,"*"&amp;CC4:CC795&amp;"*")&gt;0)*1))</f>
        <v>0</v>
      </c>
      <c r="AX145" s="6625" cm="1">
        <f t="array" ref="AX145">IF(W145="",0,SUMPRODUCT((CA4:CA795="Lait")*(CB4:CB795="ALERTE")*(COUNTIF(AI145,"*"&amp;CC4:CC795&amp;"*")&gt;0)*1))</f>
        <v>0</v>
      </c>
      <c r="AY145" s="6625" cm="1">
        <f t="array" ref="AY145">IF(W145="",0,SUMPRODUCT((CA4:CA795="Lait")*(CB4:CB795="SUSP")*(COUNTIF(AI145,"*"&amp;CC4:CC795&amp;"*")&gt;0)*1))</f>
        <v>0</v>
      </c>
      <c r="AZ145" s="6625" cm="1">
        <f t="array" ref="AZ145">IF(W145="",0,SUMPRODUCT((CA4:CA795="Fruits a coque")*(CB4:CB795="EXCL")*(COUNTIF(AI145,"*"&amp;CC4:CC795&amp;"*")&gt;0)*1))</f>
        <v>0</v>
      </c>
      <c r="BA145" s="6625" cm="1">
        <f t="array" ref="BA145">IF(W145="",0,SUMPRODUCT((CA4:CA795="Fruits a coque")*(CB4:CB795="ALERTE")*(COUNTIF(AI145,"*"&amp;CC4:CC795&amp;"*")&gt;0)*1))</f>
        <v>0</v>
      </c>
      <c r="BB145" s="6625" cm="1">
        <f t="array" ref="BB145">IF(W145="",0,SUMPRODUCT((CA4:CA795="Celeri")*(CB4:CB795="ALERTE")*(COUNTIF(AI145,"*"&amp;CC4:CC795&amp;"*")&gt;0)*1))</f>
        <v>0</v>
      </c>
      <c r="BC145" s="6625" cm="1">
        <f t="array" ref="BC145">IF(W145="",0,SUMPRODUCT((CA4:CA795="Moutarde")*(CB4:CB795="ALERTE")*(COUNTIF(AI145,"*"&amp;CC4:CC795&amp;"*")&gt;0)*1))</f>
        <v>0</v>
      </c>
      <c r="BD145" s="6625" cm="1">
        <f t="array" ref="BD145">IF(W145="",0,SUMPRODUCT((CA4:CA795="Sesame")*(CB4:CB795="ALERTE")*(COUNTIF(AI145,"*"&amp;CC4:CC795&amp;"*")&gt;0)*1))</f>
        <v>0</v>
      </c>
      <c r="BE145" s="6625" cm="1">
        <f t="array" ref="BE145">IF(W145="",0,SUMPRODUCT((CA4:CA795="Sulfites")*(CB4:CB795="ALERTE")*(COUNTIF(AI145,"*"&amp;CC4:CC795&amp;"*")&gt;0)*1))</f>
        <v>0</v>
      </c>
      <c r="BF145" s="6625" cm="1">
        <f t="array" ref="BF145">IF(W145="",0,SUMPRODUCT((CA4:CA795="Lupin")*(CB4:CB795="ALERTE")*(COUNTIF(AI145,"*"&amp;CC4:CC795&amp;"*")&gt;0)*1))</f>
        <v>0</v>
      </c>
      <c r="BG145" s="6625" cm="1">
        <f t="array" ref="BG145">IF(W145="",0,SUMPRODUCT((CA4:CA795="Mollusques")*(CB4:CB795="EXCL")*(COUNTIF(AI145,"*"&amp;CC4:CC795&amp;"*")&gt;0)*1))</f>
        <v>0</v>
      </c>
      <c r="BH145" s="6625" cm="1">
        <f t="array" ref="BH145">IF(W145="",0,SUMPRODUCT((CA4:CA795="Mollusques")*(CB4:CB795="ALERTE")*(COUNTIF(AI145,"*"&amp;CC4:CC795&amp;"*")&gt;0)*1))</f>
        <v>0</v>
      </c>
      <c r="BI145" s="6625" t="str">
        <f t="shared" si="68"/>
        <v/>
      </c>
      <c r="BJ145" s="6625" t="str">
        <f t="shared" si="69"/>
        <v/>
      </c>
      <c r="BK145" s="6625" t="str">
        <f t="shared" si="70"/>
        <v/>
      </c>
      <c r="BL145" s="6625" t="str">
        <f t="shared" si="71"/>
        <v/>
      </c>
      <c r="BM145" s="6625" t="str">
        <f t="shared" si="72"/>
        <v/>
      </c>
      <c r="BN145" s="6625" t="str">
        <f t="shared" si="73"/>
        <v/>
      </c>
      <c r="BO145" s="6625" t="str">
        <f t="shared" si="74"/>
        <v/>
      </c>
      <c r="BP145" s="6625" t="str">
        <f t="shared" si="75"/>
        <v/>
      </c>
      <c r="BQ145" s="6625" t="str">
        <f t="shared" si="76"/>
        <v/>
      </c>
      <c r="BR145" s="6625" t="str">
        <f t="shared" si="77"/>
        <v/>
      </c>
      <c r="BS145" s="6625" t="str">
        <f t="shared" si="78"/>
        <v/>
      </c>
      <c r="BT145" s="6625" t="str">
        <f t="shared" si="79"/>
        <v/>
      </c>
      <c r="BU145" s="6625" t="str">
        <f t="shared" si="80"/>
        <v/>
      </c>
      <c r="BV145" s="6625" t="str">
        <f t="shared" si="81"/>
        <v/>
      </c>
      <c r="BW145" s="6625" t="str">
        <f t="shared" si="82"/>
        <v/>
      </c>
      <c r="BX145" s="6625" t="str">
        <f t="shared" si="83"/>
        <v/>
      </c>
      <c r="CA145" s="3170" t="s">
        <v>16501</v>
      </c>
      <c r="CB145" s="7634" t="s">
        <v>16255</v>
      </c>
      <c r="CC145" s="3170" t="s">
        <v>16619</v>
      </c>
      <c r="CD145" s="3170" t="s">
        <v>16620</v>
      </c>
    </row>
    <row r="146" spans="2:82" ht="30" customHeight="1">
      <c r="B146" s="7661" t="str">
        <f t="shared" ref="B146:B203" si="88">IF(TRIM(SUBSTITUTE(K146,CHAR(160),""))="","",TRIM(SUBSTITUTE(SUBSTITUTE(SUBSTITUTE(SUBSTITUTE(CLEAN(K146),CHAR(160)," "),CHAR(9)," "),CHAR(10)," "),CHAR(13)," ")))</f>
        <v/>
      </c>
      <c r="C146" s="7661" t="str">
        <f t="shared" ref="C146:C203" si="89">IF(B146="","",TRIM(SUBSTITUTE(SUBSTITUTE(SUBSTITUTE(SUBSTITUTE(SUBSTITUTE(SUBSTITUTE(SUBSTITUTE(SUBSTITUTE(SUBSTITUTE(SUBSTITUTE(B146,","," "),";"," "),":"," "),"."," "),"?"," "), "!"," "),"/"," "), "("," "), ")"," "), "-"," ")))</f>
        <v/>
      </c>
      <c r="D146" s="7661" t="str">
        <f t="shared" ref="D146:D203" si="90">IF(UPPER(TRIM($N$11))="X",C146,B146)</f>
        <v/>
      </c>
      <c r="E146" s="7661">
        <f>IF(H145&lt;&gt;"",E145,IF(E145="","",IFERROR(MATCH(TRUE(),INDEX(INDEX($K:$K,E145+1):$K$203&lt;&gt;"",0),0)+E145,"")))</f>
        <v>321</v>
      </c>
      <c r="F146" s="7661">
        <f t="shared" si="84"/>
        <v>0</v>
      </c>
      <c r="G146" s="7661" t="str">
        <f t="shared" ref="G146:G209" si="91">IF(OR(F146="",M146=""),"",LEFT(F146,M146))</f>
        <v>0</v>
      </c>
      <c r="H146" s="7672" t="str">
        <f t="shared" ref="H146:H209" si="92">IF(OR(F146="",M146=""),"",TRIM(MID(F146,M146+1,99999)))</f>
        <v/>
      </c>
      <c r="I146" s="7683" t="str">
        <f t="shared" ref="I146:I209" si="93">IF(AND(F146&lt;&gt;"",$N$10&gt;0,M146&gt;$N$10),"Mot &gt; limite","")</f>
        <v/>
      </c>
      <c r="J146" s="7673" t="str">
        <f>IF(K146="","",COUNTIF($K$18:K146,"&lt;&gt;"))</f>
        <v/>
      </c>
      <c r="K146" s="7674"/>
      <c r="L146" s="7673" t="str">
        <f t="shared" ref="L146:L203" si="94">IF(TRIM(SUBSTITUTE(K146,CHAR(160),""))="","",LEN(K146))</f>
        <v/>
      </c>
      <c r="M146" s="7630">
        <f t="shared" ref="M146:M209" si="95">IF(OR(F146="",$N$10="",$N$10&lt;=0),"",IF(LEN(F146)&lt;=$N$10,LEN(F146),IFERROR(FIND("♦",SUBSTITUTE(LEFT(F146,$N$10)," ","♦",LEN(LEFT(F146,$N$10))-LEN(SUBSTITUTE(LEFT(F146,$N$10)," ","")))),FIND(" ",F146&amp;" ",$N$10+1)-1)))</f>
        <v>1</v>
      </c>
      <c r="N146" s="7675">
        <f t="shared" ref="N146:N209" si="96">IF(O146="","",ROW()-17)</f>
        <v>129</v>
      </c>
      <c r="O146" s="7676" t="str">
        <f t="shared" ref="O146:O209" si="97">G146</f>
        <v>0</v>
      </c>
      <c r="P146" s="7675">
        <f t="shared" ref="P146:P209" si="98">IF(O146="","",LEN(TRIM(O146))-LEN(SUBSTITUTE(TRIM(O146)," ",""))+1)</f>
        <v>1</v>
      </c>
      <c r="Q146" s="7675">
        <f t="shared" ref="Q146:Q209" si="99">IF(O146="","",LEN(O146))</f>
        <v>1</v>
      </c>
      <c r="S146" s="7679" t="str">
        <f t="shared" si="87"/>
        <v>0</v>
      </c>
      <c r="T146" s="7680" t="str">
        <f t="shared" si="87"/>
        <v/>
      </c>
      <c r="V146" s="7677">
        <f t="shared" ref="V146:V202" si="100">IF(W146="","",ROW())</f>
        <v>146</v>
      </c>
      <c r="W146" s="7678" t="str">
        <f t="shared" si="86"/>
        <v>0</v>
      </c>
      <c r="X146" s="7677" t="s">
        <v>2</v>
      </c>
      <c r="Y146" s="7702" t="str">
        <f t="shared" ref="Y146:Y202" si="101">IF(W146="","",TRIM(SUBSTITUTE(W146,"*",""))&amp;IF(COUNTIF(Z146,"*⚠*")&gt;0," *",""))</f>
        <v>0</v>
      </c>
      <c r="Z146" s="7703" t="str">
        <f t="shared" ref="Z146:Z202" si="102">IF(W146="","",MID(IF(BI146&lt;&gt;""," • "&amp;BI146,"")&amp;IF(BK146&lt;&gt;""," • "&amp;BK146,"")&amp;IF(BL146&lt;&gt;""," • "&amp;BL146,"")&amp;IF(BM146&lt;&gt;""," • "&amp;BM146,"")&amp;IF(BN146&lt;&gt;""," • "&amp;BN146,"")&amp;IF(BO146&lt;&gt;""," • "&amp;BO146,"")&amp;IF(BP146&lt;&gt;""," • "&amp;BP146,"")&amp;IF(BR146&lt;&gt;""," • "&amp;BR146,"")&amp;IF(BS146&lt;&gt;""," • "&amp;BS146,"")&amp;IF(BT146&lt;&gt;""," • "&amp;BT146,"")&amp;IF(BU146&lt;&gt;""," • "&amp;BU146,"")&amp;IF(BV146&lt;&gt;""," • "&amp;BV146,"")&amp;IF(BW146&lt;&gt;""," • "&amp;BW146,"")&amp;IF(BX146&lt;&gt;""," • "&amp;BX146,""),4,32767))</f>
        <v/>
      </c>
      <c r="AA146" s="7681" t="str">
        <f t="shared" ref="AA146:AA202" si="103">IF(W146="","",TRIM(W146)&amp;IF(AC146&gt;0," *",""))</f>
        <v>0</v>
      </c>
      <c r="AB146" s="7682" t="str">
        <f t="shared" ref="AB146:AB202" si="104">IF(W146="","",MID(IF(BJ146&lt;&gt;""," • "&amp;BJ146,"")&amp;IF(BQ146&lt;&gt;""," • "&amp;BQ146,""),4,32767))</f>
        <v/>
      </c>
      <c r="AC146" s="7677">
        <f t="shared" ref="AC146:AC202" si="105">IF(W146="","",--(BI146&lt;&gt;"")+--(BK146&lt;&gt;"")+--(BL146&lt;&gt;"")+--(BM146&lt;&gt;"")+--(BN146&lt;&gt;"")+--(BO146&lt;&gt;"")+--(BP146&lt;&gt;"")+--(BR146&lt;&gt;"")+--(BS146&lt;&gt;"")+--(BT146&lt;&gt;"")+--(BU146&lt;&gt;"")+--(BV146&lt;&gt;"")+--(BW146&lt;&gt;"")+--(BX146&lt;&gt;""))</f>
        <v>0</v>
      </c>
      <c r="AD146" s="7677">
        <f t="shared" ref="AD146:AD202" si="106">IF(W146="","",--(BJ146&lt;&gt;"")+--(BQ146&lt;&gt;""))</f>
        <v>0</v>
      </c>
      <c r="AE146" s="7682" t="str">
        <f t="shared" ref="AE146:AE202" si="107">IF(W146="","",IF(Z146&lt;&gt;"",Z146,IF(AB146&lt;&gt;"",AB146,"aucun match")))</f>
        <v>aucun match</v>
      </c>
      <c r="AF146" s="6625" t="str">
        <f t="shared" ref="AF146:AF202" si="108">IF(W146="","",LOWER(W146))</f>
        <v>0</v>
      </c>
      <c r="AG146" s="6625" t="str">
        <f t="shared" ref="AG146:AG202" si="109">IF(AF146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F146,"œ","oe"),"æ","ae"),"à","a"),"á","a"),"â","a"),"ä","a"),"ã","a"),"å","a"),"ç","c"),"è","e"),"é","e"),"ê","e"),"ë","e"),"ì","i"),"í","i"),"î","i"),"ï","i"),"ñ","n"),"ò","o"),"ó","o"),"ô","o"),"ö","o"),"õ","o"),"ù","u"),"ú","u"),"û","u"),"ü","u"),"ý","y"),"ÿ","y"))</f>
        <v>0</v>
      </c>
      <c r="AH146" s="6625" t="str">
        <f t="shared" ref="AH146:AH202" si="110">IF(AG146="","",SUBSTITUTE(SUBSTITUTE(SUBSTITUTE(SUBSTITUTE(SUBSTITUTE(SUBSTITUTE(SUBSTITUTE(SUBSTITUTE(SUBSTITUTE(SUBSTITUTE(SUBSTITUTE(SUBSTITUTE(SUBSTITUTE(SUBSTITUTE(SUBSTITUTE(SUBSTITUTE(SUBSTITUTE(AG146,CHAR(10)," "),CHAR(13)," "),","," "),"."," "),":"," "),"/"," "),"-"," "),"_"," "),CHAR(34)," "),CHAR(40)," "),CHAR(41)," "),CHAR(39)," "),"?"," "),"!"," "),"+"," "),"*"," "),"&amp;"," "))</f>
        <v>0</v>
      </c>
      <c r="AI146" s="6625" t="str">
        <f t="shared" ref="AI146:AI202" si="111">IF(AH146="",""," "&amp;TRIM(SUBSTITUTE(SUBSTITUTE(SUBSTITUTE(AH146,"  "," "),"  "," "),"  "," "))&amp;" ")</f>
        <v xml:space="preserve"> 0 </v>
      </c>
      <c r="AJ146" s="6625" cm="1">
        <f t="array" ref="AJ146">IF(W146="",0,SUMPRODUCT((CA4:CA795="Gluten")*(CB4:CB795="INFO")*(COUNTIF(AI146,"*"&amp;CC4:CC795&amp;"*")&gt;0)*1))</f>
        <v>0</v>
      </c>
      <c r="AK146" s="6625" cm="1">
        <f t="array" ref="AK146">IF(W146="",0,SUMPRODUCT((CA4:CA795="Gluten")*(CB4:CB795="EXCL")*(COUNTIF(AI146,"*"&amp;CC4:CC795&amp;"*")&gt;0)*1))</f>
        <v>0</v>
      </c>
      <c r="AL146" s="6625" cm="1">
        <f t="array" ref="AL146">IF(W146="",0,SUMPRODUCT((CA4:CA795="Gluten")*(CB4:CB795="ALERTE")*(COUNTIF(AI146,"*"&amp;CC4:CC795&amp;"*")&gt;0)*1))</f>
        <v>0</v>
      </c>
      <c r="AM146" s="6625" cm="1">
        <f t="array" ref="AM146">IF(W146="",0,SUMPRODUCT((CA4:CA795="Gluten")*(CB4:CB795="SUSP")*(COUNTIF(AI146,"*"&amp;CC4:CC795&amp;"*")&gt;0)*1))</f>
        <v>0</v>
      </c>
      <c r="AN146" s="6625" cm="1">
        <f t="array" ref="AN146">IF(W146="",0,SUMPRODUCT((CA4:CA795="Crustaces")*(CB4:CB795="ALERTE")*(COUNTIF(AI146,"*"&amp;CC4:CC795&amp;"*")&gt;0)*1))</f>
        <v>0</v>
      </c>
      <c r="AO146" s="6625" cm="1">
        <f t="array" ref="AO146">IF(W146="",0,SUMPRODUCT((CA4:CA795="Oeufs")*(CB4:CB795="ALERTE")*(COUNTIF(AI146,"*"&amp;CC4:CC795&amp;"*")&gt;0)*1))</f>
        <v>0</v>
      </c>
      <c r="AP146" s="6625" cm="1">
        <f t="array" ref="AP146">IF(W146="",0,SUMPRODUCT((CA4:CA795="Poissons")*(CB4:CB795="INFO")*(COUNTIF(AI146,"*"&amp;CC4:CC795&amp;"*")&gt;0)*1))</f>
        <v>0</v>
      </c>
      <c r="AQ146" s="6625" cm="1">
        <f t="array" ref="AQ146">IF(W146="",0,SUMPRODUCT((CA4:CA795="Poissons")*(CB4:CB795="EXCL")*(COUNTIF(AI146,"*"&amp;CC4:CC795&amp;"*")&gt;0)*1))</f>
        <v>0</v>
      </c>
      <c r="AR146" s="6625" cm="1">
        <f t="array" ref="AR146">IF(W146="",0,SUMPRODUCT((CA4:CA795="Poissons")*(CB4:CB795="ALERTE")*(COUNTIF(AI146,"*"&amp;CC4:CC795&amp;"*")&gt;0)*1))</f>
        <v>0</v>
      </c>
      <c r="AS146" s="6625" cm="1">
        <f t="array" ref="AS146">IF(W146="",0,SUMPRODUCT((CA4:CA795="Arachides")*(CB4:CB795="ALERTE")*(COUNTIF(AI146,"*"&amp;CC4:CC795&amp;"*")&gt;0)*1))</f>
        <v>0</v>
      </c>
      <c r="AT146" s="6625" cm="1">
        <f t="array" ref="AT146">IF(W146="",0,SUMPRODUCT((CA4:CA795="Soja")*(CB4:CB795="INFO")*(COUNTIF(AI146,"*"&amp;CC4:CC795&amp;"*")&gt;0)*1))</f>
        <v>0</v>
      </c>
      <c r="AU146" s="6625" cm="1">
        <f t="array" ref="AU146">IF(W146="",0,SUMPRODUCT((CA4:CA795="Soja")*(CB4:CB795="ALERTE")*(COUNTIF(AI146,"*"&amp;CC4:CC795&amp;"*")&gt;0)*1))</f>
        <v>0</v>
      </c>
      <c r="AV146" s="6625" cm="1">
        <f t="array" ref="AV146">IF(W146="",0,SUMPRODUCT((CA4:CA795="Lait")*(CB4:CB795="INFO")*(COUNTIF(AI146,"*"&amp;CC4:CC795&amp;"*")&gt;0)*1))</f>
        <v>0</v>
      </c>
      <c r="AW146" s="6625" cm="1">
        <f t="array" ref="AW146">IF(W146="",0,SUMPRODUCT((CA4:CA795="Lait")*(CB4:CB795="EXCL")*(COUNTIF(AI146,"*"&amp;CC4:CC795&amp;"*")&gt;0)*1))</f>
        <v>0</v>
      </c>
      <c r="AX146" s="6625" cm="1">
        <f t="array" ref="AX146">IF(W146="",0,SUMPRODUCT((CA4:CA795="Lait")*(CB4:CB795="ALERTE")*(COUNTIF(AI146,"*"&amp;CC4:CC795&amp;"*")&gt;0)*1))</f>
        <v>0</v>
      </c>
      <c r="AY146" s="6625" cm="1">
        <f t="array" ref="AY146">IF(W146="",0,SUMPRODUCT((CA4:CA795="Lait")*(CB4:CB795="SUSP")*(COUNTIF(AI146,"*"&amp;CC4:CC795&amp;"*")&gt;0)*1))</f>
        <v>0</v>
      </c>
      <c r="AZ146" s="6625" cm="1">
        <f t="array" ref="AZ146">IF(W146="",0,SUMPRODUCT((CA4:CA795="Fruits a coque")*(CB4:CB795="EXCL")*(COUNTIF(AI146,"*"&amp;CC4:CC795&amp;"*")&gt;0)*1))</f>
        <v>0</v>
      </c>
      <c r="BA146" s="6625" cm="1">
        <f t="array" ref="BA146">IF(W146="",0,SUMPRODUCT((CA4:CA795="Fruits a coque")*(CB4:CB795="ALERTE")*(COUNTIF(AI146,"*"&amp;CC4:CC795&amp;"*")&gt;0)*1))</f>
        <v>0</v>
      </c>
      <c r="BB146" s="6625" cm="1">
        <f t="array" ref="BB146">IF(W146="",0,SUMPRODUCT((CA4:CA795="Celeri")*(CB4:CB795="ALERTE")*(COUNTIF(AI146,"*"&amp;CC4:CC795&amp;"*")&gt;0)*1))</f>
        <v>0</v>
      </c>
      <c r="BC146" s="6625" cm="1">
        <f t="array" ref="BC146">IF(W146="",0,SUMPRODUCT((CA4:CA795="Moutarde")*(CB4:CB795="ALERTE")*(COUNTIF(AI146,"*"&amp;CC4:CC795&amp;"*")&gt;0)*1))</f>
        <v>0</v>
      </c>
      <c r="BD146" s="6625" cm="1">
        <f t="array" ref="BD146">IF(W146="",0,SUMPRODUCT((CA4:CA795="Sesame")*(CB4:CB795="ALERTE")*(COUNTIF(AI146,"*"&amp;CC4:CC795&amp;"*")&gt;0)*1))</f>
        <v>0</v>
      </c>
      <c r="BE146" s="6625" cm="1">
        <f t="array" ref="BE146">IF(W146="",0,SUMPRODUCT((CA4:CA795="Sulfites")*(CB4:CB795="ALERTE")*(COUNTIF(AI146,"*"&amp;CC4:CC795&amp;"*")&gt;0)*1))</f>
        <v>0</v>
      </c>
      <c r="BF146" s="6625" cm="1">
        <f t="array" ref="BF146">IF(W146="",0,SUMPRODUCT((CA4:CA795="Lupin")*(CB4:CB795="ALERTE")*(COUNTIF(AI146,"*"&amp;CC4:CC795&amp;"*")&gt;0)*1))</f>
        <v>0</v>
      </c>
      <c r="BG146" s="6625" cm="1">
        <f t="array" ref="BG146">IF(W146="",0,SUMPRODUCT((CA4:CA795="Mollusques")*(CB4:CB795="EXCL")*(COUNTIF(AI146,"*"&amp;CC4:CC795&amp;"*")&gt;0)*1))</f>
        <v>0</v>
      </c>
      <c r="BH146" s="6625" cm="1">
        <f t="array" ref="BH146">IF(W146="",0,SUMPRODUCT((CA4:CA795="Mollusques")*(CB4:CB795="ALERTE")*(COUNTIF(AI146,"*"&amp;CC4:CC795&amp;"*")&gt;0)*1))</f>
        <v>0</v>
      </c>
      <c r="BI146" s="6625" t="str">
        <f t="shared" ref="BI146:BI202" si="112">IF(W146="","",IF(AJ146&gt;0,"info Gluten",IF(AND(AL146&gt;0,AK146=0),"⚠ Gluten","")))</f>
        <v/>
      </c>
      <c r="BJ146" s="6625" t="str">
        <f t="shared" ref="BJ146:BJ202" si="113">IF(W146="","",IF(AND(BI146="",AM146&gt;0,AK146=0),"suspicion Gluten",""))</f>
        <v/>
      </c>
      <c r="BK146" s="6625" t="str">
        <f t="shared" ref="BK146:BK202" si="114">IF(W146="","",IF(AN146&gt;0,"⚠ Crustaces",""))</f>
        <v/>
      </c>
      <c r="BL146" s="6625" t="str">
        <f t="shared" ref="BL146:BL202" si="115">IF(W146="","",IF(AO146&gt;0,"⚠ Oeufs",""))</f>
        <v/>
      </c>
      <c r="BM146" s="6625" t="str">
        <f t="shared" ref="BM146:BM202" si="116">IF(W146="","",IF(AP146&gt;0,"info Poissons",IF(AND(AR146&gt;0,AQ146=0),"⚠ Poissons","")))</f>
        <v/>
      </c>
      <c r="BN146" s="6625" t="str">
        <f t="shared" ref="BN146:BN202" si="117">IF(W146="","",IF(AS146&gt;0,"⚠ Arachides",""))</f>
        <v/>
      </c>
      <c r="BO146" s="6625" t="str">
        <f t="shared" ref="BO146:BO202" si="118">IF(W146="","",IF(AT146&gt;0,"info Soja",IF(AU146&gt;0,"⚠ Soja","")))</f>
        <v/>
      </c>
      <c r="BP146" s="6625" t="str">
        <f t="shared" ref="BP146:BP202" si="119">IF(W146="","",IF(AV146&gt;0,"info Lait",IF(AND(AX146&gt;0,AW146=0),"⚠ Lait","")))</f>
        <v/>
      </c>
      <c r="BQ146" s="6625" t="str">
        <f t="shared" ref="BQ146:BQ202" si="120">IF(W146="","",IF(AND(BP146="",AY146&gt;0,AW146=0),"suspicion Lait",""))</f>
        <v/>
      </c>
      <c r="BR146" s="6625" t="str">
        <f t="shared" ref="BR146:BR202" si="121">IF(W146="","",IF(AND(BA146&gt;0,AZ146=0),"⚠ Fruits a coque",""))</f>
        <v/>
      </c>
      <c r="BS146" s="6625" t="str">
        <f t="shared" ref="BS146:BS202" si="122">IF(W146="","",IF(BB146&gt;0,"⚠ Celeri",""))</f>
        <v/>
      </c>
      <c r="BT146" s="6625" t="str">
        <f t="shared" ref="BT146:BT202" si="123">IF(W146="","",IF(BC146&gt;0,"⚠ Moutarde",""))</f>
        <v/>
      </c>
      <c r="BU146" s="6625" t="str">
        <f t="shared" ref="BU146:BU202" si="124">IF(W146="","",IF(BD146&gt;0,"⚠ Sesame",""))</f>
        <v/>
      </c>
      <c r="BV146" s="6625" t="str">
        <f t="shared" ref="BV146:BV202" si="125">IF(W146="","",IF(BE146&gt;0,"⚠ Sulfites",""))</f>
        <v/>
      </c>
      <c r="BW146" s="6625" t="str">
        <f t="shared" ref="BW146:BW202" si="126">IF(W146="","",IF(BF146&gt;0,"⚠ Lupin",""))</f>
        <v/>
      </c>
      <c r="BX146" s="6625" t="str">
        <f t="shared" ref="BX146:BX202" si="127">IF(W146="","",IF(AND(BH146&gt;0,BG146=0),"⚠ Mollusques",""))</f>
        <v/>
      </c>
      <c r="CA146" s="3170" t="s">
        <v>16501</v>
      </c>
      <c r="CB146" s="7634" t="s">
        <v>16255</v>
      </c>
      <c r="CC146" s="3170" t="s">
        <v>16621</v>
      </c>
      <c r="CD146" s="3170" t="s">
        <v>16622</v>
      </c>
    </row>
    <row r="147" spans="2:82" ht="30" customHeight="1">
      <c r="B147" s="7661" t="str">
        <f t="shared" si="88"/>
        <v/>
      </c>
      <c r="C147" s="7661" t="str">
        <f t="shared" si="89"/>
        <v/>
      </c>
      <c r="D147" s="7661" t="str">
        <f t="shared" si="90"/>
        <v/>
      </c>
      <c r="E147" s="7661">
        <f>IF(H146&lt;&gt;"",E146,IF(E146="","",IFERROR(MATCH(TRUE(),INDEX(INDEX($K:$K,E146+1):$K$203&lt;&gt;"",0),0)+E146,"")))</f>
        <v>322</v>
      </c>
      <c r="F147" s="7661">
        <f t="shared" ref="F147:F210" si="128">IF(E147="","",IF(H146&lt;&gt;"",H146,INDEX($D:$D,E147)))</f>
        <v>0</v>
      </c>
      <c r="G147" s="7661" t="str">
        <f t="shared" si="91"/>
        <v>0</v>
      </c>
      <c r="H147" s="7672" t="str">
        <f t="shared" si="92"/>
        <v/>
      </c>
      <c r="I147" s="7683" t="str">
        <f t="shared" si="93"/>
        <v/>
      </c>
      <c r="J147" s="7673" t="str">
        <f>IF(K147="","",COUNTIF($K$18:K147,"&lt;&gt;"))</f>
        <v/>
      </c>
      <c r="K147" s="7674"/>
      <c r="L147" s="7673" t="str">
        <f t="shared" si="94"/>
        <v/>
      </c>
      <c r="M147" s="7630">
        <f t="shared" si="95"/>
        <v>1</v>
      </c>
      <c r="N147" s="7675">
        <f t="shared" si="96"/>
        <v>130</v>
      </c>
      <c r="O147" s="7676" t="str">
        <f t="shared" si="97"/>
        <v>0</v>
      </c>
      <c r="P147" s="7675">
        <f t="shared" si="98"/>
        <v>1</v>
      </c>
      <c r="Q147" s="7675">
        <f t="shared" si="99"/>
        <v>1</v>
      </c>
      <c r="S147" s="7679" t="str">
        <f t="shared" ref="S147:T178" si="129">Y147</f>
        <v>0</v>
      </c>
      <c r="T147" s="7680" t="str">
        <f t="shared" si="129"/>
        <v/>
      </c>
      <c r="V147" s="7677">
        <f t="shared" si="100"/>
        <v>147</v>
      </c>
      <c r="W147" s="7678" t="str">
        <f t="shared" ref="W147:W202" si="130">O147</f>
        <v>0</v>
      </c>
      <c r="X147" s="7677" t="s">
        <v>2</v>
      </c>
      <c r="Y147" s="7702" t="str">
        <f t="shared" si="101"/>
        <v>0</v>
      </c>
      <c r="Z147" s="7703" t="str">
        <f t="shared" si="102"/>
        <v/>
      </c>
      <c r="AA147" s="7681" t="str">
        <f t="shared" si="103"/>
        <v>0</v>
      </c>
      <c r="AB147" s="7682" t="str">
        <f t="shared" si="104"/>
        <v/>
      </c>
      <c r="AC147" s="7677">
        <f t="shared" si="105"/>
        <v>0</v>
      </c>
      <c r="AD147" s="7677">
        <f t="shared" si="106"/>
        <v>0</v>
      </c>
      <c r="AE147" s="7682" t="str">
        <f t="shared" si="107"/>
        <v>aucun match</v>
      </c>
      <c r="AF147" s="6625" t="str">
        <f t="shared" si="108"/>
        <v>0</v>
      </c>
      <c r="AG147" s="6625" t="str">
        <f t="shared" si="109"/>
        <v>0</v>
      </c>
      <c r="AH147" s="6625" t="str">
        <f t="shared" si="110"/>
        <v>0</v>
      </c>
      <c r="AI147" s="6625" t="str">
        <f t="shared" si="111"/>
        <v xml:space="preserve"> 0 </v>
      </c>
      <c r="AJ147" s="6625" cm="1">
        <f t="array" ref="AJ147">IF(W147="",0,SUMPRODUCT((CA4:CA795="Gluten")*(CB4:CB795="INFO")*(COUNTIF(AI147,"*"&amp;CC4:CC795&amp;"*")&gt;0)*1))</f>
        <v>0</v>
      </c>
      <c r="AK147" s="6625" cm="1">
        <f t="array" ref="AK147">IF(W147="",0,SUMPRODUCT((CA4:CA795="Gluten")*(CB4:CB795="EXCL")*(COUNTIF(AI147,"*"&amp;CC4:CC795&amp;"*")&gt;0)*1))</f>
        <v>0</v>
      </c>
      <c r="AL147" s="6625" cm="1">
        <f t="array" ref="AL147">IF(W147="",0,SUMPRODUCT((CA4:CA795="Gluten")*(CB4:CB795="ALERTE")*(COUNTIF(AI147,"*"&amp;CC4:CC795&amp;"*")&gt;0)*1))</f>
        <v>0</v>
      </c>
      <c r="AM147" s="6625" cm="1">
        <f t="array" ref="AM147">IF(W147="",0,SUMPRODUCT((CA4:CA795="Gluten")*(CB4:CB795="SUSP")*(COUNTIF(AI147,"*"&amp;CC4:CC795&amp;"*")&gt;0)*1))</f>
        <v>0</v>
      </c>
      <c r="AN147" s="6625" cm="1">
        <f t="array" ref="AN147">IF(W147="",0,SUMPRODUCT((CA4:CA795="Crustaces")*(CB4:CB795="ALERTE")*(COUNTIF(AI147,"*"&amp;CC4:CC795&amp;"*")&gt;0)*1))</f>
        <v>0</v>
      </c>
      <c r="AO147" s="6625" cm="1">
        <f t="array" ref="AO147">IF(W147="",0,SUMPRODUCT((CA4:CA795="Oeufs")*(CB4:CB795="ALERTE")*(COUNTIF(AI147,"*"&amp;CC4:CC795&amp;"*")&gt;0)*1))</f>
        <v>0</v>
      </c>
      <c r="AP147" s="6625" cm="1">
        <f t="array" ref="AP147">IF(W147="",0,SUMPRODUCT((CA4:CA795="Poissons")*(CB4:CB795="INFO")*(COUNTIF(AI147,"*"&amp;CC4:CC795&amp;"*")&gt;0)*1))</f>
        <v>0</v>
      </c>
      <c r="AQ147" s="6625" cm="1">
        <f t="array" ref="AQ147">IF(W147="",0,SUMPRODUCT((CA4:CA795="Poissons")*(CB4:CB795="EXCL")*(COUNTIF(AI147,"*"&amp;CC4:CC795&amp;"*")&gt;0)*1))</f>
        <v>0</v>
      </c>
      <c r="AR147" s="6625" cm="1">
        <f t="array" ref="AR147">IF(W147="",0,SUMPRODUCT((CA4:CA795="Poissons")*(CB4:CB795="ALERTE")*(COUNTIF(AI147,"*"&amp;CC4:CC795&amp;"*")&gt;0)*1))</f>
        <v>0</v>
      </c>
      <c r="AS147" s="6625" cm="1">
        <f t="array" ref="AS147">IF(W147="",0,SUMPRODUCT((CA4:CA795="Arachides")*(CB4:CB795="ALERTE")*(COUNTIF(AI147,"*"&amp;CC4:CC795&amp;"*")&gt;0)*1))</f>
        <v>0</v>
      </c>
      <c r="AT147" s="6625" cm="1">
        <f t="array" ref="AT147">IF(W147="",0,SUMPRODUCT((CA4:CA795="Soja")*(CB4:CB795="INFO")*(COUNTIF(AI147,"*"&amp;CC4:CC795&amp;"*")&gt;0)*1))</f>
        <v>0</v>
      </c>
      <c r="AU147" s="6625" cm="1">
        <f t="array" ref="AU147">IF(W147="",0,SUMPRODUCT((CA4:CA795="Soja")*(CB4:CB795="ALERTE")*(COUNTIF(AI147,"*"&amp;CC4:CC795&amp;"*")&gt;0)*1))</f>
        <v>0</v>
      </c>
      <c r="AV147" s="6625" cm="1">
        <f t="array" ref="AV147">IF(W147="",0,SUMPRODUCT((CA4:CA795="Lait")*(CB4:CB795="INFO")*(COUNTIF(AI147,"*"&amp;CC4:CC795&amp;"*")&gt;0)*1))</f>
        <v>0</v>
      </c>
      <c r="AW147" s="6625" cm="1">
        <f t="array" ref="AW147">IF(W147="",0,SUMPRODUCT((CA4:CA795="Lait")*(CB4:CB795="EXCL")*(COUNTIF(AI147,"*"&amp;CC4:CC795&amp;"*")&gt;0)*1))</f>
        <v>0</v>
      </c>
      <c r="AX147" s="6625" cm="1">
        <f t="array" ref="AX147">IF(W147="",0,SUMPRODUCT((CA4:CA795="Lait")*(CB4:CB795="ALERTE")*(COUNTIF(AI147,"*"&amp;CC4:CC795&amp;"*")&gt;0)*1))</f>
        <v>0</v>
      </c>
      <c r="AY147" s="6625" cm="1">
        <f t="array" ref="AY147">IF(W147="",0,SUMPRODUCT((CA4:CA795="Lait")*(CB4:CB795="SUSP")*(COUNTIF(AI147,"*"&amp;CC4:CC795&amp;"*")&gt;0)*1))</f>
        <v>0</v>
      </c>
      <c r="AZ147" s="6625" cm="1">
        <f t="array" ref="AZ147">IF(W147="",0,SUMPRODUCT((CA4:CA795="Fruits a coque")*(CB4:CB795="EXCL")*(COUNTIF(AI147,"*"&amp;CC4:CC795&amp;"*")&gt;0)*1))</f>
        <v>0</v>
      </c>
      <c r="BA147" s="6625" cm="1">
        <f t="array" ref="BA147">IF(W147="",0,SUMPRODUCT((CA4:CA795="Fruits a coque")*(CB4:CB795="ALERTE")*(COUNTIF(AI147,"*"&amp;CC4:CC795&amp;"*")&gt;0)*1))</f>
        <v>0</v>
      </c>
      <c r="BB147" s="6625" cm="1">
        <f t="array" ref="BB147">IF(W147="",0,SUMPRODUCT((CA4:CA795="Celeri")*(CB4:CB795="ALERTE")*(COUNTIF(AI147,"*"&amp;CC4:CC795&amp;"*")&gt;0)*1))</f>
        <v>0</v>
      </c>
      <c r="BC147" s="6625" cm="1">
        <f t="array" ref="BC147">IF(W147="",0,SUMPRODUCT((CA4:CA795="Moutarde")*(CB4:CB795="ALERTE")*(COUNTIF(AI147,"*"&amp;CC4:CC795&amp;"*")&gt;0)*1))</f>
        <v>0</v>
      </c>
      <c r="BD147" s="6625" cm="1">
        <f t="array" ref="BD147">IF(W147="",0,SUMPRODUCT((CA4:CA795="Sesame")*(CB4:CB795="ALERTE")*(COUNTIF(AI147,"*"&amp;CC4:CC795&amp;"*")&gt;0)*1))</f>
        <v>0</v>
      </c>
      <c r="BE147" s="6625" cm="1">
        <f t="array" ref="BE147">IF(W147="",0,SUMPRODUCT((CA4:CA795="Sulfites")*(CB4:CB795="ALERTE")*(COUNTIF(AI147,"*"&amp;CC4:CC795&amp;"*")&gt;0)*1))</f>
        <v>0</v>
      </c>
      <c r="BF147" s="6625" cm="1">
        <f t="array" ref="BF147">IF(W147="",0,SUMPRODUCT((CA4:CA795="Lupin")*(CB4:CB795="ALERTE")*(COUNTIF(AI147,"*"&amp;CC4:CC795&amp;"*")&gt;0)*1))</f>
        <v>0</v>
      </c>
      <c r="BG147" s="6625" cm="1">
        <f t="array" ref="BG147">IF(W147="",0,SUMPRODUCT((CA4:CA795="Mollusques")*(CB4:CB795="EXCL")*(COUNTIF(AI147,"*"&amp;CC4:CC795&amp;"*")&gt;0)*1))</f>
        <v>0</v>
      </c>
      <c r="BH147" s="6625" cm="1">
        <f t="array" ref="BH147">IF(W147="",0,SUMPRODUCT((CA4:CA795="Mollusques")*(CB4:CB795="ALERTE")*(COUNTIF(AI147,"*"&amp;CC4:CC795&amp;"*")&gt;0)*1))</f>
        <v>0</v>
      </c>
      <c r="BI147" s="6625" t="str">
        <f t="shared" si="112"/>
        <v/>
      </c>
      <c r="BJ147" s="6625" t="str">
        <f t="shared" si="113"/>
        <v/>
      </c>
      <c r="BK147" s="6625" t="str">
        <f t="shared" si="114"/>
        <v/>
      </c>
      <c r="BL147" s="6625" t="str">
        <f t="shared" si="115"/>
        <v/>
      </c>
      <c r="BM147" s="6625" t="str">
        <f t="shared" si="116"/>
        <v/>
      </c>
      <c r="BN147" s="6625" t="str">
        <f t="shared" si="117"/>
        <v/>
      </c>
      <c r="BO147" s="6625" t="str">
        <f t="shared" si="118"/>
        <v/>
      </c>
      <c r="BP147" s="6625" t="str">
        <f t="shared" si="119"/>
        <v/>
      </c>
      <c r="BQ147" s="6625" t="str">
        <f t="shared" si="120"/>
        <v/>
      </c>
      <c r="BR147" s="6625" t="str">
        <f t="shared" si="121"/>
        <v/>
      </c>
      <c r="BS147" s="6625" t="str">
        <f t="shared" si="122"/>
        <v/>
      </c>
      <c r="BT147" s="6625" t="str">
        <f t="shared" si="123"/>
        <v/>
      </c>
      <c r="BU147" s="6625" t="str">
        <f t="shared" si="124"/>
        <v/>
      </c>
      <c r="BV147" s="6625" t="str">
        <f t="shared" si="125"/>
        <v/>
      </c>
      <c r="BW147" s="6625" t="str">
        <f t="shared" si="126"/>
        <v/>
      </c>
      <c r="BX147" s="6625" t="str">
        <f t="shared" si="127"/>
        <v/>
      </c>
      <c r="CA147" s="3170" t="s">
        <v>16501</v>
      </c>
      <c r="CB147" s="7634" t="s">
        <v>16255</v>
      </c>
      <c r="CC147" s="3170" t="s">
        <v>16623</v>
      </c>
      <c r="CD147" s="3170" t="s">
        <v>16624</v>
      </c>
    </row>
    <row r="148" spans="2:82" ht="30" customHeight="1">
      <c r="B148" s="7661" t="str">
        <f t="shared" si="88"/>
        <v/>
      </c>
      <c r="C148" s="7661" t="str">
        <f t="shared" si="89"/>
        <v/>
      </c>
      <c r="D148" s="7661" t="str">
        <f t="shared" si="90"/>
        <v/>
      </c>
      <c r="E148" s="7661">
        <f>IF(H147&lt;&gt;"",E147,IF(E147="","",IFERROR(MATCH(TRUE(),INDEX(INDEX($K:$K,E147+1):$K$203&lt;&gt;"",0),0)+E147,"")))</f>
        <v>323</v>
      </c>
      <c r="F148" s="7661">
        <f t="shared" si="128"/>
        <v>0</v>
      </c>
      <c r="G148" s="7661" t="str">
        <f t="shared" si="91"/>
        <v>0</v>
      </c>
      <c r="H148" s="7672" t="str">
        <f t="shared" si="92"/>
        <v/>
      </c>
      <c r="I148" s="7683" t="str">
        <f t="shared" si="93"/>
        <v/>
      </c>
      <c r="J148" s="7673" t="str">
        <f>IF(K148="","",COUNTIF($K$18:K148,"&lt;&gt;"))</f>
        <v/>
      </c>
      <c r="K148" s="7674"/>
      <c r="L148" s="7673" t="str">
        <f t="shared" si="94"/>
        <v/>
      </c>
      <c r="M148" s="7630">
        <f t="shared" si="95"/>
        <v>1</v>
      </c>
      <c r="N148" s="7675">
        <f t="shared" si="96"/>
        <v>131</v>
      </c>
      <c r="O148" s="7676" t="str">
        <f t="shared" si="97"/>
        <v>0</v>
      </c>
      <c r="P148" s="7675">
        <f t="shared" si="98"/>
        <v>1</v>
      </c>
      <c r="Q148" s="7675">
        <f t="shared" si="99"/>
        <v>1</v>
      </c>
      <c r="S148" s="7679" t="str">
        <f t="shared" si="129"/>
        <v>0</v>
      </c>
      <c r="T148" s="7680" t="str">
        <f t="shared" si="129"/>
        <v/>
      </c>
      <c r="V148" s="7677">
        <f t="shared" si="100"/>
        <v>148</v>
      </c>
      <c r="W148" s="7678" t="str">
        <f t="shared" si="130"/>
        <v>0</v>
      </c>
      <c r="X148" s="7677" t="s">
        <v>2</v>
      </c>
      <c r="Y148" s="7702" t="str">
        <f t="shared" si="101"/>
        <v>0</v>
      </c>
      <c r="Z148" s="7703" t="str">
        <f t="shared" si="102"/>
        <v/>
      </c>
      <c r="AA148" s="7681" t="str">
        <f t="shared" si="103"/>
        <v>0</v>
      </c>
      <c r="AB148" s="7682" t="str">
        <f t="shared" si="104"/>
        <v/>
      </c>
      <c r="AC148" s="7677">
        <f t="shared" si="105"/>
        <v>0</v>
      </c>
      <c r="AD148" s="7677">
        <f t="shared" si="106"/>
        <v>0</v>
      </c>
      <c r="AE148" s="7682" t="str">
        <f t="shared" si="107"/>
        <v>aucun match</v>
      </c>
      <c r="AF148" s="6625" t="str">
        <f t="shared" si="108"/>
        <v>0</v>
      </c>
      <c r="AG148" s="6625" t="str">
        <f t="shared" si="109"/>
        <v>0</v>
      </c>
      <c r="AH148" s="6625" t="str">
        <f t="shared" si="110"/>
        <v>0</v>
      </c>
      <c r="AI148" s="6625" t="str">
        <f t="shared" si="111"/>
        <v xml:space="preserve"> 0 </v>
      </c>
      <c r="AJ148" s="6625" cm="1">
        <f t="array" ref="AJ148">IF(W148="",0,SUMPRODUCT((CA4:CA795="Gluten")*(CB4:CB795="INFO")*(COUNTIF(AI148,"*"&amp;CC4:CC795&amp;"*")&gt;0)*1))</f>
        <v>0</v>
      </c>
      <c r="AK148" s="6625" cm="1">
        <f t="array" ref="AK148">IF(W148="",0,SUMPRODUCT((CA4:CA795="Gluten")*(CB4:CB795="EXCL")*(COUNTIF(AI148,"*"&amp;CC4:CC795&amp;"*")&gt;0)*1))</f>
        <v>0</v>
      </c>
      <c r="AL148" s="6625" cm="1">
        <f t="array" ref="AL148">IF(W148="",0,SUMPRODUCT((CA4:CA795="Gluten")*(CB4:CB795="ALERTE")*(COUNTIF(AI148,"*"&amp;CC4:CC795&amp;"*")&gt;0)*1))</f>
        <v>0</v>
      </c>
      <c r="AM148" s="6625" cm="1">
        <f t="array" ref="AM148">IF(W148="",0,SUMPRODUCT((CA4:CA795="Gluten")*(CB4:CB795="SUSP")*(COUNTIF(AI148,"*"&amp;CC4:CC795&amp;"*")&gt;0)*1))</f>
        <v>0</v>
      </c>
      <c r="AN148" s="6625" cm="1">
        <f t="array" ref="AN148">IF(W148="",0,SUMPRODUCT((CA4:CA795="Crustaces")*(CB4:CB795="ALERTE")*(COUNTIF(AI148,"*"&amp;CC4:CC795&amp;"*")&gt;0)*1))</f>
        <v>0</v>
      </c>
      <c r="AO148" s="6625" cm="1">
        <f t="array" ref="AO148">IF(W148="",0,SUMPRODUCT((CA4:CA795="Oeufs")*(CB4:CB795="ALERTE")*(COUNTIF(AI148,"*"&amp;CC4:CC795&amp;"*")&gt;0)*1))</f>
        <v>0</v>
      </c>
      <c r="AP148" s="6625" cm="1">
        <f t="array" ref="AP148">IF(W148="",0,SUMPRODUCT((CA4:CA795="Poissons")*(CB4:CB795="INFO")*(COUNTIF(AI148,"*"&amp;CC4:CC795&amp;"*")&gt;0)*1))</f>
        <v>0</v>
      </c>
      <c r="AQ148" s="6625" cm="1">
        <f t="array" ref="AQ148">IF(W148="",0,SUMPRODUCT((CA4:CA795="Poissons")*(CB4:CB795="EXCL")*(COUNTIF(AI148,"*"&amp;CC4:CC795&amp;"*")&gt;0)*1))</f>
        <v>0</v>
      </c>
      <c r="AR148" s="6625" cm="1">
        <f t="array" ref="AR148">IF(W148="",0,SUMPRODUCT((CA4:CA795="Poissons")*(CB4:CB795="ALERTE")*(COUNTIF(AI148,"*"&amp;CC4:CC795&amp;"*")&gt;0)*1))</f>
        <v>0</v>
      </c>
      <c r="AS148" s="6625" cm="1">
        <f t="array" ref="AS148">IF(W148="",0,SUMPRODUCT((CA4:CA795="Arachides")*(CB4:CB795="ALERTE")*(COUNTIF(AI148,"*"&amp;CC4:CC795&amp;"*")&gt;0)*1))</f>
        <v>0</v>
      </c>
      <c r="AT148" s="6625" cm="1">
        <f t="array" ref="AT148">IF(W148="",0,SUMPRODUCT((CA4:CA795="Soja")*(CB4:CB795="INFO")*(COUNTIF(AI148,"*"&amp;CC4:CC795&amp;"*")&gt;0)*1))</f>
        <v>0</v>
      </c>
      <c r="AU148" s="6625" cm="1">
        <f t="array" ref="AU148">IF(W148="",0,SUMPRODUCT((CA4:CA795="Soja")*(CB4:CB795="ALERTE")*(COUNTIF(AI148,"*"&amp;CC4:CC795&amp;"*")&gt;0)*1))</f>
        <v>0</v>
      </c>
      <c r="AV148" s="6625" cm="1">
        <f t="array" ref="AV148">IF(W148="",0,SUMPRODUCT((CA4:CA795="Lait")*(CB4:CB795="INFO")*(COUNTIF(AI148,"*"&amp;CC4:CC795&amp;"*")&gt;0)*1))</f>
        <v>0</v>
      </c>
      <c r="AW148" s="6625" cm="1">
        <f t="array" ref="AW148">IF(W148="",0,SUMPRODUCT((CA4:CA795="Lait")*(CB4:CB795="EXCL")*(COUNTIF(AI148,"*"&amp;CC4:CC795&amp;"*")&gt;0)*1))</f>
        <v>0</v>
      </c>
      <c r="AX148" s="6625" cm="1">
        <f t="array" ref="AX148">IF(W148="",0,SUMPRODUCT((CA4:CA795="Lait")*(CB4:CB795="ALERTE")*(COUNTIF(AI148,"*"&amp;CC4:CC795&amp;"*")&gt;0)*1))</f>
        <v>0</v>
      </c>
      <c r="AY148" s="6625" cm="1">
        <f t="array" ref="AY148">IF(W148="",0,SUMPRODUCT((CA4:CA795="Lait")*(CB4:CB795="SUSP")*(COUNTIF(AI148,"*"&amp;CC4:CC795&amp;"*")&gt;0)*1))</f>
        <v>0</v>
      </c>
      <c r="AZ148" s="6625" cm="1">
        <f t="array" ref="AZ148">IF(W148="",0,SUMPRODUCT((CA4:CA795="Fruits a coque")*(CB4:CB795="EXCL")*(COUNTIF(AI148,"*"&amp;CC4:CC795&amp;"*")&gt;0)*1))</f>
        <v>0</v>
      </c>
      <c r="BA148" s="6625" cm="1">
        <f t="array" ref="BA148">IF(W148="",0,SUMPRODUCT((CA4:CA795="Fruits a coque")*(CB4:CB795="ALERTE")*(COUNTIF(AI148,"*"&amp;CC4:CC795&amp;"*")&gt;0)*1))</f>
        <v>0</v>
      </c>
      <c r="BB148" s="6625" cm="1">
        <f t="array" ref="BB148">IF(W148="",0,SUMPRODUCT((CA4:CA795="Celeri")*(CB4:CB795="ALERTE")*(COUNTIF(AI148,"*"&amp;CC4:CC795&amp;"*")&gt;0)*1))</f>
        <v>0</v>
      </c>
      <c r="BC148" s="6625" cm="1">
        <f t="array" ref="BC148">IF(W148="",0,SUMPRODUCT((CA4:CA795="Moutarde")*(CB4:CB795="ALERTE")*(COUNTIF(AI148,"*"&amp;CC4:CC795&amp;"*")&gt;0)*1))</f>
        <v>0</v>
      </c>
      <c r="BD148" s="6625" cm="1">
        <f t="array" ref="BD148">IF(W148="",0,SUMPRODUCT((CA4:CA795="Sesame")*(CB4:CB795="ALERTE")*(COUNTIF(AI148,"*"&amp;CC4:CC795&amp;"*")&gt;0)*1))</f>
        <v>0</v>
      </c>
      <c r="BE148" s="6625" cm="1">
        <f t="array" ref="BE148">IF(W148="",0,SUMPRODUCT((CA4:CA795="Sulfites")*(CB4:CB795="ALERTE")*(COUNTIF(AI148,"*"&amp;CC4:CC795&amp;"*")&gt;0)*1))</f>
        <v>0</v>
      </c>
      <c r="BF148" s="6625" cm="1">
        <f t="array" ref="BF148">IF(W148="",0,SUMPRODUCT((CA4:CA795="Lupin")*(CB4:CB795="ALERTE")*(COUNTIF(AI148,"*"&amp;CC4:CC795&amp;"*")&gt;0)*1))</f>
        <v>0</v>
      </c>
      <c r="BG148" s="6625" cm="1">
        <f t="array" ref="BG148">IF(W148="",0,SUMPRODUCT((CA4:CA795="Mollusques")*(CB4:CB795="EXCL")*(COUNTIF(AI148,"*"&amp;CC4:CC795&amp;"*")&gt;0)*1))</f>
        <v>0</v>
      </c>
      <c r="BH148" s="6625" cm="1">
        <f t="array" ref="BH148">IF(W148="",0,SUMPRODUCT((CA4:CA795="Mollusques")*(CB4:CB795="ALERTE")*(COUNTIF(AI148,"*"&amp;CC4:CC795&amp;"*")&gt;0)*1))</f>
        <v>0</v>
      </c>
      <c r="BI148" s="6625" t="str">
        <f t="shared" si="112"/>
        <v/>
      </c>
      <c r="BJ148" s="6625" t="str">
        <f t="shared" si="113"/>
        <v/>
      </c>
      <c r="BK148" s="6625" t="str">
        <f t="shared" si="114"/>
        <v/>
      </c>
      <c r="BL148" s="6625" t="str">
        <f t="shared" si="115"/>
        <v/>
      </c>
      <c r="BM148" s="6625" t="str">
        <f t="shared" si="116"/>
        <v/>
      </c>
      <c r="BN148" s="6625" t="str">
        <f t="shared" si="117"/>
        <v/>
      </c>
      <c r="BO148" s="6625" t="str">
        <f t="shared" si="118"/>
        <v/>
      </c>
      <c r="BP148" s="6625" t="str">
        <f t="shared" si="119"/>
        <v/>
      </c>
      <c r="BQ148" s="6625" t="str">
        <f t="shared" si="120"/>
        <v/>
      </c>
      <c r="BR148" s="6625" t="str">
        <f t="shared" si="121"/>
        <v/>
      </c>
      <c r="BS148" s="6625" t="str">
        <f t="shared" si="122"/>
        <v/>
      </c>
      <c r="BT148" s="6625" t="str">
        <f t="shared" si="123"/>
        <v/>
      </c>
      <c r="BU148" s="6625" t="str">
        <f t="shared" si="124"/>
        <v/>
      </c>
      <c r="BV148" s="6625" t="str">
        <f t="shared" si="125"/>
        <v/>
      </c>
      <c r="BW148" s="6625" t="str">
        <f t="shared" si="126"/>
        <v/>
      </c>
      <c r="BX148" s="6625" t="str">
        <f t="shared" si="127"/>
        <v/>
      </c>
      <c r="CA148" s="3170" t="s">
        <v>16501</v>
      </c>
      <c r="CB148" s="7634" t="s">
        <v>16255</v>
      </c>
      <c r="CC148" s="3170" t="s">
        <v>16625</v>
      </c>
      <c r="CD148" s="3170" t="s">
        <v>16626</v>
      </c>
    </row>
    <row r="149" spans="2:82" ht="30" customHeight="1">
      <c r="B149" s="7661" t="str">
        <f t="shared" si="88"/>
        <v/>
      </c>
      <c r="C149" s="7661" t="str">
        <f t="shared" si="89"/>
        <v/>
      </c>
      <c r="D149" s="7661" t="str">
        <f t="shared" si="90"/>
        <v/>
      </c>
      <c r="E149" s="7661">
        <f>IF(H148&lt;&gt;"",E148,IF(E148="","",IFERROR(MATCH(TRUE(),INDEX(INDEX($K:$K,E148+1):$K$203&lt;&gt;"",0),0)+E148,"")))</f>
        <v>324</v>
      </c>
      <c r="F149" s="7661">
        <f t="shared" si="128"/>
        <v>0</v>
      </c>
      <c r="G149" s="7661" t="str">
        <f t="shared" si="91"/>
        <v>0</v>
      </c>
      <c r="H149" s="7672" t="str">
        <f t="shared" si="92"/>
        <v/>
      </c>
      <c r="I149" s="7683" t="str">
        <f t="shared" si="93"/>
        <v/>
      </c>
      <c r="J149" s="7673" t="str">
        <f>IF(K149="","",COUNTIF($K$18:K149,"&lt;&gt;"))</f>
        <v/>
      </c>
      <c r="K149" s="7674"/>
      <c r="L149" s="7673" t="str">
        <f t="shared" si="94"/>
        <v/>
      </c>
      <c r="M149" s="7630">
        <f t="shared" si="95"/>
        <v>1</v>
      </c>
      <c r="N149" s="7675">
        <f t="shared" si="96"/>
        <v>132</v>
      </c>
      <c r="O149" s="7676" t="str">
        <f t="shared" si="97"/>
        <v>0</v>
      </c>
      <c r="P149" s="7675">
        <f t="shared" si="98"/>
        <v>1</v>
      </c>
      <c r="Q149" s="7675">
        <f t="shared" si="99"/>
        <v>1</v>
      </c>
      <c r="S149" s="7679" t="str">
        <f t="shared" si="129"/>
        <v>0</v>
      </c>
      <c r="T149" s="7680" t="str">
        <f t="shared" si="129"/>
        <v/>
      </c>
      <c r="V149" s="7677">
        <f t="shared" si="100"/>
        <v>149</v>
      </c>
      <c r="W149" s="7678" t="str">
        <f t="shared" si="130"/>
        <v>0</v>
      </c>
      <c r="X149" s="7677" t="s">
        <v>2</v>
      </c>
      <c r="Y149" s="7702" t="str">
        <f t="shared" si="101"/>
        <v>0</v>
      </c>
      <c r="Z149" s="7703" t="str">
        <f t="shared" si="102"/>
        <v/>
      </c>
      <c r="AA149" s="7681" t="str">
        <f t="shared" si="103"/>
        <v>0</v>
      </c>
      <c r="AB149" s="7682" t="str">
        <f t="shared" si="104"/>
        <v/>
      </c>
      <c r="AC149" s="7677">
        <f t="shared" si="105"/>
        <v>0</v>
      </c>
      <c r="AD149" s="7677">
        <f t="shared" si="106"/>
        <v>0</v>
      </c>
      <c r="AE149" s="7682" t="str">
        <f t="shared" si="107"/>
        <v>aucun match</v>
      </c>
      <c r="AF149" s="6625" t="str">
        <f t="shared" si="108"/>
        <v>0</v>
      </c>
      <c r="AG149" s="6625" t="str">
        <f t="shared" si="109"/>
        <v>0</v>
      </c>
      <c r="AH149" s="6625" t="str">
        <f t="shared" si="110"/>
        <v>0</v>
      </c>
      <c r="AI149" s="6625" t="str">
        <f t="shared" si="111"/>
        <v xml:space="preserve"> 0 </v>
      </c>
      <c r="AJ149" s="6625" cm="1">
        <f t="array" ref="AJ149">IF(W149="",0,SUMPRODUCT((CA4:CA795="Gluten")*(CB4:CB795="INFO")*(COUNTIF(AI149,"*"&amp;CC4:CC795&amp;"*")&gt;0)*1))</f>
        <v>0</v>
      </c>
      <c r="AK149" s="6625" cm="1">
        <f t="array" ref="AK149">IF(W149="",0,SUMPRODUCT((CA4:CA795="Gluten")*(CB4:CB795="EXCL")*(COUNTIF(AI149,"*"&amp;CC4:CC795&amp;"*")&gt;0)*1))</f>
        <v>0</v>
      </c>
      <c r="AL149" s="6625" cm="1">
        <f t="array" ref="AL149">IF(W149="",0,SUMPRODUCT((CA4:CA795="Gluten")*(CB4:CB795="ALERTE")*(COUNTIF(AI149,"*"&amp;CC4:CC795&amp;"*")&gt;0)*1))</f>
        <v>0</v>
      </c>
      <c r="AM149" s="6625" cm="1">
        <f t="array" ref="AM149">IF(W149="",0,SUMPRODUCT((CA4:CA795="Gluten")*(CB4:CB795="SUSP")*(COUNTIF(AI149,"*"&amp;CC4:CC795&amp;"*")&gt;0)*1))</f>
        <v>0</v>
      </c>
      <c r="AN149" s="6625" cm="1">
        <f t="array" ref="AN149">IF(W149="",0,SUMPRODUCT((CA4:CA795="Crustaces")*(CB4:CB795="ALERTE")*(COUNTIF(AI149,"*"&amp;CC4:CC795&amp;"*")&gt;0)*1))</f>
        <v>0</v>
      </c>
      <c r="AO149" s="6625" cm="1">
        <f t="array" ref="AO149">IF(W149="",0,SUMPRODUCT((CA4:CA795="Oeufs")*(CB4:CB795="ALERTE")*(COUNTIF(AI149,"*"&amp;CC4:CC795&amp;"*")&gt;0)*1))</f>
        <v>0</v>
      </c>
      <c r="AP149" s="6625" cm="1">
        <f t="array" ref="AP149">IF(W149="",0,SUMPRODUCT((CA4:CA795="Poissons")*(CB4:CB795="INFO")*(COUNTIF(AI149,"*"&amp;CC4:CC795&amp;"*")&gt;0)*1))</f>
        <v>0</v>
      </c>
      <c r="AQ149" s="6625" cm="1">
        <f t="array" ref="AQ149">IF(W149="",0,SUMPRODUCT((CA4:CA795="Poissons")*(CB4:CB795="EXCL")*(COUNTIF(AI149,"*"&amp;CC4:CC795&amp;"*")&gt;0)*1))</f>
        <v>0</v>
      </c>
      <c r="AR149" s="6625" cm="1">
        <f t="array" ref="AR149">IF(W149="",0,SUMPRODUCT((CA4:CA795="Poissons")*(CB4:CB795="ALERTE")*(COUNTIF(AI149,"*"&amp;CC4:CC795&amp;"*")&gt;0)*1))</f>
        <v>0</v>
      </c>
      <c r="AS149" s="6625" cm="1">
        <f t="array" ref="AS149">IF(W149="",0,SUMPRODUCT((CA4:CA795="Arachides")*(CB4:CB795="ALERTE")*(COUNTIF(AI149,"*"&amp;CC4:CC795&amp;"*")&gt;0)*1))</f>
        <v>0</v>
      </c>
      <c r="AT149" s="6625" cm="1">
        <f t="array" ref="AT149">IF(W149="",0,SUMPRODUCT((CA4:CA795="Soja")*(CB4:CB795="INFO")*(COUNTIF(AI149,"*"&amp;CC4:CC795&amp;"*")&gt;0)*1))</f>
        <v>0</v>
      </c>
      <c r="AU149" s="6625" cm="1">
        <f t="array" ref="AU149">IF(W149="",0,SUMPRODUCT((CA4:CA795="Soja")*(CB4:CB795="ALERTE")*(COUNTIF(AI149,"*"&amp;CC4:CC795&amp;"*")&gt;0)*1))</f>
        <v>0</v>
      </c>
      <c r="AV149" s="6625" cm="1">
        <f t="array" ref="AV149">IF(W149="",0,SUMPRODUCT((CA4:CA795="Lait")*(CB4:CB795="INFO")*(COUNTIF(AI149,"*"&amp;CC4:CC795&amp;"*")&gt;0)*1))</f>
        <v>0</v>
      </c>
      <c r="AW149" s="6625" cm="1">
        <f t="array" ref="AW149">IF(W149="",0,SUMPRODUCT((CA4:CA795="Lait")*(CB4:CB795="EXCL")*(COUNTIF(AI149,"*"&amp;CC4:CC795&amp;"*")&gt;0)*1))</f>
        <v>0</v>
      </c>
      <c r="AX149" s="6625" cm="1">
        <f t="array" ref="AX149">IF(W149="",0,SUMPRODUCT((CA4:CA795="Lait")*(CB4:CB795="ALERTE")*(COUNTIF(AI149,"*"&amp;CC4:CC795&amp;"*")&gt;0)*1))</f>
        <v>0</v>
      </c>
      <c r="AY149" s="6625" cm="1">
        <f t="array" ref="AY149">IF(W149="",0,SUMPRODUCT((CA4:CA795="Lait")*(CB4:CB795="SUSP")*(COUNTIF(AI149,"*"&amp;CC4:CC795&amp;"*")&gt;0)*1))</f>
        <v>0</v>
      </c>
      <c r="AZ149" s="6625" cm="1">
        <f t="array" ref="AZ149">IF(W149="",0,SUMPRODUCT((CA4:CA795="Fruits a coque")*(CB4:CB795="EXCL")*(COUNTIF(AI149,"*"&amp;CC4:CC795&amp;"*")&gt;0)*1))</f>
        <v>0</v>
      </c>
      <c r="BA149" s="6625" cm="1">
        <f t="array" ref="BA149">IF(W149="",0,SUMPRODUCT((CA4:CA795="Fruits a coque")*(CB4:CB795="ALERTE")*(COUNTIF(AI149,"*"&amp;CC4:CC795&amp;"*")&gt;0)*1))</f>
        <v>0</v>
      </c>
      <c r="BB149" s="6625" cm="1">
        <f t="array" ref="BB149">IF(W149="",0,SUMPRODUCT((CA4:CA795="Celeri")*(CB4:CB795="ALERTE")*(COUNTIF(AI149,"*"&amp;CC4:CC795&amp;"*")&gt;0)*1))</f>
        <v>0</v>
      </c>
      <c r="BC149" s="6625" cm="1">
        <f t="array" ref="BC149">IF(W149="",0,SUMPRODUCT((CA4:CA795="Moutarde")*(CB4:CB795="ALERTE")*(COUNTIF(AI149,"*"&amp;CC4:CC795&amp;"*")&gt;0)*1))</f>
        <v>0</v>
      </c>
      <c r="BD149" s="6625" cm="1">
        <f t="array" ref="BD149">IF(W149="",0,SUMPRODUCT((CA4:CA795="Sesame")*(CB4:CB795="ALERTE")*(COUNTIF(AI149,"*"&amp;CC4:CC795&amp;"*")&gt;0)*1))</f>
        <v>0</v>
      </c>
      <c r="BE149" s="6625" cm="1">
        <f t="array" ref="BE149">IF(W149="",0,SUMPRODUCT((CA4:CA795="Sulfites")*(CB4:CB795="ALERTE")*(COUNTIF(AI149,"*"&amp;CC4:CC795&amp;"*")&gt;0)*1))</f>
        <v>0</v>
      </c>
      <c r="BF149" s="6625" cm="1">
        <f t="array" ref="BF149">IF(W149="",0,SUMPRODUCT((CA4:CA795="Lupin")*(CB4:CB795="ALERTE")*(COUNTIF(AI149,"*"&amp;CC4:CC795&amp;"*")&gt;0)*1))</f>
        <v>0</v>
      </c>
      <c r="BG149" s="6625" cm="1">
        <f t="array" ref="BG149">IF(W149="",0,SUMPRODUCT((CA4:CA795="Mollusques")*(CB4:CB795="EXCL")*(COUNTIF(AI149,"*"&amp;CC4:CC795&amp;"*")&gt;0)*1))</f>
        <v>0</v>
      </c>
      <c r="BH149" s="6625" cm="1">
        <f t="array" ref="BH149">IF(W149="",0,SUMPRODUCT((CA4:CA795="Mollusques")*(CB4:CB795="ALERTE")*(COUNTIF(AI149,"*"&amp;CC4:CC795&amp;"*")&gt;0)*1))</f>
        <v>0</v>
      </c>
      <c r="BI149" s="6625" t="str">
        <f t="shared" si="112"/>
        <v/>
      </c>
      <c r="BJ149" s="6625" t="str">
        <f t="shared" si="113"/>
        <v/>
      </c>
      <c r="BK149" s="6625" t="str">
        <f t="shared" si="114"/>
        <v/>
      </c>
      <c r="BL149" s="6625" t="str">
        <f t="shared" si="115"/>
        <v/>
      </c>
      <c r="BM149" s="6625" t="str">
        <f t="shared" si="116"/>
        <v/>
      </c>
      <c r="BN149" s="6625" t="str">
        <f t="shared" si="117"/>
        <v/>
      </c>
      <c r="BO149" s="6625" t="str">
        <f t="shared" si="118"/>
        <v/>
      </c>
      <c r="BP149" s="6625" t="str">
        <f t="shared" si="119"/>
        <v/>
      </c>
      <c r="BQ149" s="6625" t="str">
        <f t="shared" si="120"/>
        <v/>
      </c>
      <c r="BR149" s="6625" t="str">
        <f t="shared" si="121"/>
        <v/>
      </c>
      <c r="BS149" s="6625" t="str">
        <f t="shared" si="122"/>
        <v/>
      </c>
      <c r="BT149" s="6625" t="str">
        <f t="shared" si="123"/>
        <v/>
      </c>
      <c r="BU149" s="6625" t="str">
        <f t="shared" si="124"/>
        <v/>
      </c>
      <c r="BV149" s="6625" t="str">
        <f t="shared" si="125"/>
        <v/>
      </c>
      <c r="BW149" s="6625" t="str">
        <f t="shared" si="126"/>
        <v/>
      </c>
      <c r="BX149" s="6625" t="str">
        <f t="shared" si="127"/>
        <v/>
      </c>
      <c r="CA149" s="3170" t="s">
        <v>16501</v>
      </c>
      <c r="CB149" s="7634" t="s">
        <v>16255</v>
      </c>
      <c r="CC149" s="3170" t="s">
        <v>16627</v>
      </c>
      <c r="CD149" s="3170" t="s">
        <v>16628</v>
      </c>
    </row>
    <row r="150" spans="2:82" ht="30" customHeight="1">
      <c r="B150" s="7661" t="str">
        <f t="shared" si="88"/>
        <v/>
      </c>
      <c r="C150" s="7661" t="str">
        <f t="shared" si="89"/>
        <v/>
      </c>
      <c r="D150" s="7661" t="str">
        <f t="shared" si="90"/>
        <v/>
      </c>
      <c r="E150" s="7661">
        <f>IF(H149&lt;&gt;"",E149,IF(E149="","",IFERROR(MATCH(TRUE(),INDEX(INDEX($K:$K,E149+1):$K$203&lt;&gt;"",0),0)+E149,"")))</f>
        <v>325</v>
      </c>
      <c r="F150" s="7661">
        <f t="shared" si="128"/>
        <v>0</v>
      </c>
      <c r="G150" s="7661" t="str">
        <f t="shared" si="91"/>
        <v>0</v>
      </c>
      <c r="H150" s="7672" t="str">
        <f t="shared" si="92"/>
        <v/>
      </c>
      <c r="I150" s="7683" t="str">
        <f t="shared" si="93"/>
        <v/>
      </c>
      <c r="J150" s="7673" t="str">
        <f>IF(K150="","",COUNTIF($K$18:K150,"&lt;&gt;"))</f>
        <v/>
      </c>
      <c r="K150" s="7674"/>
      <c r="L150" s="7673" t="str">
        <f t="shared" si="94"/>
        <v/>
      </c>
      <c r="M150" s="7630">
        <f t="shared" si="95"/>
        <v>1</v>
      </c>
      <c r="N150" s="7675">
        <f t="shared" si="96"/>
        <v>133</v>
      </c>
      <c r="O150" s="7676" t="str">
        <f t="shared" si="97"/>
        <v>0</v>
      </c>
      <c r="P150" s="7675">
        <f t="shared" si="98"/>
        <v>1</v>
      </c>
      <c r="Q150" s="7675">
        <f t="shared" si="99"/>
        <v>1</v>
      </c>
      <c r="S150" s="7679" t="str">
        <f t="shared" si="129"/>
        <v>0</v>
      </c>
      <c r="T150" s="7680" t="str">
        <f t="shared" si="129"/>
        <v/>
      </c>
      <c r="V150" s="7677">
        <f t="shared" si="100"/>
        <v>150</v>
      </c>
      <c r="W150" s="7678" t="str">
        <f t="shared" si="130"/>
        <v>0</v>
      </c>
      <c r="X150" s="7677" t="s">
        <v>2</v>
      </c>
      <c r="Y150" s="7702" t="str">
        <f t="shared" si="101"/>
        <v>0</v>
      </c>
      <c r="Z150" s="7703" t="str">
        <f t="shared" si="102"/>
        <v/>
      </c>
      <c r="AA150" s="7681" t="str">
        <f t="shared" si="103"/>
        <v>0</v>
      </c>
      <c r="AB150" s="7682" t="str">
        <f t="shared" si="104"/>
        <v/>
      </c>
      <c r="AC150" s="7677">
        <f t="shared" si="105"/>
        <v>0</v>
      </c>
      <c r="AD150" s="7677">
        <f t="shared" si="106"/>
        <v>0</v>
      </c>
      <c r="AE150" s="7682" t="str">
        <f t="shared" si="107"/>
        <v>aucun match</v>
      </c>
      <c r="AF150" s="6625" t="str">
        <f t="shared" si="108"/>
        <v>0</v>
      </c>
      <c r="AG150" s="6625" t="str">
        <f t="shared" si="109"/>
        <v>0</v>
      </c>
      <c r="AH150" s="6625" t="str">
        <f t="shared" si="110"/>
        <v>0</v>
      </c>
      <c r="AI150" s="6625" t="str">
        <f t="shared" si="111"/>
        <v xml:space="preserve"> 0 </v>
      </c>
      <c r="AJ150" s="6625" cm="1">
        <f t="array" ref="AJ150">IF(W150="",0,SUMPRODUCT((CA4:CA795="Gluten")*(CB4:CB795="INFO")*(COUNTIF(AI150,"*"&amp;CC4:CC795&amp;"*")&gt;0)*1))</f>
        <v>0</v>
      </c>
      <c r="AK150" s="6625" cm="1">
        <f t="array" ref="AK150">IF(W150="",0,SUMPRODUCT((CA4:CA795="Gluten")*(CB4:CB795="EXCL")*(COUNTIF(AI150,"*"&amp;CC4:CC795&amp;"*")&gt;0)*1))</f>
        <v>0</v>
      </c>
      <c r="AL150" s="6625" cm="1">
        <f t="array" ref="AL150">IF(W150="",0,SUMPRODUCT((CA4:CA795="Gluten")*(CB4:CB795="ALERTE")*(COUNTIF(AI150,"*"&amp;CC4:CC795&amp;"*")&gt;0)*1))</f>
        <v>0</v>
      </c>
      <c r="AM150" s="6625" cm="1">
        <f t="array" ref="AM150">IF(W150="",0,SUMPRODUCT((CA4:CA795="Gluten")*(CB4:CB795="SUSP")*(COUNTIF(AI150,"*"&amp;CC4:CC795&amp;"*")&gt;0)*1))</f>
        <v>0</v>
      </c>
      <c r="AN150" s="6625" cm="1">
        <f t="array" ref="AN150">IF(W150="",0,SUMPRODUCT((CA4:CA795="Crustaces")*(CB4:CB795="ALERTE")*(COUNTIF(AI150,"*"&amp;CC4:CC795&amp;"*")&gt;0)*1))</f>
        <v>0</v>
      </c>
      <c r="AO150" s="6625" cm="1">
        <f t="array" ref="AO150">IF(W150="",0,SUMPRODUCT((CA4:CA795="Oeufs")*(CB4:CB795="ALERTE")*(COUNTIF(AI150,"*"&amp;CC4:CC795&amp;"*")&gt;0)*1))</f>
        <v>0</v>
      </c>
      <c r="AP150" s="6625" cm="1">
        <f t="array" ref="AP150">IF(W150="",0,SUMPRODUCT((CA4:CA795="Poissons")*(CB4:CB795="INFO")*(COUNTIF(AI150,"*"&amp;CC4:CC795&amp;"*")&gt;0)*1))</f>
        <v>0</v>
      </c>
      <c r="AQ150" s="6625" cm="1">
        <f t="array" ref="AQ150">IF(W150="",0,SUMPRODUCT((CA4:CA795="Poissons")*(CB4:CB795="EXCL")*(COUNTIF(AI150,"*"&amp;CC4:CC795&amp;"*")&gt;0)*1))</f>
        <v>0</v>
      </c>
      <c r="AR150" s="6625" cm="1">
        <f t="array" ref="AR150">IF(W150="",0,SUMPRODUCT((CA4:CA795="Poissons")*(CB4:CB795="ALERTE")*(COUNTIF(AI150,"*"&amp;CC4:CC795&amp;"*")&gt;0)*1))</f>
        <v>0</v>
      </c>
      <c r="AS150" s="6625" cm="1">
        <f t="array" ref="AS150">IF(W150="",0,SUMPRODUCT((CA4:CA795="Arachides")*(CB4:CB795="ALERTE")*(COUNTIF(AI150,"*"&amp;CC4:CC795&amp;"*")&gt;0)*1))</f>
        <v>0</v>
      </c>
      <c r="AT150" s="6625" cm="1">
        <f t="array" ref="AT150">IF(W150="",0,SUMPRODUCT((CA4:CA795="Soja")*(CB4:CB795="INFO")*(COUNTIF(AI150,"*"&amp;CC4:CC795&amp;"*")&gt;0)*1))</f>
        <v>0</v>
      </c>
      <c r="AU150" s="6625" cm="1">
        <f t="array" ref="AU150">IF(W150="",0,SUMPRODUCT((CA4:CA795="Soja")*(CB4:CB795="ALERTE")*(COUNTIF(AI150,"*"&amp;CC4:CC795&amp;"*")&gt;0)*1))</f>
        <v>0</v>
      </c>
      <c r="AV150" s="6625" cm="1">
        <f t="array" ref="AV150">IF(W150="",0,SUMPRODUCT((CA4:CA795="Lait")*(CB4:CB795="INFO")*(COUNTIF(AI150,"*"&amp;CC4:CC795&amp;"*")&gt;0)*1))</f>
        <v>0</v>
      </c>
      <c r="AW150" s="6625" cm="1">
        <f t="array" ref="AW150">IF(W150="",0,SUMPRODUCT((CA4:CA795="Lait")*(CB4:CB795="EXCL")*(COUNTIF(AI150,"*"&amp;CC4:CC795&amp;"*")&gt;0)*1))</f>
        <v>0</v>
      </c>
      <c r="AX150" s="6625" cm="1">
        <f t="array" ref="AX150">IF(W150="",0,SUMPRODUCT((CA4:CA795="Lait")*(CB4:CB795="ALERTE")*(COUNTIF(AI150,"*"&amp;CC4:CC795&amp;"*")&gt;0)*1))</f>
        <v>0</v>
      </c>
      <c r="AY150" s="6625" cm="1">
        <f t="array" ref="AY150">IF(W150="",0,SUMPRODUCT((CA4:CA795="Lait")*(CB4:CB795="SUSP")*(COUNTIF(AI150,"*"&amp;CC4:CC795&amp;"*")&gt;0)*1))</f>
        <v>0</v>
      </c>
      <c r="AZ150" s="6625" cm="1">
        <f t="array" ref="AZ150">IF(W150="",0,SUMPRODUCT((CA4:CA795="Fruits a coque")*(CB4:CB795="EXCL")*(COUNTIF(AI150,"*"&amp;CC4:CC795&amp;"*")&gt;0)*1))</f>
        <v>0</v>
      </c>
      <c r="BA150" s="6625" cm="1">
        <f t="array" ref="BA150">IF(W150="",0,SUMPRODUCT((CA4:CA795="Fruits a coque")*(CB4:CB795="ALERTE")*(COUNTIF(AI150,"*"&amp;CC4:CC795&amp;"*")&gt;0)*1))</f>
        <v>0</v>
      </c>
      <c r="BB150" s="6625" cm="1">
        <f t="array" ref="BB150">IF(W150="",0,SUMPRODUCT((CA4:CA795="Celeri")*(CB4:CB795="ALERTE")*(COUNTIF(AI150,"*"&amp;CC4:CC795&amp;"*")&gt;0)*1))</f>
        <v>0</v>
      </c>
      <c r="BC150" s="6625" cm="1">
        <f t="array" ref="BC150">IF(W150="",0,SUMPRODUCT((CA4:CA795="Moutarde")*(CB4:CB795="ALERTE")*(COUNTIF(AI150,"*"&amp;CC4:CC795&amp;"*")&gt;0)*1))</f>
        <v>0</v>
      </c>
      <c r="BD150" s="6625" cm="1">
        <f t="array" ref="BD150">IF(W150="",0,SUMPRODUCT((CA4:CA795="Sesame")*(CB4:CB795="ALERTE")*(COUNTIF(AI150,"*"&amp;CC4:CC795&amp;"*")&gt;0)*1))</f>
        <v>0</v>
      </c>
      <c r="BE150" s="6625" cm="1">
        <f t="array" ref="BE150">IF(W150="",0,SUMPRODUCT((CA4:CA795="Sulfites")*(CB4:CB795="ALERTE")*(COUNTIF(AI150,"*"&amp;CC4:CC795&amp;"*")&gt;0)*1))</f>
        <v>0</v>
      </c>
      <c r="BF150" s="6625" cm="1">
        <f t="array" ref="BF150">IF(W150="",0,SUMPRODUCT((CA4:CA795="Lupin")*(CB4:CB795="ALERTE")*(COUNTIF(AI150,"*"&amp;CC4:CC795&amp;"*")&gt;0)*1))</f>
        <v>0</v>
      </c>
      <c r="BG150" s="6625" cm="1">
        <f t="array" ref="BG150">IF(W150="",0,SUMPRODUCT((CA4:CA795="Mollusques")*(CB4:CB795="EXCL")*(COUNTIF(AI150,"*"&amp;CC4:CC795&amp;"*")&gt;0)*1))</f>
        <v>0</v>
      </c>
      <c r="BH150" s="6625" cm="1">
        <f t="array" ref="BH150">IF(W150="",0,SUMPRODUCT((CA4:CA795="Mollusques")*(CB4:CB795="ALERTE")*(COUNTIF(AI150,"*"&amp;CC4:CC795&amp;"*")&gt;0)*1))</f>
        <v>0</v>
      </c>
      <c r="BI150" s="6625" t="str">
        <f t="shared" si="112"/>
        <v/>
      </c>
      <c r="BJ150" s="6625" t="str">
        <f t="shared" si="113"/>
        <v/>
      </c>
      <c r="BK150" s="6625" t="str">
        <f t="shared" si="114"/>
        <v/>
      </c>
      <c r="BL150" s="6625" t="str">
        <f t="shared" si="115"/>
        <v/>
      </c>
      <c r="BM150" s="6625" t="str">
        <f t="shared" si="116"/>
        <v/>
      </c>
      <c r="BN150" s="6625" t="str">
        <f t="shared" si="117"/>
        <v/>
      </c>
      <c r="BO150" s="6625" t="str">
        <f t="shared" si="118"/>
        <v/>
      </c>
      <c r="BP150" s="6625" t="str">
        <f t="shared" si="119"/>
        <v/>
      </c>
      <c r="BQ150" s="6625" t="str">
        <f t="shared" si="120"/>
        <v/>
      </c>
      <c r="BR150" s="6625" t="str">
        <f t="shared" si="121"/>
        <v/>
      </c>
      <c r="BS150" s="6625" t="str">
        <f t="shared" si="122"/>
        <v/>
      </c>
      <c r="BT150" s="6625" t="str">
        <f t="shared" si="123"/>
        <v/>
      </c>
      <c r="BU150" s="6625" t="str">
        <f t="shared" si="124"/>
        <v/>
      </c>
      <c r="BV150" s="6625" t="str">
        <f t="shared" si="125"/>
        <v/>
      </c>
      <c r="BW150" s="6625" t="str">
        <f t="shared" si="126"/>
        <v/>
      </c>
      <c r="BX150" s="6625" t="str">
        <f t="shared" si="127"/>
        <v/>
      </c>
      <c r="CA150" s="3170" t="s">
        <v>16629</v>
      </c>
      <c r="CB150" s="7634" t="s">
        <v>16255</v>
      </c>
      <c r="CC150" s="3170" t="s">
        <v>16630</v>
      </c>
      <c r="CD150" s="3170" t="s">
        <v>16631</v>
      </c>
    </row>
    <row r="151" spans="2:82" ht="30" customHeight="1">
      <c r="B151" s="7661" t="str">
        <f t="shared" si="88"/>
        <v/>
      </c>
      <c r="C151" s="7661" t="str">
        <f t="shared" si="89"/>
        <v/>
      </c>
      <c r="D151" s="7661" t="str">
        <f t="shared" si="90"/>
        <v/>
      </c>
      <c r="E151" s="7661">
        <f>IF(H150&lt;&gt;"",E150,IF(E150="","",IFERROR(MATCH(TRUE(),INDEX(INDEX($K:$K,E150+1):$K$203&lt;&gt;"",0),0)+E150,"")))</f>
        <v>326</v>
      </c>
      <c r="F151" s="7661">
        <f t="shared" si="128"/>
        <v>0</v>
      </c>
      <c r="G151" s="7661" t="str">
        <f t="shared" si="91"/>
        <v>0</v>
      </c>
      <c r="H151" s="7672" t="str">
        <f t="shared" si="92"/>
        <v/>
      </c>
      <c r="I151" s="7683" t="str">
        <f t="shared" si="93"/>
        <v/>
      </c>
      <c r="J151" s="7673" t="str">
        <f>IF(K151="","",COUNTIF($K$18:K151,"&lt;&gt;"))</f>
        <v/>
      </c>
      <c r="K151" s="7674"/>
      <c r="L151" s="7673" t="str">
        <f t="shared" si="94"/>
        <v/>
      </c>
      <c r="M151" s="7630">
        <f t="shared" si="95"/>
        <v>1</v>
      </c>
      <c r="N151" s="7675">
        <f t="shared" si="96"/>
        <v>134</v>
      </c>
      <c r="O151" s="7676" t="str">
        <f t="shared" si="97"/>
        <v>0</v>
      </c>
      <c r="P151" s="7675">
        <f t="shared" si="98"/>
        <v>1</v>
      </c>
      <c r="Q151" s="7675">
        <f t="shared" si="99"/>
        <v>1</v>
      </c>
      <c r="S151" s="7679" t="str">
        <f t="shared" si="129"/>
        <v>0</v>
      </c>
      <c r="T151" s="7680" t="str">
        <f t="shared" si="129"/>
        <v/>
      </c>
      <c r="V151" s="7677">
        <f t="shared" si="100"/>
        <v>151</v>
      </c>
      <c r="W151" s="7678" t="str">
        <f t="shared" si="130"/>
        <v>0</v>
      </c>
      <c r="X151" s="7677" t="s">
        <v>2</v>
      </c>
      <c r="Y151" s="7702" t="str">
        <f t="shared" si="101"/>
        <v>0</v>
      </c>
      <c r="Z151" s="7703" t="str">
        <f t="shared" si="102"/>
        <v/>
      </c>
      <c r="AA151" s="7681" t="str">
        <f t="shared" si="103"/>
        <v>0</v>
      </c>
      <c r="AB151" s="7682" t="str">
        <f t="shared" si="104"/>
        <v/>
      </c>
      <c r="AC151" s="7677">
        <f t="shared" si="105"/>
        <v>0</v>
      </c>
      <c r="AD151" s="7677">
        <f t="shared" si="106"/>
        <v>0</v>
      </c>
      <c r="AE151" s="7682" t="str">
        <f t="shared" si="107"/>
        <v>aucun match</v>
      </c>
      <c r="AF151" s="6625" t="str">
        <f t="shared" si="108"/>
        <v>0</v>
      </c>
      <c r="AG151" s="6625" t="str">
        <f t="shared" si="109"/>
        <v>0</v>
      </c>
      <c r="AH151" s="6625" t="str">
        <f t="shared" si="110"/>
        <v>0</v>
      </c>
      <c r="AI151" s="6625" t="str">
        <f t="shared" si="111"/>
        <v xml:space="preserve"> 0 </v>
      </c>
      <c r="AJ151" s="6625" cm="1">
        <f t="array" ref="AJ151">IF(W151="",0,SUMPRODUCT((CA4:CA795="Gluten")*(CB4:CB795="INFO")*(COUNTIF(AI151,"*"&amp;CC4:CC795&amp;"*")&gt;0)*1))</f>
        <v>0</v>
      </c>
      <c r="AK151" s="6625" cm="1">
        <f t="array" ref="AK151">IF(W151="",0,SUMPRODUCT((CA4:CA795="Gluten")*(CB4:CB795="EXCL")*(COUNTIF(AI151,"*"&amp;CC4:CC795&amp;"*")&gt;0)*1))</f>
        <v>0</v>
      </c>
      <c r="AL151" s="6625" cm="1">
        <f t="array" ref="AL151">IF(W151="",0,SUMPRODUCT((CA4:CA795="Gluten")*(CB4:CB795="ALERTE")*(COUNTIF(AI151,"*"&amp;CC4:CC795&amp;"*")&gt;0)*1))</f>
        <v>0</v>
      </c>
      <c r="AM151" s="6625" cm="1">
        <f t="array" ref="AM151">IF(W151="",0,SUMPRODUCT((CA4:CA795="Gluten")*(CB4:CB795="SUSP")*(COUNTIF(AI151,"*"&amp;CC4:CC795&amp;"*")&gt;0)*1))</f>
        <v>0</v>
      </c>
      <c r="AN151" s="6625" cm="1">
        <f t="array" ref="AN151">IF(W151="",0,SUMPRODUCT((CA4:CA795="Crustaces")*(CB4:CB795="ALERTE")*(COUNTIF(AI151,"*"&amp;CC4:CC795&amp;"*")&gt;0)*1))</f>
        <v>0</v>
      </c>
      <c r="AO151" s="6625" cm="1">
        <f t="array" ref="AO151">IF(W151="",0,SUMPRODUCT((CA4:CA795="Oeufs")*(CB4:CB795="ALERTE")*(COUNTIF(AI151,"*"&amp;CC4:CC795&amp;"*")&gt;0)*1))</f>
        <v>0</v>
      </c>
      <c r="AP151" s="6625" cm="1">
        <f t="array" ref="AP151">IF(W151="",0,SUMPRODUCT((CA4:CA795="Poissons")*(CB4:CB795="INFO")*(COUNTIF(AI151,"*"&amp;CC4:CC795&amp;"*")&gt;0)*1))</f>
        <v>0</v>
      </c>
      <c r="AQ151" s="6625" cm="1">
        <f t="array" ref="AQ151">IF(W151="",0,SUMPRODUCT((CA4:CA795="Poissons")*(CB4:CB795="EXCL")*(COUNTIF(AI151,"*"&amp;CC4:CC795&amp;"*")&gt;0)*1))</f>
        <v>0</v>
      </c>
      <c r="AR151" s="6625" cm="1">
        <f t="array" ref="AR151">IF(W151="",0,SUMPRODUCT((CA4:CA795="Poissons")*(CB4:CB795="ALERTE")*(COUNTIF(AI151,"*"&amp;CC4:CC795&amp;"*")&gt;0)*1))</f>
        <v>0</v>
      </c>
      <c r="AS151" s="6625" cm="1">
        <f t="array" ref="AS151">IF(W151="",0,SUMPRODUCT((CA4:CA795="Arachides")*(CB4:CB795="ALERTE")*(COUNTIF(AI151,"*"&amp;CC4:CC795&amp;"*")&gt;0)*1))</f>
        <v>0</v>
      </c>
      <c r="AT151" s="6625" cm="1">
        <f t="array" ref="AT151">IF(W151="",0,SUMPRODUCT((CA4:CA795="Soja")*(CB4:CB795="INFO")*(COUNTIF(AI151,"*"&amp;CC4:CC795&amp;"*")&gt;0)*1))</f>
        <v>0</v>
      </c>
      <c r="AU151" s="6625" cm="1">
        <f t="array" ref="AU151">IF(W151="",0,SUMPRODUCT((CA4:CA795="Soja")*(CB4:CB795="ALERTE")*(COUNTIF(AI151,"*"&amp;CC4:CC795&amp;"*")&gt;0)*1))</f>
        <v>0</v>
      </c>
      <c r="AV151" s="6625" cm="1">
        <f t="array" ref="AV151">IF(W151="",0,SUMPRODUCT((CA4:CA795="Lait")*(CB4:CB795="INFO")*(COUNTIF(AI151,"*"&amp;CC4:CC795&amp;"*")&gt;0)*1))</f>
        <v>0</v>
      </c>
      <c r="AW151" s="6625" cm="1">
        <f t="array" ref="AW151">IF(W151="",0,SUMPRODUCT((CA4:CA795="Lait")*(CB4:CB795="EXCL")*(COUNTIF(AI151,"*"&amp;CC4:CC795&amp;"*")&gt;0)*1))</f>
        <v>0</v>
      </c>
      <c r="AX151" s="6625" cm="1">
        <f t="array" ref="AX151">IF(W151="",0,SUMPRODUCT((CA4:CA795="Lait")*(CB4:CB795="ALERTE")*(COUNTIF(AI151,"*"&amp;CC4:CC795&amp;"*")&gt;0)*1))</f>
        <v>0</v>
      </c>
      <c r="AY151" s="6625" cm="1">
        <f t="array" ref="AY151">IF(W151="",0,SUMPRODUCT((CA4:CA795="Lait")*(CB4:CB795="SUSP")*(COUNTIF(AI151,"*"&amp;CC4:CC795&amp;"*")&gt;0)*1))</f>
        <v>0</v>
      </c>
      <c r="AZ151" s="6625" cm="1">
        <f t="array" ref="AZ151">IF(W151="",0,SUMPRODUCT((CA4:CA795="Fruits a coque")*(CB4:CB795="EXCL")*(COUNTIF(AI151,"*"&amp;CC4:CC795&amp;"*")&gt;0)*1))</f>
        <v>0</v>
      </c>
      <c r="BA151" s="6625" cm="1">
        <f t="array" ref="BA151">IF(W151="",0,SUMPRODUCT((CA4:CA795="Fruits a coque")*(CB4:CB795="ALERTE")*(COUNTIF(AI151,"*"&amp;CC4:CC795&amp;"*")&gt;0)*1))</f>
        <v>0</v>
      </c>
      <c r="BB151" s="6625" cm="1">
        <f t="array" ref="BB151">IF(W151="",0,SUMPRODUCT((CA4:CA795="Celeri")*(CB4:CB795="ALERTE")*(COUNTIF(AI151,"*"&amp;CC4:CC795&amp;"*")&gt;0)*1))</f>
        <v>0</v>
      </c>
      <c r="BC151" s="6625" cm="1">
        <f t="array" ref="BC151">IF(W151="",0,SUMPRODUCT((CA4:CA795="Moutarde")*(CB4:CB795="ALERTE")*(COUNTIF(AI151,"*"&amp;CC4:CC795&amp;"*")&gt;0)*1))</f>
        <v>0</v>
      </c>
      <c r="BD151" s="6625" cm="1">
        <f t="array" ref="BD151">IF(W151="",0,SUMPRODUCT((CA4:CA795="Sesame")*(CB4:CB795="ALERTE")*(COUNTIF(AI151,"*"&amp;CC4:CC795&amp;"*")&gt;0)*1))</f>
        <v>0</v>
      </c>
      <c r="BE151" s="6625" cm="1">
        <f t="array" ref="BE151">IF(W151="",0,SUMPRODUCT((CA4:CA795="Sulfites")*(CB4:CB795="ALERTE")*(COUNTIF(AI151,"*"&amp;CC4:CC795&amp;"*")&gt;0)*1))</f>
        <v>0</v>
      </c>
      <c r="BF151" s="6625" cm="1">
        <f t="array" ref="BF151">IF(W151="",0,SUMPRODUCT((CA4:CA795="Lupin")*(CB4:CB795="ALERTE")*(COUNTIF(AI151,"*"&amp;CC4:CC795&amp;"*")&gt;0)*1))</f>
        <v>0</v>
      </c>
      <c r="BG151" s="6625" cm="1">
        <f t="array" ref="BG151">IF(W151="",0,SUMPRODUCT((CA4:CA795="Mollusques")*(CB4:CB795="EXCL")*(COUNTIF(AI151,"*"&amp;CC4:CC795&amp;"*")&gt;0)*1))</f>
        <v>0</v>
      </c>
      <c r="BH151" s="6625" cm="1">
        <f t="array" ref="BH151">IF(W151="",0,SUMPRODUCT((CA4:CA795="Mollusques")*(CB4:CB795="ALERTE")*(COUNTIF(AI151,"*"&amp;CC4:CC795&amp;"*")&gt;0)*1))</f>
        <v>0</v>
      </c>
      <c r="BI151" s="6625" t="str">
        <f t="shared" si="112"/>
        <v/>
      </c>
      <c r="BJ151" s="6625" t="str">
        <f t="shared" si="113"/>
        <v/>
      </c>
      <c r="BK151" s="6625" t="str">
        <f t="shared" si="114"/>
        <v/>
      </c>
      <c r="BL151" s="6625" t="str">
        <f t="shared" si="115"/>
        <v/>
      </c>
      <c r="BM151" s="6625" t="str">
        <f t="shared" si="116"/>
        <v/>
      </c>
      <c r="BN151" s="6625" t="str">
        <f t="shared" si="117"/>
        <v/>
      </c>
      <c r="BO151" s="6625" t="str">
        <f t="shared" si="118"/>
        <v/>
      </c>
      <c r="BP151" s="6625" t="str">
        <f t="shared" si="119"/>
        <v/>
      </c>
      <c r="BQ151" s="6625" t="str">
        <f t="shared" si="120"/>
        <v/>
      </c>
      <c r="BR151" s="6625" t="str">
        <f t="shared" si="121"/>
        <v/>
      </c>
      <c r="BS151" s="6625" t="str">
        <f t="shared" si="122"/>
        <v/>
      </c>
      <c r="BT151" s="6625" t="str">
        <f t="shared" si="123"/>
        <v/>
      </c>
      <c r="BU151" s="6625" t="str">
        <f t="shared" si="124"/>
        <v/>
      </c>
      <c r="BV151" s="6625" t="str">
        <f t="shared" si="125"/>
        <v/>
      </c>
      <c r="BW151" s="6625" t="str">
        <f t="shared" si="126"/>
        <v/>
      </c>
      <c r="BX151" s="6625" t="str">
        <f t="shared" si="127"/>
        <v/>
      </c>
      <c r="CA151" s="3170" t="s">
        <v>16629</v>
      </c>
      <c r="CB151" s="7634" t="s">
        <v>16255</v>
      </c>
      <c r="CC151" s="3170" t="s">
        <v>16632</v>
      </c>
      <c r="CD151" s="3170" t="s">
        <v>16633</v>
      </c>
    </row>
    <row r="152" spans="2:82" ht="30" customHeight="1">
      <c r="B152" s="7661" t="str">
        <f t="shared" si="88"/>
        <v/>
      </c>
      <c r="C152" s="7661" t="str">
        <f t="shared" si="89"/>
        <v/>
      </c>
      <c r="D152" s="7661" t="str">
        <f t="shared" si="90"/>
        <v/>
      </c>
      <c r="E152" s="7661">
        <f>IF(H151&lt;&gt;"",E151,IF(E151="","",IFERROR(MATCH(TRUE(),INDEX(INDEX($K:$K,E151+1):$K$203&lt;&gt;"",0),0)+E151,"")))</f>
        <v>327</v>
      </c>
      <c r="F152" s="7661">
        <f t="shared" si="128"/>
        <v>0</v>
      </c>
      <c r="G152" s="7661" t="str">
        <f t="shared" si="91"/>
        <v>0</v>
      </c>
      <c r="H152" s="7672" t="str">
        <f t="shared" si="92"/>
        <v/>
      </c>
      <c r="I152" s="7683" t="str">
        <f t="shared" si="93"/>
        <v/>
      </c>
      <c r="J152" s="7673" t="str">
        <f>IF(K152="","",COUNTIF($K$18:K152,"&lt;&gt;"))</f>
        <v/>
      </c>
      <c r="K152" s="7674"/>
      <c r="L152" s="7673" t="str">
        <f t="shared" si="94"/>
        <v/>
      </c>
      <c r="M152" s="7630">
        <f t="shared" si="95"/>
        <v>1</v>
      </c>
      <c r="N152" s="7675">
        <f t="shared" si="96"/>
        <v>135</v>
      </c>
      <c r="O152" s="7676" t="str">
        <f t="shared" si="97"/>
        <v>0</v>
      </c>
      <c r="P152" s="7675">
        <f t="shared" si="98"/>
        <v>1</v>
      </c>
      <c r="Q152" s="7675">
        <f t="shared" si="99"/>
        <v>1</v>
      </c>
      <c r="S152" s="7679" t="str">
        <f t="shared" si="129"/>
        <v>0</v>
      </c>
      <c r="T152" s="7680" t="str">
        <f t="shared" si="129"/>
        <v/>
      </c>
      <c r="V152" s="7677">
        <f t="shared" si="100"/>
        <v>152</v>
      </c>
      <c r="W152" s="7678" t="str">
        <f t="shared" si="130"/>
        <v>0</v>
      </c>
      <c r="X152" s="7677" t="s">
        <v>2</v>
      </c>
      <c r="Y152" s="7702" t="str">
        <f t="shared" si="101"/>
        <v>0</v>
      </c>
      <c r="Z152" s="7703" t="str">
        <f t="shared" si="102"/>
        <v/>
      </c>
      <c r="AA152" s="7681" t="str">
        <f t="shared" si="103"/>
        <v>0</v>
      </c>
      <c r="AB152" s="7682" t="str">
        <f t="shared" si="104"/>
        <v/>
      </c>
      <c r="AC152" s="7677">
        <f t="shared" si="105"/>
        <v>0</v>
      </c>
      <c r="AD152" s="7677">
        <f t="shared" si="106"/>
        <v>0</v>
      </c>
      <c r="AE152" s="7682" t="str">
        <f t="shared" si="107"/>
        <v>aucun match</v>
      </c>
      <c r="AF152" s="6625" t="str">
        <f t="shared" si="108"/>
        <v>0</v>
      </c>
      <c r="AG152" s="6625" t="str">
        <f t="shared" si="109"/>
        <v>0</v>
      </c>
      <c r="AH152" s="6625" t="str">
        <f t="shared" si="110"/>
        <v>0</v>
      </c>
      <c r="AI152" s="6625" t="str">
        <f t="shared" si="111"/>
        <v xml:space="preserve"> 0 </v>
      </c>
      <c r="AJ152" s="6625" cm="1">
        <f t="array" ref="AJ152">IF(W152="",0,SUMPRODUCT((CA4:CA795="Gluten")*(CB4:CB795="INFO")*(COUNTIF(AI152,"*"&amp;CC4:CC795&amp;"*")&gt;0)*1))</f>
        <v>0</v>
      </c>
      <c r="AK152" s="6625" cm="1">
        <f t="array" ref="AK152">IF(W152="",0,SUMPRODUCT((CA4:CA795="Gluten")*(CB4:CB795="EXCL")*(COUNTIF(AI152,"*"&amp;CC4:CC795&amp;"*")&gt;0)*1))</f>
        <v>0</v>
      </c>
      <c r="AL152" s="6625" cm="1">
        <f t="array" ref="AL152">IF(W152="",0,SUMPRODUCT((CA4:CA795="Gluten")*(CB4:CB795="ALERTE")*(COUNTIF(AI152,"*"&amp;CC4:CC795&amp;"*")&gt;0)*1))</f>
        <v>0</v>
      </c>
      <c r="AM152" s="6625" cm="1">
        <f t="array" ref="AM152">IF(W152="",0,SUMPRODUCT((CA4:CA795="Gluten")*(CB4:CB795="SUSP")*(COUNTIF(AI152,"*"&amp;CC4:CC795&amp;"*")&gt;0)*1))</f>
        <v>0</v>
      </c>
      <c r="AN152" s="6625" cm="1">
        <f t="array" ref="AN152">IF(W152="",0,SUMPRODUCT((CA4:CA795="Crustaces")*(CB4:CB795="ALERTE")*(COUNTIF(AI152,"*"&amp;CC4:CC795&amp;"*")&gt;0)*1))</f>
        <v>0</v>
      </c>
      <c r="AO152" s="6625" cm="1">
        <f t="array" ref="AO152">IF(W152="",0,SUMPRODUCT((CA4:CA795="Oeufs")*(CB4:CB795="ALERTE")*(COUNTIF(AI152,"*"&amp;CC4:CC795&amp;"*")&gt;0)*1))</f>
        <v>0</v>
      </c>
      <c r="AP152" s="6625" cm="1">
        <f t="array" ref="AP152">IF(W152="",0,SUMPRODUCT((CA4:CA795="Poissons")*(CB4:CB795="INFO")*(COUNTIF(AI152,"*"&amp;CC4:CC795&amp;"*")&gt;0)*1))</f>
        <v>0</v>
      </c>
      <c r="AQ152" s="6625" cm="1">
        <f t="array" ref="AQ152">IF(W152="",0,SUMPRODUCT((CA4:CA795="Poissons")*(CB4:CB795="EXCL")*(COUNTIF(AI152,"*"&amp;CC4:CC795&amp;"*")&gt;0)*1))</f>
        <v>0</v>
      </c>
      <c r="AR152" s="6625" cm="1">
        <f t="array" ref="AR152">IF(W152="",0,SUMPRODUCT((CA4:CA795="Poissons")*(CB4:CB795="ALERTE")*(COUNTIF(AI152,"*"&amp;CC4:CC795&amp;"*")&gt;0)*1))</f>
        <v>0</v>
      </c>
      <c r="AS152" s="6625" cm="1">
        <f t="array" ref="AS152">IF(W152="",0,SUMPRODUCT((CA4:CA795="Arachides")*(CB4:CB795="ALERTE")*(COUNTIF(AI152,"*"&amp;CC4:CC795&amp;"*")&gt;0)*1))</f>
        <v>0</v>
      </c>
      <c r="AT152" s="6625" cm="1">
        <f t="array" ref="AT152">IF(W152="",0,SUMPRODUCT((CA4:CA795="Soja")*(CB4:CB795="INFO")*(COUNTIF(AI152,"*"&amp;CC4:CC795&amp;"*")&gt;0)*1))</f>
        <v>0</v>
      </c>
      <c r="AU152" s="6625" cm="1">
        <f t="array" ref="AU152">IF(W152="",0,SUMPRODUCT((CA4:CA795="Soja")*(CB4:CB795="ALERTE")*(COUNTIF(AI152,"*"&amp;CC4:CC795&amp;"*")&gt;0)*1))</f>
        <v>0</v>
      </c>
      <c r="AV152" s="6625" cm="1">
        <f t="array" ref="AV152">IF(W152="",0,SUMPRODUCT((CA4:CA795="Lait")*(CB4:CB795="INFO")*(COUNTIF(AI152,"*"&amp;CC4:CC795&amp;"*")&gt;0)*1))</f>
        <v>0</v>
      </c>
      <c r="AW152" s="6625" cm="1">
        <f t="array" ref="AW152">IF(W152="",0,SUMPRODUCT((CA4:CA795="Lait")*(CB4:CB795="EXCL")*(COUNTIF(AI152,"*"&amp;CC4:CC795&amp;"*")&gt;0)*1))</f>
        <v>0</v>
      </c>
      <c r="AX152" s="6625" cm="1">
        <f t="array" ref="AX152">IF(W152="",0,SUMPRODUCT((CA4:CA795="Lait")*(CB4:CB795="ALERTE")*(COUNTIF(AI152,"*"&amp;CC4:CC795&amp;"*")&gt;0)*1))</f>
        <v>0</v>
      </c>
      <c r="AY152" s="6625" cm="1">
        <f t="array" ref="AY152">IF(W152="",0,SUMPRODUCT((CA4:CA795="Lait")*(CB4:CB795="SUSP")*(COUNTIF(AI152,"*"&amp;CC4:CC795&amp;"*")&gt;0)*1))</f>
        <v>0</v>
      </c>
      <c r="AZ152" s="6625" cm="1">
        <f t="array" ref="AZ152">IF(W152="",0,SUMPRODUCT((CA4:CA795="Fruits a coque")*(CB4:CB795="EXCL")*(COUNTIF(AI152,"*"&amp;CC4:CC795&amp;"*")&gt;0)*1))</f>
        <v>0</v>
      </c>
      <c r="BA152" s="6625" cm="1">
        <f t="array" ref="BA152">IF(W152="",0,SUMPRODUCT((CA4:CA795="Fruits a coque")*(CB4:CB795="ALERTE")*(COUNTIF(AI152,"*"&amp;CC4:CC795&amp;"*")&gt;0)*1))</f>
        <v>0</v>
      </c>
      <c r="BB152" s="6625" cm="1">
        <f t="array" ref="BB152">IF(W152="",0,SUMPRODUCT((CA4:CA795="Celeri")*(CB4:CB795="ALERTE")*(COUNTIF(AI152,"*"&amp;CC4:CC795&amp;"*")&gt;0)*1))</f>
        <v>0</v>
      </c>
      <c r="BC152" s="6625" cm="1">
        <f t="array" ref="BC152">IF(W152="",0,SUMPRODUCT((CA4:CA795="Moutarde")*(CB4:CB795="ALERTE")*(COUNTIF(AI152,"*"&amp;CC4:CC795&amp;"*")&gt;0)*1))</f>
        <v>0</v>
      </c>
      <c r="BD152" s="6625" cm="1">
        <f t="array" ref="BD152">IF(W152="",0,SUMPRODUCT((CA4:CA795="Sesame")*(CB4:CB795="ALERTE")*(COUNTIF(AI152,"*"&amp;CC4:CC795&amp;"*")&gt;0)*1))</f>
        <v>0</v>
      </c>
      <c r="BE152" s="6625" cm="1">
        <f t="array" ref="BE152">IF(W152="",0,SUMPRODUCT((CA4:CA795="Sulfites")*(CB4:CB795="ALERTE")*(COUNTIF(AI152,"*"&amp;CC4:CC795&amp;"*")&gt;0)*1))</f>
        <v>0</v>
      </c>
      <c r="BF152" s="6625" cm="1">
        <f t="array" ref="BF152">IF(W152="",0,SUMPRODUCT((CA4:CA795="Lupin")*(CB4:CB795="ALERTE")*(COUNTIF(AI152,"*"&amp;CC4:CC795&amp;"*")&gt;0)*1))</f>
        <v>0</v>
      </c>
      <c r="BG152" s="6625" cm="1">
        <f t="array" ref="BG152">IF(W152="",0,SUMPRODUCT((CA4:CA795="Mollusques")*(CB4:CB795="EXCL")*(COUNTIF(AI152,"*"&amp;CC4:CC795&amp;"*")&gt;0)*1))</f>
        <v>0</v>
      </c>
      <c r="BH152" s="6625" cm="1">
        <f t="array" ref="BH152">IF(W152="",0,SUMPRODUCT((CA4:CA795="Mollusques")*(CB4:CB795="ALERTE")*(COUNTIF(AI152,"*"&amp;CC4:CC795&amp;"*")&gt;0)*1))</f>
        <v>0</v>
      </c>
      <c r="BI152" s="6625" t="str">
        <f t="shared" si="112"/>
        <v/>
      </c>
      <c r="BJ152" s="6625" t="str">
        <f t="shared" si="113"/>
        <v/>
      </c>
      <c r="BK152" s="6625" t="str">
        <f t="shared" si="114"/>
        <v/>
      </c>
      <c r="BL152" s="6625" t="str">
        <f t="shared" si="115"/>
        <v/>
      </c>
      <c r="BM152" s="6625" t="str">
        <f t="shared" si="116"/>
        <v/>
      </c>
      <c r="BN152" s="6625" t="str">
        <f t="shared" si="117"/>
        <v/>
      </c>
      <c r="BO152" s="6625" t="str">
        <f t="shared" si="118"/>
        <v/>
      </c>
      <c r="BP152" s="6625" t="str">
        <f t="shared" si="119"/>
        <v/>
      </c>
      <c r="BQ152" s="6625" t="str">
        <f t="shared" si="120"/>
        <v/>
      </c>
      <c r="BR152" s="6625" t="str">
        <f t="shared" si="121"/>
        <v/>
      </c>
      <c r="BS152" s="6625" t="str">
        <f t="shared" si="122"/>
        <v/>
      </c>
      <c r="BT152" s="6625" t="str">
        <f t="shared" si="123"/>
        <v/>
      </c>
      <c r="BU152" s="6625" t="str">
        <f t="shared" si="124"/>
        <v/>
      </c>
      <c r="BV152" s="6625" t="str">
        <f t="shared" si="125"/>
        <v/>
      </c>
      <c r="BW152" s="6625" t="str">
        <f t="shared" si="126"/>
        <v/>
      </c>
      <c r="BX152" s="6625" t="str">
        <f t="shared" si="127"/>
        <v/>
      </c>
      <c r="CA152" s="3170" t="s">
        <v>16629</v>
      </c>
      <c r="CB152" s="7634" t="s">
        <v>16255</v>
      </c>
      <c r="CC152" s="3170" t="s">
        <v>16634</v>
      </c>
      <c r="CD152" s="3170" t="s">
        <v>16635</v>
      </c>
    </row>
    <row r="153" spans="2:82" ht="30" customHeight="1">
      <c r="B153" s="7661" t="str">
        <f t="shared" si="88"/>
        <v/>
      </c>
      <c r="C153" s="7661" t="str">
        <f t="shared" si="89"/>
        <v/>
      </c>
      <c r="D153" s="7661" t="str">
        <f t="shared" si="90"/>
        <v/>
      </c>
      <c r="E153" s="7661">
        <f>IF(H152&lt;&gt;"",E152,IF(E152="","",IFERROR(MATCH(TRUE(),INDEX(INDEX($K:$K,E152+1):$K$203&lt;&gt;"",0),0)+E152,"")))</f>
        <v>328</v>
      </c>
      <c r="F153" s="7661">
        <f t="shared" si="128"/>
        <v>0</v>
      </c>
      <c r="G153" s="7661" t="str">
        <f t="shared" si="91"/>
        <v>0</v>
      </c>
      <c r="H153" s="7672" t="str">
        <f t="shared" si="92"/>
        <v/>
      </c>
      <c r="I153" s="7683" t="str">
        <f t="shared" si="93"/>
        <v/>
      </c>
      <c r="J153" s="7673" t="str">
        <f>IF(K153="","",COUNTIF($K$18:K153,"&lt;&gt;"))</f>
        <v/>
      </c>
      <c r="K153" s="7674"/>
      <c r="L153" s="7673" t="str">
        <f t="shared" si="94"/>
        <v/>
      </c>
      <c r="M153" s="7630">
        <f t="shared" si="95"/>
        <v>1</v>
      </c>
      <c r="N153" s="7675">
        <f t="shared" si="96"/>
        <v>136</v>
      </c>
      <c r="O153" s="7676" t="str">
        <f t="shared" si="97"/>
        <v>0</v>
      </c>
      <c r="P153" s="7675">
        <f t="shared" si="98"/>
        <v>1</v>
      </c>
      <c r="Q153" s="7675">
        <f t="shared" si="99"/>
        <v>1</v>
      </c>
      <c r="S153" s="7679" t="str">
        <f t="shared" si="129"/>
        <v>0</v>
      </c>
      <c r="T153" s="7680" t="str">
        <f t="shared" si="129"/>
        <v/>
      </c>
      <c r="V153" s="7677">
        <f t="shared" si="100"/>
        <v>153</v>
      </c>
      <c r="W153" s="7678" t="str">
        <f t="shared" si="130"/>
        <v>0</v>
      </c>
      <c r="X153" s="7677" t="s">
        <v>2</v>
      </c>
      <c r="Y153" s="7702" t="str">
        <f t="shared" si="101"/>
        <v>0</v>
      </c>
      <c r="Z153" s="7703" t="str">
        <f t="shared" si="102"/>
        <v/>
      </c>
      <c r="AA153" s="7681" t="str">
        <f t="shared" si="103"/>
        <v>0</v>
      </c>
      <c r="AB153" s="7682" t="str">
        <f t="shared" si="104"/>
        <v/>
      </c>
      <c r="AC153" s="7677">
        <f t="shared" si="105"/>
        <v>0</v>
      </c>
      <c r="AD153" s="7677">
        <f t="shared" si="106"/>
        <v>0</v>
      </c>
      <c r="AE153" s="7682" t="str">
        <f t="shared" si="107"/>
        <v>aucun match</v>
      </c>
      <c r="AF153" s="6625" t="str">
        <f t="shared" si="108"/>
        <v>0</v>
      </c>
      <c r="AG153" s="6625" t="str">
        <f t="shared" si="109"/>
        <v>0</v>
      </c>
      <c r="AH153" s="6625" t="str">
        <f t="shared" si="110"/>
        <v>0</v>
      </c>
      <c r="AI153" s="6625" t="str">
        <f t="shared" si="111"/>
        <v xml:space="preserve"> 0 </v>
      </c>
      <c r="AJ153" s="6625" cm="1">
        <f t="array" ref="AJ153">IF(W153="",0,SUMPRODUCT((CA4:CA795="Gluten")*(CB4:CB795="INFO")*(COUNTIF(AI153,"*"&amp;CC4:CC795&amp;"*")&gt;0)*1))</f>
        <v>0</v>
      </c>
      <c r="AK153" s="6625" cm="1">
        <f t="array" ref="AK153">IF(W153="",0,SUMPRODUCT((CA4:CA795="Gluten")*(CB4:CB795="EXCL")*(COUNTIF(AI153,"*"&amp;CC4:CC795&amp;"*")&gt;0)*1))</f>
        <v>0</v>
      </c>
      <c r="AL153" s="6625" cm="1">
        <f t="array" ref="AL153">IF(W153="",0,SUMPRODUCT((CA4:CA795="Gluten")*(CB4:CB795="ALERTE")*(COUNTIF(AI153,"*"&amp;CC4:CC795&amp;"*")&gt;0)*1))</f>
        <v>0</v>
      </c>
      <c r="AM153" s="6625" cm="1">
        <f t="array" ref="AM153">IF(W153="",0,SUMPRODUCT((CA4:CA795="Gluten")*(CB4:CB795="SUSP")*(COUNTIF(AI153,"*"&amp;CC4:CC795&amp;"*")&gt;0)*1))</f>
        <v>0</v>
      </c>
      <c r="AN153" s="6625" cm="1">
        <f t="array" ref="AN153">IF(W153="",0,SUMPRODUCT((CA4:CA795="Crustaces")*(CB4:CB795="ALERTE")*(COUNTIF(AI153,"*"&amp;CC4:CC795&amp;"*")&gt;0)*1))</f>
        <v>0</v>
      </c>
      <c r="AO153" s="6625" cm="1">
        <f t="array" ref="AO153">IF(W153="",0,SUMPRODUCT((CA4:CA795="Oeufs")*(CB4:CB795="ALERTE")*(COUNTIF(AI153,"*"&amp;CC4:CC795&amp;"*")&gt;0)*1))</f>
        <v>0</v>
      </c>
      <c r="AP153" s="6625" cm="1">
        <f t="array" ref="AP153">IF(W153="",0,SUMPRODUCT((CA4:CA795="Poissons")*(CB4:CB795="INFO")*(COUNTIF(AI153,"*"&amp;CC4:CC795&amp;"*")&gt;0)*1))</f>
        <v>0</v>
      </c>
      <c r="AQ153" s="6625" cm="1">
        <f t="array" ref="AQ153">IF(W153="",0,SUMPRODUCT((CA4:CA795="Poissons")*(CB4:CB795="EXCL")*(COUNTIF(AI153,"*"&amp;CC4:CC795&amp;"*")&gt;0)*1))</f>
        <v>0</v>
      </c>
      <c r="AR153" s="6625" cm="1">
        <f t="array" ref="AR153">IF(W153="",0,SUMPRODUCT((CA4:CA795="Poissons")*(CB4:CB795="ALERTE")*(COUNTIF(AI153,"*"&amp;CC4:CC795&amp;"*")&gt;0)*1))</f>
        <v>0</v>
      </c>
      <c r="AS153" s="6625" cm="1">
        <f t="array" ref="AS153">IF(W153="",0,SUMPRODUCT((CA4:CA795="Arachides")*(CB4:CB795="ALERTE")*(COUNTIF(AI153,"*"&amp;CC4:CC795&amp;"*")&gt;0)*1))</f>
        <v>0</v>
      </c>
      <c r="AT153" s="6625" cm="1">
        <f t="array" ref="AT153">IF(W153="",0,SUMPRODUCT((CA4:CA795="Soja")*(CB4:CB795="INFO")*(COUNTIF(AI153,"*"&amp;CC4:CC795&amp;"*")&gt;0)*1))</f>
        <v>0</v>
      </c>
      <c r="AU153" s="6625" cm="1">
        <f t="array" ref="AU153">IF(W153="",0,SUMPRODUCT((CA4:CA795="Soja")*(CB4:CB795="ALERTE")*(COUNTIF(AI153,"*"&amp;CC4:CC795&amp;"*")&gt;0)*1))</f>
        <v>0</v>
      </c>
      <c r="AV153" s="6625" cm="1">
        <f t="array" ref="AV153">IF(W153="",0,SUMPRODUCT((CA4:CA795="Lait")*(CB4:CB795="INFO")*(COUNTIF(AI153,"*"&amp;CC4:CC795&amp;"*")&gt;0)*1))</f>
        <v>0</v>
      </c>
      <c r="AW153" s="6625" cm="1">
        <f t="array" ref="AW153">IF(W153="",0,SUMPRODUCT((CA4:CA795="Lait")*(CB4:CB795="EXCL")*(COUNTIF(AI153,"*"&amp;CC4:CC795&amp;"*")&gt;0)*1))</f>
        <v>0</v>
      </c>
      <c r="AX153" s="6625" cm="1">
        <f t="array" ref="AX153">IF(W153="",0,SUMPRODUCT((CA4:CA795="Lait")*(CB4:CB795="ALERTE")*(COUNTIF(AI153,"*"&amp;CC4:CC795&amp;"*")&gt;0)*1))</f>
        <v>0</v>
      </c>
      <c r="AY153" s="6625" cm="1">
        <f t="array" ref="AY153">IF(W153="",0,SUMPRODUCT((CA4:CA795="Lait")*(CB4:CB795="SUSP")*(COUNTIF(AI153,"*"&amp;CC4:CC795&amp;"*")&gt;0)*1))</f>
        <v>0</v>
      </c>
      <c r="AZ153" s="6625" cm="1">
        <f t="array" ref="AZ153">IF(W153="",0,SUMPRODUCT((CA4:CA795="Fruits a coque")*(CB4:CB795="EXCL")*(COUNTIF(AI153,"*"&amp;CC4:CC795&amp;"*")&gt;0)*1))</f>
        <v>0</v>
      </c>
      <c r="BA153" s="6625" cm="1">
        <f t="array" ref="BA153">IF(W153="",0,SUMPRODUCT((CA4:CA795="Fruits a coque")*(CB4:CB795="ALERTE")*(COUNTIF(AI153,"*"&amp;CC4:CC795&amp;"*")&gt;0)*1))</f>
        <v>0</v>
      </c>
      <c r="BB153" s="6625" cm="1">
        <f t="array" ref="BB153">IF(W153="",0,SUMPRODUCT((CA4:CA795="Celeri")*(CB4:CB795="ALERTE")*(COUNTIF(AI153,"*"&amp;CC4:CC795&amp;"*")&gt;0)*1))</f>
        <v>0</v>
      </c>
      <c r="BC153" s="6625" cm="1">
        <f t="array" ref="BC153">IF(W153="",0,SUMPRODUCT((CA4:CA795="Moutarde")*(CB4:CB795="ALERTE")*(COUNTIF(AI153,"*"&amp;CC4:CC795&amp;"*")&gt;0)*1))</f>
        <v>0</v>
      </c>
      <c r="BD153" s="6625" cm="1">
        <f t="array" ref="BD153">IF(W153="",0,SUMPRODUCT((CA4:CA795="Sesame")*(CB4:CB795="ALERTE")*(COUNTIF(AI153,"*"&amp;CC4:CC795&amp;"*")&gt;0)*1))</f>
        <v>0</v>
      </c>
      <c r="BE153" s="6625" cm="1">
        <f t="array" ref="BE153">IF(W153="",0,SUMPRODUCT((CA4:CA795="Sulfites")*(CB4:CB795="ALERTE")*(COUNTIF(AI153,"*"&amp;CC4:CC795&amp;"*")&gt;0)*1))</f>
        <v>0</v>
      </c>
      <c r="BF153" s="6625" cm="1">
        <f t="array" ref="BF153">IF(W153="",0,SUMPRODUCT((CA4:CA795="Lupin")*(CB4:CB795="ALERTE")*(COUNTIF(AI153,"*"&amp;CC4:CC795&amp;"*")&gt;0)*1))</f>
        <v>0</v>
      </c>
      <c r="BG153" s="6625" cm="1">
        <f t="array" ref="BG153">IF(W153="",0,SUMPRODUCT((CA4:CA795="Mollusques")*(CB4:CB795="EXCL")*(COUNTIF(AI153,"*"&amp;CC4:CC795&amp;"*")&gt;0)*1))</f>
        <v>0</v>
      </c>
      <c r="BH153" s="6625" cm="1">
        <f t="array" ref="BH153">IF(W153="",0,SUMPRODUCT((CA4:CA795="Mollusques")*(CB4:CB795="ALERTE")*(COUNTIF(AI153,"*"&amp;CC4:CC795&amp;"*")&gt;0)*1))</f>
        <v>0</v>
      </c>
      <c r="BI153" s="6625" t="str">
        <f t="shared" si="112"/>
        <v/>
      </c>
      <c r="BJ153" s="6625" t="str">
        <f t="shared" si="113"/>
        <v/>
      </c>
      <c r="BK153" s="6625" t="str">
        <f t="shared" si="114"/>
        <v/>
      </c>
      <c r="BL153" s="6625" t="str">
        <f t="shared" si="115"/>
        <v/>
      </c>
      <c r="BM153" s="6625" t="str">
        <f t="shared" si="116"/>
        <v/>
      </c>
      <c r="BN153" s="6625" t="str">
        <f t="shared" si="117"/>
        <v/>
      </c>
      <c r="BO153" s="6625" t="str">
        <f t="shared" si="118"/>
        <v/>
      </c>
      <c r="BP153" s="6625" t="str">
        <f t="shared" si="119"/>
        <v/>
      </c>
      <c r="BQ153" s="6625" t="str">
        <f t="shared" si="120"/>
        <v/>
      </c>
      <c r="BR153" s="6625" t="str">
        <f t="shared" si="121"/>
        <v/>
      </c>
      <c r="BS153" s="6625" t="str">
        <f t="shared" si="122"/>
        <v/>
      </c>
      <c r="BT153" s="6625" t="str">
        <f t="shared" si="123"/>
        <v/>
      </c>
      <c r="BU153" s="6625" t="str">
        <f t="shared" si="124"/>
        <v/>
      </c>
      <c r="BV153" s="6625" t="str">
        <f t="shared" si="125"/>
        <v/>
      </c>
      <c r="BW153" s="6625" t="str">
        <f t="shared" si="126"/>
        <v/>
      </c>
      <c r="BX153" s="6625" t="str">
        <f t="shared" si="127"/>
        <v/>
      </c>
      <c r="CA153" s="3170" t="s">
        <v>16629</v>
      </c>
      <c r="CB153" s="7634" t="s">
        <v>16255</v>
      </c>
      <c r="CC153" s="3170" t="s">
        <v>16636</v>
      </c>
      <c r="CD153" s="3170" t="s">
        <v>16637</v>
      </c>
    </row>
    <row r="154" spans="2:82" ht="30" customHeight="1">
      <c r="B154" s="7661" t="str">
        <f t="shared" si="88"/>
        <v/>
      </c>
      <c r="C154" s="7661" t="str">
        <f t="shared" si="89"/>
        <v/>
      </c>
      <c r="D154" s="7661" t="str">
        <f t="shared" si="90"/>
        <v/>
      </c>
      <c r="E154" s="7661">
        <f>IF(H153&lt;&gt;"",E153,IF(E153="","",IFERROR(MATCH(TRUE(),INDEX(INDEX($K:$K,E153+1):$K$203&lt;&gt;"",0),0)+E153,"")))</f>
        <v>329</v>
      </c>
      <c r="F154" s="7661">
        <f t="shared" si="128"/>
        <v>0</v>
      </c>
      <c r="G154" s="7661" t="str">
        <f t="shared" si="91"/>
        <v>0</v>
      </c>
      <c r="H154" s="7672" t="str">
        <f t="shared" si="92"/>
        <v/>
      </c>
      <c r="I154" s="7683" t="str">
        <f t="shared" si="93"/>
        <v/>
      </c>
      <c r="J154" s="7673" t="str">
        <f>IF(K154="","",COUNTIF($K$18:K154,"&lt;&gt;"))</f>
        <v/>
      </c>
      <c r="K154" s="7674"/>
      <c r="L154" s="7673" t="str">
        <f t="shared" si="94"/>
        <v/>
      </c>
      <c r="M154" s="7630">
        <f t="shared" si="95"/>
        <v>1</v>
      </c>
      <c r="N154" s="7675">
        <f t="shared" si="96"/>
        <v>137</v>
      </c>
      <c r="O154" s="7676" t="str">
        <f t="shared" si="97"/>
        <v>0</v>
      </c>
      <c r="P154" s="7675">
        <f t="shared" si="98"/>
        <v>1</v>
      </c>
      <c r="Q154" s="7675">
        <f t="shared" si="99"/>
        <v>1</v>
      </c>
      <c r="S154" s="7679" t="str">
        <f t="shared" si="129"/>
        <v>0</v>
      </c>
      <c r="T154" s="7680" t="str">
        <f t="shared" si="129"/>
        <v/>
      </c>
      <c r="V154" s="7677">
        <f t="shared" si="100"/>
        <v>154</v>
      </c>
      <c r="W154" s="7678" t="str">
        <f t="shared" si="130"/>
        <v>0</v>
      </c>
      <c r="X154" s="7677" t="s">
        <v>2</v>
      </c>
      <c r="Y154" s="7702" t="str">
        <f t="shared" si="101"/>
        <v>0</v>
      </c>
      <c r="Z154" s="7703" t="str">
        <f t="shared" si="102"/>
        <v/>
      </c>
      <c r="AA154" s="7681" t="str">
        <f t="shared" si="103"/>
        <v>0</v>
      </c>
      <c r="AB154" s="7682" t="str">
        <f t="shared" si="104"/>
        <v/>
      </c>
      <c r="AC154" s="7677">
        <f t="shared" si="105"/>
        <v>0</v>
      </c>
      <c r="AD154" s="7677">
        <f t="shared" si="106"/>
        <v>0</v>
      </c>
      <c r="AE154" s="7682" t="str">
        <f t="shared" si="107"/>
        <v>aucun match</v>
      </c>
      <c r="AF154" s="6625" t="str">
        <f t="shared" si="108"/>
        <v>0</v>
      </c>
      <c r="AG154" s="6625" t="str">
        <f t="shared" si="109"/>
        <v>0</v>
      </c>
      <c r="AH154" s="6625" t="str">
        <f t="shared" si="110"/>
        <v>0</v>
      </c>
      <c r="AI154" s="6625" t="str">
        <f t="shared" si="111"/>
        <v xml:space="preserve"> 0 </v>
      </c>
      <c r="AJ154" s="6625" cm="1">
        <f t="array" ref="AJ154">IF(W154="",0,SUMPRODUCT((CA4:CA795="Gluten")*(CB4:CB795="INFO")*(COUNTIF(AI154,"*"&amp;CC4:CC795&amp;"*")&gt;0)*1))</f>
        <v>0</v>
      </c>
      <c r="AK154" s="6625" cm="1">
        <f t="array" ref="AK154">IF(W154="",0,SUMPRODUCT((CA4:CA795="Gluten")*(CB4:CB795="EXCL")*(COUNTIF(AI154,"*"&amp;CC4:CC795&amp;"*")&gt;0)*1))</f>
        <v>0</v>
      </c>
      <c r="AL154" s="6625" cm="1">
        <f t="array" ref="AL154">IF(W154="",0,SUMPRODUCT((CA4:CA795="Gluten")*(CB4:CB795="ALERTE")*(COUNTIF(AI154,"*"&amp;CC4:CC795&amp;"*")&gt;0)*1))</f>
        <v>0</v>
      </c>
      <c r="AM154" s="6625" cm="1">
        <f t="array" ref="AM154">IF(W154="",0,SUMPRODUCT((CA4:CA795="Gluten")*(CB4:CB795="SUSP")*(COUNTIF(AI154,"*"&amp;CC4:CC795&amp;"*")&gt;0)*1))</f>
        <v>0</v>
      </c>
      <c r="AN154" s="6625" cm="1">
        <f t="array" ref="AN154">IF(W154="",0,SUMPRODUCT((CA4:CA795="Crustaces")*(CB4:CB795="ALERTE")*(COUNTIF(AI154,"*"&amp;CC4:CC795&amp;"*")&gt;0)*1))</f>
        <v>0</v>
      </c>
      <c r="AO154" s="6625" cm="1">
        <f t="array" ref="AO154">IF(W154="",0,SUMPRODUCT((CA4:CA795="Oeufs")*(CB4:CB795="ALERTE")*(COUNTIF(AI154,"*"&amp;CC4:CC795&amp;"*")&gt;0)*1))</f>
        <v>0</v>
      </c>
      <c r="AP154" s="6625" cm="1">
        <f t="array" ref="AP154">IF(W154="",0,SUMPRODUCT((CA4:CA795="Poissons")*(CB4:CB795="INFO")*(COUNTIF(AI154,"*"&amp;CC4:CC795&amp;"*")&gt;0)*1))</f>
        <v>0</v>
      </c>
      <c r="AQ154" s="6625" cm="1">
        <f t="array" ref="AQ154">IF(W154="",0,SUMPRODUCT((CA4:CA795="Poissons")*(CB4:CB795="EXCL")*(COUNTIF(AI154,"*"&amp;CC4:CC795&amp;"*")&gt;0)*1))</f>
        <v>0</v>
      </c>
      <c r="AR154" s="6625" cm="1">
        <f t="array" ref="AR154">IF(W154="",0,SUMPRODUCT((CA4:CA795="Poissons")*(CB4:CB795="ALERTE")*(COUNTIF(AI154,"*"&amp;CC4:CC795&amp;"*")&gt;0)*1))</f>
        <v>0</v>
      </c>
      <c r="AS154" s="6625" cm="1">
        <f t="array" ref="AS154">IF(W154="",0,SUMPRODUCT((CA4:CA795="Arachides")*(CB4:CB795="ALERTE")*(COUNTIF(AI154,"*"&amp;CC4:CC795&amp;"*")&gt;0)*1))</f>
        <v>0</v>
      </c>
      <c r="AT154" s="6625" cm="1">
        <f t="array" ref="AT154">IF(W154="",0,SUMPRODUCT((CA4:CA795="Soja")*(CB4:CB795="INFO")*(COUNTIF(AI154,"*"&amp;CC4:CC795&amp;"*")&gt;0)*1))</f>
        <v>0</v>
      </c>
      <c r="AU154" s="6625" cm="1">
        <f t="array" ref="AU154">IF(W154="",0,SUMPRODUCT((CA4:CA795="Soja")*(CB4:CB795="ALERTE")*(COUNTIF(AI154,"*"&amp;CC4:CC795&amp;"*")&gt;0)*1))</f>
        <v>0</v>
      </c>
      <c r="AV154" s="6625" cm="1">
        <f t="array" ref="AV154">IF(W154="",0,SUMPRODUCT((CA4:CA795="Lait")*(CB4:CB795="INFO")*(COUNTIF(AI154,"*"&amp;CC4:CC795&amp;"*")&gt;0)*1))</f>
        <v>0</v>
      </c>
      <c r="AW154" s="6625" cm="1">
        <f t="array" ref="AW154">IF(W154="",0,SUMPRODUCT((CA4:CA795="Lait")*(CB4:CB795="EXCL")*(COUNTIF(AI154,"*"&amp;CC4:CC795&amp;"*")&gt;0)*1))</f>
        <v>0</v>
      </c>
      <c r="AX154" s="6625" cm="1">
        <f t="array" ref="AX154">IF(W154="",0,SUMPRODUCT((CA4:CA795="Lait")*(CB4:CB795="ALERTE")*(COUNTIF(AI154,"*"&amp;CC4:CC795&amp;"*")&gt;0)*1))</f>
        <v>0</v>
      </c>
      <c r="AY154" s="6625" cm="1">
        <f t="array" ref="AY154">IF(W154="",0,SUMPRODUCT((CA4:CA795="Lait")*(CB4:CB795="SUSP")*(COUNTIF(AI154,"*"&amp;CC4:CC795&amp;"*")&gt;0)*1))</f>
        <v>0</v>
      </c>
      <c r="AZ154" s="6625" cm="1">
        <f t="array" ref="AZ154">IF(W154="",0,SUMPRODUCT((CA4:CA795="Fruits a coque")*(CB4:CB795="EXCL")*(COUNTIF(AI154,"*"&amp;CC4:CC795&amp;"*")&gt;0)*1))</f>
        <v>0</v>
      </c>
      <c r="BA154" s="6625" cm="1">
        <f t="array" ref="BA154">IF(W154="",0,SUMPRODUCT((CA4:CA795="Fruits a coque")*(CB4:CB795="ALERTE")*(COUNTIF(AI154,"*"&amp;CC4:CC795&amp;"*")&gt;0)*1))</f>
        <v>0</v>
      </c>
      <c r="BB154" s="6625" cm="1">
        <f t="array" ref="BB154">IF(W154="",0,SUMPRODUCT((CA4:CA795="Celeri")*(CB4:CB795="ALERTE")*(COUNTIF(AI154,"*"&amp;CC4:CC795&amp;"*")&gt;0)*1))</f>
        <v>0</v>
      </c>
      <c r="BC154" s="6625" cm="1">
        <f t="array" ref="BC154">IF(W154="",0,SUMPRODUCT((CA4:CA795="Moutarde")*(CB4:CB795="ALERTE")*(COUNTIF(AI154,"*"&amp;CC4:CC795&amp;"*")&gt;0)*1))</f>
        <v>0</v>
      </c>
      <c r="BD154" s="6625" cm="1">
        <f t="array" ref="BD154">IF(W154="",0,SUMPRODUCT((CA4:CA795="Sesame")*(CB4:CB795="ALERTE")*(COUNTIF(AI154,"*"&amp;CC4:CC795&amp;"*")&gt;0)*1))</f>
        <v>0</v>
      </c>
      <c r="BE154" s="6625" cm="1">
        <f t="array" ref="BE154">IF(W154="",0,SUMPRODUCT((CA4:CA795="Sulfites")*(CB4:CB795="ALERTE")*(COUNTIF(AI154,"*"&amp;CC4:CC795&amp;"*")&gt;0)*1))</f>
        <v>0</v>
      </c>
      <c r="BF154" s="6625" cm="1">
        <f t="array" ref="BF154">IF(W154="",0,SUMPRODUCT((CA4:CA795="Lupin")*(CB4:CB795="ALERTE")*(COUNTIF(AI154,"*"&amp;CC4:CC795&amp;"*")&gt;0)*1))</f>
        <v>0</v>
      </c>
      <c r="BG154" s="6625" cm="1">
        <f t="array" ref="BG154">IF(W154="",0,SUMPRODUCT((CA4:CA795="Mollusques")*(CB4:CB795="EXCL")*(COUNTIF(AI154,"*"&amp;CC4:CC795&amp;"*")&gt;0)*1))</f>
        <v>0</v>
      </c>
      <c r="BH154" s="6625" cm="1">
        <f t="array" ref="BH154">IF(W154="",0,SUMPRODUCT((CA4:CA795="Mollusques")*(CB4:CB795="ALERTE")*(COUNTIF(AI154,"*"&amp;CC4:CC795&amp;"*")&gt;0)*1))</f>
        <v>0</v>
      </c>
      <c r="BI154" s="6625" t="str">
        <f t="shared" si="112"/>
        <v/>
      </c>
      <c r="BJ154" s="6625" t="str">
        <f t="shared" si="113"/>
        <v/>
      </c>
      <c r="BK154" s="6625" t="str">
        <f t="shared" si="114"/>
        <v/>
      </c>
      <c r="BL154" s="6625" t="str">
        <f t="shared" si="115"/>
        <v/>
      </c>
      <c r="BM154" s="6625" t="str">
        <f t="shared" si="116"/>
        <v/>
      </c>
      <c r="BN154" s="6625" t="str">
        <f t="shared" si="117"/>
        <v/>
      </c>
      <c r="BO154" s="6625" t="str">
        <f t="shared" si="118"/>
        <v/>
      </c>
      <c r="BP154" s="6625" t="str">
        <f t="shared" si="119"/>
        <v/>
      </c>
      <c r="BQ154" s="6625" t="str">
        <f t="shared" si="120"/>
        <v/>
      </c>
      <c r="BR154" s="6625" t="str">
        <f t="shared" si="121"/>
        <v/>
      </c>
      <c r="BS154" s="6625" t="str">
        <f t="shared" si="122"/>
        <v/>
      </c>
      <c r="BT154" s="6625" t="str">
        <f t="shared" si="123"/>
        <v/>
      </c>
      <c r="BU154" s="6625" t="str">
        <f t="shared" si="124"/>
        <v/>
      </c>
      <c r="BV154" s="6625" t="str">
        <f t="shared" si="125"/>
        <v/>
      </c>
      <c r="BW154" s="6625" t="str">
        <f t="shared" si="126"/>
        <v/>
      </c>
      <c r="BX154" s="6625" t="str">
        <f t="shared" si="127"/>
        <v/>
      </c>
      <c r="CA154" s="3170" t="s">
        <v>16629</v>
      </c>
      <c r="CB154" s="7634" t="s">
        <v>16255</v>
      </c>
      <c r="CC154" s="3170" t="s">
        <v>16638</v>
      </c>
      <c r="CD154" s="3170" t="s">
        <v>16639</v>
      </c>
    </row>
    <row r="155" spans="2:82" ht="30" customHeight="1">
      <c r="B155" s="7661" t="str">
        <f t="shared" si="88"/>
        <v/>
      </c>
      <c r="C155" s="7661" t="str">
        <f t="shared" si="89"/>
        <v/>
      </c>
      <c r="D155" s="7661" t="str">
        <f t="shared" si="90"/>
        <v/>
      </c>
      <c r="E155" s="7661">
        <f>IF(H154&lt;&gt;"",E154,IF(E154="","",IFERROR(MATCH(TRUE(),INDEX(INDEX($K:$K,E154+1):$K$203&lt;&gt;"",0),0)+E154,"")))</f>
        <v>330</v>
      </c>
      <c r="F155" s="7661">
        <f t="shared" si="128"/>
        <v>0</v>
      </c>
      <c r="G155" s="7661" t="str">
        <f t="shared" si="91"/>
        <v>0</v>
      </c>
      <c r="H155" s="7672" t="str">
        <f t="shared" si="92"/>
        <v/>
      </c>
      <c r="I155" s="7683" t="str">
        <f t="shared" si="93"/>
        <v/>
      </c>
      <c r="J155" s="7673" t="str">
        <f>IF(K155="","",COUNTIF($K$18:K155,"&lt;&gt;"))</f>
        <v/>
      </c>
      <c r="K155" s="7674"/>
      <c r="L155" s="7673" t="str">
        <f t="shared" si="94"/>
        <v/>
      </c>
      <c r="M155" s="7630">
        <f t="shared" si="95"/>
        <v>1</v>
      </c>
      <c r="N155" s="7675">
        <f t="shared" si="96"/>
        <v>138</v>
      </c>
      <c r="O155" s="7676" t="str">
        <f t="shared" si="97"/>
        <v>0</v>
      </c>
      <c r="P155" s="7675">
        <f t="shared" si="98"/>
        <v>1</v>
      </c>
      <c r="Q155" s="7675">
        <f t="shared" si="99"/>
        <v>1</v>
      </c>
      <c r="S155" s="7679" t="str">
        <f t="shared" si="129"/>
        <v>0</v>
      </c>
      <c r="T155" s="7680" t="str">
        <f t="shared" si="129"/>
        <v/>
      </c>
      <c r="V155" s="7677">
        <f t="shared" si="100"/>
        <v>155</v>
      </c>
      <c r="W155" s="7678" t="str">
        <f t="shared" si="130"/>
        <v>0</v>
      </c>
      <c r="X155" s="7677" t="s">
        <v>2</v>
      </c>
      <c r="Y155" s="7702" t="str">
        <f t="shared" si="101"/>
        <v>0</v>
      </c>
      <c r="Z155" s="7703" t="str">
        <f t="shared" si="102"/>
        <v/>
      </c>
      <c r="AA155" s="7681" t="str">
        <f t="shared" si="103"/>
        <v>0</v>
      </c>
      <c r="AB155" s="7682" t="str">
        <f t="shared" si="104"/>
        <v/>
      </c>
      <c r="AC155" s="7677">
        <f t="shared" si="105"/>
        <v>0</v>
      </c>
      <c r="AD155" s="7677">
        <f t="shared" si="106"/>
        <v>0</v>
      </c>
      <c r="AE155" s="7682" t="str">
        <f t="shared" si="107"/>
        <v>aucun match</v>
      </c>
      <c r="AF155" s="6625" t="str">
        <f t="shared" si="108"/>
        <v>0</v>
      </c>
      <c r="AG155" s="6625" t="str">
        <f t="shared" si="109"/>
        <v>0</v>
      </c>
      <c r="AH155" s="6625" t="str">
        <f t="shared" si="110"/>
        <v>0</v>
      </c>
      <c r="AI155" s="6625" t="str">
        <f t="shared" si="111"/>
        <v xml:space="preserve"> 0 </v>
      </c>
      <c r="AJ155" s="6625" cm="1">
        <f t="array" ref="AJ155">IF(W155="",0,SUMPRODUCT((CA4:CA795="Gluten")*(CB4:CB795="INFO")*(COUNTIF(AI155,"*"&amp;CC4:CC795&amp;"*")&gt;0)*1))</f>
        <v>0</v>
      </c>
      <c r="AK155" s="6625" cm="1">
        <f t="array" ref="AK155">IF(W155="",0,SUMPRODUCT((CA4:CA795="Gluten")*(CB4:CB795="EXCL")*(COUNTIF(AI155,"*"&amp;CC4:CC795&amp;"*")&gt;0)*1))</f>
        <v>0</v>
      </c>
      <c r="AL155" s="6625" cm="1">
        <f t="array" ref="AL155">IF(W155="",0,SUMPRODUCT((CA4:CA795="Gluten")*(CB4:CB795="ALERTE")*(COUNTIF(AI155,"*"&amp;CC4:CC795&amp;"*")&gt;0)*1))</f>
        <v>0</v>
      </c>
      <c r="AM155" s="6625" cm="1">
        <f t="array" ref="AM155">IF(W155="",0,SUMPRODUCT((CA4:CA795="Gluten")*(CB4:CB795="SUSP")*(COUNTIF(AI155,"*"&amp;CC4:CC795&amp;"*")&gt;0)*1))</f>
        <v>0</v>
      </c>
      <c r="AN155" s="6625" cm="1">
        <f t="array" ref="AN155">IF(W155="",0,SUMPRODUCT((CA4:CA795="Crustaces")*(CB4:CB795="ALERTE")*(COUNTIF(AI155,"*"&amp;CC4:CC795&amp;"*")&gt;0)*1))</f>
        <v>0</v>
      </c>
      <c r="AO155" s="6625" cm="1">
        <f t="array" ref="AO155">IF(W155="",0,SUMPRODUCT((CA4:CA795="Oeufs")*(CB4:CB795="ALERTE")*(COUNTIF(AI155,"*"&amp;CC4:CC795&amp;"*")&gt;0)*1))</f>
        <v>0</v>
      </c>
      <c r="AP155" s="6625" cm="1">
        <f t="array" ref="AP155">IF(W155="",0,SUMPRODUCT((CA4:CA795="Poissons")*(CB4:CB795="INFO")*(COUNTIF(AI155,"*"&amp;CC4:CC795&amp;"*")&gt;0)*1))</f>
        <v>0</v>
      </c>
      <c r="AQ155" s="6625" cm="1">
        <f t="array" ref="AQ155">IF(W155="",0,SUMPRODUCT((CA4:CA795="Poissons")*(CB4:CB795="EXCL")*(COUNTIF(AI155,"*"&amp;CC4:CC795&amp;"*")&gt;0)*1))</f>
        <v>0</v>
      </c>
      <c r="AR155" s="6625" cm="1">
        <f t="array" ref="AR155">IF(W155="",0,SUMPRODUCT((CA4:CA795="Poissons")*(CB4:CB795="ALERTE")*(COUNTIF(AI155,"*"&amp;CC4:CC795&amp;"*")&gt;0)*1))</f>
        <v>0</v>
      </c>
      <c r="AS155" s="6625" cm="1">
        <f t="array" ref="AS155">IF(W155="",0,SUMPRODUCT((CA4:CA795="Arachides")*(CB4:CB795="ALERTE")*(COUNTIF(AI155,"*"&amp;CC4:CC795&amp;"*")&gt;0)*1))</f>
        <v>0</v>
      </c>
      <c r="AT155" s="6625" cm="1">
        <f t="array" ref="AT155">IF(W155="",0,SUMPRODUCT((CA4:CA795="Soja")*(CB4:CB795="INFO")*(COUNTIF(AI155,"*"&amp;CC4:CC795&amp;"*")&gt;0)*1))</f>
        <v>0</v>
      </c>
      <c r="AU155" s="6625" cm="1">
        <f t="array" ref="AU155">IF(W155="",0,SUMPRODUCT((CA4:CA795="Soja")*(CB4:CB795="ALERTE")*(COUNTIF(AI155,"*"&amp;CC4:CC795&amp;"*")&gt;0)*1))</f>
        <v>0</v>
      </c>
      <c r="AV155" s="6625" cm="1">
        <f t="array" ref="AV155">IF(W155="",0,SUMPRODUCT((CA4:CA795="Lait")*(CB4:CB795="INFO")*(COUNTIF(AI155,"*"&amp;CC4:CC795&amp;"*")&gt;0)*1))</f>
        <v>0</v>
      </c>
      <c r="AW155" s="6625" cm="1">
        <f t="array" ref="AW155">IF(W155="",0,SUMPRODUCT((CA4:CA795="Lait")*(CB4:CB795="EXCL")*(COUNTIF(AI155,"*"&amp;CC4:CC795&amp;"*")&gt;0)*1))</f>
        <v>0</v>
      </c>
      <c r="AX155" s="6625" cm="1">
        <f t="array" ref="AX155">IF(W155="",0,SUMPRODUCT((CA4:CA795="Lait")*(CB4:CB795="ALERTE")*(COUNTIF(AI155,"*"&amp;CC4:CC795&amp;"*")&gt;0)*1))</f>
        <v>0</v>
      </c>
      <c r="AY155" s="6625" cm="1">
        <f t="array" ref="AY155">IF(W155="",0,SUMPRODUCT((CA4:CA795="Lait")*(CB4:CB795="SUSP")*(COUNTIF(AI155,"*"&amp;CC4:CC795&amp;"*")&gt;0)*1))</f>
        <v>0</v>
      </c>
      <c r="AZ155" s="6625" cm="1">
        <f t="array" ref="AZ155">IF(W155="",0,SUMPRODUCT((CA4:CA795="Fruits a coque")*(CB4:CB795="EXCL")*(COUNTIF(AI155,"*"&amp;CC4:CC795&amp;"*")&gt;0)*1))</f>
        <v>0</v>
      </c>
      <c r="BA155" s="6625" cm="1">
        <f t="array" ref="BA155">IF(W155="",0,SUMPRODUCT((CA4:CA795="Fruits a coque")*(CB4:CB795="ALERTE")*(COUNTIF(AI155,"*"&amp;CC4:CC795&amp;"*")&gt;0)*1))</f>
        <v>0</v>
      </c>
      <c r="BB155" s="6625" cm="1">
        <f t="array" ref="BB155">IF(W155="",0,SUMPRODUCT((CA4:CA795="Celeri")*(CB4:CB795="ALERTE")*(COUNTIF(AI155,"*"&amp;CC4:CC795&amp;"*")&gt;0)*1))</f>
        <v>0</v>
      </c>
      <c r="BC155" s="6625" cm="1">
        <f t="array" ref="BC155">IF(W155="",0,SUMPRODUCT((CA4:CA795="Moutarde")*(CB4:CB795="ALERTE")*(COUNTIF(AI155,"*"&amp;CC4:CC795&amp;"*")&gt;0)*1))</f>
        <v>0</v>
      </c>
      <c r="BD155" s="6625" cm="1">
        <f t="array" ref="BD155">IF(W155="",0,SUMPRODUCT((CA4:CA795="Sesame")*(CB4:CB795="ALERTE")*(COUNTIF(AI155,"*"&amp;CC4:CC795&amp;"*")&gt;0)*1))</f>
        <v>0</v>
      </c>
      <c r="BE155" s="6625" cm="1">
        <f t="array" ref="BE155">IF(W155="",0,SUMPRODUCT((CA4:CA795="Sulfites")*(CB4:CB795="ALERTE")*(COUNTIF(AI155,"*"&amp;CC4:CC795&amp;"*")&gt;0)*1))</f>
        <v>0</v>
      </c>
      <c r="BF155" s="6625" cm="1">
        <f t="array" ref="BF155">IF(W155="",0,SUMPRODUCT((CA4:CA795="Lupin")*(CB4:CB795="ALERTE")*(COUNTIF(AI155,"*"&amp;CC4:CC795&amp;"*")&gt;0)*1))</f>
        <v>0</v>
      </c>
      <c r="BG155" s="6625" cm="1">
        <f t="array" ref="BG155">IF(W155="",0,SUMPRODUCT((CA4:CA795="Mollusques")*(CB4:CB795="EXCL")*(COUNTIF(AI155,"*"&amp;CC4:CC795&amp;"*")&gt;0)*1))</f>
        <v>0</v>
      </c>
      <c r="BH155" s="6625" cm="1">
        <f t="array" ref="BH155">IF(W155="",0,SUMPRODUCT((CA4:CA795="Mollusques")*(CB4:CB795="ALERTE")*(COUNTIF(AI155,"*"&amp;CC4:CC795&amp;"*")&gt;0)*1))</f>
        <v>0</v>
      </c>
      <c r="BI155" s="6625" t="str">
        <f t="shared" si="112"/>
        <v/>
      </c>
      <c r="BJ155" s="6625" t="str">
        <f t="shared" si="113"/>
        <v/>
      </c>
      <c r="BK155" s="6625" t="str">
        <f t="shared" si="114"/>
        <v/>
      </c>
      <c r="BL155" s="6625" t="str">
        <f t="shared" si="115"/>
        <v/>
      </c>
      <c r="BM155" s="6625" t="str">
        <f t="shared" si="116"/>
        <v/>
      </c>
      <c r="BN155" s="6625" t="str">
        <f t="shared" si="117"/>
        <v/>
      </c>
      <c r="BO155" s="6625" t="str">
        <f t="shared" si="118"/>
        <v/>
      </c>
      <c r="BP155" s="6625" t="str">
        <f t="shared" si="119"/>
        <v/>
      </c>
      <c r="BQ155" s="6625" t="str">
        <f t="shared" si="120"/>
        <v/>
      </c>
      <c r="BR155" s="6625" t="str">
        <f t="shared" si="121"/>
        <v/>
      </c>
      <c r="BS155" s="6625" t="str">
        <f t="shared" si="122"/>
        <v/>
      </c>
      <c r="BT155" s="6625" t="str">
        <f t="shared" si="123"/>
        <v/>
      </c>
      <c r="BU155" s="6625" t="str">
        <f t="shared" si="124"/>
        <v/>
      </c>
      <c r="BV155" s="6625" t="str">
        <f t="shared" si="125"/>
        <v/>
      </c>
      <c r="BW155" s="6625" t="str">
        <f t="shared" si="126"/>
        <v/>
      </c>
      <c r="BX155" s="6625" t="str">
        <f t="shared" si="127"/>
        <v/>
      </c>
      <c r="CA155" s="3170" t="s">
        <v>16629</v>
      </c>
      <c r="CB155" s="7634" t="s">
        <v>16255</v>
      </c>
      <c r="CC155" s="3170" t="s">
        <v>16640</v>
      </c>
      <c r="CD155" s="3170" t="s">
        <v>16641</v>
      </c>
    </row>
    <row r="156" spans="2:82" ht="30" customHeight="1">
      <c r="B156" s="7661" t="str">
        <f t="shared" si="88"/>
        <v/>
      </c>
      <c r="C156" s="7661" t="str">
        <f t="shared" si="89"/>
        <v/>
      </c>
      <c r="D156" s="7661" t="str">
        <f t="shared" si="90"/>
        <v/>
      </c>
      <c r="E156" s="7661">
        <f>IF(H155&lt;&gt;"",E155,IF(E155="","",IFERROR(MATCH(TRUE(),INDEX(INDEX($K:$K,E155+1):$K$203&lt;&gt;"",0),0)+E155,"")))</f>
        <v>331</v>
      </c>
      <c r="F156" s="7661">
        <f t="shared" si="128"/>
        <v>0</v>
      </c>
      <c r="G156" s="7661" t="str">
        <f t="shared" si="91"/>
        <v>0</v>
      </c>
      <c r="H156" s="7672" t="str">
        <f t="shared" si="92"/>
        <v/>
      </c>
      <c r="I156" s="7683" t="str">
        <f t="shared" si="93"/>
        <v/>
      </c>
      <c r="J156" s="7673" t="str">
        <f>IF(K156="","",COUNTIF($K$18:K156,"&lt;&gt;"))</f>
        <v/>
      </c>
      <c r="K156" s="7674"/>
      <c r="L156" s="7673" t="str">
        <f t="shared" si="94"/>
        <v/>
      </c>
      <c r="M156" s="7630">
        <f t="shared" si="95"/>
        <v>1</v>
      </c>
      <c r="N156" s="7675">
        <f t="shared" si="96"/>
        <v>139</v>
      </c>
      <c r="O156" s="7676" t="str">
        <f t="shared" si="97"/>
        <v>0</v>
      </c>
      <c r="P156" s="7675">
        <f t="shared" si="98"/>
        <v>1</v>
      </c>
      <c r="Q156" s="7675">
        <f t="shared" si="99"/>
        <v>1</v>
      </c>
      <c r="S156" s="7679" t="str">
        <f t="shared" si="129"/>
        <v>0</v>
      </c>
      <c r="T156" s="7680" t="str">
        <f t="shared" si="129"/>
        <v/>
      </c>
      <c r="V156" s="7677">
        <f t="shared" si="100"/>
        <v>156</v>
      </c>
      <c r="W156" s="7678" t="str">
        <f t="shared" si="130"/>
        <v>0</v>
      </c>
      <c r="X156" s="7677" t="s">
        <v>2</v>
      </c>
      <c r="Y156" s="7702" t="str">
        <f t="shared" si="101"/>
        <v>0</v>
      </c>
      <c r="Z156" s="7703" t="str">
        <f t="shared" si="102"/>
        <v/>
      </c>
      <c r="AA156" s="7681" t="str">
        <f t="shared" si="103"/>
        <v>0</v>
      </c>
      <c r="AB156" s="7682" t="str">
        <f t="shared" si="104"/>
        <v/>
      </c>
      <c r="AC156" s="7677">
        <f t="shared" si="105"/>
        <v>0</v>
      </c>
      <c r="AD156" s="7677">
        <f t="shared" si="106"/>
        <v>0</v>
      </c>
      <c r="AE156" s="7682" t="str">
        <f t="shared" si="107"/>
        <v>aucun match</v>
      </c>
      <c r="AF156" s="6625" t="str">
        <f t="shared" si="108"/>
        <v>0</v>
      </c>
      <c r="AG156" s="6625" t="str">
        <f t="shared" si="109"/>
        <v>0</v>
      </c>
      <c r="AH156" s="6625" t="str">
        <f t="shared" si="110"/>
        <v>0</v>
      </c>
      <c r="AI156" s="6625" t="str">
        <f t="shared" si="111"/>
        <v xml:space="preserve"> 0 </v>
      </c>
      <c r="AJ156" s="6625" cm="1">
        <f t="array" ref="AJ156">IF(W156="",0,SUMPRODUCT((CA4:CA795="Gluten")*(CB4:CB795="INFO")*(COUNTIF(AI156,"*"&amp;CC4:CC795&amp;"*")&gt;0)*1))</f>
        <v>0</v>
      </c>
      <c r="AK156" s="6625" cm="1">
        <f t="array" ref="AK156">IF(W156="",0,SUMPRODUCT((CA4:CA795="Gluten")*(CB4:CB795="EXCL")*(COUNTIF(AI156,"*"&amp;CC4:CC795&amp;"*")&gt;0)*1))</f>
        <v>0</v>
      </c>
      <c r="AL156" s="6625" cm="1">
        <f t="array" ref="AL156">IF(W156="",0,SUMPRODUCT((CA4:CA795="Gluten")*(CB4:CB795="ALERTE")*(COUNTIF(AI156,"*"&amp;CC4:CC795&amp;"*")&gt;0)*1))</f>
        <v>0</v>
      </c>
      <c r="AM156" s="6625" cm="1">
        <f t="array" ref="AM156">IF(W156="",0,SUMPRODUCT((CA4:CA795="Gluten")*(CB4:CB795="SUSP")*(COUNTIF(AI156,"*"&amp;CC4:CC795&amp;"*")&gt;0)*1))</f>
        <v>0</v>
      </c>
      <c r="AN156" s="6625" cm="1">
        <f t="array" ref="AN156">IF(W156="",0,SUMPRODUCT((CA4:CA795="Crustaces")*(CB4:CB795="ALERTE")*(COUNTIF(AI156,"*"&amp;CC4:CC795&amp;"*")&gt;0)*1))</f>
        <v>0</v>
      </c>
      <c r="AO156" s="6625" cm="1">
        <f t="array" ref="AO156">IF(W156="",0,SUMPRODUCT((CA4:CA795="Oeufs")*(CB4:CB795="ALERTE")*(COUNTIF(AI156,"*"&amp;CC4:CC795&amp;"*")&gt;0)*1))</f>
        <v>0</v>
      </c>
      <c r="AP156" s="6625" cm="1">
        <f t="array" ref="AP156">IF(W156="",0,SUMPRODUCT((CA4:CA795="Poissons")*(CB4:CB795="INFO")*(COUNTIF(AI156,"*"&amp;CC4:CC795&amp;"*")&gt;0)*1))</f>
        <v>0</v>
      </c>
      <c r="AQ156" s="6625" cm="1">
        <f t="array" ref="AQ156">IF(W156="",0,SUMPRODUCT((CA4:CA795="Poissons")*(CB4:CB795="EXCL")*(COUNTIF(AI156,"*"&amp;CC4:CC795&amp;"*")&gt;0)*1))</f>
        <v>0</v>
      </c>
      <c r="AR156" s="6625" cm="1">
        <f t="array" ref="AR156">IF(W156="",0,SUMPRODUCT((CA4:CA795="Poissons")*(CB4:CB795="ALERTE")*(COUNTIF(AI156,"*"&amp;CC4:CC795&amp;"*")&gt;0)*1))</f>
        <v>0</v>
      </c>
      <c r="AS156" s="6625" cm="1">
        <f t="array" ref="AS156">IF(W156="",0,SUMPRODUCT((CA4:CA795="Arachides")*(CB4:CB795="ALERTE")*(COUNTIF(AI156,"*"&amp;CC4:CC795&amp;"*")&gt;0)*1))</f>
        <v>0</v>
      </c>
      <c r="AT156" s="6625" cm="1">
        <f t="array" ref="AT156">IF(W156="",0,SUMPRODUCT((CA4:CA795="Soja")*(CB4:CB795="INFO")*(COUNTIF(AI156,"*"&amp;CC4:CC795&amp;"*")&gt;0)*1))</f>
        <v>0</v>
      </c>
      <c r="AU156" s="6625" cm="1">
        <f t="array" ref="AU156">IF(W156="",0,SUMPRODUCT((CA4:CA795="Soja")*(CB4:CB795="ALERTE")*(COUNTIF(AI156,"*"&amp;CC4:CC795&amp;"*")&gt;0)*1))</f>
        <v>0</v>
      </c>
      <c r="AV156" s="6625" cm="1">
        <f t="array" ref="AV156">IF(W156="",0,SUMPRODUCT((CA4:CA795="Lait")*(CB4:CB795="INFO")*(COUNTIF(AI156,"*"&amp;CC4:CC795&amp;"*")&gt;0)*1))</f>
        <v>0</v>
      </c>
      <c r="AW156" s="6625" cm="1">
        <f t="array" ref="AW156">IF(W156="",0,SUMPRODUCT((CA4:CA795="Lait")*(CB4:CB795="EXCL")*(COUNTIF(AI156,"*"&amp;CC4:CC795&amp;"*")&gt;0)*1))</f>
        <v>0</v>
      </c>
      <c r="AX156" s="6625" cm="1">
        <f t="array" ref="AX156">IF(W156="",0,SUMPRODUCT((CA4:CA795="Lait")*(CB4:CB795="ALERTE")*(COUNTIF(AI156,"*"&amp;CC4:CC795&amp;"*")&gt;0)*1))</f>
        <v>0</v>
      </c>
      <c r="AY156" s="6625" cm="1">
        <f t="array" ref="AY156">IF(W156="",0,SUMPRODUCT((CA4:CA795="Lait")*(CB4:CB795="SUSP")*(COUNTIF(AI156,"*"&amp;CC4:CC795&amp;"*")&gt;0)*1))</f>
        <v>0</v>
      </c>
      <c r="AZ156" s="6625" cm="1">
        <f t="array" ref="AZ156">IF(W156="",0,SUMPRODUCT((CA4:CA795="Fruits a coque")*(CB4:CB795="EXCL")*(COUNTIF(AI156,"*"&amp;CC4:CC795&amp;"*")&gt;0)*1))</f>
        <v>0</v>
      </c>
      <c r="BA156" s="6625" cm="1">
        <f t="array" ref="BA156">IF(W156="",0,SUMPRODUCT((CA4:CA795="Fruits a coque")*(CB4:CB795="ALERTE")*(COUNTIF(AI156,"*"&amp;CC4:CC795&amp;"*")&gt;0)*1))</f>
        <v>0</v>
      </c>
      <c r="BB156" s="6625" cm="1">
        <f t="array" ref="BB156">IF(W156="",0,SUMPRODUCT((CA4:CA795="Celeri")*(CB4:CB795="ALERTE")*(COUNTIF(AI156,"*"&amp;CC4:CC795&amp;"*")&gt;0)*1))</f>
        <v>0</v>
      </c>
      <c r="BC156" s="6625" cm="1">
        <f t="array" ref="BC156">IF(W156="",0,SUMPRODUCT((CA4:CA795="Moutarde")*(CB4:CB795="ALERTE")*(COUNTIF(AI156,"*"&amp;CC4:CC795&amp;"*")&gt;0)*1))</f>
        <v>0</v>
      </c>
      <c r="BD156" s="6625" cm="1">
        <f t="array" ref="BD156">IF(W156="",0,SUMPRODUCT((CA4:CA795="Sesame")*(CB4:CB795="ALERTE")*(COUNTIF(AI156,"*"&amp;CC4:CC795&amp;"*")&gt;0)*1))</f>
        <v>0</v>
      </c>
      <c r="BE156" s="6625" cm="1">
        <f t="array" ref="BE156">IF(W156="",0,SUMPRODUCT((CA4:CA795="Sulfites")*(CB4:CB795="ALERTE")*(COUNTIF(AI156,"*"&amp;CC4:CC795&amp;"*")&gt;0)*1))</f>
        <v>0</v>
      </c>
      <c r="BF156" s="6625" cm="1">
        <f t="array" ref="BF156">IF(W156="",0,SUMPRODUCT((CA4:CA795="Lupin")*(CB4:CB795="ALERTE")*(COUNTIF(AI156,"*"&amp;CC4:CC795&amp;"*")&gt;0)*1))</f>
        <v>0</v>
      </c>
      <c r="BG156" s="6625" cm="1">
        <f t="array" ref="BG156">IF(W156="",0,SUMPRODUCT((CA4:CA795="Mollusques")*(CB4:CB795="EXCL")*(COUNTIF(AI156,"*"&amp;CC4:CC795&amp;"*")&gt;0)*1))</f>
        <v>0</v>
      </c>
      <c r="BH156" s="6625" cm="1">
        <f t="array" ref="BH156">IF(W156="",0,SUMPRODUCT((CA4:CA795="Mollusques")*(CB4:CB795="ALERTE")*(COUNTIF(AI156,"*"&amp;CC4:CC795&amp;"*")&gt;0)*1))</f>
        <v>0</v>
      </c>
      <c r="BI156" s="6625" t="str">
        <f t="shared" si="112"/>
        <v/>
      </c>
      <c r="BJ156" s="6625" t="str">
        <f t="shared" si="113"/>
        <v/>
      </c>
      <c r="BK156" s="6625" t="str">
        <f t="shared" si="114"/>
        <v/>
      </c>
      <c r="BL156" s="6625" t="str">
        <f t="shared" si="115"/>
        <v/>
      </c>
      <c r="BM156" s="6625" t="str">
        <f t="shared" si="116"/>
        <v/>
      </c>
      <c r="BN156" s="6625" t="str">
        <f t="shared" si="117"/>
        <v/>
      </c>
      <c r="BO156" s="6625" t="str">
        <f t="shared" si="118"/>
        <v/>
      </c>
      <c r="BP156" s="6625" t="str">
        <f t="shared" si="119"/>
        <v/>
      </c>
      <c r="BQ156" s="6625" t="str">
        <f t="shared" si="120"/>
        <v/>
      </c>
      <c r="BR156" s="6625" t="str">
        <f t="shared" si="121"/>
        <v/>
      </c>
      <c r="BS156" s="6625" t="str">
        <f t="shared" si="122"/>
        <v/>
      </c>
      <c r="BT156" s="6625" t="str">
        <f t="shared" si="123"/>
        <v/>
      </c>
      <c r="BU156" s="6625" t="str">
        <f t="shared" si="124"/>
        <v/>
      </c>
      <c r="BV156" s="6625" t="str">
        <f t="shared" si="125"/>
        <v/>
      </c>
      <c r="BW156" s="6625" t="str">
        <f t="shared" si="126"/>
        <v/>
      </c>
      <c r="BX156" s="6625" t="str">
        <f t="shared" si="127"/>
        <v/>
      </c>
      <c r="CA156" s="3170" t="s">
        <v>16629</v>
      </c>
      <c r="CB156" s="7634" t="s">
        <v>16255</v>
      </c>
      <c r="CC156" s="3170" t="s">
        <v>16642</v>
      </c>
      <c r="CD156" s="3170" t="s">
        <v>16643</v>
      </c>
    </row>
    <row r="157" spans="2:82" ht="30" customHeight="1">
      <c r="B157" s="7661" t="str">
        <f t="shared" si="88"/>
        <v/>
      </c>
      <c r="C157" s="7661" t="str">
        <f t="shared" si="89"/>
        <v/>
      </c>
      <c r="D157" s="7661" t="str">
        <f t="shared" si="90"/>
        <v/>
      </c>
      <c r="E157" s="7661">
        <f>IF(H156&lt;&gt;"",E156,IF(E156="","",IFERROR(MATCH(TRUE(),INDEX(INDEX($K:$K,E156+1):$K$203&lt;&gt;"",0),0)+E156,"")))</f>
        <v>332</v>
      </c>
      <c r="F157" s="7661">
        <f t="shared" si="128"/>
        <v>0</v>
      </c>
      <c r="G157" s="7661" t="str">
        <f t="shared" si="91"/>
        <v>0</v>
      </c>
      <c r="H157" s="7672" t="str">
        <f t="shared" si="92"/>
        <v/>
      </c>
      <c r="I157" s="7683" t="str">
        <f t="shared" si="93"/>
        <v/>
      </c>
      <c r="J157" s="7673" t="str">
        <f>IF(K157="","",COUNTIF($K$18:K157,"&lt;&gt;"))</f>
        <v/>
      </c>
      <c r="K157" s="7674"/>
      <c r="L157" s="7673" t="str">
        <f t="shared" si="94"/>
        <v/>
      </c>
      <c r="M157" s="7630">
        <f t="shared" si="95"/>
        <v>1</v>
      </c>
      <c r="N157" s="7675">
        <f t="shared" si="96"/>
        <v>140</v>
      </c>
      <c r="O157" s="7676" t="str">
        <f t="shared" si="97"/>
        <v>0</v>
      </c>
      <c r="P157" s="7675">
        <f t="shared" si="98"/>
        <v>1</v>
      </c>
      <c r="Q157" s="7675">
        <f t="shared" si="99"/>
        <v>1</v>
      </c>
      <c r="S157" s="7679" t="str">
        <f t="shared" si="129"/>
        <v>0</v>
      </c>
      <c r="T157" s="7680" t="str">
        <f t="shared" si="129"/>
        <v/>
      </c>
      <c r="V157" s="7677">
        <f t="shared" si="100"/>
        <v>157</v>
      </c>
      <c r="W157" s="7678" t="str">
        <f t="shared" si="130"/>
        <v>0</v>
      </c>
      <c r="X157" s="7677" t="s">
        <v>2</v>
      </c>
      <c r="Y157" s="7702" t="str">
        <f t="shared" si="101"/>
        <v>0</v>
      </c>
      <c r="Z157" s="7703" t="str">
        <f t="shared" si="102"/>
        <v/>
      </c>
      <c r="AA157" s="7681" t="str">
        <f t="shared" si="103"/>
        <v>0</v>
      </c>
      <c r="AB157" s="7682" t="str">
        <f t="shared" si="104"/>
        <v/>
      </c>
      <c r="AC157" s="7677">
        <f t="shared" si="105"/>
        <v>0</v>
      </c>
      <c r="AD157" s="7677">
        <f t="shared" si="106"/>
        <v>0</v>
      </c>
      <c r="AE157" s="7682" t="str">
        <f t="shared" si="107"/>
        <v>aucun match</v>
      </c>
      <c r="AF157" s="6625" t="str">
        <f t="shared" si="108"/>
        <v>0</v>
      </c>
      <c r="AG157" s="6625" t="str">
        <f t="shared" si="109"/>
        <v>0</v>
      </c>
      <c r="AH157" s="6625" t="str">
        <f t="shared" si="110"/>
        <v>0</v>
      </c>
      <c r="AI157" s="6625" t="str">
        <f t="shared" si="111"/>
        <v xml:space="preserve"> 0 </v>
      </c>
      <c r="AJ157" s="6625" cm="1">
        <f t="array" ref="AJ157">IF(W157="",0,SUMPRODUCT((CA4:CA795="Gluten")*(CB4:CB795="INFO")*(COUNTIF(AI157,"*"&amp;CC4:CC795&amp;"*")&gt;0)*1))</f>
        <v>0</v>
      </c>
      <c r="AK157" s="6625" cm="1">
        <f t="array" ref="AK157">IF(W157="",0,SUMPRODUCT((CA4:CA795="Gluten")*(CB4:CB795="EXCL")*(COUNTIF(AI157,"*"&amp;CC4:CC795&amp;"*")&gt;0)*1))</f>
        <v>0</v>
      </c>
      <c r="AL157" s="6625" cm="1">
        <f t="array" ref="AL157">IF(W157="",0,SUMPRODUCT((CA4:CA795="Gluten")*(CB4:CB795="ALERTE")*(COUNTIF(AI157,"*"&amp;CC4:CC795&amp;"*")&gt;0)*1))</f>
        <v>0</v>
      </c>
      <c r="AM157" s="6625" cm="1">
        <f t="array" ref="AM157">IF(W157="",0,SUMPRODUCT((CA4:CA795="Gluten")*(CB4:CB795="SUSP")*(COUNTIF(AI157,"*"&amp;CC4:CC795&amp;"*")&gt;0)*1))</f>
        <v>0</v>
      </c>
      <c r="AN157" s="6625" cm="1">
        <f t="array" ref="AN157">IF(W157="",0,SUMPRODUCT((CA4:CA795="Crustaces")*(CB4:CB795="ALERTE")*(COUNTIF(AI157,"*"&amp;CC4:CC795&amp;"*")&gt;0)*1))</f>
        <v>0</v>
      </c>
      <c r="AO157" s="6625" cm="1">
        <f t="array" ref="AO157">IF(W157="",0,SUMPRODUCT((CA4:CA795="Oeufs")*(CB4:CB795="ALERTE")*(COUNTIF(AI157,"*"&amp;CC4:CC795&amp;"*")&gt;0)*1))</f>
        <v>0</v>
      </c>
      <c r="AP157" s="6625" cm="1">
        <f t="array" ref="AP157">IF(W157="",0,SUMPRODUCT((CA4:CA795="Poissons")*(CB4:CB795="INFO")*(COUNTIF(AI157,"*"&amp;CC4:CC795&amp;"*")&gt;0)*1))</f>
        <v>0</v>
      </c>
      <c r="AQ157" s="6625" cm="1">
        <f t="array" ref="AQ157">IF(W157="",0,SUMPRODUCT((CA4:CA795="Poissons")*(CB4:CB795="EXCL")*(COUNTIF(AI157,"*"&amp;CC4:CC795&amp;"*")&gt;0)*1))</f>
        <v>0</v>
      </c>
      <c r="AR157" s="6625" cm="1">
        <f t="array" ref="AR157">IF(W157="",0,SUMPRODUCT((CA4:CA795="Poissons")*(CB4:CB795="ALERTE")*(COUNTIF(AI157,"*"&amp;CC4:CC795&amp;"*")&gt;0)*1))</f>
        <v>0</v>
      </c>
      <c r="AS157" s="6625" cm="1">
        <f t="array" ref="AS157">IF(W157="",0,SUMPRODUCT((CA4:CA795="Arachides")*(CB4:CB795="ALERTE")*(COUNTIF(AI157,"*"&amp;CC4:CC795&amp;"*")&gt;0)*1))</f>
        <v>0</v>
      </c>
      <c r="AT157" s="6625" cm="1">
        <f t="array" ref="AT157">IF(W157="",0,SUMPRODUCT((CA4:CA795="Soja")*(CB4:CB795="INFO")*(COUNTIF(AI157,"*"&amp;CC4:CC795&amp;"*")&gt;0)*1))</f>
        <v>0</v>
      </c>
      <c r="AU157" s="6625" cm="1">
        <f t="array" ref="AU157">IF(W157="",0,SUMPRODUCT((CA4:CA795="Soja")*(CB4:CB795="ALERTE")*(COUNTIF(AI157,"*"&amp;CC4:CC795&amp;"*")&gt;0)*1))</f>
        <v>0</v>
      </c>
      <c r="AV157" s="6625" cm="1">
        <f t="array" ref="AV157">IF(W157="",0,SUMPRODUCT((CA4:CA795="Lait")*(CB4:CB795="INFO")*(COUNTIF(AI157,"*"&amp;CC4:CC795&amp;"*")&gt;0)*1))</f>
        <v>0</v>
      </c>
      <c r="AW157" s="6625" cm="1">
        <f t="array" ref="AW157">IF(W157="",0,SUMPRODUCT((CA4:CA795="Lait")*(CB4:CB795="EXCL")*(COUNTIF(AI157,"*"&amp;CC4:CC795&amp;"*")&gt;0)*1))</f>
        <v>0</v>
      </c>
      <c r="AX157" s="6625" cm="1">
        <f t="array" ref="AX157">IF(W157="",0,SUMPRODUCT((CA4:CA795="Lait")*(CB4:CB795="ALERTE")*(COUNTIF(AI157,"*"&amp;CC4:CC795&amp;"*")&gt;0)*1))</f>
        <v>0</v>
      </c>
      <c r="AY157" s="6625" cm="1">
        <f t="array" ref="AY157">IF(W157="",0,SUMPRODUCT((CA4:CA795="Lait")*(CB4:CB795="SUSP")*(COUNTIF(AI157,"*"&amp;CC4:CC795&amp;"*")&gt;0)*1))</f>
        <v>0</v>
      </c>
      <c r="AZ157" s="6625" cm="1">
        <f t="array" ref="AZ157">IF(W157="",0,SUMPRODUCT((CA4:CA795="Fruits a coque")*(CB4:CB795="EXCL")*(COUNTIF(AI157,"*"&amp;CC4:CC795&amp;"*")&gt;0)*1))</f>
        <v>0</v>
      </c>
      <c r="BA157" s="6625" cm="1">
        <f t="array" ref="BA157">IF(W157="",0,SUMPRODUCT((CA4:CA795="Fruits a coque")*(CB4:CB795="ALERTE")*(COUNTIF(AI157,"*"&amp;CC4:CC795&amp;"*")&gt;0)*1))</f>
        <v>0</v>
      </c>
      <c r="BB157" s="6625" cm="1">
        <f t="array" ref="BB157">IF(W157="",0,SUMPRODUCT((CA4:CA795="Celeri")*(CB4:CB795="ALERTE")*(COUNTIF(AI157,"*"&amp;CC4:CC795&amp;"*")&gt;0)*1))</f>
        <v>0</v>
      </c>
      <c r="BC157" s="6625" cm="1">
        <f t="array" ref="BC157">IF(W157="",0,SUMPRODUCT((CA4:CA795="Moutarde")*(CB4:CB795="ALERTE")*(COUNTIF(AI157,"*"&amp;CC4:CC795&amp;"*")&gt;0)*1))</f>
        <v>0</v>
      </c>
      <c r="BD157" s="6625" cm="1">
        <f t="array" ref="BD157">IF(W157="",0,SUMPRODUCT((CA4:CA795="Sesame")*(CB4:CB795="ALERTE")*(COUNTIF(AI157,"*"&amp;CC4:CC795&amp;"*")&gt;0)*1))</f>
        <v>0</v>
      </c>
      <c r="BE157" s="6625" cm="1">
        <f t="array" ref="BE157">IF(W157="",0,SUMPRODUCT((CA4:CA795="Sulfites")*(CB4:CB795="ALERTE")*(COUNTIF(AI157,"*"&amp;CC4:CC795&amp;"*")&gt;0)*1))</f>
        <v>0</v>
      </c>
      <c r="BF157" s="6625" cm="1">
        <f t="array" ref="BF157">IF(W157="",0,SUMPRODUCT((CA4:CA795="Lupin")*(CB4:CB795="ALERTE")*(COUNTIF(AI157,"*"&amp;CC4:CC795&amp;"*")&gt;0)*1))</f>
        <v>0</v>
      </c>
      <c r="BG157" s="6625" cm="1">
        <f t="array" ref="BG157">IF(W157="",0,SUMPRODUCT((CA4:CA795="Mollusques")*(CB4:CB795="EXCL")*(COUNTIF(AI157,"*"&amp;CC4:CC795&amp;"*")&gt;0)*1))</f>
        <v>0</v>
      </c>
      <c r="BH157" s="6625" cm="1">
        <f t="array" ref="BH157">IF(W157="",0,SUMPRODUCT((CA4:CA795="Mollusques")*(CB4:CB795="ALERTE")*(COUNTIF(AI157,"*"&amp;CC4:CC795&amp;"*")&gt;0)*1))</f>
        <v>0</v>
      </c>
      <c r="BI157" s="6625" t="str">
        <f t="shared" si="112"/>
        <v/>
      </c>
      <c r="BJ157" s="6625" t="str">
        <f t="shared" si="113"/>
        <v/>
      </c>
      <c r="BK157" s="6625" t="str">
        <f t="shared" si="114"/>
        <v/>
      </c>
      <c r="BL157" s="6625" t="str">
        <f t="shared" si="115"/>
        <v/>
      </c>
      <c r="BM157" s="6625" t="str">
        <f t="shared" si="116"/>
        <v/>
      </c>
      <c r="BN157" s="6625" t="str">
        <f t="shared" si="117"/>
        <v/>
      </c>
      <c r="BO157" s="6625" t="str">
        <f t="shared" si="118"/>
        <v/>
      </c>
      <c r="BP157" s="6625" t="str">
        <f t="shared" si="119"/>
        <v/>
      </c>
      <c r="BQ157" s="6625" t="str">
        <f t="shared" si="120"/>
        <v/>
      </c>
      <c r="BR157" s="6625" t="str">
        <f t="shared" si="121"/>
        <v/>
      </c>
      <c r="BS157" s="6625" t="str">
        <f t="shared" si="122"/>
        <v/>
      </c>
      <c r="BT157" s="6625" t="str">
        <f t="shared" si="123"/>
        <v/>
      </c>
      <c r="BU157" s="6625" t="str">
        <f t="shared" si="124"/>
        <v/>
      </c>
      <c r="BV157" s="6625" t="str">
        <f t="shared" si="125"/>
        <v/>
      </c>
      <c r="BW157" s="6625" t="str">
        <f t="shared" si="126"/>
        <v/>
      </c>
      <c r="BX157" s="6625" t="str">
        <f t="shared" si="127"/>
        <v/>
      </c>
      <c r="CA157" s="3170" t="s">
        <v>16629</v>
      </c>
      <c r="CB157" s="7634" t="s">
        <v>16255</v>
      </c>
      <c r="CC157" s="3170" t="s">
        <v>16644</v>
      </c>
      <c r="CD157" s="3170" t="s">
        <v>16645</v>
      </c>
    </row>
    <row r="158" spans="2:82" ht="30" customHeight="1">
      <c r="B158" s="7661" t="str">
        <f t="shared" si="88"/>
        <v/>
      </c>
      <c r="C158" s="7661" t="str">
        <f t="shared" si="89"/>
        <v/>
      </c>
      <c r="D158" s="7661" t="str">
        <f t="shared" si="90"/>
        <v/>
      </c>
      <c r="E158" s="7661">
        <f>IF(H157&lt;&gt;"",E157,IF(E157="","",IFERROR(MATCH(TRUE(),INDEX(INDEX($K:$K,E157+1):$K$203&lt;&gt;"",0),0)+E157,"")))</f>
        <v>333</v>
      </c>
      <c r="F158" s="7661">
        <f t="shared" si="128"/>
        <v>0</v>
      </c>
      <c r="G158" s="7661" t="str">
        <f t="shared" si="91"/>
        <v>0</v>
      </c>
      <c r="H158" s="7672" t="str">
        <f t="shared" si="92"/>
        <v/>
      </c>
      <c r="I158" s="7683" t="str">
        <f t="shared" si="93"/>
        <v/>
      </c>
      <c r="J158" s="7673" t="str">
        <f>IF(K158="","",COUNTIF($K$18:K158,"&lt;&gt;"))</f>
        <v/>
      </c>
      <c r="K158" s="7674"/>
      <c r="L158" s="7673" t="str">
        <f t="shared" si="94"/>
        <v/>
      </c>
      <c r="M158" s="7630">
        <f t="shared" si="95"/>
        <v>1</v>
      </c>
      <c r="N158" s="7675">
        <f t="shared" si="96"/>
        <v>141</v>
      </c>
      <c r="O158" s="7676" t="str">
        <f t="shared" si="97"/>
        <v>0</v>
      </c>
      <c r="P158" s="7675">
        <f t="shared" si="98"/>
        <v>1</v>
      </c>
      <c r="Q158" s="7675">
        <f t="shared" si="99"/>
        <v>1</v>
      </c>
      <c r="S158" s="7679" t="str">
        <f t="shared" si="129"/>
        <v>0</v>
      </c>
      <c r="T158" s="7680" t="str">
        <f t="shared" si="129"/>
        <v/>
      </c>
      <c r="V158" s="7677">
        <f t="shared" si="100"/>
        <v>158</v>
      </c>
      <c r="W158" s="7678" t="str">
        <f t="shared" si="130"/>
        <v>0</v>
      </c>
      <c r="X158" s="7677" t="s">
        <v>2</v>
      </c>
      <c r="Y158" s="7702" t="str">
        <f t="shared" si="101"/>
        <v>0</v>
      </c>
      <c r="Z158" s="7703" t="str">
        <f t="shared" si="102"/>
        <v/>
      </c>
      <c r="AA158" s="7681" t="str">
        <f t="shared" si="103"/>
        <v>0</v>
      </c>
      <c r="AB158" s="7682" t="str">
        <f t="shared" si="104"/>
        <v/>
      </c>
      <c r="AC158" s="7677">
        <f t="shared" si="105"/>
        <v>0</v>
      </c>
      <c r="AD158" s="7677">
        <f t="shared" si="106"/>
        <v>0</v>
      </c>
      <c r="AE158" s="7682" t="str">
        <f t="shared" si="107"/>
        <v>aucun match</v>
      </c>
      <c r="AF158" s="6625" t="str">
        <f t="shared" si="108"/>
        <v>0</v>
      </c>
      <c r="AG158" s="6625" t="str">
        <f t="shared" si="109"/>
        <v>0</v>
      </c>
      <c r="AH158" s="6625" t="str">
        <f t="shared" si="110"/>
        <v>0</v>
      </c>
      <c r="AI158" s="6625" t="str">
        <f t="shared" si="111"/>
        <v xml:space="preserve"> 0 </v>
      </c>
      <c r="AJ158" s="6625" cm="1">
        <f t="array" ref="AJ158">IF(W158="",0,SUMPRODUCT((CA4:CA795="Gluten")*(CB4:CB795="INFO")*(COUNTIF(AI158,"*"&amp;CC4:CC795&amp;"*")&gt;0)*1))</f>
        <v>0</v>
      </c>
      <c r="AK158" s="6625" cm="1">
        <f t="array" ref="AK158">IF(W158="",0,SUMPRODUCT((CA4:CA795="Gluten")*(CB4:CB795="EXCL")*(COUNTIF(AI158,"*"&amp;CC4:CC795&amp;"*")&gt;0)*1))</f>
        <v>0</v>
      </c>
      <c r="AL158" s="6625" cm="1">
        <f t="array" ref="AL158">IF(W158="",0,SUMPRODUCT((CA4:CA795="Gluten")*(CB4:CB795="ALERTE")*(COUNTIF(AI158,"*"&amp;CC4:CC795&amp;"*")&gt;0)*1))</f>
        <v>0</v>
      </c>
      <c r="AM158" s="6625" cm="1">
        <f t="array" ref="AM158">IF(W158="",0,SUMPRODUCT((CA4:CA795="Gluten")*(CB4:CB795="SUSP")*(COUNTIF(AI158,"*"&amp;CC4:CC795&amp;"*")&gt;0)*1))</f>
        <v>0</v>
      </c>
      <c r="AN158" s="6625" cm="1">
        <f t="array" ref="AN158">IF(W158="",0,SUMPRODUCT((CA4:CA795="Crustaces")*(CB4:CB795="ALERTE")*(COUNTIF(AI158,"*"&amp;CC4:CC795&amp;"*")&gt;0)*1))</f>
        <v>0</v>
      </c>
      <c r="AO158" s="6625" cm="1">
        <f t="array" ref="AO158">IF(W158="",0,SUMPRODUCT((CA4:CA795="Oeufs")*(CB4:CB795="ALERTE")*(COUNTIF(AI158,"*"&amp;CC4:CC795&amp;"*")&gt;0)*1))</f>
        <v>0</v>
      </c>
      <c r="AP158" s="6625" cm="1">
        <f t="array" ref="AP158">IF(W158="",0,SUMPRODUCT((CA4:CA795="Poissons")*(CB4:CB795="INFO")*(COUNTIF(AI158,"*"&amp;CC4:CC795&amp;"*")&gt;0)*1))</f>
        <v>0</v>
      </c>
      <c r="AQ158" s="6625" cm="1">
        <f t="array" ref="AQ158">IF(W158="",0,SUMPRODUCT((CA4:CA795="Poissons")*(CB4:CB795="EXCL")*(COUNTIF(AI158,"*"&amp;CC4:CC795&amp;"*")&gt;0)*1))</f>
        <v>0</v>
      </c>
      <c r="AR158" s="6625" cm="1">
        <f t="array" ref="AR158">IF(W158="",0,SUMPRODUCT((CA4:CA795="Poissons")*(CB4:CB795="ALERTE")*(COUNTIF(AI158,"*"&amp;CC4:CC795&amp;"*")&gt;0)*1))</f>
        <v>0</v>
      </c>
      <c r="AS158" s="6625" cm="1">
        <f t="array" ref="AS158">IF(W158="",0,SUMPRODUCT((CA4:CA795="Arachides")*(CB4:CB795="ALERTE")*(COUNTIF(AI158,"*"&amp;CC4:CC795&amp;"*")&gt;0)*1))</f>
        <v>0</v>
      </c>
      <c r="AT158" s="6625" cm="1">
        <f t="array" ref="AT158">IF(W158="",0,SUMPRODUCT((CA4:CA795="Soja")*(CB4:CB795="INFO")*(COUNTIF(AI158,"*"&amp;CC4:CC795&amp;"*")&gt;0)*1))</f>
        <v>0</v>
      </c>
      <c r="AU158" s="6625" cm="1">
        <f t="array" ref="AU158">IF(W158="",0,SUMPRODUCT((CA4:CA795="Soja")*(CB4:CB795="ALERTE")*(COUNTIF(AI158,"*"&amp;CC4:CC795&amp;"*")&gt;0)*1))</f>
        <v>0</v>
      </c>
      <c r="AV158" s="6625" cm="1">
        <f t="array" ref="AV158">IF(W158="",0,SUMPRODUCT((CA4:CA795="Lait")*(CB4:CB795="INFO")*(COUNTIF(AI158,"*"&amp;CC4:CC795&amp;"*")&gt;0)*1))</f>
        <v>0</v>
      </c>
      <c r="AW158" s="6625" cm="1">
        <f t="array" ref="AW158">IF(W158="",0,SUMPRODUCT((CA4:CA795="Lait")*(CB4:CB795="EXCL")*(COUNTIF(AI158,"*"&amp;CC4:CC795&amp;"*")&gt;0)*1))</f>
        <v>0</v>
      </c>
      <c r="AX158" s="6625" cm="1">
        <f t="array" ref="AX158">IF(W158="",0,SUMPRODUCT((CA4:CA795="Lait")*(CB4:CB795="ALERTE")*(COUNTIF(AI158,"*"&amp;CC4:CC795&amp;"*")&gt;0)*1))</f>
        <v>0</v>
      </c>
      <c r="AY158" s="6625" cm="1">
        <f t="array" ref="AY158">IF(W158="",0,SUMPRODUCT((CA4:CA795="Lait")*(CB4:CB795="SUSP")*(COUNTIF(AI158,"*"&amp;CC4:CC795&amp;"*")&gt;0)*1))</f>
        <v>0</v>
      </c>
      <c r="AZ158" s="6625" cm="1">
        <f t="array" ref="AZ158">IF(W158="",0,SUMPRODUCT((CA4:CA795="Fruits a coque")*(CB4:CB795="EXCL")*(COUNTIF(AI158,"*"&amp;CC4:CC795&amp;"*")&gt;0)*1))</f>
        <v>0</v>
      </c>
      <c r="BA158" s="6625" cm="1">
        <f t="array" ref="BA158">IF(W158="",0,SUMPRODUCT((CA4:CA795="Fruits a coque")*(CB4:CB795="ALERTE")*(COUNTIF(AI158,"*"&amp;CC4:CC795&amp;"*")&gt;0)*1))</f>
        <v>0</v>
      </c>
      <c r="BB158" s="6625" cm="1">
        <f t="array" ref="BB158">IF(W158="",0,SUMPRODUCT((CA4:CA795="Celeri")*(CB4:CB795="ALERTE")*(COUNTIF(AI158,"*"&amp;CC4:CC795&amp;"*")&gt;0)*1))</f>
        <v>0</v>
      </c>
      <c r="BC158" s="6625" cm="1">
        <f t="array" ref="BC158">IF(W158="",0,SUMPRODUCT((CA4:CA795="Moutarde")*(CB4:CB795="ALERTE")*(COUNTIF(AI158,"*"&amp;CC4:CC795&amp;"*")&gt;0)*1))</f>
        <v>0</v>
      </c>
      <c r="BD158" s="6625" cm="1">
        <f t="array" ref="BD158">IF(W158="",0,SUMPRODUCT((CA4:CA795="Sesame")*(CB4:CB795="ALERTE")*(COUNTIF(AI158,"*"&amp;CC4:CC795&amp;"*")&gt;0)*1))</f>
        <v>0</v>
      </c>
      <c r="BE158" s="6625" cm="1">
        <f t="array" ref="BE158">IF(W158="",0,SUMPRODUCT((CA4:CA795="Sulfites")*(CB4:CB795="ALERTE")*(COUNTIF(AI158,"*"&amp;CC4:CC795&amp;"*")&gt;0)*1))</f>
        <v>0</v>
      </c>
      <c r="BF158" s="6625" cm="1">
        <f t="array" ref="BF158">IF(W158="",0,SUMPRODUCT((CA4:CA795="Lupin")*(CB4:CB795="ALERTE")*(COUNTIF(AI158,"*"&amp;CC4:CC795&amp;"*")&gt;0)*1))</f>
        <v>0</v>
      </c>
      <c r="BG158" s="6625" cm="1">
        <f t="array" ref="BG158">IF(W158="",0,SUMPRODUCT((CA4:CA795="Mollusques")*(CB4:CB795="EXCL")*(COUNTIF(AI158,"*"&amp;CC4:CC795&amp;"*")&gt;0)*1))</f>
        <v>0</v>
      </c>
      <c r="BH158" s="6625" cm="1">
        <f t="array" ref="BH158">IF(W158="",0,SUMPRODUCT((CA4:CA795="Mollusques")*(CB4:CB795="ALERTE")*(COUNTIF(AI158,"*"&amp;CC4:CC795&amp;"*")&gt;0)*1))</f>
        <v>0</v>
      </c>
      <c r="BI158" s="6625" t="str">
        <f t="shared" si="112"/>
        <v/>
      </c>
      <c r="BJ158" s="6625" t="str">
        <f t="shared" si="113"/>
        <v/>
      </c>
      <c r="BK158" s="6625" t="str">
        <f t="shared" si="114"/>
        <v/>
      </c>
      <c r="BL158" s="6625" t="str">
        <f t="shared" si="115"/>
        <v/>
      </c>
      <c r="BM158" s="6625" t="str">
        <f t="shared" si="116"/>
        <v/>
      </c>
      <c r="BN158" s="6625" t="str">
        <f t="shared" si="117"/>
        <v/>
      </c>
      <c r="BO158" s="6625" t="str">
        <f t="shared" si="118"/>
        <v/>
      </c>
      <c r="BP158" s="6625" t="str">
        <f t="shared" si="119"/>
        <v/>
      </c>
      <c r="BQ158" s="6625" t="str">
        <f t="shared" si="120"/>
        <v/>
      </c>
      <c r="BR158" s="6625" t="str">
        <f t="shared" si="121"/>
        <v/>
      </c>
      <c r="BS158" s="6625" t="str">
        <f t="shared" si="122"/>
        <v/>
      </c>
      <c r="BT158" s="6625" t="str">
        <f t="shared" si="123"/>
        <v/>
      </c>
      <c r="BU158" s="6625" t="str">
        <f t="shared" si="124"/>
        <v/>
      </c>
      <c r="BV158" s="6625" t="str">
        <f t="shared" si="125"/>
        <v/>
      </c>
      <c r="BW158" s="6625" t="str">
        <f t="shared" si="126"/>
        <v/>
      </c>
      <c r="BX158" s="6625" t="str">
        <f t="shared" si="127"/>
        <v/>
      </c>
      <c r="CA158" s="3170" t="s">
        <v>16629</v>
      </c>
      <c r="CB158" s="7634" t="s">
        <v>16255</v>
      </c>
      <c r="CC158" s="3170" t="s">
        <v>16646</v>
      </c>
      <c r="CD158" s="3170" t="s">
        <v>16647</v>
      </c>
    </row>
    <row r="159" spans="2:82" ht="30" customHeight="1">
      <c r="B159" s="7661" t="str">
        <f t="shared" si="88"/>
        <v/>
      </c>
      <c r="C159" s="7661" t="str">
        <f t="shared" si="89"/>
        <v/>
      </c>
      <c r="D159" s="7661" t="str">
        <f t="shared" si="90"/>
        <v/>
      </c>
      <c r="E159" s="7661">
        <f>IF(H158&lt;&gt;"",E158,IF(E158="","",IFERROR(MATCH(TRUE(),INDEX(INDEX($K:$K,E158+1):$K$203&lt;&gt;"",0),0)+E158,"")))</f>
        <v>334</v>
      </c>
      <c r="F159" s="7661">
        <f t="shared" si="128"/>
        <v>0</v>
      </c>
      <c r="G159" s="7661" t="str">
        <f t="shared" si="91"/>
        <v>0</v>
      </c>
      <c r="H159" s="7672" t="str">
        <f t="shared" si="92"/>
        <v/>
      </c>
      <c r="I159" s="7683" t="str">
        <f t="shared" si="93"/>
        <v/>
      </c>
      <c r="J159" s="7673" t="str">
        <f>IF(K159="","",COUNTIF($K$18:K159,"&lt;&gt;"))</f>
        <v/>
      </c>
      <c r="K159" s="7674"/>
      <c r="L159" s="7673" t="str">
        <f t="shared" si="94"/>
        <v/>
      </c>
      <c r="M159" s="7630">
        <f t="shared" si="95"/>
        <v>1</v>
      </c>
      <c r="N159" s="7675">
        <f t="shared" si="96"/>
        <v>142</v>
      </c>
      <c r="O159" s="7676" t="str">
        <f t="shared" si="97"/>
        <v>0</v>
      </c>
      <c r="P159" s="7675">
        <f t="shared" si="98"/>
        <v>1</v>
      </c>
      <c r="Q159" s="7675">
        <f t="shared" si="99"/>
        <v>1</v>
      </c>
      <c r="S159" s="7679" t="str">
        <f t="shared" si="129"/>
        <v>0</v>
      </c>
      <c r="T159" s="7680" t="str">
        <f t="shared" si="129"/>
        <v/>
      </c>
      <c r="V159" s="7677">
        <f t="shared" si="100"/>
        <v>159</v>
      </c>
      <c r="W159" s="7678" t="str">
        <f t="shared" si="130"/>
        <v>0</v>
      </c>
      <c r="X159" s="7677" t="s">
        <v>2</v>
      </c>
      <c r="Y159" s="7702" t="str">
        <f t="shared" si="101"/>
        <v>0</v>
      </c>
      <c r="Z159" s="7703" t="str">
        <f t="shared" si="102"/>
        <v/>
      </c>
      <c r="AA159" s="7681" t="str">
        <f t="shared" si="103"/>
        <v>0</v>
      </c>
      <c r="AB159" s="7682" t="str">
        <f t="shared" si="104"/>
        <v/>
      </c>
      <c r="AC159" s="7677">
        <f t="shared" si="105"/>
        <v>0</v>
      </c>
      <c r="AD159" s="7677">
        <f t="shared" si="106"/>
        <v>0</v>
      </c>
      <c r="AE159" s="7682" t="str">
        <f t="shared" si="107"/>
        <v>aucun match</v>
      </c>
      <c r="AF159" s="6625" t="str">
        <f t="shared" si="108"/>
        <v>0</v>
      </c>
      <c r="AG159" s="6625" t="str">
        <f t="shared" si="109"/>
        <v>0</v>
      </c>
      <c r="AH159" s="6625" t="str">
        <f t="shared" si="110"/>
        <v>0</v>
      </c>
      <c r="AI159" s="6625" t="str">
        <f t="shared" si="111"/>
        <v xml:space="preserve"> 0 </v>
      </c>
      <c r="AJ159" s="6625" cm="1">
        <f t="array" ref="AJ159">IF(W159="",0,SUMPRODUCT((CA4:CA795="Gluten")*(CB4:CB795="INFO")*(COUNTIF(AI159,"*"&amp;CC4:CC795&amp;"*")&gt;0)*1))</f>
        <v>0</v>
      </c>
      <c r="AK159" s="6625" cm="1">
        <f t="array" ref="AK159">IF(W159="",0,SUMPRODUCT((CA4:CA795="Gluten")*(CB4:CB795="EXCL")*(COUNTIF(AI159,"*"&amp;CC4:CC795&amp;"*")&gt;0)*1))</f>
        <v>0</v>
      </c>
      <c r="AL159" s="6625" cm="1">
        <f t="array" ref="AL159">IF(W159="",0,SUMPRODUCT((CA4:CA795="Gluten")*(CB4:CB795="ALERTE")*(COUNTIF(AI159,"*"&amp;CC4:CC795&amp;"*")&gt;0)*1))</f>
        <v>0</v>
      </c>
      <c r="AM159" s="6625" cm="1">
        <f t="array" ref="AM159">IF(W159="",0,SUMPRODUCT((CA4:CA795="Gluten")*(CB4:CB795="SUSP")*(COUNTIF(AI159,"*"&amp;CC4:CC795&amp;"*")&gt;0)*1))</f>
        <v>0</v>
      </c>
      <c r="AN159" s="6625" cm="1">
        <f t="array" ref="AN159">IF(W159="",0,SUMPRODUCT((CA4:CA795="Crustaces")*(CB4:CB795="ALERTE")*(COUNTIF(AI159,"*"&amp;CC4:CC795&amp;"*")&gt;0)*1))</f>
        <v>0</v>
      </c>
      <c r="AO159" s="6625" cm="1">
        <f t="array" ref="AO159">IF(W159="",0,SUMPRODUCT((CA4:CA795="Oeufs")*(CB4:CB795="ALERTE")*(COUNTIF(AI159,"*"&amp;CC4:CC795&amp;"*")&gt;0)*1))</f>
        <v>0</v>
      </c>
      <c r="AP159" s="6625" cm="1">
        <f t="array" ref="AP159">IF(W159="",0,SUMPRODUCT((CA4:CA795="Poissons")*(CB4:CB795="INFO")*(COUNTIF(AI159,"*"&amp;CC4:CC795&amp;"*")&gt;0)*1))</f>
        <v>0</v>
      </c>
      <c r="AQ159" s="6625" cm="1">
        <f t="array" ref="AQ159">IF(W159="",0,SUMPRODUCT((CA4:CA795="Poissons")*(CB4:CB795="EXCL")*(COUNTIF(AI159,"*"&amp;CC4:CC795&amp;"*")&gt;0)*1))</f>
        <v>0</v>
      </c>
      <c r="AR159" s="6625" cm="1">
        <f t="array" ref="AR159">IF(W159="",0,SUMPRODUCT((CA4:CA795="Poissons")*(CB4:CB795="ALERTE")*(COUNTIF(AI159,"*"&amp;CC4:CC795&amp;"*")&gt;0)*1))</f>
        <v>0</v>
      </c>
      <c r="AS159" s="6625" cm="1">
        <f t="array" ref="AS159">IF(W159="",0,SUMPRODUCT((CA4:CA795="Arachides")*(CB4:CB795="ALERTE")*(COUNTIF(AI159,"*"&amp;CC4:CC795&amp;"*")&gt;0)*1))</f>
        <v>0</v>
      </c>
      <c r="AT159" s="6625" cm="1">
        <f t="array" ref="AT159">IF(W159="",0,SUMPRODUCT((CA4:CA795="Soja")*(CB4:CB795="INFO")*(COUNTIF(AI159,"*"&amp;CC4:CC795&amp;"*")&gt;0)*1))</f>
        <v>0</v>
      </c>
      <c r="AU159" s="6625" cm="1">
        <f t="array" ref="AU159">IF(W159="",0,SUMPRODUCT((CA4:CA795="Soja")*(CB4:CB795="ALERTE")*(COUNTIF(AI159,"*"&amp;CC4:CC795&amp;"*")&gt;0)*1))</f>
        <v>0</v>
      </c>
      <c r="AV159" s="6625" cm="1">
        <f t="array" ref="AV159">IF(W159="",0,SUMPRODUCT((CA4:CA795="Lait")*(CB4:CB795="INFO")*(COUNTIF(AI159,"*"&amp;CC4:CC795&amp;"*")&gt;0)*1))</f>
        <v>0</v>
      </c>
      <c r="AW159" s="6625" cm="1">
        <f t="array" ref="AW159">IF(W159="",0,SUMPRODUCT((CA4:CA795="Lait")*(CB4:CB795="EXCL")*(COUNTIF(AI159,"*"&amp;CC4:CC795&amp;"*")&gt;0)*1))</f>
        <v>0</v>
      </c>
      <c r="AX159" s="6625" cm="1">
        <f t="array" ref="AX159">IF(W159="",0,SUMPRODUCT((CA4:CA795="Lait")*(CB4:CB795="ALERTE")*(COUNTIF(AI159,"*"&amp;CC4:CC795&amp;"*")&gt;0)*1))</f>
        <v>0</v>
      </c>
      <c r="AY159" s="6625" cm="1">
        <f t="array" ref="AY159">IF(W159="",0,SUMPRODUCT((CA4:CA795="Lait")*(CB4:CB795="SUSP")*(COUNTIF(AI159,"*"&amp;CC4:CC795&amp;"*")&gt;0)*1))</f>
        <v>0</v>
      </c>
      <c r="AZ159" s="6625" cm="1">
        <f t="array" ref="AZ159">IF(W159="",0,SUMPRODUCT((CA4:CA795="Fruits a coque")*(CB4:CB795="EXCL")*(COUNTIF(AI159,"*"&amp;CC4:CC795&amp;"*")&gt;0)*1))</f>
        <v>0</v>
      </c>
      <c r="BA159" s="6625" cm="1">
        <f t="array" ref="BA159">IF(W159="",0,SUMPRODUCT((CA4:CA795="Fruits a coque")*(CB4:CB795="ALERTE")*(COUNTIF(AI159,"*"&amp;CC4:CC795&amp;"*")&gt;0)*1))</f>
        <v>0</v>
      </c>
      <c r="BB159" s="6625" cm="1">
        <f t="array" ref="BB159">IF(W159="",0,SUMPRODUCT((CA4:CA795="Celeri")*(CB4:CB795="ALERTE")*(COUNTIF(AI159,"*"&amp;CC4:CC795&amp;"*")&gt;0)*1))</f>
        <v>0</v>
      </c>
      <c r="BC159" s="6625" cm="1">
        <f t="array" ref="BC159">IF(W159="",0,SUMPRODUCT((CA4:CA795="Moutarde")*(CB4:CB795="ALERTE")*(COUNTIF(AI159,"*"&amp;CC4:CC795&amp;"*")&gt;0)*1))</f>
        <v>0</v>
      </c>
      <c r="BD159" s="6625" cm="1">
        <f t="array" ref="BD159">IF(W159="",0,SUMPRODUCT((CA4:CA795="Sesame")*(CB4:CB795="ALERTE")*(COUNTIF(AI159,"*"&amp;CC4:CC795&amp;"*")&gt;0)*1))</f>
        <v>0</v>
      </c>
      <c r="BE159" s="6625" cm="1">
        <f t="array" ref="BE159">IF(W159="",0,SUMPRODUCT((CA4:CA795="Sulfites")*(CB4:CB795="ALERTE")*(COUNTIF(AI159,"*"&amp;CC4:CC795&amp;"*")&gt;0)*1))</f>
        <v>0</v>
      </c>
      <c r="BF159" s="6625" cm="1">
        <f t="array" ref="BF159">IF(W159="",0,SUMPRODUCT((CA4:CA795="Lupin")*(CB4:CB795="ALERTE")*(COUNTIF(AI159,"*"&amp;CC4:CC795&amp;"*")&gt;0)*1))</f>
        <v>0</v>
      </c>
      <c r="BG159" s="6625" cm="1">
        <f t="array" ref="BG159">IF(W159="",0,SUMPRODUCT((CA4:CA795="Mollusques")*(CB4:CB795="EXCL")*(COUNTIF(AI159,"*"&amp;CC4:CC795&amp;"*")&gt;0)*1))</f>
        <v>0</v>
      </c>
      <c r="BH159" s="6625" cm="1">
        <f t="array" ref="BH159">IF(W159="",0,SUMPRODUCT((CA4:CA795="Mollusques")*(CB4:CB795="ALERTE")*(COUNTIF(AI159,"*"&amp;CC4:CC795&amp;"*")&gt;0)*1))</f>
        <v>0</v>
      </c>
      <c r="BI159" s="6625" t="str">
        <f t="shared" si="112"/>
        <v/>
      </c>
      <c r="BJ159" s="6625" t="str">
        <f t="shared" si="113"/>
        <v/>
      </c>
      <c r="BK159" s="6625" t="str">
        <f t="shared" si="114"/>
        <v/>
      </c>
      <c r="BL159" s="6625" t="str">
        <f t="shared" si="115"/>
        <v/>
      </c>
      <c r="BM159" s="6625" t="str">
        <f t="shared" si="116"/>
        <v/>
      </c>
      <c r="BN159" s="6625" t="str">
        <f t="shared" si="117"/>
        <v/>
      </c>
      <c r="BO159" s="6625" t="str">
        <f t="shared" si="118"/>
        <v/>
      </c>
      <c r="BP159" s="6625" t="str">
        <f t="shared" si="119"/>
        <v/>
      </c>
      <c r="BQ159" s="6625" t="str">
        <f t="shared" si="120"/>
        <v/>
      </c>
      <c r="BR159" s="6625" t="str">
        <f t="shared" si="121"/>
        <v/>
      </c>
      <c r="BS159" s="6625" t="str">
        <f t="shared" si="122"/>
        <v/>
      </c>
      <c r="BT159" s="6625" t="str">
        <f t="shared" si="123"/>
        <v/>
      </c>
      <c r="BU159" s="6625" t="str">
        <f t="shared" si="124"/>
        <v/>
      </c>
      <c r="BV159" s="6625" t="str">
        <f t="shared" si="125"/>
        <v/>
      </c>
      <c r="BW159" s="6625" t="str">
        <f t="shared" si="126"/>
        <v/>
      </c>
      <c r="BX159" s="6625" t="str">
        <f t="shared" si="127"/>
        <v/>
      </c>
      <c r="CA159" s="3170" t="s">
        <v>16629</v>
      </c>
      <c r="CB159" s="7634" t="s">
        <v>16255</v>
      </c>
      <c r="CC159" s="3170" t="s">
        <v>16648</v>
      </c>
      <c r="CD159" s="3170" t="s">
        <v>16649</v>
      </c>
    </row>
    <row r="160" spans="2:82" ht="30" customHeight="1">
      <c r="B160" s="7661" t="str">
        <f t="shared" si="88"/>
        <v/>
      </c>
      <c r="C160" s="7661" t="str">
        <f t="shared" si="89"/>
        <v/>
      </c>
      <c r="D160" s="7661" t="str">
        <f t="shared" si="90"/>
        <v/>
      </c>
      <c r="E160" s="7661">
        <f>IF(H159&lt;&gt;"",E159,IF(E159="","",IFERROR(MATCH(TRUE(),INDEX(INDEX($K:$K,E159+1):$K$203&lt;&gt;"",0),0)+E159,"")))</f>
        <v>335</v>
      </c>
      <c r="F160" s="7661">
        <f t="shared" si="128"/>
        <v>0</v>
      </c>
      <c r="G160" s="7661" t="str">
        <f t="shared" si="91"/>
        <v>0</v>
      </c>
      <c r="H160" s="7672" t="str">
        <f t="shared" si="92"/>
        <v/>
      </c>
      <c r="I160" s="7683" t="str">
        <f t="shared" si="93"/>
        <v/>
      </c>
      <c r="J160" s="7673" t="str">
        <f>IF(K160="","",COUNTIF($K$18:K160,"&lt;&gt;"))</f>
        <v/>
      </c>
      <c r="K160" s="7674"/>
      <c r="L160" s="7673" t="str">
        <f t="shared" si="94"/>
        <v/>
      </c>
      <c r="M160" s="7630">
        <f t="shared" si="95"/>
        <v>1</v>
      </c>
      <c r="N160" s="7675">
        <f t="shared" si="96"/>
        <v>143</v>
      </c>
      <c r="O160" s="7676" t="str">
        <f t="shared" si="97"/>
        <v>0</v>
      </c>
      <c r="P160" s="7675">
        <f t="shared" si="98"/>
        <v>1</v>
      </c>
      <c r="Q160" s="7675">
        <f t="shared" si="99"/>
        <v>1</v>
      </c>
      <c r="S160" s="7679" t="str">
        <f t="shared" si="129"/>
        <v>0</v>
      </c>
      <c r="T160" s="7680" t="str">
        <f t="shared" si="129"/>
        <v/>
      </c>
      <c r="V160" s="7677">
        <f t="shared" si="100"/>
        <v>160</v>
      </c>
      <c r="W160" s="7678" t="str">
        <f t="shared" si="130"/>
        <v>0</v>
      </c>
      <c r="X160" s="7677" t="s">
        <v>2</v>
      </c>
      <c r="Y160" s="7702" t="str">
        <f t="shared" si="101"/>
        <v>0</v>
      </c>
      <c r="Z160" s="7703" t="str">
        <f t="shared" si="102"/>
        <v/>
      </c>
      <c r="AA160" s="7681" t="str">
        <f t="shared" si="103"/>
        <v>0</v>
      </c>
      <c r="AB160" s="7682" t="str">
        <f t="shared" si="104"/>
        <v/>
      </c>
      <c r="AC160" s="7677">
        <f t="shared" si="105"/>
        <v>0</v>
      </c>
      <c r="AD160" s="7677">
        <f t="shared" si="106"/>
        <v>0</v>
      </c>
      <c r="AE160" s="7682" t="str">
        <f t="shared" si="107"/>
        <v>aucun match</v>
      </c>
      <c r="AF160" s="6625" t="str">
        <f t="shared" si="108"/>
        <v>0</v>
      </c>
      <c r="AG160" s="6625" t="str">
        <f t="shared" si="109"/>
        <v>0</v>
      </c>
      <c r="AH160" s="6625" t="str">
        <f t="shared" si="110"/>
        <v>0</v>
      </c>
      <c r="AI160" s="6625" t="str">
        <f t="shared" si="111"/>
        <v xml:space="preserve"> 0 </v>
      </c>
      <c r="AJ160" s="6625" cm="1">
        <f t="array" ref="AJ160">IF(W160="",0,SUMPRODUCT((CA4:CA795="Gluten")*(CB4:CB795="INFO")*(COUNTIF(AI160,"*"&amp;CC4:CC795&amp;"*")&gt;0)*1))</f>
        <v>0</v>
      </c>
      <c r="AK160" s="6625" cm="1">
        <f t="array" ref="AK160">IF(W160="",0,SUMPRODUCT((CA4:CA795="Gluten")*(CB4:CB795="EXCL")*(COUNTIF(AI160,"*"&amp;CC4:CC795&amp;"*")&gt;0)*1))</f>
        <v>0</v>
      </c>
      <c r="AL160" s="6625" cm="1">
        <f t="array" ref="AL160">IF(W160="",0,SUMPRODUCT((CA4:CA795="Gluten")*(CB4:CB795="ALERTE")*(COUNTIF(AI160,"*"&amp;CC4:CC795&amp;"*")&gt;0)*1))</f>
        <v>0</v>
      </c>
      <c r="AM160" s="6625" cm="1">
        <f t="array" ref="AM160">IF(W160="",0,SUMPRODUCT((CA4:CA795="Gluten")*(CB4:CB795="SUSP")*(COUNTIF(AI160,"*"&amp;CC4:CC795&amp;"*")&gt;0)*1))</f>
        <v>0</v>
      </c>
      <c r="AN160" s="6625" cm="1">
        <f t="array" ref="AN160">IF(W160="",0,SUMPRODUCT((CA4:CA795="Crustaces")*(CB4:CB795="ALERTE")*(COUNTIF(AI160,"*"&amp;CC4:CC795&amp;"*")&gt;0)*1))</f>
        <v>0</v>
      </c>
      <c r="AO160" s="6625" cm="1">
        <f t="array" ref="AO160">IF(W160="",0,SUMPRODUCT((CA4:CA795="Oeufs")*(CB4:CB795="ALERTE")*(COUNTIF(AI160,"*"&amp;CC4:CC795&amp;"*")&gt;0)*1))</f>
        <v>0</v>
      </c>
      <c r="AP160" s="6625" cm="1">
        <f t="array" ref="AP160">IF(W160="",0,SUMPRODUCT((CA4:CA795="Poissons")*(CB4:CB795="INFO")*(COUNTIF(AI160,"*"&amp;CC4:CC795&amp;"*")&gt;0)*1))</f>
        <v>0</v>
      </c>
      <c r="AQ160" s="6625" cm="1">
        <f t="array" ref="AQ160">IF(W160="",0,SUMPRODUCT((CA4:CA795="Poissons")*(CB4:CB795="EXCL")*(COUNTIF(AI160,"*"&amp;CC4:CC795&amp;"*")&gt;0)*1))</f>
        <v>0</v>
      </c>
      <c r="AR160" s="6625" cm="1">
        <f t="array" ref="AR160">IF(W160="",0,SUMPRODUCT((CA4:CA795="Poissons")*(CB4:CB795="ALERTE")*(COUNTIF(AI160,"*"&amp;CC4:CC795&amp;"*")&gt;0)*1))</f>
        <v>0</v>
      </c>
      <c r="AS160" s="6625" cm="1">
        <f t="array" ref="AS160">IF(W160="",0,SUMPRODUCT((CA4:CA795="Arachides")*(CB4:CB795="ALERTE")*(COUNTIF(AI160,"*"&amp;CC4:CC795&amp;"*")&gt;0)*1))</f>
        <v>0</v>
      </c>
      <c r="AT160" s="6625" cm="1">
        <f t="array" ref="AT160">IF(W160="",0,SUMPRODUCT((CA4:CA795="Soja")*(CB4:CB795="INFO")*(COUNTIF(AI160,"*"&amp;CC4:CC795&amp;"*")&gt;0)*1))</f>
        <v>0</v>
      </c>
      <c r="AU160" s="6625" cm="1">
        <f t="array" ref="AU160">IF(W160="",0,SUMPRODUCT((CA4:CA795="Soja")*(CB4:CB795="ALERTE")*(COUNTIF(AI160,"*"&amp;CC4:CC795&amp;"*")&gt;0)*1))</f>
        <v>0</v>
      </c>
      <c r="AV160" s="6625" cm="1">
        <f t="array" ref="AV160">IF(W160="",0,SUMPRODUCT((CA4:CA795="Lait")*(CB4:CB795="INFO")*(COUNTIF(AI160,"*"&amp;CC4:CC795&amp;"*")&gt;0)*1))</f>
        <v>0</v>
      </c>
      <c r="AW160" s="6625" cm="1">
        <f t="array" ref="AW160">IF(W160="",0,SUMPRODUCT((CA4:CA795="Lait")*(CB4:CB795="EXCL")*(COUNTIF(AI160,"*"&amp;CC4:CC795&amp;"*")&gt;0)*1))</f>
        <v>0</v>
      </c>
      <c r="AX160" s="6625" cm="1">
        <f t="array" ref="AX160">IF(W160="",0,SUMPRODUCT((CA4:CA795="Lait")*(CB4:CB795="ALERTE")*(COUNTIF(AI160,"*"&amp;CC4:CC795&amp;"*")&gt;0)*1))</f>
        <v>0</v>
      </c>
      <c r="AY160" s="6625" cm="1">
        <f t="array" ref="AY160">IF(W160="",0,SUMPRODUCT((CA4:CA795="Lait")*(CB4:CB795="SUSP")*(COUNTIF(AI160,"*"&amp;CC4:CC795&amp;"*")&gt;0)*1))</f>
        <v>0</v>
      </c>
      <c r="AZ160" s="6625" cm="1">
        <f t="array" ref="AZ160">IF(W160="",0,SUMPRODUCT((CA4:CA795="Fruits a coque")*(CB4:CB795="EXCL")*(COUNTIF(AI160,"*"&amp;CC4:CC795&amp;"*")&gt;0)*1))</f>
        <v>0</v>
      </c>
      <c r="BA160" s="6625" cm="1">
        <f t="array" ref="BA160">IF(W160="",0,SUMPRODUCT((CA4:CA795="Fruits a coque")*(CB4:CB795="ALERTE")*(COUNTIF(AI160,"*"&amp;CC4:CC795&amp;"*")&gt;0)*1))</f>
        <v>0</v>
      </c>
      <c r="BB160" s="6625" cm="1">
        <f t="array" ref="BB160">IF(W160="",0,SUMPRODUCT((CA4:CA795="Celeri")*(CB4:CB795="ALERTE")*(COUNTIF(AI160,"*"&amp;CC4:CC795&amp;"*")&gt;0)*1))</f>
        <v>0</v>
      </c>
      <c r="BC160" s="6625" cm="1">
        <f t="array" ref="BC160">IF(W160="",0,SUMPRODUCT((CA4:CA795="Moutarde")*(CB4:CB795="ALERTE")*(COUNTIF(AI160,"*"&amp;CC4:CC795&amp;"*")&gt;0)*1))</f>
        <v>0</v>
      </c>
      <c r="BD160" s="6625" cm="1">
        <f t="array" ref="BD160">IF(W160="",0,SUMPRODUCT((CA4:CA795="Sesame")*(CB4:CB795="ALERTE")*(COUNTIF(AI160,"*"&amp;CC4:CC795&amp;"*")&gt;0)*1))</f>
        <v>0</v>
      </c>
      <c r="BE160" s="6625" cm="1">
        <f t="array" ref="BE160">IF(W160="",0,SUMPRODUCT((CA4:CA795="Sulfites")*(CB4:CB795="ALERTE")*(COUNTIF(AI160,"*"&amp;CC4:CC795&amp;"*")&gt;0)*1))</f>
        <v>0</v>
      </c>
      <c r="BF160" s="6625" cm="1">
        <f t="array" ref="BF160">IF(W160="",0,SUMPRODUCT((CA4:CA795="Lupin")*(CB4:CB795="ALERTE")*(COUNTIF(AI160,"*"&amp;CC4:CC795&amp;"*")&gt;0)*1))</f>
        <v>0</v>
      </c>
      <c r="BG160" s="6625" cm="1">
        <f t="array" ref="BG160">IF(W160="",0,SUMPRODUCT((CA4:CA795="Mollusques")*(CB4:CB795="EXCL")*(COUNTIF(AI160,"*"&amp;CC4:CC795&amp;"*")&gt;0)*1))</f>
        <v>0</v>
      </c>
      <c r="BH160" s="6625" cm="1">
        <f t="array" ref="BH160">IF(W160="",0,SUMPRODUCT((CA4:CA795="Mollusques")*(CB4:CB795="ALERTE")*(COUNTIF(AI160,"*"&amp;CC4:CC795&amp;"*")&gt;0)*1))</f>
        <v>0</v>
      </c>
      <c r="BI160" s="6625" t="str">
        <f t="shared" si="112"/>
        <v/>
      </c>
      <c r="BJ160" s="6625" t="str">
        <f t="shared" si="113"/>
        <v/>
      </c>
      <c r="BK160" s="6625" t="str">
        <f t="shared" si="114"/>
        <v/>
      </c>
      <c r="BL160" s="6625" t="str">
        <f t="shared" si="115"/>
        <v/>
      </c>
      <c r="BM160" s="6625" t="str">
        <f t="shared" si="116"/>
        <v/>
      </c>
      <c r="BN160" s="6625" t="str">
        <f t="shared" si="117"/>
        <v/>
      </c>
      <c r="BO160" s="6625" t="str">
        <f t="shared" si="118"/>
        <v/>
      </c>
      <c r="BP160" s="6625" t="str">
        <f t="shared" si="119"/>
        <v/>
      </c>
      <c r="BQ160" s="6625" t="str">
        <f t="shared" si="120"/>
        <v/>
      </c>
      <c r="BR160" s="6625" t="str">
        <f t="shared" si="121"/>
        <v/>
      </c>
      <c r="BS160" s="6625" t="str">
        <f t="shared" si="122"/>
        <v/>
      </c>
      <c r="BT160" s="6625" t="str">
        <f t="shared" si="123"/>
        <v/>
      </c>
      <c r="BU160" s="6625" t="str">
        <f t="shared" si="124"/>
        <v/>
      </c>
      <c r="BV160" s="6625" t="str">
        <f t="shared" si="125"/>
        <v/>
      </c>
      <c r="BW160" s="6625" t="str">
        <f t="shared" si="126"/>
        <v/>
      </c>
      <c r="BX160" s="6625" t="str">
        <f t="shared" si="127"/>
        <v/>
      </c>
      <c r="CA160" s="3170" t="s">
        <v>16629</v>
      </c>
      <c r="CB160" s="7634" t="s">
        <v>16255</v>
      </c>
      <c r="CC160" s="3170" t="s">
        <v>16650</v>
      </c>
      <c r="CD160" s="3170" t="s">
        <v>16651</v>
      </c>
    </row>
    <row r="161" spans="2:82" ht="30" customHeight="1">
      <c r="B161" s="7661" t="str">
        <f t="shared" si="88"/>
        <v/>
      </c>
      <c r="C161" s="7661" t="str">
        <f t="shared" si="89"/>
        <v/>
      </c>
      <c r="D161" s="7661" t="str">
        <f t="shared" si="90"/>
        <v/>
      </c>
      <c r="E161" s="7661">
        <f>IF(H160&lt;&gt;"",E160,IF(E160="","",IFERROR(MATCH(TRUE(),INDEX(INDEX($K:$K,E160+1):$K$203&lt;&gt;"",0),0)+E160,"")))</f>
        <v>336</v>
      </c>
      <c r="F161" s="7661">
        <f t="shared" si="128"/>
        <v>0</v>
      </c>
      <c r="G161" s="7661" t="str">
        <f t="shared" si="91"/>
        <v>0</v>
      </c>
      <c r="H161" s="7672" t="str">
        <f t="shared" si="92"/>
        <v/>
      </c>
      <c r="I161" s="7683" t="str">
        <f t="shared" si="93"/>
        <v/>
      </c>
      <c r="J161" s="7673" t="str">
        <f>IF(K161="","",COUNTIF($K$18:K161,"&lt;&gt;"))</f>
        <v/>
      </c>
      <c r="K161" s="7674"/>
      <c r="L161" s="7673" t="str">
        <f t="shared" si="94"/>
        <v/>
      </c>
      <c r="M161" s="7630">
        <f t="shared" si="95"/>
        <v>1</v>
      </c>
      <c r="N161" s="7675">
        <f t="shared" si="96"/>
        <v>144</v>
      </c>
      <c r="O161" s="7676" t="str">
        <f t="shared" si="97"/>
        <v>0</v>
      </c>
      <c r="P161" s="7675">
        <f t="shared" si="98"/>
        <v>1</v>
      </c>
      <c r="Q161" s="7675">
        <f t="shared" si="99"/>
        <v>1</v>
      </c>
      <c r="S161" s="7679" t="str">
        <f t="shared" si="129"/>
        <v>0</v>
      </c>
      <c r="T161" s="7680" t="str">
        <f t="shared" si="129"/>
        <v/>
      </c>
      <c r="V161" s="7677">
        <f t="shared" si="100"/>
        <v>161</v>
      </c>
      <c r="W161" s="7678" t="str">
        <f t="shared" si="130"/>
        <v>0</v>
      </c>
      <c r="X161" s="7677" t="s">
        <v>2</v>
      </c>
      <c r="Y161" s="7702" t="str">
        <f t="shared" si="101"/>
        <v>0</v>
      </c>
      <c r="Z161" s="7703" t="str">
        <f t="shared" si="102"/>
        <v/>
      </c>
      <c r="AA161" s="7681" t="str">
        <f t="shared" si="103"/>
        <v>0</v>
      </c>
      <c r="AB161" s="7682" t="str">
        <f t="shared" si="104"/>
        <v/>
      </c>
      <c r="AC161" s="7677">
        <f t="shared" si="105"/>
        <v>0</v>
      </c>
      <c r="AD161" s="7677">
        <f t="shared" si="106"/>
        <v>0</v>
      </c>
      <c r="AE161" s="7682" t="str">
        <f t="shared" si="107"/>
        <v>aucun match</v>
      </c>
      <c r="AF161" s="6625" t="str">
        <f t="shared" si="108"/>
        <v>0</v>
      </c>
      <c r="AG161" s="6625" t="str">
        <f t="shared" si="109"/>
        <v>0</v>
      </c>
      <c r="AH161" s="6625" t="str">
        <f t="shared" si="110"/>
        <v>0</v>
      </c>
      <c r="AI161" s="6625" t="str">
        <f t="shared" si="111"/>
        <v xml:space="preserve"> 0 </v>
      </c>
      <c r="AJ161" s="6625" cm="1">
        <f t="array" ref="AJ161">IF(W161="",0,SUMPRODUCT((CA4:CA795="Gluten")*(CB4:CB795="INFO")*(COUNTIF(AI161,"*"&amp;CC4:CC795&amp;"*")&gt;0)*1))</f>
        <v>0</v>
      </c>
      <c r="AK161" s="6625" cm="1">
        <f t="array" ref="AK161">IF(W161="",0,SUMPRODUCT((CA4:CA795="Gluten")*(CB4:CB795="EXCL")*(COUNTIF(AI161,"*"&amp;CC4:CC795&amp;"*")&gt;0)*1))</f>
        <v>0</v>
      </c>
      <c r="AL161" s="6625" cm="1">
        <f t="array" ref="AL161">IF(W161="",0,SUMPRODUCT((CA4:CA795="Gluten")*(CB4:CB795="ALERTE")*(COUNTIF(AI161,"*"&amp;CC4:CC795&amp;"*")&gt;0)*1))</f>
        <v>0</v>
      </c>
      <c r="AM161" s="6625" cm="1">
        <f t="array" ref="AM161">IF(W161="",0,SUMPRODUCT((CA4:CA795="Gluten")*(CB4:CB795="SUSP")*(COUNTIF(AI161,"*"&amp;CC4:CC795&amp;"*")&gt;0)*1))</f>
        <v>0</v>
      </c>
      <c r="AN161" s="6625" cm="1">
        <f t="array" ref="AN161">IF(W161="",0,SUMPRODUCT((CA4:CA795="Crustaces")*(CB4:CB795="ALERTE")*(COUNTIF(AI161,"*"&amp;CC4:CC795&amp;"*")&gt;0)*1))</f>
        <v>0</v>
      </c>
      <c r="AO161" s="6625" cm="1">
        <f t="array" ref="AO161">IF(W161="",0,SUMPRODUCT((CA4:CA795="Oeufs")*(CB4:CB795="ALERTE")*(COUNTIF(AI161,"*"&amp;CC4:CC795&amp;"*")&gt;0)*1))</f>
        <v>0</v>
      </c>
      <c r="AP161" s="6625" cm="1">
        <f t="array" ref="AP161">IF(W161="",0,SUMPRODUCT((CA4:CA795="Poissons")*(CB4:CB795="INFO")*(COUNTIF(AI161,"*"&amp;CC4:CC795&amp;"*")&gt;0)*1))</f>
        <v>0</v>
      </c>
      <c r="AQ161" s="6625" cm="1">
        <f t="array" ref="AQ161">IF(W161="",0,SUMPRODUCT((CA4:CA795="Poissons")*(CB4:CB795="EXCL")*(COUNTIF(AI161,"*"&amp;CC4:CC795&amp;"*")&gt;0)*1))</f>
        <v>0</v>
      </c>
      <c r="AR161" s="6625" cm="1">
        <f t="array" ref="AR161">IF(W161="",0,SUMPRODUCT((CA4:CA795="Poissons")*(CB4:CB795="ALERTE")*(COUNTIF(AI161,"*"&amp;CC4:CC795&amp;"*")&gt;0)*1))</f>
        <v>0</v>
      </c>
      <c r="AS161" s="6625" cm="1">
        <f t="array" ref="AS161">IF(W161="",0,SUMPRODUCT((CA4:CA795="Arachides")*(CB4:CB795="ALERTE")*(COUNTIF(AI161,"*"&amp;CC4:CC795&amp;"*")&gt;0)*1))</f>
        <v>0</v>
      </c>
      <c r="AT161" s="6625" cm="1">
        <f t="array" ref="AT161">IF(W161="",0,SUMPRODUCT((CA4:CA795="Soja")*(CB4:CB795="INFO")*(COUNTIF(AI161,"*"&amp;CC4:CC795&amp;"*")&gt;0)*1))</f>
        <v>0</v>
      </c>
      <c r="AU161" s="6625" cm="1">
        <f t="array" ref="AU161">IF(W161="",0,SUMPRODUCT((CA4:CA795="Soja")*(CB4:CB795="ALERTE")*(COUNTIF(AI161,"*"&amp;CC4:CC795&amp;"*")&gt;0)*1))</f>
        <v>0</v>
      </c>
      <c r="AV161" s="6625" cm="1">
        <f t="array" ref="AV161">IF(W161="",0,SUMPRODUCT((CA4:CA795="Lait")*(CB4:CB795="INFO")*(COUNTIF(AI161,"*"&amp;CC4:CC795&amp;"*")&gt;0)*1))</f>
        <v>0</v>
      </c>
      <c r="AW161" s="6625" cm="1">
        <f t="array" ref="AW161">IF(W161="",0,SUMPRODUCT((CA4:CA795="Lait")*(CB4:CB795="EXCL")*(COUNTIF(AI161,"*"&amp;CC4:CC795&amp;"*")&gt;0)*1))</f>
        <v>0</v>
      </c>
      <c r="AX161" s="6625" cm="1">
        <f t="array" ref="AX161">IF(W161="",0,SUMPRODUCT((CA4:CA795="Lait")*(CB4:CB795="ALERTE")*(COUNTIF(AI161,"*"&amp;CC4:CC795&amp;"*")&gt;0)*1))</f>
        <v>0</v>
      </c>
      <c r="AY161" s="6625" cm="1">
        <f t="array" ref="AY161">IF(W161="",0,SUMPRODUCT((CA4:CA795="Lait")*(CB4:CB795="SUSP")*(COUNTIF(AI161,"*"&amp;CC4:CC795&amp;"*")&gt;0)*1))</f>
        <v>0</v>
      </c>
      <c r="AZ161" s="6625" cm="1">
        <f t="array" ref="AZ161">IF(W161="",0,SUMPRODUCT((CA4:CA795="Fruits a coque")*(CB4:CB795="EXCL")*(COUNTIF(AI161,"*"&amp;CC4:CC795&amp;"*")&gt;0)*1))</f>
        <v>0</v>
      </c>
      <c r="BA161" s="6625" cm="1">
        <f t="array" ref="BA161">IF(W161="",0,SUMPRODUCT((CA4:CA795="Fruits a coque")*(CB4:CB795="ALERTE")*(COUNTIF(AI161,"*"&amp;CC4:CC795&amp;"*")&gt;0)*1))</f>
        <v>0</v>
      </c>
      <c r="BB161" s="6625" cm="1">
        <f t="array" ref="BB161">IF(W161="",0,SUMPRODUCT((CA4:CA795="Celeri")*(CB4:CB795="ALERTE")*(COUNTIF(AI161,"*"&amp;CC4:CC795&amp;"*")&gt;0)*1))</f>
        <v>0</v>
      </c>
      <c r="BC161" s="6625" cm="1">
        <f t="array" ref="BC161">IF(W161="",0,SUMPRODUCT((CA4:CA795="Moutarde")*(CB4:CB795="ALERTE")*(COUNTIF(AI161,"*"&amp;CC4:CC795&amp;"*")&gt;0)*1))</f>
        <v>0</v>
      </c>
      <c r="BD161" s="6625" cm="1">
        <f t="array" ref="BD161">IF(W161="",0,SUMPRODUCT((CA4:CA795="Sesame")*(CB4:CB795="ALERTE")*(COUNTIF(AI161,"*"&amp;CC4:CC795&amp;"*")&gt;0)*1))</f>
        <v>0</v>
      </c>
      <c r="BE161" s="6625" cm="1">
        <f t="array" ref="BE161">IF(W161="",0,SUMPRODUCT((CA4:CA795="Sulfites")*(CB4:CB795="ALERTE")*(COUNTIF(AI161,"*"&amp;CC4:CC795&amp;"*")&gt;0)*1))</f>
        <v>0</v>
      </c>
      <c r="BF161" s="6625" cm="1">
        <f t="array" ref="BF161">IF(W161="",0,SUMPRODUCT((CA4:CA795="Lupin")*(CB4:CB795="ALERTE")*(COUNTIF(AI161,"*"&amp;CC4:CC795&amp;"*")&gt;0)*1))</f>
        <v>0</v>
      </c>
      <c r="BG161" s="6625" cm="1">
        <f t="array" ref="BG161">IF(W161="",0,SUMPRODUCT((CA4:CA795="Mollusques")*(CB4:CB795="EXCL")*(COUNTIF(AI161,"*"&amp;CC4:CC795&amp;"*")&gt;0)*1))</f>
        <v>0</v>
      </c>
      <c r="BH161" s="6625" cm="1">
        <f t="array" ref="BH161">IF(W161="",0,SUMPRODUCT((CA4:CA795="Mollusques")*(CB4:CB795="ALERTE")*(COUNTIF(AI161,"*"&amp;CC4:CC795&amp;"*")&gt;0)*1))</f>
        <v>0</v>
      </c>
      <c r="BI161" s="6625" t="str">
        <f t="shared" si="112"/>
        <v/>
      </c>
      <c r="BJ161" s="6625" t="str">
        <f t="shared" si="113"/>
        <v/>
      </c>
      <c r="BK161" s="6625" t="str">
        <f t="shared" si="114"/>
        <v/>
      </c>
      <c r="BL161" s="6625" t="str">
        <f t="shared" si="115"/>
        <v/>
      </c>
      <c r="BM161" s="6625" t="str">
        <f t="shared" si="116"/>
        <v/>
      </c>
      <c r="BN161" s="6625" t="str">
        <f t="shared" si="117"/>
        <v/>
      </c>
      <c r="BO161" s="6625" t="str">
        <f t="shared" si="118"/>
        <v/>
      </c>
      <c r="BP161" s="6625" t="str">
        <f t="shared" si="119"/>
        <v/>
      </c>
      <c r="BQ161" s="6625" t="str">
        <f t="shared" si="120"/>
        <v/>
      </c>
      <c r="BR161" s="6625" t="str">
        <f t="shared" si="121"/>
        <v/>
      </c>
      <c r="BS161" s="6625" t="str">
        <f t="shared" si="122"/>
        <v/>
      </c>
      <c r="BT161" s="6625" t="str">
        <f t="shared" si="123"/>
        <v/>
      </c>
      <c r="BU161" s="6625" t="str">
        <f t="shared" si="124"/>
        <v/>
      </c>
      <c r="BV161" s="6625" t="str">
        <f t="shared" si="125"/>
        <v/>
      </c>
      <c r="BW161" s="6625" t="str">
        <f t="shared" si="126"/>
        <v/>
      </c>
      <c r="BX161" s="6625" t="str">
        <f t="shared" si="127"/>
        <v/>
      </c>
      <c r="CA161" s="3170" t="s">
        <v>16629</v>
      </c>
      <c r="CB161" s="7634" t="s">
        <v>16255</v>
      </c>
      <c r="CC161" s="3170" t="s">
        <v>16652</v>
      </c>
      <c r="CD161" s="3170" t="s">
        <v>16653</v>
      </c>
    </row>
    <row r="162" spans="2:82" ht="30" customHeight="1">
      <c r="B162" s="7661" t="str">
        <f t="shared" si="88"/>
        <v/>
      </c>
      <c r="C162" s="7661" t="str">
        <f t="shared" si="89"/>
        <v/>
      </c>
      <c r="D162" s="7661" t="str">
        <f t="shared" si="90"/>
        <v/>
      </c>
      <c r="E162" s="7661">
        <f>IF(H161&lt;&gt;"",E161,IF(E161="","",IFERROR(MATCH(TRUE(),INDEX(INDEX($K:$K,E161+1):$K$203&lt;&gt;"",0),0)+E161,"")))</f>
        <v>337</v>
      </c>
      <c r="F162" s="7661">
        <f t="shared" si="128"/>
        <v>0</v>
      </c>
      <c r="G162" s="7661" t="str">
        <f t="shared" si="91"/>
        <v>0</v>
      </c>
      <c r="H162" s="7672" t="str">
        <f t="shared" si="92"/>
        <v/>
      </c>
      <c r="I162" s="7683" t="str">
        <f t="shared" si="93"/>
        <v/>
      </c>
      <c r="J162" s="7673" t="str">
        <f>IF(K162="","",COUNTIF($K$18:K162,"&lt;&gt;"))</f>
        <v/>
      </c>
      <c r="K162" s="7674"/>
      <c r="L162" s="7673" t="str">
        <f t="shared" si="94"/>
        <v/>
      </c>
      <c r="M162" s="7630">
        <f t="shared" si="95"/>
        <v>1</v>
      </c>
      <c r="N162" s="7675">
        <f t="shared" si="96"/>
        <v>145</v>
      </c>
      <c r="O162" s="7676" t="str">
        <f t="shared" si="97"/>
        <v>0</v>
      </c>
      <c r="P162" s="7675">
        <f t="shared" si="98"/>
        <v>1</v>
      </c>
      <c r="Q162" s="7675">
        <f t="shared" si="99"/>
        <v>1</v>
      </c>
      <c r="S162" s="7679" t="str">
        <f t="shared" si="129"/>
        <v>0</v>
      </c>
      <c r="T162" s="7680" t="str">
        <f t="shared" si="129"/>
        <v/>
      </c>
      <c r="V162" s="7677">
        <f t="shared" si="100"/>
        <v>162</v>
      </c>
      <c r="W162" s="7678" t="str">
        <f t="shared" si="130"/>
        <v>0</v>
      </c>
      <c r="X162" s="7677" t="s">
        <v>2</v>
      </c>
      <c r="Y162" s="7702" t="str">
        <f t="shared" si="101"/>
        <v>0</v>
      </c>
      <c r="Z162" s="7703" t="str">
        <f t="shared" si="102"/>
        <v/>
      </c>
      <c r="AA162" s="7681" t="str">
        <f t="shared" si="103"/>
        <v>0</v>
      </c>
      <c r="AB162" s="7682" t="str">
        <f t="shared" si="104"/>
        <v/>
      </c>
      <c r="AC162" s="7677">
        <f t="shared" si="105"/>
        <v>0</v>
      </c>
      <c r="AD162" s="7677">
        <f t="shared" si="106"/>
        <v>0</v>
      </c>
      <c r="AE162" s="7682" t="str">
        <f t="shared" si="107"/>
        <v>aucun match</v>
      </c>
      <c r="AF162" s="6625" t="str">
        <f t="shared" si="108"/>
        <v>0</v>
      </c>
      <c r="AG162" s="6625" t="str">
        <f t="shared" si="109"/>
        <v>0</v>
      </c>
      <c r="AH162" s="6625" t="str">
        <f t="shared" si="110"/>
        <v>0</v>
      </c>
      <c r="AI162" s="6625" t="str">
        <f t="shared" si="111"/>
        <v xml:space="preserve"> 0 </v>
      </c>
      <c r="AJ162" s="6625" cm="1">
        <f t="array" ref="AJ162">IF(W162="",0,SUMPRODUCT((CA4:CA795="Gluten")*(CB4:CB795="INFO")*(COUNTIF(AI162,"*"&amp;CC4:CC795&amp;"*")&gt;0)*1))</f>
        <v>0</v>
      </c>
      <c r="AK162" s="6625" cm="1">
        <f t="array" ref="AK162">IF(W162="",0,SUMPRODUCT((CA4:CA795="Gluten")*(CB4:CB795="EXCL")*(COUNTIF(AI162,"*"&amp;CC4:CC795&amp;"*")&gt;0)*1))</f>
        <v>0</v>
      </c>
      <c r="AL162" s="6625" cm="1">
        <f t="array" ref="AL162">IF(W162="",0,SUMPRODUCT((CA4:CA795="Gluten")*(CB4:CB795="ALERTE")*(COUNTIF(AI162,"*"&amp;CC4:CC795&amp;"*")&gt;0)*1))</f>
        <v>0</v>
      </c>
      <c r="AM162" s="6625" cm="1">
        <f t="array" ref="AM162">IF(W162="",0,SUMPRODUCT((CA4:CA795="Gluten")*(CB4:CB795="SUSP")*(COUNTIF(AI162,"*"&amp;CC4:CC795&amp;"*")&gt;0)*1))</f>
        <v>0</v>
      </c>
      <c r="AN162" s="6625" cm="1">
        <f t="array" ref="AN162">IF(W162="",0,SUMPRODUCT((CA4:CA795="Crustaces")*(CB4:CB795="ALERTE")*(COUNTIF(AI162,"*"&amp;CC4:CC795&amp;"*")&gt;0)*1))</f>
        <v>0</v>
      </c>
      <c r="AO162" s="6625" cm="1">
        <f t="array" ref="AO162">IF(W162="",0,SUMPRODUCT((CA4:CA795="Oeufs")*(CB4:CB795="ALERTE")*(COUNTIF(AI162,"*"&amp;CC4:CC795&amp;"*")&gt;0)*1))</f>
        <v>0</v>
      </c>
      <c r="AP162" s="6625" cm="1">
        <f t="array" ref="AP162">IF(W162="",0,SUMPRODUCT((CA4:CA795="Poissons")*(CB4:CB795="INFO")*(COUNTIF(AI162,"*"&amp;CC4:CC795&amp;"*")&gt;0)*1))</f>
        <v>0</v>
      </c>
      <c r="AQ162" s="6625" cm="1">
        <f t="array" ref="AQ162">IF(W162="",0,SUMPRODUCT((CA4:CA795="Poissons")*(CB4:CB795="EXCL")*(COUNTIF(AI162,"*"&amp;CC4:CC795&amp;"*")&gt;0)*1))</f>
        <v>0</v>
      </c>
      <c r="AR162" s="6625" cm="1">
        <f t="array" ref="AR162">IF(W162="",0,SUMPRODUCT((CA4:CA795="Poissons")*(CB4:CB795="ALERTE")*(COUNTIF(AI162,"*"&amp;CC4:CC795&amp;"*")&gt;0)*1))</f>
        <v>0</v>
      </c>
      <c r="AS162" s="6625" cm="1">
        <f t="array" ref="AS162">IF(W162="",0,SUMPRODUCT((CA4:CA795="Arachides")*(CB4:CB795="ALERTE")*(COUNTIF(AI162,"*"&amp;CC4:CC795&amp;"*")&gt;0)*1))</f>
        <v>0</v>
      </c>
      <c r="AT162" s="6625" cm="1">
        <f t="array" ref="AT162">IF(W162="",0,SUMPRODUCT((CA4:CA795="Soja")*(CB4:CB795="INFO")*(COUNTIF(AI162,"*"&amp;CC4:CC795&amp;"*")&gt;0)*1))</f>
        <v>0</v>
      </c>
      <c r="AU162" s="6625" cm="1">
        <f t="array" ref="AU162">IF(W162="",0,SUMPRODUCT((CA4:CA795="Soja")*(CB4:CB795="ALERTE")*(COUNTIF(AI162,"*"&amp;CC4:CC795&amp;"*")&gt;0)*1))</f>
        <v>0</v>
      </c>
      <c r="AV162" s="6625" cm="1">
        <f t="array" ref="AV162">IF(W162="",0,SUMPRODUCT((CA4:CA795="Lait")*(CB4:CB795="INFO")*(COUNTIF(AI162,"*"&amp;CC4:CC795&amp;"*")&gt;0)*1))</f>
        <v>0</v>
      </c>
      <c r="AW162" s="6625" cm="1">
        <f t="array" ref="AW162">IF(W162="",0,SUMPRODUCT((CA4:CA795="Lait")*(CB4:CB795="EXCL")*(COUNTIF(AI162,"*"&amp;CC4:CC795&amp;"*")&gt;0)*1))</f>
        <v>0</v>
      </c>
      <c r="AX162" s="6625" cm="1">
        <f t="array" ref="AX162">IF(W162="",0,SUMPRODUCT((CA4:CA795="Lait")*(CB4:CB795="ALERTE")*(COUNTIF(AI162,"*"&amp;CC4:CC795&amp;"*")&gt;0)*1))</f>
        <v>0</v>
      </c>
      <c r="AY162" s="6625" cm="1">
        <f t="array" ref="AY162">IF(W162="",0,SUMPRODUCT((CA4:CA795="Lait")*(CB4:CB795="SUSP")*(COUNTIF(AI162,"*"&amp;CC4:CC795&amp;"*")&gt;0)*1))</f>
        <v>0</v>
      </c>
      <c r="AZ162" s="6625" cm="1">
        <f t="array" ref="AZ162">IF(W162="",0,SUMPRODUCT((CA4:CA795="Fruits a coque")*(CB4:CB795="EXCL")*(COUNTIF(AI162,"*"&amp;CC4:CC795&amp;"*")&gt;0)*1))</f>
        <v>0</v>
      </c>
      <c r="BA162" s="6625" cm="1">
        <f t="array" ref="BA162">IF(W162="",0,SUMPRODUCT((CA4:CA795="Fruits a coque")*(CB4:CB795="ALERTE")*(COUNTIF(AI162,"*"&amp;CC4:CC795&amp;"*")&gt;0)*1))</f>
        <v>0</v>
      </c>
      <c r="BB162" s="6625" cm="1">
        <f t="array" ref="BB162">IF(W162="",0,SUMPRODUCT((CA4:CA795="Celeri")*(CB4:CB795="ALERTE")*(COUNTIF(AI162,"*"&amp;CC4:CC795&amp;"*")&gt;0)*1))</f>
        <v>0</v>
      </c>
      <c r="BC162" s="6625" cm="1">
        <f t="array" ref="BC162">IF(W162="",0,SUMPRODUCT((CA4:CA795="Moutarde")*(CB4:CB795="ALERTE")*(COUNTIF(AI162,"*"&amp;CC4:CC795&amp;"*")&gt;0)*1))</f>
        <v>0</v>
      </c>
      <c r="BD162" s="6625" cm="1">
        <f t="array" ref="BD162">IF(W162="",0,SUMPRODUCT((CA4:CA795="Sesame")*(CB4:CB795="ALERTE")*(COUNTIF(AI162,"*"&amp;CC4:CC795&amp;"*")&gt;0)*1))</f>
        <v>0</v>
      </c>
      <c r="BE162" s="6625" cm="1">
        <f t="array" ref="BE162">IF(W162="",0,SUMPRODUCT((CA4:CA795="Sulfites")*(CB4:CB795="ALERTE")*(COUNTIF(AI162,"*"&amp;CC4:CC795&amp;"*")&gt;0)*1))</f>
        <v>0</v>
      </c>
      <c r="BF162" s="6625" cm="1">
        <f t="array" ref="BF162">IF(W162="",0,SUMPRODUCT((CA4:CA795="Lupin")*(CB4:CB795="ALERTE")*(COUNTIF(AI162,"*"&amp;CC4:CC795&amp;"*")&gt;0)*1))</f>
        <v>0</v>
      </c>
      <c r="BG162" s="6625" cm="1">
        <f t="array" ref="BG162">IF(W162="",0,SUMPRODUCT((CA4:CA795="Mollusques")*(CB4:CB795="EXCL")*(COUNTIF(AI162,"*"&amp;CC4:CC795&amp;"*")&gt;0)*1))</f>
        <v>0</v>
      </c>
      <c r="BH162" s="6625" cm="1">
        <f t="array" ref="BH162">IF(W162="",0,SUMPRODUCT((CA4:CA795="Mollusques")*(CB4:CB795="ALERTE")*(COUNTIF(AI162,"*"&amp;CC4:CC795&amp;"*")&gt;0)*1))</f>
        <v>0</v>
      </c>
      <c r="BI162" s="6625" t="str">
        <f t="shared" si="112"/>
        <v/>
      </c>
      <c r="BJ162" s="6625" t="str">
        <f t="shared" si="113"/>
        <v/>
      </c>
      <c r="BK162" s="6625" t="str">
        <f t="shared" si="114"/>
        <v/>
      </c>
      <c r="BL162" s="6625" t="str">
        <f t="shared" si="115"/>
        <v/>
      </c>
      <c r="BM162" s="6625" t="str">
        <f t="shared" si="116"/>
        <v/>
      </c>
      <c r="BN162" s="6625" t="str">
        <f t="shared" si="117"/>
        <v/>
      </c>
      <c r="BO162" s="6625" t="str">
        <f t="shared" si="118"/>
        <v/>
      </c>
      <c r="BP162" s="6625" t="str">
        <f t="shared" si="119"/>
        <v/>
      </c>
      <c r="BQ162" s="6625" t="str">
        <f t="shared" si="120"/>
        <v/>
      </c>
      <c r="BR162" s="6625" t="str">
        <f t="shared" si="121"/>
        <v/>
      </c>
      <c r="BS162" s="6625" t="str">
        <f t="shared" si="122"/>
        <v/>
      </c>
      <c r="BT162" s="6625" t="str">
        <f t="shared" si="123"/>
        <v/>
      </c>
      <c r="BU162" s="6625" t="str">
        <f t="shared" si="124"/>
        <v/>
      </c>
      <c r="BV162" s="6625" t="str">
        <f t="shared" si="125"/>
        <v/>
      </c>
      <c r="BW162" s="6625" t="str">
        <f t="shared" si="126"/>
        <v/>
      </c>
      <c r="BX162" s="6625" t="str">
        <f t="shared" si="127"/>
        <v/>
      </c>
      <c r="CA162" s="3170" t="s">
        <v>16629</v>
      </c>
      <c r="CB162" s="7634" t="s">
        <v>16255</v>
      </c>
      <c r="CC162" s="3170" t="s">
        <v>16654</v>
      </c>
      <c r="CD162" s="3170" t="s">
        <v>16655</v>
      </c>
    </row>
    <row r="163" spans="2:82" ht="30" customHeight="1">
      <c r="B163" s="7661" t="str">
        <f t="shared" si="88"/>
        <v/>
      </c>
      <c r="C163" s="7661" t="str">
        <f t="shared" si="89"/>
        <v/>
      </c>
      <c r="D163" s="7661" t="str">
        <f t="shared" si="90"/>
        <v/>
      </c>
      <c r="E163" s="7661">
        <f>IF(H162&lt;&gt;"",E162,IF(E162="","",IFERROR(MATCH(TRUE(),INDEX(INDEX($K:$K,E162+1):$K$203&lt;&gt;"",0),0)+E162,"")))</f>
        <v>338</v>
      </c>
      <c r="F163" s="7661">
        <f t="shared" si="128"/>
        <v>0</v>
      </c>
      <c r="G163" s="7661" t="str">
        <f t="shared" si="91"/>
        <v>0</v>
      </c>
      <c r="H163" s="7672" t="str">
        <f t="shared" si="92"/>
        <v/>
      </c>
      <c r="I163" s="7683" t="str">
        <f t="shared" si="93"/>
        <v/>
      </c>
      <c r="J163" s="7673" t="str">
        <f>IF(K163="","",COUNTIF($K$18:K163,"&lt;&gt;"))</f>
        <v/>
      </c>
      <c r="K163" s="7674"/>
      <c r="L163" s="7673" t="str">
        <f t="shared" si="94"/>
        <v/>
      </c>
      <c r="M163" s="7630">
        <f t="shared" si="95"/>
        <v>1</v>
      </c>
      <c r="N163" s="7675">
        <f t="shared" si="96"/>
        <v>146</v>
      </c>
      <c r="O163" s="7676" t="str">
        <f t="shared" si="97"/>
        <v>0</v>
      </c>
      <c r="P163" s="7675">
        <f t="shared" si="98"/>
        <v>1</v>
      </c>
      <c r="Q163" s="7675">
        <f t="shared" si="99"/>
        <v>1</v>
      </c>
      <c r="S163" s="7679" t="str">
        <f t="shared" si="129"/>
        <v>0</v>
      </c>
      <c r="T163" s="7680" t="str">
        <f t="shared" si="129"/>
        <v/>
      </c>
      <c r="V163" s="7677">
        <f t="shared" si="100"/>
        <v>163</v>
      </c>
      <c r="W163" s="7678" t="str">
        <f t="shared" si="130"/>
        <v>0</v>
      </c>
      <c r="X163" s="7677" t="s">
        <v>2</v>
      </c>
      <c r="Y163" s="7702" t="str">
        <f t="shared" si="101"/>
        <v>0</v>
      </c>
      <c r="Z163" s="7703" t="str">
        <f t="shared" si="102"/>
        <v/>
      </c>
      <c r="AA163" s="7681" t="str">
        <f t="shared" si="103"/>
        <v>0</v>
      </c>
      <c r="AB163" s="7682" t="str">
        <f t="shared" si="104"/>
        <v/>
      </c>
      <c r="AC163" s="7677">
        <f t="shared" si="105"/>
        <v>0</v>
      </c>
      <c r="AD163" s="7677">
        <f t="shared" si="106"/>
        <v>0</v>
      </c>
      <c r="AE163" s="7682" t="str">
        <f t="shared" si="107"/>
        <v>aucun match</v>
      </c>
      <c r="AF163" s="6625" t="str">
        <f t="shared" si="108"/>
        <v>0</v>
      </c>
      <c r="AG163" s="6625" t="str">
        <f t="shared" si="109"/>
        <v>0</v>
      </c>
      <c r="AH163" s="6625" t="str">
        <f t="shared" si="110"/>
        <v>0</v>
      </c>
      <c r="AI163" s="6625" t="str">
        <f t="shared" si="111"/>
        <v xml:space="preserve"> 0 </v>
      </c>
      <c r="AJ163" s="6625" cm="1">
        <f t="array" ref="AJ163">IF(W163="",0,SUMPRODUCT((CA4:CA795="Gluten")*(CB4:CB795="INFO")*(COUNTIF(AI163,"*"&amp;CC4:CC795&amp;"*")&gt;0)*1))</f>
        <v>0</v>
      </c>
      <c r="AK163" s="6625" cm="1">
        <f t="array" ref="AK163">IF(W163="",0,SUMPRODUCT((CA4:CA795="Gluten")*(CB4:CB795="EXCL")*(COUNTIF(AI163,"*"&amp;CC4:CC795&amp;"*")&gt;0)*1))</f>
        <v>0</v>
      </c>
      <c r="AL163" s="6625" cm="1">
        <f t="array" ref="AL163">IF(W163="",0,SUMPRODUCT((CA4:CA795="Gluten")*(CB4:CB795="ALERTE")*(COUNTIF(AI163,"*"&amp;CC4:CC795&amp;"*")&gt;0)*1))</f>
        <v>0</v>
      </c>
      <c r="AM163" s="6625" cm="1">
        <f t="array" ref="AM163">IF(W163="",0,SUMPRODUCT((CA4:CA795="Gluten")*(CB4:CB795="SUSP")*(COUNTIF(AI163,"*"&amp;CC4:CC795&amp;"*")&gt;0)*1))</f>
        <v>0</v>
      </c>
      <c r="AN163" s="6625" cm="1">
        <f t="array" ref="AN163">IF(W163="",0,SUMPRODUCT((CA4:CA795="Crustaces")*(CB4:CB795="ALERTE")*(COUNTIF(AI163,"*"&amp;CC4:CC795&amp;"*")&gt;0)*1))</f>
        <v>0</v>
      </c>
      <c r="AO163" s="6625" cm="1">
        <f t="array" ref="AO163">IF(W163="",0,SUMPRODUCT((CA4:CA795="Oeufs")*(CB4:CB795="ALERTE")*(COUNTIF(AI163,"*"&amp;CC4:CC795&amp;"*")&gt;0)*1))</f>
        <v>0</v>
      </c>
      <c r="AP163" s="6625" cm="1">
        <f t="array" ref="AP163">IF(W163="",0,SUMPRODUCT((CA4:CA795="Poissons")*(CB4:CB795="INFO")*(COUNTIF(AI163,"*"&amp;CC4:CC795&amp;"*")&gt;0)*1))</f>
        <v>0</v>
      </c>
      <c r="AQ163" s="6625" cm="1">
        <f t="array" ref="AQ163">IF(W163="",0,SUMPRODUCT((CA4:CA795="Poissons")*(CB4:CB795="EXCL")*(COUNTIF(AI163,"*"&amp;CC4:CC795&amp;"*")&gt;0)*1))</f>
        <v>0</v>
      </c>
      <c r="AR163" s="6625" cm="1">
        <f t="array" ref="AR163">IF(W163="",0,SUMPRODUCT((CA4:CA795="Poissons")*(CB4:CB795="ALERTE")*(COUNTIF(AI163,"*"&amp;CC4:CC795&amp;"*")&gt;0)*1))</f>
        <v>0</v>
      </c>
      <c r="AS163" s="6625" cm="1">
        <f t="array" ref="AS163">IF(W163="",0,SUMPRODUCT((CA4:CA795="Arachides")*(CB4:CB795="ALERTE")*(COUNTIF(AI163,"*"&amp;CC4:CC795&amp;"*")&gt;0)*1))</f>
        <v>0</v>
      </c>
      <c r="AT163" s="6625" cm="1">
        <f t="array" ref="AT163">IF(W163="",0,SUMPRODUCT((CA4:CA795="Soja")*(CB4:CB795="INFO")*(COUNTIF(AI163,"*"&amp;CC4:CC795&amp;"*")&gt;0)*1))</f>
        <v>0</v>
      </c>
      <c r="AU163" s="6625" cm="1">
        <f t="array" ref="AU163">IF(W163="",0,SUMPRODUCT((CA4:CA795="Soja")*(CB4:CB795="ALERTE")*(COUNTIF(AI163,"*"&amp;CC4:CC795&amp;"*")&gt;0)*1))</f>
        <v>0</v>
      </c>
      <c r="AV163" s="6625" cm="1">
        <f t="array" ref="AV163">IF(W163="",0,SUMPRODUCT((CA4:CA795="Lait")*(CB4:CB795="INFO")*(COUNTIF(AI163,"*"&amp;CC4:CC795&amp;"*")&gt;0)*1))</f>
        <v>0</v>
      </c>
      <c r="AW163" s="6625" cm="1">
        <f t="array" ref="AW163">IF(W163="",0,SUMPRODUCT((CA4:CA795="Lait")*(CB4:CB795="EXCL")*(COUNTIF(AI163,"*"&amp;CC4:CC795&amp;"*")&gt;0)*1))</f>
        <v>0</v>
      </c>
      <c r="AX163" s="6625" cm="1">
        <f t="array" ref="AX163">IF(W163="",0,SUMPRODUCT((CA4:CA795="Lait")*(CB4:CB795="ALERTE")*(COUNTIF(AI163,"*"&amp;CC4:CC795&amp;"*")&gt;0)*1))</f>
        <v>0</v>
      </c>
      <c r="AY163" s="6625" cm="1">
        <f t="array" ref="AY163">IF(W163="",0,SUMPRODUCT((CA4:CA795="Lait")*(CB4:CB795="SUSP")*(COUNTIF(AI163,"*"&amp;CC4:CC795&amp;"*")&gt;0)*1))</f>
        <v>0</v>
      </c>
      <c r="AZ163" s="6625" cm="1">
        <f t="array" ref="AZ163">IF(W163="",0,SUMPRODUCT((CA4:CA795="Fruits a coque")*(CB4:CB795="EXCL")*(COUNTIF(AI163,"*"&amp;CC4:CC795&amp;"*")&gt;0)*1))</f>
        <v>0</v>
      </c>
      <c r="BA163" s="6625" cm="1">
        <f t="array" ref="BA163">IF(W163="",0,SUMPRODUCT((CA4:CA795="Fruits a coque")*(CB4:CB795="ALERTE")*(COUNTIF(AI163,"*"&amp;CC4:CC795&amp;"*")&gt;0)*1))</f>
        <v>0</v>
      </c>
      <c r="BB163" s="6625" cm="1">
        <f t="array" ref="BB163">IF(W163="",0,SUMPRODUCT((CA4:CA795="Celeri")*(CB4:CB795="ALERTE")*(COUNTIF(AI163,"*"&amp;CC4:CC795&amp;"*")&gt;0)*1))</f>
        <v>0</v>
      </c>
      <c r="BC163" s="6625" cm="1">
        <f t="array" ref="BC163">IF(W163="",0,SUMPRODUCT((CA4:CA795="Moutarde")*(CB4:CB795="ALERTE")*(COUNTIF(AI163,"*"&amp;CC4:CC795&amp;"*")&gt;0)*1))</f>
        <v>0</v>
      </c>
      <c r="BD163" s="6625" cm="1">
        <f t="array" ref="BD163">IF(W163="",0,SUMPRODUCT((CA4:CA795="Sesame")*(CB4:CB795="ALERTE")*(COUNTIF(AI163,"*"&amp;CC4:CC795&amp;"*")&gt;0)*1))</f>
        <v>0</v>
      </c>
      <c r="BE163" s="6625" cm="1">
        <f t="array" ref="BE163">IF(W163="",0,SUMPRODUCT((CA4:CA795="Sulfites")*(CB4:CB795="ALERTE")*(COUNTIF(AI163,"*"&amp;CC4:CC795&amp;"*")&gt;0)*1))</f>
        <v>0</v>
      </c>
      <c r="BF163" s="6625" cm="1">
        <f t="array" ref="BF163">IF(W163="",0,SUMPRODUCT((CA4:CA795="Lupin")*(CB4:CB795="ALERTE")*(COUNTIF(AI163,"*"&amp;CC4:CC795&amp;"*")&gt;0)*1))</f>
        <v>0</v>
      </c>
      <c r="BG163" s="6625" cm="1">
        <f t="array" ref="BG163">IF(W163="",0,SUMPRODUCT((CA4:CA795="Mollusques")*(CB4:CB795="EXCL")*(COUNTIF(AI163,"*"&amp;CC4:CC795&amp;"*")&gt;0)*1))</f>
        <v>0</v>
      </c>
      <c r="BH163" s="6625" cm="1">
        <f t="array" ref="BH163">IF(W163="",0,SUMPRODUCT((CA4:CA795="Mollusques")*(CB4:CB795="ALERTE")*(COUNTIF(AI163,"*"&amp;CC4:CC795&amp;"*")&gt;0)*1))</f>
        <v>0</v>
      </c>
      <c r="BI163" s="6625" t="str">
        <f t="shared" si="112"/>
        <v/>
      </c>
      <c r="BJ163" s="6625" t="str">
        <f t="shared" si="113"/>
        <v/>
      </c>
      <c r="BK163" s="6625" t="str">
        <f t="shared" si="114"/>
        <v/>
      </c>
      <c r="BL163" s="6625" t="str">
        <f t="shared" si="115"/>
        <v/>
      </c>
      <c r="BM163" s="6625" t="str">
        <f t="shared" si="116"/>
        <v/>
      </c>
      <c r="BN163" s="6625" t="str">
        <f t="shared" si="117"/>
        <v/>
      </c>
      <c r="BO163" s="6625" t="str">
        <f t="shared" si="118"/>
        <v/>
      </c>
      <c r="BP163" s="6625" t="str">
        <f t="shared" si="119"/>
        <v/>
      </c>
      <c r="BQ163" s="6625" t="str">
        <f t="shared" si="120"/>
        <v/>
      </c>
      <c r="BR163" s="6625" t="str">
        <f t="shared" si="121"/>
        <v/>
      </c>
      <c r="BS163" s="6625" t="str">
        <f t="shared" si="122"/>
        <v/>
      </c>
      <c r="BT163" s="6625" t="str">
        <f t="shared" si="123"/>
        <v/>
      </c>
      <c r="BU163" s="6625" t="str">
        <f t="shared" si="124"/>
        <v/>
      </c>
      <c r="BV163" s="6625" t="str">
        <f t="shared" si="125"/>
        <v/>
      </c>
      <c r="BW163" s="6625" t="str">
        <f t="shared" si="126"/>
        <v/>
      </c>
      <c r="BX163" s="6625" t="str">
        <f t="shared" si="127"/>
        <v/>
      </c>
      <c r="CA163" s="3170" t="s">
        <v>16629</v>
      </c>
      <c r="CB163" s="7634" t="s">
        <v>16255</v>
      </c>
      <c r="CC163" s="3170" t="s">
        <v>16656</v>
      </c>
      <c r="CD163" s="3170" t="s">
        <v>16657</v>
      </c>
    </row>
    <row r="164" spans="2:82" ht="30" customHeight="1">
      <c r="B164" s="7661" t="str">
        <f t="shared" si="88"/>
        <v/>
      </c>
      <c r="C164" s="7661" t="str">
        <f t="shared" si="89"/>
        <v/>
      </c>
      <c r="D164" s="7661" t="str">
        <f t="shared" si="90"/>
        <v/>
      </c>
      <c r="E164" s="7661">
        <f>IF(H163&lt;&gt;"",E163,IF(E163="","",IFERROR(MATCH(TRUE(),INDEX(INDEX($K:$K,E163+1):$K$203&lt;&gt;"",0),0)+E163,"")))</f>
        <v>339</v>
      </c>
      <c r="F164" s="7661">
        <f t="shared" si="128"/>
        <v>0</v>
      </c>
      <c r="G164" s="7661" t="str">
        <f t="shared" si="91"/>
        <v>0</v>
      </c>
      <c r="H164" s="7672" t="str">
        <f t="shared" si="92"/>
        <v/>
      </c>
      <c r="I164" s="7683" t="str">
        <f t="shared" si="93"/>
        <v/>
      </c>
      <c r="J164" s="7673" t="str">
        <f>IF(K164="","",COUNTIF($K$18:K164,"&lt;&gt;"))</f>
        <v/>
      </c>
      <c r="K164" s="7674"/>
      <c r="L164" s="7673" t="str">
        <f t="shared" si="94"/>
        <v/>
      </c>
      <c r="M164" s="7630">
        <f t="shared" si="95"/>
        <v>1</v>
      </c>
      <c r="N164" s="7675">
        <f t="shared" si="96"/>
        <v>147</v>
      </c>
      <c r="O164" s="7676" t="str">
        <f t="shared" si="97"/>
        <v>0</v>
      </c>
      <c r="P164" s="7675">
        <f t="shared" si="98"/>
        <v>1</v>
      </c>
      <c r="Q164" s="7675">
        <f t="shared" si="99"/>
        <v>1</v>
      </c>
      <c r="S164" s="7679" t="str">
        <f t="shared" si="129"/>
        <v>0</v>
      </c>
      <c r="T164" s="7680" t="str">
        <f t="shared" si="129"/>
        <v/>
      </c>
      <c r="V164" s="7677">
        <f t="shared" si="100"/>
        <v>164</v>
      </c>
      <c r="W164" s="7678" t="str">
        <f t="shared" si="130"/>
        <v>0</v>
      </c>
      <c r="X164" s="7677" t="s">
        <v>2</v>
      </c>
      <c r="Y164" s="7702" t="str">
        <f t="shared" si="101"/>
        <v>0</v>
      </c>
      <c r="Z164" s="7703" t="str">
        <f t="shared" si="102"/>
        <v/>
      </c>
      <c r="AA164" s="7681" t="str">
        <f t="shared" si="103"/>
        <v>0</v>
      </c>
      <c r="AB164" s="7682" t="str">
        <f t="shared" si="104"/>
        <v/>
      </c>
      <c r="AC164" s="7677">
        <f t="shared" si="105"/>
        <v>0</v>
      </c>
      <c r="AD164" s="7677">
        <f t="shared" si="106"/>
        <v>0</v>
      </c>
      <c r="AE164" s="7682" t="str">
        <f t="shared" si="107"/>
        <v>aucun match</v>
      </c>
      <c r="AF164" s="6625" t="str">
        <f t="shared" si="108"/>
        <v>0</v>
      </c>
      <c r="AG164" s="6625" t="str">
        <f t="shared" si="109"/>
        <v>0</v>
      </c>
      <c r="AH164" s="6625" t="str">
        <f t="shared" si="110"/>
        <v>0</v>
      </c>
      <c r="AI164" s="6625" t="str">
        <f t="shared" si="111"/>
        <v xml:space="preserve"> 0 </v>
      </c>
      <c r="AJ164" s="6625" cm="1">
        <f t="array" ref="AJ164">IF(W164="",0,SUMPRODUCT((CA4:CA795="Gluten")*(CB4:CB795="INFO")*(COUNTIF(AI164,"*"&amp;CC4:CC795&amp;"*")&gt;0)*1))</f>
        <v>0</v>
      </c>
      <c r="AK164" s="6625" cm="1">
        <f t="array" ref="AK164">IF(W164="",0,SUMPRODUCT((CA4:CA795="Gluten")*(CB4:CB795="EXCL")*(COUNTIF(AI164,"*"&amp;CC4:CC795&amp;"*")&gt;0)*1))</f>
        <v>0</v>
      </c>
      <c r="AL164" s="6625" cm="1">
        <f t="array" ref="AL164">IF(W164="",0,SUMPRODUCT((CA4:CA795="Gluten")*(CB4:CB795="ALERTE")*(COUNTIF(AI164,"*"&amp;CC4:CC795&amp;"*")&gt;0)*1))</f>
        <v>0</v>
      </c>
      <c r="AM164" s="6625" cm="1">
        <f t="array" ref="AM164">IF(W164="",0,SUMPRODUCT((CA4:CA795="Gluten")*(CB4:CB795="SUSP")*(COUNTIF(AI164,"*"&amp;CC4:CC795&amp;"*")&gt;0)*1))</f>
        <v>0</v>
      </c>
      <c r="AN164" s="6625" cm="1">
        <f t="array" ref="AN164">IF(W164="",0,SUMPRODUCT((CA4:CA795="Crustaces")*(CB4:CB795="ALERTE")*(COUNTIF(AI164,"*"&amp;CC4:CC795&amp;"*")&gt;0)*1))</f>
        <v>0</v>
      </c>
      <c r="AO164" s="6625" cm="1">
        <f t="array" ref="AO164">IF(W164="",0,SUMPRODUCT((CA4:CA795="Oeufs")*(CB4:CB795="ALERTE")*(COUNTIF(AI164,"*"&amp;CC4:CC795&amp;"*")&gt;0)*1))</f>
        <v>0</v>
      </c>
      <c r="AP164" s="6625" cm="1">
        <f t="array" ref="AP164">IF(W164="",0,SUMPRODUCT((CA4:CA795="Poissons")*(CB4:CB795="INFO")*(COUNTIF(AI164,"*"&amp;CC4:CC795&amp;"*")&gt;0)*1))</f>
        <v>0</v>
      </c>
      <c r="AQ164" s="6625" cm="1">
        <f t="array" ref="AQ164">IF(W164="",0,SUMPRODUCT((CA4:CA795="Poissons")*(CB4:CB795="EXCL")*(COUNTIF(AI164,"*"&amp;CC4:CC795&amp;"*")&gt;0)*1))</f>
        <v>0</v>
      </c>
      <c r="AR164" s="6625" cm="1">
        <f t="array" ref="AR164">IF(W164="",0,SUMPRODUCT((CA4:CA795="Poissons")*(CB4:CB795="ALERTE")*(COUNTIF(AI164,"*"&amp;CC4:CC795&amp;"*")&gt;0)*1))</f>
        <v>0</v>
      </c>
      <c r="AS164" s="6625" cm="1">
        <f t="array" ref="AS164">IF(W164="",0,SUMPRODUCT((CA4:CA795="Arachides")*(CB4:CB795="ALERTE")*(COUNTIF(AI164,"*"&amp;CC4:CC795&amp;"*")&gt;0)*1))</f>
        <v>0</v>
      </c>
      <c r="AT164" s="6625" cm="1">
        <f t="array" ref="AT164">IF(W164="",0,SUMPRODUCT((CA4:CA795="Soja")*(CB4:CB795="INFO")*(COUNTIF(AI164,"*"&amp;CC4:CC795&amp;"*")&gt;0)*1))</f>
        <v>0</v>
      </c>
      <c r="AU164" s="6625" cm="1">
        <f t="array" ref="AU164">IF(W164="",0,SUMPRODUCT((CA4:CA795="Soja")*(CB4:CB795="ALERTE")*(COUNTIF(AI164,"*"&amp;CC4:CC795&amp;"*")&gt;0)*1))</f>
        <v>0</v>
      </c>
      <c r="AV164" s="6625" cm="1">
        <f t="array" ref="AV164">IF(W164="",0,SUMPRODUCT((CA4:CA795="Lait")*(CB4:CB795="INFO")*(COUNTIF(AI164,"*"&amp;CC4:CC795&amp;"*")&gt;0)*1))</f>
        <v>0</v>
      </c>
      <c r="AW164" s="6625" cm="1">
        <f t="array" ref="AW164">IF(W164="",0,SUMPRODUCT((CA4:CA795="Lait")*(CB4:CB795="EXCL")*(COUNTIF(AI164,"*"&amp;CC4:CC795&amp;"*")&gt;0)*1))</f>
        <v>0</v>
      </c>
      <c r="AX164" s="6625" cm="1">
        <f t="array" ref="AX164">IF(W164="",0,SUMPRODUCT((CA4:CA795="Lait")*(CB4:CB795="ALERTE")*(COUNTIF(AI164,"*"&amp;CC4:CC795&amp;"*")&gt;0)*1))</f>
        <v>0</v>
      </c>
      <c r="AY164" s="6625" cm="1">
        <f t="array" ref="AY164">IF(W164="",0,SUMPRODUCT((CA4:CA795="Lait")*(CB4:CB795="SUSP")*(COUNTIF(AI164,"*"&amp;CC4:CC795&amp;"*")&gt;0)*1))</f>
        <v>0</v>
      </c>
      <c r="AZ164" s="6625" cm="1">
        <f t="array" ref="AZ164">IF(W164="",0,SUMPRODUCT((CA4:CA795="Fruits a coque")*(CB4:CB795="EXCL")*(COUNTIF(AI164,"*"&amp;CC4:CC795&amp;"*")&gt;0)*1))</f>
        <v>0</v>
      </c>
      <c r="BA164" s="6625" cm="1">
        <f t="array" ref="BA164">IF(W164="",0,SUMPRODUCT((CA4:CA795="Fruits a coque")*(CB4:CB795="ALERTE")*(COUNTIF(AI164,"*"&amp;CC4:CC795&amp;"*")&gt;0)*1))</f>
        <v>0</v>
      </c>
      <c r="BB164" s="6625" cm="1">
        <f t="array" ref="BB164">IF(W164="",0,SUMPRODUCT((CA4:CA795="Celeri")*(CB4:CB795="ALERTE")*(COUNTIF(AI164,"*"&amp;CC4:CC795&amp;"*")&gt;0)*1))</f>
        <v>0</v>
      </c>
      <c r="BC164" s="6625" cm="1">
        <f t="array" ref="BC164">IF(W164="",0,SUMPRODUCT((CA4:CA795="Moutarde")*(CB4:CB795="ALERTE")*(COUNTIF(AI164,"*"&amp;CC4:CC795&amp;"*")&gt;0)*1))</f>
        <v>0</v>
      </c>
      <c r="BD164" s="6625" cm="1">
        <f t="array" ref="BD164">IF(W164="",0,SUMPRODUCT((CA4:CA795="Sesame")*(CB4:CB795="ALERTE")*(COUNTIF(AI164,"*"&amp;CC4:CC795&amp;"*")&gt;0)*1))</f>
        <v>0</v>
      </c>
      <c r="BE164" s="6625" cm="1">
        <f t="array" ref="BE164">IF(W164="",0,SUMPRODUCT((CA4:CA795="Sulfites")*(CB4:CB795="ALERTE")*(COUNTIF(AI164,"*"&amp;CC4:CC795&amp;"*")&gt;0)*1))</f>
        <v>0</v>
      </c>
      <c r="BF164" s="6625" cm="1">
        <f t="array" ref="BF164">IF(W164="",0,SUMPRODUCT((CA4:CA795="Lupin")*(CB4:CB795="ALERTE")*(COUNTIF(AI164,"*"&amp;CC4:CC795&amp;"*")&gt;0)*1))</f>
        <v>0</v>
      </c>
      <c r="BG164" s="6625" cm="1">
        <f t="array" ref="BG164">IF(W164="",0,SUMPRODUCT((CA4:CA795="Mollusques")*(CB4:CB795="EXCL")*(COUNTIF(AI164,"*"&amp;CC4:CC795&amp;"*")&gt;0)*1))</f>
        <v>0</v>
      </c>
      <c r="BH164" s="6625" cm="1">
        <f t="array" ref="BH164">IF(W164="",0,SUMPRODUCT((CA4:CA795="Mollusques")*(CB4:CB795="ALERTE")*(COUNTIF(AI164,"*"&amp;CC4:CC795&amp;"*")&gt;0)*1))</f>
        <v>0</v>
      </c>
      <c r="BI164" s="6625" t="str">
        <f t="shared" si="112"/>
        <v/>
      </c>
      <c r="BJ164" s="6625" t="str">
        <f t="shared" si="113"/>
        <v/>
      </c>
      <c r="BK164" s="6625" t="str">
        <f t="shared" si="114"/>
        <v/>
      </c>
      <c r="BL164" s="6625" t="str">
        <f t="shared" si="115"/>
        <v/>
      </c>
      <c r="BM164" s="6625" t="str">
        <f t="shared" si="116"/>
        <v/>
      </c>
      <c r="BN164" s="6625" t="str">
        <f t="shared" si="117"/>
        <v/>
      </c>
      <c r="BO164" s="6625" t="str">
        <f t="shared" si="118"/>
        <v/>
      </c>
      <c r="BP164" s="6625" t="str">
        <f t="shared" si="119"/>
        <v/>
      </c>
      <c r="BQ164" s="6625" t="str">
        <f t="shared" si="120"/>
        <v/>
      </c>
      <c r="BR164" s="6625" t="str">
        <f t="shared" si="121"/>
        <v/>
      </c>
      <c r="BS164" s="6625" t="str">
        <f t="shared" si="122"/>
        <v/>
      </c>
      <c r="BT164" s="6625" t="str">
        <f t="shared" si="123"/>
        <v/>
      </c>
      <c r="BU164" s="6625" t="str">
        <f t="shared" si="124"/>
        <v/>
      </c>
      <c r="BV164" s="6625" t="str">
        <f t="shared" si="125"/>
        <v/>
      </c>
      <c r="BW164" s="6625" t="str">
        <f t="shared" si="126"/>
        <v/>
      </c>
      <c r="BX164" s="6625" t="str">
        <f t="shared" si="127"/>
        <v/>
      </c>
      <c r="CA164" s="3170" t="s">
        <v>16629</v>
      </c>
      <c r="CB164" s="7634" t="s">
        <v>16255</v>
      </c>
      <c r="CC164" s="3170" t="s">
        <v>16658</v>
      </c>
      <c r="CD164" s="3170" t="s">
        <v>16659</v>
      </c>
    </row>
    <row r="165" spans="2:82" ht="30" customHeight="1">
      <c r="B165" s="7661" t="str">
        <f t="shared" si="88"/>
        <v/>
      </c>
      <c r="C165" s="7661" t="str">
        <f t="shared" si="89"/>
        <v/>
      </c>
      <c r="D165" s="7661" t="str">
        <f t="shared" si="90"/>
        <v/>
      </c>
      <c r="E165" s="7661">
        <f>IF(H164&lt;&gt;"",E164,IF(E164="","",IFERROR(MATCH(TRUE(),INDEX(INDEX($K:$K,E164+1):$K$203&lt;&gt;"",0),0)+E164,"")))</f>
        <v>340</v>
      </c>
      <c r="F165" s="7661">
        <f t="shared" si="128"/>
        <v>0</v>
      </c>
      <c r="G165" s="7661" t="str">
        <f t="shared" si="91"/>
        <v>0</v>
      </c>
      <c r="H165" s="7672" t="str">
        <f t="shared" si="92"/>
        <v/>
      </c>
      <c r="I165" s="7683" t="str">
        <f t="shared" si="93"/>
        <v/>
      </c>
      <c r="J165" s="7673" t="str">
        <f>IF(K165="","",COUNTIF($K$18:K165,"&lt;&gt;"))</f>
        <v/>
      </c>
      <c r="K165" s="7674"/>
      <c r="L165" s="7673" t="str">
        <f t="shared" si="94"/>
        <v/>
      </c>
      <c r="M165" s="7630">
        <f t="shared" si="95"/>
        <v>1</v>
      </c>
      <c r="N165" s="7675">
        <f t="shared" si="96"/>
        <v>148</v>
      </c>
      <c r="O165" s="7676" t="str">
        <f t="shared" si="97"/>
        <v>0</v>
      </c>
      <c r="P165" s="7675">
        <f t="shared" si="98"/>
        <v>1</v>
      </c>
      <c r="Q165" s="7675">
        <f t="shared" si="99"/>
        <v>1</v>
      </c>
      <c r="S165" s="7679" t="str">
        <f t="shared" si="129"/>
        <v>0</v>
      </c>
      <c r="T165" s="7680" t="str">
        <f t="shared" si="129"/>
        <v/>
      </c>
      <c r="V165" s="7677">
        <f t="shared" si="100"/>
        <v>165</v>
      </c>
      <c r="W165" s="7678" t="str">
        <f t="shared" si="130"/>
        <v>0</v>
      </c>
      <c r="X165" s="7677" t="s">
        <v>2</v>
      </c>
      <c r="Y165" s="7702" t="str">
        <f t="shared" si="101"/>
        <v>0</v>
      </c>
      <c r="Z165" s="7703" t="str">
        <f t="shared" si="102"/>
        <v/>
      </c>
      <c r="AA165" s="7681" t="str">
        <f t="shared" si="103"/>
        <v>0</v>
      </c>
      <c r="AB165" s="7682" t="str">
        <f t="shared" si="104"/>
        <v/>
      </c>
      <c r="AC165" s="7677">
        <f t="shared" si="105"/>
        <v>0</v>
      </c>
      <c r="AD165" s="7677">
        <f t="shared" si="106"/>
        <v>0</v>
      </c>
      <c r="AE165" s="7682" t="str">
        <f t="shared" si="107"/>
        <v>aucun match</v>
      </c>
      <c r="AF165" s="6625" t="str">
        <f t="shared" si="108"/>
        <v>0</v>
      </c>
      <c r="AG165" s="6625" t="str">
        <f t="shared" si="109"/>
        <v>0</v>
      </c>
      <c r="AH165" s="6625" t="str">
        <f t="shared" si="110"/>
        <v>0</v>
      </c>
      <c r="AI165" s="6625" t="str">
        <f t="shared" si="111"/>
        <v xml:space="preserve"> 0 </v>
      </c>
      <c r="AJ165" s="6625" cm="1">
        <f t="array" ref="AJ165">IF(W165="",0,SUMPRODUCT((CA4:CA795="Gluten")*(CB4:CB795="INFO")*(COUNTIF(AI165,"*"&amp;CC4:CC795&amp;"*")&gt;0)*1))</f>
        <v>0</v>
      </c>
      <c r="AK165" s="6625" cm="1">
        <f t="array" ref="AK165">IF(W165="",0,SUMPRODUCT((CA4:CA795="Gluten")*(CB4:CB795="EXCL")*(COUNTIF(AI165,"*"&amp;CC4:CC795&amp;"*")&gt;0)*1))</f>
        <v>0</v>
      </c>
      <c r="AL165" s="6625" cm="1">
        <f t="array" ref="AL165">IF(W165="",0,SUMPRODUCT((CA4:CA795="Gluten")*(CB4:CB795="ALERTE")*(COUNTIF(AI165,"*"&amp;CC4:CC795&amp;"*")&gt;0)*1))</f>
        <v>0</v>
      </c>
      <c r="AM165" s="6625" cm="1">
        <f t="array" ref="AM165">IF(W165="",0,SUMPRODUCT((CA4:CA795="Gluten")*(CB4:CB795="SUSP")*(COUNTIF(AI165,"*"&amp;CC4:CC795&amp;"*")&gt;0)*1))</f>
        <v>0</v>
      </c>
      <c r="AN165" s="6625" cm="1">
        <f t="array" ref="AN165">IF(W165="",0,SUMPRODUCT((CA4:CA795="Crustaces")*(CB4:CB795="ALERTE")*(COUNTIF(AI165,"*"&amp;CC4:CC795&amp;"*")&gt;0)*1))</f>
        <v>0</v>
      </c>
      <c r="AO165" s="6625" cm="1">
        <f t="array" ref="AO165">IF(W165="",0,SUMPRODUCT((CA4:CA795="Oeufs")*(CB4:CB795="ALERTE")*(COUNTIF(AI165,"*"&amp;CC4:CC795&amp;"*")&gt;0)*1))</f>
        <v>0</v>
      </c>
      <c r="AP165" s="6625" cm="1">
        <f t="array" ref="AP165">IF(W165="",0,SUMPRODUCT((CA4:CA795="Poissons")*(CB4:CB795="INFO")*(COUNTIF(AI165,"*"&amp;CC4:CC795&amp;"*")&gt;0)*1))</f>
        <v>0</v>
      </c>
      <c r="AQ165" s="6625" cm="1">
        <f t="array" ref="AQ165">IF(W165="",0,SUMPRODUCT((CA4:CA795="Poissons")*(CB4:CB795="EXCL")*(COUNTIF(AI165,"*"&amp;CC4:CC795&amp;"*")&gt;0)*1))</f>
        <v>0</v>
      </c>
      <c r="AR165" s="6625" cm="1">
        <f t="array" ref="AR165">IF(W165="",0,SUMPRODUCT((CA4:CA795="Poissons")*(CB4:CB795="ALERTE")*(COUNTIF(AI165,"*"&amp;CC4:CC795&amp;"*")&gt;0)*1))</f>
        <v>0</v>
      </c>
      <c r="AS165" s="6625" cm="1">
        <f t="array" ref="AS165">IF(W165="",0,SUMPRODUCT((CA4:CA795="Arachides")*(CB4:CB795="ALERTE")*(COUNTIF(AI165,"*"&amp;CC4:CC795&amp;"*")&gt;0)*1))</f>
        <v>0</v>
      </c>
      <c r="AT165" s="6625" cm="1">
        <f t="array" ref="AT165">IF(W165="",0,SUMPRODUCT((CA4:CA795="Soja")*(CB4:CB795="INFO")*(COUNTIF(AI165,"*"&amp;CC4:CC795&amp;"*")&gt;0)*1))</f>
        <v>0</v>
      </c>
      <c r="AU165" s="6625" cm="1">
        <f t="array" ref="AU165">IF(W165="",0,SUMPRODUCT((CA4:CA795="Soja")*(CB4:CB795="ALERTE")*(COUNTIF(AI165,"*"&amp;CC4:CC795&amp;"*")&gt;0)*1))</f>
        <v>0</v>
      </c>
      <c r="AV165" s="6625" cm="1">
        <f t="array" ref="AV165">IF(W165="",0,SUMPRODUCT((CA4:CA795="Lait")*(CB4:CB795="INFO")*(COUNTIF(AI165,"*"&amp;CC4:CC795&amp;"*")&gt;0)*1))</f>
        <v>0</v>
      </c>
      <c r="AW165" s="6625" cm="1">
        <f t="array" ref="AW165">IF(W165="",0,SUMPRODUCT((CA4:CA795="Lait")*(CB4:CB795="EXCL")*(COUNTIF(AI165,"*"&amp;CC4:CC795&amp;"*")&gt;0)*1))</f>
        <v>0</v>
      </c>
      <c r="AX165" s="6625" cm="1">
        <f t="array" ref="AX165">IF(W165="",0,SUMPRODUCT((CA4:CA795="Lait")*(CB4:CB795="ALERTE")*(COUNTIF(AI165,"*"&amp;CC4:CC795&amp;"*")&gt;0)*1))</f>
        <v>0</v>
      </c>
      <c r="AY165" s="6625" cm="1">
        <f t="array" ref="AY165">IF(W165="",0,SUMPRODUCT((CA4:CA795="Lait")*(CB4:CB795="SUSP")*(COUNTIF(AI165,"*"&amp;CC4:CC795&amp;"*")&gt;0)*1))</f>
        <v>0</v>
      </c>
      <c r="AZ165" s="6625" cm="1">
        <f t="array" ref="AZ165">IF(W165="",0,SUMPRODUCT((CA4:CA795="Fruits a coque")*(CB4:CB795="EXCL")*(COUNTIF(AI165,"*"&amp;CC4:CC795&amp;"*")&gt;0)*1))</f>
        <v>0</v>
      </c>
      <c r="BA165" s="6625" cm="1">
        <f t="array" ref="BA165">IF(W165="",0,SUMPRODUCT((CA4:CA795="Fruits a coque")*(CB4:CB795="ALERTE")*(COUNTIF(AI165,"*"&amp;CC4:CC795&amp;"*")&gt;0)*1))</f>
        <v>0</v>
      </c>
      <c r="BB165" s="6625" cm="1">
        <f t="array" ref="BB165">IF(W165="",0,SUMPRODUCT((CA4:CA795="Celeri")*(CB4:CB795="ALERTE")*(COUNTIF(AI165,"*"&amp;CC4:CC795&amp;"*")&gt;0)*1))</f>
        <v>0</v>
      </c>
      <c r="BC165" s="6625" cm="1">
        <f t="array" ref="BC165">IF(W165="",0,SUMPRODUCT((CA4:CA795="Moutarde")*(CB4:CB795="ALERTE")*(COUNTIF(AI165,"*"&amp;CC4:CC795&amp;"*")&gt;0)*1))</f>
        <v>0</v>
      </c>
      <c r="BD165" s="6625" cm="1">
        <f t="array" ref="BD165">IF(W165="",0,SUMPRODUCT((CA4:CA795="Sesame")*(CB4:CB795="ALERTE")*(COUNTIF(AI165,"*"&amp;CC4:CC795&amp;"*")&gt;0)*1))</f>
        <v>0</v>
      </c>
      <c r="BE165" s="6625" cm="1">
        <f t="array" ref="BE165">IF(W165="",0,SUMPRODUCT((CA4:CA795="Sulfites")*(CB4:CB795="ALERTE")*(COUNTIF(AI165,"*"&amp;CC4:CC795&amp;"*")&gt;0)*1))</f>
        <v>0</v>
      </c>
      <c r="BF165" s="6625" cm="1">
        <f t="array" ref="BF165">IF(W165="",0,SUMPRODUCT((CA4:CA795="Lupin")*(CB4:CB795="ALERTE")*(COUNTIF(AI165,"*"&amp;CC4:CC795&amp;"*")&gt;0)*1))</f>
        <v>0</v>
      </c>
      <c r="BG165" s="6625" cm="1">
        <f t="array" ref="BG165">IF(W165="",0,SUMPRODUCT((CA4:CA795="Mollusques")*(CB4:CB795="EXCL")*(COUNTIF(AI165,"*"&amp;CC4:CC795&amp;"*")&gt;0)*1))</f>
        <v>0</v>
      </c>
      <c r="BH165" s="6625" cm="1">
        <f t="array" ref="BH165">IF(W165="",0,SUMPRODUCT((CA4:CA795="Mollusques")*(CB4:CB795="ALERTE")*(COUNTIF(AI165,"*"&amp;CC4:CC795&amp;"*")&gt;0)*1))</f>
        <v>0</v>
      </c>
      <c r="BI165" s="6625" t="str">
        <f t="shared" si="112"/>
        <v/>
      </c>
      <c r="BJ165" s="6625" t="str">
        <f t="shared" si="113"/>
        <v/>
      </c>
      <c r="BK165" s="6625" t="str">
        <f t="shared" si="114"/>
        <v/>
      </c>
      <c r="BL165" s="6625" t="str">
        <f t="shared" si="115"/>
        <v/>
      </c>
      <c r="BM165" s="6625" t="str">
        <f t="shared" si="116"/>
        <v/>
      </c>
      <c r="BN165" s="6625" t="str">
        <f t="shared" si="117"/>
        <v/>
      </c>
      <c r="BO165" s="6625" t="str">
        <f t="shared" si="118"/>
        <v/>
      </c>
      <c r="BP165" s="6625" t="str">
        <f t="shared" si="119"/>
        <v/>
      </c>
      <c r="BQ165" s="6625" t="str">
        <f t="shared" si="120"/>
        <v/>
      </c>
      <c r="BR165" s="6625" t="str">
        <f t="shared" si="121"/>
        <v/>
      </c>
      <c r="BS165" s="6625" t="str">
        <f t="shared" si="122"/>
        <v/>
      </c>
      <c r="BT165" s="6625" t="str">
        <f t="shared" si="123"/>
        <v/>
      </c>
      <c r="BU165" s="6625" t="str">
        <f t="shared" si="124"/>
        <v/>
      </c>
      <c r="BV165" s="6625" t="str">
        <f t="shared" si="125"/>
        <v/>
      </c>
      <c r="BW165" s="6625" t="str">
        <f t="shared" si="126"/>
        <v/>
      </c>
      <c r="BX165" s="6625" t="str">
        <f t="shared" si="127"/>
        <v/>
      </c>
      <c r="CA165" s="3170" t="s">
        <v>16629</v>
      </c>
      <c r="CB165" s="7634" t="s">
        <v>16255</v>
      </c>
      <c r="CC165" s="3170" t="s">
        <v>15099</v>
      </c>
      <c r="CD165" s="3170" t="s">
        <v>16660</v>
      </c>
    </row>
    <row r="166" spans="2:82" ht="30" customHeight="1">
      <c r="B166" s="7661" t="str">
        <f t="shared" si="88"/>
        <v/>
      </c>
      <c r="C166" s="7661" t="str">
        <f t="shared" si="89"/>
        <v/>
      </c>
      <c r="D166" s="7661" t="str">
        <f t="shared" si="90"/>
        <v/>
      </c>
      <c r="E166" s="7661">
        <f>IF(H165&lt;&gt;"",E165,IF(E165="","",IFERROR(MATCH(TRUE(),INDEX(INDEX($K:$K,E165+1):$K$203&lt;&gt;"",0),0)+E165,"")))</f>
        <v>341</v>
      </c>
      <c r="F166" s="7661">
        <f t="shared" si="128"/>
        <v>0</v>
      </c>
      <c r="G166" s="7661" t="str">
        <f t="shared" si="91"/>
        <v>0</v>
      </c>
      <c r="H166" s="7672" t="str">
        <f t="shared" si="92"/>
        <v/>
      </c>
      <c r="I166" s="7683" t="str">
        <f t="shared" si="93"/>
        <v/>
      </c>
      <c r="J166" s="7673" t="str">
        <f>IF(K166="","",COUNTIF($K$18:K166,"&lt;&gt;"))</f>
        <v/>
      </c>
      <c r="K166" s="7674"/>
      <c r="L166" s="7673" t="str">
        <f t="shared" si="94"/>
        <v/>
      </c>
      <c r="M166" s="7630">
        <f t="shared" si="95"/>
        <v>1</v>
      </c>
      <c r="N166" s="7675">
        <f t="shared" si="96"/>
        <v>149</v>
      </c>
      <c r="O166" s="7676" t="str">
        <f t="shared" si="97"/>
        <v>0</v>
      </c>
      <c r="P166" s="7675">
        <f t="shared" si="98"/>
        <v>1</v>
      </c>
      <c r="Q166" s="7675">
        <f t="shared" si="99"/>
        <v>1</v>
      </c>
      <c r="S166" s="7679" t="str">
        <f t="shared" si="129"/>
        <v>0</v>
      </c>
      <c r="T166" s="7680" t="str">
        <f t="shared" si="129"/>
        <v/>
      </c>
      <c r="V166" s="7677">
        <f t="shared" si="100"/>
        <v>166</v>
      </c>
      <c r="W166" s="7678" t="str">
        <f t="shared" si="130"/>
        <v>0</v>
      </c>
      <c r="X166" s="7677" t="s">
        <v>2</v>
      </c>
      <c r="Y166" s="7702" t="str">
        <f t="shared" si="101"/>
        <v>0</v>
      </c>
      <c r="Z166" s="7703" t="str">
        <f t="shared" si="102"/>
        <v/>
      </c>
      <c r="AA166" s="7681" t="str">
        <f t="shared" si="103"/>
        <v>0</v>
      </c>
      <c r="AB166" s="7682" t="str">
        <f t="shared" si="104"/>
        <v/>
      </c>
      <c r="AC166" s="7677">
        <f t="shared" si="105"/>
        <v>0</v>
      </c>
      <c r="AD166" s="7677">
        <f t="shared" si="106"/>
        <v>0</v>
      </c>
      <c r="AE166" s="7682" t="str">
        <f t="shared" si="107"/>
        <v>aucun match</v>
      </c>
      <c r="AF166" s="6625" t="str">
        <f t="shared" si="108"/>
        <v>0</v>
      </c>
      <c r="AG166" s="6625" t="str">
        <f t="shared" si="109"/>
        <v>0</v>
      </c>
      <c r="AH166" s="6625" t="str">
        <f t="shared" si="110"/>
        <v>0</v>
      </c>
      <c r="AI166" s="6625" t="str">
        <f t="shared" si="111"/>
        <v xml:space="preserve"> 0 </v>
      </c>
      <c r="AJ166" s="6625" cm="1">
        <f t="array" ref="AJ166">IF(W166="",0,SUMPRODUCT((CA4:CA795="Gluten")*(CB4:CB795="INFO")*(COUNTIF(AI166,"*"&amp;CC4:CC795&amp;"*")&gt;0)*1))</f>
        <v>0</v>
      </c>
      <c r="AK166" s="6625" cm="1">
        <f t="array" ref="AK166">IF(W166="",0,SUMPRODUCT((CA4:CA795="Gluten")*(CB4:CB795="EXCL")*(COUNTIF(AI166,"*"&amp;CC4:CC795&amp;"*")&gt;0)*1))</f>
        <v>0</v>
      </c>
      <c r="AL166" s="6625" cm="1">
        <f t="array" ref="AL166">IF(W166="",0,SUMPRODUCT((CA4:CA795="Gluten")*(CB4:CB795="ALERTE")*(COUNTIF(AI166,"*"&amp;CC4:CC795&amp;"*")&gt;0)*1))</f>
        <v>0</v>
      </c>
      <c r="AM166" s="6625" cm="1">
        <f t="array" ref="AM166">IF(W166="",0,SUMPRODUCT((CA4:CA795="Gluten")*(CB4:CB795="SUSP")*(COUNTIF(AI166,"*"&amp;CC4:CC795&amp;"*")&gt;0)*1))</f>
        <v>0</v>
      </c>
      <c r="AN166" s="6625" cm="1">
        <f t="array" ref="AN166">IF(W166="",0,SUMPRODUCT((CA4:CA795="Crustaces")*(CB4:CB795="ALERTE")*(COUNTIF(AI166,"*"&amp;CC4:CC795&amp;"*")&gt;0)*1))</f>
        <v>0</v>
      </c>
      <c r="AO166" s="6625" cm="1">
        <f t="array" ref="AO166">IF(W166="",0,SUMPRODUCT((CA4:CA795="Oeufs")*(CB4:CB795="ALERTE")*(COUNTIF(AI166,"*"&amp;CC4:CC795&amp;"*")&gt;0)*1))</f>
        <v>0</v>
      </c>
      <c r="AP166" s="6625" cm="1">
        <f t="array" ref="AP166">IF(W166="",0,SUMPRODUCT((CA4:CA795="Poissons")*(CB4:CB795="INFO")*(COUNTIF(AI166,"*"&amp;CC4:CC795&amp;"*")&gt;0)*1))</f>
        <v>0</v>
      </c>
      <c r="AQ166" s="6625" cm="1">
        <f t="array" ref="AQ166">IF(W166="",0,SUMPRODUCT((CA4:CA795="Poissons")*(CB4:CB795="EXCL")*(COUNTIF(AI166,"*"&amp;CC4:CC795&amp;"*")&gt;0)*1))</f>
        <v>0</v>
      </c>
      <c r="AR166" s="6625" cm="1">
        <f t="array" ref="AR166">IF(W166="",0,SUMPRODUCT((CA4:CA795="Poissons")*(CB4:CB795="ALERTE")*(COUNTIF(AI166,"*"&amp;CC4:CC795&amp;"*")&gt;0)*1))</f>
        <v>0</v>
      </c>
      <c r="AS166" s="6625" cm="1">
        <f t="array" ref="AS166">IF(W166="",0,SUMPRODUCT((CA4:CA795="Arachides")*(CB4:CB795="ALERTE")*(COUNTIF(AI166,"*"&amp;CC4:CC795&amp;"*")&gt;0)*1))</f>
        <v>0</v>
      </c>
      <c r="AT166" s="6625" cm="1">
        <f t="array" ref="AT166">IF(W166="",0,SUMPRODUCT((CA4:CA795="Soja")*(CB4:CB795="INFO")*(COUNTIF(AI166,"*"&amp;CC4:CC795&amp;"*")&gt;0)*1))</f>
        <v>0</v>
      </c>
      <c r="AU166" s="6625" cm="1">
        <f t="array" ref="AU166">IF(W166="",0,SUMPRODUCT((CA4:CA795="Soja")*(CB4:CB795="ALERTE")*(COUNTIF(AI166,"*"&amp;CC4:CC795&amp;"*")&gt;0)*1))</f>
        <v>0</v>
      </c>
      <c r="AV166" s="6625" cm="1">
        <f t="array" ref="AV166">IF(W166="",0,SUMPRODUCT((CA4:CA795="Lait")*(CB4:CB795="INFO")*(COUNTIF(AI166,"*"&amp;CC4:CC795&amp;"*")&gt;0)*1))</f>
        <v>0</v>
      </c>
      <c r="AW166" s="6625" cm="1">
        <f t="array" ref="AW166">IF(W166="",0,SUMPRODUCT((CA4:CA795="Lait")*(CB4:CB795="EXCL")*(COUNTIF(AI166,"*"&amp;CC4:CC795&amp;"*")&gt;0)*1))</f>
        <v>0</v>
      </c>
      <c r="AX166" s="6625" cm="1">
        <f t="array" ref="AX166">IF(W166="",0,SUMPRODUCT((CA4:CA795="Lait")*(CB4:CB795="ALERTE")*(COUNTIF(AI166,"*"&amp;CC4:CC795&amp;"*")&gt;0)*1))</f>
        <v>0</v>
      </c>
      <c r="AY166" s="6625" cm="1">
        <f t="array" ref="AY166">IF(W166="",0,SUMPRODUCT((CA4:CA795="Lait")*(CB4:CB795="SUSP")*(COUNTIF(AI166,"*"&amp;CC4:CC795&amp;"*")&gt;0)*1))</f>
        <v>0</v>
      </c>
      <c r="AZ166" s="6625" cm="1">
        <f t="array" ref="AZ166">IF(W166="",0,SUMPRODUCT((CA4:CA795="Fruits a coque")*(CB4:CB795="EXCL")*(COUNTIF(AI166,"*"&amp;CC4:CC795&amp;"*")&gt;0)*1))</f>
        <v>0</v>
      </c>
      <c r="BA166" s="6625" cm="1">
        <f t="array" ref="BA166">IF(W166="",0,SUMPRODUCT((CA4:CA795="Fruits a coque")*(CB4:CB795="ALERTE")*(COUNTIF(AI166,"*"&amp;CC4:CC795&amp;"*")&gt;0)*1))</f>
        <v>0</v>
      </c>
      <c r="BB166" s="6625" cm="1">
        <f t="array" ref="BB166">IF(W166="",0,SUMPRODUCT((CA4:CA795="Celeri")*(CB4:CB795="ALERTE")*(COUNTIF(AI166,"*"&amp;CC4:CC795&amp;"*")&gt;0)*1))</f>
        <v>0</v>
      </c>
      <c r="BC166" s="6625" cm="1">
        <f t="array" ref="BC166">IF(W166="",0,SUMPRODUCT((CA4:CA795="Moutarde")*(CB4:CB795="ALERTE")*(COUNTIF(AI166,"*"&amp;CC4:CC795&amp;"*")&gt;0)*1))</f>
        <v>0</v>
      </c>
      <c r="BD166" s="6625" cm="1">
        <f t="array" ref="BD166">IF(W166="",0,SUMPRODUCT((CA4:CA795="Sesame")*(CB4:CB795="ALERTE")*(COUNTIF(AI166,"*"&amp;CC4:CC795&amp;"*")&gt;0)*1))</f>
        <v>0</v>
      </c>
      <c r="BE166" s="6625" cm="1">
        <f t="array" ref="BE166">IF(W166="",0,SUMPRODUCT((CA4:CA795="Sulfites")*(CB4:CB795="ALERTE")*(COUNTIF(AI166,"*"&amp;CC4:CC795&amp;"*")&gt;0)*1))</f>
        <v>0</v>
      </c>
      <c r="BF166" s="6625" cm="1">
        <f t="array" ref="BF166">IF(W166="",0,SUMPRODUCT((CA4:CA795="Lupin")*(CB4:CB795="ALERTE")*(COUNTIF(AI166,"*"&amp;CC4:CC795&amp;"*")&gt;0)*1))</f>
        <v>0</v>
      </c>
      <c r="BG166" s="6625" cm="1">
        <f t="array" ref="BG166">IF(W166="",0,SUMPRODUCT((CA4:CA795="Mollusques")*(CB4:CB795="EXCL")*(COUNTIF(AI166,"*"&amp;CC4:CC795&amp;"*")&gt;0)*1))</f>
        <v>0</v>
      </c>
      <c r="BH166" s="6625" cm="1">
        <f t="array" ref="BH166">IF(W166="",0,SUMPRODUCT((CA4:CA795="Mollusques")*(CB4:CB795="ALERTE")*(COUNTIF(AI166,"*"&amp;CC4:CC795&amp;"*")&gt;0)*1))</f>
        <v>0</v>
      </c>
      <c r="BI166" s="6625" t="str">
        <f t="shared" si="112"/>
        <v/>
      </c>
      <c r="BJ166" s="6625" t="str">
        <f t="shared" si="113"/>
        <v/>
      </c>
      <c r="BK166" s="6625" t="str">
        <f t="shared" si="114"/>
        <v/>
      </c>
      <c r="BL166" s="6625" t="str">
        <f t="shared" si="115"/>
        <v/>
      </c>
      <c r="BM166" s="6625" t="str">
        <f t="shared" si="116"/>
        <v/>
      </c>
      <c r="BN166" s="6625" t="str">
        <f t="shared" si="117"/>
        <v/>
      </c>
      <c r="BO166" s="6625" t="str">
        <f t="shared" si="118"/>
        <v/>
      </c>
      <c r="BP166" s="6625" t="str">
        <f t="shared" si="119"/>
        <v/>
      </c>
      <c r="BQ166" s="6625" t="str">
        <f t="shared" si="120"/>
        <v/>
      </c>
      <c r="BR166" s="6625" t="str">
        <f t="shared" si="121"/>
        <v/>
      </c>
      <c r="BS166" s="6625" t="str">
        <f t="shared" si="122"/>
        <v/>
      </c>
      <c r="BT166" s="6625" t="str">
        <f t="shared" si="123"/>
        <v/>
      </c>
      <c r="BU166" s="6625" t="str">
        <f t="shared" si="124"/>
        <v/>
      </c>
      <c r="BV166" s="6625" t="str">
        <f t="shared" si="125"/>
        <v/>
      </c>
      <c r="BW166" s="6625" t="str">
        <f t="shared" si="126"/>
        <v/>
      </c>
      <c r="BX166" s="6625" t="str">
        <f t="shared" si="127"/>
        <v/>
      </c>
      <c r="CA166" s="3170" t="s">
        <v>16629</v>
      </c>
      <c r="CB166" s="7634" t="s">
        <v>16255</v>
      </c>
      <c r="CC166" s="3170" t="s">
        <v>16661</v>
      </c>
      <c r="CD166" s="3170" t="s">
        <v>16662</v>
      </c>
    </row>
    <row r="167" spans="2:82" ht="30" customHeight="1">
      <c r="B167" s="7661" t="str">
        <f t="shared" si="88"/>
        <v/>
      </c>
      <c r="C167" s="7661" t="str">
        <f t="shared" si="89"/>
        <v/>
      </c>
      <c r="D167" s="7661" t="str">
        <f t="shared" si="90"/>
        <v/>
      </c>
      <c r="E167" s="7661">
        <f>IF(H166&lt;&gt;"",E166,IF(E166="","",IFERROR(MATCH(TRUE(),INDEX(INDEX($K:$K,E166+1):$K$203&lt;&gt;"",0),0)+E166,"")))</f>
        <v>342</v>
      </c>
      <c r="F167" s="7661">
        <f t="shared" si="128"/>
        <v>0</v>
      </c>
      <c r="G167" s="7661" t="str">
        <f t="shared" si="91"/>
        <v>0</v>
      </c>
      <c r="H167" s="7672" t="str">
        <f t="shared" si="92"/>
        <v/>
      </c>
      <c r="I167" s="7683" t="str">
        <f t="shared" si="93"/>
        <v/>
      </c>
      <c r="J167" s="7673" t="str">
        <f>IF(K167="","",COUNTIF($K$18:K167,"&lt;&gt;"))</f>
        <v/>
      </c>
      <c r="K167" s="7674"/>
      <c r="L167" s="7673" t="str">
        <f t="shared" si="94"/>
        <v/>
      </c>
      <c r="M167" s="7630">
        <f t="shared" si="95"/>
        <v>1</v>
      </c>
      <c r="N167" s="7675">
        <f t="shared" si="96"/>
        <v>150</v>
      </c>
      <c r="O167" s="7676" t="str">
        <f t="shared" si="97"/>
        <v>0</v>
      </c>
      <c r="P167" s="7675">
        <f t="shared" si="98"/>
        <v>1</v>
      </c>
      <c r="Q167" s="7675">
        <f t="shared" si="99"/>
        <v>1</v>
      </c>
      <c r="S167" s="7679" t="str">
        <f t="shared" si="129"/>
        <v>0</v>
      </c>
      <c r="T167" s="7680" t="str">
        <f t="shared" si="129"/>
        <v/>
      </c>
      <c r="V167" s="7677">
        <f t="shared" si="100"/>
        <v>167</v>
      </c>
      <c r="W167" s="7678" t="str">
        <f t="shared" si="130"/>
        <v>0</v>
      </c>
      <c r="X167" s="7677" t="s">
        <v>2</v>
      </c>
      <c r="Y167" s="7702" t="str">
        <f t="shared" si="101"/>
        <v>0</v>
      </c>
      <c r="Z167" s="7703" t="str">
        <f t="shared" si="102"/>
        <v/>
      </c>
      <c r="AA167" s="7681" t="str">
        <f t="shared" si="103"/>
        <v>0</v>
      </c>
      <c r="AB167" s="7682" t="str">
        <f t="shared" si="104"/>
        <v/>
      </c>
      <c r="AC167" s="7677">
        <f t="shared" si="105"/>
        <v>0</v>
      </c>
      <c r="AD167" s="7677">
        <f t="shared" si="106"/>
        <v>0</v>
      </c>
      <c r="AE167" s="7682" t="str">
        <f t="shared" si="107"/>
        <v>aucun match</v>
      </c>
      <c r="AF167" s="6625" t="str">
        <f t="shared" si="108"/>
        <v>0</v>
      </c>
      <c r="AG167" s="6625" t="str">
        <f t="shared" si="109"/>
        <v>0</v>
      </c>
      <c r="AH167" s="6625" t="str">
        <f t="shared" si="110"/>
        <v>0</v>
      </c>
      <c r="AI167" s="6625" t="str">
        <f t="shared" si="111"/>
        <v xml:space="preserve"> 0 </v>
      </c>
      <c r="AJ167" s="6625" cm="1">
        <f t="array" ref="AJ167">IF(W167="",0,SUMPRODUCT((CA4:CA795="Gluten")*(CB4:CB795="INFO")*(COUNTIF(AI167,"*"&amp;CC4:CC795&amp;"*")&gt;0)*1))</f>
        <v>0</v>
      </c>
      <c r="AK167" s="6625" cm="1">
        <f t="array" ref="AK167">IF(W167="",0,SUMPRODUCT((CA4:CA795="Gluten")*(CB4:CB795="EXCL")*(COUNTIF(AI167,"*"&amp;CC4:CC795&amp;"*")&gt;0)*1))</f>
        <v>0</v>
      </c>
      <c r="AL167" s="6625" cm="1">
        <f t="array" ref="AL167">IF(W167="",0,SUMPRODUCT((CA4:CA795="Gluten")*(CB4:CB795="ALERTE")*(COUNTIF(AI167,"*"&amp;CC4:CC795&amp;"*")&gt;0)*1))</f>
        <v>0</v>
      </c>
      <c r="AM167" s="6625" cm="1">
        <f t="array" ref="AM167">IF(W167="",0,SUMPRODUCT((CA4:CA795="Gluten")*(CB4:CB795="SUSP")*(COUNTIF(AI167,"*"&amp;CC4:CC795&amp;"*")&gt;0)*1))</f>
        <v>0</v>
      </c>
      <c r="AN167" s="6625" cm="1">
        <f t="array" ref="AN167">IF(W167="",0,SUMPRODUCT((CA4:CA795="Crustaces")*(CB4:CB795="ALERTE")*(COUNTIF(AI167,"*"&amp;CC4:CC795&amp;"*")&gt;0)*1))</f>
        <v>0</v>
      </c>
      <c r="AO167" s="6625" cm="1">
        <f t="array" ref="AO167">IF(W167="",0,SUMPRODUCT((CA4:CA795="Oeufs")*(CB4:CB795="ALERTE")*(COUNTIF(AI167,"*"&amp;CC4:CC795&amp;"*")&gt;0)*1))</f>
        <v>0</v>
      </c>
      <c r="AP167" s="6625" cm="1">
        <f t="array" ref="AP167">IF(W167="",0,SUMPRODUCT((CA4:CA795="Poissons")*(CB4:CB795="INFO")*(COUNTIF(AI167,"*"&amp;CC4:CC795&amp;"*")&gt;0)*1))</f>
        <v>0</v>
      </c>
      <c r="AQ167" s="6625" cm="1">
        <f t="array" ref="AQ167">IF(W167="",0,SUMPRODUCT((CA4:CA795="Poissons")*(CB4:CB795="EXCL")*(COUNTIF(AI167,"*"&amp;CC4:CC795&amp;"*")&gt;0)*1))</f>
        <v>0</v>
      </c>
      <c r="AR167" s="6625" cm="1">
        <f t="array" ref="AR167">IF(W167="",0,SUMPRODUCT((CA4:CA795="Poissons")*(CB4:CB795="ALERTE")*(COUNTIF(AI167,"*"&amp;CC4:CC795&amp;"*")&gt;0)*1))</f>
        <v>0</v>
      </c>
      <c r="AS167" s="6625" cm="1">
        <f t="array" ref="AS167">IF(W167="",0,SUMPRODUCT((CA4:CA795="Arachides")*(CB4:CB795="ALERTE")*(COUNTIF(AI167,"*"&amp;CC4:CC795&amp;"*")&gt;0)*1))</f>
        <v>0</v>
      </c>
      <c r="AT167" s="6625" cm="1">
        <f t="array" ref="AT167">IF(W167="",0,SUMPRODUCT((CA4:CA795="Soja")*(CB4:CB795="INFO")*(COUNTIF(AI167,"*"&amp;CC4:CC795&amp;"*")&gt;0)*1))</f>
        <v>0</v>
      </c>
      <c r="AU167" s="6625" cm="1">
        <f t="array" ref="AU167">IF(W167="",0,SUMPRODUCT((CA4:CA795="Soja")*(CB4:CB795="ALERTE")*(COUNTIF(AI167,"*"&amp;CC4:CC795&amp;"*")&gt;0)*1))</f>
        <v>0</v>
      </c>
      <c r="AV167" s="6625" cm="1">
        <f t="array" ref="AV167">IF(W167="",0,SUMPRODUCT((CA4:CA795="Lait")*(CB4:CB795="INFO")*(COUNTIF(AI167,"*"&amp;CC4:CC795&amp;"*")&gt;0)*1))</f>
        <v>0</v>
      </c>
      <c r="AW167" s="6625" cm="1">
        <f t="array" ref="AW167">IF(W167="",0,SUMPRODUCT((CA4:CA795="Lait")*(CB4:CB795="EXCL")*(COUNTIF(AI167,"*"&amp;CC4:CC795&amp;"*")&gt;0)*1))</f>
        <v>0</v>
      </c>
      <c r="AX167" s="6625" cm="1">
        <f t="array" ref="AX167">IF(W167="",0,SUMPRODUCT((CA4:CA795="Lait")*(CB4:CB795="ALERTE")*(COUNTIF(AI167,"*"&amp;CC4:CC795&amp;"*")&gt;0)*1))</f>
        <v>0</v>
      </c>
      <c r="AY167" s="6625" cm="1">
        <f t="array" ref="AY167">IF(W167="",0,SUMPRODUCT((CA4:CA795="Lait")*(CB4:CB795="SUSP")*(COUNTIF(AI167,"*"&amp;CC4:CC795&amp;"*")&gt;0)*1))</f>
        <v>0</v>
      </c>
      <c r="AZ167" s="6625" cm="1">
        <f t="array" ref="AZ167">IF(W167="",0,SUMPRODUCT((CA4:CA795="Fruits a coque")*(CB4:CB795="EXCL")*(COUNTIF(AI167,"*"&amp;CC4:CC795&amp;"*")&gt;0)*1))</f>
        <v>0</v>
      </c>
      <c r="BA167" s="6625" cm="1">
        <f t="array" ref="BA167">IF(W167="",0,SUMPRODUCT((CA4:CA795="Fruits a coque")*(CB4:CB795="ALERTE")*(COUNTIF(AI167,"*"&amp;CC4:CC795&amp;"*")&gt;0)*1))</f>
        <v>0</v>
      </c>
      <c r="BB167" s="6625" cm="1">
        <f t="array" ref="BB167">IF(W167="",0,SUMPRODUCT((CA4:CA795="Celeri")*(CB4:CB795="ALERTE")*(COUNTIF(AI167,"*"&amp;CC4:CC795&amp;"*")&gt;0)*1))</f>
        <v>0</v>
      </c>
      <c r="BC167" s="6625" cm="1">
        <f t="array" ref="BC167">IF(W167="",0,SUMPRODUCT((CA4:CA795="Moutarde")*(CB4:CB795="ALERTE")*(COUNTIF(AI167,"*"&amp;CC4:CC795&amp;"*")&gt;0)*1))</f>
        <v>0</v>
      </c>
      <c r="BD167" s="6625" cm="1">
        <f t="array" ref="BD167">IF(W167="",0,SUMPRODUCT((CA4:CA795="Sesame")*(CB4:CB795="ALERTE")*(COUNTIF(AI167,"*"&amp;CC4:CC795&amp;"*")&gt;0)*1))</f>
        <v>0</v>
      </c>
      <c r="BE167" s="6625" cm="1">
        <f t="array" ref="BE167">IF(W167="",0,SUMPRODUCT((CA4:CA795="Sulfites")*(CB4:CB795="ALERTE")*(COUNTIF(AI167,"*"&amp;CC4:CC795&amp;"*")&gt;0)*1))</f>
        <v>0</v>
      </c>
      <c r="BF167" s="6625" cm="1">
        <f t="array" ref="BF167">IF(W167="",0,SUMPRODUCT((CA4:CA795="Lupin")*(CB4:CB795="ALERTE")*(COUNTIF(AI167,"*"&amp;CC4:CC795&amp;"*")&gt;0)*1))</f>
        <v>0</v>
      </c>
      <c r="BG167" s="6625" cm="1">
        <f t="array" ref="BG167">IF(W167="",0,SUMPRODUCT((CA4:CA795="Mollusques")*(CB4:CB795="EXCL")*(COUNTIF(AI167,"*"&amp;CC4:CC795&amp;"*")&gt;0)*1))</f>
        <v>0</v>
      </c>
      <c r="BH167" s="6625" cm="1">
        <f t="array" ref="BH167">IF(W167="",0,SUMPRODUCT((CA4:CA795="Mollusques")*(CB4:CB795="ALERTE")*(COUNTIF(AI167,"*"&amp;CC4:CC795&amp;"*")&gt;0)*1))</f>
        <v>0</v>
      </c>
      <c r="BI167" s="6625" t="str">
        <f t="shared" si="112"/>
        <v/>
      </c>
      <c r="BJ167" s="6625" t="str">
        <f t="shared" si="113"/>
        <v/>
      </c>
      <c r="BK167" s="6625" t="str">
        <f t="shared" si="114"/>
        <v/>
      </c>
      <c r="BL167" s="6625" t="str">
        <f t="shared" si="115"/>
        <v/>
      </c>
      <c r="BM167" s="6625" t="str">
        <f t="shared" si="116"/>
        <v/>
      </c>
      <c r="BN167" s="6625" t="str">
        <f t="shared" si="117"/>
        <v/>
      </c>
      <c r="BO167" s="6625" t="str">
        <f t="shared" si="118"/>
        <v/>
      </c>
      <c r="BP167" s="6625" t="str">
        <f t="shared" si="119"/>
        <v/>
      </c>
      <c r="BQ167" s="6625" t="str">
        <f t="shared" si="120"/>
        <v/>
      </c>
      <c r="BR167" s="6625" t="str">
        <f t="shared" si="121"/>
        <v/>
      </c>
      <c r="BS167" s="6625" t="str">
        <f t="shared" si="122"/>
        <v/>
      </c>
      <c r="BT167" s="6625" t="str">
        <f t="shared" si="123"/>
        <v/>
      </c>
      <c r="BU167" s="6625" t="str">
        <f t="shared" si="124"/>
        <v/>
      </c>
      <c r="BV167" s="6625" t="str">
        <f t="shared" si="125"/>
        <v/>
      </c>
      <c r="BW167" s="6625" t="str">
        <f t="shared" si="126"/>
        <v/>
      </c>
      <c r="BX167" s="6625" t="str">
        <f t="shared" si="127"/>
        <v/>
      </c>
      <c r="CA167" s="3170" t="s">
        <v>16629</v>
      </c>
      <c r="CB167" s="7634" t="s">
        <v>16255</v>
      </c>
      <c r="CC167" s="3170" t="s">
        <v>16663</v>
      </c>
      <c r="CD167" s="3170" t="s">
        <v>16664</v>
      </c>
    </row>
    <row r="168" spans="2:82" ht="30" customHeight="1">
      <c r="B168" s="7661" t="str">
        <f t="shared" si="88"/>
        <v/>
      </c>
      <c r="C168" s="7661" t="str">
        <f t="shared" si="89"/>
        <v/>
      </c>
      <c r="D168" s="7661" t="str">
        <f t="shared" si="90"/>
        <v/>
      </c>
      <c r="E168" s="7661">
        <f>IF(H167&lt;&gt;"",E167,IF(E167="","",IFERROR(MATCH(TRUE(),INDEX(INDEX($K:$K,E167+1):$K$203&lt;&gt;"",0),0)+E167,"")))</f>
        <v>343</v>
      </c>
      <c r="F168" s="7661">
        <f t="shared" si="128"/>
        <v>0</v>
      </c>
      <c r="G168" s="7661" t="str">
        <f t="shared" si="91"/>
        <v>0</v>
      </c>
      <c r="H168" s="7672" t="str">
        <f t="shared" si="92"/>
        <v/>
      </c>
      <c r="I168" s="7683" t="str">
        <f t="shared" si="93"/>
        <v/>
      </c>
      <c r="J168" s="7673" t="str">
        <f>IF(K168="","",COUNTIF($K$18:K168,"&lt;&gt;"))</f>
        <v/>
      </c>
      <c r="K168" s="7674"/>
      <c r="L168" s="7673" t="str">
        <f t="shared" si="94"/>
        <v/>
      </c>
      <c r="M168" s="7630">
        <f t="shared" si="95"/>
        <v>1</v>
      </c>
      <c r="N168" s="7675">
        <f t="shared" si="96"/>
        <v>151</v>
      </c>
      <c r="O168" s="7676" t="str">
        <f t="shared" si="97"/>
        <v>0</v>
      </c>
      <c r="P168" s="7675">
        <f t="shared" si="98"/>
        <v>1</v>
      </c>
      <c r="Q168" s="7675">
        <f t="shared" si="99"/>
        <v>1</v>
      </c>
      <c r="S168" s="7679" t="str">
        <f t="shared" si="129"/>
        <v>0</v>
      </c>
      <c r="T168" s="7680" t="str">
        <f t="shared" si="129"/>
        <v/>
      </c>
      <c r="V168" s="7677">
        <f t="shared" si="100"/>
        <v>168</v>
      </c>
      <c r="W168" s="7678" t="str">
        <f t="shared" si="130"/>
        <v>0</v>
      </c>
      <c r="X168" s="7677" t="s">
        <v>2</v>
      </c>
      <c r="Y168" s="7702" t="str">
        <f t="shared" si="101"/>
        <v>0</v>
      </c>
      <c r="Z168" s="7703" t="str">
        <f t="shared" si="102"/>
        <v/>
      </c>
      <c r="AA168" s="7681" t="str">
        <f t="shared" si="103"/>
        <v>0</v>
      </c>
      <c r="AB168" s="7682" t="str">
        <f t="shared" si="104"/>
        <v/>
      </c>
      <c r="AC168" s="7677">
        <f t="shared" si="105"/>
        <v>0</v>
      </c>
      <c r="AD168" s="7677">
        <f t="shared" si="106"/>
        <v>0</v>
      </c>
      <c r="AE168" s="7682" t="str">
        <f t="shared" si="107"/>
        <v>aucun match</v>
      </c>
      <c r="AF168" s="6625" t="str">
        <f t="shared" si="108"/>
        <v>0</v>
      </c>
      <c r="AG168" s="6625" t="str">
        <f t="shared" si="109"/>
        <v>0</v>
      </c>
      <c r="AH168" s="6625" t="str">
        <f t="shared" si="110"/>
        <v>0</v>
      </c>
      <c r="AI168" s="6625" t="str">
        <f t="shared" si="111"/>
        <v xml:space="preserve"> 0 </v>
      </c>
      <c r="AJ168" s="6625" cm="1">
        <f t="array" ref="AJ168">IF(W168="",0,SUMPRODUCT((CA4:CA795="Gluten")*(CB4:CB795="INFO")*(COUNTIF(AI168,"*"&amp;CC4:CC795&amp;"*")&gt;0)*1))</f>
        <v>0</v>
      </c>
      <c r="AK168" s="6625" cm="1">
        <f t="array" ref="AK168">IF(W168="",0,SUMPRODUCT((CA4:CA795="Gluten")*(CB4:CB795="EXCL")*(COUNTIF(AI168,"*"&amp;CC4:CC795&amp;"*")&gt;0)*1))</f>
        <v>0</v>
      </c>
      <c r="AL168" s="6625" cm="1">
        <f t="array" ref="AL168">IF(W168="",0,SUMPRODUCT((CA4:CA795="Gluten")*(CB4:CB795="ALERTE")*(COUNTIF(AI168,"*"&amp;CC4:CC795&amp;"*")&gt;0)*1))</f>
        <v>0</v>
      </c>
      <c r="AM168" s="6625" cm="1">
        <f t="array" ref="AM168">IF(W168="",0,SUMPRODUCT((CA4:CA795="Gluten")*(CB4:CB795="SUSP")*(COUNTIF(AI168,"*"&amp;CC4:CC795&amp;"*")&gt;0)*1))</f>
        <v>0</v>
      </c>
      <c r="AN168" s="6625" cm="1">
        <f t="array" ref="AN168">IF(W168="",0,SUMPRODUCT((CA4:CA795="Crustaces")*(CB4:CB795="ALERTE")*(COUNTIF(AI168,"*"&amp;CC4:CC795&amp;"*")&gt;0)*1))</f>
        <v>0</v>
      </c>
      <c r="AO168" s="6625" cm="1">
        <f t="array" ref="AO168">IF(W168="",0,SUMPRODUCT((CA4:CA795="Oeufs")*(CB4:CB795="ALERTE")*(COUNTIF(AI168,"*"&amp;CC4:CC795&amp;"*")&gt;0)*1))</f>
        <v>0</v>
      </c>
      <c r="AP168" s="6625" cm="1">
        <f t="array" ref="AP168">IF(W168="",0,SUMPRODUCT((CA4:CA795="Poissons")*(CB4:CB795="INFO")*(COUNTIF(AI168,"*"&amp;CC4:CC795&amp;"*")&gt;0)*1))</f>
        <v>0</v>
      </c>
      <c r="AQ168" s="6625" cm="1">
        <f t="array" ref="AQ168">IF(W168="",0,SUMPRODUCT((CA4:CA795="Poissons")*(CB4:CB795="EXCL")*(COUNTIF(AI168,"*"&amp;CC4:CC795&amp;"*")&gt;0)*1))</f>
        <v>0</v>
      </c>
      <c r="AR168" s="6625" cm="1">
        <f t="array" ref="AR168">IF(W168="",0,SUMPRODUCT((CA4:CA795="Poissons")*(CB4:CB795="ALERTE")*(COUNTIF(AI168,"*"&amp;CC4:CC795&amp;"*")&gt;0)*1))</f>
        <v>0</v>
      </c>
      <c r="AS168" s="6625" cm="1">
        <f t="array" ref="AS168">IF(W168="",0,SUMPRODUCT((CA4:CA795="Arachides")*(CB4:CB795="ALERTE")*(COUNTIF(AI168,"*"&amp;CC4:CC795&amp;"*")&gt;0)*1))</f>
        <v>0</v>
      </c>
      <c r="AT168" s="6625" cm="1">
        <f t="array" ref="AT168">IF(W168="",0,SUMPRODUCT((CA4:CA795="Soja")*(CB4:CB795="INFO")*(COUNTIF(AI168,"*"&amp;CC4:CC795&amp;"*")&gt;0)*1))</f>
        <v>0</v>
      </c>
      <c r="AU168" s="6625" cm="1">
        <f t="array" ref="AU168">IF(W168="",0,SUMPRODUCT((CA4:CA795="Soja")*(CB4:CB795="ALERTE")*(COUNTIF(AI168,"*"&amp;CC4:CC795&amp;"*")&gt;0)*1))</f>
        <v>0</v>
      </c>
      <c r="AV168" s="6625" cm="1">
        <f t="array" ref="AV168">IF(W168="",0,SUMPRODUCT((CA4:CA795="Lait")*(CB4:CB795="INFO")*(COUNTIF(AI168,"*"&amp;CC4:CC795&amp;"*")&gt;0)*1))</f>
        <v>0</v>
      </c>
      <c r="AW168" s="6625" cm="1">
        <f t="array" ref="AW168">IF(W168="",0,SUMPRODUCT((CA4:CA795="Lait")*(CB4:CB795="EXCL")*(COUNTIF(AI168,"*"&amp;CC4:CC795&amp;"*")&gt;0)*1))</f>
        <v>0</v>
      </c>
      <c r="AX168" s="6625" cm="1">
        <f t="array" ref="AX168">IF(W168="",0,SUMPRODUCT((CA4:CA795="Lait")*(CB4:CB795="ALERTE")*(COUNTIF(AI168,"*"&amp;CC4:CC795&amp;"*")&gt;0)*1))</f>
        <v>0</v>
      </c>
      <c r="AY168" s="6625" cm="1">
        <f t="array" ref="AY168">IF(W168="",0,SUMPRODUCT((CA4:CA795="Lait")*(CB4:CB795="SUSP")*(COUNTIF(AI168,"*"&amp;CC4:CC795&amp;"*")&gt;0)*1))</f>
        <v>0</v>
      </c>
      <c r="AZ168" s="6625" cm="1">
        <f t="array" ref="AZ168">IF(W168="",0,SUMPRODUCT((CA4:CA795="Fruits a coque")*(CB4:CB795="EXCL")*(COUNTIF(AI168,"*"&amp;CC4:CC795&amp;"*")&gt;0)*1))</f>
        <v>0</v>
      </c>
      <c r="BA168" s="6625" cm="1">
        <f t="array" ref="BA168">IF(W168="",0,SUMPRODUCT((CA4:CA795="Fruits a coque")*(CB4:CB795="ALERTE")*(COUNTIF(AI168,"*"&amp;CC4:CC795&amp;"*")&gt;0)*1))</f>
        <v>0</v>
      </c>
      <c r="BB168" s="6625" cm="1">
        <f t="array" ref="BB168">IF(W168="",0,SUMPRODUCT((CA4:CA795="Celeri")*(CB4:CB795="ALERTE")*(COUNTIF(AI168,"*"&amp;CC4:CC795&amp;"*")&gt;0)*1))</f>
        <v>0</v>
      </c>
      <c r="BC168" s="6625" cm="1">
        <f t="array" ref="BC168">IF(W168="",0,SUMPRODUCT((CA4:CA795="Moutarde")*(CB4:CB795="ALERTE")*(COUNTIF(AI168,"*"&amp;CC4:CC795&amp;"*")&gt;0)*1))</f>
        <v>0</v>
      </c>
      <c r="BD168" s="6625" cm="1">
        <f t="array" ref="BD168">IF(W168="",0,SUMPRODUCT((CA4:CA795="Sesame")*(CB4:CB795="ALERTE")*(COUNTIF(AI168,"*"&amp;CC4:CC795&amp;"*")&gt;0)*1))</f>
        <v>0</v>
      </c>
      <c r="BE168" s="6625" cm="1">
        <f t="array" ref="BE168">IF(W168="",0,SUMPRODUCT((CA4:CA795="Sulfites")*(CB4:CB795="ALERTE")*(COUNTIF(AI168,"*"&amp;CC4:CC795&amp;"*")&gt;0)*1))</f>
        <v>0</v>
      </c>
      <c r="BF168" s="6625" cm="1">
        <f t="array" ref="BF168">IF(W168="",0,SUMPRODUCT((CA4:CA795="Lupin")*(CB4:CB795="ALERTE")*(COUNTIF(AI168,"*"&amp;CC4:CC795&amp;"*")&gt;0)*1))</f>
        <v>0</v>
      </c>
      <c r="BG168" s="6625" cm="1">
        <f t="array" ref="BG168">IF(W168="",0,SUMPRODUCT((CA4:CA795="Mollusques")*(CB4:CB795="EXCL")*(COUNTIF(AI168,"*"&amp;CC4:CC795&amp;"*")&gt;0)*1))</f>
        <v>0</v>
      </c>
      <c r="BH168" s="6625" cm="1">
        <f t="array" ref="BH168">IF(W168="",0,SUMPRODUCT((CA4:CA795="Mollusques")*(CB4:CB795="ALERTE")*(COUNTIF(AI168,"*"&amp;CC4:CC795&amp;"*")&gt;0)*1))</f>
        <v>0</v>
      </c>
      <c r="BI168" s="6625" t="str">
        <f t="shared" si="112"/>
        <v/>
      </c>
      <c r="BJ168" s="6625" t="str">
        <f t="shared" si="113"/>
        <v/>
      </c>
      <c r="BK168" s="6625" t="str">
        <f t="shared" si="114"/>
        <v/>
      </c>
      <c r="BL168" s="6625" t="str">
        <f t="shared" si="115"/>
        <v/>
      </c>
      <c r="BM168" s="6625" t="str">
        <f t="shared" si="116"/>
        <v/>
      </c>
      <c r="BN168" s="6625" t="str">
        <f t="shared" si="117"/>
        <v/>
      </c>
      <c r="BO168" s="6625" t="str">
        <f t="shared" si="118"/>
        <v/>
      </c>
      <c r="BP168" s="6625" t="str">
        <f t="shared" si="119"/>
        <v/>
      </c>
      <c r="BQ168" s="6625" t="str">
        <f t="shared" si="120"/>
        <v/>
      </c>
      <c r="BR168" s="6625" t="str">
        <f t="shared" si="121"/>
        <v/>
      </c>
      <c r="BS168" s="6625" t="str">
        <f t="shared" si="122"/>
        <v/>
      </c>
      <c r="BT168" s="6625" t="str">
        <f t="shared" si="123"/>
        <v/>
      </c>
      <c r="BU168" s="6625" t="str">
        <f t="shared" si="124"/>
        <v/>
      </c>
      <c r="BV168" s="6625" t="str">
        <f t="shared" si="125"/>
        <v/>
      </c>
      <c r="BW168" s="6625" t="str">
        <f t="shared" si="126"/>
        <v/>
      </c>
      <c r="BX168" s="6625" t="str">
        <f t="shared" si="127"/>
        <v/>
      </c>
      <c r="CA168" s="3170" t="s">
        <v>16629</v>
      </c>
      <c r="CB168" s="7634" t="s">
        <v>16255</v>
      </c>
      <c r="CC168" s="3170" t="s">
        <v>16665</v>
      </c>
      <c r="CD168" s="3170" t="s">
        <v>16666</v>
      </c>
    </row>
    <row r="169" spans="2:82" ht="30" customHeight="1">
      <c r="B169" s="7661" t="str">
        <f t="shared" si="88"/>
        <v/>
      </c>
      <c r="C169" s="7661" t="str">
        <f t="shared" si="89"/>
        <v/>
      </c>
      <c r="D169" s="7661" t="str">
        <f t="shared" si="90"/>
        <v/>
      </c>
      <c r="E169" s="7661">
        <f>IF(H168&lt;&gt;"",E168,IF(E168="","",IFERROR(MATCH(TRUE(),INDEX(INDEX($K:$K,E168+1):$K$203&lt;&gt;"",0),0)+E168,"")))</f>
        <v>344</v>
      </c>
      <c r="F169" s="7661">
        <f t="shared" si="128"/>
        <v>0</v>
      </c>
      <c r="G169" s="7661" t="str">
        <f t="shared" si="91"/>
        <v>0</v>
      </c>
      <c r="H169" s="7672" t="str">
        <f t="shared" si="92"/>
        <v/>
      </c>
      <c r="I169" s="7683" t="str">
        <f t="shared" si="93"/>
        <v/>
      </c>
      <c r="J169" s="7673" t="str">
        <f>IF(K169="","",COUNTIF($K$18:K169,"&lt;&gt;"))</f>
        <v/>
      </c>
      <c r="K169" s="7674"/>
      <c r="L169" s="7673" t="str">
        <f t="shared" si="94"/>
        <v/>
      </c>
      <c r="M169" s="7630">
        <f t="shared" si="95"/>
        <v>1</v>
      </c>
      <c r="N169" s="7675">
        <f t="shared" si="96"/>
        <v>152</v>
      </c>
      <c r="O169" s="7676" t="str">
        <f t="shared" si="97"/>
        <v>0</v>
      </c>
      <c r="P169" s="7675">
        <f t="shared" si="98"/>
        <v>1</v>
      </c>
      <c r="Q169" s="7675">
        <f t="shared" si="99"/>
        <v>1</v>
      </c>
      <c r="S169" s="7679" t="str">
        <f t="shared" si="129"/>
        <v>0</v>
      </c>
      <c r="T169" s="7680" t="str">
        <f t="shared" si="129"/>
        <v/>
      </c>
      <c r="V169" s="7677">
        <f t="shared" si="100"/>
        <v>169</v>
      </c>
      <c r="W169" s="7678" t="str">
        <f t="shared" si="130"/>
        <v>0</v>
      </c>
      <c r="X169" s="7677" t="s">
        <v>2</v>
      </c>
      <c r="Y169" s="7702" t="str">
        <f t="shared" si="101"/>
        <v>0</v>
      </c>
      <c r="Z169" s="7703" t="str">
        <f t="shared" si="102"/>
        <v/>
      </c>
      <c r="AA169" s="7681" t="str">
        <f t="shared" si="103"/>
        <v>0</v>
      </c>
      <c r="AB169" s="7682" t="str">
        <f t="shared" si="104"/>
        <v/>
      </c>
      <c r="AC169" s="7677">
        <f t="shared" si="105"/>
        <v>0</v>
      </c>
      <c r="AD169" s="7677">
        <f t="shared" si="106"/>
        <v>0</v>
      </c>
      <c r="AE169" s="7682" t="str">
        <f t="shared" si="107"/>
        <v>aucun match</v>
      </c>
      <c r="AF169" s="6625" t="str">
        <f t="shared" si="108"/>
        <v>0</v>
      </c>
      <c r="AG169" s="6625" t="str">
        <f t="shared" si="109"/>
        <v>0</v>
      </c>
      <c r="AH169" s="6625" t="str">
        <f t="shared" si="110"/>
        <v>0</v>
      </c>
      <c r="AI169" s="6625" t="str">
        <f t="shared" si="111"/>
        <v xml:space="preserve"> 0 </v>
      </c>
      <c r="AJ169" s="6625" cm="1">
        <f t="array" ref="AJ169">IF(W169="",0,SUMPRODUCT((CA4:CA795="Gluten")*(CB4:CB795="INFO")*(COUNTIF(AI169,"*"&amp;CC4:CC795&amp;"*")&gt;0)*1))</f>
        <v>0</v>
      </c>
      <c r="AK169" s="6625" cm="1">
        <f t="array" ref="AK169">IF(W169="",0,SUMPRODUCT((CA4:CA795="Gluten")*(CB4:CB795="EXCL")*(COUNTIF(AI169,"*"&amp;CC4:CC795&amp;"*")&gt;0)*1))</f>
        <v>0</v>
      </c>
      <c r="AL169" s="6625" cm="1">
        <f t="array" ref="AL169">IF(W169="",0,SUMPRODUCT((CA4:CA795="Gluten")*(CB4:CB795="ALERTE")*(COUNTIF(AI169,"*"&amp;CC4:CC795&amp;"*")&gt;0)*1))</f>
        <v>0</v>
      </c>
      <c r="AM169" s="6625" cm="1">
        <f t="array" ref="AM169">IF(W169="",0,SUMPRODUCT((CA4:CA795="Gluten")*(CB4:CB795="SUSP")*(COUNTIF(AI169,"*"&amp;CC4:CC795&amp;"*")&gt;0)*1))</f>
        <v>0</v>
      </c>
      <c r="AN169" s="6625" cm="1">
        <f t="array" ref="AN169">IF(W169="",0,SUMPRODUCT((CA4:CA795="Crustaces")*(CB4:CB795="ALERTE")*(COUNTIF(AI169,"*"&amp;CC4:CC795&amp;"*")&gt;0)*1))</f>
        <v>0</v>
      </c>
      <c r="AO169" s="6625" cm="1">
        <f t="array" ref="AO169">IF(W169="",0,SUMPRODUCT((CA4:CA795="Oeufs")*(CB4:CB795="ALERTE")*(COUNTIF(AI169,"*"&amp;CC4:CC795&amp;"*")&gt;0)*1))</f>
        <v>0</v>
      </c>
      <c r="AP169" s="6625" cm="1">
        <f t="array" ref="AP169">IF(W169="",0,SUMPRODUCT((CA4:CA795="Poissons")*(CB4:CB795="INFO")*(COUNTIF(AI169,"*"&amp;CC4:CC795&amp;"*")&gt;0)*1))</f>
        <v>0</v>
      </c>
      <c r="AQ169" s="6625" cm="1">
        <f t="array" ref="AQ169">IF(W169="",0,SUMPRODUCT((CA4:CA795="Poissons")*(CB4:CB795="EXCL")*(COUNTIF(AI169,"*"&amp;CC4:CC795&amp;"*")&gt;0)*1))</f>
        <v>0</v>
      </c>
      <c r="AR169" s="6625" cm="1">
        <f t="array" ref="AR169">IF(W169="",0,SUMPRODUCT((CA4:CA795="Poissons")*(CB4:CB795="ALERTE")*(COUNTIF(AI169,"*"&amp;CC4:CC795&amp;"*")&gt;0)*1))</f>
        <v>0</v>
      </c>
      <c r="AS169" s="6625" cm="1">
        <f t="array" ref="AS169">IF(W169="",0,SUMPRODUCT((CA4:CA795="Arachides")*(CB4:CB795="ALERTE")*(COUNTIF(AI169,"*"&amp;CC4:CC795&amp;"*")&gt;0)*1))</f>
        <v>0</v>
      </c>
      <c r="AT169" s="6625" cm="1">
        <f t="array" ref="AT169">IF(W169="",0,SUMPRODUCT((CA4:CA795="Soja")*(CB4:CB795="INFO")*(COUNTIF(AI169,"*"&amp;CC4:CC795&amp;"*")&gt;0)*1))</f>
        <v>0</v>
      </c>
      <c r="AU169" s="6625" cm="1">
        <f t="array" ref="AU169">IF(W169="",0,SUMPRODUCT((CA4:CA795="Soja")*(CB4:CB795="ALERTE")*(COUNTIF(AI169,"*"&amp;CC4:CC795&amp;"*")&gt;0)*1))</f>
        <v>0</v>
      </c>
      <c r="AV169" s="6625" cm="1">
        <f t="array" ref="AV169">IF(W169="",0,SUMPRODUCT((CA4:CA795="Lait")*(CB4:CB795="INFO")*(COUNTIF(AI169,"*"&amp;CC4:CC795&amp;"*")&gt;0)*1))</f>
        <v>0</v>
      </c>
      <c r="AW169" s="6625" cm="1">
        <f t="array" ref="AW169">IF(W169="",0,SUMPRODUCT((CA4:CA795="Lait")*(CB4:CB795="EXCL")*(COUNTIF(AI169,"*"&amp;CC4:CC795&amp;"*")&gt;0)*1))</f>
        <v>0</v>
      </c>
      <c r="AX169" s="6625" cm="1">
        <f t="array" ref="AX169">IF(W169="",0,SUMPRODUCT((CA4:CA795="Lait")*(CB4:CB795="ALERTE")*(COUNTIF(AI169,"*"&amp;CC4:CC795&amp;"*")&gt;0)*1))</f>
        <v>0</v>
      </c>
      <c r="AY169" s="6625" cm="1">
        <f t="array" ref="AY169">IF(W169="",0,SUMPRODUCT((CA4:CA795="Lait")*(CB4:CB795="SUSP")*(COUNTIF(AI169,"*"&amp;CC4:CC795&amp;"*")&gt;0)*1))</f>
        <v>0</v>
      </c>
      <c r="AZ169" s="6625" cm="1">
        <f t="array" ref="AZ169">IF(W169="",0,SUMPRODUCT((CA4:CA795="Fruits a coque")*(CB4:CB795="EXCL")*(COUNTIF(AI169,"*"&amp;CC4:CC795&amp;"*")&gt;0)*1))</f>
        <v>0</v>
      </c>
      <c r="BA169" s="6625" cm="1">
        <f t="array" ref="BA169">IF(W169="",0,SUMPRODUCT((CA4:CA795="Fruits a coque")*(CB4:CB795="ALERTE")*(COUNTIF(AI169,"*"&amp;CC4:CC795&amp;"*")&gt;0)*1))</f>
        <v>0</v>
      </c>
      <c r="BB169" s="6625" cm="1">
        <f t="array" ref="BB169">IF(W169="",0,SUMPRODUCT((CA4:CA795="Celeri")*(CB4:CB795="ALERTE")*(COUNTIF(AI169,"*"&amp;CC4:CC795&amp;"*")&gt;0)*1))</f>
        <v>0</v>
      </c>
      <c r="BC169" s="6625" cm="1">
        <f t="array" ref="BC169">IF(W169="",0,SUMPRODUCT((CA4:CA795="Moutarde")*(CB4:CB795="ALERTE")*(COUNTIF(AI169,"*"&amp;CC4:CC795&amp;"*")&gt;0)*1))</f>
        <v>0</v>
      </c>
      <c r="BD169" s="6625" cm="1">
        <f t="array" ref="BD169">IF(W169="",0,SUMPRODUCT((CA4:CA795="Sesame")*(CB4:CB795="ALERTE")*(COUNTIF(AI169,"*"&amp;CC4:CC795&amp;"*")&gt;0)*1))</f>
        <v>0</v>
      </c>
      <c r="BE169" s="6625" cm="1">
        <f t="array" ref="BE169">IF(W169="",0,SUMPRODUCT((CA4:CA795="Sulfites")*(CB4:CB795="ALERTE")*(COUNTIF(AI169,"*"&amp;CC4:CC795&amp;"*")&gt;0)*1))</f>
        <v>0</v>
      </c>
      <c r="BF169" s="6625" cm="1">
        <f t="array" ref="BF169">IF(W169="",0,SUMPRODUCT((CA4:CA795="Lupin")*(CB4:CB795="ALERTE")*(COUNTIF(AI169,"*"&amp;CC4:CC795&amp;"*")&gt;0)*1))</f>
        <v>0</v>
      </c>
      <c r="BG169" s="6625" cm="1">
        <f t="array" ref="BG169">IF(W169="",0,SUMPRODUCT((CA4:CA795="Mollusques")*(CB4:CB795="EXCL")*(COUNTIF(AI169,"*"&amp;CC4:CC795&amp;"*")&gt;0)*1))</f>
        <v>0</v>
      </c>
      <c r="BH169" s="6625" cm="1">
        <f t="array" ref="BH169">IF(W169="",0,SUMPRODUCT((CA4:CA795="Mollusques")*(CB4:CB795="ALERTE")*(COUNTIF(AI169,"*"&amp;CC4:CC795&amp;"*")&gt;0)*1))</f>
        <v>0</v>
      </c>
      <c r="BI169" s="6625" t="str">
        <f t="shared" si="112"/>
        <v/>
      </c>
      <c r="BJ169" s="6625" t="str">
        <f t="shared" si="113"/>
        <v/>
      </c>
      <c r="BK169" s="6625" t="str">
        <f t="shared" si="114"/>
        <v/>
      </c>
      <c r="BL169" s="6625" t="str">
        <f t="shared" si="115"/>
        <v/>
      </c>
      <c r="BM169" s="6625" t="str">
        <f t="shared" si="116"/>
        <v/>
      </c>
      <c r="BN169" s="6625" t="str">
        <f t="shared" si="117"/>
        <v/>
      </c>
      <c r="BO169" s="6625" t="str">
        <f t="shared" si="118"/>
        <v/>
      </c>
      <c r="BP169" s="6625" t="str">
        <f t="shared" si="119"/>
        <v/>
      </c>
      <c r="BQ169" s="6625" t="str">
        <f t="shared" si="120"/>
        <v/>
      </c>
      <c r="BR169" s="6625" t="str">
        <f t="shared" si="121"/>
        <v/>
      </c>
      <c r="BS169" s="6625" t="str">
        <f t="shared" si="122"/>
        <v/>
      </c>
      <c r="BT169" s="6625" t="str">
        <f t="shared" si="123"/>
        <v/>
      </c>
      <c r="BU169" s="6625" t="str">
        <f t="shared" si="124"/>
        <v/>
      </c>
      <c r="BV169" s="6625" t="str">
        <f t="shared" si="125"/>
        <v/>
      </c>
      <c r="BW169" s="6625" t="str">
        <f t="shared" si="126"/>
        <v/>
      </c>
      <c r="BX169" s="6625" t="str">
        <f t="shared" si="127"/>
        <v/>
      </c>
      <c r="CA169" s="3170" t="s">
        <v>16629</v>
      </c>
      <c r="CB169" s="7634" t="s">
        <v>16255</v>
      </c>
      <c r="CC169" s="3170" t="s">
        <v>4541</v>
      </c>
      <c r="CD169" s="3170" t="s">
        <v>16667</v>
      </c>
    </row>
    <row r="170" spans="2:82" ht="30" customHeight="1">
      <c r="B170" s="7661" t="str">
        <f t="shared" si="88"/>
        <v/>
      </c>
      <c r="C170" s="7661" t="str">
        <f t="shared" si="89"/>
        <v/>
      </c>
      <c r="D170" s="7661" t="str">
        <f t="shared" si="90"/>
        <v/>
      </c>
      <c r="E170" s="7661">
        <f>IF(H169&lt;&gt;"",E169,IF(E169="","",IFERROR(MATCH(TRUE(),INDEX(INDEX($K:$K,E169+1):$K$203&lt;&gt;"",0),0)+E169,"")))</f>
        <v>345</v>
      </c>
      <c r="F170" s="7661">
        <f t="shared" si="128"/>
        <v>0</v>
      </c>
      <c r="G170" s="7661" t="str">
        <f t="shared" si="91"/>
        <v>0</v>
      </c>
      <c r="H170" s="7672" t="str">
        <f t="shared" si="92"/>
        <v/>
      </c>
      <c r="I170" s="7683" t="str">
        <f t="shared" si="93"/>
        <v/>
      </c>
      <c r="J170" s="7673" t="str">
        <f>IF(K170="","",COUNTIF($K$18:K170,"&lt;&gt;"))</f>
        <v/>
      </c>
      <c r="K170" s="7674"/>
      <c r="L170" s="7673" t="str">
        <f t="shared" si="94"/>
        <v/>
      </c>
      <c r="M170" s="7630">
        <f t="shared" si="95"/>
        <v>1</v>
      </c>
      <c r="N170" s="7675">
        <f t="shared" si="96"/>
        <v>153</v>
      </c>
      <c r="O170" s="7676" t="str">
        <f t="shared" si="97"/>
        <v>0</v>
      </c>
      <c r="P170" s="7675">
        <f t="shared" si="98"/>
        <v>1</v>
      </c>
      <c r="Q170" s="7675">
        <f t="shared" si="99"/>
        <v>1</v>
      </c>
      <c r="S170" s="7679" t="str">
        <f t="shared" si="129"/>
        <v>0</v>
      </c>
      <c r="T170" s="7680" t="str">
        <f t="shared" si="129"/>
        <v/>
      </c>
      <c r="V170" s="7677">
        <f t="shared" si="100"/>
        <v>170</v>
      </c>
      <c r="W170" s="7678" t="str">
        <f t="shared" si="130"/>
        <v>0</v>
      </c>
      <c r="X170" s="7677" t="s">
        <v>2</v>
      </c>
      <c r="Y170" s="7702" t="str">
        <f t="shared" si="101"/>
        <v>0</v>
      </c>
      <c r="Z170" s="7703" t="str">
        <f t="shared" si="102"/>
        <v/>
      </c>
      <c r="AA170" s="7681" t="str">
        <f t="shared" si="103"/>
        <v>0</v>
      </c>
      <c r="AB170" s="7682" t="str">
        <f t="shared" si="104"/>
        <v/>
      </c>
      <c r="AC170" s="7677">
        <f t="shared" si="105"/>
        <v>0</v>
      </c>
      <c r="AD170" s="7677">
        <f t="shared" si="106"/>
        <v>0</v>
      </c>
      <c r="AE170" s="7682" t="str">
        <f t="shared" si="107"/>
        <v>aucun match</v>
      </c>
      <c r="AF170" s="6625" t="str">
        <f t="shared" si="108"/>
        <v>0</v>
      </c>
      <c r="AG170" s="6625" t="str">
        <f t="shared" si="109"/>
        <v>0</v>
      </c>
      <c r="AH170" s="6625" t="str">
        <f t="shared" si="110"/>
        <v>0</v>
      </c>
      <c r="AI170" s="6625" t="str">
        <f t="shared" si="111"/>
        <v xml:space="preserve"> 0 </v>
      </c>
      <c r="AJ170" s="6625" cm="1">
        <f t="array" ref="AJ170">IF(W170="",0,SUMPRODUCT((CA4:CA795="Gluten")*(CB4:CB795="INFO")*(COUNTIF(AI170,"*"&amp;CC4:CC795&amp;"*")&gt;0)*1))</f>
        <v>0</v>
      </c>
      <c r="AK170" s="6625" cm="1">
        <f t="array" ref="AK170">IF(W170="",0,SUMPRODUCT((CA4:CA795="Gluten")*(CB4:CB795="EXCL")*(COUNTIF(AI170,"*"&amp;CC4:CC795&amp;"*")&gt;0)*1))</f>
        <v>0</v>
      </c>
      <c r="AL170" s="6625" cm="1">
        <f t="array" ref="AL170">IF(W170="",0,SUMPRODUCT((CA4:CA795="Gluten")*(CB4:CB795="ALERTE")*(COUNTIF(AI170,"*"&amp;CC4:CC795&amp;"*")&gt;0)*1))</f>
        <v>0</v>
      </c>
      <c r="AM170" s="6625" cm="1">
        <f t="array" ref="AM170">IF(W170="",0,SUMPRODUCT((CA4:CA795="Gluten")*(CB4:CB795="SUSP")*(COUNTIF(AI170,"*"&amp;CC4:CC795&amp;"*")&gt;0)*1))</f>
        <v>0</v>
      </c>
      <c r="AN170" s="6625" cm="1">
        <f t="array" ref="AN170">IF(W170="",0,SUMPRODUCT((CA4:CA795="Crustaces")*(CB4:CB795="ALERTE")*(COUNTIF(AI170,"*"&amp;CC4:CC795&amp;"*")&gt;0)*1))</f>
        <v>0</v>
      </c>
      <c r="AO170" s="6625" cm="1">
        <f t="array" ref="AO170">IF(W170="",0,SUMPRODUCT((CA4:CA795="Oeufs")*(CB4:CB795="ALERTE")*(COUNTIF(AI170,"*"&amp;CC4:CC795&amp;"*")&gt;0)*1))</f>
        <v>0</v>
      </c>
      <c r="AP170" s="6625" cm="1">
        <f t="array" ref="AP170">IF(W170="",0,SUMPRODUCT((CA4:CA795="Poissons")*(CB4:CB795="INFO")*(COUNTIF(AI170,"*"&amp;CC4:CC795&amp;"*")&gt;0)*1))</f>
        <v>0</v>
      </c>
      <c r="AQ170" s="6625" cm="1">
        <f t="array" ref="AQ170">IF(W170="",0,SUMPRODUCT((CA4:CA795="Poissons")*(CB4:CB795="EXCL")*(COUNTIF(AI170,"*"&amp;CC4:CC795&amp;"*")&gt;0)*1))</f>
        <v>0</v>
      </c>
      <c r="AR170" s="6625" cm="1">
        <f t="array" ref="AR170">IF(W170="",0,SUMPRODUCT((CA4:CA795="Poissons")*(CB4:CB795="ALERTE")*(COUNTIF(AI170,"*"&amp;CC4:CC795&amp;"*")&gt;0)*1))</f>
        <v>0</v>
      </c>
      <c r="AS170" s="6625" cm="1">
        <f t="array" ref="AS170">IF(W170="",0,SUMPRODUCT((CA4:CA795="Arachides")*(CB4:CB795="ALERTE")*(COUNTIF(AI170,"*"&amp;CC4:CC795&amp;"*")&gt;0)*1))</f>
        <v>0</v>
      </c>
      <c r="AT170" s="6625" cm="1">
        <f t="array" ref="AT170">IF(W170="",0,SUMPRODUCT((CA4:CA795="Soja")*(CB4:CB795="INFO")*(COUNTIF(AI170,"*"&amp;CC4:CC795&amp;"*")&gt;0)*1))</f>
        <v>0</v>
      </c>
      <c r="AU170" s="6625" cm="1">
        <f t="array" ref="AU170">IF(W170="",0,SUMPRODUCT((CA4:CA795="Soja")*(CB4:CB795="ALERTE")*(COUNTIF(AI170,"*"&amp;CC4:CC795&amp;"*")&gt;0)*1))</f>
        <v>0</v>
      </c>
      <c r="AV170" s="6625" cm="1">
        <f t="array" ref="AV170">IF(W170="",0,SUMPRODUCT((CA4:CA795="Lait")*(CB4:CB795="INFO")*(COUNTIF(AI170,"*"&amp;CC4:CC795&amp;"*")&gt;0)*1))</f>
        <v>0</v>
      </c>
      <c r="AW170" s="6625" cm="1">
        <f t="array" ref="AW170">IF(W170="",0,SUMPRODUCT((CA4:CA795="Lait")*(CB4:CB795="EXCL")*(COUNTIF(AI170,"*"&amp;CC4:CC795&amp;"*")&gt;0)*1))</f>
        <v>0</v>
      </c>
      <c r="AX170" s="6625" cm="1">
        <f t="array" ref="AX170">IF(W170="",0,SUMPRODUCT((CA4:CA795="Lait")*(CB4:CB795="ALERTE")*(COUNTIF(AI170,"*"&amp;CC4:CC795&amp;"*")&gt;0)*1))</f>
        <v>0</v>
      </c>
      <c r="AY170" s="6625" cm="1">
        <f t="array" ref="AY170">IF(W170="",0,SUMPRODUCT((CA4:CA795="Lait")*(CB4:CB795="SUSP")*(COUNTIF(AI170,"*"&amp;CC4:CC795&amp;"*")&gt;0)*1))</f>
        <v>0</v>
      </c>
      <c r="AZ170" s="6625" cm="1">
        <f t="array" ref="AZ170">IF(W170="",0,SUMPRODUCT((CA4:CA795="Fruits a coque")*(CB4:CB795="EXCL")*(COUNTIF(AI170,"*"&amp;CC4:CC795&amp;"*")&gt;0)*1))</f>
        <v>0</v>
      </c>
      <c r="BA170" s="6625" cm="1">
        <f t="array" ref="BA170">IF(W170="",0,SUMPRODUCT((CA4:CA795="Fruits a coque")*(CB4:CB795="ALERTE")*(COUNTIF(AI170,"*"&amp;CC4:CC795&amp;"*")&gt;0)*1))</f>
        <v>0</v>
      </c>
      <c r="BB170" s="6625" cm="1">
        <f t="array" ref="BB170">IF(W170="",0,SUMPRODUCT((CA4:CA795="Celeri")*(CB4:CB795="ALERTE")*(COUNTIF(AI170,"*"&amp;CC4:CC795&amp;"*")&gt;0)*1))</f>
        <v>0</v>
      </c>
      <c r="BC170" s="6625" cm="1">
        <f t="array" ref="BC170">IF(W170="",0,SUMPRODUCT((CA4:CA795="Moutarde")*(CB4:CB795="ALERTE")*(COUNTIF(AI170,"*"&amp;CC4:CC795&amp;"*")&gt;0)*1))</f>
        <v>0</v>
      </c>
      <c r="BD170" s="6625" cm="1">
        <f t="array" ref="BD170">IF(W170="",0,SUMPRODUCT((CA4:CA795="Sesame")*(CB4:CB795="ALERTE")*(COUNTIF(AI170,"*"&amp;CC4:CC795&amp;"*")&gt;0)*1))</f>
        <v>0</v>
      </c>
      <c r="BE170" s="6625" cm="1">
        <f t="array" ref="BE170">IF(W170="",0,SUMPRODUCT((CA4:CA795="Sulfites")*(CB4:CB795="ALERTE")*(COUNTIF(AI170,"*"&amp;CC4:CC795&amp;"*")&gt;0)*1))</f>
        <v>0</v>
      </c>
      <c r="BF170" s="6625" cm="1">
        <f t="array" ref="BF170">IF(W170="",0,SUMPRODUCT((CA4:CA795="Lupin")*(CB4:CB795="ALERTE")*(COUNTIF(AI170,"*"&amp;CC4:CC795&amp;"*")&gt;0)*1))</f>
        <v>0</v>
      </c>
      <c r="BG170" s="6625" cm="1">
        <f t="array" ref="BG170">IF(W170="",0,SUMPRODUCT((CA4:CA795="Mollusques")*(CB4:CB795="EXCL")*(COUNTIF(AI170,"*"&amp;CC4:CC795&amp;"*")&gt;0)*1))</f>
        <v>0</v>
      </c>
      <c r="BH170" s="6625" cm="1">
        <f t="array" ref="BH170">IF(W170="",0,SUMPRODUCT((CA4:CA795="Mollusques")*(CB4:CB795="ALERTE")*(COUNTIF(AI170,"*"&amp;CC4:CC795&amp;"*")&gt;0)*1))</f>
        <v>0</v>
      </c>
      <c r="BI170" s="6625" t="str">
        <f t="shared" si="112"/>
        <v/>
      </c>
      <c r="BJ170" s="6625" t="str">
        <f t="shared" si="113"/>
        <v/>
      </c>
      <c r="BK170" s="6625" t="str">
        <f t="shared" si="114"/>
        <v/>
      </c>
      <c r="BL170" s="6625" t="str">
        <f t="shared" si="115"/>
        <v/>
      </c>
      <c r="BM170" s="6625" t="str">
        <f t="shared" si="116"/>
        <v/>
      </c>
      <c r="BN170" s="6625" t="str">
        <f t="shared" si="117"/>
        <v/>
      </c>
      <c r="BO170" s="6625" t="str">
        <f t="shared" si="118"/>
        <v/>
      </c>
      <c r="BP170" s="6625" t="str">
        <f t="shared" si="119"/>
        <v/>
      </c>
      <c r="BQ170" s="6625" t="str">
        <f t="shared" si="120"/>
        <v/>
      </c>
      <c r="BR170" s="6625" t="str">
        <f t="shared" si="121"/>
        <v/>
      </c>
      <c r="BS170" s="6625" t="str">
        <f t="shared" si="122"/>
        <v/>
      </c>
      <c r="BT170" s="6625" t="str">
        <f t="shared" si="123"/>
        <v/>
      </c>
      <c r="BU170" s="6625" t="str">
        <f t="shared" si="124"/>
        <v/>
      </c>
      <c r="BV170" s="6625" t="str">
        <f t="shared" si="125"/>
        <v/>
      </c>
      <c r="BW170" s="6625" t="str">
        <f t="shared" si="126"/>
        <v/>
      </c>
      <c r="BX170" s="6625" t="str">
        <f t="shared" si="127"/>
        <v/>
      </c>
      <c r="CA170" s="3170" t="s">
        <v>16629</v>
      </c>
      <c r="CB170" s="7634" t="s">
        <v>16255</v>
      </c>
      <c r="CC170" s="3170" t="s">
        <v>16668</v>
      </c>
      <c r="CD170" s="3170" t="s">
        <v>16669</v>
      </c>
    </row>
    <row r="171" spans="2:82" ht="30" customHeight="1">
      <c r="B171" s="7661" t="str">
        <f t="shared" si="88"/>
        <v/>
      </c>
      <c r="C171" s="7661" t="str">
        <f t="shared" si="89"/>
        <v/>
      </c>
      <c r="D171" s="7661" t="str">
        <f t="shared" si="90"/>
        <v/>
      </c>
      <c r="E171" s="7661">
        <f>IF(H170&lt;&gt;"",E170,IF(E170="","",IFERROR(MATCH(TRUE(),INDEX(INDEX($K:$K,E170+1):$K$203&lt;&gt;"",0),0)+E170,"")))</f>
        <v>346</v>
      </c>
      <c r="F171" s="7661">
        <f t="shared" si="128"/>
        <v>0</v>
      </c>
      <c r="G171" s="7661" t="str">
        <f t="shared" si="91"/>
        <v>0</v>
      </c>
      <c r="H171" s="7672" t="str">
        <f t="shared" si="92"/>
        <v/>
      </c>
      <c r="I171" s="7683" t="str">
        <f t="shared" si="93"/>
        <v/>
      </c>
      <c r="J171" s="7673" t="str">
        <f>IF(K171="","",COUNTIF($K$18:K171,"&lt;&gt;"))</f>
        <v/>
      </c>
      <c r="K171" s="7674"/>
      <c r="L171" s="7673" t="str">
        <f t="shared" si="94"/>
        <v/>
      </c>
      <c r="M171" s="7630">
        <f t="shared" si="95"/>
        <v>1</v>
      </c>
      <c r="N171" s="7675">
        <f t="shared" si="96"/>
        <v>154</v>
      </c>
      <c r="O171" s="7676" t="str">
        <f t="shared" si="97"/>
        <v>0</v>
      </c>
      <c r="P171" s="7675">
        <f t="shared" si="98"/>
        <v>1</v>
      </c>
      <c r="Q171" s="7675">
        <f t="shared" si="99"/>
        <v>1</v>
      </c>
      <c r="S171" s="7679" t="str">
        <f t="shared" si="129"/>
        <v>0</v>
      </c>
      <c r="T171" s="7680" t="str">
        <f t="shared" si="129"/>
        <v/>
      </c>
      <c r="V171" s="7677">
        <f t="shared" si="100"/>
        <v>171</v>
      </c>
      <c r="W171" s="7678" t="str">
        <f t="shared" si="130"/>
        <v>0</v>
      </c>
      <c r="X171" s="7677" t="s">
        <v>2</v>
      </c>
      <c r="Y171" s="7702" t="str">
        <f t="shared" si="101"/>
        <v>0</v>
      </c>
      <c r="Z171" s="7703" t="str">
        <f t="shared" si="102"/>
        <v/>
      </c>
      <c r="AA171" s="7681" t="str">
        <f t="shared" si="103"/>
        <v>0</v>
      </c>
      <c r="AB171" s="7682" t="str">
        <f t="shared" si="104"/>
        <v/>
      </c>
      <c r="AC171" s="7677">
        <f t="shared" si="105"/>
        <v>0</v>
      </c>
      <c r="AD171" s="7677">
        <f t="shared" si="106"/>
        <v>0</v>
      </c>
      <c r="AE171" s="7682" t="str">
        <f t="shared" si="107"/>
        <v>aucun match</v>
      </c>
      <c r="AF171" s="6625" t="str">
        <f t="shared" si="108"/>
        <v>0</v>
      </c>
      <c r="AG171" s="6625" t="str">
        <f t="shared" si="109"/>
        <v>0</v>
      </c>
      <c r="AH171" s="6625" t="str">
        <f t="shared" si="110"/>
        <v>0</v>
      </c>
      <c r="AI171" s="6625" t="str">
        <f t="shared" si="111"/>
        <v xml:space="preserve"> 0 </v>
      </c>
      <c r="AJ171" s="6625" cm="1">
        <f t="array" ref="AJ171">IF(W171="",0,SUMPRODUCT((CA4:CA795="Gluten")*(CB4:CB795="INFO")*(COUNTIF(AI171,"*"&amp;CC4:CC795&amp;"*")&gt;0)*1))</f>
        <v>0</v>
      </c>
      <c r="AK171" s="6625" cm="1">
        <f t="array" ref="AK171">IF(W171="",0,SUMPRODUCT((CA4:CA795="Gluten")*(CB4:CB795="EXCL")*(COUNTIF(AI171,"*"&amp;CC4:CC795&amp;"*")&gt;0)*1))</f>
        <v>0</v>
      </c>
      <c r="AL171" s="6625" cm="1">
        <f t="array" ref="AL171">IF(W171="",0,SUMPRODUCT((CA4:CA795="Gluten")*(CB4:CB795="ALERTE")*(COUNTIF(AI171,"*"&amp;CC4:CC795&amp;"*")&gt;0)*1))</f>
        <v>0</v>
      </c>
      <c r="AM171" s="6625" cm="1">
        <f t="array" ref="AM171">IF(W171="",0,SUMPRODUCT((CA4:CA795="Gluten")*(CB4:CB795="SUSP")*(COUNTIF(AI171,"*"&amp;CC4:CC795&amp;"*")&gt;0)*1))</f>
        <v>0</v>
      </c>
      <c r="AN171" s="6625" cm="1">
        <f t="array" ref="AN171">IF(W171="",0,SUMPRODUCT((CA4:CA795="Crustaces")*(CB4:CB795="ALERTE")*(COUNTIF(AI171,"*"&amp;CC4:CC795&amp;"*")&gt;0)*1))</f>
        <v>0</v>
      </c>
      <c r="AO171" s="6625" cm="1">
        <f t="array" ref="AO171">IF(W171="",0,SUMPRODUCT((CA4:CA795="Oeufs")*(CB4:CB795="ALERTE")*(COUNTIF(AI171,"*"&amp;CC4:CC795&amp;"*")&gt;0)*1))</f>
        <v>0</v>
      </c>
      <c r="AP171" s="6625" cm="1">
        <f t="array" ref="AP171">IF(W171="",0,SUMPRODUCT((CA4:CA795="Poissons")*(CB4:CB795="INFO")*(COUNTIF(AI171,"*"&amp;CC4:CC795&amp;"*")&gt;0)*1))</f>
        <v>0</v>
      </c>
      <c r="AQ171" s="6625" cm="1">
        <f t="array" ref="AQ171">IF(W171="",0,SUMPRODUCT((CA4:CA795="Poissons")*(CB4:CB795="EXCL")*(COUNTIF(AI171,"*"&amp;CC4:CC795&amp;"*")&gt;0)*1))</f>
        <v>0</v>
      </c>
      <c r="AR171" s="6625" cm="1">
        <f t="array" ref="AR171">IF(W171="",0,SUMPRODUCT((CA4:CA795="Poissons")*(CB4:CB795="ALERTE")*(COUNTIF(AI171,"*"&amp;CC4:CC795&amp;"*")&gt;0)*1))</f>
        <v>0</v>
      </c>
      <c r="AS171" s="6625" cm="1">
        <f t="array" ref="AS171">IF(W171="",0,SUMPRODUCT((CA4:CA795="Arachides")*(CB4:CB795="ALERTE")*(COUNTIF(AI171,"*"&amp;CC4:CC795&amp;"*")&gt;0)*1))</f>
        <v>0</v>
      </c>
      <c r="AT171" s="6625" cm="1">
        <f t="array" ref="AT171">IF(W171="",0,SUMPRODUCT((CA4:CA795="Soja")*(CB4:CB795="INFO")*(COUNTIF(AI171,"*"&amp;CC4:CC795&amp;"*")&gt;0)*1))</f>
        <v>0</v>
      </c>
      <c r="AU171" s="6625" cm="1">
        <f t="array" ref="AU171">IF(W171="",0,SUMPRODUCT((CA4:CA795="Soja")*(CB4:CB795="ALERTE")*(COUNTIF(AI171,"*"&amp;CC4:CC795&amp;"*")&gt;0)*1))</f>
        <v>0</v>
      </c>
      <c r="AV171" s="6625" cm="1">
        <f t="array" ref="AV171">IF(W171="",0,SUMPRODUCT((CA4:CA795="Lait")*(CB4:CB795="INFO")*(COUNTIF(AI171,"*"&amp;CC4:CC795&amp;"*")&gt;0)*1))</f>
        <v>0</v>
      </c>
      <c r="AW171" s="6625" cm="1">
        <f t="array" ref="AW171">IF(W171="",0,SUMPRODUCT((CA4:CA795="Lait")*(CB4:CB795="EXCL")*(COUNTIF(AI171,"*"&amp;CC4:CC795&amp;"*")&gt;0)*1))</f>
        <v>0</v>
      </c>
      <c r="AX171" s="6625" cm="1">
        <f t="array" ref="AX171">IF(W171="",0,SUMPRODUCT((CA4:CA795="Lait")*(CB4:CB795="ALERTE")*(COUNTIF(AI171,"*"&amp;CC4:CC795&amp;"*")&gt;0)*1))</f>
        <v>0</v>
      </c>
      <c r="AY171" s="6625" cm="1">
        <f t="array" ref="AY171">IF(W171="",0,SUMPRODUCT((CA4:CA795="Lait")*(CB4:CB795="SUSP")*(COUNTIF(AI171,"*"&amp;CC4:CC795&amp;"*")&gt;0)*1))</f>
        <v>0</v>
      </c>
      <c r="AZ171" s="6625" cm="1">
        <f t="array" ref="AZ171">IF(W171="",0,SUMPRODUCT((CA4:CA795="Fruits a coque")*(CB4:CB795="EXCL")*(COUNTIF(AI171,"*"&amp;CC4:CC795&amp;"*")&gt;0)*1))</f>
        <v>0</v>
      </c>
      <c r="BA171" s="6625" cm="1">
        <f t="array" ref="BA171">IF(W171="",0,SUMPRODUCT((CA4:CA795="Fruits a coque")*(CB4:CB795="ALERTE")*(COUNTIF(AI171,"*"&amp;CC4:CC795&amp;"*")&gt;0)*1))</f>
        <v>0</v>
      </c>
      <c r="BB171" s="6625" cm="1">
        <f t="array" ref="BB171">IF(W171="",0,SUMPRODUCT((CA4:CA795="Celeri")*(CB4:CB795="ALERTE")*(COUNTIF(AI171,"*"&amp;CC4:CC795&amp;"*")&gt;0)*1))</f>
        <v>0</v>
      </c>
      <c r="BC171" s="6625" cm="1">
        <f t="array" ref="BC171">IF(W171="",0,SUMPRODUCT((CA4:CA795="Moutarde")*(CB4:CB795="ALERTE")*(COUNTIF(AI171,"*"&amp;CC4:CC795&amp;"*")&gt;0)*1))</f>
        <v>0</v>
      </c>
      <c r="BD171" s="6625" cm="1">
        <f t="array" ref="BD171">IF(W171="",0,SUMPRODUCT((CA4:CA795="Sesame")*(CB4:CB795="ALERTE")*(COUNTIF(AI171,"*"&amp;CC4:CC795&amp;"*")&gt;0)*1))</f>
        <v>0</v>
      </c>
      <c r="BE171" s="6625" cm="1">
        <f t="array" ref="BE171">IF(W171="",0,SUMPRODUCT((CA4:CA795="Sulfites")*(CB4:CB795="ALERTE")*(COUNTIF(AI171,"*"&amp;CC4:CC795&amp;"*")&gt;0)*1))</f>
        <v>0</v>
      </c>
      <c r="BF171" s="6625" cm="1">
        <f t="array" ref="BF171">IF(W171="",0,SUMPRODUCT((CA4:CA795="Lupin")*(CB4:CB795="ALERTE")*(COUNTIF(AI171,"*"&amp;CC4:CC795&amp;"*")&gt;0)*1))</f>
        <v>0</v>
      </c>
      <c r="BG171" s="6625" cm="1">
        <f t="array" ref="BG171">IF(W171="",0,SUMPRODUCT((CA4:CA795="Mollusques")*(CB4:CB795="EXCL")*(COUNTIF(AI171,"*"&amp;CC4:CC795&amp;"*")&gt;0)*1))</f>
        <v>0</v>
      </c>
      <c r="BH171" s="6625" cm="1">
        <f t="array" ref="BH171">IF(W171="",0,SUMPRODUCT((CA4:CA795="Mollusques")*(CB4:CB795="ALERTE")*(COUNTIF(AI171,"*"&amp;CC4:CC795&amp;"*")&gt;0)*1))</f>
        <v>0</v>
      </c>
      <c r="BI171" s="6625" t="str">
        <f t="shared" si="112"/>
        <v/>
      </c>
      <c r="BJ171" s="6625" t="str">
        <f t="shared" si="113"/>
        <v/>
      </c>
      <c r="BK171" s="6625" t="str">
        <f t="shared" si="114"/>
        <v/>
      </c>
      <c r="BL171" s="6625" t="str">
        <f t="shared" si="115"/>
        <v/>
      </c>
      <c r="BM171" s="6625" t="str">
        <f t="shared" si="116"/>
        <v/>
      </c>
      <c r="BN171" s="6625" t="str">
        <f t="shared" si="117"/>
        <v/>
      </c>
      <c r="BO171" s="6625" t="str">
        <f t="shared" si="118"/>
        <v/>
      </c>
      <c r="BP171" s="6625" t="str">
        <f t="shared" si="119"/>
        <v/>
      </c>
      <c r="BQ171" s="6625" t="str">
        <f t="shared" si="120"/>
        <v/>
      </c>
      <c r="BR171" s="6625" t="str">
        <f t="shared" si="121"/>
        <v/>
      </c>
      <c r="BS171" s="6625" t="str">
        <f t="shared" si="122"/>
        <v/>
      </c>
      <c r="BT171" s="6625" t="str">
        <f t="shared" si="123"/>
        <v/>
      </c>
      <c r="BU171" s="6625" t="str">
        <f t="shared" si="124"/>
        <v/>
      </c>
      <c r="BV171" s="6625" t="str">
        <f t="shared" si="125"/>
        <v/>
      </c>
      <c r="BW171" s="6625" t="str">
        <f t="shared" si="126"/>
        <v/>
      </c>
      <c r="BX171" s="6625" t="str">
        <f t="shared" si="127"/>
        <v/>
      </c>
      <c r="CA171" s="3170" t="s">
        <v>16629</v>
      </c>
      <c r="CB171" s="7634" t="s">
        <v>16255</v>
      </c>
      <c r="CC171" s="3170" t="s">
        <v>16670</v>
      </c>
      <c r="CD171" s="3170" t="s">
        <v>16671</v>
      </c>
    </row>
    <row r="172" spans="2:82" ht="30" customHeight="1">
      <c r="B172" s="7661" t="str">
        <f t="shared" si="88"/>
        <v/>
      </c>
      <c r="C172" s="7661" t="str">
        <f t="shared" si="89"/>
        <v/>
      </c>
      <c r="D172" s="7661" t="str">
        <f t="shared" si="90"/>
        <v/>
      </c>
      <c r="E172" s="7661">
        <f>IF(H171&lt;&gt;"",E171,IF(E171="","",IFERROR(MATCH(TRUE(),INDEX(INDEX($K:$K,E171+1):$K$203&lt;&gt;"",0),0)+E171,"")))</f>
        <v>347</v>
      </c>
      <c r="F172" s="7661">
        <f t="shared" si="128"/>
        <v>0</v>
      </c>
      <c r="G172" s="7661" t="str">
        <f t="shared" si="91"/>
        <v>0</v>
      </c>
      <c r="H172" s="7672" t="str">
        <f t="shared" si="92"/>
        <v/>
      </c>
      <c r="I172" s="7683" t="str">
        <f t="shared" si="93"/>
        <v/>
      </c>
      <c r="J172" s="7673" t="str">
        <f>IF(K172="","",COUNTIF($K$18:K172,"&lt;&gt;"))</f>
        <v/>
      </c>
      <c r="K172" s="7674"/>
      <c r="L172" s="7673" t="str">
        <f t="shared" si="94"/>
        <v/>
      </c>
      <c r="M172" s="7630">
        <f t="shared" si="95"/>
        <v>1</v>
      </c>
      <c r="N172" s="7675">
        <f t="shared" si="96"/>
        <v>155</v>
      </c>
      <c r="O172" s="7676" t="str">
        <f t="shared" si="97"/>
        <v>0</v>
      </c>
      <c r="P172" s="7675">
        <f t="shared" si="98"/>
        <v>1</v>
      </c>
      <c r="Q172" s="7675">
        <f t="shared" si="99"/>
        <v>1</v>
      </c>
      <c r="S172" s="7679" t="str">
        <f t="shared" si="129"/>
        <v>0</v>
      </c>
      <c r="T172" s="7680" t="str">
        <f t="shared" si="129"/>
        <v/>
      </c>
      <c r="V172" s="7677">
        <f t="shared" si="100"/>
        <v>172</v>
      </c>
      <c r="W172" s="7678" t="str">
        <f t="shared" si="130"/>
        <v>0</v>
      </c>
      <c r="X172" s="7677" t="s">
        <v>2</v>
      </c>
      <c r="Y172" s="7702" t="str">
        <f t="shared" si="101"/>
        <v>0</v>
      </c>
      <c r="Z172" s="7703" t="str">
        <f t="shared" si="102"/>
        <v/>
      </c>
      <c r="AA172" s="7681" t="str">
        <f t="shared" si="103"/>
        <v>0</v>
      </c>
      <c r="AB172" s="7682" t="str">
        <f t="shared" si="104"/>
        <v/>
      </c>
      <c r="AC172" s="7677">
        <f t="shared" si="105"/>
        <v>0</v>
      </c>
      <c r="AD172" s="7677">
        <f t="shared" si="106"/>
        <v>0</v>
      </c>
      <c r="AE172" s="7682" t="str">
        <f t="shared" si="107"/>
        <v>aucun match</v>
      </c>
      <c r="AF172" s="6625" t="str">
        <f t="shared" si="108"/>
        <v>0</v>
      </c>
      <c r="AG172" s="6625" t="str">
        <f t="shared" si="109"/>
        <v>0</v>
      </c>
      <c r="AH172" s="6625" t="str">
        <f t="shared" si="110"/>
        <v>0</v>
      </c>
      <c r="AI172" s="6625" t="str">
        <f t="shared" si="111"/>
        <v xml:space="preserve"> 0 </v>
      </c>
      <c r="AJ172" s="6625" cm="1">
        <f t="array" ref="AJ172">IF(W172="",0,SUMPRODUCT((CA4:CA795="Gluten")*(CB4:CB795="INFO")*(COUNTIF(AI172,"*"&amp;CC4:CC795&amp;"*")&gt;0)*1))</f>
        <v>0</v>
      </c>
      <c r="AK172" s="6625" cm="1">
        <f t="array" ref="AK172">IF(W172="",0,SUMPRODUCT((CA4:CA795="Gluten")*(CB4:CB795="EXCL")*(COUNTIF(AI172,"*"&amp;CC4:CC795&amp;"*")&gt;0)*1))</f>
        <v>0</v>
      </c>
      <c r="AL172" s="6625" cm="1">
        <f t="array" ref="AL172">IF(W172="",0,SUMPRODUCT((CA4:CA795="Gluten")*(CB4:CB795="ALERTE")*(COUNTIF(AI172,"*"&amp;CC4:CC795&amp;"*")&gt;0)*1))</f>
        <v>0</v>
      </c>
      <c r="AM172" s="6625" cm="1">
        <f t="array" ref="AM172">IF(W172="",0,SUMPRODUCT((CA4:CA795="Gluten")*(CB4:CB795="SUSP")*(COUNTIF(AI172,"*"&amp;CC4:CC795&amp;"*")&gt;0)*1))</f>
        <v>0</v>
      </c>
      <c r="AN172" s="6625" cm="1">
        <f t="array" ref="AN172">IF(W172="",0,SUMPRODUCT((CA4:CA795="Crustaces")*(CB4:CB795="ALERTE")*(COUNTIF(AI172,"*"&amp;CC4:CC795&amp;"*")&gt;0)*1))</f>
        <v>0</v>
      </c>
      <c r="AO172" s="6625" cm="1">
        <f t="array" ref="AO172">IF(W172="",0,SUMPRODUCT((CA4:CA795="Oeufs")*(CB4:CB795="ALERTE")*(COUNTIF(AI172,"*"&amp;CC4:CC795&amp;"*")&gt;0)*1))</f>
        <v>0</v>
      </c>
      <c r="AP172" s="6625" cm="1">
        <f t="array" ref="AP172">IF(W172="",0,SUMPRODUCT((CA4:CA795="Poissons")*(CB4:CB795="INFO")*(COUNTIF(AI172,"*"&amp;CC4:CC795&amp;"*")&gt;0)*1))</f>
        <v>0</v>
      </c>
      <c r="AQ172" s="6625" cm="1">
        <f t="array" ref="AQ172">IF(W172="",0,SUMPRODUCT((CA4:CA795="Poissons")*(CB4:CB795="EXCL")*(COUNTIF(AI172,"*"&amp;CC4:CC795&amp;"*")&gt;0)*1))</f>
        <v>0</v>
      </c>
      <c r="AR172" s="6625" cm="1">
        <f t="array" ref="AR172">IF(W172="",0,SUMPRODUCT((CA4:CA795="Poissons")*(CB4:CB795="ALERTE")*(COUNTIF(AI172,"*"&amp;CC4:CC795&amp;"*")&gt;0)*1))</f>
        <v>0</v>
      </c>
      <c r="AS172" s="6625" cm="1">
        <f t="array" ref="AS172">IF(W172="",0,SUMPRODUCT((CA4:CA795="Arachides")*(CB4:CB795="ALERTE")*(COUNTIF(AI172,"*"&amp;CC4:CC795&amp;"*")&gt;0)*1))</f>
        <v>0</v>
      </c>
      <c r="AT172" s="6625" cm="1">
        <f t="array" ref="AT172">IF(W172="",0,SUMPRODUCT((CA4:CA795="Soja")*(CB4:CB795="INFO")*(COUNTIF(AI172,"*"&amp;CC4:CC795&amp;"*")&gt;0)*1))</f>
        <v>0</v>
      </c>
      <c r="AU172" s="6625" cm="1">
        <f t="array" ref="AU172">IF(W172="",0,SUMPRODUCT((CA4:CA795="Soja")*(CB4:CB795="ALERTE")*(COUNTIF(AI172,"*"&amp;CC4:CC795&amp;"*")&gt;0)*1))</f>
        <v>0</v>
      </c>
      <c r="AV172" s="6625" cm="1">
        <f t="array" ref="AV172">IF(W172="",0,SUMPRODUCT((CA4:CA795="Lait")*(CB4:CB795="INFO")*(COUNTIF(AI172,"*"&amp;CC4:CC795&amp;"*")&gt;0)*1))</f>
        <v>0</v>
      </c>
      <c r="AW172" s="6625" cm="1">
        <f t="array" ref="AW172">IF(W172="",0,SUMPRODUCT((CA4:CA795="Lait")*(CB4:CB795="EXCL")*(COUNTIF(AI172,"*"&amp;CC4:CC795&amp;"*")&gt;0)*1))</f>
        <v>0</v>
      </c>
      <c r="AX172" s="6625" cm="1">
        <f t="array" ref="AX172">IF(W172="",0,SUMPRODUCT((CA4:CA795="Lait")*(CB4:CB795="ALERTE")*(COUNTIF(AI172,"*"&amp;CC4:CC795&amp;"*")&gt;0)*1))</f>
        <v>0</v>
      </c>
      <c r="AY172" s="6625" cm="1">
        <f t="array" ref="AY172">IF(W172="",0,SUMPRODUCT((CA4:CA795="Lait")*(CB4:CB795="SUSP")*(COUNTIF(AI172,"*"&amp;CC4:CC795&amp;"*")&gt;0)*1))</f>
        <v>0</v>
      </c>
      <c r="AZ172" s="6625" cm="1">
        <f t="array" ref="AZ172">IF(W172="",0,SUMPRODUCT((CA4:CA795="Fruits a coque")*(CB4:CB795="EXCL")*(COUNTIF(AI172,"*"&amp;CC4:CC795&amp;"*")&gt;0)*1))</f>
        <v>0</v>
      </c>
      <c r="BA172" s="6625" cm="1">
        <f t="array" ref="BA172">IF(W172="",0,SUMPRODUCT((CA4:CA795="Fruits a coque")*(CB4:CB795="ALERTE")*(COUNTIF(AI172,"*"&amp;CC4:CC795&amp;"*")&gt;0)*1))</f>
        <v>0</v>
      </c>
      <c r="BB172" s="6625" cm="1">
        <f t="array" ref="BB172">IF(W172="",0,SUMPRODUCT((CA4:CA795="Celeri")*(CB4:CB795="ALERTE")*(COUNTIF(AI172,"*"&amp;CC4:CC795&amp;"*")&gt;0)*1))</f>
        <v>0</v>
      </c>
      <c r="BC172" s="6625" cm="1">
        <f t="array" ref="BC172">IF(W172="",0,SUMPRODUCT((CA4:CA795="Moutarde")*(CB4:CB795="ALERTE")*(COUNTIF(AI172,"*"&amp;CC4:CC795&amp;"*")&gt;0)*1))</f>
        <v>0</v>
      </c>
      <c r="BD172" s="6625" cm="1">
        <f t="array" ref="BD172">IF(W172="",0,SUMPRODUCT((CA4:CA795="Sesame")*(CB4:CB795="ALERTE")*(COUNTIF(AI172,"*"&amp;CC4:CC795&amp;"*")&gt;0)*1))</f>
        <v>0</v>
      </c>
      <c r="BE172" s="6625" cm="1">
        <f t="array" ref="BE172">IF(W172="",0,SUMPRODUCT((CA4:CA795="Sulfites")*(CB4:CB795="ALERTE")*(COUNTIF(AI172,"*"&amp;CC4:CC795&amp;"*")&gt;0)*1))</f>
        <v>0</v>
      </c>
      <c r="BF172" s="6625" cm="1">
        <f t="array" ref="BF172">IF(W172="",0,SUMPRODUCT((CA4:CA795="Lupin")*(CB4:CB795="ALERTE")*(COUNTIF(AI172,"*"&amp;CC4:CC795&amp;"*")&gt;0)*1))</f>
        <v>0</v>
      </c>
      <c r="BG172" s="6625" cm="1">
        <f t="array" ref="BG172">IF(W172="",0,SUMPRODUCT((CA4:CA795="Mollusques")*(CB4:CB795="EXCL")*(COUNTIF(AI172,"*"&amp;CC4:CC795&amp;"*")&gt;0)*1))</f>
        <v>0</v>
      </c>
      <c r="BH172" s="6625" cm="1">
        <f t="array" ref="BH172">IF(W172="",0,SUMPRODUCT((CA4:CA795="Mollusques")*(CB4:CB795="ALERTE")*(COUNTIF(AI172,"*"&amp;CC4:CC795&amp;"*")&gt;0)*1))</f>
        <v>0</v>
      </c>
      <c r="BI172" s="6625" t="str">
        <f t="shared" si="112"/>
        <v/>
      </c>
      <c r="BJ172" s="6625" t="str">
        <f t="shared" si="113"/>
        <v/>
      </c>
      <c r="BK172" s="6625" t="str">
        <f t="shared" si="114"/>
        <v/>
      </c>
      <c r="BL172" s="6625" t="str">
        <f t="shared" si="115"/>
        <v/>
      </c>
      <c r="BM172" s="6625" t="str">
        <f t="shared" si="116"/>
        <v/>
      </c>
      <c r="BN172" s="6625" t="str">
        <f t="shared" si="117"/>
        <v/>
      </c>
      <c r="BO172" s="6625" t="str">
        <f t="shared" si="118"/>
        <v/>
      </c>
      <c r="BP172" s="6625" t="str">
        <f t="shared" si="119"/>
        <v/>
      </c>
      <c r="BQ172" s="6625" t="str">
        <f t="shared" si="120"/>
        <v/>
      </c>
      <c r="BR172" s="6625" t="str">
        <f t="shared" si="121"/>
        <v/>
      </c>
      <c r="BS172" s="6625" t="str">
        <f t="shared" si="122"/>
        <v/>
      </c>
      <c r="BT172" s="6625" t="str">
        <f t="shared" si="123"/>
        <v/>
      </c>
      <c r="BU172" s="6625" t="str">
        <f t="shared" si="124"/>
        <v/>
      </c>
      <c r="BV172" s="6625" t="str">
        <f t="shared" si="125"/>
        <v/>
      </c>
      <c r="BW172" s="6625" t="str">
        <f t="shared" si="126"/>
        <v/>
      </c>
      <c r="BX172" s="6625" t="str">
        <f t="shared" si="127"/>
        <v/>
      </c>
      <c r="CA172" s="3170" t="s">
        <v>16629</v>
      </c>
      <c r="CB172" s="7634" t="s">
        <v>16255</v>
      </c>
      <c r="CC172" s="3170" t="s">
        <v>1699</v>
      </c>
      <c r="CD172" s="3170" t="s">
        <v>16672</v>
      </c>
    </row>
    <row r="173" spans="2:82" ht="30" customHeight="1">
      <c r="B173" s="7661" t="str">
        <f t="shared" si="88"/>
        <v/>
      </c>
      <c r="C173" s="7661" t="str">
        <f t="shared" si="89"/>
        <v/>
      </c>
      <c r="D173" s="7661" t="str">
        <f t="shared" si="90"/>
        <v/>
      </c>
      <c r="E173" s="7661">
        <f>IF(H172&lt;&gt;"",E172,IF(E172="","",IFERROR(MATCH(TRUE(),INDEX(INDEX($K:$K,E172+1):$K$203&lt;&gt;"",0),0)+E172,"")))</f>
        <v>348</v>
      </c>
      <c r="F173" s="7661">
        <f t="shared" si="128"/>
        <v>0</v>
      </c>
      <c r="G173" s="7661" t="str">
        <f t="shared" si="91"/>
        <v>0</v>
      </c>
      <c r="H173" s="7672" t="str">
        <f t="shared" si="92"/>
        <v/>
      </c>
      <c r="I173" s="7683" t="str">
        <f t="shared" si="93"/>
        <v/>
      </c>
      <c r="J173" s="7673" t="str">
        <f>IF(K173="","",COUNTIF($K$18:K173,"&lt;&gt;"))</f>
        <v/>
      </c>
      <c r="K173" s="7674"/>
      <c r="L173" s="7673" t="str">
        <f t="shared" si="94"/>
        <v/>
      </c>
      <c r="M173" s="7630">
        <f t="shared" si="95"/>
        <v>1</v>
      </c>
      <c r="N173" s="7675">
        <f t="shared" si="96"/>
        <v>156</v>
      </c>
      <c r="O173" s="7676" t="str">
        <f t="shared" si="97"/>
        <v>0</v>
      </c>
      <c r="P173" s="7675">
        <f t="shared" si="98"/>
        <v>1</v>
      </c>
      <c r="Q173" s="7675">
        <f t="shared" si="99"/>
        <v>1</v>
      </c>
      <c r="S173" s="7679" t="str">
        <f t="shared" si="129"/>
        <v>0</v>
      </c>
      <c r="T173" s="7680" t="str">
        <f t="shared" si="129"/>
        <v/>
      </c>
      <c r="V173" s="7677">
        <f t="shared" si="100"/>
        <v>173</v>
      </c>
      <c r="W173" s="7678" t="str">
        <f t="shared" si="130"/>
        <v>0</v>
      </c>
      <c r="X173" s="7677" t="s">
        <v>2</v>
      </c>
      <c r="Y173" s="7702" t="str">
        <f t="shared" si="101"/>
        <v>0</v>
      </c>
      <c r="Z173" s="7703" t="str">
        <f t="shared" si="102"/>
        <v/>
      </c>
      <c r="AA173" s="7681" t="str">
        <f t="shared" si="103"/>
        <v>0</v>
      </c>
      <c r="AB173" s="7682" t="str">
        <f t="shared" si="104"/>
        <v/>
      </c>
      <c r="AC173" s="7677">
        <f t="shared" si="105"/>
        <v>0</v>
      </c>
      <c r="AD173" s="7677">
        <f t="shared" si="106"/>
        <v>0</v>
      </c>
      <c r="AE173" s="7682" t="str">
        <f t="shared" si="107"/>
        <v>aucun match</v>
      </c>
      <c r="AF173" s="6625" t="str">
        <f t="shared" si="108"/>
        <v>0</v>
      </c>
      <c r="AG173" s="6625" t="str">
        <f t="shared" si="109"/>
        <v>0</v>
      </c>
      <c r="AH173" s="6625" t="str">
        <f t="shared" si="110"/>
        <v>0</v>
      </c>
      <c r="AI173" s="6625" t="str">
        <f t="shared" si="111"/>
        <v xml:space="preserve"> 0 </v>
      </c>
      <c r="AJ173" s="6625" cm="1">
        <f t="array" ref="AJ173">IF(W173="",0,SUMPRODUCT((CA4:CA795="Gluten")*(CB4:CB795="INFO")*(COUNTIF(AI173,"*"&amp;CC4:CC795&amp;"*")&gt;0)*1))</f>
        <v>0</v>
      </c>
      <c r="AK173" s="6625" cm="1">
        <f t="array" ref="AK173">IF(W173="",0,SUMPRODUCT((CA4:CA795="Gluten")*(CB4:CB795="EXCL")*(COUNTIF(AI173,"*"&amp;CC4:CC795&amp;"*")&gt;0)*1))</f>
        <v>0</v>
      </c>
      <c r="AL173" s="6625" cm="1">
        <f t="array" ref="AL173">IF(W173="",0,SUMPRODUCT((CA4:CA795="Gluten")*(CB4:CB795="ALERTE")*(COUNTIF(AI173,"*"&amp;CC4:CC795&amp;"*")&gt;0)*1))</f>
        <v>0</v>
      </c>
      <c r="AM173" s="6625" cm="1">
        <f t="array" ref="AM173">IF(W173="",0,SUMPRODUCT((CA4:CA795="Gluten")*(CB4:CB795="SUSP")*(COUNTIF(AI173,"*"&amp;CC4:CC795&amp;"*")&gt;0)*1))</f>
        <v>0</v>
      </c>
      <c r="AN173" s="6625" cm="1">
        <f t="array" ref="AN173">IF(W173="",0,SUMPRODUCT((CA4:CA795="Crustaces")*(CB4:CB795="ALERTE")*(COUNTIF(AI173,"*"&amp;CC4:CC795&amp;"*")&gt;0)*1))</f>
        <v>0</v>
      </c>
      <c r="AO173" s="6625" cm="1">
        <f t="array" ref="AO173">IF(W173="",0,SUMPRODUCT((CA4:CA795="Oeufs")*(CB4:CB795="ALERTE")*(COUNTIF(AI173,"*"&amp;CC4:CC795&amp;"*")&gt;0)*1))</f>
        <v>0</v>
      </c>
      <c r="AP173" s="6625" cm="1">
        <f t="array" ref="AP173">IF(W173="",0,SUMPRODUCT((CA4:CA795="Poissons")*(CB4:CB795="INFO")*(COUNTIF(AI173,"*"&amp;CC4:CC795&amp;"*")&gt;0)*1))</f>
        <v>0</v>
      </c>
      <c r="AQ173" s="6625" cm="1">
        <f t="array" ref="AQ173">IF(W173="",0,SUMPRODUCT((CA4:CA795="Poissons")*(CB4:CB795="EXCL")*(COUNTIF(AI173,"*"&amp;CC4:CC795&amp;"*")&gt;0)*1))</f>
        <v>0</v>
      </c>
      <c r="AR173" s="6625" cm="1">
        <f t="array" ref="AR173">IF(W173="",0,SUMPRODUCT((CA4:CA795="Poissons")*(CB4:CB795="ALERTE")*(COUNTIF(AI173,"*"&amp;CC4:CC795&amp;"*")&gt;0)*1))</f>
        <v>0</v>
      </c>
      <c r="AS173" s="6625" cm="1">
        <f t="array" ref="AS173">IF(W173="",0,SUMPRODUCT((CA4:CA795="Arachides")*(CB4:CB795="ALERTE")*(COUNTIF(AI173,"*"&amp;CC4:CC795&amp;"*")&gt;0)*1))</f>
        <v>0</v>
      </c>
      <c r="AT173" s="6625" cm="1">
        <f t="array" ref="AT173">IF(W173="",0,SUMPRODUCT((CA4:CA795="Soja")*(CB4:CB795="INFO")*(COUNTIF(AI173,"*"&amp;CC4:CC795&amp;"*")&gt;0)*1))</f>
        <v>0</v>
      </c>
      <c r="AU173" s="6625" cm="1">
        <f t="array" ref="AU173">IF(W173="",0,SUMPRODUCT((CA4:CA795="Soja")*(CB4:CB795="ALERTE")*(COUNTIF(AI173,"*"&amp;CC4:CC795&amp;"*")&gt;0)*1))</f>
        <v>0</v>
      </c>
      <c r="AV173" s="6625" cm="1">
        <f t="array" ref="AV173">IF(W173="",0,SUMPRODUCT((CA4:CA795="Lait")*(CB4:CB795="INFO")*(COUNTIF(AI173,"*"&amp;CC4:CC795&amp;"*")&gt;0)*1))</f>
        <v>0</v>
      </c>
      <c r="AW173" s="6625" cm="1">
        <f t="array" ref="AW173">IF(W173="",0,SUMPRODUCT((CA4:CA795="Lait")*(CB4:CB795="EXCL")*(COUNTIF(AI173,"*"&amp;CC4:CC795&amp;"*")&gt;0)*1))</f>
        <v>0</v>
      </c>
      <c r="AX173" s="6625" cm="1">
        <f t="array" ref="AX173">IF(W173="",0,SUMPRODUCT((CA4:CA795="Lait")*(CB4:CB795="ALERTE")*(COUNTIF(AI173,"*"&amp;CC4:CC795&amp;"*")&gt;0)*1))</f>
        <v>0</v>
      </c>
      <c r="AY173" s="6625" cm="1">
        <f t="array" ref="AY173">IF(W173="",0,SUMPRODUCT((CA4:CA795="Lait")*(CB4:CB795="SUSP")*(COUNTIF(AI173,"*"&amp;CC4:CC795&amp;"*")&gt;0)*1))</f>
        <v>0</v>
      </c>
      <c r="AZ173" s="6625" cm="1">
        <f t="array" ref="AZ173">IF(W173="",0,SUMPRODUCT((CA4:CA795="Fruits a coque")*(CB4:CB795="EXCL")*(COUNTIF(AI173,"*"&amp;CC4:CC795&amp;"*")&gt;0)*1))</f>
        <v>0</v>
      </c>
      <c r="BA173" s="6625" cm="1">
        <f t="array" ref="BA173">IF(W173="",0,SUMPRODUCT((CA4:CA795="Fruits a coque")*(CB4:CB795="ALERTE")*(COUNTIF(AI173,"*"&amp;CC4:CC795&amp;"*")&gt;0)*1))</f>
        <v>0</v>
      </c>
      <c r="BB173" s="6625" cm="1">
        <f t="array" ref="BB173">IF(W173="",0,SUMPRODUCT((CA4:CA795="Celeri")*(CB4:CB795="ALERTE")*(COUNTIF(AI173,"*"&amp;CC4:CC795&amp;"*")&gt;0)*1))</f>
        <v>0</v>
      </c>
      <c r="BC173" s="6625" cm="1">
        <f t="array" ref="BC173">IF(W173="",0,SUMPRODUCT((CA4:CA795="Moutarde")*(CB4:CB795="ALERTE")*(COUNTIF(AI173,"*"&amp;CC4:CC795&amp;"*")&gt;0)*1))</f>
        <v>0</v>
      </c>
      <c r="BD173" s="6625" cm="1">
        <f t="array" ref="BD173">IF(W173="",0,SUMPRODUCT((CA4:CA795="Sesame")*(CB4:CB795="ALERTE")*(COUNTIF(AI173,"*"&amp;CC4:CC795&amp;"*")&gt;0)*1))</f>
        <v>0</v>
      </c>
      <c r="BE173" s="6625" cm="1">
        <f t="array" ref="BE173">IF(W173="",0,SUMPRODUCT((CA4:CA795="Sulfites")*(CB4:CB795="ALERTE")*(COUNTIF(AI173,"*"&amp;CC4:CC795&amp;"*")&gt;0)*1))</f>
        <v>0</v>
      </c>
      <c r="BF173" s="6625" cm="1">
        <f t="array" ref="BF173">IF(W173="",0,SUMPRODUCT((CA4:CA795="Lupin")*(CB4:CB795="ALERTE")*(COUNTIF(AI173,"*"&amp;CC4:CC795&amp;"*")&gt;0)*1))</f>
        <v>0</v>
      </c>
      <c r="BG173" s="6625" cm="1">
        <f t="array" ref="BG173">IF(W173="",0,SUMPRODUCT((CA4:CA795="Mollusques")*(CB4:CB795="EXCL")*(COUNTIF(AI173,"*"&amp;CC4:CC795&amp;"*")&gt;0)*1))</f>
        <v>0</v>
      </c>
      <c r="BH173" s="6625" cm="1">
        <f t="array" ref="BH173">IF(W173="",0,SUMPRODUCT((CA4:CA795="Mollusques")*(CB4:CB795="ALERTE")*(COUNTIF(AI173,"*"&amp;CC4:CC795&amp;"*")&gt;0)*1))</f>
        <v>0</v>
      </c>
      <c r="BI173" s="6625" t="str">
        <f t="shared" si="112"/>
        <v/>
      </c>
      <c r="BJ173" s="6625" t="str">
        <f t="shared" si="113"/>
        <v/>
      </c>
      <c r="BK173" s="6625" t="str">
        <f t="shared" si="114"/>
        <v/>
      </c>
      <c r="BL173" s="6625" t="str">
        <f t="shared" si="115"/>
        <v/>
      </c>
      <c r="BM173" s="6625" t="str">
        <f t="shared" si="116"/>
        <v/>
      </c>
      <c r="BN173" s="6625" t="str">
        <f t="shared" si="117"/>
        <v/>
      </c>
      <c r="BO173" s="6625" t="str">
        <f t="shared" si="118"/>
        <v/>
      </c>
      <c r="BP173" s="6625" t="str">
        <f t="shared" si="119"/>
        <v/>
      </c>
      <c r="BQ173" s="6625" t="str">
        <f t="shared" si="120"/>
        <v/>
      </c>
      <c r="BR173" s="6625" t="str">
        <f t="shared" si="121"/>
        <v/>
      </c>
      <c r="BS173" s="6625" t="str">
        <f t="shared" si="122"/>
        <v/>
      </c>
      <c r="BT173" s="6625" t="str">
        <f t="shared" si="123"/>
        <v/>
      </c>
      <c r="BU173" s="6625" t="str">
        <f t="shared" si="124"/>
        <v/>
      </c>
      <c r="BV173" s="6625" t="str">
        <f t="shared" si="125"/>
        <v/>
      </c>
      <c r="BW173" s="6625" t="str">
        <f t="shared" si="126"/>
        <v/>
      </c>
      <c r="BX173" s="6625" t="str">
        <f t="shared" si="127"/>
        <v/>
      </c>
      <c r="CA173" s="3170" t="s">
        <v>16629</v>
      </c>
      <c r="CB173" s="7634" t="s">
        <v>16255</v>
      </c>
      <c r="CC173" s="3170" t="s">
        <v>16673</v>
      </c>
      <c r="CD173" s="3170" t="s">
        <v>16674</v>
      </c>
    </row>
    <row r="174" spans="2:82" ht="30" customHeight="1">
      <c r="B174" s="7661" t="str">
        <f t="shared" si="88"/>
        <v/>
      </c>
      <c r="C174" s="7661" t="str">
        <f t="shared" si="89"/>
        <v/>
      </c>
      <c r="D174" s="7661" t="str">
        <f t="shared" si="90"/>
        <v/>
      </c>
      <c r="E174" s="7661">
        <f>IF(H173&lt;&gt;"",E173,IF(E173="","",IFERROR(MATCH(TRUE(),INDEX(INDEX($K:$K,E173+1):$K$203&lt;&gt;"",0),0)+E173,"")))</f>
        <v>349</v>
      </c>
      <c r="F174" s="7661">
        <f t="shared" si="128"/>
        <v>0</v>
      </c>
      <c r="G174" s="7661" t="str">
        <f t="shared" si="91"/>
        <v>0</v>
      </c>
      <c r="H174" s="7672" t="str">
        <f t="shared" si="92"/>
        <v/>
      </c>
      <c r="I174" s="7683" t="str">
        <f t="shared" si="93"/>
        <v/>
      </c>
      <c r="J174" s="7673" t="str">
        <f>IF(K174="","",COUNTIF($K$18:K174,"&lt;&gt;"))</f>
        <v/>
      </c>
      <c r="K174" s="7674"/>
      <c r="L174" s="7673" t="str">
        <f t="shared" si="94"/>
        <v/>
      </c>
      <c r="M174" s="7630">
        <f t="shared" si="95"/>
        <v>1</v>
      </c>
      <c r="N174" s="7675">
        <f t="shared" si="96"/>
        <v>157</v>
      </c>
      <c r="O174" s="7676" t="str">
        <f t="shared" si="97"/>
        <v>0</v>
      </c>
      <c r="P174" s="7675">
        <f t="shared" si="98"/>
        <v>1</v>
      </c>
      <c r="Q174" s="7675">
        <f t="shared" si="99"/>
        <v>1</v>
      </c>
      <c r="S174" s="7679" t="str">
        <f t="shared" si="129"/>
        <v>0</v>
      </c>
      <c r="T174" s="7680" t="str">
        <f t="shared" si="129"/>
        <v/>
      </c>
      <c r="V174" s="7677">
        <f t="shared" si="100"/>
        <v>174</v>
      </c>
      <c r="W174" s="7678" t="str">
        <f t="shared" si="130"/>
        <v>0</v>
      </c>
      <c r="X174" s="7677" t="s">
        <v>2</v>
      </c>
      <c r="Y174" s="7702" t="str">
        <f t="shared" si="101"/>
        <v>0</v>
      </c>
      <c r="Z174" s="7703" t="str">
        <f t="shared" si="102"/>
        <v/>
      </c>
      <c r="AA174" s="7681" t="str">
        <f t="shared" si="103"/>
        <v>0</v>
      </c>
      <c r="AB174" s="7682" t="str">
        <f t="shared" si="104"/>
        <v/>
      </c>
      <c r="AC174" s="7677">
        <f t="shared" si="105"/>
        <v>0</v>
      </c>
      <c r="AD174" s="7677">
        <f t="shared" si="106"/>
        <v>0</v>
      </c>
      <c r="AE174" s="7682" t="str">
        <f t="shared" si="107"/>
        <v>aucun match</v>
      </c>
      <c r="AF174" s="6625" t="str">
        <f t="shared" si="108"/>
        <v>0</v>
      </c>
      <c r="AG174" s="6625" t="str">
        <f t="shared" si="109"/>
        <v>0</v>
      </c>
      <c r="AH174" s="6625" t="str">
        <f t="shared" si="110"/>
        <v>0</v>
      </c>
      <c r="AI174" s="6625" t="str">
        <f t="shared" si="111"/>
        <v xml:space="preserve"> 0 </v>
      </c>
      <c r="AJ174" s="6625" cm="1">
        <f t="array" ref="AJ174">IF(W174="",0,SUMPRODUCT((CA4:CA795="Gluten")*(CB4:CB795="INFO")*(COUNTIF(AI174,"*"&amp;CC4:CC795&amp;"*")&gt;0)*1))</f>
        <v>0</v>
      </c>
      <c r="AK174" s="6625" cm="1">
        <f t="array" ref="AK174">IF(W174="",0,SUMPRODUCT((CA4:CA795="Gluten")*(CB4:CB795="EXCL")*(COUNTIF(AI174,"*"&amp;CC4:CC795&amp;"*")&gt;0)*1))</f>
        <v>0</v>
      </c>
      <c r="AL174" s="6625" cm="1">
        <f t="array" ref="AL174">IF(W174="",0,SUMPRODUCT((CA4:CA795="Gluten")*(CB4:CB795="ALERTE")*(COUNTIF(AI174,"*"&amp;CC4:CC795&amp;"*")&gt;0)*1))</f>
        <v>0</v>
      </c>
      <c r="AM174" s="6625" cm="1">
        <f t="array" ref="AM174">IF(W174="",0,SUMPRODUCT((CA4:CA795="Gluten")*(CB4:CB795="SUSP")*(COUNTIF(AI174,"*"&amp;CC4:CC795&amp;"*")&gt;0)*1))</f>
        <v>0</v>
      </c>
      <c r="AN174" s="6625" cm="1">
        <f t="array" ref="AN174">IF(W174="",0,SUMPRODUCT((CA4:CA795="Crustaces")*(CB4:CB795="ALERTE")*(COUNTIF(AI174,"*"&amp;CC4:CC795&amp;"*")&gt;0)*1))</f>
        <v>0</v>
      </c>
      <c r="AO174" s="6625" cm="1">
        <f t="array" ref="AO174">IF(W174="",0,SUMPRODUCT((CA4:CA795="Oeufs")*(CB4:CB795="ALERTE")*(COUNTIF(AI174,"*"&amp;CC4:CC795&amp;"*")&gt;0)*1))</f>
        <v>0</v>
      </c>
      <c r="AP174" s="6625" cm="1">
        <f t="array" ref="AP174">IF(W174="",0,SUMPRODUCT((CA4:CA795="Poissons")*(CB4:CB795="INFO")*(COUNTIF(AI174,"*"&amp;CC4:CC795&amp;"*")&gt;0)*1))</f>
        <v>0</v>
      </c>
      <c r="AQ174" s="6625" cm="1">
        <f t="array" ref="AQ174">IF(W174="",0,SUMPRODUCT((CA4:CA795="Poissons")*(CB4:CB795="EXCL")*(COUNTIF(AI174,"*"&amp;CC4:CC795&amp;"*")&gt;0)*1))</f>
        <v>0</v>
      </c>
      <c r="AR174" s="6625" cm="1">
        <f t="array" ref="AR174">IF(W174="",0,SUMPRODUCT((CA4:CA795="Poissons")*(CB4:CB795="ALERTE")*(COUNTIF(AI174,"*"&amp;CC4:CC795&amp;"*")&gt;0)*1))</f>
        <v>0</v>
      </c>
      <c r="AS174" s="6625" cm="1">
        <f t="array" ref="AS174">IF(W174="",0,SUMPRODUCT((CA4:CA795="Arachides")*(CB4:CB795="ALERTE")*(COUNTIF(AI174,"*"&amp;CC4:CC795&amp;"*")&gt;0)*1))</f>
        <v>0</v>
      </c>
      <c r="AT174" s="6625" cm="1">
        <f t="array" ref="AT174">IF(W174="",0,SUMPRODUCT((CA4:CA795="Soja")*(CB4:CB795="INFO")*(COUNTIF(AI174,"*"&amp;CC4:CC795&amp;"*")&gt;0)*1))</f>
        <v>0</v>
      </c>
      <c r="AU174" s="6625" cm="1">
        <f t="array" ref="AU174">IF(W174="",0,SUMPRODUCT((CA4:CA795="Soja")*(CB4:CB795="ALERTE")*(COUNTIF(AI174,"*"&amp;CC4:CC795&amp;"*")&gt;0)*1))</f>
        <v>0</v>
      </c>
      <c r="AV174" s="6625" cm="1">
        <f t="array" ref="AV174">IF(W174="",0,SUMPRODUCT((CA4:CA795="Lait")*(CB4:CB795="INFO")*(COUNTIF(AI174,"*"&amp;CC4:CC795&amp;"*")&gt;0)*1))</f>
        <v>0</v>
      </c>
      <c r="AW174" s="6625" cm="1">
        <f t="array" ref="AW174">IF(W174="",0,SUMPRODUCT((CA4:CA795="Lait")*(CB4:CB795="EXCL")*(COUNTIF(AI174,"*"&amp;CC4:CC795&amp;"*")&gt;0)*1))</f>
        <v>0</v>
      </c>
      <c r="AX174" s="6625" cm="1">
        <f t="array" ref="AX174">IF(W174="",0,SUMPRODUCT((CA4:CA795="Lait")*(CB4:CB795="ALERTE")*(COUNTIF(AI174,"*"&amp;CC4:CC795&amp;"*")&gt;0)*1))</f>
        <v>0</v>
      </c>
      <c r="AY174" s="6625" cm="1">
        <f t="array" ref="AY174">IF(W174="",0,SUMPRODUCT((CA4:CA795="Lait")*(CB4:CB795="SUSP")*(COUNTIF(AI174,"*"&amp;CC4:CC795&amp;"*")&gt;0)*1))</f>
        <v>0</v>
      </c>
      <c r="AZ174" s="6625" cm="1">
        <f t="array" ref="AZ174">IF(W174="",0,SUMPRODUCT((CA4:CA795="Fruits a coque")*(CB4:CB795="EXCL")*(COUNTIF(AI174,"*"&amp;CC4:CC795&amp;"*")&gt;0)*1))</f>
        <v>0</v>
      </c>
      <c r="BA174" s="6625" cm="1">
        <f t="array" ref="BA174">IF(W174="",0,SUMPRODUCT((CA4:CA795="Fruits a coque")*(CB4:CB795="ALERTE")*(COUNTIF(AI174,"*"&amp;CC4:CC795&amp;"*")&gt;0)*1))</f>
        <v>0</v>
      </c>
      <c r="BB174" s="6625" cm="1">
        <f t="array" ref="BB174">IF(W174="",0,SUMPRODUCT((CA4:CA795="Celeri")*(CB4:CB795="ALERTE")*(COUNTIF(AI174,"*"&amp;CC4:CC795&amp;"*")&gt;0)*1))</f>
        <v>0</v>
      </c>
      <c r="BC174" s="6625" cm="1">
        <f t="array" ref="BC174">IF(W174="",0,SUMPRODUCT((CA4:CA795="Moutarde")*(CB4:CB795="ALERTE")*(COUNTIF(AI174,"*"&amp;CC4:CC795&amp;"*")&gt;0)*1))</f>
        <v>0</v>
      </c>
      <c r="BD174" s="6625" cm="1">
        <f t="array" ref="BD174">IF(W174="",0,SUMPRODUCT((CA4:CA795="Sesame")*(CB4:CB795="ALERTE")*(COUNTIF(AI174,"*"&amp;CC4:CC795&amp;"*")&gt;0)*1))</f>
        <v>0</v>
      </c>
      <c r="BE174" s="6625" cm="1">
        <f t="array" ref="BE174">IF(W174="",0,SUMPRODUCT((CA4:CA795="Sulfites")*(CB4:CB795="ALERTE")*(COUNTIF(AI174,"*"&amp;CC4:CC795&amp;"*")&gt;0)*1))</f>
        <v>0</v>
      </c>
      <c r="BF174" s="6625" cm="1">
        <f t="array" ref="BF174">IF(W174="",0,SUMPRODUCT((CA4:CA795="Lupin")*(CB4:CB795="ALERTE")*(COUNTIF(AI174,"*"&amp;CC4:CC795&amp;"*")&gt;0)*1))</f>
        <v>0</v>
      </c>
      <c r="BG174" s="6625" cm="1">
        <f t="array" ref="BG174">IF(W174="",0,SUMPRODUCT((CA4:CA795="Mollusques")*(CB4:CB795="EXCL")*(COUNTIF(AI174,"*"&amp;CC4:CC795&amp;"*")&gt;0)*1))</f>
        <v>0</v>
      </c>
      <c r="BH174" s="6625" cm="1">
        <f t="array" ref="BH174">IF(W174="",0,SUMPRODUCT((CA4:CA795="Mollusques")*(CB4:CB795="ALERTE")*(COUNTIF(AI174,"*"&amp;CC4:CC795&amp;"*")&gt;0)*1))</f>
        <v>0</v>
      </c>
      <c r="BI174" s="6625" t="str">
        <f t="shared" si="112"/>
        <v/>
      </c>
      <c r="BJ174" s="6625" t="str">
        <f t="shared" si="113"/>
        <v/>
      </c>
      <c r="BK174" s="6625" t="str">
        <f t="shared" si="114"/>
        <v/>
      </c>
      <c r="BL174" s="6625" t="str">
        <f t="shared" si="115"/>
        <v/>
      </c>
      <c r="BM174" s="6625" t="str">
        <f t="shared" si="116"/>
        <v/>
      </c>
      <c r="BN174" s="6625" t="str">
        <f t="shared" si="117"/>
        <v/>
      </c>
      <c r="BO174" s="6625" t="str">
        <f t="shared" si="118"/>
        <v/>
      </c>
      <c r="BP174" s="6625" t="str">
        <f t="shared" si="119"/>
        <v/>
      </c>
      <c r="BQ174" s="6625" t="str">
        <f t="shared" si="120"/>
        <v/>
      </c>
      <c r="BR174" s="6625" t="str">
        <f t="shared" si="121"/>
        <v/>
      </c>
      <c r="BS174" s="6625" t="str">
        <f t="shared" si="122"/>
        <v/>
      </c>
      <c r="BT174" s="6625" t="str">
        <f t="shared" si="123"/>
        <v/>
      </c>
      <c r="BU174" s="6625" t="str">
        <f t="shared" si="124"/>
        <v/>
      </c>
      <c r="BV174" s="6625" t="str">
        <f t="shared" si="125"/>
        <v/>
      </c>
      <c r="BW174" s="6625" t="str">
        <f t="shared" si="126"/>
        <v/>
      </c>
      <c r="BX174" s="6625" t="str">
        <f t="shared" si="127"/>
        <v/>
      </c>
      <c r="CA174" s="3170" t="s">
        <v>16629</v>
      </c>
      <c r="CB174" s="7634" t="s">
        <v>16255</v>
      </c>
      <c r="CC174" s="3170" t="s">
        <v>16675</v>
      </c>
      <c r="CD174" s="3170" t="s">
        <v>16676</v>
      </c>
    </row>
    <row r="175" spans="2:82" ht="30" customHeight="1">
      <c r="B175" s="7661" t="str">
        <f t="shared" si="88"/>
        <v/>
      </c>
      <c r="C175" s="7661" t="str">
        <f t="shared" si="89"/>
        <v/>
      </c>
      <c r="D175" s="7661" t="str">
        <f t="shared" si="90"/>
        <v/>
      </c>
      <c r="E175" s="7661">
        <f>IF(H174&lt;&gt;"",E174,IF(E174="","",IFERROR(MATCH(TRUE(),INDEX(INDEX($K:$K,E174+1):$K$203&lt;&gt;"",0),0)+E174,"")))</f>
        <v>350</v>
      </c>
      <c r="F175" s="7661">
        <f t="shared" si="128"/>
        <v>0</v>
      </c>
      <c r="G175" s="7661" t="str">
        <f t="shared" si="91"/>
        <v>0</v>
      </c>
      <c r="H175" s="7672" t="str">
        <f t="shared" si="92"/>
        <v/>
      </c>
      <c r="I175" s="7683" t="str">
        <f t="shared" si="93"/>
        <v/>
      </c>
      <c r="J175" s="7673" t="str">
        <f>IF(K175="","",COUNTIF($K$18:K175,"&lt;&gt;"))</f>
        <v/>
      </c>
      <c r="K175" s="7674"/>
      <c r="L175" s="7673" t="str">
        <f t="shared" si="94"/>
        <v/>
      </c>
      <c r="M175" s="7630">
        <f t="shared" si="95"/>
        <v>1</v>
      </c>
      <c r="N175" s="7675">
        <f t="shared" si="96"/>
        <v>158</v>
      </c>
      <c r="O175" s="7676" t="str">
        <f t="shared" si="97"/>
        <v>0</v>
      </c>
      <c r="P175" s="7675">
        <f t="shared" si="98"/>
        <v>1</v>
      </c>
      <c r="Q175" s="7675">
        <f t="shared" si="99"/>
        <v>1</v>
      </c>
      <c r="S175" s="7679" t="str">
        <f t="shared" si="129"/>
        <v>0</v>
      </c>
      <c r="T175" s="7680" t="str">
        <f t="shared" si="129"/>
        <v/>
      </c>
      <c r="V175" s="7677">
        <f t="shared" si="100"/>
        <v>175</v>
      </c>
      <c r="W175" s="7678" t="str">
        <f t="shared" si="130"/>
        <v>0</v>
      </c>
      <c r="X175" s="7677" t="s">
        <v>2</v>
      </c>
      <c r="Y175" s="7702" t="str">
        <f t="shared" si="101"/>
        <v>0</v>
      </c>
      <c r="Z175" s="7703" t="str">
        <f t="shared" si="102"/>
        <v/>
      </c>
      <c r="AA175" s="7681" t="str">
        <f t="shared" si="103"/>
        <v>0</v>
      </c>
      <c r="AB175" s="7682" t="str">
        <f t="shared" si="104"/>
        <v/>
      </c>
      <c r="AC175" s="7677">
        <f t="shared" si="105"/>
        <v>0</v>
      </c>
      <c r="AD175" s="7677">
        <f t="shared" si="106"/>
        <v>0</v>
      </c>
      <c r="AE175" s="7682" t="str">
        <f t="shared" si="107"/>
        <v>aucun match</v>
      </c>
      <c r="AF175" s="6625" t="str">
        <f t="shared" si="108"/>
        <v>0</v>
      </c>
      <c r="AG175" s="6625" t="str">
        <f t="shared" si="109"/>
        <v>0</v>
      </c>
      <c r="AH175" s="6625" t="str">
        <f t="shared" si="110"/>
        <v>0</v>
      </c>
      <c r="AI175" s="6625" t="str">
        <f t="shared" si="111"/>
        <v xml:space="preserve"> 0 </v>
      </c>
      <c r="AJ175" s="6625" cm="1">
        <f t="array" ref="AJ175">IF(W175="",0,SUMPRODUCT((CA4:CA795="Gluten")*(CB4:CB795="INFO")*(COUNTIF(AI175,"*"&amp;CC4:CC795&amp;"*")&gt;0)*1))</f>
        <v>0</v>
      </c>
      <c r="AK175" s="6625" cm="1">
        <f t="array" ref="AK175">IF(W175="",0,SUMPRODUCT((CA4:CA795="Gluten")*(CB4:CB795="EXCL")*(COUNTIF(AI175,"*"&amp;CC4:CC795&amp;"*")&gt;0)*1))</f>
        <v>0</v>
      </c>
      <c r="AL175" s="6625" cm="1">
        <f t="array" ref="AL175">IF(W175="",0,SUMPRODUCT((CA4:CA795="Gluten")*(CB4:CB795="ALERTE")*(COUNTIF(AI175,"*"&amp;CC4:CC795&amp;"*")&gt;0)*1))</f>
        <v>0</v>
      </c>
      <c r="AM175" s="6625" cm="1">
        <f t="array" ref="AM175">IF(W175="",0,SUMPRODUCT((CA4:CA795="Gluten")*(CB4:CB795="SUSP")*(COUNTIF(AI175,"*"&amp;CC4:CC795&amp;"*")&gt;0)*1))</f>
        <v>0</v>
      </c>
      <c r="AN175" s="6625" cm="1">
        <f t="array" ref="AN175">IF(W175="",0,SUMPRODUCT((CA4:CA795="Crustaces")*(CB4:CB795="ALERTE")*(COUNTIF(AI175,"*"&amp;CC4:CC795&amp;"*")&gt;0)*1))</f>
        <v>0</v>
      </c>
      <c r="AO175" s="6625" cm="1">
        <f t="array" ref="AO175">IF(W175="",0,SUMPRODUCT((CA4:CA795="Oeufs")*(CB4:CB795="ALERTE")*(COUNTIF(AI175,"*"&amp;CC4:CC795&amp;"*")&gt;0)*1))</f>
        <v>0</v>
      </c>
      <c r="AP175" s="6625" cm="1">
        <f t="array" ref="AP175">IF(W175="",0,SUMPRODUCT((CA4:CA795="Poissons")*(CB4:CB795="INFO")*(COUNTIF(AI175,"*"&amp;CC4:CC795&amp;"*")&gt;0)*1))</f>
        <v>0</v>
      </c>
      <c r="AQ175" s="6625" cm="1">
        <f t="array" ref="AQ175">IF(W175="",0,SUMPRODUCT((CA4:CA795="Poissons")*(CB4:CB795="EXCL")*(COUNTIF(AI175,"*"&amp;CC4:CC795&amp;"*")&gt;0)*1))</f>
        <v>0</v>
      </c>
      <c r="AR175" s="6625" cm="1">
        <f t="array" ref="AR175">IF(W175="",0,SUMPRODUCT((CA4:CA795="Poissons")*(CB4:CB795="ALERTE")*(COUNTIF(AI175,"*"&amp;CC4:CC795&amp;"*")&gt;0)*1))</f>
        <v>0</v>
      </c>
      <c r="AS175" s="6625" cm="1">
        <f t="array" ref="AS175">IF(W175="",0,SUMPRODUCT((CA4:CA795="Arachides")*(CB4:CB795="ALERTE")*(COUNTIF(AI175,"*"&amp;CC4:CC795&amp;"*")&gt;0)*1))</f>
        <v>0</v>
      </c>
      <c r="AT175" s="6625" cm="1">
        <f t="array" ref="AT175">IF(W175="",0,SUMPRODUCT((CA4:CA795="Soja")*(CB4:CB795="INFO")*(COUNTIF(AI175,"*"&amp;CC4:CC795&amp;"*")&gt;0)*1))</f>
        <v>0</v>
      </c>
      <c r="AU175" s="6625" cm="1">
        <f t="array" ref="AU175">IF(W175="",0,SUMPRODUCT((CA4:CA795="Soja")*(CB4:CB795="ALERTE")*(COUNTIF(AI175,"*"&amp;CC4:CC795&amp;"*")&gt;0)*1))</f>
        <v>0</v>
      </c>
      <c r="AV175" s="6625" cm="1">
        <f t="array" ref="AV175">IF(W175="",0,SUMPRODUCT((CA4:CA795="Lait")*(CB4:CB795="INFO")*(COUNTIF(AI175,"*"&amp;CC4:CC795&amp;"*")&gt;0)*1))</f>
        <v>0</v>
      </c>
      <c r="AW175" s="6625" cm="1">
        <f t="array" ref="AW175">IF(W175="",0,SUMPRODUCT((CA4:CA795="Lait")*(CB4:CB795="EXCL")*(COUNTIF(AI175,"*"&amp;CC4:CC795&amp;"*")&gt;0)*1))</f>
        <v>0</v>
      </c>
      <c r="AX175" s="6625" cm="1">
        <f t="array" ref="AX175">IF(W175="",0,SUMPRODUCT((CA4:CA795="Lait")*(CB4:CB795="ALERTE")*(COUNTIF(AI175,"*"&amp;CC4:CC795&amp;"*")&gt;0)*1))</f>
        <v>0</v>
      </c>
      <c r="AY175" s="6625" cm="1">
        <f t="array" ref="AY175">IF(W175="",0,SUMPRODUCT((CA4:CA795="Lait")*(CB4:CB795="SUSP")*(COUNTIF(AI175,"*"&amp;CC4:CC795&amp;"*")&gt;0)*1))</f>
        <v>0</v>
      </c>
      <c r="AZ175" s="6625" cm="1">
        <f t="array" ref="AZ175">IF(W175="",0,SUMPRODUCT((CA4:CA795="Fruits a coque")*(CB4:CB795="EXCL")*(COUNTIF(AI175,"*"&amp;CC4:CC795&amp;"*")&gt;0)*1))</f>
        <v>0</v>
      </c>
      <c r="BA175" s="6625" cm="1">
        <f t="array" ref="BA175">IF(W175="",0,SUMPRODUCT((CA4:CA795="Fruits a coque")*(CB4:CB795="ALERTE")*(COUNTIF(AI175,"*"&amp;CC4:CC795&amp;"*")&gt;0)*1))</f>
        <v>0</v>
      </c>
      <c r="BB175" s="6625" cm="1">
        <f t="array" ref="BB175">IF(W175="",0,SUMPRODUCT((CA4:CA795="Celeri")*(CB4:CB795="ALERTE")*(COUNTIF(AI175,"*"&amp;CC4:CC795&amp;"*")&gt;0)*1))</f>
        <v>0</v>
      </c>
      <c r="BC175" s="6625" cm="1">
        <f t="array" ref="BC175">IF(W175="",0,SUMPRODUCT((CA4:CA795="Moutarde")*(CB4:CB795="ALERTE")*(COUNTIF(AI175,"*"&amp;CC4:CC795&amp;"*")&gt;0)*1))</f>
        <v>0</v>
      </c>
      <c r="BD175" s="6625" cm="1">
        <f t="array" ref="BD175">IF(W175="",0,SUMPRODUCT((CA4:CA795="Sesame")*(CB4:CB795="ALERTE")*(COUNTIF(AI175,"*"&amp;CC4:CC795&amp;"*")&gt;0)*1))</f>
        <v>0</v>
      </c>
      <c r="BE175" s="6625" cm="1">
        <f t="array" ref="BE175">IF(W175="",0,SUMPRODUCT((CA4:CA795="Sulfites")*(CB4:CB795="ALERTE")*(COUNTIF(AI175,"*"&amp;CC4:CC795&amp;"*")&gt;0)*1))</f>
        <v>0</v>
      </c>
      <c r="BF175" s="6625" cm="1">
        <f t="array" ref="BF175">IF(W175="",0,SUMPRODUCT((CA4:CA795="Lupin")*(CB4:CB795="ALERTE")*(COUNTIF(AI175,"*"&amp;CC4:CC795&amp;"*")&gt;0)*1))</f>
        <v>0</v>
      </c>
      <c r="BG175" s="6625" cm="1">
        <f t="array" ref="BG175">IF(W175="",0,SUMPRODUCT((CA4:CA795="Mollusques")*(CB4:CB795="EXCL")*(COUNTIF(AI175,"*"&amp;CC4:CC795&amp;"*")&gt;0)*1))</f>
        <v>0</v>
      </c>
      <c r="BH175" s="6625" cm="1">
        <f t="array" ref="BH175">IF(W175="",0,SUMPRODUCT((CA4:CA795="Mollusques")*(CB4:CB795="ALERTE")*(COUNTIF(AI175,"*"&amp;CC4:CC795&amp;"*")&gt;0)*1))</f>
        <v>0</v>
      </c>
      <c r="BI175" s="6625" t="str">
        <f t="shared" si="112"/>
        <v/>
      </c>
      <c r="BJ175" s="6625" t="str">
        <f t="shared" si="113"/>
        <v/>
      </c>
      <c r="BK175" s="6625" t="str">
        <f t="shared" si="114"/>
        <v/>
      </c>
      <c r="BL175" s="6625" t="str">
        <f t="shared" si="115"/>
        <v/>
      </c>
      <c r="BM175" s="6625" t="str">
        <f t="shared" si="116"/>
        <v/>
      </c>
      <c r="BN175" s="6625" t="str">
        <f t="shared" si="117"/>
        <v/>
      </c>
      <c r="BO175" s="6625" t="str">
        <f t="shared" si="118"/>
        <v/>
      </c>
      <c r="BP175" s="6625" t="str">
        <f t="shared" si="119"/>
        <v/>
      </c>
      <c r="BQ175" s="6625" t="str">
        <f t="shared" si="120"/>
        <v/>
      </c>
      <c r="BR175" s="6625" t="str">
        <f t="shared" si="121"/>
        <v/>
      </c>
      <c r="BS175" s="6625" t="str">
        <f t="shared" si="122"/>
        <v/>
      </c>
      <c r="BT175" s="6625" t="str">
        <f t="shared" si="123"/>
        <v/>
      </c>
      <c r="BU175" s="6625" t="str">
        <f t="shared" si="124"/>
        <v/>
      </c>
      <c r="BV175" s="6625" t="str">
        <f t="shared" si="125"/>
        <v/>
      </c>
      <c r="BW175" s="6625" t="str">
        <f t="shared" si="126"/>
        <v/>
      </c>
      <c r="BX175" s="6625" t="str">
        <f t="shared" si="127"/>
        <v/>
      </c>
      <c r="CA175" s="3170" t="s">
        <v>16629</v>
      </c>
      <c r="CB175" s="7634" t="s">
        <v>16255</v>
      </c>
      <c r="CC175" s="3170" t="s">
        <v>16677</v>
      </c>
      <c r="CD175" s="3170" t="s">
        <v>16678</v>
      </c>
    </row>
    <row r="176" spans="2:82" ht="30" customHeight="1">
      <c r="B176" s="7661" t="str">
        <f t="shared" si="88"/>
        <v/>
      </c>
      <c r="C176" s="7661" t="str">
        <f t="shared" si="89"/>
        <v/>
      </c>
      <c r="D176" s="7661" t="str">
        <f t="shared" si="90"/>
        <v/>
      </c>
      <c r="E176" s="7661">
        <f>IF(H175&lt;&gt;"",E175,IF(E175="","",IFERROR(MATCH(TRUE(),INDEX(INDEX($K:$K,E175+1):$K$203&lt;&gt;"",0),0)+E175,"")))</f>
        <v>351</v>
      </c>
      <c r="F176" s="7661">
        <f t="shared" si="128"/>
        <v>0</v>
      </c>
      <c r="G176" s="7661" t="str">
        <f t="shared" si="91"/>
        <v>0</v>
      </c>
      <c r="H176" s="7672" t="str">
        <f t="shared" si="92"/>
        <v/>
      </c>
      <c r="I176" s="7683" t="str">
        <f t="shared" si="93"/>
        <v/>
      </c>
      <c r="J176" s="7673" t="str">
        <f>IF(K176="","",COUNTIF($K$18:K176,"&lt;&gt;"))</f>
        <v/>
      </c>
      <c r="K176" s="7674"/>
      <c r="L176" s="7673" t="str">
        <f t="shared" si="94"/>
        <v/>
      </c>
      <c r="M176" s="7630">
        <f t="shared" si="95"/>
        <v>1</v>
      </c>
      <c r="N176" s="7675">
        <f t="shared" si="96"/>
        <v>159</v>
      </c>
      <c r="O176" s="7676" t="str">
        <f t="shared" si="97"/>
        <v>0</v>
      </c>
      <c r="P176" s="7675">
        <f t="shared" si="98"/>
        <v>1</v>
      </c>
      <c r="Q176" s="7675">
        <f t="shared" si="99"/>
        <v>1</v>
      </c>
      <c r="S176" s="7679" t="str">
        <f t="shared" si="129"/>
        <v>0</v>
      </c>
      <c r="T176" s="7680" t="str">
        <f t="shared" si="129"/>
        <v/>
      </c>
      <c r="V176" s="7677">
        <f t="shared" si="100"/>
        <v>176</v>
      </c>
      <c r="W176" s="7678" t="str">
        <f t="shared" si="130"/>
        <v>0</v>
      </c>
      <c r="X176" s="7677" t="s">
        <v>2</v>
      </c>
      <c r="Y176" s="7702" t="str">
        <f t="shared" si="101"/>
        <v>0</v>
      </c>
      <c r="Z176" s="7703" t="str">
        <f t="shared" si="102"/>
        <v/>
      </c>
      <c r="AA176" s="7681" t="str">
        <f t="shared" si="103"/>
        <v>0</v>
      </c>
      <c r="AB176" s="7682" t="str">
        <f t="shared" si="104"/>
        <v/>
      </c>
      <c r="AC176" s="7677">
        <f t="shared" si="105"/>
        <v>0</v>
      </c>
      <c r="AD176" s="7677">
        <f t="shared" si="106"/>
        <v>0</v>
      </c>
      <c r="AE176" s="7682" t="str">
        <f t="shared" si="107"/>
        <v>aucun match</v>
      </c>
      <c r="AF176" s="6625" t="str">
        <f t="shared" si="108"/>
        <v>0</v>
      </c>
      <c r="AG176" s="6625" t="str">
        <f t="shared" si="109"/>
        <v>0</v>
      </c>
      <c r="AH176" s="6625" t="str">
        <f t="shared" si="110"/>
        <v>0</v>
      </c>
      <c r="AI176" s="6625" t="str">
        <f t="shared" si="111"/>
        <v xml:space="preserve"> 0 </v>
      </c>
      <c r="AJ176" s="6625" cm="1">
        <f t="array" ref="AJ176">IF(W176="",0,SUMPRODUCT((CA4:CA795="Gluten")*(CB4:CB795="INFO")*(COUNTIF(AI176,"*"&amp;CC4:CC795&amp;"*")&gt;0)*1))</f>
        <v>0</v>
      </c>
      <c r="AK176" s="6625" cm="1">
        <f t="array" ref="AK176">IF(W176="",0,SUMPRODUCT((CA4:CA795="Gluten")*(CB4:CB795="EXCL")*(COUNTIF(AI176,"*"&amp;CC4:CC795&amp;"*")&gt;0)*1))</f>
        <v>0</v>
      </c>
      <c r="AL176" s="6625" cm="1">
        <f t="array" ref="AL176">IF(W176="",0,SUMPRODUCT((CA4:CA795="Gluten")*(CB4:CB795="ALERTE")*(COUNTIF(AI176,"*"&amp;CC4:CC795&amp;"*")&gt;0)*1))</f>
        <v>0</v>
      </c>
      <c r="AM176" s="6625" cm="1">
        <f t="array" ref="AM176">IF(W176="",0,SUMPRODUCT((CA4:CA795="Gluten")*(CB4:CB795="SUSP")*(COUNTIF(AI176,"*"&amp;CC4:CC795&amp;"*")&gt;0)*1))</f>
        <v>0</v>
      </c>
      <c r="AN176" s="6625" cm="1">
        <f t="array" ref="AN176">IF(W176="",0,SUMPRODUCT((CA4:CA795="Crustaces")*(CB4:CB795="ALERTE")*(COUNTIF(AI176,"*"&amp;CC4:CC795&amp;"*")&gt;0)*1))</f>
        <v>0</v>
      </c>
      <c r="AO176" s="6625" cm="1">
        <f t="array" ref="AO176">IF(W176="",0,SUMPRODUCT((CA4:CA795="Oeufs")*(CB4:CB795="ALERTE")*(COUNTIF(AI176,"*"&amp;CC4:CC795&amp;"*")&gt;0)*1))</f>
        <v>0</v>
      </c>
      <c r="AP176" s="6625" cm="1">
        <f t="array" ref="AP176">IF(W176="",0,SUMPRODUCT((CA4:CA795="Poissons")*(CB4:CB795="INFO")*(COUNTIF(AI176,"*"&amp;CC4:CC795&amp;"*")&gt;0)*1))</f>
        <v>0</v>
      </c>
      <c r="AQ176" s="6625" cm="1">
        <f t="array" ref="AQ176">IF(W176="",0,SUMPRODUCT((CA4:CA795="Poissons")*(CB4:CB795="EXCL")*(COUNTIF(AI176,"*"&amp;CC4:CC795&amp;"*")&gt;0)*1))</f>
        <v>0</v>
      </c>
      <c r="AR176" s="6625" cm="1">
        <f t="array" ref="AR176">IF(W176="",0,SUMPRODUCT((CA4:CA795="Poissons")*(CB4:CB795="ALERTE")*(COUNTIF(AI176,"*"&amp;CC4:CC795&amp;"*")&gt;0)*1))</f>
        <v>0</v>
      </c>
      <c r="AS176" s="6625" cm="1">
        <f t="array" ref="AS176">IF(W176="",0,SUMPRODUCT((CA4:CA795="Arachides")*(CB4:CB795="ALERTE")*(COUNTIF(AI176,"*"&amp;CC4:CC795&amp;"*")&gt;0)*1))</f>
        <v>0</v>
      </c>
      <c r="AT176" s="6625" cm="1">
        <f t="array" ref="AT176">IF(W176="",0,SUMPRODUCT((CA4:CA795="Soja")*(CB4:CB795="INFO")*(COUNTIF(AI176,"*"&amp;CC4:CC795&amp;"*")&gt;0)*1))</f>
        <v>0</v>
      </c>
      <c r="AU176" s="6625" cm="1">
        <f t="array" ref="AU176">IF(W176="",0,SUMPRODUCT((CA4:CA795="Soja")*(CB4:CB795="ALERTE")*(COUNTIF(AI176,"*"&amp;CC4:CC795&amp;"*")&gt;0)*1))</f>
        <v>0</v>
      </c>
      <c r="AV176" s="6625" cm="1">
        <f t="array" ref="AV176">IF(W176="",0,SUMPRODUCT((CA4:CA795="Lait")*(CB4:CB795="INFO")*(COUNTIF(AI176,"*"&amp;CC4:CC795&amp;"*")&gt;0)*1))</f>
        <v>0</v>
      </c>
      <c r="AW176" s="6625" cm="1">
        <f t="array" ref="AW176">IF(W176="",0,SUMPRODUCT((CA4:CA795="Lait")*(CB4:CB795="EXCL")*(COUNTIF(AI176,"*"&amp;CC4:CC795&amp;"*")&gt;0)*1))</f>
        <v>0</v>
      </c>
      <c r="AX176" s="6625" cm="1">
        <f t="array" ref="AX176">IF(W176="",0,SUMPRODUCT((CA4:CA795="Lait")*(CB4:CB795="ALERTE")*(COUNTIF(AI176,"*"&amp;CC4:CC795&amp;"*")&gt;0)*1))</f>
        <v>0</v>
      </c>
      <c r="AY176" s="6625" cm="1">
        <f t="array" ref="AY176">IF(W176="",0,SUMPRODUCT((CA4:CA795="Lait")*(CB4:CB795="SUSP")*(COUNTIF(AI176,"*"&amp;CC4:CC795&amp;"*")&gt;0)*1))</f>
        <v>0</v>
      </c>
      <c r="AZ176" s="6625" cm="1">
        <f t="array" ref="AZ176">IF(W176="",0,SUMPRODUCT((CA4:CA795="Fruits a coque")*(CB4:CB795="EXCL")*(COUNTIF(AI176,"*"&amp;CC4:CC795&amp;"*")&gt;0)*1))</f>
        <v>0</v>
      </c>
      <c r="BA176" s="6625" cm="1">
        <f t="array" ref="BA176">IF(W176="",0,SUMPRODUCT((CA4:CA795="Fruits a coque")*(CB4:CB795="ALERTE")*(COUNTIF(AI176,"*"&amp;CC4:CC795&amp;"*")&gt;0)*1))</f>
        <v>0</v>
      </c>
      <c r="BB176" s="6625" cm="1">
        <f t="array" ref="BB176">IF(W176="",0,SUMPRODUCT((CA4:CA795="Celeri")*(CB4:CB795="ALERTE")*(COUNTIF(AI176,"*"&amp;CC4:CC795&amp;"*")&gt;0)*1))</f>
        <v>0</v>
      </c>
      <c r="BC176" s="6625" cm="1">
        <f t="array" ref="BC176">IF(W176="",0,SUMPRODUCT((CA4:CA795="Moutarde")*(CB4:CB795="ALERTE")*(COUNTIF(AI176,"*"&amp;CC4:CC795&amp;"*")&gt;0)*1))</f>
        <v>0</v>
      </c>
      <c r="BD176" s="6625" cm="1">
        <f t="array" ref="BD176">IF(W176="",0,SUMPRODUCT((CA4:CA795="Sesame")*(CB4:CB795="ALERTE")*(COUNTIF(AI176,"*"&amp;CC4:CC795&amp;"*")&gt;0)*1))</f>
        <v>0</v>
      </c>
      <c r="BE176" s="6625" cm="1">
        <f t="array" ref="BE176">IF(W176="",0,SUMPRODUCT((CA4:CA795="Sulfites")*(CB4:CB795="ALERTE")*(COUNTIF(AI176,"*"&amp;CC4:CC795&amp;"*")&gt;0)*1))</f>
        <v>0</v>
      </c>
      <c r="BF176" s="6625" cm="1">
        <f t="array" ref="BF176">IF(W176="",0,SUMPRODUCT((CA4:CA795="Lupin")*(CB4:CB795="ALERTE")*(COUNTIF(AI176,"*"&amp;CC4:CC795&amp;"*")&gt;0)*1))</f>
        <v>0</v>
      </c>
      <c r="BG176" s="6625" cm="1">
        <f t="array" ref="BG176">IF(W176="",0,SUMPRODUCT((CA4:CA795="Mollusques")*(CB4:CB795="EXCL")*(COUNTIF(AI176,"*"&amp;CC4:CC795&amp;"*")&gt;0)*1))</f>
        <v>0</v>
      </c>
      <c r="BH176" s="6625" cm="1">
        <f t="array" ref="BH176">IF(W176="",0,SUMPRODUCT((CA4:CA795="Mollusques")*(CB4:CB795="ALERTE")*(COUNTIF(AI176,"*"&amp;CC4:CC795&amp;"*")&gt;0)*1))</f>
        <v>0</v>
      </c>
      <c r="BI176" s="6625" t="str">
        <f t="shared" si="112"/>
        <v/>
      </c>
      <c r="BJ176" s="6625" t="str">
        <f t="shared" si="113"/>
        <v/>
      </c>
      <c r="BK176" s="6625" t="str">
        <f t="shared" si="114"/>
        <v/>
      </c>
      <c r="BL176" s="6625" t="str">
        <f t="shared" si="115"/>
        <v/>
      </c>
      <c r="BM176" s="6625" t="str">
        <f t="shared" si="116"/>
        <v/>
      </c>
      <c r="BN176" s="6625" t="str">
        <f t="shared" si="117"/>
        <v/>
      </c>
      <c r="BO176" s="6625" t="str">
        <f t="shared" si="118"/>
        <v/>
      </c>
      <c r="BP176" s="6625" t="str">
        <f t="shared" si="119"/>
        <v/>
      </c>
      <c r="BQ176" s="6625" t="str">
        <f t="shared" si="120"/>
        <v/>
      </c>
      <c r="BR176" s="6625" t="str">
        <f t="shared" si="121"/>
        <v/>
      </c>
      <c r="BS176" s="6625" t="str">
        <f t="shared" si="122"/>
        <v/>
      </c>
      <c r="BT176" s="6625" t="str">
        <f t="shared" si="123"/>
        <v/>
      </c>
      <c r="BU176" s="6625" t="str">
        <f t="shared" si="124"/>
        <v/>
      </c>
      <c r="BV176" s="6625" t="str">
        <f t="shared" si="125"/>
        <v/>
      </c>
      <c r="BW176" s="6625" t="str">
        <f t="shared" si="126"/>
        <v/>
      </c>
      <c r="BX176" s="6625" t="str">
        <f t="shared" si="127"/>
        <v/>
      </c>
      <c r="CA176" s="3170" t="s">
        <v>16629</v>
      </c>
      <c r="CB176" s="7634" t="s">
        <v>16255</v>
      </c>
      <c r="CC176" s="3170" t="s">
        <v>16679</v>
      </c>
      <c r="CD176" s="3170" t="s">
        <v>16680</v>
      </c>
    </row>
    <row r="177" spans="2:82" ht="30" customHeight="1">
      <c r="B177" s="7661" t="str">
        <f t="shared" si="88"/>
        <v/>
      </c>
      <c r="C177" s="7661" t="str">
        <f t="shared" si="89"/>
        <v/>
      </c>
      <c r="D177" s="7661" t="str">
        <f t="shared" si="90"/>
        <v/>
      </c>
      <c r="E177" s="7661">
        <f>IF(H176&lt;&gt;"",E176,IF(E176="","",IFERROR(MATCH(TRUE(),INDEX(INDEX($K:$K,E176+1):$K$203&lt;&gt;"",0),0)+E176,"")))</f>
        <v>352</v>
      </c>
      <c r="F177" s="7661">
        <f t="shared" si="128"/>
        <v>0</v>
      </c>
      <c r="G177" s="7661" t="str">
        <f t="shared" si="91"/>
        <v>0</v>
      </c>
      <c r="H177" s="7672" t="str">
        <f t="shared" si="92"/>
        <v/>
      </c>
      <c r="I177" s="7683" t="str">
        <f t="shared" si="93"/>
        <v/>
      </c>
      <c r="J177" s="7673" t="str">
        <f>IF(K177="","",COUNTIF($K$18:K177,"&lt;&gt;"))</f>
        <v/>
      </c>
      <c r="K177" s="7674"/>
      <c r="L177" s="7673" t="str">
        <f t="shared" si="94"/>
        <v/>
      </c>
      <c r="M177" s="7630">
        <f t="shared" si="95"/>
        <v>1</v>
      </c>
      <c r="N177" s="7675">
        <f t="shared" si="96"/>
        <v>160</v>
      </c>
      <c r="O177" s="7676" t="str">
        <f t="shared" si="97"/>
        <v>0</v>
      </c>
      <c r="P177" s="7675">
        <f t="shared" si="98"/>
        <v>1</v>
      </c>
      <c r="Q177" s="7675">
        <f t="shared" si="99"/>
        <v>1</v>
      </c>
      <c r="S177" s="7679" t="str">
        <f t="shared" si="129"/>
        <v>0</v>
      </c>
      <c r="T177" s="7680" t="str">
        <f t="shared" si="129"/>
        <v/>
      </c>
      <c r="V177" s="7677">
        <f t="shared" si="100"/>
        <v>177</v>
      </c>
      <c r="W177" s="7678" t="str">
        <f t="shared" si="130"/>
        <v>0</v>
      </c>
      <c r="X177" s="7677" t="s">
        <v>2</v>
      </c>
      <c r="Y177" s="7702" t="str">
        <f t="shared" si="101"/>
        <v>0</v>
      </c>
      <c r="Z177" s="7703" t="str">
        <f t="shared" si="102"/>
        <v/>
      </c>
      <c r="AA177" s="7681" t="str">
        <f t="shared" si="103"/>
        <v>0</v>
      </c>
      <c r="AB177" s="7682" t="str">
        <f t="shared" si="104"/>
        <v/>
      </c>
      <c r="AC177" s="7677">
        <f t="shared" si="105"/>
        <v>0</v>
      </c>
      <c r="AD177" s="7677">
        <f t="shared" si="106"/>
        <v>0</v>
      </c>
      <c r="AE177" s="7682" t="str">
        <f t="shared" si="107"/>
        <v>aucun match</v>
      </c>
      <c r="AF177" s="6625" t="str">
        <f t="shared" si="108"/>
        <v>0</v>
      </c>
      <c r="AG177" s="6625" t="str">
        <f t="shared" si="109"/>
        <v>0</v>
      </c>
      <c r="AH177" s="6625" t="str">
        <f t="shared" si="110"/>
        <v>0</v>
      </c>
      <c r="AI177" s="6625" t="str">
        <f t="shared" si="111"/>
        <v xml:space="preserve"> 0 </v>
      </c>
      <c r="AJ177" s="6625" cm="1">
        <f t="array" ref="AJ177">IF(W177="",0,SUMPRODUCT((CA4:CA795="Gluten")*(CB4:CB795="INFO")*(COUNTIF(AI177,"*"&amp;CC4:CC795&amp;"*")&gt;0)*1))</f>
        <v>0</v>
      </c>
      <c r="AK177" s="6625" cm="1">
        <f t="array" ref="AK177">IF(W177="",0,SUMPRODUCT((CA4:CA795="Gluten")*(CB4:CB795="EXCL")*(COUNTIF(AI177,"*"&amp;CC4:CC795&amp;"*")&gt;0)*1))</f>
        <v>0</v>
      </c>
      <c r="AL177" s="6625" cm="1">
        <f t="array" ref="AL177">IF(W177="",0,SUMPRODUCT((CA4:CA795="Gluten")*(CB4:CB795="ALERTE")*(COUNTIF(AI177,"*"&amp;CC4:CC795&amp;"*")&gt;0)*1))</f>
        <v>0</v>
      </c>
      <c r="AM177" s="6625" cm="1">
        <f t="array" ref="AM177">IF(W177="",0,SUMPRODUCT((CA4:CA795="Gluten")*(CB4:CB795="SUSP")*(COUNTIF(AI177,"*"&amp;CC4:CC795&amp;"*")&gt;0)*1))</f>
        <v>0</v>
      </c>
      <c r="AN177" s="6625" cm="1">
        <f t="array" ref="AN177">IF(W177="",0,SUMPRODUCT((CA4:CA795="Crustaces")*(CB4:CB795="ALERTE")*(COUNTIF(AI177,"*"&amp;CC4:CC795&amp;"*")&gt;0)*1))</f>
        <v>0</v>
      </c>
      <c r="AO177" s="6625" cm="1">
        <f t="array" ref="AO177">IF(W177="",0,SUMPRODUCT((CA4:CA795="Oeufs")*(CB4:CB795="ALERTE")*(COUNTIF(AI177,"*"&amp;CC4:CC795&amp;"*")&gt;0)*1))</f>
        <v>0</v>
      </c>
      <c r="AP177" s="6625" cm="1">
        <f t="array" ref="AP177">IF(W177="",0,SUMPRODUCT((CA4:CA795="Poissons")*(CB4:CB795="INFO")*(COUNTIF(AI177,"*"&amp;CC4:CC795&amp;"*")&gt;0)*1))</f>
        <v>0</v>
      </c>
      <c r="AQ177" s="6625" cm="1">
        <f t="array" ref="AQ177">IF(W177="",0,SUMPRODUCT((CA4:CA795="Poissons")*(CB4:CB795="EXCL")*(COUNTIF(AI177,"*"&amp;CC4:CC795&amp;"*")&gt;0)*1))</f>
        <v>0</v>
      </c>
      <c r="AR177" s="6625" cm="1">
        <f t="array" ref="AR177">IF(W177="",0,SUMPRODUCT((CA4:CA795="Poissons")*(CB4:CB795="ALERTE")*(COUNTIF(AI177,"*"&amp;CC4:CC795&amp;"*")&gt;0)*1))</f>
        <v>0</v>
      </c>
      <c r="AS177" s="6625" cm="1">
        <f t="array" ref="AS177">IF(W177="",0,SUMPRODUCT((CA4:CA795="Arachides")*(CB4:CB795="ALERTE")*(COUNTIF(AI177,"*"&amp;CC4:CC795&amp;"*")&gt;0)*1))</f>
        <v>0</v>
      </c>
      <c r="AT177" s="6625" cm="1">
        <f t="array" ref="AT177">IF(W177="",0,SUMPRODUCT((CA4:CA795="Soja")*(CB4:CB795="INFO")*(COUNTIF(AI177,"*"&amp;CC4:CC795&amp;"*")&gt;0)*1))</f>
        <v>0</v>
      </c>
      <c r="AU177" s="6625" cm="1">
        <f t="array" ref="AU177">IF(W177="",0,SUMPRODUCT((CA4:CA795="Soja")*(CB4:CB795="ALERTE")*(COUNTIF(AI177,"*"&amp;CC4:CC795&amp;"*")&gt;0)*1))</f>
        <v>0</v>
      </c>
      <c r="AV177" s="6625" cm="1">
        <f t="array" ref="AV177">IF(W177="",0,SUMPRODUCT((CA4:CA795="Lait")*(CB4:CB795="INFO")*(COUNTIF(AI177,"*"&amp;CC4:CC795&amp;"*")&gt;0)*1))</f>
        <v>0</v>
      </c>
      <c r="AW177" s="6625" cm="1">
        <f t="array" ref="AW177">IF(W177="",0,SUMPRODUCT((CA4:CA795="Lait")*(CB4:CB795="EXCL")*(COUNTIF(AI177,"*"&amp;CC4:CC795&amp;"*")&gt;0)*1))</f>
        <v>0</v>
      </c>
      <c r="AX177" s="6625" cm="1">
        <f t="array" ref="AX177">IF(W177="",0,SUMPRODUCT((CA4:CA795="Lait")*(CB4:CB795="ALERTE")*(COUNTIF(AI177,"*"&amp;CC4:CC795&amp;"*")&gt;0)*1))</f>
        <v>0</v>
      </c>
      <c r="AY177" s="6625" cm="1">
        <f t="array" ref="AY177">IF(W177="",0,SUMPRODUCT((CA4:CA795="Lait")*(CB4:CB795="SUSP")*(COUNTIF(AI177,"*"&amp;CC4:CC795&amp;"*")&gt;0)*1))</f>
        <v>0</v>
      </c>
      <c r="AZ177" s="6625" cm="1">
        <f t="array" ref="AZ177">IF(W177="",0,SUMPRODUCT((CA4:CA795="Fruits a coque")*(CB4:CB795="EXCL")*(COUNTIF(AI177,"*"&amp;CC4:CC795&amp;"*")&gt;0)*1))</f>
        <v>0</v>
      </c>
      <c r="BA177" s="6625" cm="1">
        <f t="array" ref="BA177">IF(W177="",0,SUMPRODUCT((CA4:CA795="Fruits a coque")*(CB4:CB795="ALERTE")*(COUNTIF(AI177,"*"&amp;CC4:CC795&amp;"*")&gt;0)*1))</f>
        <v>0</v>
      </c>
      <c r="BB177" s="6625" cm="1">
        <f t="array" ref="BB177">IF(W177="",0,SUMPRODUCT((CA4:CA795="Celeri")*(CB4:CB795="ALERTE")*(COUNTIF(AI177,"*"&amp;CC4:CC795&amp;"*")&gt;0)*1))</f>
        <v>0</v>
      </c>
      <c r="BC177" s="6625" cm="1">
        <f t="array" ref="BC177">IF(W177="",0,SUMPRODUCT((CA4:CA795="Moutarde")*(CB4:CB795="ALERTE")*(COUNTIF(AI177,"*"&amp;CC4:CC795&amp;"*")&gt;0)*1))</f>
        <v>0</v>
      </c>
      <c r="BD177" s="6625" cm="1">
        <f t="array" ref="BD177">IF(W177="",0,SUMPRODUCT((CA4:CA795="Sesame")*(CB4:CB795="ALERTE")*(COUNTIF(AI177,"*"&amp;CC4:CC795&amp;"*")&gt;0)*1))</f>
        <v>0</v>
      </c>
      <c r="BE177" s="6625" cm="1">
        <f t="array" ref="BE177">IF(W177="",0,SUMPRODUCT((CA4:CA795="Sulfites")*(CB4:CB795="ALERTE")*(COUNTIF(AI177,"*"&amp;CC4:CC795&amp;"*")&gt;0)*1))</f>
        <v>0</v>
      </c>
      <c r="BF177" s="6625" cm="1">
        <f t="array" ref="BF177">IF(W177="",0,SUMPRODUCT((CA4:CA795="Lupin")*(CB4:CB795="ALERTE")*(COUNTIF(AI177,"*"&amp;CC4:CC795&amp;"*")&gt;0)*1))</f>
        <v>0</v>
      </c>
      <c r="BG177" s="6625" cm="1">
        <f t="array" ref="BG177">IF(W177="",0,SUMPRODUCT((CA4:CA795="Mollusques")*(CB4:CB795="EXCL")*(COUNTIF(AI177,"*"&amp;CC4:CC795&amp;"*")&gt;0)*1))</f>
        <v>0</v>
      </c>
      <c r="BH177" s="6625" cm="1">
        <f t="array" ref="BH177">IF(W177="",0,SUMPRODUCT((CA4:CA795="Mollusques")*(CB4:CB795="ALERTE")*(COUNTIF(AI177,"*"&amp;CC4:CC795&amp;"*")&gt;0)*1))</f>
        <v>0</v>
      </c>
      <c r="BI177" s="6625" t="str">
        <f t="shared" si="112"/>
        <v/>
      </c>
      <c r="BJ177" s="6625" t="str">
        <f t="shared" si="113"/>
        <v/>
      </c>
      <c r="BK177" s="6625" t="str">
        <f t="shared" si="114"/>
        <v/>
      </c>
      <c r="BL177" s="6625" t="str">
        <f t="shared" si="115"/>
        <v/>
      </c>
      <c r="BM177" s="6625" t="str">
        <f t="shared" si="116"/>
        <v/>
      </c>
      <c r="BN177" s="6625" t="str">
        <f t="shared" si="117"/>
        <v/>
      </c>
      <c r="BO177" s="6625" t="str">
        <f t="shared" si="118"/>
        <v/>
      </c>
      <c r="BP177" s="6625" t="str">
        <f t="shared" si="119"/>
        <v/>
      </c>
      <c r="BQ177" s="6625" t="str">
        <f t="shared" si="120"/>
        <v/>
      </c>
      <c r="BR177" s="6625" t="str">
        <f t="shared" si="121"/>
        <v/>
      </c>
      <c r="BS177" s="6625" t="str">
        <f t="shared" si="122"/>
        <v/>
      </c>
      <c r="BT177" s="6625" t="str">
        <f t="shared" si="123"/>
        <v/>
      </c>
      <c r="BU177" s="6625" t="str">
        <f t="shared" si="124"/>
        <v/>
      </c>
      <c r="BV177" s="6625" t="str">
        <f t="shared" si="125"/>
        <v/>
      </c>
      <c r="BW177" s="6625" t="str">
        <f t="shared" si="126"/>
        <v/>
      </c>
      <c r="BX177" s="6625" t="str">
        <f t="shared" si="127"/>
        <v/>
      </c>
      <c r="CA177" s="3170" t="s">
        <v>16629</v>
      </c>
      <c r="CB177" s="7634" t="s">
        <v>16255</v>
      </c>
      <c r="CC177" s="3170" t="s">
        <v>16681</v>
      </c>
      <c r="CD177" s="3170" t="s">
        <v>16682</v>
      </c>
    </row>
    <row r="178" spans="2:82" ht="30" customHeight="1">
      <c r="B178" s="7661" t="str">
        <f t="shared" si="88"/>
        <v/>
      </c>
      <c r="C178" s="7661" t="str">
        <f t="shared" si="89"/>
        <v/>
      </c>
      <c r="D178" s="7661" t="str">
        <f t="shared" si="90"/>
        <v/>
      </c>
      <c r="E178" s="7661">
        <f>IF(H177&lt;&gt;"",E177,IF(E177="","",IFERROR(MATCH(TRUE(),INDEX(INDEX($K:$K,E177+1):$K$203&lt;&gt;"",0),0)+E177,"")))</f>
        <v>353</v>
      </c>
      <c r="F178" s="7661">
        <f t="shared" si="128"/>
        <v>0</v>
      </c>
      <c r="G178" s="7661" t="str">
        <f t="shared" si="91"/>
        <v>0</v>
      </c>
      <c r="H178" s="7672" t="str">
        <f t="shared" si="92"/>
        <v/>
      </c>
      <c r="I178" s="7683" t="str">
        <f t="shared" si="93"/>
        <v/>
      </c>
      <c r="J178" s="7673" t="str">
        <f>IF(K178="","",COUNTIF($K$18:K178,"&lt;&gt;"))</f>
        <v/>
      </c>
      <c r="K178" s="7674"/>
      <c r="L178" s="7673" t="str">
        <f t="shared" si="94"/>
        <v/>
      </c>
      <c r="M178" s="7630">
        <f t="shared" si="95"/>
        <v>1</v>
      </c>
      <c r="N178" s="7675">
        <f t="shared" si="96"/>
        <v>161</v>
      </c>
      <c r="O178" s="7676" t="str">
        <f t="shared" si="97"/>
        <v>0</v>
      </c>
      <c r="P178" s="7675">
        <f t="shared" si="98"/>
        <v>1</v>
      </c>
      <c r="Q178" s="7675">
        <f t="shared" si="99"/>
        <v>1</v>
      </c>
      <c r="S178" s="7679" t="str">
        <f t="shared" si="129"/>
        <v>0</v>
      </c>
      <c r="T178" s="7680" t="str">
        <f t="shared" si="129"/>
        <v/>
      </c>
      <c r="V178" s="7677">
        <f t="shared" si="100"/>
        <v>178</v>
      </c>
      <c r="W178" s="7678" t="str">
        <f t="shared" si="130"/>
        <v>0</v>
      </c>
      <c r="X178" s="7677" t="s">
        <v>2</v>
      </c>
      <c r="Y178" s="7702" t="str">
        <f t="shared" si="101"/>
        <v>0</v>
      </c>
      <c r="Z178" s="7703" t="str">
        <f t="shared" si="102"/>
        <v/>
      </c>
      <c r="AA178" s="7681" t="str">
        <f t="shared" si="103"/>
        <v>0</v>
      </c>
      <c r="AB178" s="7682" t="str">
        <f t="shared" si="104"/>
        <v/>
      </c>
      <c r="AC178" s="7677">
        <f t="shared" si="105"/>
        <v>0</v>
      </c>
      <c r="AD178" s="7677">
        <f t="shared" si="106"/>
        <v>0</v>
      </c>
      <c r="AE178" s="7682" t="str">
        <f t="shared" si="107"/>
        <v>aucun match</v>
      </c>
      <c r="AF178" s="6625" t="str">
        <f t="shared" si="108"/>
        <v>0</v>
      </c>
      <c r="AG178" s="6625" t="str">
        <f t="shared" si="109"/>
        <v>0</v>
      </c>
      <c r="AH178" s="6625" t="str">
        <f t="shared" si="110"/>
        <v>0</v>
      </c>
      <c r="AI178" s="6625" t="str">
        <f t="shared" si="111"/>
        <v xml:space="preserve"> 0 </v>
      </c>
      <c r="AJ178" s="6625" cm="1">
        <f t="array" ref="AJ178">IF(W178="",0,SUMPRODUCT((CA4:CA795="Gluten")*(CB4:CB795="INFO")*(COUNTIF(AI178,"*"&amp;CC4:CC795&amp;"*")&gt;0)*1))</f>
        <v>0</v>
      </c>
      <c r="AK178" s="6625" cm="1">
        <f t="array" ref="AK178">IF(W178="",0,SUMPRODUCT((CA4:CA795="Gluten")*(CB4:CB795="EXCL")*(COUNTIF(AI178,"*"&amp;CC4:CC795&amp;"*")&gt;0)*1))</f>
        <v>0</v>
      </c>
      <c r="AL178" s="6625" cm="1">
        <f t="array" ref="AL178">IF(W178="",0,SUMPRODUCT((CA4:CA795="Gluten")*(CB4:CB795="ALERTE")*(COUNTIF(AI178,"*"&amp;CC4:CC795&amp;"*")&gt;0)*1))</f>
        <v>0</v>
      </c>
      <c r="AM178" s="6625" cm="1">
        <f t="array" ref="AM178">IF(W178="",0,SUMPRODUCT((CA4:CA795="Gluten")*(CB4:CB795="SUSP")*(COUNTIF(AI178,"*"&amp;CC4:CC795&amp;"*")&gt;0)*1))</f>
        <v>0</v>
      </c>
      <c r="AN178" s="6625" cm="1">
        <f t="array" ref="AN178">IF(W178="",0,SUMPRODUCT((CA4:CA795="Crustaces")*(CB4:CB795="ALERTE")*(COUNTIF(AI178,"*"&amp;CC4:CC795&amp;"*")&gt;0)*1))</f>
        <v>0</v>
      </c>
      <c r="AO178" s="6625" cm="1">
        <f t="array" ref="AO178">IF(W178="",0,SUMPRODUCT((CA4:CA795="Oeufs")*(CB4:CB795="ALERTE")*(COUNTIF(AI178,"*"&amp;CC4:CC795&amp;"*")&gt;0)*1))</f>
        <v>0</v>
      </c>
      <c r="AP178" s="6625" cm="1">
        <f t="array" ref="AP178">IF(W178="",0,SUMPRODUCT((CA4:CA795="Poissons")*(CB4:CB795="INFO")*(COUNTIF(AI178,"*"&amp;CC4:CC795&amp;"*")&gt;0)*1))</f>
        <v>0</v>
      </c>
      <c r="AQ178" s="6625" cm="1">
        <f t="array" ref="AQ178">IF(W178="",0,SUMPRODUCT((CA4:CA795="Poissons")*(CB4:CB795="EXCL")*(COUNTIF(AI178,"*"&amp;CC4:CC795&amp;"*")&gt;0)*1))</f>
        <v>0</v>
      </c>
      <c r="AR178" s="6625" cm="1">
        <f t="array" ref="AR178">IF(W178="",0,SUMPRODUCT((CA4:CA795="Poissons")*(CB4:CB795="ALERTE")*(COUNTIF(AI178,"*"&amp;CC4:CC795&amp;"*")&gt;0)*1))</f>
        <v>0</v>
      </c>
      <c r="AS178" s="6625" cm="1">
        <f t="array" ref="AS178">IF(W178="",0,SUMPRODUCT((CA4:CA795="Arachides")*(CB4:CB795="ALERTE")*(COUNTIF(AI178,"*"&amp;CC4:CC795&amp;"*")&gt;0)*1))</f>
        <v>0</v>
      </c>
      <c r="AT178" s="6625" cm="1">
        <f t="array" ref="AT178">IF(W178="",0,SUMPRODUCT((CA4:CA795="Soja")*(CB4:CB795="INFO")*(COUNTIF(AI178,"*"&amp;CC4:CC795&amp;"*")&gt;0)*1))</f>
        <v>0</v>
      </c>
      <c r="AU178" s="6625" cm="1">
        <f t="array" ref="AU178">IF(W178="",0,SUMPRODUCT((CA4:CA795="Soja")*(CB4:CB795="ALERTE")*(COUNTIF(AI178,"*"&amp;CC4:CC795&amp;"*")&gt;0)*1))</f>
        <v>0</v>
      </c>
      <c r="AV178" s="6625" cm="1">
        <f t="array" ref="AV178">IF(W178="",0,SUMPRODUCT((CA4:CA795="Lait")*(CB4:CB795="INFO")*(COUNTIF(AI178,"*"&amp;CC4:CC795&amp;"*")&gt;0)*1))</f>
        <v>0</v>
      </c>
      <c r="AW178" s="6625" cm="1">
        <f t="array" ref="AW178">IF(W178="",0,SUMPRODUCT((CA4:CA795="Lait")*(CB4:CB795="EXCL")*(COUNTIF(AI178,"*"&amp;CC4:CC795&amp;"*")&gt;0)*1))</f>
        <v>0</v>
      </c>
      <c r="AX178" s="6625" cm="1">
        <f t="array" ref="AX178">IF(W178="",0,SUMPRODUCT((CA4:CA795="Lait")*(CB4:CB795="ALERTE")*(COUNTIF(AI178,"*"&amp;CC4:CC795&amp;"*")&gt;0)*1))</f>
        <v>0</v>
      </c>
      <c r="AY178" s="6625" cm="1">
        <f t="array" ref="AY178">IF(W178="",0,SUMPRODUCT((CA4:CA795="Lait")*(CB4:CB795="SUSP")*(COUNTIF(AI178,"*"&amp;CC4:CC795&amp;"*")&gt;0)*1))</f>
        <v>0</v>
      </c>
      <c r="AZ178" s="6625" cm="1">
        <f t="array" ref="AZ178">IF(W178="",0,SUMPRODUCT((CA4:CA795="Fruits a coque")*(CB4:CB795="EXCL")*(COUNTIF(AI178,"*"&amp;CC4:CC795&amp;"*")&gt;0)*1))</f>
        <v>0</v>
      </c>
      <c r="BA178" s="6625" cm="1">
        <f t="array" ref="BA178">IF(W178="",0,SUMPRODUCT((CA4:CA795="Fruits a coque")*(CB4:CB795="ALERTE")*(COUNTIF(AI178,"*"&amp;CC4:CC795&amp;"*")&gt;0)*1))</f>
        <v>0</v>
      </c>
      <c r="BB178" s="6625" cm="1">
        <f t="array" ref="BB178">IF(W178="",0,SUMPRODUCT((CA4:CA795="Celeri")*(CB4:CB795="ALERTE")*(COUNTIF(AI178,"*"&amp;CC4:CC795&amp;"*")&gt;0)*1))</f>
        <v>0</v>
      </c>
      <c r="BC178" s="6625" cm="1">
        <f t="array" ref="BC178">IF(W178="",0,SUMPRODUCT((CA4:CA795="Moutarde")*(CB4:CB795="ALERTE")*(COUNTIF(AI178,"*"&amp;CC4:CC795&amp;"*")&gt;0)*1))</f>
        <v>0</v>
      </c>
      <c r="BD178" s="6625" cm="1">
        <f t="array" ref="BD178">IF(W178="",0,SUMPRODUCT((CA4:CA795="Sesame")*(CB4:CB795="ALERTE")*(COUNTIF(AI178,"*"&amp;CC4:CC795&amp;"*")&gt;0)*1))</f>
        <v>0</v>
      </c>
      <c r="BE178" s="6625" cm="1">
        <f t="array" ref="BE178">IF(W178="",0,SUMPRODUCT((CA4:CA795="Sulfites")*(CB4:CB795="ALERTE")*(COUNTIF(AI178,"*"&amp;CC4:CC795&amp;"*")&gt;0)*1))</f>
        <v>0</v>
      </c>
      <c r="BF178" s="6625" cm="1">
        <f t="array" ref="BF178">IF(W178="",0,SUMPRODUCT((CA4:CA795="Lupin")*(CB4:CB795="ALERTE")*(COUNTIF(AI178,"*"&amp;CC4:CC795&amp;"*")&gt;0)*1))</f>
        <v>0</v>
      </c>
      <c r="BG178" s="6625" cm="1">
        <f t="array" ref="BG178">IF(W178="",0,SUMPRODUCT((CA4:CA795="Mollusques")*(CB4:CB795="EXCL")*(COUNTIF(AI178,"*"&amp;CC4:CC795&amp;"*")&gt;0)*1))</f>
        <v>0</v>
      </c>
      <c r="BH178" s="6625" cm="1">
        <f t="array" ref="BH178">IF(W178="",0,SUMPRODUCT((CA4:CA795="Mollusques")*(CB4:CB795="ALERTE")*(COUNTIF(AI178,"*"&amp;CC4:CC795&amp;"*")&gt;0)*1))</f>
        <v>0</v>
      </c>
      <c r="BI178" s="6625" t="str">
        <f t="shared" si="112"/>
        <v/>
      </c>
      <c r="BJ178" s="6625" t="str">
        <f t="shared" si="113"/>
        <v/>
      </c>
      <c r="BK178" s="6625" t="str">
        <f t="shared" si="114"/>
        <v/>
      </c>
      <c r="BL178" s="6625" t="str">
        <f t="shared" si="115"/>
        <v/>
      </c>
      <c r="BM178" s="6625" t="str">
        <f t="shared" si="116"/>
        <v/>
      </c>
      <c r="BN178" s="6625" t="str">
        <f t="shared" si="117"/>
        <v/>
      </c>
      <c r="BO178" s="6625" t="str">
        <f t="shared" si="118"/>
        <v/>
      </c>
      <c r="BP178" s="6625" t="str">
        <f t="shared" si="119"/>
        <v/>
      </c>
      <c r="BQ178" s="6625" t="str">
        <f t="shared" si="120"/>
        <v/>
      </c>
      <c r="BR178" s="6625" t="str">
        <f t="shared" si="121"/>
        <v/>
      </c>
      <c r="BS178" s="6625" t="str">
        <f t="shared" si="122"/>
        <v/>
      </c>
      <c r="BT178" s="6625" t="str">
        <f t="shared" si="123"/>
        <v/>
      </c>
      <c r="BU178" s="6625" t="str">
        <f t="shared" si="124"/>
        <v/>
      </c>
      <c r="BV178" s="6625" t="str">
        <f t="shared" si="125"/>
        <v/>
      </c>
      <c r="BW178" s="6625" t="str">
        <f t="shared" si="126"/>
        <v/>
      </c>
      <c r="BX178" s="6625" t="str">
        <f t="shared" si="127"/>
        <v/>
      </c>
      <c r="CA178" s="3170" t="s">
        <v>16629</v>
      </c>
      <c r="CB178" s="7634" t="s">
        <v>16255</v>
      </c>
      <c r="CC178" s="3170" t="s">
        <v>16683</v>
      </c>
      <c r="CD178" s="3170" t="s">
        <v>16684</v>
      </c>
    </row>
    <row r="179" spans="2:82" ht="30" customHeight="1">
      <c r="B179" s="7661" t="str">
        <f t="shared" si="88"/>
        <v/>
      </c>
      <c r="C179" s="7661" t="str">
        <f t="shared" si="89"/>
        <v/>
      </c>
      <c r="D179" s="7661" t="str">
        <f t="shared" si="90"/>
        <v/>
      </c>
      <c r="E179" s="7661">
        <f>IF(H178&lt;&gt;"",E178,IF(E178="","",IFERROR(MATCH(TRUE(),INDEX(INDEX($K:$K,E178+1):$K$203&lt;&gt;"",0),0)+E178,"")))</f>
        <v>354</v>
      </c>
      <c r="F179" s="7661">
        <f t="shared" si="128"/>
        <v>0</v>
      </c>
      <c r="G179" s="7661" t="str">
        <f t="shared" si="91"/>
        <v>0</v>
      </c>
      <c r="H179" s="7672" t="str">
        <f t="shared" si="92"/>
        <v/>
      </c>
      <c r="I179" s="7683" t="str">
        <f t="shared" si="93"/>
        <v/>
      </c>
      <c r="J179" s="7673" t="str">
        <f>IF(K179="","",COUNTIF($K$18:K179,"&lt;&gt;"))</f>
        <v/>
      </c>
      <c r="K179" s="7674"/>
      <c r="L179" s="7673" t="str">
        <f t="shared" si="94"/>
        <v/>
      </c>
      <c r="M179" s="7630">
        <f t="shared" si="95"/>
        <v>1</v>
      </c>
      <c r="N179" s="7675">
        <f t="shared" si="96"/>
        <v>162</v>
      </c>
      <c r="O179" s="7676" t="str">
        <f t="shared" si="97"/>
        <v>0</v>
      </c>
      <c r="P179" s="7675">
        <f t="shared" si="98"/>
        <v>1</v>
      </c>
      <c r="Q179" s="7675">
        <f t="shared" si="99"/>
        <v>1</v>
      </c>
      <c r="S179" s="7679" t="str">
        <f t="shared" ref="S179:T202" si="131">Y179</f>
        <v>0</v>
      </c>
      <c r="T179" s="7680" t="str">
        <f t="shared" si="131"/>
        <v/>
      </c>
      <c r="V179" s="7677">
        <f t="shared" si="100"/>
        <v>179</v>
      </c>
      <c r="W179" s="7678" t="str">
        <f t="shared" si="130"/>
        <v>0</v>
      </c>
      <c r="X179" s="7677" t="s">
        <v>2</v>
      </c>
      <c r="Y179" s="7702" t="str">
        <f t="shared" si="101"/>
        <v>0</v>
      </c>
      <c r="Z179" s="7703" t="str">
        <f t="shared" si="102"/>
        <v/>
      </c>
      <c r="AA179" s="7681" t="str">
        <f t="shared" si="103"/>
        <v>0</v>
      </c>
      <c r="AB179" s="7682" t="str">
        <f t="shared" si="104"/>
        <v/>
      </c>
      <c r="AC179" s="7677">
        <f t="shared" si="105"/>
        <v>0</v>
      </c>
      <c r="AD179" s="7677">
        <f t="shared" si="106"/>
        <v>0</v>
      </c>
      <c r="AE179" s="7682" t="str">
        <f t="shared" si="107"/>
        <v>aucun match</v>
      </c>
      <c r="AF179" s="6625" t="str">
        <f t="shared" si="108"/>
        <v>0</v>
      </c>
      <c r="AG179" s="6625" t="str">
        <f t="shared" si="109"/>
        <v>0</v>
      </c>
      <c r="AH179" s="6625" t="str">
        <f t="shared" si="110"/>
        <v>0</v>
      </c>
      <c r="AI179" s="6625" t="str">
        <f t="shared" si="111"/>
        <v xml:space="preserve"> 0 </v>
      </c>
      <c r="AJ179" s="6625" cm="1">
        <f t="array" ref="AJ179">IF(W179="",0,SUMPRODUCT((CA4:CA795="Gluten")*(CB4:CB795="INFO")*(COUNTIF(AI179,"*"&amp;CC4:CC795&amp;"*")&gt;0)*1))</f>
        <v>0</v>
      </c>
      <c r="AK179" s="6625" cm="1">
        <f t="array" ref="AK179">IF(W179="",0,SUMPRODUCT((CA4:CA795="Gluten")*(CB4:CB795="EXCL")*(COUNTIF(AI179,"*"&amp;CC4:CC795&amp;"*")&gt;0)*1))</f>
        <v>0</v>
      </c>
      <c r="AL179" s="6625" cm="1">
        <f t="array" ref="AL179">IF(W179="",0,SUMPRODUCT((CA4:CA795="Gluten")*(CB4:CB795="ALERTE")*(COUNTIF(AI179,"*"&amp;CC4:CC795&amp;"*")&gt;0)*1))</f>
        <v>0</v>
      </c>
      <c r="AM179" s="6625" cm="1">
        <f t="array" ref="AM179">IF(W179="",0,SUMPRODUCT((CA4:CA795="Gluten")*(CB4:CB795="SUSP")*(COUNTIF(AI179,"*"&amp;CC4:CC795&amp;"*")&gt;0)*1))</f>
        <v>0</v>
      </c>
      <c r="AN179" s="6625" cm="1">
        <f t="array" ref="AN179">IF(W179="",0,SUMPRODUCT((CA4:CA795="Crustaces")*(CB4:CB795="ALERTE")*(COUNTIF(AI179,"*"&amp;CC4:CC795&amp;"*")&gt;0)*1))</f>
        <v>0</v>
      </c>
      <c r="AO179" s="6625" cm="1">
        <f t="array" ref="AO179">IF(W179="",0,SUMPRODUCT((CA4:CA795="Oeufs")*(CB4:CB795="ALERTE")*(COUNTIF(AI179,"*"&amp;CC4:CC795&amp;"*")&gt;0)*1))</f>
        <v>0</v>
      </c>
      <c r="AP179" s="6625" cm="1">
        <f t="array" ref="AP179">IF(W179="",0,SUMPRODUCT((CA4:CA795="Poissons")*(CB4:CB795="INFO")*(COUNTIF(AI179,"*"&amp;CC4:CC795&amp;"*")&gt;0)*1))</f>
        <v>0</v>
      </c>
      <c r="AQ179" s="6625" cm="1">
        <f t="array" ref="AQ179">IF(W179="",0,SUMPRODUCT((CA4:CA795="Poissons")*(CB4:CB795="EXCL")*(COUNTIF(AI179,"*"&amp;CC4:CC795&amp;"*")&gt;0)*1))</f>
        <v>0</v>
      </c>
      <c r="AR179" s="6625" cm="1">
        <f t="array" ref="AR179">IF(W179="",0,SUMPRODUCT((CA4:CA795="Poissons")*(CB4:CB795="ALERTE")*(COUNTIF(AI179,"*"&amp;CC4:CC795&amp;"*")&gt;0)*1))</f>
        <v>0</v>
      </c>
      <c r="AS179" s="6625" cm="1">
        <f t="array" ref="AS179">IF(W179="",0,SUMPRODUCT((CA4:CA795="Arachides")*(CB4:CB795="ALERTE")*(COUNTIF(AI179,"*"&amp;CC4:CC795&amp;"*")&gt;0)*1))</f>
        <v>0</v>
      </c>
      <c r="AT179" s="6625" cm="1">
        <f t="array" ref="AT179">IF(W179="",0,SUMPRODUCT((CA4:CA795="Soja")*(CB4:CB795="INFO")*(COUNTIF(AI179,"*"&amp;CC4:CC795&amp;"*")&gt;0)*1))</f>
        <v>0</v>
      </c>
      <c r="AU179" s="6625" cm="1">
        <f t="array" ref="AU179">IF(W179="",0,SUMPRODUCT((CA4:CA795="Soja")*(CB4:CB795="ALERTE")*(COUNTIF(AI179,"*"&amp;CC4:CC795&amp;"*")&gt;0)*1))</f>
        <v>0</v>
      </c>
      <c r="AV179" s="6625" cm="1">
        <f t="array" ref="AV179">IF(W179="",0,SUMPRODUCT((CA4:CA795="Lait")*(CB4:CB795="INFO")*(COUNTIF(AI179,"*"&amp;CC4:CC795&amp;"*")&gt;0)*1))</f>
        <v>0</v>
      </c>
      <c r="AW179" s="6625" cm="1">
        <f t="array" ref="AW179">IF(W179="",0,SUMPRODUCT((CA4:CA795="Lait")*(CB4:CB795="EXCL")*(COUNTIF(AI179,"*"&amp;CC4:CC795&amp;"*")&gt;0)*1))</f>
        <v>0</v>
      </c>
      <c r="AX179" s="6625" cm="1">
        <f t="array" ref="AX179">IF(W179="",0,SUMPRODUCT((CA4:CA795="Lait")*(CB4:CB795="ALERTE")*(COUNTIF(AI179,"*"&amp;CC4:CC795&amp;"*")&gt;0)*1))</f>
        <v>0</v>
      </c>
      <c r="AY179" s="6625" cm="1">
        <f t="array" ref="AY179">IF(W179="",0,SUMPRODUCT((CA4:CA795="Lait")*(CB4:CB795="SUSP")*(COUNTIF(AI179,"*"&amp;CC4:CC795&amp;"*")&gt;0)*1))</f>
        <v>0</v>
      </c>
      <c r="AZ179" s="6625" cm="1">
        <f t="array" ref="AZ179">IF(W179="",0,SUMPRODUCT((CA4:CA795="Fruits a coque")*(CB4:CB795="EXCL")*(COUNTIF(AI179,"*"&amp;CC4:CC795&amp;"*")&gt;0)*1))</f>
        <v>0</v>
      </c>
      <c r="BA179" s="6625" cm="1">
        <f t="array" ref="BA179">IF(W179="",0,SUMPRODUCT((CA4:CA795="Fruits a coque")*(CB4:CB795="ALERTE")*(COUNTIF(AI179,"*"&amp;CC4:CC795&amp;"*")&gt;0)*1))</f>
        <v>0</v>
      </c>
      <c r="BB179" s="6625" cm="1">
        <f t="array" ref="BB179">IF(W179="",0,SUMPRODUCT((CA4:CA795="Celeri")*(CB4:CB795="ALERTE")*(COUNTIF(AI179,"*"&amp;CC4:CC795&amp;"*")&gt;0)*1))</f>
        <v>0</v>
      </c>
      <c r="BC179" s="6625" cm="1">
        <f t="array" ref="BC179">IF(W179="",0,SUMPRODUCT((CA4:CA795="Moutarde")*(CB4:CB795="ALERTE")*(COUNTIF(AI179,"*"&amp;CC4:CC795&amp;"*")&gt;0)*1))</f>
        <v>0</v>
      </c>
      <c r="BD179" s="6625" cm="1">
        <f t="array" ref="BD179">IF(W179="",0,SUMPRODUCT((CA4:CA795="Sesame")*(CB4:CB795="ALERTE")*(COUNTIF(AI179,"*"&amp;CC4:CC795&amp;"*")&gt;0)*1))</f>
        <v>0</v>
      </c>
      <c r="BE179" s="6625" cm="1">
        <f t="array" ref="BE179">IF(W179="",0,SUMPRODUCT((CA4:CA795="Sulfites")*(CB4:CB795="ALERTE")*(COUNTIF(AI179,"*"&amp;CC4:CC795&amp;"*")&gt;0)*1))</f>
        <v>0</v>
      </c>
      <c r="BF179" s="6625" cm="1">
        <f t="array" ref="BF179">IF(W179="",0,SUMPRODUCT((CA4:CA795="Lupin")*(CB4:CB795="ALERTE")*(COUNTIF(AI179,"*"&amp;CC4:CC795&amp;"*")&gt;0)*1))</f>
        <v>0</v>
      </c>
      <c r="BG179" s="6625" cm="1">
        <f t="array" ref="BG179">IF(W179="",0,SUMPRODUCT((CA4:CA795="Mollusques")*(CB4:CB795="EXCL")*(COUNTIF(AI179,"*"&amp;CC4:CC795&amp;"*")&gt;0)*1))</f>
        <v>0</v>
      </c>
      <c r="BH179" s="6625" cm="1">
        <f t="array" ref="BH179">IF(W179="",0,SUMPRODUCT((CA4:CA795="Mollusques")*(CB4:CB795="ALERTE")*(COUNTIF(AI179,"*"&amp;CC4:CC795&amp;"*")&gt;0)*1))</f>
        <v>0</v>
      </c>
      <c r="BI179" s="6625" t="str">
        <f t="shared" si="112"/>
        <v/>
      </c>
      <c r="BJ179" s="6625" t="str">
        <f t="shared" si="113"/>
        <v/>
      </c>
      <c r="BK179" s="6625" t="str">
        <f t="shared" si="114"/>
        <v/>
      </c>
      <c r="BL179" s="6625" t="str">
        <f t="shared" si="115"/>
        <v/>
      </c>
      <c r="BM179" s="6625" t="str">
        <f t="shared" si="116"/>
        <v/>
      </c>
      <c r="BN179" s="6625" t="str">
        <f t="shared" si="117"/>
        <v/>
      </c>
      <c r="BO179" s="6625" t="str">
        <f t="shared" si="118"/>
        <v/>
      </c>
      <c r="BP179" s="6625" t="str">
        <f t="shared" si="119"/>
        <v/>
      </c>
      <c r="BQ179" s="6625" t="str">
        <f t="shared" si="120"/>
        <v/>
      </c>
      <c r="BR179" s="6625" t="str">
        <f t="shared" si="121"/>
        <v/>
      </c>
      <c r="BS179" s="6625" t="str">
        <f t="shared" si="122"/>
        <v/>
      </c>
      <c r="BT179" s="6625" t="str">
        <f t="shared" si="123"/>
        <v/>
      </c>
      <c r="BU179" s="6625" t="str">
        <f t="shared" si="124"/>
        <v/>
      </c>
      <c r="BV179" s="6625" t="str">
        <f t="shared" si="125"/>
        <v/>
      </c>
      <c r="BW179" s="6625" t="str">
        <f t="shared" si="126"/>
        <v/>
      </c>
      <c r="BX179" s="6625" t="str">
        <f t="shared" si="127"/>
        <v/>
      </c>
      <c r="CA179" s="3170" t="s">
        <v>16629</v>
      </c>
      <c r="CB179" s="7634" t="s">
        <v>16255</v>
      </c>
      <c r="CC179" s="3170" t="s">
        <v>16685</v>
      </c>
      <c r="CD179" s="3170" t="s">
        <v>16686</v>
      </c>
    </row>
    <row r="180" spans="2:82" ht="30" customHeight="1">
      <c r="B180" s="7661" t="str">
        <f t="shared" si="88"/>
        <v/>
      </c>
      <c r="C180" s="7661" t="str">
        <f t="shared" si="89"/>
        <v/>
      </c>
      <c r="D180" s="7661" t="str">
        <f t="shared" si="90"/>
        <v/>
      </c>
      <c r="E180" s="7661">
        <f>IF(H179&lt;&gt;"",E179,IF(E179="","",IFERROR(MATCH(TRUE(),INDEX(INDEX($K:$K,E179+1):$K$203&lt;&gt;"",0),0)+E179,"")))</f>
        <v>355</v>
      </c>
      <c r="F180" s="7661">
        <f t="shared" si="128"/>
        <v>0</v>
      </c>
      <c r="G180" s="7661" t="str">
        <f t="shared" si="91"/>
        <v>0</v>
      </c>
      <c r="H180" s="7672" t="str">
        <f t="shared" si="92"/>
        <v/>
      </c>
      <c r="I180" s="7683" t="str">
        <f t="shared" si="93"/>
        <v/>
      </c>
      <c r="J180" s="7673" t="str">
        <f>IF(K180="","",COUNTIF($K$18:K180,"&lt;&gt;"))</f>
        <v/>
      </c>
      <c r="K180" s="7674"/>
      <c r="L180" s="7673" t="str">
        <f t="shared" si="94"/>
        <v/>
      </c>
      <c r="M180" s="7630">
        <f t="shared" si="95"/>
        <v>1</v>
      </c>
      <c r="N180" s="7675">
        <f t="shared" si="96"/>
        <v>163</v>
      </c>
      <c r="O180" s="7676" t="str">
        <f t="shared" si="97"/>
        <v>0</v>
      </c>
      <c r="P180" s="7675">
        <f t="shared" si="98"/>
        <v>1</v>
      </c>
      <c r="Q180" s="7675">
        <f t="shared" si="99"/>
        <v>1</v>
      </c>
      <c r="S180" s="7679" t="str">
        <f t="shared" si="131"/>
        <v>0</v>
      </c>
      <c r="T180" s="7680" t="str">
        <f t="shared" si="131"/>
        <v/>
      </c>
      <c r="V180" s="7677">
        <f t="shared" si="100"/>
        <v>180</v>
      </c>
      <c r="W180" s="7678" t="str">
        <f t="shared" si="130"/>
        <v>0</v>
      </c>
      <c r="X180" s="7677" t="s">
        <v>2</v>
      </c>
      <c r="Y180" s="7702" t="str">
        <f t="shared" si="101"/>
        <v>0</v>
      </c>
      <c r="Z180" s="7703" t="str">
        <f t="shared" si="102"/>
        <v/>
      </c>
      <c r="AA180" s="7681" t="str">
        <f t="shared" si="103"/>
        <v>0</v>
      </c>
      <c r="AB180" s="7682" t="str">
        <f t="shared" si="104"/>
        <v/>
      </c>
      <c r="AC180" s="7677">
        <f t="shared" si="105"/>
        <v>0</v>
      </c>
      <c r="AD180" s="7677">
        <f t="shared" si="106"/>
        <v>0</v>
      </c>
      <c r="AE180" s="7682" t="str">
        <f t="shared" si="107"/>
        <v>aucun match</v>
      </c>
      <c r="AF180" s="6625" t="str">
        <f t="shared" si="108"/>
        <v>0</v>
      </c>
      <c r="AG180" s="6625" t="str">
        <f t="shared" si="109"/>
        <v>0</v>
      </c>
      <c r="AH180" s="6625" t="str">
        <f t="shared" si="110"/>
        <v>0</v>
      </c>
      <c r="AI180" s="6625" t="str">
        <f t="shared" si="111"/>
        <v xml:space="preserve"> 0 </v>
      </c>
      <c r="AJ180" s="6625" cm="1">
        <f t="array" ref="AJ180">IF(W180="",0,SUMPRODUCT((CA4:CA795="Gluten")*(CB4:CB795="INFO")*(COUNTIF(AI180,"*"&amp;CC4:CC795&amp;"*")&gt;0)*1))</f>
        <v>0</v>
      </c>
      <c r="AK180" s="6625" cm="1">
        <f t="array" ref="AK180">IF(W180="",0,SUMPRODUCT((CA4:CA795="Gluten")*(CB4:CB795="EXCL")*(COUNTIF(AI180,"*"&amp;CC4:CC795&amp;"*")&gt;0)*1))</f>
        <v>0</v>
      </c>
      <c r="AL180" s="6625" cm="1">
        <f t="array" ref="AL180">IF(W180="",0,SUMPRODUCT((CA4:CA795="Gluten")*(CB4:CB795="ALERTE")*(COUNTIF(AI180,"*"&amp;CC4:CC795&amp;"*")&gt;0)*1))</f>
        <v>0</v>
      </c>
      <c r="AM180" s="6625" cm="1">
        <f t="array" ref="AM180">IF(W180="",0,SUMPRODUCT((CA4:CA795="Gluten")*(CB4:CB795="SUSP")*(COUNTIF(AI180,"*"&amp;CC4:CC795&amp;"*")&gt;0)*1))</f>
        <v>0</v>
      </c>
      <c r="AN180" s="6625" cm="1">
        <f t="array" ref="AN180">IF(W180="",0,SUMPRODUCT((CA4:CA795="Crustaces")*(CB4:CB795="ALERTE")*(COUNTIF(AI180,"*"&amp;CC4:CC795&amp;"*")&gt;0)*1))</f>
        <v>0</v>
      </c>
      <c r="AO180" s="6625" cm="1">
        <f t="array" ref="AO180">IF(W180="",0,SUMPRODUCT((CA4:CA795="Oeufs")*(CB4:CB795="ALERTE")*(COUNTIF(AI180,"*"&amp;CC4:CC795&amp;"*")&gt;0)*1))</f>
        <v>0</v>
      </c>
      <c r="AP180" s="6625" cm="1">
        <f t="array" ref="AP180">IF(W180="",0,SUMPRODUCT((CA4:CA795="Poissons")*(CB4:CB795="INFO")*(COUNTIF(AI180,"*"&amp;CC4:CC795&amp;"*")&gt;0)*1))</f>
        <v>0</v>
      </c>
      <c r="AQ180" s="6625" cm="1">
        <f t="array" ref="AQ180">IF(W180="",0,SUMPRODUCT((CA4:CA795="Poissons")*(CB4:CB795="EXCL")*(COUNTIF(AI180,"*"&amp;CC4:CC795&amp;"*")&gt;0)*1))</f>
        <v>0</v>
      </c>
      <c r="AR180" s="6625" cm="1">
        <f t="array" ref="AR180">IF(W180="",0,SUMPRODUCT((CA4:CA795="Poissons")*(CB4:CB795="ALERTE")*(COUNTIF(AI180,"*"&amp;CC4:CC795&amp;"*")&gt;0)*1))</f>
        <v>0</v>
      </c>
      <c r="AS180" s="6625" cm="1">
        <f t="array" ref="AS180">IF(W180="",0,SUMPRODUCT((CA4:CA795="Arachides")*(CB4:CB795="ALERTE")*(COUNTIF(AI180,"*"&amp;CC4:CC795&amp;"*")&gt;0)*1))</f>
        <v>0</v>
      </c>
      <c r="AT180" s="6625" cm="1">
        <f t="array" ref="AT180">IF(W180="",0,SUMPRODUCT((CA4:CA795="Soja")*(CB4:CB795="INFO")*(COUNTIF(AI180,"*"&amp;CC4:CC795&amp;"*")&gt;0)*1))</f>
        <v>0</v>
      </c>
      <c r="AU180" s="6625" cm="1">
        <f t="array" ref="AU180">IF(W180="",0,SUMPRODUCT((CA4:CA795="Soja")*(CB4:CB795="ALERTE")*(COUNTIF(AI180,"*"&amp;CC4:CC795&amp;"*")&gt;0)*1))</f>
        <v>0</v>
      </c>
      <c r="AV180" s="6625" cm="1">
        <f t="array" ref="AV180">IF(W180="",0,SUMPRODUCT((CA4:CA795="Lait")*(CB4:CB795="INFO")*(COUNTIF(AI180,"*"&amp;CC4:CC795&amp;"*")&gt;0)*1))</f>
        <v>0</v>
      </c>
      <c r="AW180" s="6625" cm="1">
        <f t="array" ref="AW180">IF(W180="",0,SUMPRODUCT((CA4:CA795="Lait")*(CB4:CB795="EXCL")*(COUNTIF(AI180,"*"&amp;CC4:CC795&amp;"*")&gt;0)*1))</f>
        <v>0</v>
      </c>
      <c r="AX180" s="6625" cm="1">
        <f t="array" ref="AX180">IF(W180="",0,SUMPRODUCT((CA4:CA795="Lait")*(CB4:CB795="ALERTE")*(COUNTIF(AI180,"*"&amp;CC4:CC795&amp;"*")&gt;0)*1))</f>
        <v>0</v>
      </c>
      <c r="AY180" s="6625" cm="1">
        <f t="array" ref="AY180">IF(W180="",0,SUMPRODUCT((CA4:CA795="Lait")*(CB4:CB795="SUSP")*(COUNTIF(AI180,"*"&amp;CC4:CC795&amp;"*")&gt;0)*1))</f>
        <v>0</v>
      </c>
      <c r="AZ180" s="6625" cm="1">
        <f t="array" ref="AZ180">IF(W180="",0,SUMPRODUCT((CA4:CA795="Fruits a coque")*(CB4:CB795="EXCL")*(COUNTIF(AI180,"*"&amp;CC4:CC795&amp;"*")&gt;0)*1))</f>
        <v>0</v>
      </c>
      <c r="BA180" s="6625" cm="1">
        <f t="array" ref="BA180">IF(W180="",0,SUMPRODUCT((CA4:CA795="Fruits a coque")*(CB4:CB795="ALERTE")*(COUNTIF(AI180,"*"&amp;CC4:CC795&amp;"*")&gt;0)*1))</f>
        <v>0</v>
      </c>
      <c r="BB180" s="6625" cm="1">
        <f t="array" ref="BB180">IF(W180="",0,SUMPRODUCT((CA4:CA795="Celeri")*(CB4:CB795="ALERTE")*(COUNTIF(AI180,"*"&amp;CC4:CC795&amp;"*")&gt;0)*1))</f>
        <v>0</v>
      </c>
      <c r="BC180" s="6625" cm="1">
        <f t="array" ref="BC180">IF(W180="",0,SUMPRODUCT((CA4:CA795="Moutarde")*(CB4:CB795="ALERTE")*(COUNTIF(AI180,"*"&amp;CC4:CC795&amp;"*")&gt;0)*1))</f>
        <v>0</v>
      </c>
      <c r="BD180" s="6625" cm="1">
        <f t="array" ref="BD180">IF(W180="",0,SUMPRODUCT((CA4:CA795="Sesame")*(CB4:CB795="ALERTE")*(COUNTIF(AI180,"*"&amp;CC4:CC795&amp;"*")&gt;0)*1))</f>
        <v>0</v>
      </c>
      <c r="BE180" s="6625" cm="1">
        <f t="array" ref="BE180">IF(W180="",0,SUMPRODUCT((CA4:CA795="Sulfites")*(CB4:CB795="ALERTE")*(COUNTIF(AI180,"*"&amp;CC4:CC795&amp;"*")&gt;0)*1))</f>
        <v>0</v>
      </c>
      <c r="BF180" s="6625" cm="1">
        <f t="array" ref="BF180">IF(W180="",0,SUMPRODUCT((CA4:CA795="Lupin")*(CB4:CB795="ALERTE")*(COUNTIF(AI180,"*"&amp;CC4:CC795&amp;"*")&gt;0)*1))</f>
        <v>0</v>
      </c>
      <c r="BG180" s="6625" cm="1">
        <f t="array" ref="BG180">IF(W180="",0,SUMPRODUCT((CA4:CA795="Mollusques")*(CB4:CB795="EXCL")*(COUNTIF(AI180,"*"&amp;CC4:CC795&amp;"*")&gt;0)*1))</f>
        <v>0</v>
      </c>
      <c r="BH180" s="6625" cm="1">
        <f t="array" ref="BH180">IF(W180="",0,SUMPRODUCT((CA4:CA795="Mollusques")*(CB4:CB795="ALERTE")*(COUNTIF(AI180,"*"&amp;CC4:CC795&amp;"*")&gt;0)*1))</f>
        <v>0</v>
      </c>
      <c r="BI180" s="6625" t="str">
        <f t="shared" si="112"/>
        <v/>
      </c>
      <c r="BJ180" s="6625" t="str">
        <f t="shared" si="113"/>
        <v/>
      </c>
      <c r="BK180" s="6625" t="str">
        <f t="shared" si="114"/>
        <v/>
      </c>
      <c r="BL180" s="6625" t="str">
        <f t="shared" si="115"/>
        <v/>
      </c>
      <c r="BM180" s="6625" t="str">
        <f t="shared" si="116"/>
        <v/>
      </c>
      <c r="BN180" s="6625" t="str">
        <f t="shared" si="117"/>
        <v/>
      </c>
      <c r="BO180" s="6625" t="str">
        <f t="shared" si="118"/>
        <v/>
      </c>
      <c r="BP180" s="6625" t="str">
        <f t="shared" si="119"/>
        <v/>
      </c>
      <c r="BQ180" s="6625" t="str">
        <f t="shared" si="120"/>
        <v/>
      </c>
      <c r="BR180" s="6625" t="str">
        <f t="shared" si="121"/>
        <v/>
      </c>
      <c r="BS180" s="6625" t="str">
        <f t="shared" si="122"/>
        <v/>
      </c>
      <c r="BT180" s="6625" t="str">
        <f t="shared" si="123"/>
        <v/>
      </c>
      <c r="BU180" s="6625" t="str">
        <f t="shared" si="124"/>
        <v/>
      </c>
      <c r="BV180" s="6625" t="str">
        <f t="shared" si="125"/>
        <v/>
      </c>
      <c r="BW180" s="6625" t="str">
        <f t="shared" si="126"/>
        <v/>
      </c>
      <c r="BX180" s="6625" t="str">
        <f t="shared" si="127"/>
        <v/>
      </c>
      <c r="CA180" s="3170" t="s">
        <v>16629</v>
      </c>
      <c r="CB180" s="7634" t="s">
        <v>16255</v>
      </c>
      <c r="CC180" s="3170" t="s">
        <v>16687</v>
      </c>
      <c r="CD180" s="3170" t="s">
        <v>16688</v>
      </c>
    </row>
    <row r="181" spans="2:82" ht="30" customHeight="1">
      <c r="B181" s="7661" t="str">
        <f t="shared" si="88"/>
        <v/>
      </c>
      <c r="C181" s="7661" t="str">
        <f t="shared" si="89"/>
        <v/>
      </c>
      <c r="D181" s="7661" t="str">
        <f t="shared" si="90"/>
        <v/>
      </c>
      <c r="E181" s="7661">
        <f>IF(H180&lt;&gt;"",E180,IF(E180="","",IFERROR(MATCH(TRUE(),INDEX(INDEX($K:$K,E180+1):$K$203&lt;&gt;"",0),0)+E180,"")))</f>
        <v>356</v>
      </c>
      <c r="F181" s="7661">
        <f t="shared" si="128"/>
        <v>0</v>
      </c>
      <c r="G181" s="7661" t="str">
        <f t="shared" si="91"/>
        <v>0</v>
      </c>
      <c r="H181" s="7672" t="str">
        <f t="shared" si="92"/>
        <v/>
      </c>
      <c r="I181" s="7683" t="str">
        <f t="shared" si="93"/>
        <v/>
      </c>
      <c r="J181" s="7673" t="str">
        <f>IF(K181="","",COUNTIF($K$18:K181,"&lt;&gt;"))</f>
        <v/>
      </c>
      <c r="K181" s="7674"/>
      <c r="L181" s="7673" t="str">
        <f t="shared" si="94"/>
        <v/>
      </c>
      <c r="M181" s="7630">
        <f t="shared" si="95"/>
        <v>1</v>
      </c>
      <c r="N181" s="7675">
        <f t="shared" si="96"/>
        <v>164</v>
      </c>
      <c r="O181" s="7676" t="str">
        <f t="shared" si="97"/>
        <v>0</v>
      </c>
      <c r="P181" s="7675">
        <f t="shared" si="98"/>
        <v>1</v>
      </c>
      <c r="Q181" s="7675">
        <f t="shared" si="99"/>
        <v>1</v>
      </c>
      <c r="S181" s="7679" t="str">
        <f t="shared" si="131"/>
        <v>0</v>
      </c>
      <c r="T181" s="7680" t="str">
        <f t="shared" si="131"/>
        <v/>
      </c>
      <c r="V181" s="7677">
        <f t="shared" si="100"/>
        <v>181</v>
      </c>
      <c r="W181" s="7678" t="str">
        <f t="shared" si="130"/>
        <v>0</v>
      </c>
      <c r="X181" s="7677" t="s">
        <v>2</v>
      </c>
      <c r="Y181" s="7702" t="str">
        <f t="shared" si="101"/>
        <v>0</v>
      </c>
      <c r="Z181" s="7703" t="str">
        <f t="shared" si="102"/>
        <v/>
      </c>
      <c r="AA181" s="7681" t="str">
        <f t="shared" si="103"/>
        <v>0</v>
      </c>
      <c r="AB181" s="7682" t="str">
        <f t="shared" si="104"/>
        <v/>
      </c>
      <c r="AC181" s="7677">
        <f t="shared" si="105"/>
        <v>0</v>
      </c>
      <c r="AD181" s="7677">
        <f t="shared" si="106"/>
        <v>0</v>
      </c>
      <c r="AE181" s="7682" t="str">
        <f t="shared" si="107"/>
        <v>aucun match</v>
      </c>
      <c r="AF181" s="6625" t="str">
        <f t="shared" si="108"/>
        <v>0</v>
      </c>
      <c r="AG181" s="6625" t="str">
        <f t="shared" si="109"/>
        <v>0</v>
      </c>
      <c r="AH181" s="6625" t="str">
        <f t="shared" si="110"/>
        <v>0</v>
      </c>
      <c r="AI181" s="6625" t="str">
        <f t="shared" si="111"/>
        <v xml:space="preserve"> 0 </v>
      </c>
      <c r="AJ181" s="6625" cm="1">
        <f t="array" ref="AJ181">IF(W181="",0,SUMPRODUCT((CA4:CA795="Gluten")*(CB4:CB795="INFO")*(COUNTIF(AI181,"*"&amp;CC4:CC795&amp;"*")&gt;0)*1))</f>
        <v>0</v>
      </c>
      <c r="AK181" s="6625" cm="1">
        <f t="array" ref="AK181">IF(W181="",0,SUMPRODUCT((CA4:CA795="Gluten")*(CB4:CB795="EXCL")*(COUNTIF(AI181,"*"&amp;CC4:CC795&amp;"*")&gt;0)*1))</f>
        <v>0</v>
      </c>
      <c r="AL181" s="6625" cm="1">
        <f t="array" ref="AL181">IF(W181="",0,SUMPRODUCT((CA4:CA795="Gluten")*(CB4:CB795="ALERTE")*(COUNTIF(AI181,"*"&amp;CC4:CC795&amp;"*")&gt;0)*1))</f>
        <v>0</v>
      </c>
      <c r="AM181" s="6625" cm="1">
        <f t="array" ref="AM181">IF(W181="",0,SUMPRODUCT((CA4:CA795="Gluten")*(CB4:CB795="SUSP")*(COUNTIF(AI181,"*"&amp;CC4:CC795&amp;"*")&gt;0)*1))</f>
        <v>0</v>
      </c>
      <c r="AN181" s="6625" cm="1">
        <f t="array" ref="AN181">IF(W181="",0,SUMPRODUCT((CA4:CA795="Crustaces")*(CB4:CB795="ALERTE")*(COUNTIF(AI181,"*"&amp;CC4:CC795&amp;"*")&gt;0)*1))</f>
        <v>0</v>
      </c>
      <c r="AO181" s="6625" cm="1">
        <f t="array" ref="AO181">IF(W181="",0,SUMPRODUCT((CA4:CA795="Oeufs")*(CB4:CB795="ALERTE")*(COUNTIF(AI181,"*"&amp;CC4:CC795&amp;"*")&gt;0)*1))</f>
        <v>0</v>
      </c>
      <c r="AP181" s="6625" cm="1">
        <f t="array" ref="AP181">IF(W181="",0,SUMPRODUCT((CA4:CA795="Poissons")*(CB4:CB795="INFO")*(COUNTIF(AI181,"*"&amp;CC4:CC795&amp;"*")&gt;0)*1))</f>
        <v>0</v>
      </c>
      <c r="AQ181" s="6625" cm="1">
        <f t="array" ref="AQ181">IF(W181="",0,SUMPRODUCT((CA4:CA795="Poissons")*(CB4:CB795="EXCL")*(COUNTIF(AI181,"*"&amp;CC4:CC795&amp;"*")&gt;0)*1))</f>
        <v>0</v>
      </c>
      <c r="AR181" s="6625" cm="1">
        <f t="array" ref="AR181">IF(W181="",0,SUMPRODUCT((CA4:CA795="Poissons")*(CB4:CB795="ALERTE")*(COUNTIF(AI181,"*"&amp;CC4:CC795&amp;"*")&gt;0)*1))</f>
        <v>0</v>
      </c>
      <c r="AS181" s="6625" cm="1">
        <f t="array" ref="AS181">IF(W181="",0,SUMPRODUCT((CA4:CA795="Arachides")*(CB4:CB795="ALERTE")*(COUNTIF(AI181,"*"&amp;CC4:CC795&amp;"*")&gt;0)*1))</f>
        <v>0</v>
      </c>
      <c r="AT181" s="6625" cm="1">
        <f t="array" ref="AT181">IF(W181="",0,SUMPRODUCT((CA4:CA795="Soja")*(CB4:CB795="INFO")*(COUNTIF(AI181,"*"&amp;CC4:CC795&amp;"*")&gt;0)*1))</f>
        <v>0</v>
      </c>
      <c r="AU181" s="6625" cm="1">
        <f t="array" ref="AU181">IF(W181="",0,SUMPRODUCT((CA4:CA795="Soja")*(CB4:CB795="ALERTE")*(COUNTIF(AI181,"*"&amp;CC4:CC795&amp;"*")&gt;0)*1))</f>
        <v>0</v>
      </c>
      <c r="AV181" s="6625" cm="1">
        <f t="array" ref="AV181">IF(W181="",0,SUMPRODUCT((CA4:CA795="Lait")*(CB4:CB795="INFO")*(COUNTIF(AI181,"*"&amp;CC4:CC795&amp;"*")&gt;0)*1))</f>
        <v>0</v>
      </c>
      <c r="AW181" s="6625" cm="1">
        <f t="array" ref="AW181">IF(W181="",0,SUMPRODUCT((CA4:CA795="Lait")*(CB4:CB795="EXCL")*(COUNTIF(AI181,"*"&amp;CC4:CC795&amp;"*")&gt;0)*1))</f>
        <v>0</v>
      </c>
      <c r="AX181" s="6625" cm="1">
        <f t="array" ref="AX181">IF(W181="",0,SUMPRODUCT((CA4:CA795="Lait")*(CB4:CB795="ALERTE")*(COUNTIF(AI181,"*"&amp;CC4:CC795&amp;"*")&gt;0)*1))</f>
        <v>0</v>
      </c>
      <c r="AY181" s="6625" cm="1">
        <f t="array" ref="AY181">IF(W181="",0,SUMPRODUCT((CA4:CA795="Lait")*(CB4:CB795="SUSP")*(COUNTIF(AI181,"*"&amp;CC4:CC795&amp;"*")&gt;0)*1))</f>
        <v>0</v>
      </c>
      <c r="AZ181" s="6625" cm="1">
        <f t="array" ref="AZ181">IF(W181="",0,SUMPRODUCT((CA4:CA795="Fruits a coque")*(CB4:CB795="EXCL")*(COUNTIF(AI181,"*"&amp;CC4:CC795&amp;"*")&gt;0)*1))</f>
        <v>0</v>
      </c>
      <c r="BA181" s="6625" cm="1">
        <f t="array" ref="BA181">IF(W181="",0,SUMPRODUCT((CA4:CA795="Fruits a coque")*(CB4:CB795="ALERTE")*(COUNTIF(AI181,"*"&amp;CC4:CC795&amp;"*")&gt;0)*1))</f>
        <v>0</v>
      </c>
      <c r="BB181" s="6625" cm="1">
        <f t="array" ref="BB181">IF(W181="",0,SUMPRODUCT((CA4:CA795="Celeri")*(CB4:CB795="ALERTE")*(COUNTIF(AI181,"*"&amp;CC4:CC795&amp;"*")&gt;0)*1))</f>
        <v>0</v>
      </c>
      <c r="BC181" s="6625" cm="1">
        <f t="array" ref="BC181">IF(W181="",0,SUMPRODUCT((CA4:CA795="Moutarde")*(CB4:CB795="ALERTE")*(COUNTIF(AI181,"*"&amp;CC4:CC795&amp;"*")&gt;0)*1))</f>
        <v>0</v>
      </c>
      <c r="BD181" s="6625" cm="1">
        <f t="array" ref="BD181">IF(W181="",0,SUMPRODUCT((CA4:CA795="Sesame")*(CB4:CB795="ALERTE")*(COUNTIF(AI181,"*"&amp;CC4:CC795&amp;"*")&gt;0)*1))</f>
        <v>0</v>
      </c>
      <c r="BE181" s="6625" cm="1">
        <f t="array" ref="BE181">IF(W181="",0,SUMPRODUCT((CA4:CA795="Sulfites")*(CB4:CB795="ALERTE")*(COUNTIF(AI181,"*"&amp;CC4:CC795&amp;"*")&gt;0)*1))</f>
        <v>0</v>
      </c>
      <c r="BF181" s="6625" cm="1">
        <f t="array" ref="BF181">IF(W181="",0,SUMPRODUCT((CA4:CA795="Lupin")*(CB4:CB795="ALERTE")*(COUNTIF(AI181,"*"&amp;CC4:CC795&amp;"*")&gt;0)*1))</f>
        <v>0</v>
      </c>
      <c r="BG181" s="6625" cm="1">
        <f t="array" ref="BG181">IF(W181="",0,SUMPRODUCT((CA4:CA795="Mollusques")*(CB4:CB795="EXCL")*(COUNTIF(AI181,"*"&amp;CC4:CC795&amp;"*")&gt;0)*1))</f>
        <v>0</v>
      </c>
      <c r="BH181" s="6625" cm="1">
        <f t="array" ref="BH181">IF(W181="",0,SUMPRODUCT((CA4:CA795="Mollusques")*(CB4:CB795="ALERTE")*(COUNTIF(AI181,"*"&amp;CC4:CC795&amp;"*")&gt;0)*1))</f>
        <v>0</v>
      </c>
      <c r="BI181" s="6625" t="str">
        <f t="shared" si="112"/>
        <v/>
      </c>
      <c r="BJ181" s="6625" t="str">
        <f t="shared" si="113"/>
        <v/>
      </c>
      <c r="BK181" s="6625" t="str">
        <f t="shared" si="114"/>
        <v/>
      </c>
      <c r="BL181" s="6625" t="str">
        <f t="shared" si="115"/>
        <v/>
      </c>
      <c r="BM181" s="6625" t="str">
        <f t="shared" si="116"/>
        <v/>
      </c>
      <c r="BN181" s="6625" t="str">
        <f t="shared" si="117"/>
        <v/>
      </c>
      <c r="BO181" s="6625" t="str">
        <f t="shared" si="118"/>
        <v/>
      </c>
      <c r="BP181" s="6625" t="str">
        <f t="shared" si="119"/>
        <v/>
      </c>
      <c r="BQ181" s="6625" t="str">
        <f t="shared" si="120"/>
        <v/>
      </c>
      <c r="BR181" s="6625" t="str">
        <f t="shared" si="121"/>
        <v/>
      </c>
      <c r="BS181" s="6625" t="str">
        <f t="shared" si="122"/>
        <v/>
      </c>
      <c r="BT181" s="6625" t="str">
        <f t="shared" si="123"/>
        <v/>
      </c>
      <c r="BU181" s="6625" t="str">
        <f t="shared" si="124"/>
        <v/>
      </c>
      <c r="BV181" s="6625" t="str">
        <f t="shared" si="125"/>
        <v/>
      </c>
      <c r="BW181" s="6625" t="str">
        <f t="shared" si="126"/>
        <v/>
      </c>
      <c r="BX181" s="6625" t="str">
        <f t="shared" si="127"/>
        <v/>
      </c>
      <c r="CA181" s="3170" t="s">
        <v>16629</v>
      </c>
      <c r="CB181" s="7634" t="s">
        <v>16255</v>
      </c>
      <c r="CC181" s="3170" t="s">
        <v>16689</v>
      </c>
      <c r="CD181" s="3170" t="s">
        <v>16690</v>
      </c>
    </row>
    <row r="182" spans="2:82" ht="30" customHeight="1">
      <c r="B182" s="7661" t="str">
        <f t="shared" si="88"/>
        <v/>
      </c>
      <c r="C182" s="7661" t="str">
        <f t="shared" si="89"/>
        <v/>
      </c>
      <c r="D182" s="7661" t="str">
        <f t="shared" si="90"/>
        <v/>
      </c>
      <c r="E182" s="7661">
        <f>IF(H181&lt;&gt;"",E181,IF(E181="","",IFERROR(MATCH(TRUE(),INDEX(INDEX($K:$K,E181+1):$K$203&lt;&gt;"",0),0)+E181,"")))</f>
        <v>357</v>
      </c>
      <c r="F182" s="7661">
        <f t="shared" si="128"/>
        <v>0</v>
      </c>
      <c r="G182" s="7661" t="str">
        <f t="shared" si="91"/>
        <v>0</v>
      </c>
      <c r="H182" s="7672" t="str">
        <f t="shared" si="92"/>
        <v/>
      </c>
      <c r="I182" s="7683" t="str">
        <f t="shared" si="93"/>
        <v/>
      </c>
      <c r="J182" s="7673" t="str">
        <f>IF(K182="","",COUNTIF($K$18:K182,"&lt;&gt;"))</f>
        <v/>
      </c>
      <c r="K182" s="7674"/>
      <c r="L182" s="7673" t="str">
        <f t="shared" si="94"/>
        <v/>
      </c>
      <c r="M182" s="7630">
        <f t="shared" si="95"/>
        <v>1</v>
      </c>
      <c r="N182" s="7675">
        <f t="shared" si="96"/>
        <v>165</v>
      </c>
      <c r="O182" s="7676" t="str">
        <f t="shared" si="97"/>
        <v>0</v>
      </c>
      <c r="P182" s="7675">
        <f t="shared" si="98"/>
        <v>1</v>
      </c>
      <c r="Q182" s="7675">
        <f t="shared" si="99"/>
        <v>1</v>
      </c>
      <c r="S182" s="7679" t="str">
        <f t="shared" si="131"/>
        <v>0</v>
      </c>
      <c r="T182" s="7680" t="str">
        <f t="shared" si="131"/>
        <v/>
      </c>
      <c r="V182" s="7677">
        <f t="shared" si="100"/>
        <v>182</v>
      </c>
      <c r="W182" s="7678" t="str">
        <f t="shared" si="130"/>
        <v>0</v>
      </c>
      <c r="X182" s="7677" t="s">
        <v>2</v>
      </c>
      <c r="Y182" s="7702" t="str">
        <f t="shared" si="101"/>
        <v>0</v>
      </c>
      <c r="Z182" s="7703" t="str">
        <f t="shared" si="102"/>
        <v/>
      </c>
      <c r="AA182" s="7681" t="str">
        <f t="shared" si="103"/>
        <v>0</v>
      </c>
      <c r="AB182" s="7682" t="str">
        <f t="shared" si="104"/>
        <v/>
      </c>
      <c r="AC182" s="7677">
        <f t="shared" si="105"/>
        <v>0</v>
      </c>
      <c r="AD182" s="7677">
        <f t="shared" si="106"/>
        <v>0</v>
      </c>
      <c r="AE182" s="7682" t="str">
        <f t="shared" si="107"/>
        <v>aucun match</v>
      </c>
      <c r="AF182" s="6625" t="str">
        <f t="shared" si="108"/>
        <v>0</v>
      </c>
      <c r="AG182" s="6625" t="str">
        <f t="shared" si="109"/>
        <v>0</v>
      </c>
      <c r="AH182" s="6625" t="str">
        <f t="shared" si="110"/>
        <v>0</v>
      </c>
      <c r="AI182" s="6625" t="str">
        <f t="shared" si="111"/>
        <v xml:space="preserve"> 0 </v>
      </c>
      <c r="AJ182" s="6625" cm="1">
        <f t="array" ref="AJ182">IF(W182="",0,SUMPRODUCT((CA4:CA795="Gluten")*(CB4:CB795="INFO")*(COUNTIF(AI182,"*"&amp;CC4:CC795&amp;"*")&gt;0)*1))</f>
        <v>0</v>
      </c>
      <c r="AK182" s="6625" cm="1">
        <f t="array" ref="AK182">IF(W182="",0,SUMPRODUCT((CA4:CA795="Gluten")*(CB4:CB795="EXCL")*(COUNTIF(AI182,"*"&amp;CC4:CC795&amp;"*")&gt;0)*1))</f>
        <v>0</v>
      </c>
      <c r="AL182" s="6625" cm="1">
        <f t="array" ref="AL182">IF(W182="",0,SUMPRODUCT((CA4:CA795="Gluten")*(CB4:CB795="ALERTE")*(COUNTIF(AI182,"*"&amp;CC4:CC795&amp;"*")&gt;0)*1))</f>
        <v>0</v>
      </c>
      <c r="AM182" s="6625" cm="1">
        <f t="array" ref="AM182">IF(W182="",0,SUMPRODUCT((CA4:CA795="Gluten")*(CB4:CB795="SUSP")*(COUNTIF(AI182,"*"&amp;CC4:CC795&amp;"*")&gt;0)*1))</f>
        <v>0</v>
      </c>
      <c r="AN182" s="6625" cm="1">
        <f t="array" ref="AN182">IF(W182="",0,SUMPRODUCT((CA4:CA795="Crustaces")*(CB4:CB795="ALERTE")*(COUNTIF(AI182,"*"&amp;CC4:CC795&amp;"*")&gt;0)*1))</f>
        <v>0</v>
      </c>
      <c r="AO182" s="6625" cm="1">
        <f t="array" ref="AO182">IF(W182="",0,SUMPRODUCT((CA4:CA795="Oeufs")*(CB4:CB795="ALERTE")*(COUNTIF(AI182,"*"&amp;CC4:CC795&amp;"*")&gt;0)*1))</f>
        <v>0</v>
      </c>
      <c r="AP182" s="6625" cm="1">
        <f t="array" ref="AP182">IF(W182="",0,SUMPRODUCT((CA4:CA795="Poissons")*(CB4:CB795="INFO")*(COUNTIF(AI182,"*"&amp;CC4:CC795&amp;"*")&gt;0)*1))</f>
        <v>0</v>
      </c>
      <c r="AQ182" s="6625" cm="1">
        <f t="array" ref="AQ182">IF(W182="",0,SUMPRODUCT((CA4:CA795="Poissons")*(CB4:CB795="EXCL")*(COUNTIF(AI182,"*"&amp;CC4:CC795&amp;"*")&gt;0)*1))</f>
        <v>0</v>
      </c>
      <c r="AR182" s="6625" cm="1">
        <f t="array" ref="AR182">IF(W182="",0,SUMPRODUCT((CA4:CA795="Poissons")*(CB4:CB795="ALERTE")*(COUNTIF(AI182,"*"&amp;CC4:CC795&amp;"*")&gt;0)*1))</f>
        <v>0</v>
      </c>
      <c r="AS182" s="6625" cm="1">
        <f t="array" ref="AS182">IF(W182="",0,SUMPRODUCT((CA4:CA795="Arachides")*(CB4:CB795="ALERTE")*(COUNTIF(AI182,"*"&amp;CC4:CC795&amp;"*")&gt;0)*1))</f>
        <v>0</v>
      </c>
      <c r="AT182" s="6625" cm="1">
        <f t="array" ref="AT182">IF(W182="",0,SUMPRODUCT((CA4:CA795="Soja")*(CB4:CB795="INFO")*(COUNTIF(AI182,"*"&amp;CC4:CC795&amp;"*")&gt;0)*1))</f>
        <v>0</v>
      </c>
      <c r="AU182" s="6625" cm="1">
        <f t="array" ref="AU182">IF(W182="",0,SUMPRODUCT((CA4:CA795="Soja")*(CB4:CB795="ALERTE")*(COUNTIF(AI182,"*"&amp;CC4:CC795&amp;"*")&gt;0)*1))</f>
        <v>0</v>
      </c>
      <c r="AV182" s="6625" cm="1">
        <f t="array" ref="AV182">IF(W182="",0,SUMPRODUCT((CA4:CA795="Lait")*(CB4:CB795="INFO")*(COUNTIF(AI182,"*"&amp;CC4:CC795&amp;"*")&gt;0)*1))</f>
        <v>0</v>
      </c>
      <c r="AW182" s="6625" cm="1">
        <f t="array" ref="AW182">IF(W182="",0,SUMPRODUCT((CA4:CA795="Lait")*(CB4:CB795="EXCL")*(COUNTIF(AI182,"*"&amp;CC4:CC795&amp;"*")&gt;0)*1))</f>
        <v>0</v>
      </c>
      <c r="AX182" s="6625" cm="1">
        <f t="array" ref="AX182">IF(W182="",0,SUMPRODUCT((CA4:CA795="Lait")*(CB4:CB795="ALERTE")*(COUNTIF(AI182,"*"&amp;CC4:CC795&amp;"*")&gt;0)*1))</f>
        <v>0</v>
      </c>
      <c r="AY182" s="6625" cm="1">
        <f t="array" ref="AY182">IF(W182="",0,SUMPRODUCT((CA4:CA795="Lait")*(CB4:CB795="SUSP")*(COUNTIF(AI182,"*"&amp;CC4:CC795&amp;"*")&gt;0)*1))</f>
        <v>0</v>
      </c>
      <c r="AZ182" s="6625" cm="1">
        <f t="array" ref="AZ182">IF(W182="",0,SUMPRODUCT((CA4:CA795="Fruits a coque")*(CB4:CB795="EXCL")*(COUNTIF(AI182,"*"&amp;CC4:CC795&amp;"*")&gt;0)*1))</f>
        <v>0</v>
      </c>
      <c r="BA182" s="6625" cm="1">
        <f t="array" ref="BA182">IF(W182="",0,SUMPRODUCT((CA4:CA795="Fruits a coque")*(CB4:CB795="ALERTE")*(COUNTIF(AI182,"*"&amp;CC4:CC795&amp;"*")&gt;0)*1))</f>
        <v>0</v>
      </c>
      <c r="BB182" s="6625" cm="1">
        <f t="array" ref="BB182">IF(W182="",0,SUMPRODUCT((CA4:CA795="Celeri")*(CB4:CB795="ALERTE")*(COUNTIF(AI182,"*"&amp;CC4:CC795&amp;"*")&gt;0)*1))</f>
        <v>0</v>
      </c>
      <c r="BC182" s="6625" cm="1">
        <f t="array" ref="BC182">IF(W182="",0,SUMPRODUCT((CA4:CA795="Moutarde")*(CB4:CB795="ALERTE")*(COUNTIF(AI182,"*"&amp;CC4:CC795&amp;"*")&gt;0)*1))</f>
        <v>0</v>
      </c>
      <c r="BD182" s="6625" cm="1">
        <f t="array" ref="BD182">IF(W182="",0,SUMPRODUCT((CA4:CA795="Sesame")*(CB4:CB795="ALERTE")*(COUNTIF(AI182,"*"&amp;CC4:CC795&amp;"*")&gt;0)*1))</f>
        <v>0</v>
      </c>
      <c r="BE182" s="6625" cm="1">
        <f t="array" ref="BE182">IF(W182="",0,SUMPRODUCT((CA4:CA795="Sulfites")*(CB4:CB795="ALERTE")*(COUNTIF(AI182,"*"&amp;CC4:CC795&amp;"*")&gt;0)*1))</f>
        <v>0</v>
      </c>
      <c r="BF182" s="6625" cm="1">
        <f t="array" ref="BF182">IF(W182="",0,SUMPRODUCT((CA4:CA795="Lupin")*(CB4:CB795="ALERTE")*(COUNTIF(AI182,"*"&amp;CC4:CC795&amp;"*")&gt;0)*1))</f>
        <v>0</v>
      </c>
      <c r="BG182" s="6625" cm="1">
        <f t="array" ref="BG182">IF(W182="",0,SUMPRODUCT((CA4:CA795="Mollusques")*(CB4:CB795="EXCL")*(COUNTIF(AI182,"*"&amp;CC4:CC795&amp;"*")&gt;0)*1))</f>
        <v>0</v>
      </c>
      <c r="BH182" s="6625" cm="1">
        <f t="array" ref="BH182">IF(W182="",0,SUMPRODUCT((CA4:CA795="Mollusques")*(CB4:CB795="ALERTE")*(COUNTIF(AI182,"*"&amp;CC4:CC795&amp;"*")&gt;0)*1))</f>
        <v>0</v>
      </c>
      <c r="BI182" s="6625" t="str">
        <f t="shared" si="112"/>
        <v/>
      </c>
      <c r="BJ182" s="6625" t="str">
        <f t="shared" si="113"/>
        <v/>
      </c>
      <c r="BK182" s="6625" t="str">
        <f t="shared" si="114"/>
        <v/>
      </c>
      <c r="BL182" s="6625" t="str">
        <f t="shared" si="115"/>
        <v/>
      </c>
      <c r="BM182" s="6625" t="str">
        <f t="shared" si="116"/>
        <v/>
      </c>
      <c r="BN182" s="6625" t="str">
        <f t="shared" si="117"/>
        <v/>
      </c>
      <c r="BO182" s="6625" t="str">
        <f t="shared" si="118"/>
        <v/>
      </c>
      <c r="BP182" s="6625" t="str">
        <f t="shared" si="119"/>
        <v/>
      </c>
      <c r="BQ182" s="6625" t="str">
        <f t="shared" si="120"/>
        <v/>
      </c>
      <c r="BR182" s="6625" t="str">
        <f t="shared" si="121"/>
        <v/>
      </c>
      <c r="BS182" s="6625" t="str">
        <f t="shared" si="122"/>
        <v/>
      </c>
      <c r="BT182" s="6625" t="str">
        <f t="shared" si="123"/>
        <v/>
      </c>
      <c r="BU182" s="6625" t="str">
        <f t="shared" si="124"/>
        <v/>
      </c>
      <c r="BV182" s="6625" t="str">
        <f t="shared" si="125"/>
        <v/>
      </c>
      <c r="BW182" s="6625" t="str">
        <f t="shared" si="126"/>
        <v/>
      </c>
      <c r="BX182" s="6625" t="str">
        <f t="shared" si="127"/>
        <v/>
      </c>
      <c r="CA182" s="3170" t="s">
        <v>16629</v>
      </c>
      <c r="CB182" s="7634" t="s">
        <v>16255</v>
      </c>
      <c r="CC182" s="3170" t="s">
        <v>16691</v>
      </c>
      <c r="CD182" s="3170" t="s">
        <v>16692</v>
      </c>
    </row>
    <row r="183" spans="2:82" ht="30" customHeight="1">
      <c r="B183" s="7661" t="str">
        <f t="shared" si="88"/>
        <v/>
      </c>
      <c r="C183" s="7661" t="str">
        <f t="shared" si="89"/>
        <v/>
      </c>
      <c r="D183" s="7661" t="str">
        <f t="shared" si="90"/>
        <v/>
      </c>
      <c r="E183" s="7661">
        <f>IF(H182&lt;&gt;"",E182,IF(E182="","",IFERROR(MATCH(TRUE(),INDEX(INDEX($K:$K,E182+1):$K$203&lt;&gt;"",0),0)+E182,"")))</f>
        <v>358</v>
      </c>
      <c r="F183" s="7661">
        <f t="shared" si="128"/>
        <v>0</v>
      </c>
      <c r="G183" s="7661" t="str">
        <f t="shared" si="91"/>
        <v>0</v>
      </c>
      <c r="H183" s="7672" t="str">
        <f t="shared" si="92"/>
        <v/>
      </c>
      <c r="I183" s="7683" t="str">
        <f t="shared" si="93"/>
        <v/>
      </c>
      <c r="J183" s="7673" t="str">
        <f>IF(K183="","",COUNTIF($K$18:K183,"&lt;&gt;"))</f>
        <v/>
      </c>
      <c r="K183" s="7674"/>
      <c r="L183" s="7673" t="str">
        <f t="shared" si="94"/>
        <v/>
      </c>
      <c r="M183" s="7630">
        <f t="shared" si="95"/>
        <v>1</v>
      </c>
      <c r="N183" s="7675">
        <f t="shared" si="96"/>
        <v>166</v>
      </c>
      <c r="O183" s="7676" t="str">
        <f t="shared" si="97"/>
        <v>0</v>
      </c>
      <c r="P183" s="7675">
        <f t="shared" si="98"/>
        <v>1</v>
      </c>
      <c r="Q183" s="7675">
        <f t="shared" si="99"/>
        <v>1</v>
      </c>
      <c r="S183" s="7679" t="str">
        <f t="shared" si="131"/>
        <v>0</v>
      </c>
      <c r="T183" s="7680" t="str">
        <f t="shared" si="131"/>
        <v/>
      </c>
      <c r="V183" s="7677">
        <f t="shared" si="100"/>
        <v>183</v>
      </c>
      <c r="W183" s="7678" t="str">
        <f t="shared" si="130"/>
        <v>0</v>
      </c>
      <c r="X183" s="7677" t="s">
        <v>2</v>
      </c>
      <c r="Y183" s="7702" t="str">
        <f t="shared" si="101"/>
        <v>0</v>
      </c>
      <c r="Z183" s="7703" t="str">
        <f t="shared" si="102"/>
        <v/>
      </c>
      <c r="AA183" s="7681" t="str">
        <f t="shared" si="103"/>
        <v>0</v>
      </c>
      <c r="AB183" s="7682" t="str">
        <f t="shared" si="104"/>
        <v/>
      </c>
      <c r="AC183" s="7677">
        <f t="shared" si="105"/>
        <v>0</v>
      </c>
      <c r="AD183" s="7677">
        <f t="shared" si="106"/>
        <v>0</v>
      </c>
      <c r="AE183" s="7682" t="str">
        <f t="shared" si="107"/>
        <v>aucun match</v>
      </c>
      <c r="AF183" s="6625" t="str">
        <f t="shared" si="108"/>
        <v>0</v>
      </c>
      <c r="AG183" s="6625" t="str">
        <f t="shared" si="109"/>
        <v>0</v>
      </c>
      <c r="AH183" s="6625" t="str">
        <f t="shared" si="110"/>
        <v>0</v>
      </c>
      <c r="AI183" s="6625" t="str">
        <f t="shared" si="111"/>
        <v xml:space="preserve"> 0 </v>
      </c>
      <c r="AJ183" s="6625" cm="1">
        <f t="array" ref="AJ183">IF(W183="",0,SUMPRODUCT((CA4:CA795="Gluten")*(CB4:CB795="INFO")*(COUNTIF(AI183,"*"&amp;CC4:CC795&amp;"*")&gt;0)*1))</f>
        <v>0</v>
      </c>
      <c r="AK183" s="6625" cm="1">
        <f t="array" ref="AK183">IF(W183="",0,SUMPRODUCT((CA4:CA795="Gluten")*(CB4:CB795="EXCL")*(COUNTIF(AI183,"*"&amp;CC4:CC795&amp;"*")&gt;0)*1))</f>
        <v>0</v>
      </c>
      <c r="AL183" s="6625" cm="1">
        <f t="array" ref="AL183">IF(W183="",0,SUMPRODUCT((CA4:CA795="Gluten")*(CB4:CB795="ALERTE")*(COUNTIF(AI183,"*"&amp;CC4:CC795&amp;"*")&gt;0)*1))</f>
        <v>0</v>
      </c>
      <c r="AM183" s="6625" cm="1">
        <f t="array" ref="AM183">IF(W183="",0,SUMPRODUCT((CA4:CA795="Gluten")*(CB4:CB795="SUSP")*(COUNTIF(AI183,"*"&amp;CC4:CC795&amp;"*")&gt;0)*1))</f>
        <v>0</v>
      </c>
      <c r="AN183" s="6625" cm="1">
        <f t="array" ref="AN183">IF(W183="",0,SUMPRODUCT((CA4:CA795="Crustaces")*(CB4:CB795="ALERTE")*(COUNTIF(AI183,"*"&amp;CC4:CC795&amp;"*")&gt;0)*1))</f>
        <v>0</v>
      </c>
      <c r="AO183" s="6625" cm="1">
        <f t="array" ref="AO183">IF(W183="",0,SUMPRODUCT((CA4:CA795="Oeufs")*(CB4:CB795="ALERTE")*(COUNTIF(AI183,"*"&amp;CC4:CC795&amp;"*")&gt;0)*1))</f>
        <v>0</v>
      </c>
      <c r="AP183" s="6625" cm="1">
        <f t="array" ref="AP183">IF(W183="",0,SUMPRODUCT((CA4:CA795="Poissons")*(CB4:CB795="INFO")*(COUNTIF(AI183,"*"&amp;CC4:CC795&amp;"*")&gt;0)*1))</f>
        <v>0</v>
      </c>
      <c r="AQ183" s="6625" cm="1">
        <f t="array" ref="AQ183">IF(W183="",0,SUMPRODUCT((CA4:CA795="Poissons")*(CB4:CB795="EXCL")*(COUNTIF(AI183,"*"&amp;CC4:CC795&amp;"*")&gt;0)*1))</f>
        <v>0</v>
      </c>
      <c r="AR183" s="6625" cm="1">
        <f t="array" ref="AR183">IF(W183="",0,SUMPRODUCT((CA4:CA795="Poissons")*(CB4:CB795="ALERTE")*(COUNTIF(AI183,"*"&amp;CC4:CC795&amp;"*")&gt;0)*1))</f>
        <v>0</v>
      </c>
      <c r="AS183" s="6625" cm="1">
        <f t="array" ref="AS183">IF(W183="",0,SUMPRODUCT((CA4:CA795="Arachides")*(CB4:CB795="ALERTE")*(COUNTIF(AI183,"*"&amp;CC4:CC795&amp;"*")&gt;0)*1))</f>
        <v>0</v>
      </c>
      <c r="AT183" s="6625" cm="1">
        <f t="array" ref="AT183">IF(W183="",0,SUMPRODUCT((CA4:CA795="Soja")*(CB4:CB795="INFO")*(COUNTIF(AI183,"*"&amp;CC4:CC795&amp;"*")&gt;0)*1))</f>
        <v>0</v>
      </c>
      <c r="AU183" s="6625" cm="1">
        <f t="array" ref="AU183">IF(W183="",0,SUMPRODUCT((CA4:CA795="Soja")*(CB4:CB795="ALERTE")*(COUNTIF(AI183,"*"&amp;CC4:CC795&amp;"*")&gt;0)*1))</f>
        <v>0</v>
      </c>
      <c r="AV183" s="6625" cm="1">
        <f t="array" ref="AV183">IF(W183="",0,SUMPRODUCT((CA4:CA795="Lait")*(CB4:CB795="INFO")*(COUNTIF(AI183,"*"&amp;CC4:CC795&amp;"*")&gt;0)*1))</f>
        <v>0</v>
      </c>
      <c r="AW183" s="6625" cm="1">
        <f t="array" ref="AW183">IF(W183="",0,SUMPRODUCT((CA4:CA795="Lait")*(CB4:CB795="EXCL")*(COUNTIF(AI183,"*"&amp;CC4:CC795&amp;"*")&gt;0)*1))</f>
        <v>0</v>
      </c>
      <c r="AX183" s="6625" cm="1">
        <f t="array" ref="AX183">IF(W183="",0,SUMPRODUCT((CA4:CA795="Lait")*(CB4:CB795="ALERTE")*(COUNTIF(AI183,"*"&amp;CC4:CC795&amp;"*")&gt;0)*1))</f>
        <v>0</v>
      </c>
      <c r="AY183" s="6625" cm="1">
        <f t="array" ref="AY183">IF(W183="",0,SUMPRODUCT((CA4:CA795="Lait")*(CB4:CB795="SUSP")*(COUNTIF(AI183,"*"&amp;CC4:CC795&amp;"*")&gt;0)*1))</f>
        <v>0</v>
      </c>
      <c r="AZ183" s="6625" cm="1">
        <f t="array" ref="AZ183">IF(W183="",0,SUMPRODUCT((CA4:CA795="Fruits a coque")*(CB4:CB795="EXCL")*(COUNTIF(AI183,"*"&amp;CC4:CC795&amp;"*")&gt;0)*1))</f>
        <v>0</v>
      </c>
      <c r="BA183" s="6625" cm="1">
        <f t="array" ref="BA183">IF(W183="",0,SUMPRODUCT((CA4:CA795="Fruits a coque")*(CB4:CB795="ALERTE")*(COUNTIF(AI183,"*"&amp;CC4:CC795&amp;"*")&gt;0)*1))</f>
        <v>0</v>
      </c>
      <c r="BB183" s="6625" cm="1">
        <f t="array" ref="BB183">IF(W183="",0,SUMPRODUCT((CA4:CA795="Celeri")*(CB4:CB795="ALERTE")*(COUNTIF(AI183,"*"&amp;CC4:CC795&amp;"*")&gt;0)*1))</f>
        <v>0</v>
      </c>
      <c r="BC183" s="6625" cm="1">
        <f t="array" ref="BC183">IF(W183="",0,SUMPRODUCT((CA4:CA795="Moutarde")*(CB4:CB795="ALERTE")*(COUNTIF(AI183,"*"&amp;CC4:CC795&amp;"*")&gt;0)*1))</f>
        <v>0</v>
      </c>
      <c r="BD183" s="6625" cm="1">
        <f t="array" ref="BD183">IF(W183="",0,SUMPRODUCT((CA4:CA795="Sesame")*(CB4:CB795="ALERTE")*(COUNTIF(AI183,"*"&amp;CC4:CC795&amp;"*")&gt;0)*1))</f>
        <v>0</v>
      </c>
      <c r="BE183" s="6625" cm="1">
        <f t="array" ref="BE183">IF(W183="",0,SUMPRODUCT((CA4:CA795="Sulfites")*(CB4:CB795="ALERTE")*(COUNTIF(AI183,"*"&amp;CC4:CC795&amp;"*")&gt;0)*1))</f>
        <v>0</v>
      </c>
      <c r="BF183" s="6625" cm="1">
        <f t="array" ref="BF183">IF(W183="",0,SUMPRODUCT((CA4:CA795="Lupin")*(CB4:CB795="ALERTE")*(COUNTIF(AI183,"*"&amp;CC4:CC795&amp;"*")&gt;0)*1))</f>
        <v>0</v>
      </c>
      <c r="BG183" s="6625" cm="1">
        <f t="array" ref="BG183">IF(W183="",0,SUMPRODUCT((CA4:CA795="Mollusques")*(CB4:CB795="EXCL")*(COUNTIF(AI183,"*"&amp;CC4:CC795&amp;"*")&gt;0)*1))</f>
        <v>0</v>
      </c>
      <c r="BH183" s="6625" cm="1">
        <f t="array" ref="BH183">IF(W183="",0,SUMPRODUCT((CA4:CA795="Mollusques")*(CB4:CB795="ALERTE")*(COUNTIF(AI183,"*"&amp;CC4:CC795&amp;"*")&gt;0)*1))</f>
        <v>0</v>
      </c>
      <c r="BI183" s="6625" t="str">
        <f t="shared" si="112"/>
        <v/>
      </c>
      <c r="BJ183" s="6625" t="str">
        <f t="shared" si="113"/>
        <v/>
      </c>
      <c r="BK183" s="6625" t="str">
        <f t="shared" si="114"/>
        <v/>
      </c>
      <c r="BL183" s="6625" t="str">
        <f t="shared" si="115"/>
        <v/>
      </c>
      <c r="BM183" s="6625" t="str">
        <f t="shared" si="116"/>
        <v/>
      </c>
      <c r="BN183" s="6625" t="str">
        <f t="shared" si="117"/>
        <v/>
      </c>
      <c r="BO183" s="6625" t="str">
        <f t="shared" si="118"/>
        <v/>
      </c>
      <c r="BP183" s="6625" t="str">
        <f t="shared" si="119"/>
        <v/>
      </c>
      <c r="BQ183" s="6625" t="str">
        <f t="shared" si="120"/>
        <v/>
      </c>
      <c r="BR183" s="6625" t="str">
        <f t="shared" si="121"/>
        <v/>
      </c>
      <c r="BS183" s="6625" t="str">
        <f t="shared" si="122"/>
        <v/>
      </c>
      <c r="BT183" s="6625" t="str">
        <f t="shared" si="123"/>
        <v/>
      </c>
      <c r="BU183" s="6625" t="str">
        <f t="shared" si="124"/>
        <v/>
      </c>
      <c r="BV183" s="6625" t="str">
        <f t="shared" si="125"/>
        <v/>
      </c>
      <c r="BW183" s="6625" t="str">
        <f t="shared" si="126"/>
        <v/>
      </c>
      <c r="BX183" s="6625" t="str">
        <f t="shared" si="127"/>
        <v/>
      </c>
      <c r="CA183" s="3170" t="s">
        <v>16629</v>
      </c>
      <c r="CB183" s="7634" t="s">
        <v>16255</v>
      </c>
      <c r="CC183" s="3170" t="s">
        <v>16693</v>
      </c>
      <c r="CD183" s="3170" t="s">
        <v>16694</v>
      </c>
    </row>
    <row r="184" spans="2:82" ht="30" customHeight="1">
      <c r="B184" s="7661" t="str">
        <f t="shared" si="88"/>
        <v/>
      </c>
      <c r="C184" s="7661" t="str">
        <f t="shared" si="89"/>
        <v/>
      </c>
      <c r="D184" s="7661" t="str">
        <f t="shared" si="90"/>
        <v/>
      </c>
      <c r="E184" s="7661">
        <f>IF(H183&lt;&gt;"",E183,IF(E183="","",IFERROR(MATCH(TRUE(),INDEX(INDEX($K:$K,E183+1):$K$203&lt;&gt;"",0),0)+E183,"")))</f>
        <v>359</v>
      </c>
      <c r="F184" s="7661">
        <f t="shared" si="128"/>
        <v>0</v>
      </c>
      <c r="G184" s="7661" t="str">
        <f t="shared" si="91"/>
        <v>0</v>
      </c>
      <c r="H184" s="7672" t="str">
        <f t="shared" si="92"/>
        <v/>
      </c>
      <c r="I184" s="7683" t="str">
        <f t="shared" si="93"/>
        <v/>
      </c>
      <c r="J184" s="7673" t="str">
        <f>IF(K184="","",COUNTIF($K$18:K184,"&lt;&gt;"))</f>
        <v/>
      </c>
      <c r="K184" s="7674"/>
      <c r="L184" s="7673" t="str">
        <f t="shared" si="94"/>
        <v/>
      </c>
      <c r="M184" s="7630">
        <f t="shared" si="95"/>
        <v>1</v>
      </c>
      <c r="N184" s="7675">
        <f t="shared" si="96"/>
        <v>167</v>
      </c>
      <c r="O184" s="7676" t="str">
        <f t="shared" si="97"/>
        <v>0</v>
      </c>
      <c r="P184" s="7675">
        <f t="shared" si="98"/>
        <v>1</v>
      </c>
      <c r="Q184" s="7675">
        <f t="shared" si="99"/>
        <v>1</v>
      </c>
      <c r="S184" s="7679" t="str">
        <f t="shared" si="131"/>
        <v>0</v>
      </c>
      <c r="T184" s="7680" t="str">
        <f t="shared" si="131"/>
        <v/>
      </c>
      <c r="V184" s="7677">
        <f t="shared" si="100"/>
        <v>184</v>
      </c>
      <c r="W184" s="7678" t="str">
        <f t="shared" si="130"/>
        <v>0</v>
      </c>
      <c r="X184" s="7677" t="s">
        <v>2</v>
      </c>
      <c r="Y184" s="7702" t="str">
        <f t="shared" si="101"/>
        <v>0</v>
      </c>
      <c r="Z184" s="7703" t="str">
        <f t="shared" si="102"/>
        <v/>
      </c>
      <c r="AA184" s="7681" t="str">
        <f t="shared" si="103"/>
        <v>0</v>
      </c>
      <c r="AB184" s="7682" t="str">
        <f t="shared" si="104"/>
        <v/>
      </c>
      <c r="AC184" s="7677">
        <f t="shared" si="105"/>
        <v>0</v>
      </c>
      <c r="AD184" s="7677">
        <f t="shared" si="106"/>
        <v>0</v>
      </c>
      <c r="AE184" s="7682" t="str">
        <f t="shared" si="107"/>
        <v>aucun match</v>
      </c>
      <c r="AF184" s="6625" t="str">
        <f t="shared" si="108"/>
        <v>0</v>
      </c>
      <c r="AG184" s="6625" t="str">
        <f t="shared" si="109"/>
        <v>0</v>
      </c>
      <c r="AH184" s="6625" t="str">
        <f t="shared" si="110"/>
        <v>0</v>
      </c>
      <c r="AI184" s="6625" t="str">
        <f t="shared" si="111"/>
        <v xml:space="preserve"> 0 </v>
      </c>
      <c r="AJ184" s="6625" cm="1">
        <f t="array" ref="AJ184">IF(W184="",0,SUMPRODUCT((CA4:CA795="Gluten")*(CB4:CB795="INFO")*(COUNTIF(AI184,"*"&amp;CC4:CC795&amp;"*")&gt;0)*1))</f>
        <v>0</v>
      </c>
      <c r="AK184" s="6625" cm="1">
        <f t="array" ref="AK184">IF(W184="",0,SUMPRODUCT((CA4:CA795="Gluten")*(CB4:CB795="EXCL")*(COUNTIF(AI184,"*"&amp;CC4:CC795&amp;"*")&gt;0)*1))</f>
        <v>0</v>
      </c>
      <c r="AL184" s="6625" cm="1">
        <f t="array" ref="AL184">IF(W184="",0,SUMPRODUCT((CA4:CA795="Gluten")*(CB4:CB795="ALERTE")*(COUNTIF(AI184,"*"&amp;CC4:CC795&amp;"*")&gt;0)*1))</f>
        <v>0</v>
      </c>
      <c r="AM184" s="6625" cm="1">
        <f t="array" ref="AM184">IF(W184="",0,SUMPRODUCT((CA4:CA795="Gluten")*(CB4:CB795="SUSP")*(COUNTIF(AI184,"*"&amp;CC4:CC795&amp;"*")&gt;0)*1))</f>
        <v>0</v>
      </c>
      <c r="AN184" s="6625" cm="1">
        <f t="array" ref="AN184">IF(W184="",0,SUMPRODUCT((CA4:CA795="Crustaces")*(CB4:CB795="ALERTE")*(COUNTIF(AI184,"*"&amp;CC4:CC795&amp;"*")&gt;0)*1))</f>
        <v>0</v>
      </c>
      <c r="AO184" s="6625" cm="1">
        <f t="array" ref="AO184">IF(W184="",0,SUMPRODUCT((CA4:CA795="Oeufs")*(CB4:CB795="ALERTE")*(COUNTIF(AI184,"*"&amp;CC4:CC795&amp;"*")&gt;0)*1))</f>
        <v>0</v>
      </c>
      <c r="AP184" s="6625" cm="1">
        <f t="array" ref="AP184">IF(W184="",0,SUMPRODUCT((CA4:CA795="Poissons")*(CB4:CB795="INFO")*(COUNTIF(AI184,"*"&amp;CC4:CC795&amp;"*")&gt;0)*1))</f>
        <v>0</v>
      </c>
      <c r="AQ184" s="6625" cm="1">
        <f t="array" ref="AQ184">IF(W184="",0,SUMPRODUCT((CA4:CA795="Poissons")*(CB4:CB795="EXCL")*(COUNTIF(AI184,"*"&amp;CC4:CC795&amp;"*")&gt;0)*1))</f>
        <v>0</v>
      </c>
      <c r="AR184" s="6625" cm="1">
        <f t="array" ref="AR184">IF(W184="",0,SUMPRODUCT((CA4:CA795="Poissons")*(CB4:CB795="ALERTE")*(COUNTIF(AI184,"*"&amp;CC4:CC795&amp;"*")&gt;0)*1))</f>
        <v>0</v>
      </c>
      <c r="AS184" s="6625" cm="1">
        <f t="array" ref="AS184">IF(W184="",0,SUMPRODUCT((CA4:CA795="Arachides")*(CB4:CB795="ALERTE")*(COUNTIF(AI184,"*"&amp;CC4:CC795&amp;"*")&gt;0)*1))</f>
        <v>0</v>
      </c>
      <c r="AT184" s="6625" cm="1">
        <f t="array" ref="AT184">IF(W184="",0,SUMPRODUCT((CA4:CA795="Soja")*(CB4:CB795="INFO")*(COUNTIF(AI184,"*"&amp;CC4:CC795&amp;"*")&gt;0)*1))</f>
        <v>0</v>
      </c>
      <c r="AU184" s="6625" cm="1">
        <f t="array" ref="AU184">IF(W184="",0,SUMPRODUCT((CA4:CA795="Soja")*(CB4:CB795="ALERTE")*(COUNTIF(AI184,"*"&amp;CC4:CC795&amp;"*")&gt;0)*1))</f>
        <v>0</v>
      </c>
      <c r="AV184" s="6625" cm="1">
        <f t="array" ref="AV184">IF(W184="",0,SUMPRODUCT((CA4:CA795="Lait")*(CB4:CB795="INFO")*(COUNTIF(AI184,"*"&amp;CC4:CC795&amp;"*")&gt;0)*1))</f>
        <v>0</v>
      </c>
      <c r="AW184" s="6625" cm="1">
        <f t="array" ref="AW184">IF(W184="",0,SUMPRODUCT((CA4:CA795="Lait")*(CB4:CB795="EXCL")*(COUNTIF(AI184,"*"&amp;CC4:CC795&amp;"*")&gt;0)*1))</f>
        <v>0</v>
      </c>
      <c r="AX184" s="6625" cm="1">
        <f t="array" ref="AX184">IF(W184="",0,SUMPRODUCT((CA4:CA795="Lait")*(CB4:CB795="ALERTE")*(COUNTIF(AI184,"*"&amp;CC4:CC795&amp;"*")&gt;0)*1))</f>
        <v>0</v>
      </c>
      <c r="AY184" s="6625" cm="1">
        <f t="array" ref="AY184">IF(W184="",0,SUMPRODUCT((CA4:CA795="Lait")*(CB4:CB795="SUSP")*(COUNTIF(AI184,"*"&amp;CC4:CC795&amp;"*")&gt;0)*1))</f>
        <v>0</v>
      </c>
      <c r="AZ184" s="6625" cm="1">
        <f t="array" ref="AZ184">IF(W184="",0,SUMPRODUCT((CA4:CA795="Fruits a coque")*(CB4:CB795="EXCL")*(COUNTIF(AI184,"*"&amp;CC4:CC795&amp;"*")&gt;0)*1))</f>
        <v>0</v>
      </c>
      <c r="BA184" s="6625" cm="1">
        <f t="array" ref="BA184">IF(W184="",0,SUMPRODUCT((CA4:CA795="Fruits a coque")*(CB4:CB795="ALERTE")*(COUNTIF(AI184,"*"&amp;CC4:CC795&amp;"*")&gt;0)*1))</f>
        <v>0</v>
      </c>
      <c r="BB184" s="6625" cm="1">
        <f t="array" ref="BB184">IF(W184="",0,SUMPRODUCT((CA4:CA795="Celeri")*(CB4:CB795="ALERTE")*(COUNTIF(AI184,"*"&amp;CC4:CC795&amp;"*")&gt;0)*1))</f>
        <v>0</v>
      </c>
      <c r="BC184" s="6625" cm="1">
        <f t="array" ref="BC184">IF(W184="",0,SUMPRODUCT((CA4:CA795="Moutarde")*(CB4:CB795="ALERTE")*(COUNTIF(AI184,"*"&amp;CC4:CC795&amp;"*")&gt;0)*1))</f>
        <v>0</v>
      </c>
      <c r="BD184" s="6625" cm="1">
        <f t="array" ref="BD184">IF(W184="",0,SUMPRODUCT((CA4:CA795="Sesame")*(CB4:CB795="ALERTE")*(COUNTIF(AI184,"*"&amp;CC4:CC795&amp;"*")&gt;0)*1))</f>
        <v>0</v>
      </c>
      <c r="BE184" s="6625" cm="1">
        <f t="array" ref="BE184">IF(W184="",0,SUMPRODUCT((CA4:CA795="Sulfites")*(CB4:CB795="ALERTE")*(COUNTIF(AI184,"*"&amp;CC4:CC795&amp;"*")&gt;0)*1))</f>
        <v>0</v>
      </c>
      <c r="BF184" s="6625" cm="1">
        <f t="array" ref="BF184">IF(W184="",0,SUMPRODUCT((CA4:CA795="Lupin")*(CB4:CB795="ALERTE")*(COUNTIF(AI184,"*"&amp;CC4:CC795&amp;"*")&gt;0)*1))</f>
        <v>0</v>
      </c>
      <c r="BG184" s="6625" cm="1">
        <f t="array" ref="BG184">IF(W184="",0,SUMPRODUCT((CA4:CA795="Mollusques")*(CB4:CB795="EXCL")*(COUNTIF(AI184,"*"&amp;CC4:CC795&amp;"*")&gt;0)*1))</f>
        <v>0</v>
      </c>
      <c r="BH184" s="6625" cm="1">
        <f t="array" ref="BH184">IF(W184="",0,SUMPRODUCT((CA4:CA795="Mollusques")*(CB4:CB795="ALERTE")*(COUNTIF(AI184,"*"&amp;CC4:CC795&amp;"*")&gt;0)*1))</f>
        <v>0</v>
      </c>
      <c r="BI184" s="6625" t="str">
        <f t="shared" si="112"/>
        <v/>
      </c>
      <c r="BJ184" s="6625" t="str">
        <f t="shared" si="113"/>
        <v/>
      </c>
      <c r="BK184" s="6625" t="str">
        <f t="shared" si="114"/>
        <v/>
      </c>
      <c r="BL184" s="6625" t="str">
        <f t="shared" si="115"/>
        <v/>
      </c>
      <c r="BM184" s="6625" t="str">
        <f t="shared" si="116"/>
        <v/>
      </c>
      <c r="BN184" s="6625" t="str">
        <f t="shared" si="117"/>
        <v/>
      </c>
      <c r="BO184" s="6625" t="str">
        <f t="shared" si="118"/>
        <v/>
      </c>
      <c r="BP184" s="6625" t="str">
        <f t="shared" si="119"/>
        <v/>
      </c>
      <c r="BQ184" s="6625" t="str">
        <f t="shared" si="120"/>
        <v/>
      </c>
      <c r="BR184" s="6625" t="str">
        <f t="shared" si="121"/>
        <v/>
      </c>
      <c r="BS184" s="6625" t="str">
        <f t="shared" si="122"/>
        <v/>
      </c>
      <c r="BT184" s="6625" t="str">
        <f t="shared" si="123"/>
        <v/>
      </c>
      <c r="BU184" s="6625" t="str">
        <f t="shared" si="124"/>
        <v/>
      </c>
      <c r="BV184" s="6625" t="str">
        <f t="shared" si="125"/>
        <v/>
      </c>
      <c r="BW184" s="6625" t="str">
        <f t="shared" si="126"/>
        <v/>
      </c>
      <c r="BX184" s="6625" t="str">
        <f t="shared" si="127"/>
        <v/>
      </c>
      <c r="CA184" s="3170" t="s">
        <v>16629</v>
      </c>
      <c r="CB184" s="7634" t="s">
        <v>16255</v>
      </c>
      <c r="CC184" s="3170" t="s">
        <v>16695</v>
      </c>
      <c r="CD184" s="3170" t="s">
        <v>16696</v>
      </c>
    </row>
    <row r="185" spans="2:82" ht="30" customHeight="1">
      <c r="B185" s="7661" t="str">
        <f t="shared" si="88"/>
        <v/>
      </c>
      <c r="C185" s="7661" t="str">
        <f t="shared" si="89"/>
        <v/>
      </c>
      <c r="D185" s="7661" t="str">
        <f t="shared" si="90"/>
        <v/>
      </c>
      <c r="E185" s="7661">
        <f>IF(H184&lt;&gt;"",E184,IF(E184="","",IFERROR(MATCH(TRUE(),INDEX(INDEX($K:$K,E184+1):$K$203&lt;&gt;"",0),0)+E184,"")))</f>
        <v>360</v>
      </c>
      <c r="F185" s="7661">
        <f t="shared" si="128"/>
        <v>0</v>
      </c>
      <c r="G185" s="7661" t="str">
        <f t="shared" si="91"/>
        <v>0</v>
      </c>
      <c r="H185" s="7672" t="str">
        <f t="shared" si="92"/>
        <v/>
      </c>
      <c r="I185" s="7683" t="str">
        <f t="shared" si="93"/>
        <v/>
      </c>
      <c r="J185" s="7673" t="str">
        <f>IF(K185="","",COUNTIF($K$18:K185,"&lt;&gt;"))</f>
        <v/>
      </c>
      <c r="K185" s="7674"/>
      <c r="L185" s="7673" t="str">
        <f t="shared" si="94"/>
        <v/>
      </c>
      <c r="M185" s="7630">
        <f t="shared" si="95"/>
        <v>1</v>
      </c>
      <c r="N185" s="7675">
        <f t="shared" si="96"/>
        <v>168</v>
      </c>
      <c r="O185" s="7676" t="str">
        <f t="shared" si="97"/>
        <v>0</v>
      </c>
      <c r="P185" s="7675">
        <f t="shared" si="98"/>
        <v>1</v>
      </c>
      <c r="Q185" s="7675">
        <f t="shared" si="99"/>
        <v>1</v>
      </c>
      <c r="S185" s="7679" t="str">
        <f t="shared" si="131"/>
        <v>0</v>
      </c>
      <c r="T185" s="7680" t="str">
        <f t="shared" si="131"/>
        <v/>
      </c>
      <c r="V185" s="7677">
        <f t="shared" si="100"/>
        <v>185</v>
      </c>
      <c r="W185" s="7678" t="str">
        <f t="shared" si="130"/>
        <v>0</v>
      </c>
      <c r="X185" s="7677" t="s">
        <v>2</v>
      </c>
      <c r="Y185" s="7702" t="str">
        <f t="shared" si="101"/>
        <v>0</v>
      </c>
      <c r="Z185" s="7703" t="str">
        <f t="shared" si="102"/>
        <v/>
      </c>
      <c r="AA185" s="7681" t="str">
        <f t="shared" si="103"/>
        <v>0</v>
      </c>
      <c r="AB185" s="7682" t="str">
        <f t="shared" si="104"/>
        <v/>
      </c>
      <c r="AC185" s="7677">
        <f t="shared" si="105"/>
        <v>0</v>
      </c>
      <c r="AD185" s="7677">
        <f t="shared" si="106"/>
        <v>0</v>
      </c>
      <c r="AE185" s="7682" t="str">
        <f t="shared" si="107"/>
        <v>aucun match</v>
      </c>
      <c r="AF185" s="6625" t="str">
        <f t="shared" si="108"/>
        <v>0</v>
      </c>
      <c r="AG185" s="6625" t="str">
        <f t="shared" si="109"/>
        <v>0</v>
      </c>
      <c r="AH185" s="6625" t="str">
        <f t="shared" si="110"/>
        <v>0</v>
      </c>
      <c r="AI185" s="6625" t="str">
        <f t="shared" si="111"/>
        <v xml:space="preserve"> 0 </v>
      </c>
      <c r="AJ185" s="6625" cm="1">
        <f t="array" ref="AJ185">IF(W185="",0,SUMPRODUCT((CA4:CA795="Gluten")*(CB4:CB795="INFO")*(COUNTIF(AI185,"*"&amp;CC4:CC795&amp;"*")&gt;0)*1))</f>
        <v>0</v>
      </c>
      <c r="AK185" s="6625" cm="1">
        <f t="array" ref="AK185">IF(W185="",0,SUMPRODUCT((CA4:CA795="Gluten")*(CB4:CB795="EXCL")*(COUNTIF(AI185,"*"&amp;CC4:CC795&amp;"*")&gt;0)*1))</f>
        <v>0</v>
      </c>
      <c r="AL185" s="6625" cm="1">
        <f t="array" ref="AL185">IF(W185="",0,SUMPRODUCT((CA4:CA795="Gluten")*(CB4:CB795="ALERTE")*(COUNTIF(AI185,"*"&amp;CC4:CC795&amp;"*")&gt;0)*1))</f>
        <v>0</v>
      </c>
      <c r="AM185" s="6625" cm="1">
        <f t="array" ref="AM185">IF(W185="",0,SUMPRODUCT((CA4:CA795="Gluten")*(CB4:CB795="SUSP")*(COUNTIF(AI185,"*"&amp;CC4:CC795&amp;"*")&gt;0)*1))</f>
        <v>0</v>
      </c>
      <c r="AN185" s="6625" cm="1">
        <f t="array" ref="AN185">IF(W185="",0,SUMPRODUCT((CA4:CA795="Crustaces")*(CB4:CB795="ALERTE")*(COUNTIF(AI185,"*"&amp;CC4:CC795&amp;"*")&gt;0)*1))</f>
        <v>0</v>
      </c>
      <c r="AO185" s="6625" cm="1">
        <f t="array" ref="AO185">IF(W185="",0,SUMPRODUCT((CA4:CA795="Oeufs")*(CB4:CB795="ALERTE")*(COUNTIF(AI185,"*"&amp;CC4:CC795&amp;"*")&gt;0)*1))</f>
        <v>0</v>
      </c>
      <c r="AP185" s="6625" cm="1">
        <f t="array" ref="AP185">IF(W185="",0,SUMPRODUCT((CA4:CA795="Poissons")*(CB4:CB795="INFO")*(COUNTIF(AI185,"*"&amp;CC4:CC795&amp;"*")&gt;0)*1))</f>
        <v>0</v>
      </c>
      <c r="AQ185" s="6625" cm="1">
        <f t="array" ref="AQ185">IF(W185="",0,SUMPRODUCT((CA4:CA795="Poissons")*(CB4:CB795="EXCL")*(COUNTIF(AI185,"*"&amp;CC4:CC795&amp;"*")&gt;0)*1))</f>
        <v>0</v>
      </c>
      <c r="AR185" s="6625" cm="1">
        <f t="array" ref="AR185">IF(W185="",0,SUMPRODUCT((CA4:CA795="Poissons")*(CB4:CB795="ALERTE")*(COUNTIF(AI185,"*"&amp;CC4:CC795&amp;"*")&gt;0)*1))</f>
        <v>0</v>
      </c>
      <c r="AS185" s="6625" cm="1">
        <f t="array" ref="AS185">IF(W185="",0,SUMPRODUCT((CA4:CA795="Arachides")*(CB4:CB795="ALERTE")*(COUNTIF(AI185,"*"&amp;CC4:CC795&amp;"*")&gt;0)*1))</f>
        <v>0</v>
      </c>
      <c r="AT185" s="6625" cm="1">
        <f t="array" ref="AT185">IF(W185="",0,SUMPRODUCT((CA4:CA795="Soja")*(CB4:CB795="INFO")*(COUNTIF(AI185,"*"&amp;CC4:CC795&amp;"*")&gt;0)*1))</f>
        <v>0</v>
      </c>
      <c r="AU185" s="6625" cm="1">
        <f t="array" ref="AU185">IF(W185="",0,SUMPRODUCT((CA4:CA795="Soja")*(CB4:CB795="ALERTE")*(COUNTIF(AI185,"*"&amp;CC4:CC795&amp;"*")&gt;0)*1))</f>
        <v>0</v>
      </c>
      <c r="AV185" s="6625" cm="1">
        <f t="array" ref="AV185">IF(W185="",0,SUMPRODUCT((CA4:CA795="Lait")*(CB4:CB795="INFO")*(COUNTIF(AI185,"*"&amp;CC4:CC795&amp;"*")&gt;0)*1))</f>
        <v>0</v>
      </c>
      <c r="AW185" s="6625" cm="1">
        <f t="array" ref="AW185">IF(W185="",0,SUMPRODUCT((CA4:CA795="Lait")*(CB4:CB795="EXCL")*(COUNTIF(AI185,"*"&amp;CC4:CC795&amp;"*")&gt;0)*1))</f>
        <v>0</v>
      </c>
      <c r="AX185" s="6625" cm="1">
        <f t="array" ref="AX185">IF(W185="",0,SUMPRODUCT((CA4:CA795="Lait")*(CB4:CB795="ALERTE")*(COUNTIF(AI185,"*"&amp;CC4:CC795&amp;"*")&gt;0)*1))</f>
        <v>0</v>
      </c>
      <c r="AY185" s="6625" cm="1">
        <f t="array" ref="AY185">IF(W185="",0,SUMPRODUCT((CA4:CA795="Lait")*(CB4:CB795="SUSP")*(COUNTIF(AI185,"*"&amp;CC4:CC795&amp;"*")&gt;0)*1))</f>
        <v>0</v>
      </c>
      <c r="AZ185" s="6625" cm="1">
        <f t="array" ref="AZ185">IF(W185="",0,SUMPRODUCT((CA4:CA795="Fruits a coque")*(CB4:CB795="EXCL")*(COUNTIF(AI185,"*"&amp;CC4:CC795&amp;"*")&gt;0)*1))</f>
        <v>0</v>
      </c>
      <c r="BA185" s="6625" cm="1">
        <f t="array" ref="BA185">IF(W185="",0,SUMPRODUCT((CA4:CA795="Fruits a coque")*(CB4:CB795="ALERTE")*(COUNTIF(AI185,"*"&amp;CC4:CC795&amp;"*")&gt;0)*1))</f>
        <v>0</v>
      </c>
      <c r="BB185" s="6625" cm="1">
        <f t="array" ref="BB185">IF(W185="",0,SUMPRODUCT((CA4:CA795="Celeri")*(CB4:CB795="ALERTE")*(COUNTIF(AI185,"*"&amp;CC4:CC795&amp;"*")&gt;0)*1))</f>
        <v>0</v>
      </c>
      <c r="BC185" s="6625" cm="1">
        <f t="array" ref="BC185">IF(W185="",0,SUMPRODUCT((CA4:CA795="Moutarde")*(CB4:CB795="ALERTE")*(COUNTIF(AI185,"*"&amp;CC4:CC795&amp;"*")&gt;0)*1))</f>
        <v>0</v>
      </c>
      <c r="BD185" s="6625" cm="1">
        <f t="array" ref="BD185">IF(W185="",0,SUMPRODUCT((CA4:CA795="Sesame")*(CB4:CB795="ALERTE")*(COUNTIF(AI185,"*"&amp;CC4:CC795&amp;"*")&gt;0)*1))</f>
        <v>0</v>
      </c>
      <c r="BE185" s="6625" cm="1">
        <f t="array" ref="BE185">IF(W185="",0,SUMPRODUCT((CA4:CA795="Sulfites")*(CB4:CB795="ALERTE")*(COUNTIF(AI185,"*"&amp;CC4:CC795&amp;"*")&gt;0)*1))</f>
        <v>0</v>
      </c>
      <c r="BF185" s="6625" cm="1">
        <f t="array" ref="BF185">IF(W185="",0,SUMPRODUCT((CA4:CA795="Lupin")*(CB4:CB795="ALERTE")*(COUNTIF(AI185,"*"&amp;CC4:CC795&amp;"*")&gt;0)*1))</f>
        <v>0</v>
      </c>
      <c r="BG185" s="6625" cm="1">
        <f t="array" ref="BG185">IF(W185="",0,SUMPRODUCT((CA4:CA795="Mollusques")*(CB4:CB795="EXCL")*(COUNTIF(AI185,"*"&amp;CC4:CC795&amp;"*")&gt;0)*1))</f>
        <v>0</v>
      </c>
      <c r="BH185" s="6625" cm="1">
        <f t="array" ref="BH185">IF(W185="",0,SUMPRODUCT((CA4:CA795="Mollusques")*(CB4:CB795="ALERTE")*(COUNTIF(AI185,"*"&amp;CC4:CC795&amp;"*")&gt;0)*1))</f>
        <v>0</v>
      </c>
      <c r="BI185" s="6625" t="str">
        <f t="shared" si="112"/>
        <v/>
      </c>
      <c r="BJ185" s="6625" t="str">
        <f t="shared" si="113"/>
        <v/>
      </c>
      <c r="BK185" s="6625" t="str">
        <f t="shared" si="114"/>
        <v/>
      </c>
      <c r="BL185" s="6625" t="str">
        <f t="shared" si="115"/>
        <v/>
      </c>
      <c r="BM185" s="6625" t="str">
        <f t="shared" si="116"/>
        <v/>
      </c>
      <c r="BN185" s="6625" t="str">
        <f t="shared" si="117"/>
        <v/>
      </c>
      <c r="BO185" s="6625" t="str">
        <f t="shared" si="118"/>
        <v/>
      </c>
      <c r="BP185" s="6625" t="str">
        <f t="shared" si="119"/>
        <v/>
      </c>
      <c r="BQ185" s="6625" t="str">
        <f t="shared" si="120"/>
        <v/>
      </c>
      <c r="BR185" s="6625" t="str">
        <f t="shared" si="121"/>
        <v/>
      </c>
      <c r="BS185" s="6625" t="str">
        <f t="shared" si="122"/>
        <v/>
      </c>
      <c r="BT185" s="6625" t="str">
        <f t="shared" si="123"/>
        <v/>
      </c>
      <c r="BU185" s="6625" t="str">
        <f t="shared" si="124"/>
        <v/>
      </c>
      <c r="BV185" s="6625" t="str">
        <f t="shared" si="125"/>
        <v/>
      </c>
      <c r="BW185" s="6625" t="str">
        <f t="shared" si="126"/>
        <v/>
      </c>
      <c r="BX185" s="6625" t="str">
        <f t="shared" si="127"/>
        <v/>
      </c>
      <c r="CA185" s="3170" t="s">
        <v>16629</v>
      </c>
      <c r="CB185" s="7634" t="s">
        <v>16255</v>
      </c>
      <c r="CC185" s="3170" t="s">
        <v>16697</v>
      </c>
      <c r="CD185" s="3170" t="s">
        <v>16698</v>
      </c>
    </row>
    <row r="186" spans="2:82" ht="30" customHeight="1">
      <c r="B186" s="7661" t="str">
        <f t="shared" si="88"/>
        <v/>
      </c>
      <c r="C186" s="7661" t="str">
        <f t="shared" si="89"/>
        <v/>
      </c>
      <c r="D186" s="7661" t="str">
        <f t="shared" si="90"/>
        <v/>
      </c>
      <c r="E186" s="7661">
        <f>IF(H185&lt;&gt;"",E185,IF(E185="","",IFERROR(MATCH(TRUE(),INDEX(INDEX($K:$K,E185+1):$K$203&lt;&gt;"",0),0)+E185,"")))</f>
        <v>361</v>
      </c>
      <c r="F186" s="7661">
        <f t="shared" si="128"/>
        <v>0</v>
      </c>
      <c r="G186" s="7661" t="str">
        <f t="shared" si="91"/>
        <v>0</v>
      </c>
      <c r="H186" s="7672" t="str">
        <f t="shared" si="92"/>
        <v/>
      </c>
      <c r="I186" s="7683" t="str">
        <f t="shared" si="93"/>
        <v/>
      </c>
      <c r="J186" s="7673" t="str">
        <f>IF(K186="","",COUNTIF($K$18:K186,"&lt;&gt;"))</f>
        <v/>
      </c>
      <c r="K186" s="7674"/>
      <c r="L186" s="7673" t="str">
        <f t="shared" si="94"/>
        <v/>
      </c>
      <c r="M186" s="7630">
        <f t="shared" si="95"/>
        <v>1</v>
      </c>
      <c r="N186" s="7675">
        <f t="shared" si="96"/>
        <v>169</v>
      </c>
      <c r="O186" s="7676" t="str">
        <f t="shared" si="97"/>
        <v>0</v>
      </c>
      <c r="P186" s="7675">
        <f t="shared" si="98"/>
        <v>1</v>
      </c>
      <c r="Q186" s="7675">
        <f t="shared" si="99"/>
        <v>1</v>
      </c>
      <c r="S186" s="7679" t="str">
        <f t="shared" si="131"/>
        <v>0</v>
      </c>
      <c r="T186" s="7680" t="str">
        <f t="shared" si="131"/>
        <v/>
      </c>
      <c r="V186" s="7677">
        <f t="shared" si="100"/>
        <v>186</v>
      </c>
      <c r="W186" s="7678" t="str">
        <f t="shared" si="130"/>
        <v>0</v>
      </c>
      <c r="X186" s="7677" t="s">
        <v>2</v>
      </c>
      <c r="Y186" s="7702" t="str">
        <f t="shared" si="101"/>
        <v>0</v>
      </c>
      <c r="Z186" s="7703" t="str">
        <f t="shared" si="102"/>
        <v/>
      </c>
      <c r="AA186" s="7681" t="str">
        <f t="shared" si="103"/>
        <v>0</v>
      </c>
      <c r="AB186" s="7682" t="str">
        <f t="shared" si="104"/>
        <v/>
      </c>
      <c r="AC186" s="7677">
        <f t="shared" si="105"/>
        <v>0</v>
      </c>
      <c r="AD186" s="7677">
        <f t="shared" si="106"/>
        <v>0</v>
      </c>
      <c r="AE186" s="7682" t="str">
        <f t="shared" si="107"/>
        <v>aucun match</v>
      </c>
      <c r="AF186" s="6625" t="str">
        <f t="shared" si="108"/>
        <v>0</v>
      </c>
      <c r="AG186" s="6625" t="str">
        <f t="shared" si="109"/>
        <v>0</v>
      </c>
      <c r="AH186" s="6625" t="str">
        <f t="shared" si="110"/>
        <v>0</v>
      </c>
      <c r="AI186" s="6625" t="str">
        <f t="shared" si="111"/>
        <v xml:space="preserve"> 0 </v>
      </c>
      <c r="AJ186" s="6625" cm="1">
        <f t="array" ref="AJ186">IF(W186="",0,SUMPRODUCT((CA4:CA795="Gluten")*(CB4:CB795="INFO")*(COUNTIF(AI186,"*"&amp;CC4:CC795&amp;"*")&gt;0)*1))</f>
        <v>0</v>
      </c>
      <c r="AK186" s="6625" cm="1">
        <f t="array" ref="AK186">IF(W186="",0,SUMPRODUCT((CA4:CA795="Gluten")*(CB4:CB795="EXCL")*(COUNTIF(AI186,"*"&amp;CC4:CC795&amp;"*")&gt;0)*1))</f>
        <v>0</v>
      </c>
      <c r="AL186" s="6625" cm="1">
        <f t="array" ref="AL186">IF(W186="",0,SUMPRODUCT((CA4:CA795="Gluten")*(CB4:CB795="ALERTE")*(COUNTIF(AI186,"*"&amp;CC4:CC795&amp;"*")&gt;0)*1))</f>
        <v>0</v>
      </c>
      <c r="AM186" s="6625" cm="1">
        <f t="array" ref="AM186">IF(W186="",0,SUMPRODUCT((CA4:CA795="Gluten")*(CB4:CB795="SUSP")*(COUNTIF(AI186,"*"&amp;CC4:CC795&amp;"*")&gt;0)*1))</f>
        <v>0</v>
      </c>
      <c r="AN186" s="6625" cm="1">
        <f t="array" ref="AN186">IF(W186="",0,SUMPRODUCT((CA4:CA795="Crustaces")*(CB4:CB795="ALERTE")*(COUNTIF(AI186,"*"&amp;CC4:CC795&amp;"*")&gt;0)*1))</f>
        <v>0</v>
      </c>
      <c r="AO186" s="6625" cm="1">
        <f t="array" ref="AO186">IF(W186="",0,SUMPRODUCT((CA4:CA795="Oeufs")*(CB4:CB795="ALERTE")*(COUNTIF(AI186,"*"&amp;CC4:CC795&amp;"*")&gt;0)*1))</f>
        <v>0</v>
      </c>
      <c r="AP186" s="6625" cm="1">
        <f t="array" ref="AP186">IF(W186="",0,SUMPRODUCT((CA4:CA795="Poissons")*(CB4:CB795="INFO")*(COUNTIF(AI186,"*"&amp;CC4:CC795&amp;"*")&gt;0)*1))</f>
        <v>0</v>
      </c>
      <c r="AQ186" s="6625" cm="1">
        <f t="array" ref="AQ186">IF(W186="",0,SUMPRODUCT((CA4:CA795="Poissons")*(CB4:CB795="EXCL")*(COUNTIF(AI186,"*"&amp;CC4:CC795&amp;"*")&gt;0)*1))</f>
        <v>0</v>
      </c>
      <c r="AR186" s="6625" cm="1">
        <f t="array" ref="AR186">IF(W186="",0,SUMPRODUCT((CA4:CA795="Poissons")*(CB4:CB795="ALERTE")*(COUNTIF(AI186,"*"&amp;CC4:CC795&amp;"*")&gt;0)*1))</f>
        <v>0</v>
      </c>
      <c r="AS186" s="6625" cm="1">
        <f t="array" ref="AS186">IF(W186="",0,SUMPRODUCT((CA4:CA795="Arachides")*(CB4:CB795="ALERTE")*(COUNTIF(AI186,"*"&amp;CC4:CC795&amp;"*")&gt;0)*1))</f>
        <v>0</v>
      </c>
      <c r="AT186" s="6625" cm="1">
        <f t="array" ref="AT186">IF(W186="",0,SUMPRODUCT((CA4:CA795="Soja")*(CB4:CB795="INFO")*(COUNTIF(AI186,"*"&amp;CC4:CC795&amp;"*")&gt;0)*1))</f>
        <v>0</v>
      </c>
      <c r="AU186" s="6625" cm="1">
        <f t="array" ref="AU186">IF(W186="",0,SUMPRODUCT((CA4:CA795="Soja")*(CB4:CB795="ALERTE")*(COUNTIF(AI186,"*"&amp;CC4:CC795&amp;"*")&gt;0)*1))</f>
        <v>0</v>
      </c>
      <c r="AV186" s="6625" cm="1">
        <f t="array" ref="AV186">IF(W186="",0,SUMPRODUCT((CA4:CA795="Lait")*(CB4:CB795="INFO")*(COUNTIF(AI186,"*"&amp;CC4:CC795&amp;"*")&gt;0)*1))</f>
        <v>0</v>
      </c>
      <c r="AW186" s="6625" cm="1">
        <f t="array" ref="AW186">IF(W186="",0,SUMPRODUCT((CA4:CA795="Lait")*(CB4:CB795="EXCL")*(COUNTIF(AI186,"*"&amp;CC4:CC795&amp;"*")&gt;0)*1))</f>
        <v>0</v>
      </c>
      <c r="AX186" s="6625" cm="1">
        <f t="array" ref="AX186">IF(W186="",0,SUMPRODUCT((CA4:CA795="Lait")*(CB4:CB795="ALERTE")*(COUNTIF(AI186,"*"&amp;CC4:CC795&amp;"*")&gt;0)*1))</f>
        <v>0</v>
      </c>
      <c r="AY186" s="6625" cm="1">
        <f t="array" ref="AY186">IF(W186="",0,SUMPRODUCT((CA4:CA795="Lait")*(CB4:CB795="SUSP")*(COUNTIF(AI186,"*"&amp;CC4:CC795&amp;"*")&gt;0)*1))</f>
        <v>0</v>
      </c>
      <c r="AZ186" s="6625" cm="1">
        <f t="array" ref="AZ186">IF(W186="",0,SUMPRODUCT((CA4:CA795="Fruits a coque")*(CB4:CB795="EXCL")*(COUNTIF(AI186,"*"&amp;CC4:CC795&amp;"*")&gt;0)*1))</f>
        <v>0</v>
      </c>
      <c r="BA186" s="6625" cm="1">
        <f t="array" ref="BA186">IF(W186="",0,SUMPRODUCT((CA4:CA795="Fruits a coque")*(CB4:CB795="ALERTE")*(COUNTIF(AI186,"*"&amp;CC4:CC795&amp;"*")&gt;0)*1))</f>
        <v>0</v>
      </c>
      <c r="BB186" s="6625" cm="1">
        <f t="array" ref="BB186">IF(W186="",0,SUMPRODUCT((CA4:CA795="Celeri")*(CB4:CB795="ALERTE")*(COUNTIF(AI186,"*"&amp;CC4:CC795&amp;"*")&gt;0)*1))</f>
        <v>0</v>
      </c>
      <c r="BC186" s="6625" cm="1">
        <f t="array" ref="BC186">IF(W186="",0,SUMPRODUCT((CA4:CA795="Moutarde")*(CB4:CB795="ALERTE")*(COUNTIF(AI186,"*"&amp;CC4:CC795&amp;"*")&gt;0)*1))</f>
        <v>0</v>
      </c>
      <c r="BD186" s="6625" cm="1">
        <f t="array" ref="BD186">IF(W186="",0,SUMPRODUCT((CA4:CA795="Sesame")*(CB4:CB795="ALERTE")*(COUNTIF(AI186,"*"&amp;CC4:CC795&amp;"*")&gt;0)*1))</f>
        <v>0</v>
      </c>
      <c r="BE186" s="6625" cm="1">
        <f t="array" ref="BE186">IF(W186="",0,SUMPRODUCT((CA4:CA795="Sulfites")*(CB4:CB795="ALERTE")*(COUNTIF(AI186,"*"&amp;CC4:CC795&amp;"*")&gt;0)*1))</f>
        <v>0</v>
      </c>
      <c r="BF186" s="6625" cm="1">
        <f t="array" ref="BF186">IF(W186="",0,SUMPRODUCT((CA4:CA795="Lupin")*(CB4:CB795="ALERTE")*(COUNTIF(AI186,"*"&amp;CC4:CC795&amp;"*")&gt;0)*1))</f>
        <v>0</v>
      </c>
      <c r="BG186" s="6625" cm="1">
        <f t="array" ref="BG186">IF(W186="",0,SUMPRODUCT((CA4:CA795="Mollusques")*(CB4:CB795="EXCL")*(COUNTIF(AI186,"*"&amp;CC4:CC795&amp;"*")&gt;0)*1))</f>
        <v>0</v>
      </c>
      <c r="BH186" s="6625" cm="1">
        <f t="array" ref="BH186">IF(W186="",0,SUMPRODUCT((CA4:CA795="Mollusques")*(CB4:CB795="ALERTE")*(COUNTIF(AI186,"*"&amp;CC4:CC795&amp;"*")&gt;0)*1))</f>
        <v>0</v>
      </c>
      <c r="BI186" s="6625" t="str">
        <f t="shared" si="112"/>
        <v/>
      </c>
      <c r="BJ186" s="6625" t="str">
        <f t="shared" si="113"/>
        <v/>
      </c>
      <c r="BK186" s="6625" t="str">
        <f t="shared" si="114"/>
        <v/>
      </c>
      <c r="BL186" s="6625" t="str">
        <f t="shared" si="115"/>
        <v/>
      </c>
      <c r="BM186" s="6625" t="str">
        <f t="shared" si="116"/>
        <v/>
      </c>
      <c r="BN186" s="6625" t="str">
        <f t="shared" si="117"/>
        <v/>
      </c>
      <c r="BO186" s="6625" t="str">
        <f t="shared" si="118"/>
        <v/>
      </c>
      <c r="BP186" s="6625" t="str">
        <f t="shared" si="119"/>
        <v/>
      </c>
      <c r="BQ186" s="6625" t="str">
        <f t="shared" si="120"/>
        <v/>
      </c>
      <c r="BR186" s="6625" t="str">
        <f t="shared" si="121"/>
        <v/>
      </c>
      <c r="BS186" s="6625" t="str">
        <f t="shared" si="122"/>
        <v/>
      </c>
      <c r="BT186" s="6625" t="str">
        <f t="shared" si="123"/>
        <v/>
      </c>
      <c r="BU186" s="6625" t="str">
        <f t="shared" si="124"/>
        <v/>
      </c>
      <c r="BV186" s="6625" t="str">
        <f t="shared" si="125"/>
        <v/>
      </c>
      <c r="BW186" s="6625" t="str">
        <f t="shared" si="126"/>
        <v/>
      </c>
      <c r="BX186" s="6625" t="str">
        <f t="shared" si="127"/>
        <v/>
      </c>
      <c r="CA186" s="3170" t="s">
        <v>16629</v>
      </c>
      <c r="CB186" s="7634" t="s">
        <v>16255</v>
      </c>
      <c r="CC186" s="3170" t="s">
        <v>16699</v>
      </c>
      <c r="CD186" s="3170" t="s">
        <v>16700</v>
      </c>
    </row>
    <row r="187" spans="2:82" ht="30" customHeight="1">
      <c r="B187" s="7661" t="str">
        <f t="shared" si="88"/>
        <v/>
      </c>
      <c r="C187" s="7661" t="str">
        <f t="shared" si="89"/>
        <v/>
      </c>
      <c r="D187" s="7661" t="str">
        <f t="shared" si="90"/>
        <v/>
      </c>
      <c r="E187" s="7661">
        <f>IF(H186&lt;&gt;"",E186,IF(E186="","",IFERROR(MATCH(TRUE(),INDEX(INDEX($K:$K,E186+1):$K$203&lt;&gt;"",0),0)+E186,"")))</f>
        <v>362</v>
      </c>
      <c r="F187" s="7661">
        <f t="shared" si="128"/>
        <v>0</v>
      </c>
      <c r="G187" s="7661" t="str">
        <f t="shared" si="91"/>
        <v>0</v>
      </c>
      <c r="H187" s="7672" t="str">
        <f t="shared" si="92"/>
        <v/>
      </c>
      <c r="I187" s="7683" t="str">
        <f t="shared" si="93"/>
        <v/>
      </c>
      <c r="J187" s="7673" t="str">
        <f>IF(K187="","",COUNTIF($K$18:K187,"&lt;&gt;"))</f>
        <v/>
      </c>
      <c r="K187" s="7674"/>
      <c r="L187" s="7673" t="str">
        <f t="shared" si="94"/>
        <v/>
      </c>
      <c r="M187" s="7630">
        <f t="shared" si="95"/>
        <v>1</v>
      </c>
      <c r="N187" s="7675">
        <f t="shared" si="96"/>
        <v>170</v>
      </c>
      <c r="O187" s="7676" t="str">
        <f t="shared" si="97"/>
        <v>0</v>
      </c>
      <c r="P187" s="7675">
        <f t="shared" si="98"/>
        <v>1</v>
      </c>
      <c r="Q187" s="7675">
        <f t="shared" si="99"/>
        <v>1</v>
      </c>
      <c r="S187" s="7679" t="str">
        <f t="shared" si="131"/>
        <v>0</v>
      </c>
      <c r="T187" s="7680" t="str">
        <f t="shared" si="131"/>
        <v/>
      </c>
      <c r="V187" s="7677">
        <f t="shared" si="100"/>
        <v>187</v>
      </c>
      <c r="W187" s="7678" t="str">
        <f t="shared" si="130"/>
        <v>0</v>
      </c>
      <c r="X187" s="7677" t="s">
        <v>2</v>
      </c>
      <c r="Y187" s="7702" t="str">
        <f t="shared" si="101"/>
        <v>0</v>
      </c>
      <c r="Z187" s="7703" t="str">
        <f t="shared" si="102"/>
        <v/>
      </c>
      <c r="AA187" s="7681" t="str">
        <f t="shared" si="103"/>
        <v>0</v>
      </c>
      <c r="AB187" s="7682" t="str">
        <f t="shared" si="104"/>
        <v/>
      </c>
      <c r="AC187" s="7677">
        <f t="shared" si="105"/>
        <v>0</v>
      </c>
      <c r="AD187" s="7677">
        <f t="shared" si="106"/>
        <v>0</v>
      </c>
      <c r="AE187" s="7682" t="str">
        <f t="shared" si="107"/>
        <v>aucun match</v>
      </c>
      <c r="AF187" s="6625" t="str">
        <f t="shared" si="108"/>
        <v>0</v>
      </c>
      <c r="AG187" s="6625" t="str">
        <f t="shared" si="109"/>
        <v>0</v>
      </c>
      <c r="AH187" s="6625" t="str">
        <f t="shared" si="110"/>
        <v>0</v>
      </c>
      <c r="AI187" s="6625" t="str">
        <f t="shared" si="111"/>
        <v xml:space="preserve"> 0 </v>
      </c>
      <c r="AJ187" s="6625" cm="1">
        <f t="array" ref="AJ187">IF(W187="",0,SUMPRODUCT((CA4:CA795="Gluten")*(CB4:CB795="INFO")*(COUNTIF(AI187,"*"&amp;CC4:CC795&amp;"*")&gt;0)*1))</f>
        <v>0</v>
      </c>
      <c r="AK187" s="6625" cm="1">
        <f t="array" ref="AK187">IF(W187="",0,SUMPRODUCT((CA4:CA795="Gluten")*(CB4:CB795="EXCL")*(COUNTIF(AI187,"*"&amp;CC4:CC795&amp;"*")&gt;0)*1))</f>
        <v>0</v>
      </c>
      <c r="AL187" s="6625" cm="1">
        <f t="array" ref="AL187">IF(W187="",0,SUMPRODUCT((CA4:CA795="Gluten")*(CB4:CB795="ALERTE")*(COUNTIF(AI187,"*"&amp;CC4:CC795&amp;"*")&gt;0)*1))</f>
        <v>0</v>
      </c>
      <c r="AM187" s="6625" cm="1">
        <f t="array" ref="AM187">IF(W187="",0,SUMPRODUCT((CA4:CA795="Gluten")*(CB4:CB795="SUSP")*(COUNTIF(AI187,"*"&amp;CC4:CC795&amp;"*")&gt;0)*1))</f>
        <v>0</v>
      </c>
      <c r="AN187" s="6625" cm="1">
        <f t="array" ref="AN187">IF(W187="",0,SUMPRODUCT((CA4:CA795="Crustaces")*(CB4:CB795="ALERTE")*(COUNTIF(AI187,"*"&amp;CC4:CC795&amp;"*")&gt;0)*1))</f>
        <v>0</v>
      </c>
      <c r="AO187" s="6625" cm="1">
        <f t="array" ref="AO187">IF(W187="",0,SUMPRODUCT((CA4:CA795="Oeufs")*(CB4:CB795="ALERTE")*(COUNTIF(AI187,"*"&amp;CC4:CC795&amp;"*")&gt;0)*1))</f>
        <v>0</v>
      </c>
      <c r="AP187" s="6625" cm="1">
        <f t="array" ref="AP187">IF(W187="",0,SUMPRODUCT((CA4:CA795="Poissons")*(CB4:CB795="INFO")*(COUNTIF(AI187,"*"&amp;CC4:CC795&amp;"*")&gt;0)*1))</f>
        <v>0</v>
      </c>
      <c r="AQ187" s="6625" cm="1">
        <f t="array" ref="AQ187">IF(W187="",0,SUMPRODUCT((CA4:CA795="Poissons")*(CB4:CB795="EXCL")*(COUNTIF(AI187,"*"&amp;CC4:CC795&amp;"*")&gt;0)*1))</f>
        <v>0</v>
      </c>
      <c r="AR187" s="6625" cm="1">
        <f t="array" ref="AR187">IF(W187="",0,SUMPRODUCT((CA4:CA795="Poissons")*(CB4:CB795="ALERTE")*(COUNTIF(AI187,"*"&amp;CC4:CC795&amp;"*")&gt;0)*1))</f>
        <v>0</v>
      </c>
      <c r="AS187" s="6625" cm="1">
        <f t="array" ref="AS187">IF(W187="",0,SUMPRODUCT((CA4:CA795="Arachides")*(CB4:CB795="ALERTE")*(COUNTIF(AI187,"*"&amp;CC4:CC795&amp;"*")&gt;0)*1))</f>
        <v>0</v>
      </c>
      <c r="AT187" s="6625" cm="1">
        <f t="array" ref="AT187">IF(W187="",0,SUMPRODUCT((CA4:CA795="Soja")*(CB4:CB795="INFO")*(COUNTIF(AI187,"*"&amp;CC4:CC795&amp;"*")&gt;0)*1))</f>
        <v>0</v>
      </c>
      <c r="AU187" s="6625" cm="1">
        <f t="array" ref="AU187">IF(W187="",0,SUMPRODUCT((CA4:CA795="Soja")*(CB4:CB795="ALERTE")*(COUNTIF(AI187,"*"&amp;CC4:CC795&amp;"*")&gt;0)*1))</f>
        <v>0</v>
      </c>
      <c r="AV187" s="6625" cm="1">
        <f t="array" ref="AV187">IF(W187="",0,SUMPRODUCT((CA4:CA795="Lait")*(CB4:CB795="INFO")*(COUNTIF(AI187,"*"&amp;CC4:CC795&amp;"*")&gt;0)*1))</f>
        <v>0</v>
      </c>
      <c r="AW187" s="6625" cm="1">
        <f t="array" ref="AW187">IF(W187="",0,SUMPRODUCT((CA4:CA795="Lait")*(CB4:CB795="EXCL")*(COUNTIF(AI187,"*"&amp;CC4:CC795&amp;"*")&gt;0)*1))</f>
        <v>0</v>
      </c>
      <c r="AX187" s="6625" cm="1">
        <f t="array" ref="AX187">IF(W187="",0,SUMPRODUCT((CA4:CA795="Lait")*(CB4:CB795="ALERTE")*(COUNTIF(AI187,"*"&amp;CC4:CC795&amp;"*")&gt;0)*1))</f>
        <v>0</v>
      </c>
      <c r="AY187" s="6625" cm="1">
        <f t="array" ref="AY187">IF(W187="",0,SUMPRODUCT((CA4:CA795="Lait")*(CB4:CB795="SUSP")*(COUNTIF(AI187,"*"&amp;CC4:CC795&amp;"*")&gt;0)*1))</f>
        <v>0</v>
      </c>
      <c r="AZ187" s="6625" cm="1">
        <f t="array" ref="AZ187">IF(W187="",0,SUMPRODUCT((CA4:CA795="Fruits a coque")*(CB4:CB795="EXCL")*(COUNTIF(AI187,"*"&amp;CC4:CC795&amp;"*")&gt;0)*1))</f>
        <v>0</v>
      </c>
      <c r="BA187" s="6625" cm="1">
        <f t="array" ref="BA187">IF(W187="",0,SUMPRODUCT((CA4:CA795="Fruits a coque")*(CB4:CB795="ALERTE")*(COUNTIF(AI187,"*"&amp;CC4:CC795&amp;"*")&gt;0)*1))</f>
        <v>0</v>
      </c>
      <c r="BB187" s="6625" cm="1">
        <f t="array" ref="BB187">IF(W187="",0,SUMPRODUCT((CA4:CA795="Celeri")*(CB4:CB795="ALERTE")*(COUNTIF(AI187,"*"&amp;CC4:CC795&amp;"*")&gt;0)*1))</f>
        <v>0</v>
      </c>
      <c r="BC187" s="6625" cm="1">
        <f t="array" ref="BC187">IF(W187="",0,SUMPRODUCT((CA4:CA795="Moutarde")*(CB4:CB795="ALERTE")*(COUNTIF(AI187,"*"&amp;CC4:CC795&amp;"*")&gt;0)*1))</f>
        <v>0</v>
      </c>
      <c r="BD187" s="6625" cm="1">
        <f t="array" ref="BD187">IF(W187="",0,SUMPRODUCT((CA4:CA795="Sesame")*(CB4:CB795="ALERTE")*(COUNTIF(AI187,"*"&amp;CC4:CC795&amp;"*")&gt;0)*1))</f>
        <v>0</v>
      </c>
      <c r="BE187" s="6625" cm="1">
        <f t="array" ref="BE187">IF(W187="",0,SUMPRODUCT((CA4:CA795="Sulfites")*(CB4:CB795="ALERTE")*(COUNTIF(AI187,"*"&amp;CC4:CC795&amp;"*")&gt;0)*1))</f>
        <v>0</v>
      </c>
      <c r="BF187" s="6625" cm="1">
        <f t="array" ref="BF187">IF(W187="",0,SUMPRODUCT((CA4:CA795="Lupin")*(CB4:CB795="ALERTE")*(COUNTIF(AI187,"*"&amp;CC4:CC795&amp;"*")&gt;0)*1))</f>
        <v>0</v>
      </c>
      <c r="BG187" s="6625" cm="1">
        <f t="array" ref="BG187">IF(W187="",0,SUMPRODUCT((CA4:CA795="Mollusques")*(CB4:CB795="EXCL")*(COUNTIF(AI187,"*"&amp;CC4:CC795&amp;"*")&gt;0)*1))</f>
        <v>0</v>
      </c>
      <c r="BH187" s="6625" cm="1">
        <f t="array" ref="BH187">IF(W187="",0,SUMPRODUCT((CA4:CA795="Mollusques")*(CB4:CB795="ALERTE")*(COUNTIF(AI187,"*"&amp;CC4:CC795&amp;"*")&gt;0)*1))</f>
        <v>0</v>
      </c>
      <c r="BI187" s="6625" t="str">
        <f t="shared" si="112"/>
        <v/>
      </c>
      <c r="BJ187" s="6625" t="str">
        <f t="shared" si="113"/>
        <v/>
      </c>
      <c r="BK187" s="6625" t="str">
        <f t="shared" si="114"/>
        <v/>
      </c>
      <c r="BL187" s="6625" t="str">
        <f t="shared" si="115"/>
        <v/>
      </c>
      <c r="BM187" s="6625" t="str">
        <f t="shared" si="116"/>
        <v/>
      </c>
      <c r="BN187" s="6625" t="str">
        <f t="shared" si="117"/>
        <v/>
      </c>
      <c r="BO187" s="6625" t="str">
        <f t="shared" si="118"/>
        <v/>
      </c>
      <c r="BP187" s="6625" t="str">
        <f t="shared" si="119"/>
        <v/>
      </c>
      <c r="BQ187" s="6625" t="str">
        <f t="shared" si="120"/>
        <v/>
      </c>
      <c r="BR187" s="6625" t="str">
        <f t="shared" si="121"/>
        <v/>
      </c>
      <c r="BS187" s="6625" t="str">
        <f t="shared" si="122"/>
        <v/>
      </c>
      <c r="BT187" s="6625" t="str">
        <f t="shared" si="123"/>
        <v/>
      </c>
      <c r="BU187" s="6625" t="str">
        <f t="shared" si="124"/>
        <v/>
      </c>
      <c r="BV187" s="6625" t="str">
        <f t="shared" si="125"/>
        <v/>
      </c>
      <c r="BW187" s="6625" t="str">
        <f t="shared" si="126"/>
        <v/>
      </c>
      <c r="BX187" s="6625" t="str">
        <f t="shared" si="127"/>
        <v/>
      </c>
      <c r="CA187" s="3170" t="s">
        <v>16629</v>
      </c>
      <c r="CB187" s="7634" t="s">
        <v>16255</v>
      </c>
      <c r="CC187" s="3170" t="s">
        <v>16701</v>
      </c>
      <c r="CD187" s="3170" t="s">
        <v>16702</v>
      </c>
    </row>
    <row r="188" spans="2:82" ht="30" customHeight="1">
      <c r="B188" s="7661" t="str">
        <f t="shared" si="88"/>
        <v/>
      </c>
      <c r="C188" s="7661" t="str">
        <f t="shared" si="89"/>
        <v/>
      </c>
      <c r="D188" s="7661" t="str">
        <f t="shared" si="90"/>
        <v/>
      </c>
      <c r="E188" s="7661">
        <f>IF(H187&lt;&gt;"",E187,IF(E187="","",IFERROR(MATCH(TRUE(),INDEX(INDEX($K:$K,E187+1):$K$203&lt;&gt;"",0),0)+E187,"")))</f>
        <v>363</v>
      </c>
      <c r="F188" s="7661">
        <f t="shared" si="128"/>
        <v>0</v>
      </c>
      <c r="G188" s="7661" t="str">
        <f t="shared" si="91"/>
        <v>0</v>
      </c>
      <c r="H188" s="7672" t="str">
        <f t="shared" si="92"/>
        <v/>
      </c>
      <c r="I188" s="7683" t="str">
        <f t="shared" si="93"/>
        <v/>
      </c>
      <c r="J188" s="7673" t="str">
        <f>IF(K188="","",COUNTIF($K$18:K188,"&lt;&gt;"))</f>
        <v/>
      </c>
      <c r="K188" s="7674"/>
      <c r="L188" s="7673" t="str">
        <f t="shared" si="94"/>
        <v/>
      </c>
      <c r="M188" s="7630">
        <f t="shared" si="95"/>
        <v>1</v>
      </c>
      <c r="N188" s="7675">
        <f t="shared" si="96"/>
        <v>171</v>
      </c>
      <c r="O188" s="7676" t="str">
        <f t="shared" si="97"/>
        <v>0</v>
      </c>
      <c r="P188" s="7675">
        <f t="shared" si="98"/>
        <v>1</v>
      </c>
      <c r="Q188" s="7675">
        <f t="shared" si="99"/>
        <v>1</v>
      </c>
      <c r="S188" s="7679" t="str">
        <f t="shared" si="131"/>
        <v>0</v>
      </c>
      <c r="T188" s="7680" t="str">
        <f t="shared" si="131"/>
        <v/>
      </c>
      <c r="V188" s="7677">
        <f t="shared" si="100"/>
        <v>188</v>
      </c>
      <c r="W188" s="7678" t="str">
        <f t="shared" si="130"/>
        <v>0</v>
      </c>
      <c r="X188" s="7677" t="s">
        <v>2</v>
      </c>
      <c r="Y188" s="7702" t="str">
        <f t="shared" si="101"/>
        <v>0</v>
      </c>
      <c r="Z188" s="7703" t="str">
        <f t="shared" si="102"/>
        <v/>
      </c>
      <c r="AA188" s="7681" t="str">
        <f t="shared" si="103"/>
        <v>0</v>
      </c>
      <c r="AB188" s="7682" t="str">
        <f t="shared" si="104"/>
        <v/>
      </c>
      <c r="AC188" s="7677">
        <f t="shared" si="105"/>
        <v>0</v>
      </c>
      <c r="AD188" s="7677">
        <f t="shared" si="106"/>
        <v>0</v>
      </c>
      <c r="AE188" s="7682" t="str">
        <f t="shared" si="107"/>
        <v>aucun match</v>
      </c>
      <c r="AF188" s="6625" t="str">
        <f t="shared" si="108"/>
        <v>0</v>
      </c>
      <c r="AG188" s="6625" t="str">
        <f t="shared" si="109"/>
        <v>0</v>
      </c>
      <c r="AH188" s="6625" t="str">
        <f t="shared" si="110"/>
        <v>0</v>
      </c>
      <c r="AI188" s="6625" t="str">
        <f t="shared" si="111"/>
        <v xml:space="preserve"> 0 </v>
      </c>
      <c r="AJ188" s="6625" cm="1">
        <f t="array" ref="AJ188">IF(W188="",0,SUMPRODUCT((CA4:CA795="Gluten")*(CB4:CB795="INFO")*(COUNTIF(AI188,"*"&amp;CC4:CC795&amp;"*")&gt;0)*1))</f>
        <v>0</v>
      </c>
      <c r="AK188" s="6625" cm="1">
        <f t="array" ref="AK188">IF(W188="",0,SUMPRODUCT((CA4:CA795="Gluten")*(CB4:CB795="EXCL")*(COUNTIF(AI188,"*"&amp;CC4:CC795&amp;"*")&gt;0)*1))</f>
        <v>0</v>
      </c>
      <c r="AL188" s="6625" cm="1">
        <f t="array" ref="AL188">IF(W188="",0,SUMPRODUCT((CA4:CA795="Gluten")*(CB4:CB795="ALERTE")*(COUNTIF(AI188,"*"&amp;CC4:CC795&amp;"*")&gt;0)*1))</f>
        <v>0</v>
      </c>
      <c r="AM188" s="6625" cm="1">
        <f t="array" ref="AM188">IF(W188="",0,SUMPRODUCT((CA4:CA795="Gluten")*(CB4:CB795="SUSP")*(COUNTIF(AI188,"*"&amp;CC4:CC795&amp;"*")&gt;0)*1))</f>
        <v>0</v>
      </c>
      <c r="AN188" s="6625" cm="1">
        <f t="array" ref="AN188">IF(W188="",0,SUMPRODUCT((CA4:CA795="Crustaces")*(CB4:CB795="ALERTE")*(COUNTIF(AI188,"*"&amp;CC4:CC795&amp;"*")&gt;0)*1))</f>
        <v>0</v>
      </c>
      <c r="AO188" s="6625" cm="1">
        <f t="array" ref="AO188">IF(W188="",0,SUMPRODUCT((CA4:CA795="Oeufs")*(CB4:CB795="ALERTE")*(COUNTIF(AI188,"*"&amp;CC4:CC795&amp;"*")&gt;0)*1))</f>
        <v>0</v>
      </c>
      <c r="AP188" s="6625" cm="1">
        <f t="array" ref="AP188">IF(W188="",0,SUMPRODUCT((CA4:CA795="Poissons")*(CB4:CB795="INFO")*(COUNTIF(AI188,"*"&amp;CC4:CC795&amp;"*")&gt;0)*1))</f>
        <v>0</v>
      </c>
      <c r="AQ188" s="6625" cm="1">
        <f t="array" ref="AQ188">IF(W188="",0,SUMPRODUCT((CA4:CA795="Poissons")*(CB4:CB795="EXCL")*(COUNTIF(AI188,"*"&amp;CC4:CC795&amp;"*")&gt;0)*1))</f>
        <v>0</v>
      </c>
      <c r="AR188" s="6625" cm="1">
        <f t="array" ref="AR188">IF(W188="",0,SUMPRODUCT((CA4:CA795="Poissons")*(CB4:CB795="ALERTE")*(COUNTIF(AI188,"*"&amp;CC4:CC795&amp;"*")&gt;0)*1))</f>
        <v>0</v>
      </c>
      <c r="AS188" s="6625" cm="1">
        <f t="array" ref="AS188">IF(W188="",0,SUMPRODUCT((CA4:CA795="Arachides")*(CB4:CB795="ALERTE")*(COUNTIF(AI188,"*"&amp;CC4:CC795&amp;"*")&gt;0)*1))</f>
        <v>0</v>
      </c>
      <c r="AT188" s="6625" cm="1">
        <f t="array" ref="AT188">IF(W188="",0,SUMPRODUCT((CA4:CA795="Soja")*(CB4:CB795="INFO")*(COUNTIF(AI188,"*"&amp;CC4:CC795&amp;"*")&gt;0)*1))</f>
        <v>0</v>
      </c>
      <c r="AU188" s="6625" cm="1">
        <f t="array" ref="AU188">IF(W188="",0,SUMPRODUCT((CA4:CA795="Soja")*(CB4:CB795="ALERTE")*(COUNTIF(AI188,"*"&amp;CC4:CC795&amp;"*")&gt;0)*1))</f>
        <v>0</v>
      </c>
      <c r="AV188" s="6625" cm="1">
        <f t="array" ref="AV188">IF(W188="",0,SUMPRODUCT((CA4:CA795="Lait")*(CB4:CB795="INFO")*(COUNTIF(AI188,"*"&amp;CC4:CC795&amp;"*")&gt;0)*1))</f>
        <v>0</v>
      </c>
      <c r="AW188" s="6625" cm="1">
        <f t="array" ref="AW188">IF(W188="",0,SUMPRODUCT((CA4:CA795="Lait")*(CB4:CB795="EXCL")*(COUNTIF(AI188,"*"&amp;CC4:CC795&amp;"*")&gt;0)*1))</f>
        <v>0</v>
      </c>
      <c r="AX188" s="6625" cm="1">
        <f t="array" ref="AX188">IF(W188="",0,SUMPRODUCT((CA4:CA795="Lait")*(CB4:CB795="ALERTE")*(COUNTIF(AI188,"*"&amp;CC4:CC795&amp;"*")&gt;0)*1))</f>
        <v>0</v>
      </c>
      <c r="AY188" s="6625" cm="1">
        <f t="array" ref="AY188">IF(W188="",0,SUMPRODUCT((CA4:CA795="Lait")*(CB4:CB795="SUSP")*(COUNTIF(AI188,"*"&amp;CC4:CC795&amp;"*")&gt;0)*1))</f>
        <v>0</v>
      </c>
      <c r="AZ188" s="6625" cm="1">
        <f t="array" ref="AZ188">IF(W188="",0,SUMPRODUCT((CA4:CA795="Fruits a coque")*(CB4:CB795="EXCL")*(COUNTIF(AI188,"*"&amp;CC4:CC795&amp;"*")&gt;0)*1))</f>
        <v>0</v>
      </c>
      <c r="BA188" s="6625" cm="1">
        <f t="array" ref="BA188">IF(W188="",0,SUMPRODUCT((CA4:CA795="Fruits a coque")*(CB4:CB795="ALERTE")*(COUNTIF(AI188,"*"&amp;CC4:CC795&amp;"*")&gt;0)*1))</f>
        <v>0</v>
      </c>
      <c r="BB188" s="6625" cm="1">
        <f t="array" ref="BB188">IF(W188="",0,SUMPRODUCT((CA4:CA795="Celeri")*(CB4:CB795="ALERTE")*(COUNTIF(AI188,"*"&amp;CC4:CC795&amp;"*")&gt;0)*1))</f>
        <v>0</v>
      </c>
      <c r="BC188" s="6625" cm="1">
        <f t="array" ref="BC188">IF(W188="",0,SUMPRODUCT((CA4:CA795="Moutarde")*(CB4:CB795="ALERTE")*(COUNTIF(AI188,"*"&amp;CC4:CC795&amp;"*")&gt;0)*1))</f>
        <v>0</v>
      </c>
      <c r="BD188" s="6625" cm="1">
        <f t="array" ref="BD188">IF(W188="",0,SUMPRODUCT((CA4:CA795="Sesame")*(CB4:CB795="ALERTE")*(COUNTIF(AI188,"*"&amp;CC4:CC795&amp;"*")&gt;0)*1))</f>
        <v>0</v>
      </c>
      <c r="BE188" s="6625" cm="1">
        <f t="array" ref="BE188">IF(W188="",0,SUMPRODUCT((CA4:CA795="Sulfites")*(CB4:CB795="ALERTE")*(COUNTIF(AI188,"*"&amp;CC4:CC795&amp;"*")&gt;0)*1))</f>
        <v>0</v>
      </c>
      <c r="BF188" s="6625" cm="1">
        <f t="array" ref="BF188">IF(W188="",0,SUMPRODUCT((CA4:CA795="Lupin")*(CB4:CB795="ALERTE")*(COUNTIF(AI188,"*"&amp;CC4:CC795&amp;"*")&gt;0)*1))</f>
        <v>0</v>
      </c>
      <c r="BG188" s="6625" cm="1">
        <f t="array" ref="BG188">IF(W188="",0,SUMPRODUCT((CA4:CA795="Mollusques")*(CB4:CB795="EXCL")*(COUNTIF(AI188,"*"&amp;CC4:CC795&amp;"*")&gt;0)*1))</f>
        <v>0</v>
      </c>
      <c r="BH188" s="6625" cm="1">
        <f t="array" ref="BH188">IF(W188="",0,SUMPRODUCT((CA4:CA795="Mollusques")*(CB4:CB795="ALERTE")*(COUNTIF(AI188,"*"&amp;CC4:CC795&amp;"*")&gt;0)*1))</f>
        <v>0</v>
      </c>
      <c r="BI188" s="6625" t="str">
        <f t="shared" si="112"/>
        <v/>
      </c>
      <c r="BJ188" s="6625" t="str">
        <f t="shared" si="113"/>
        <v/>
      </c>
      <c r="BK188" s="6625" t="str">
        <f t="shared" si="114"/>
        <v/>
      </c>
      <c r="BL188" s="6625" t="str">
        <f t="shared" si="115"/>
        <v/>
      </c>
      <c r="BM188" s="6625" t="str">
        <f t="shared" si="116"/>
        <v/>
      </c>
      <c r="BN188" s="6625" t="str">
        <f t="shared" si="117"/>
        <v/>
      </c>
      <c r="BO188" s="6625" t="str">
        <f t="shared" si="118"/>
        <v/>
      </c>
      <c r="BP188" s="6625" t="str">
        <f t="shared" si="119"/>
        <v/>
      </c>
      <c r="BQ188" s="6625" t="str">
        <f t="shared" si="120"/>
        <v/>
      </c>
      <c r="BR188" s="6625" t="str">
        <f t="shared" si="121"/>
        <v/>
      </c>
      <c r="BS188" s="6625" t="str">
        <f t="shared" si="122"/>
        <v/>
      </c>
      <c r="BT188" s="6625" t="str">
        <f t="shared" si="123"/>
        <v/>
      </c>
      <c r="BU188" s="6625" t="str">
        <f t="shared" si="124"/>
        <v/>
      </c>
      <c r="BV188" s="6625" t="str">
        <f t="shared" si="125"/>
        <v/>
      </c>
      <c r="BW188" s="6625" t="str">
        <f t="shared" si="126"/>
        <v/>
      </c>
      <c r="BX188" s="6625" t="str">
        <f t="shared" si="127"/>
        <v/>
      </c>
      <c r="CA188" s="3170" t="s">
        <v>16629</v>
      </c>
      <c r="CB188" s="7634" t="s">
        <v>16255</v>
      </c>
      <c r="CC188" s="3170" t="s">
        <v>16703</v>
      </c>
      <c r="CD188" s="3170" t="s">
        <v>16704</v>
      </c>
    </row>
    <row r="189" spans="2:82" ht="30" customHeight="1">
      <c r="B189" s="7661" t="str">
        <f t="shared" si="88"/>
        <v/>
      </c>
      <c r="C189" s="7661" t="str">
        <f t="shared" si="89"/>
        <v/>
      </c>
      <c r="D189" s="7661" t="str">
        <f t="shared" si="90"/>
        <v/>
      </c>
      <c r="E189" s="7661">
        <f>IF(H188&lt;&gt;"",E188,IF(E188="","",IFERROR(MATCH(TRUE(),INDEX(INDEX($K:$K,E188+1):$K$203&lt;&gt;"",0),0)+E188,"")))</f>
        <v>364</v>
      </c>
      <c r="F189" s="7661">
        <f t="shared" si="128"/>
        <v>0</v>
      </c>
      <c r="G189" s="7661" t="str">
        <f t="shared" si="91"/>
        <v>0</v>
      </c>
      <c r="H189" s="7672" t="str">
        <f t="shared" si="92"/>
        <v/>
      </c>
      <c r="I189" s="7683" t="str">
        <f t="shared" si="93"/>
        <v/>
      </c>
      <c r="J189" s="7673" t="str">
        <f>IF(K189="","",COUNTIF($K$18:K189,"&lt;&gt;"))</f>
        <v/>
      </c>
      <c r="K189" s="7674"/>
      <c r="L189" s="7673" t="str">
        <f t="shared" si="94"/>
        <v/>
      </c>
      <c r="M189" s="7630">
        <f t="shared" si="95"/>
        <v>1</v>
      </c>
      <c r="N189" s="7675">
        <f t="shared" si="96"/>
        <v>172</v>
      </c>
      <c r="O189" s="7676" t="str">
        <f t="shared" si="97"/>
        <v>0</v>
      </c>
      <c r="P189" s="7675">
        <f t="shared" si="98"/>
        <v>1</v>
      </c>
      <c r="Q189" s="7675">
        <f t="shared" si="99"/>
        <v>1</v>
      </c>
      <c r="S189" s="7679" t="str">
        <f t="shared" si="131"/>
        <v>0</v>
      </c>
      <c r="T189" s="7680" t="str">
        <f t="shared" si="131"/>
        <v/>
      </c>
      <c r="V189" s="7677">
        <f t="shared" si="100"/>
        <v>189</v>
      </c>
      <c r="W189" s="7678" t="str">
        <f t="shared" si="130"/>
        <v>0</v>
      </c>
      <c r="X189" s="7677" t="s">
        <v>2</v>
      </c>
      <c r="Y189" s="7702" t="str">
        <f t="shared" si="101"/>
        <v>0</v>
      </c>
      <c r="Z189" s="7703" t="str">
        <f t="shared" si="102"/>
        <v/>
      </c>
      <c r="AA189" s="7681" t="str">
        <f t="shared" si="103"/>
        <v>0</v>
      </c>
      <c r="AB189" s="7682" t="str">
        <f t="shared" si="104"/>
        <v/>
      </c>
      <c r="AC189" s="7677">
        <f t="shared" si="105"/>
        <v>0</v>
      </c>
      <c r="AD189" s="7677">
        <f t="shared" si="106"/>
        <v>0</v>
      </c>
      <c r="AE189" s="7682" t="str">
        <f t="shared" si="107"/>
        <v>aucun match</v>
      </c>
      <c r="AF189" s="6625" t="str">
        <f t="shared" si="108"/>
        <v>0</v>
      </c>
      <c r="AG189" s="6625" t="str">
        <f t="shared" si="109"/>
        <v>0</v>
      </c>
      <c r="AH189" s="6625" t="str">
        <f t="shared" si="110"/>
        <v>0</v>
      </c>
      <c r="AI189" s="6625" t="str">
        <f t="shared" si="111"/>
        <v xml:space="preserve"> 0 </v>
      </c>
      <c r="AJ189" s="6625" cm="1">
        <f t="array" ref="AJ189">IF(W189="",0,SUMPRODUCT((CA4:CA795="Gluten")*(CB4:CB795="INFO")*(COUNTIF(AI189,"*"&amp;CC4:CC795&amp;"*")&gt;0)*1))</f>
        <v>0</v>
      </c>
      <c r="AK189" s="6625" cm="1">
        <f t="array" ref="AK189">IF(W189="",0,SUMPRODUCT((CA4:CA795="Gluten")*(CB4:CB795="EXCL")*(COUNTIF(AI189,"*"&amp;CC4:CC795&amp;"*")&gt;0)*1))</f>
        <v>0</v>
      </c>
      <c r="AL189" s="6625" cm="1">
        <f t="array" ref="AL189">IF(W189="",0,SUMPRODUCT((CA4:CA795="Gluten")*(CB4:CB795="ALERTE")*(COUNTIF(AI189,"*"&amp;CC4:CC795&amp;"*")&gt;0)*1))</f>
        <v>0</v>
      </c>
      <c r="AM189" s="6625" cm="1">
        <f t="array" ref="AM189">IF(W189="",0,SUMPRODUCT((CA4:CA795="Gluten")*(CB4:CB795="SUSP")*(COUNTIF(AI189,"*"&amp;CC4:CC795&amp;"*")&gt;0)*1))</f>
        <v>0</v>
      </c>
      <c r="AN189" s="6625" cm="1">
        <f t="array" ref="AN189">IF(W189="",0,SUMPRODUCT((CA4:CA795="Crustaces")*(CB4:CB795="ALERTE")*(COUNTIF(AI189,"*"&amp;CC4:CC795&amp;"*")&gt;0)*1))</f>
        <v>0</v>
      </c>
      <c r="AO189" s="6625" cm="1">
        <f t="array" ref="AO189">IF(W189="",0,SUMPRODUCT((CA4:CA795="Oeufs")*(CB4:CB795="ALERTE")*(COUNTIF(AI189,"*"&amp;CC4:CC795&amp;"*")&gt;0)*1))</f>
        <v>0</v>
      </c>
      <c r="AP189" s="6625" cm="1">
        <f t="array" ref="AP189">IF(W189="",0,SUMPRODUCT((CA4:CA795="Poissons")*(CB4:CB795="INFO")*(COUNTIF(AI189,"*"&amp;CC4:CC795&amp;"*")&gt;0)*1))</f>
        <v>0</v>
      </c>
      <c r="AQ189" s="6625" cm="1">
        <f t="array" ref="AQ189">IF(W189="",0,SUMPRODUCT((CA4:CA795="Poissons")*(CB4:CB795="EXCL")*(COUNTIF(AI189,"*"&amp;CC4:CC795&amp;"*")&gt;0)*1))</f>
        <v>0</v>
      </c>
      <c r="AR189" s="6625" cm="1">
        <f t="array" ref="AR189">IF(W189="",0,SUMPRODUCT((CA4:CA795="Poissons")*(CB4:CB795="ALERTE")*(COUNTIF(AI189,"*"&amp;CC4:CC795&amp;"*")&gt;0)*1))</f>
        <v>0</v>
      </c>
      <c r="AS189" s="6625" cm="1">
        <f t="array" ref="AS189">IF(W189="",0,SUMPRODUCT((CA4:CA795="Arachides")*(CB4:CB795="ALERTE")*(COUNTIF(AI189,"*"&amp;CC4:CC795&amp;"*")&gt;0)*1))</f>
        <v>0</v>
      </c>
      <c r="AT189" s="6625" cm="1">
        <f t="array" ref="AT189">IF(W189="",0,SUMPRODUCT((CA4:CA795="Soja")*(CB4:CB795="INFO")*(COUNTIF(AI189,"*"&amp;CC4:CC795&amp;"*")&gt;0)*1))</f>
        <v>0</v>
      </c>
      <c r="AU189" s="6625" cm="1">
        <f t="array" ref="AU189">IF(W189="",0,SUMPRODUCT((CA4:CA795="Soja")*(CB4:CB795="ALERTE")*(COUNTIF(AI189,"*"&amp;CC4:CC795&amp;"*")&gt;0)*1))</f>
        <v>0</v>
      </c>
      <c r="AV189" s="6625" cm="1">
        <f t="array" ref="AV189">IF(W189="",0,SUMPRODUCT((CA4:CA795="Lait")*(CB4:CB795="INFO")*(COUNTIF(AI189,"*"&amp;CC4:CC795&amp;"*")&gt;0)*1))</f>
        <v>0</v>
      </c>
      <c r="AW189" s="6625" cm="1">
        <f t="array" ref="AW189">IF(W189="",0,SUMPRODUCT((CA4:CA795="Lait")*(CB4:CB795="EXCL")*(COUNTIF(AI189,"*"&amp;CC4:CC795&amp;"*")&gt;0)*1))</f>
        <v>0</v>
      </c>
      <c r="AX189" s="6625" cm="1">
        <f t="array" ref="AX189">IF(W189="",0,SUMPRODUCT((CA4:CA795="Lait")*(CB4:CB795="ALERTE")*(COUNTIF(AI189,"*"&amp;CC4:CC795&amp;"*")&gt;0)*1))</f>
        <v>0</v>
      </c>
      <c r="AY189" s="6625" cm="1">
        <f t="array" ref="AY189">IF(W189="",0,SUMPRODUCT((CA4:CA795="Lait")*(CB4:CB795="SUSP")*(COUNTIF(AI189,"*"&amp;CC4:CC795&amp;"*")&gt;0)*1))</f>
        <v>0</v>
      </c>
      <c r="AZ189" s="6625" cm="1">
        <f t="array" ref="AZ189">IF(W189="",0,SUMPRODUCT((CA4:CA795="Fruits a coque")*(CB4:CB795="EXCL")*(COUNTIF(AI189,"*"&amp;CC4:CC795&amp;"*")&gt;0)*1))</f>
        <v>0</v>
      </c>
      <c r="BA189" s="6625" cm="1">
        <f t="array" ref="BA189">IF(W189="",0,SUMPRODUCT((CA4:CA795="Fruits a coque")*(CB4:CB795="ALERTE")*(COUNTIF(AI189,"*"&amp;CC4:CC795&amp;"*")&gt;0)*1))</f>
        <v>0</v>
      </c>
      <c r="BB189" s="6625" cm="1">
        <f t="array" ref="BB189">IF(W189="",0,SUMPRODUCT((CA4:CA795="Celeri")*(CB4:CB795="ALERTE")*(COUNTIF(AI189,"*"&amp;CC4:CC795&amp;"*")&gt;0)*1))</f>
        <v>0</v>
      </c>
      <c r="BC189" s="6625" cm="1">
        <f t="array" ref="BC189">IF(W189="",0,SUMPRODUCT((CA4:CA795="Moutarde")*(CB4:CB795="ALERTE")*(COUNTIF(AI189,"*"&amp;CC4:CC795&amp;"*")&gt;0)*1))</f>
        <v>0</v>
      </c>
      <c r="BD189" s="6625" cm="1">
        <f t="array" ref="BD189">IF(W189="",0,SUMPRODUCT((CA4:CA795="Sesame")*(CB4:CB795="ALERTE")*(COUNTIF(AI189,"*"&amp;CC4:CC795&amp;"*")&gt;0)*1))</f>
        <v>0</v>
      </c>
      <c r="BE189" s="6625" cm="1">
        <f t="array" ref="BE189">IF(W189="",0,SUMPRODUCT((CA4:CA795="Sulfites")*(CB4:CB795="ALERTE")*(COUNTIF(AI189,"*"&amp;CC4:CC795&amp;"*")&gt;0)*1))</f>
        <v>0</v>
      </c>
      <c r="BF189" s="6625" cm="1">
        <f t="array" ref="BF189">IF(W189="",0,SUMPRODUCT((CA4:CA795="Lupin")*(CB4:CB795="ALERTE")*(COUNTIF(AI189,"*"&amp;CC4:CC795&amp;"*")&gt;0)*1))</f>
        <v>0</v>
      </c>
      <c r="BG189" s="6625" cm="1">
        <f t="array" ref="BG189">IF(W189="",0,SUMPRODUCT((CA4:CA795="Mollusques")*(CB4:CB795="EXCL")*(COUNTIF(AI189,"*"&amp;CC4:CC795&amp;"*")&gt;0)*1))</f>
        <v>0</v>
      </c>
      <c r="BH189" s="6625" cm="1">
        <f t="array" ref="BH189">IF(W189="",0,SUMPRODUCT((CA4:CA795="Mollusques")*(CB4:CB795="ALERTE")*(COUNTIF(AI189,"*"&amp;CC4:CC795&amp;"*")&gt;0)*1))</f>
        <v>0</v>
      </c>
      <c r="BI189" s="6625" t="str">
        <f t="shared" si="112"/>
        <v/>
      </c>
      <c r="BJ189" s="6625" t="str">
        <f t="shared" si="113"/>
        <v/>
      </c>
      <c r="BK189" s="6625" t="str">
        <f t="shared" si="114"/>
        <v/>
      </c>
      <c r="BL189" s="6625" t="str">
        <f t="shared" si="115"/>
        <v/>
      </c>
      <c r="BM189" s="6625" t="str">
        <f t="shared" si="116"/>
        <v/>
      </c>
      <c r="BN189" s="6625" t="str">
        <f t="shared" si="117"/>
        <v/>
      </c>
      <c r="BO189" s="6625" t="str">
        <f t="shared" si="118"/>
        <v/>
      </c>
      <c r="BP189" s="6625" t="str">
        <f t="shared" si="119"/>
        <v/>
      </c>
      <c r="BQ189" s="6625" t="str">
        <f t="shared" si="120"/>
        <v/>
      </c>
      <c r="BR189" s="6625" t="str">
        <f t="shared" si="121"/>
        <v/>
      </c>
      <c r="BS189" s="6625" t="str">
        <f t="shared" si="122"/>
        <v/>
      </c>
      <c r="BT189" s="6625" t="str">
        <f t="shared" si="123"/>
        <v/>
      </c>
      <c r="BU189" s="6625" t="str">
        <f t="shared" si="124"/>
        <v/>
      </c>
      <c r="BV189" s="6625" t="str">
        <f t="shared" si="125"/>
        <v/>
      </c>
      <c r="BW189" s="6625" t="str">
        <f t="shared" si="126"/>
        <v/>
      </c>
      <c r="BX189" s="6625" t="str">
        <f t="shared" si="127"/>
        <v/>
      </c>
      <c r="CA189" s="3170" t="s">
        <v>16629</v>
      </c>
      <c r="CB189" s="7634" t="s">
        <v>16255</v>
      </c>
      <c r="CC189" s="3170" t="s">
        <v>16705</v>
      </c>
      <c r="CD189" s="3170" t="s">
        <v>16706</v>
      </c>
    </row>
    <row r="190" spans="2:82" ht="30" customHeight="1">
      <c r="B190" s="7661" t="str">
        <f t="shared" si="88"/>
        <v/>
      </c>
      <c r="C190" s="7661" t="str">
        <f t="shared" si="89"/>
        <v/>
      </c>
      <c r="D190" s="7661" t="str">
        <f t="shared" si="90"/>
        <v/>
      </c>
      <c r="E190" s="7661">
        <f>IF(H189&lt;&gt;"",E189,IF(E189="","",IFERROR(MATCH(TRUE(),INDEX(INDEX($K:$K,E189+1):$K$203&lt;&gt;"",0),0)+E189,"")))</f>
        <v>365</v>
      </c>
      <c r="F190" s="7661">
        <f t="shared" si="128"/>
        <v>0</v>
      </c>
      <c r="G190" s="7661" t="str">
        <f t="shared" si="91"/>
        <v>0</v>
      </c>
      <c r="H190" s="7672" t="str">
        <f t="shared" si="92"/>
        <v/>
      </c>
      <c r="I190" s="7683" t="str">
        <f t="shared" si="93"/>
        <v/>
      </c>
      <c r="J190" s="7673" t="str">
        <f>IF(K190="","",COUNTIF($K$18:K190,"&lt;&gt;"))</f>
        <v/>
      </c>
      <c r="K190" s="7674"/>
      <c r="L190" s="7673" t="str">
        <f t="shared" si="94"/>
        <v/>
      </c>
      <c r="M190" s="7630">
        <f t="shared" si="95"/>
        <v>1</v>
      </c>
      <c r="N190" s="7675">
        <f t="shared" si="96"/>
        <v>173</v>
      </c>
      <c r="O190" s="7676" t="str">
        <f t="shared" si="97"/>
        <v>0</v>
      </c>
      <c r="P190" s="7675">
        <f t="shared" si="98"/>
        <v>1</v>
      </c>
      <c r="Q190" s="7675">
        <f t="shared" si="99"/>
        <v>1</v>
      </c>
      <c r="S190" s="7679" t="str">
        <f t="shared" si="131"/>
        <v>0</v>
      </c>
      <c r="T190" s="7680" t="str">
        <f t="shared" si="131"/>
        <v/>
      </c>
      <c r="V190" s="7677">
        <f t="shared" si="100"/>
        <v>190</v>
      </c>
      <c r="W190" s="7678" t="str">
        <f t="shared" si="130"/>
        <v>0</v>
      </c>
      <c r="X190" s="7677" t="s">
        <v>2</v>
      </c>
      <c r="Y190" s="7702" t="str">
        <f t="shared" si="101"/>
        <v>0</v>
      </c>
      <c r="Z190" s="7703" t="str">
        <f t="shared" si="102"/>
        <v/>
      </c>
      <c r="AA190" s="7681" t="str">
        <f t="shared" si="103"/>
        <v>0</v>
      </c>
      <c r="AB190" s="7682" t="str">
        <f t="shared" si="104"/>
        <v/>
      </c>
      <c r="AC190" s="7677">
        <f t="shared" si="105"/>
        <v>0</v>
      </c>
      <c r="AD190" s="7677">
        <f t="shared" si="106"/>
        <v>0</v>
      </c>
      <c r="AE190" s="7682" t="str">
        <f t="shared" si="107"/>
        <v>aucun match</v>
      </c>
      <c r="AF190" s="6625" t="str">
        <f t="shared" si="108"/>
        <v>0</v>
      </c>
      <c r="AG190" s="6625" t="str">
        <f t="shared" si="109"/>
        <v>0</v>
      </c>
      <c r="AH190" s="6625" t="str">
        <f t="shared" si="110"/>
        <v>0</v>
      </c>
      <c r="AI190" s="6625" t="str">
        <f t="shared" si="111"/>
        <v xml:space="preserve"> 0 </v>
      </c>
      <c r="AJ190" s="6625" cm="1">
        <f t="array" ref="AJ190">IF(W190="",0,SUMPRODUCT((CA4:CA795="Gluten")*(CB4:CB795="INFO")*(COUNTIF(AI190,"*"&amp;CC4:CC795&amp;"*")&gt;0)*1))</f>
        <v>0</v>
      </c>
      <c r="AK190" s="6625" cm="1">
        <f t="array" ref="AK190">IF(W190="",0,SUMPRODUCT((CA4:CA795="Gluten")*(CB4:CB795="EXCL")*(COUNTIF(AI190,"*"&amp;CC4:CC795&amp;"*")&gt;0)*1))</f>
        <v>0</v>
      </c>
      <c r="AL190" s="6625" cm="1">
        <f t="array" ref="AL190">IF(W190="",0,SUMPRODUCT((CA4:CA795="Gluten")*(CB4:CB795="ALERTE")*(COUNTIF(AI190,"*"&amp;CC4:CC795&amp;"*")&gt;0)*1))</f>
        <v>0</v>
      </c>
      <c r="AM190" s="6625" cm="1">
        <f t="array" ref="AM190">IF(W190="",0,SUMPRODUCT((CA4:CA795="Gluten")*(CB4:CB795="SUSP")*(COUNTIF(AI190,"*"&amp;CC4:CC795&amp;"*")&gt;0)*1))</f>
        <v>0</v>
      </c>
      <c r="AN190" s="6625" cm="1">
        <f t="array" ref="AN190">IF(W190="",0,SUMPRODUCT((CA4:CA795="Crustaces")*(CB4:CB795="ALERTE")*(COUNTIF(AI190,"*"&amp;CC4:CC795&amp;"*")&gt;0)*1))</f>
        <v>0</v>
      </c>
      <c r="AO190" s="6625" cm="1">
        <f t="array" ref="AO190">IF(W190="",0,SUMPRODUCT((CA4:CA795="Oeufs")*(CB4:CB795="ALERTE")*(COUNTIF(AI190,"*"&amp;CC4:CC795&amp;"*")&gt;0)*1))</f>
        <v>0</v>
      </c>
      <c r="AP190" s="6625" cm="1">
        <f t="array" ref="AP190">IF(W190="",0,SUMPRODUCT((CA4:CA795="Poissons")*(CB4:CB795="INFO")*(COUNTIF(AI190,"*"&amp;CC4:CC795&amp;"*")&gt;0)*1))</f>
        <v>0</v>
      </c>
      <c r="AQ190" s="6625" cm="1">
        <f t="array" ref="AQ190">IF(W190="",0,SUMPRODUCT((CA4:CA795="Poissons")*(CB4:CB795="EXCL")*(COUNTIF(AI190,"*"&amp;CC4:CC795&amp;"*")&gt;0)*1))</f>
        <v>0</v>
      </c>
      <c r="AR190" s="6625" cm="1">
        <f t="array" ref="AR190">IF(W190="",0,SUMPRODUCT((CA4:CA795="Poissons")*(CB4:CB795="ALERTE")*(COUNTIF(AI190,"*"&amp;CC4:CC795&amp;"*")&gt;0)*1))</f>
        <v>0</v>
      </c>
      <c r="AS190" s="6625" cm="1">
        <f t="array" ref="AS190">IF(W190="",0,SUMPRODUCT((CA4:CA795="Arachides")*(CB4:CB795="ALERTE")*(COUNTIF(AI190,"*"&amp;CC4:CC795&amp;"*")&gt;0)*1))</f>
        <v>0</v>
      </c>
      <c r="AT190" s="6625" cm="1">
        <f t="array" ref="AT190">IF(W190="",0,SUMPRODUCT((CA4:CA795="Soja")*(CB4:CB795="INFO")*(COUNTIF(AI190,"*"&amp;CC4:CC795&amp;"*")&gt;0)*1))</f>
        <v>0</v>
      </c>
      <c r="AU190" s="6625" cm="1">
        <f t="array" ref="AU190">IF(W190="",0,SUMPRODUCT((CA4:CA795="Soja")*(CB4:CB795="ALERTE")*(COUNTIF(AI190,"*"&amp;CC4:CC795&amp;"*")&gt;0)*1))</f>
        <v>0</v>
      </c>
      <c r="AV190" s="6625" cm="1">
        <f t="array" ref="AV190">IF(W190="",0,SUMPRODUCT((CA4:CA795="Lait")*(CB4:CB795="INFO")*(COUNTIF(AI190,"*"&amp;CC4:CC795&amp;"*")&gt;0)*1))</f>
        <v>0</v>
      </c>
      <c r="AW190" s="6625" cm="1">
        <f t="array" ref="AW190">IF(W190="",0,SUMPRODUCT((CA4:CA795="Lait")*(CB4:CB795="EXCL")*(COUNTIF(AI190,"*"&amp;CC4:CC795&amp;"*")&gt;0)*1))</f>
        <v>0</v>
      </c>
      <c r="AX190" s="6625" cm="1">
        <f t="array" ref="AX190">IF(W190="",0,SUMPRODUCT((CA4:CA795="Lait")*(CB4:CB795="ALERTE")*(COUNTIF(AI190,"*"&amp;CC4:CC795&amp;"*")&gt;0)*1))</f>
        <v>0</v>
      </c>
      <c r="AY190" s="6625" cm="1">
        <f t="array" ref="AY190">IF(W190="",0,SUMPRODUCT((CA4:CA795="Lait")*(CB4:CB795="SUSP")*(COUNTIF(AI190,"*"&amp;CC4:CC795&amp;"*")&gt;0)*1))</f>
        <v>0</v>
      </c>
      <c r="AZ190" s="6625" cm="1">
        <f t="array" ref="AZ190">IF(W190="",0,SUMPRODUCT((CA4:CA795="Fruits a coque")*(CB4:CB795="EXCL")*(COUNTIF(AI190,"*"&amp;CC4:CC795&amp;"*")&gt;0)*1))</f>
        <v>0</v>
      </c>
      <c r="BA190" s="6625" cm="1">
        <f t="array" ref="BA190">IF(W190="",0,SUMPRODUCT((CA4:CA795="Fruits a coque")*(CB4:CB795="ALERTE")*(COUNTIF(AI190,"*"&amp;CC4:CC795&amp;"*")&gt;0)*1))</f>
        <v>0</v>
      </c>
      <c r="BB190" s="6625" cm="1">
        <f t="array" ref="BB190">IF(W190="",0,SUMPRODUCT((CA4:CA795="Celeri")*(CB4:CB795="ALERTE")*(COUNTIF(AI190,"*"&amp;CC4:CC795&amp;"*")&gt;0)*1))</f>
        <v>0</v>
      </c>
      <c r="BC190" s="6625" cm="1">
        <f t="array" ref="BC190">IF(W190="",0,SUMPRODUCT((CA4:CA795="Moutarde")*(CB4:CB795="ALERTE")*(COUNTIF(AI190,"*"&amp;CC4:CC795&amp;"*")&gt;0)*1))</f>
        <v>0</v>
      </c>
      <c r="BD190" s="6625" cm="1">
        <f t="array" ref="BD190">IF(W190="",0,SUMPRODUCT((CA4:CA795="Sesame")*(CB4:CB795="ALERTE")*(COUNTIF(AI190,"*"&amp;CC4:CC795&amp;"*")&gt;0)*1))</f>
        <v>0</v>
      </c>
      <c r="BE190" s="6625" cm="1">
        <f t="array" ref="BE190">IF(W190="",0,SUMPRODUCT((CA4:CA795="Sulfites")*(CB4:CB795="ALERTE")*(COUNTIF(AI190,"*"&amp;CC4:CC795&amp;"*")&gt;0)*1))</f>
        <v>0</v>
      </c>
      <c r="BF190" s="6625" cm="1">
        <f t="array" ref="BF190">IF(W190="",0,SUMPRODUCT((CA4:CA795="Lupin")*(CB4:CB795="ALERTE")*(COUNTIF(AI190,"*"&amp;CC4:CC795&amp;"*")&gt;0)*1))</f>
        <v>0</v>
      </c>
      <c r="BG190" s="6625" cm="1">
        <f t="array" ref="BG190">IF(W190="",0,SUMPRODUCT((CA4:CA795="Mollusques")*(CB4:CB795="EXCL")*(COUNTIF(AI190,"*"&amp;CC4:CC795&amp;"*")&gt;0)*1))</f>
        <v>0</v>
      </c>
      <c r="BH190" s="6625" cm="1">
        <f t="array" ref="BH190">IF(W190="",0,SUMPRODUCT((CA4:CA795="Mollusques")*(CB4:CB795="ALERTE")*(COUNTIF(AI190,"*"&amp;CC4:CC795&amp;"*")&gt;0)*1))</f>
        <v>0</v>
      </c>
      <c r="BI190" s="6625" t="str">
        <f t="shared" si="112"/>
        <v/>
      </c>
      <c r="BJ190" s="6625" t="str">
        <f t="shared" si="113"/>
        <v/>
      </c>
      <c r="BK190" s="6625" t="str">
        <f t="shared" si="114"/>
        <v/>
      </c>
      <c r="BL190" s="6625" t="str">
        <f t="shared" si="115"/>
        <v/>
      </c>
      <c r="BM190" s="6625" t="str">
        <f t="shared" si="116"/>
        <v/>
      </c>
      <c r="BN190" s="6625" t="str">
        <f t="shared" si="117"/>
        <v/>
      </c>
      <c r="BO190" s="6625" t="str">
        <f t="shared" si="118"/>
        <v/>
      </c>
      <c r="BP190" s="6625" t="str">
        <f t="shared" si="119"/>
        <v/>
      </c>
      <c r="BQ190" s="6625" t="str">
        <f t="shared" si="120"/>
        <v/>
      </c>
      <c r="BR190" s="6625" t="str">
        <f t="shared" si="121"/>
        <v/>
      </c>
      <c r="BS190" s="6625" t="str">
        <f t="shared" si="122"/>
        <v/>
      </c>
      <c r="BT190" s="6625" t="str">
        <f t="shared" si="123"/>
        <v/>
      </c>
      <c r="BU190" s="6625" t="str">
        <f t="shared" si="124"/>
        <v/>
      </c>
      <c r="BV190" s="6625" t="str">
        <f t="shared" si="125"/>
        <v/>
      </c>
      <c r="BW190" s="6625" t="str">
        <f t="shared" si="126"/>
        <v/>
      </c>
      <c r="BX190" s="6625" t="str">
        <f t="shared" si="127"/>
        <v/>
      </c>
      <c r="CA190" s="3170" t="s">
        <v>16629</v>
      </c>
      <c r="CB190" s="7634" t="s">
        <v>16255</v>
      </c>
      <c r="CC190" s="3170" t="s">
        <v>16707</v>
      </c>
      <c r="CD190" s="3170" t="s">
        <v>16708</v>
      </c>
    </row>
    <row r="191" spans="2:82" ht="30" customHeight="1">
      <c r="B191" s="7661" t="str">
        <f t="shared" si="88"/>
        <v/>
      </c>
      <c r="C191" s="7661" t="str">
        <f t="shared" si="89"/>
        <v/>
      </c>
      <c r="D191" s="7661" t="str">
        <f t="shared" si="90"/>
        <v/>
      </c>
      <c r="E191" s="7661">
        <f>IF(H190&lt;&gt;"",E190,IF(E190="","",IFERROR(MATCH(TRUE(),INDEX(INDEX($K:$K,E190+1):$K$203&lt;&gt;"",0),0)+E190,"")))</f>
        <v>366</v>
      </c>
      <c r="F191" s="7661">
        <f t="shared" si="128"/>
        <v>0</v>
      </c>
      <c r="G191" s="7661" t="str">
        <f t="shared" si="91"/>
        <v>0</v>
      </c>
      <c r="H191" s="7672" t="str">
        <f t="shared" si="92"/>
        <v/>
      </c>
      <c r="I191" s="7683" t="str">
        <f t="shared" si="93"/>
        <v/>
      </c>
      <c r="J191" s="7673" t="str">
        <f>IF(K191="","",COUNTIF($K$18:K191,"&lt;&gt;"))</f>
        <v/>
      </c>
      <c r="K191" s="7674"/>
      <c r="L191" s="7673" t="str">
        <f t="shared" si="94"/>
        <v/>
      </c>
      <c r="M191" s="7630">
        <f t="shared" si="95"/>
        <v>1</v>
      </c>
      <c r="N191" s="7675">
        <f t="shared" si="96"/>
        <v>174</v>
      </c>
      <c r="O191" s="7676" t="str">
        <f t="shared" si="97"/>
        <v>0</v>
      </c>
      <c r="P191" s="7675">
        <f t="shared" si="98"/>
        <v>1</v>
      </c>
      <c r="Q191" s="7675">
        <f t="shared" si="99"/>
        <v>1</v>
      </c>
      <c r="S191" s="7679" t="str">
        <f t="shared" si="131"/>
        <v>0</v>
      </c>
      <c r="T191" s="7680" t="str">
        <f t="shared" si="131"/>
        <v/>
      </c>
      <c r="V191" s="7677">
        <f t="shared" si="100"/>
        <v>191</v>
      </c>
      <c r="W191" s="7678" t="str">
        <f t="shared" si="130"/>
        <v>0</v>
      </c>
      <c r="X191" s="7677" t="s">
        <v>2</v>
      </c>
      <c r="Y191" s="7702" t="str">
        <f t="shared" si="101"/>
        <v>0</v>
      </c>
      <c r="Z191" s="7703" t="str">
        <f t="shared" si="102"/>
        <v/>
      </c>
      <c r="AA191" s="7681" t="str">
        <f t="shared" si="103"/>
        <v>0</v>
      </c>
      <c r="AB191" s="7682" t="str">
        <f t="shared" si="104"/>
        <v/>
      </c>
      <c r="AC191" s="7677">
        <f t="shared" si="105"/>
        <v>0</v>
      </c>
      <c r="AD191" s="7677">
        <f t="shared" si="106"/>
        <v>0</v>
      </c>
      <c r="AE191" s="7682" t="str">
        <f t="shared" si="107"/>
        <v>aucun match</v>
      </c>
      <c r="AF191" s="6625" t="str">
        <f t="shared" si="108"/>
        <v>0</v>
      </c>
      <c r="AG191" s="6625" t="str">
        <f t="shared" si="109"/>
        <v>0</v>
      </c>
      <c r="AH191" s="6625" t="str">
        <f t="shared" si="110"/>
        <v>0</v>
      </c>
      <c r="AI191" s="6625" t="str">
        <f t="shared" si="111"/>
        <v xml:space="preserve"> 0 </v>
      </c>
      <c r="AJ191" s="6625" cm="1">
        <f t="array" ref="AJ191">IF(W191="",0,SUMPRODUCT((CA4:CA795="Gluten")*(CB4:CB795="INFO")*(COUNTIF(AI191,"*"&amp;CC4:CC795&amp;"*")&gt;0)*1))</f>
        <v>0</v>
      </c>
      <c r="AK191" s="6625" cm="1">
        <f t="array" ref="AK191">IF(W191="",0,SUMPRODUCT((CA4:CA795="Gluten")*(CB4:CB795="EXCL")*(COUNTIF(AI191,"*"&amp;CC4:CC795&amp;"*")&gt;0)*1))</f>
        <v>0</v>
      </c>
      <c r="AL191" s="6625" cm="1">
        <f t="array" ref="AL191">IF(W191="",0,SUMPRODUCT((CA4:CA795="Gluten")*(CB4:CB795="ALERTE")*(COUNTIF(AI191,"*"&amp;CC4:CC795&amp;"*")&gt;0)*1))</f>
        <v>0</v>
      </c>
      <c r="AM191" s="6625" cm="1">
        <f t="array" ref="AM191">IF(W191="",0,SUMPRODUCT((CA4:CA795="Gluten")*(CB4:CB795="SUSP")*(COUNTIF(AI191,"*"&amp;CC4:CC795&amp;"*")&gt;0)*1))</f>
        <v>0</v>
      </c>
      <c r="AN191" s="6625" cm="1">
        <f t="array" ref="AN191">IF(W191="",0,SUMPRODUCT((CA4:CA795="Crustaces")*(CB4:CB795="ALERTE")*(COUNTIF(AI191,"*"&amp;CC4:CC795&amp;"*")&gt;0)*1))</f>
        <v>0</v>
      </c>
      <c r="AO191" s="6625" cm="1">
        <f t="array" ref="AO191">IF(W191="",0,SUMPRODUCT((CA4:CA795="Oeufs")*(CB4:CB795="ALERTE")*(COUNTIF(AI191,"*"&amp;CC4:CC795&amp;"*")&gt;0)*1))</f>
        <v>0</v>
      </c>
      <c r="AP191" s="6625" cm="1">
        <f t="array" ref="AP191">IF(W191="",0,SUMPRODUCT((CA4:CA795="Poissons")*(CB4:CB795="INFO")*(COUNTIF(AI191,"*"&amp;CC4:CC795&amp;"*")&gt;0)*1))</f>
        <v>0</v>
      </c>
      <c r="AQ191" s="6625" cm="1">
        <f t="array" ref="AQ191">IF(W191="",0,SUMPRODUCT((CA4:CA795="Poissons")*(CB4:CB795="EXCL")*(COUNTIF(AI191,"*"&amp;CC4:CC795&amp;"*")&gt;0)*1))</f>
        <v>0</v>
      </c>
      <c r="AR191" s="6625" cm="1">
        <f t="array" ref="AR191">IF(W191="",0,SUMPRODUCT((CA4:CA795="Poissons")*(CB4:CB795="ALERTE")*(COUNTIF(AI191,"*"&amp;CC4:CC795&amp;"*")&gt;0)*1))</f>
        <v>0</v>
      </c>
      <c r="AS191" s="6625" cm="1">
        <f t="array" ref="AS191">IF(W191="",0,SUMPRODUCT((CA4:CA795="Arachides")*(CB4:CB795="ALERTE")*(COUNTIF(AI191,"*"&amp;CC4:CC795&amp;"*")&gt;0)*1))</f>
        <v>0</v>
      </c>
      <c r="AT191" s="6625" cm="1">
        <f t="array" ref="AT191">IF(W191="",0,SUMPRODUCT((CA4:CA795="Soja")*(CB4:CB795="INFO")*(COUNTIF(AI191,"*"&amp;CC4:CC795&amp;"*")&gt;0)*1))</f>
        <v>0</v>
      </c>
      <c r="AU191" s="6625" cm="1">
        <f t="array" ref="AU191">IF(W191="",0,SUMPRODUCT((CA4:CA795="Soja")*(CB4:CB795="ALERTE")*(COUNTIF(AI191,"*"&amp;CC4:CC795&amp;"*")&gt;0)*1))</f>
        <v>0</v>
      </c>
      <c r="AV191" s="6625" cm="1">
        <f t="array" ref="AV191">IF(W191="",0,SUMPRODUCT((CA4:CA795="Lait")*(CB4:CB795="INFO")*(COUNTIF(AI191,"*"&amp;CC4:CC795&amp;"*")&gt;0)*1))</f>
        <v>0</v>
      </c>
      <c r="AW191" s="6625" cm="1">
        <f t="array" ref="AW191">IF(W191="",0,SUMPRODUCT((CA4:CA795="Lait")*(CB4:CB795="EXCL")*(COUNTIF(AI191,"*"&amp;CC4:CC795&amp;"*")&gt;0)*1))</f>
        <v>0</v>
      </c>
      <c r="AX191" s="6625" cm="1">
        <f t="array" ref="AX191">IF(W191="",0,SUMPRODUCT((CA4:CA795="Lait")*(CB4:CB795="ALERTE")*(COUNTIF(AI191,"*"&amp;CC4:CC795&amp;"*")&gt;0)*1))</f>
        <v>0</v>
      </c>
      <c r="AY191" s="6625" cm="1">
        <f t="array" ref="AY191">IF(W191="",0,SUMPRODUCT((CA4:CA795="Lait")*(CB4:CB795="SUSP")*(COUNTIF(AI191,"*"&amp;CC4:CC795&amp;"*")&gt;0)*1))</f>
        <v>0</v>
      </c>
      <c r="AZ191" s="6625" cm="1">
        <f t="array" ref="AZ191">IF(W191="",0,SUMPRODUCT((CA4:CA795="Fruits a coque")*(CB4:CB795="EXCL")*(COUNTIF(AI191,"*"&amp;CC4:CC795&amp;"*")&gt;0)*1))</f>
        <v>0</v>
      </c>
      <c r="BA191" s="6625" cm="1">
        <f t="array" ref="BA191">IF(W191="",0,SUMPRODUCT((CA4:CA795="Fruits a coque")*(CB4:CB795="ALERTE")*(COUNTIF(AI191,"*"&amp;CC4:CC795&amp;"*")&gt;0)*1))</f>
        <v>0</v>
      </c>
      <c r="BB191" s="6625" cm="1">
        <f t="array" ref="BB191">IF(W191="",0,SUMPRODUCT((CA4:CA795="Celeri")*(CB4:CB795="ALERTE")*(COUNTIF(AI191,"*"&amp;CC4:CC795&amp;"*")&gt;0)*1))</f>
        <v>0</v>
      </c>
      <c r="BC191" s="6625" cm="1">
        <f t="array" ref="BC191">IF(W191="",0,SUMPRODUCT((CA4:CA795="Moutarde")*(CB4:CB795="ALERTE")*(COUNTIF(AI191,"*"&amp;CC4:CC795&amp;"*")&gt;0)*1))</f>
        <v>0</v>
      </c>
      <c r="BD191" s="6625" cm="1">
        <f t="array" ref="BD191">IF(W191="",0,SUMPRODUCT((CA4:CA795="Sesame")*(CB4:CB795="ALERTE")*(COUNTIF(AI191,"*"&amp;CC4:CC795&amp;"*")&gt;0)*1))</f>
        <v>0</v>
      </c>
      <c r="BE191" s="6625" cm="1">
        <f t="array" ref="BE191">IF(W191="",0,SUMPRODUCT((CA4:CA795="Sulfites")*(CB4:CB795="ALERTE")*(COUNTIF(AI191,"*"&amp;CC4:CC795&amp;"*")&gt;0)*1))</f>
        <v>0</v>
      </c>
      <c r="BF191" s="6625" cm="1">
        <f t="array" ref="BF191">IF(W191="",0,SUMPRODUCT((CA4:CA795="Lupin")*(CB4:CB795="ALERTE")*(COUNTIF(AI191,"*"&amp;CC4:CC795&amp;"*")&gt;0)*1))</f>
        <v>0</v>
      </c>
      <c r="BG191" s="6625" cm="1">
        <f t="array" ref="BG191">IF(W191="",0,SUMPRODUCT((CA4:CA795="Mollusques")*(CB4:CB795="EXCL")*(COUNTIF(AI191,"*"&amp;CC4:CC795&amp;"*")&gt;0)*1))</f>
        <v>0</v>
      </c>
      <c r="BH191" s="6625" cm="1">
        <f t="array" ref="BH191">IF(W191="",0,SUMPRODUCT((CA4:CA795="Mollusques")*(CB4:CB795="ALERTE")*(COUNTIF(AI191,"*"&amp;CC4:CC795&amp;"*")&gt;0)*1))</f>
        <v>0</v>
      </c>
      <c r="BI191" s="6625" t="str">
        <f t="shared" si="112"/>
        <v/>
      </c>
      <c r="BJ191" s="6625" t="str">
        <f t="shared" si="113"/>
        <v/>
      </c>
      <c r="BK191" s="6625" t="str">
        <f t="shared" si="114"/>
        <v/>
      </c>
      <c r="BL191" s="6625" t="str">
        <f t="shared" si="115"/>
        <v/>
      </c>
      <c r="BM191" s="6625" t="str">
        <f t="shared" si="116"/>
        <v/>
      </c>
      <c r="BN191" s="6625" t="str">
        <f t="shared" si="117"/>
        <v/>
      </c>
      <c r="BO191" s="6625" t="str">
        <f t="shared" si="118"/>
        <v/>
      </c>
      <c r="BP191" s="6625" t="str">
        <f t="shared" si="119"/>
        <v/>
      </c>
      <c r="BQ191" s="6625" t="str">
        <f t="shared" si="120"/>
        <v/>
      </c>
      <c r="BR191" s="6625" t="str">
        <f t="shared" si="121"/>
        <v/>
      </c>
      <c r="BS191" s="6625" t="str">
        <f t="shared" si="122"/>
        <v/>
      </c>
      <c r="BT191" s="6625" t="str">
        <f t="shared" si="123"/>
        <v/>
      </c>
      <c r="BU191" s="6625" t="str">
        <f t="shared" si="124"/>
        <v/>
      </c>
      <c r="BV191" s="6625" t="str">
        <f t="shared" si="125"/>
        <v/>
      </c>
      <c r="BW191" s="6625" t="str">
        <f t="shared" si="126"/>
        <v/>
      </c>
      <c r="BX191" s="6625" t="str">
        <f t="shared" si="127"/>
        <v/>
      </c>
      <c r="CA191" s="3170" t="s">
        <v>16629</v>
      </c>
      <c r="CB191" s="7634" t="s">
        <v>16255</v>
      </c>
      <c r="CC191" s="3170" t="s">
        <v>16709</v>
      </c>
      <c r="CD191" s="3170" t="s">
        <v>16710</v>
      </c>
    </row>
    <row r="192" spans="2:82" ht="30" customHeight="1">
      <c r="B192" s="7661" t="str">
        <f t="shared" si="88"/>
        <v/>
      </c>
      <c r="C192" s="7661" t="str">
        <f t="shared" si="89"/>
        <v/>
      </c>
      <c r="D192" s="7661" t="str">
        <f t="shared" si="90"/>
        <v/>
      </c>
      <c r="E192" s="7661">
        <f>IF(H191&lt;&gt;"",E191,IF(E191="","",IFERROR(MATCH(TRUE(),INDEX(INDEX($K:$K,E191+1):$K$203&lt;&gt;"",0),0)+E191,"")))</f>
        <v>367</v>
      </c>
      <c r="F192" s="7661">
        <f t="shared" si="128"/>
        <v>0</v>
      </c>
      <c r="G192" s="7661" t="str">
        <f t="shared" si="91"/>
        <v>0</v>
      </c>
      <c r="H192" s="7672" t="str">
        <f t="shared" si="92"/>
        <v/>
      </c>
      <c r="I192" s="7683" t="str">
        <f t="shared" si="93"/>
        <v/>
      </c>
      <c r="J192" s="7673" t="str">
        <f>IF(K192="","",COUNTIF($K$18:K192,"&lt;&gt;"))</f>
        <v/>
      </c>
      <c r="K192" s="7674"/>
      <c r="L192" s="7673" t="str">
        <f t="shared" si="94"/>
        <v/>
      </c>
      <c r="M192" s="7630">
        <f t="shared" si="95"/>
        <v>1</v>
      </c>
      <c r="N192" s="7675">
        <f t="shared" si="96"/>
        <v>175</v>
      </c>
      <c r="O192" s="7676" t="str">
        <f t="shared" si="97"/>
        <v>0</v>
      </c>
      <c r="P192" s="7675">
        <f t="shared" si="98"/>
        <v>1</v>
      </c>
      <c r="Q192" s="7675">
        <f t="shared" si="99"/>
        <v>1</v>
      </c>
      <c r="S192" s="7679" t="str">
        <f t="shared" si="131"/>
        <v>0</v>
      </c>
      <c r="T192" s="7680" t="str">
        <f t="shared" si="131"/>
        <v/>
      </c>
      <c r="V192" s="7677">
        <f t="shared" si="100"/>
        <v>192</v>
      </c>
      <c r="W192" s="7678" t="str">
        <f t="shared" si="130"/>
        <v>0</v>
      </c>
      <c r="X192" s="7677" t="s">
        <v>2</v>
      </c>
      <c r="Y192" s="7702" t="str">
        <f t="shared" si="101"/>
        <v>0</v>
      </c>
      <c r="Z192" s="7703" t="str">
        <f t="shared" si="102"/>
        <v/>
      </c>
      <c r="AA192" s="7681" t="str">
        <f t="shared" si="103"/>
        <v>0</v>
      </c>
      <c r="AB192" s="7682" t="str">
        <f t="shared" si="104"/>
        <v/>
      </c>
      <c r="AC192" s="7677">
        <f t="shared" si="105"/>
        <v>0</v>
      </c>
      <c r="AD192" s="7677">
        <f t="shared" si="106"/>
        <v>0</v>
      </c>
      <c r="AE192" s="7682" t="str">
        <f t="shared" si="107"/>
        <v>aucun match</v>
      </c>
      <c r="AF192" s="6625" t="str">
        <f t="shared" si="108"/>
        <v>0</v>
      </c>
      <c r="AG192" s="6625" t="str">
        <f t="shared" si="109"/>
        <v>0</v>
      </c>
      <c r="AH192" s="6625" t="str">
        <f t="shared" si="110"/>
        <v>0</v>
      </c>
      <c r="AI192" s="6625" t="str">
        <f t="shared" si="111"/>
        <v xml:space="preserve"> 0 </v>
      </c>
      <c r="AJ192" s="6625" cm="1">
        <f t="array" ref="AJ192">IF(W192="",0,SUMPRODUCT((CA4:CA795="Gluten")*(CB4:CB795="INFO")*(COUNTIF(AI192,"*"&amp;CC4:CC795&amp;"*")&gt;0)*1))</f>
        <v>0</v>
      </c>
      <c r="AK192" s="6625" cm="1">
        <f t="array" ref="AK192">IF(W192="",0,SUMPRODUCT((CA4:CA795="Gluten")*(CB4:CB795="EXCL")*(COUNTIF(AI192,"*"&amp;CC4:CC795&amp;"*")&gt;0)*1))</f>
        <v>0</v>
      </c>
      <c r="AL192" s="6625" cm="1">
        <f t="array" ref="AL192">IF(W192="",0,SUMPRODUCT((CA4:CA795="Gluten")*(CB4:CB795="ALERTE")*(COUNTIF(AI192,"*"&amp;CC4:CC795&amp;"*")&gt;0)*1))</f>
        <v>0</v>
      </c>
      <c r="AM192" s="6625" cm="1">
        <f t="array" ref="AM192">IF(W192="",0,SUMPRODUCT((CA4:CA795="Gluten")*(CB4:CB795="SUSP")*(COUNTIF(AI192,"*"&amp;CC4:CC795&amp;"*")&gt;0)*1))</f>
        <v>0</v>
      </c>
      <c r="AN192" s="6625" cm="1">
        <f t="array" ref="AN192">IF(W192="",0,SUMPRODUCT((CA4:CA795="Crustaces")*(CB4:CB795="ALERTE")*(COUNTIF(AI192,"*"&amp;CC4:CC795&amp;"*")&gt;0)*1))</f>
        <v>0</v>
      </c>
      <c r="AO192" s="6625" cm="1">
        <f t="array" ref="AO192">IF(W192="",0,SUMPRODUCT((CA4:CA795="Oeufs")*(CB4:CB795="ALERTE")*(COUNTIF(AI192,"*"&amp;CC4:CC795&amp;"*")&gt;0)*1))</f>
        <v>0</v>
      </c>
      <c r="AP192" s="6625" cm="1">
        <f t="array" ref="AP192">IF(W192="",0,SUMPRODUCT((CA4:CA795="Poissons")*(CB4:CB795="INFO")*(COUNTIF(AI192,"*"&amp;CC4:CC795&amp;"*")&gt;0)*1))</f>
        <v>0</v>
      </c>
      <c r="AQ192" s="6625" cm="1">
        <f t="array" ref="AQ192">IF(W192="",0,SUMPRODUCT((CA4:CA795="Poissons")*(CB4:CB795="EXCL")*(COUNTIF(AI192,"*"&amp;CC4:CC795&amp;"*")&gt;0)*1))</f>
        <v>0</v>
      </c>
      <c r="AR192" s="6625" cm="1">
        <f t="array" ref="AR192">IF(W192="",0,SUMPRODUCT((CA4:CA795="Poissons")*(CB4:CB795="ALERTE")*(COUNTIF(AI192,"*"&amp;CC4:CC795&amp;"*")&gt;0)*1))</f>
        <v>0</v>
      </c>
      <c r="AS192" s="6625" cm="1">
        <f t="array" ref="AS192">IF(W192="",0,SUMPRODUCT((CA4:CA795="Arachides")*(CB4:CB795="ALERTE")*(COUNTIF(AI192,"*"&amp;CC4:CC795&amp;"*")&gt;0)*1))</f>
        <v>0</v>
      </c>
      <c r="AT192" s="6625" cm="1">
        <f t="array" ref="AT192">IF(W192="",0,SUMPRODUCT((CA4:CA795="Soja")*(CB4:CB795="INFO")*(COUNTIF(AI192,"*"&amp;CC4:CC795&amp;"*")&gt;0)*1))</f>
        <v>0</v>
      </c>
      <c r="AU192" s="6625" cm="1">
        <f t="array" ref="AU192">IF(W192="",0,SUMPRODUCT((CA4:CA795="Soja")*(CB4:CB795="ALERTE")*(COUNTIF(AI192,"*"&amp;CC4:CC795&amp;"*")&gt;0)*1))</f>
        <v>0</v>
      </c>
      <c r="AV192" s="6625" cm="1">
        <f t="array" ref="AV192">IF(W192="",0,SUMPRODUCT((CA4:CA795="Lait")*(CB4:CB795="INFO")*(COUNTIF(AI192,"*"&amp;CC4:CC795&amp;"*")&gt;0)*1))</f>
        <v>0</v>
      </c>
      <c r="AW192" s="6625" cm="1">
        <f t="array" ref="AW192">IF(W192="",0,SUMPRODUCT((CA4:CA795="Lait")*(CB4:CB795="EXCL")*(COUNTIF(AI192,"*"&amp;CC4:CC795&amp;"*")&gt;0)*1))</f>
        <v>0</v>
      </c>
      <c r="AX192" s="6625" cm="1">
        <f t="array" ref="AX192">IF(W192="",0,SUMPRODUCT((CA4:CA795="Lait")*(CB4:CB795="ALERTE")*(COUNTIF(AI192,"*"&amp;CC4:CC795&amp;"*")&gt;0)*1))</f>
        <v>0</v>
      </c>
      <c r="AY192" s="6625" cm="1">
        <f t="array" ref="AY192">IF(W192="",0,SUMPRODUCT((CA4:CA795="Lait")*(CB4:CB795="SUSP")*(COUNTIF(AI192,"*"&amp;CC4:CC795&amp;"*")&gt;0)*1))</f>
        <v>0</v>
      </c>
      <c r="AZ192" s="6625" cm="1">
        <f t="array" ref="AZ192">IF(W192="",0,SUMPRODUCT((CA4:CA795="Fruits a coque")*(CB4:CB795="EXCL")*(COUNTIF(AI192,"*"&amp;CC4:CC795&amp;"*")&gt;0)*1))</f>
        <v>0</v>
      </c>
      <c r="BA192" s="6625" cm="1">
        <f t="array" ref="BA192">IF(W192="",0,SUMPRODUCT((CA4:CA795="Fruits a coque")*(CB4:CB795="ALERTE")*(COUNTIF(AI192,"*"&amp;CC4:CC795&amp;"*")&gt;0)*1))</f>
        <v>0</v>
      </c>
      <c r="BB192" s="6625" cm="1">
        <f t="array" ref="BB192">IF(W192="",0,SUMPRODUCT((CA4:CA795="Celeri")*(CB4:CB795="ALERTE")*(COUNTIF(AI192,"*"&amp;CC4:CC795&amp;"*")&gt;0)*1))</f>
        <v>0</v>
      </c>
      <c r="BC192" s="6625" cm="1">
        <f t="array" ref="BC192">IF(W192="",0,SUMPRODUCT((CA4:CA795="Moutarde")*(CB4:CB795="ALERTE")*(COUNTIF(AI192,"*"&amp;CC4:CC795&amp;"*")&gt;0)*1))</f>
        <v>0</v>
      </c>
      <c r="BD192" s="6625" cm="1">
        <f t="array" ref="BD192">IF(W192="",0,SUMPRODUCT((CA4:CA795="Sesame")*(CB4:CB795="ALERTE")*(COUNTIF(AI192,"*"&amp;CC4:CC795&amp;"*")&gt;0)*1))</f>
        <v>0</v>
      </c>
      <c r="BE192" s="6625" cm="1">
        <f t="array" ref="BE192">IF(W192="",0,SUMPRODUCT((CA4:CA795="Sulfites")*(CB4:CB795="ALERTE")*(COUNTIF(AI192,"*"&amp;CC4:CC795&amp;"*")&gt;0)*1))</f>
        <v>0</v>
      </c>
      <c r="BF192" s="6625" cm="1">
        <f t="array" ref="BF192">IF(W192="",0,SUMPRODUCT((CA4:CA795="Lupin")*(CB4:CB795="ALERTE")*(COUNTIF(AI192,"*"&amp;CC4:CC795&amp;"*")&gt;0)*1))</f>
        <v>0</v>
      </c>
      <c r="BG192" s="6625" cm="1">
        <f t="array" ref="BG192">IF(W192="",0,SUMPRODUCT((CA4:CA795="Mollusques")*(CB4:CB795="EXCL")*(COUNTIF(AI192,"*"&amp;CC4:CC795&amp;"*")&gt;0)*1))</f>
        <v>0</v>
      </c>
      <c r="BH192" s="6625" cm="1">
        <f t="array" ref="BH192">IF(W192="",0,SUMPRODUCT((CA4:CA795="Mollusques")*(CB4:CB795="ALERTE")*(COUNTIF(AI192,"*"&amp;CC4:CC795&amp;"*")&gt;0)*1))</f>
        <v>0</v>
      </c>
      <c r="BI192" s="6625" t="str">
        <f t="shared" si="112"/>
        <v/>
      </c>
      <c r="BJ192" s="6625" t="str">
        <f t="shared" si="113"/>
        <v/>
      </c>
      <c r="BK192" s="6625" t="str">
        <f t="shared" si="114"/>
        <v/>
      </c>
      <c r="BL192" s="6625" t="str">
        <f t="shared" si="115"/>
        <v/>
      </c>
      <c r="BM192" s="6625" t="str">
        <f t="shared" si="116"/>
        <v/>
      </c>
      <c r="BN192" s="6625" t="str">
        <f t="shared" si="117"/>
        <v/>
      </c>
      <c r="BO192" s="6625" t="str">
        <f t="shared" si="118"/>
        <v/>
      </c>
      <c r="BP192" s="6625" t="str">
        <f t="shared" si="119"/>
        <v/>
      </c>
      <c r="BQ192" s="6625" t="str">
        <f t="shared" si="120"/>
        <v/>
      </c>
      <c r="BR192" s="6625" t="str">
        <f t="shared" si="121"/>
        <v/>
      </c>
      <c r="BS192" s="6625" t="str">
        <f t="shared" si="122"/>
        <v/>
      </c>
      <c r="BT192" s="6625" t="str">
        <f t="shared" si="123"/>
        <v/>
      </c>
      <c r="BU192" s="6625" t="str">
        <f t="shared" si="124"/>
        <v/>
      </c>
      <c r="BV192" s="6625" t="str">
        <f t="shared" si="125"/>
        <v/>
      </c>
      <c r="BW192" s="6625" t="str">
        <f t="shared" si="126"/>
        <v/>
      </c>
      <c r="BX192" s="6625" t="str">
        <f t="shared" si="127"/>
        <v/>
      </c>
      <c r="CA192" s="3170" t="s">
        <v>16629</v>
      </c>
      <c r="CB192" s="7634" t="s">
        <v>16255</v>
      </c>
      <c r="CC192" s="3170" t="s">
        <v>16711</v>
      </c>
      <c r="CD192" s="3170" t="s">
        <v>16712</v>
      </c>
    </row>
    <row r="193" spans="2:82" ht="30" customHeight="1">
      <c r="B193" s="7661" t="str">
        <f t="shared" si="88"/>
        <v/>
      </c>
      <c r="C193" s="7661" t="str">
        <f t="shared" si="89"/>
        <v/>
      </c>
      <c r="D193" s="7661" t="str">
        <f t="shared" si="90"/>
        <v/>
      </c>
      <c r="E193" s="7661">
        <f>IF(H192&lt;&gt;"",E192,IF(E192="","",IFERROR(MATCH(TRUE(),INDEX(INDEX($K:$K,E192+1):$K$203&lt;&gt;"",0),0)+E192,"")))</f>
        <v>368</v>
      </c>
      <c r="F193" s="7661">
        <f t="shared" si="128"/>
        <v>0</v>
      </c>
      <c r="G193" s="7661" t="str">
        <f t="shared" si="91"/>
        <v>0</v>
      </c>
      <c r="H193" s="7672" t="str">
        <f t="shared" si="92"/>
        <v/>
      </c>
      <c r="I193" s="7683" t="str">
        <f t="shared" si="93"/>
        <v/>
      </c>
      <c r="J193" s="7673" t="str">
        <f>IF(K193="","",COUNTIF($K$18:K193,"&lt;&gt;"))</f>
        <v/>
      </c>
      <c r="K193" s="7674"/>
      <c r="L193" s="7673" t="str">
        <f t="shared" si="94"/>
        <v/>
      </c>
      <c r="M193" s="7630">
        <f t="shared" si="95"/>
        <v>1</v>
      </c>
      <c r="N193" s="7675">
        <f t="shared" si="96"/>
        <v>176</v>
      </c>
      <c r="O193" s="7676" t="str">
        <f t="shared" si="97"/>
        <v>0</v>
      </c>
      <c r="P193" s="7675">
        <f t="shared" si="98"/>
        <v>1</v>
      </c>
      <c r="Q193" s="7675">
        <f t="shared" si="99"/>
        <v>1</v>
      </c>
      <c r="S193" s="7679" t="str">
        <f t="shared" si="131"/>
        <v>0</v>
      </c>
      <c r="T193" s="7680" t="str">
        <f t="shared" si="131"/>
        <v/>
      </c>
      <c r="V193" s="7677">
        <f t="shared" si="100"/>
        <v>193</v>
      </c>
      <c r="W193" s="7678" t="str">
        <f t="shared" si="130"/>
        <v>0</v>
      </c>
      <c r="X193" s="7677" t="s">
        <v>2</v>
      </c>
      <c r="Y193" s="7702" t="str">
        <f t="shared" si="101"/>
        <v>0</v>
      </c>
      <c r="Z193" s="7703" t="str">
        <f t="shared" si="102"/>
        <v/>
      </c>
      <c r="AA193" s="7681" t="str">
        <f t="shared" si="103"/>
        <v>0</v>
      </c>
      <c r="AB193" s="7682" t="str">
        <f t="shared" si="104"/>
        <v/>
      </c>
      <c r="AC193" s="7677">
        <f t="shared" si="105"/>
        <v>0</v>
      </c>
      <c r="AD193" s="7677">
        <f t="shared" si="106"/>
        <v>0</v>
      </c>
      <c r="AE193" s="7682" t="str">
        <f t="shared" si="107"/>
        <v>aucun match</v>
      </c>
      <c r="AF193" s="6625" t="str">
        <f t="shared" si="108"/>
        <v>0</v>
      </c>
      <c r="AG193" s="6625" t="str">
        <f t="shared" si="109"/>
        <v>0</v>
      </c>
      <c r="AH193" s="6625" t="str">
        <f t="shared" si="110"/>
        <v>0</v>
      </c>
      <c r="AI193" s="6625" t="str">
        <f t="shared" si="111"/>
        <v xml:space="preserve"> 0 </v>
      </c>
      <c r="AJ193" s="6625" cm="1">
        <f t="array" ref="AJ193">IF(W193="",0,SUMPRODUCT((CA4:CA795="Gluten")*(CB4:CB795="INFO")*(COUNTIF(AI193,"*"&amp;CC4:CC795&amp;"*")&gt;0)*1))</f>
        <v>0</v>
      </c>
      <c r="AK193" s="6625" cm="1">
        <f t="array" ref="AK193">IF(W193="",0,SUMPRODUCT((CA4:CA795="Gluten")*(CB4:CB795="EXCL")*(COUNTIF(AI193,"*"&amp;CC4:CC795&amp;"*")&gt;0)*1))</f>
        <v>0</v>
      </c>
      <c r="AL193" s="6625" cm="1">
        <f t="array" ref="AL193">IF(W193="",0,SUMPRODUCT((CA4:CA795="Gluten")*(CB4:CB795="ALERTE")*(COUNTIF(AI193,"*"&amp;CC4:CC795&amp;"*")&gt;0)*1))</f>
        <v>0</v>
      </c>
      <c r="AM193" s="6625" cm="1">
        <f t="array" ref="AM193">IF(W193="",0,SUMPRODUCT((CA4:CA795="Gluten")*(CB4:CB795="SUSP")*(COUNTIF(AI193,"*"&amp;CC4:CC795&amp;"*")&gt;0)*1))</f>
        <v>0</v>
      </c>
      <c r="AN193" s="6625" cm="1">
        <f t="array" ref="AN193">IF(W193="",0,SUMPRODUCT((CA4:CA795="Crustaces")*(CB4:CB795="ALERTE")*(COUNTIF(AI193,"*"&amp;CC4:CC795&amp;"*")&gt;0)*1))</f>
        <v>0</v>
      </c>
      <c r="AO193" s="6625" cm="1">
        <f t="array" ref="AO193">IF(W193="",0,SUMPRODUCT((CA4:CA795="Oeufs")*(CB4:CB795="ALERTE")*(COUNTIF(AI193,"*"&amp;CC4:CC795&amp;"*")&gt;0)*1))</f>
        <v>0</v>
      </c>
      <c r="AP193" s="6625" cm="1">
        <f t="array" ref="AP193">IF(W193="",0,SUMPRODUCT((CA4:CA795="Poissons")*(CB4:CB795="INFO")*(COUNTIF(AI193,"*"&amp;CC4:CC795&amp;"*")&gt;0)*1))</f>
        <v>0</v>
      </c>
      <c r="AQ193" s="6625" cm="1">
        <f t="array" ref="AQ193">IF(W193="",0,SUMPRODUCT((CA4:CA795="Poissons")*(CB4:CB795="EXCL")*(COUNTIF(AI193,"*"&amp;CC4:CC795&amp;"*")&gt;0)*1))</f>
        <v>0</v>
      </c>
      <c r="AR193" s="6625" cm="1">
        <f t="array" ref="AR193">IF(W193="",0,SUMPRODUCT((CA4:CA795="Poissons")*(CB4:CB795="ALERTE")*(COUNTIF(AI193,"*"&amp;CC4:CC795&amp;"*")&gt;0)*1))</f>
        <v>0</v>
      </c>
      <c r="AS193" s="6625" cm="1">
        <f t="array" ref="AS193">IF(W193="",0,SUMPRODUCT((CA4:CA795="Arachides")*(CB4:CB795="ALERTE")*(COUNTIF(AI193,"*"&amp;CC4:CC795&amp;"*")&gt;0)*1))</f>
        <v>0</v>
      </c>
      <c r="AT193" s="6625" cm="1">
        <f t="array" ref="AT193">IF(W193="",0,SUMPRODUCT((CA4:CA795="Soja")*(CB4:CB795="INFO")*(COUNTIF(AI193,"*"&amp;CC4:CC795&amp;"*")&gt;0)*1))</f>
        <v>0</v>
      </c>
      <c r="AU193" s="6625" cm="1">
        <f t="array" ref="AU193">IF(W193="",0,SUMPRODUCT((CA4:CA795="Soja")*(CB4:CB795="ALERTE")*(COUNTIF(AI193,"*"&amp;CC4:CC795&amp;"*")&gt;0)*1))</f>
        <v>0</v>
      </c>
      <c r="AV193" s="6625" cm="1">
        <f t="array" ref="AV193">IF(W193="",0,SUMPRODUCT((CA4:CA795="Lait")*(CB4:CB795="INFO")*(COUNTIF(AI193,"*"&amp;CC4:CC795&amp;"*")&gt;0)*1))</f>
        <v>0</v>
      </c>
      <c r="AW193" s="6625" cm="1">
        <f t="array" ref="AW193">IF(W193="",0,SUMPRODUCT((CA4:CA795="Lait")*(CB4:CB795="EXCL")*(COUNTIF(AI193,"*"&amp;CC4:CC795&amp;"*")&gt;0)*1))</f>
        <v>0</v>
      </c>
      <c r="AX193" s="6625" cm="1">
        <f t="array" ref="AX193">IF(W193="",0,SUMPRODUCT((CA4:CA795="Lait")*(CB4:CB795="ALERTE")*(COUNTIF(AI193,"*"&amp;CC4:CC795&amp;"*")&gt;0)*1))</f>
        <v>0</v>
      </c>
      <c r="AY193" s="6625" cm="1">
        <f t="array" ref="AY193">IF(W193="",0,SUMPRODUCT((CA4:CA795="Lait")*(CB4:CB795="SUSP")*(COUNTIF(AI193,"*"&amp;CC4:CC795&amp;"*")&gt;0)*1))</f>
        <v>0</v>
      </c>
      <c r="AZ193" s="6625" cm="1">
        <f t="array" ref="AZ193">IF(W193="",0,SUMPRODUCT((CA4:CA795="Fruits a coque")*(CB4:CB795="EXCL")*(COUNTIF(AI193,"*"&amp;CC4:CC795&amp;"*")&gt;0)*1))</f>
        <v>0</v>
      </c>
      <c r="BA193" s="6625" cm="1">
        <f t="array" ref="BA193">IF(W193="",0,SUMPRODUCT((CA4:CA795="Fruits a coque")*(CB4:CB795="ALERTE")*(COUNTIF(AI193,"*"&amp;CC4:CC795&amp;"*")&gt;0)*1))</f>
        <v>0</v>
      </c>
      <c r="BB193" s="6625" cm="1">
        <f t="array" ref="BB193">IF(W193="",0,SUMPRODUCT((CA4:CA795="Celeri")*(CB4:CB795="ALERTE")*(COUNTIF(AI193,"*"&amp;CC4:CC795&amp;"*")&gt;0)*1))</f>
        <v>0</v>
      </c>
      <c r="BC193" s="6625" cm="1">
        <f t="array" ref="BC193">IF(W193="",0,SUMPRODUCT((CA4:CA795="Moutarde")*(CB4:CB795="ALERTE")*(COUNTIF(AI193,"*"&amp;CC4:CC795&amp;"*")&gt;0)*1))</f>
        <v>0</v>
      </c>
      <c r="BD193" s="6625" cm="1">
        <f t="array" ref="BD193">IF(W193="",0,SUMPRODUCT((CA4:CA795="Sesame")*(CB4:CB795="ALERTE")*(COUNTIF(AI193,"*"&amp;CC4:CC795&amp;"*")&gt;0)*1))</f>
        <v>0</v>
      </c>
      <c r="BE193" s="6625" cm="1">
        <f t="array" ref="BE193">IF(W193="",0,SUMPRODUCT((CA4:CA795="Sulfites")*(CB4:CB795="ALERTE")*(COUNTIF(AI193,"*"&amp;CC4:CC795&amp;"*")&gt;0)*1))</f>
        <v>0</v>
      </c>
      <c r="BF193" s="6625" cm="1">
        <f t="array" ref="BF193">IF(W193="",0,SUMPRODUCT((CA4:CA795="Lupin")*(CB4:CB795="ALERTE")*(COUNTIF(AI193,"*"&amp;CC4:CC795&amp;"*")&gt;0)*1))</f>
        <v>0</v>
      </c>
      <c r="BG193" s="6625" cm="1">
        <f t="array" ref="BG193">IF(W193="",0,SUMPRODUCT((CA4:CA795="Mollusques")*(CB4:CB795="EXCL")*(COUNTIF(AI193,"*"&amp;CC4:CC795&amp;"*")&gt;0)*1))</f>
        <v>0</v>
      </c>
      <c r="BH193" s="6625" cm="1">
        <f t="array" ref="BH193">IF(W193="",0,SUMPRODUCT((CA4:CA795="Mollusques")*(CB4:CB795="ALERTE")*(COUNTIF(AI193,"*"&amp;CC4:CC795&amp;"*")&gt;0)*1))</f>
        <v>0</v>
      </c>
      <c r="BI193" s="6625" t="str">
        <f t="shared" si="112"/>
        <v/>
      </c>
      <c r="BJ193" s="6625" t="str">
        <f t="shared" si="113"/>
        <v/>
      </c>
      <c r="BK193" s="6625" t="str">
        <f t="shared" si="114"/>
        <v/>
      </c>
      <c r="BL193" s="6625" t="str">
        <f t="shared" si="115"/>
        <v/>
      </c>
      <c r="BM193" s="6625" t="str">
        <f t="shared" si="116"/>
        <v/>
      </c>
      <c r="BN193" s="6625" t="str">
        <f t="shared" si="117"/>
        <v/>
      </c>
      <c r="BO193" s="6625" t="str">
        <f t="shared" si="118"/>
        <v/>
      </c>
      <c r="BP193" s="6625" t="str">
        <f t="shared" si="119"/>
        <v/>
      </c>
      <c r="BQ193" s="6625" t="str">
        <f t="shared" si="120"/>
        <v/>
      </c>
      <c r="BR193" s="6625" t="str">
        <f t="shared" si="121"/>
        <v/>
      </c>
      <c r="BS193" s="6625" t="str">
        <f t="shared" si="122"/>
        <v/>
      </c>
      <c r="BT193" s="6625" t="str">
        <f t="shared" si="123"/>
        <v/>
      </c>
      <c r="BU193" s="6625" t="str">
        <f t="shared" si="124"/>
        <v/>
      </c>
      <c r="BV193" s="6625" t="str">
        <f t="shared" si="125"/>
        <v/>
      </c>
      <c r="BW193" s="6625" t="str">
        <f t="shared" si="126"/>
        <v/>
      </c>
      <c r="BX193" s="6625" t="str">
        <f t="shared" si="127"/>
        <v/>
      </c>
      <c r="CA193" s="3170" t="s">
        <v>16629</v>
      </c>
      <c r="CB193" s="7634" t="s">
        <v>16255</v>
      </c>
      <c r="CC193" s="3170" t="s">
        <v>16713</v>
      </c>
      <c r="CD193" s="3170" t="s">
        <v>16714</v>
      </c>
    </row>
    <row r="194" spans="2:82" ht="30" customHeight="1">
      <c r="B194" s="7661" t="str">
        <f t="shared" si="88"/>
        <v/>
      </c>
      <c r="C194" s="7661" t="str">
        <f t="shared" si="89"/>
        <v/>
      </c>
      <c r="D194" s="7661" t="str">
        <f t="shared" si="90"/>
        <v/>
      </c>
      <c r="E194" s="7661">
        <f>IF(H193&lt;&gt;"",E193,IF(E193="","",IFERROR(MATCH(TRUE(),INDEX(INDEX($K:$K,E193+1):$K$203&lt;&gt;"",0),0)+E193,"")))</f>
        <v>369</v>
      </c>
      <c r="F194" s="7661">
        <f t="shared" si="128"/>
        <v>0</v>
      </c>
      <c r="G194" s="7661" t="str">
        <f t="shared" si="91"/>
        <v>0</v>
      </c>
      <c r="H194" s="7672" t="str">
        <f t="shared" si="92"/>
        <v/>
      </c>
      <c r="I194" s="7683" t="str">
        <f t="shared" si="93"/>
        <v/>
      </c>
      <c r="J194" s="7673" t="str">
        <f>IF(K194="","",COUNTIF($K$18:K194,"&lt;&gt;"))</f>
        <v/>
      </c>
      <c r="K194" s="7674"/>
      <c r="L194" s="7673" t="str">
        <f t="shared" si="94"/>
        <v/>
      </c>
      <c r="M194" s="7630">
        <f t="shared" si="95"/>
        <v>1</v>
      </c>
      <c r="N194" s="7675">
        <f t="shared" si="96"/>
        <v>177</v>
      </c>
      <c r="O194" s="7676" t="str">
        <f t="shared" si="97"/>
        <v>0</v>
      </c>
      <c r="P194" s="7675">
        <f t="shared" si="98"/>
        <v>1</v>
      </c>
      <c r="Q194" s="7675">
        <f t="shared" si="99"/>
        <v>1</v>
      </c>
      <c r="S194" s="7679" t="str">
        <f t="shared" si="131"/>
        <v>0</v>
      </c>
      <c r="T194" s="7680" t="str">
        <f t="shared" si="131"/>
        <v/>
      </c>
      <c r="V194" s="7677">
        <f t="shared" si="100"/>
        <v>194</v>
      </c>
      <c r="W194" s="7678" t="str">
        <f t="shared" si="130"/>
        <v>0</v>
      </c>
      <c r="X194" s="7677" t="s">
        <v>2</v>
      </c>
      <c r="Y194" s="7702" t="str">
        <f t="shared" si="101"/>
        <v>0</v>
      </c>
      <c r="Z194" s="7703" t="str">
        <f t="shared" si="102"/>
        <v/>
      </c>
      <c r="AA194" s="7681" t="str">
        <f t="shared" si="103"/>
        <v>0</v>
      </c>
      <c r="AB194" s="7682" t="str">
        <f t="shared" si="104"/>
        <v/>
      </c>
      <c r="AC194" s="7677">
        <f t="shared" si="105"/>
        <v>0</v>
      </c>
      <c r="AD194" s="7677">
        <f t="shared" si="106"/>
        <v>0</v>
      </c>
      <c r="AE194" s="7682" t="str">
        <f t="shared" si="107"/>
        <v>aucun match</v>
      </c>
      <c r="AF194" s="6625" t="str">
        <f t="shared" si="108"/>
        <v>0</v>
      </c>
      <c r="AG194" s="6625" t="str">
        <f t="shared" si="109"/>
        <v>0</v>
      </c>
      <c r="AH194" s="6625" t="str">
        <f t="shared" si="110"/>
        <v>0</v>
      </c>
      <c r="AI194" s="6625" t="str">
        <f t="shared" si="111"/>
        <v xml:space="preserve"> 0 </v>
      </c>
      <c r="AJ194" s="6625" cm="1">
        <f t="array" ref="AJ194">IF(W194="",0,SUMPRODUCT((CA4:CA795="Gluten")*(CB4:CB795="INFO")*(COUNTIF(AI194,"*"&amp;CC4:CC795&amp;"*")&gt;0)*1))</f>
        <v>0</v>
      </c>
      <c r="AK194" s="6625" cm="1">
        <f t="array" ref="AK194">IF(W194="",0,SUMPRODUCT((CA4:CA795="Gluten")*(CB4:CB795="EXCL")*(COUNTIF(AI194,"*"&amp;CC4:CC795&amp;"*")&gt;0)*1))</f>
        <v>0</v>
      </c>
      <c r="AL194" s="6625" cm="1">
        <f t="array" ref="AL194">IF(W194="",0,SUMPRODUCT((CA4:CA795="Gluten")*(CB4:CB795="ALERTE")*(COUNTIF(AI194,"*"&amp;CC4:CC795&amp;"*")&gt;0)*1))</f>
        <v>0</v>
      </c>
      <c r="AM194" s="6625" cm="1">
        <f t="array" ref="AM194">IF(W194="",0,SUMPRODUCT((CA4:CA795="Gluten")*(CB4:CB795="SUSP")*(COUNTIF(AI194,"*"&amp;CC4:CC795&amp;"*")&gt;0)*1))</f>
        <v>0</v>
      </c>
      <c r="AN194" s="6625" cm="1">
        <f t="array" ref="AN194">IF(W194="",0,SUMPRODUCT((CA4:CA795="Crustaces")*(CB4:CB795="ALERTE")*(COUNTIF(AI194,"*"&amp;CC4:CC795&amp;"*")&gt;0)*1))</f>
        <v>0</v>
      </c>
      <c r="AO194" s="6625" cm="1">
        <f t="array" ref="AO194">IF(W194="",0,SUMPRODUCT((CA4:CA795="Oeufs")*(CB4:CB795="ALERTE")*(COUNTIF(AI194,"*"&amp;CC4:CC795&amp;"*")&gt;0)*1))</f>
        <v>0</v>
      </c>
      <c r="AP194" s="6625" cm="1">
        <f t="array" ref="AP194">IF(W194="",0,SUMPRODUCT((CA4:CA795="Poissons")*(CB4:CB795="INFO")*(COUNTIF(AI194,"*"&amp;CC4:CC795&amp;"*")&gt;0)*1))</f>
        <v>0</v>
      </c>
      <c r="AQ194" s="6625" cm="1">
        <f t="array" ref="AQ194">IF(W194="",0,SUMPRODUCT((CA4:CA795="Poissons")*(CB4:CB795="EXCL")*(COUNTIF(AI194,"*"&amp;CC4:CC795&amp;"*")&gt;0)*1))</f>
        <v>0</v>
      </c>
      <c r="AR194" s="6625" cm="1">
        <f t="array" ref="AR194">IF(W194="",0,SUMPRODUCT((CA4:CA795="Poissons")*(CB4:CB795="ALERTE")*(COUNTIF(AI194,"*"&amp;CC4:CC795&amp;"*")&gt;0)*1))</f>
        <v>0</v>
      </c>
      <c r="AS194" s="6625" cm="1">
        <f t="array" ref="AS194">IF(W194="",0,SUMPRODUCT((CA4:CA795="Arachides")*(CB4:CB795="ALERTE")*(COUNTIF(AI194,"*"&amp;CC4:CC795&amp;"*")&gt;0)*1))</f>
        <v>0</v>
      </c>
      <c r="AT194" s="6625" cm="1">
        <f t="array" ref="AT194">IF(W194="",0,SUMPRODUCT((CA4:CA795="Soja")*(CB4:CB795="INFO")*(COUNTIF(AI194,"*"&amp;CC4:CC795&amp;"*")&gt;0)*1))</f>
        <v>0</v>
      </c>
      <c r="AU194" s="6625" cm="1">
        <f t="array" ref="AU194">IF(W194="",0,SUMPRODUCT((CA4:CA795="Soja")*(CB4:CB795="ALERTE")*(COUNTIF(AI194,"*"&amp;CC4:CC795&amp;"*")&gt;0)*1))</f>
        <v>0</v>
      </c>
      <c r="AV194" s="6625" cm="1">
        <f t="array" ref="AV194">IF(W194="",0,SUMPRODUCT((CA4:CA795="Lait")*(CB4:CB795="INFO")*(COUNTIF(AI194,"*"&amp;CC4:CC795&amp;"*")&gt;0)*1))</f>
        <v>0</v>
      </c>
      <c r="AW194" s="6625" cm="1">
        <f t="array" ref="AW194">IF(W194="",0,SUMPRODUCT((CA4:CA795="Lait")*(CB4:CB795="EXCL")*(COUNTIF(AI194,"*"&amp;CC4:CC795&amp;"*")&gt;0)*1))</f>
        <v>0</v>
      </c>
      <c r="AX194" s="6625" cm="1">
        <f t="array" ref="AX194">IF(W194="",0,SUMPRODUCT((CA4:CA795="Lait")*(CB4:CB795="ALERTE")*(COUNTIF(AI194,"*"&amp;CC4:CC795&amp;"*")&gt;0)*1))</f>
        <v>0</v>
      </c>
      <c r="AY194" s="6625" cm="1">
        <f t="array" ref="AY194">IF(W194="",0,SUMPRODUCT((CA4:CA795="Lait")*(CB4:CB795="SUSP")*(COUNTIF(AI194,"*"&amp;CC4:CC795&amp;"*")&gt;0)*1))</f>
        <v>0</v>
      </c>
      <c r="AZ194" s="6625" cm="1">
        <f t="array" ref="AZ194">IF(W194="",0,SUMPRODUCT((CA4:CA795="Fruits a coque")*(CB4:CB795="EXCL")*(COUNTIF(AI194,"*"&amp;CC4:CC795&amp;"*")&gt;0)*1))</f>
        <v>0</v>
      </c>
      <c r="BA194" s="6625" cm="1">
        <f t="array" ref="BA194">IF(W194="",0,SUMPRODUCT((CA4:CA795="Fruits a coque")*(CB4:CB795="ALERTE")*(COUNTIF(AI194,"*"&amp;CC4:CC795&amp;"*")&gt;0)*1))</f>
        <v>0</v>
      </c>
      <c r="BB194" s="6625" cm="1">
        <f t="array" ref="BB194">IF(W194="",0,SUMPRODUCT((CA4:CA795="Celeri")*(CB4:CB795="ALERTE")*(COUNTIF(AI194,"*"&amp;CC4:CC795&amp;"*")&gt;0)*1))</f>
        <v>0</v>
      </c>
      <c r="BC194" s="6625" cm="1">
        <f t="array" ref="BC194">IF(W194="",0,SUMPRODUCT((CA4:CA795="Moutarde")*(CB4:CB795="ALERTE")*(COUNTIF(AI194,"*"&amp;CC4:CC795&amp;"*")&gt;0)*1))</f>
        <v>0</v>
      </c>
      <c r="BD194" s="6625" cm="1">
        <f t="array" ref="BD194">IF(W194="",0,SUMPRODUCT((CA4:CA795="Sesame")*(CB4:CB795="ALERTE")*(COUNTIF(AI194,"*"&amp;CC4:CC795&amp;"*")&gt;0)*1))</f>
        <v>0</v>
      </c>
      <c r="BE194" s="6625" cm="1">
        <f t="array" ref="BE194">IF(W194="",0,SUMPRODUCT((CA4:CA795="Sulfites")*(CB4:CB795="ALERTE")*(COUNTIF(AI194,"*"&amp;CC4:CC795&amp;"*")&gt;0)*1))</f>
        <v>0</v>
      </c>
      <c r="BF194" s="6625" cm="1">
        <f t="array" ref="BF194">IF(W194="",0,SUMPRODUCT((CA4:CA795="Lupin")*(CB4:CB795="ALERTE")*(COUNTIF(AI194,"*"&amp;CC4:CC795&amp;"*")&gt;0)*1))</f>
        <v>0</v>
      </c>
      <c r="BG194" s="6625" cm="1">
        <f t="array" ref="BG194">IF(W194="",0,SUMPRODUCT((CA4:CA795="Mollusques")*(CB4:CB795="EXCL")*(COUNTIF(AI194,"*"&amp;CC4:CC795&amp;"*")&gt;0)*1))</f>
        <v>0</v>
      </c>
      <c r="BH194" s="6625" cm="1">
        <f t="array" ref="BH194">IF(W194="",0,SUMPRODUCT((CA4:CA795="Mollusques")*(CB4:CB795="ALERTE")*(COUNTIF(AI194,"*"&amp;CC4:CC795&amp;"*")&gt;0)*1))</f>
        <v>0</v>
      </c>
      <c r="BI194" s="6625" t="str">
        <f t="shared" si="112"/>
        <v/>
      </c>
      <c r="BJ194" s="6625" t="str">
        <f t="shared" si="113"/>
        <v/>
      </c>
      <c r="BK194" s="6625" t="str">
        <f t="shared" si="114"/>
        <v/>
      </c>
      <c r="BL194" s="6625" t="str">
        <f t="shared" si="115"/>
        <v/>
      </c>
      <c r="BM194" s="6625" t="str">
        <f t="shared" si="116"/>
        <v/>
      </c>
      <c r="BN194" s="6625" t="str">
        <f t="shared" si="117"/>
        <v/>
      </c>
      <c r="BO194" s="6625" t="str">
        <f t="shared" si="118"/>
        <v/>
      </c>
      <c r="BP194" s="6625" t="str">
        <f t="shared" si="119"/>
        <v/>
      </c>
      <c r="BQ194" s="6625" t="str">
        <f t="shared" si="120"/>
        <v/>
      </c>
      <c r="BR194" s="6625" t="str">
        <f t="shared" si="121"/>
        <v/>
      </c>
      <c r="BS194" s="6625" t="str">
        <f t="shared" si="122"/>
        <v/>
      </c>
      <c r="BT194" s="6625" t="str">
        <f t="shared" si="123"/>
        <v/>
      </c>
      <c r="BU194" s="6625" t="str">
        <f t="shared" si="124"/>
        <v/>
      </c>
      <c r="BV194" s="6625" t="str">
        <f t="shared" si="125"/>
        <v/>
      </c>
      <c r="BW194" s="6625" t="str">
        <f t="shared" si="126"/>
        <v/>
      </c>
      <c r="BX194" s="6625" t="str">
        <f t="shared" si="127"/>
        <v/>
      </c>
      <c r="CA194" s="3170" t="s">
        <v>16629</v>
      </c>
      <c r="CB194" s="7634" t="s">
        <v>16255</v>
      </c>
      <c r="CC194" s="3170" t="s">
        <v>16715</v>
      </c>
      <c r="CD194" s="3170" t="s">
        <v>16716</v>
      </c>
    </row>
    <row r="195" spans="2:82" ht="30" customHeight="1">
      <c r="B195" s="7661" t="str">
        <f t="shared" si="88"/>
        <v/>
      </c>
      <c r="C195" s="7661" t="str">
        <f t="shared" si="89"/>
        <v/>
      </c>
      <c r="D195" s="7661" t="str">
        <f t="shared" si="90"/>
        <v/>
      </c>
      <c r="E195" s="7661">
        <f>IF(H194&lt;&gt;"",E194,IF(E194="","",IFERROR(MATCH(TRUE(),INDEX(INDEX($K:$K,E194+1):$K$203&lt;&gt;"",0),0)+E194,"")))</f>
        <v>370</v>
      </c>
      <c r="F195" s="7661">
        <f t="shared" si="128"/>
        <v>0</v>
      </c>
      <c r="G195" s="7661" t="str">
        <f t="shared" si="91"/>
        <v>0</v>
      </c>
      <c r="H195" s="7672" t="str">
        <f t="shared" si="92"/>
        <v/>
      </c>
      <c r="I195" s="7683" t="str">
        <f t="shared" si="93"/>
        <v/>
      </c>
      <c r="J195" s="7673" t="str">
        <f>IF(K195="","",COUNTIF($K$18:K195,"&lt;&gt;"))</f>
        <v/>
      </c>
      <c r="K195" s="7674"/>
      <c r="L195" s="7673" t="str">
        <f t="shared" si="94"/>
        <v/>
      </c>
      <c r="M195" s="7630">
        <f t="shared" si="95"/>
        <v>1</v>
      </c>
      <c r="N195" s="7675">
        <f t="shared" si="96"/>
        <v>178</v>
      </c>
      <c r="O195" s="7676" t="str">
        <f t="shared" si="97"/>
        <v>0</v>
      </c>
      <c r="P195" s="7675">
        <f t="shared" si="98"/>
        <v>1</v>
      </c>
      <c r="Q195" s="7675">
        <f t="shared" si="99"/>
        <v>1</v>
      </c>
      <c r="S195" s="7679" t="str">
        <f t="shared" si="131"/>
        <v>0</v>
      </c>
      <c r="T195" s="7680" t="str">
        <f t="shared" si="131"/>
        <v/>
      </c>
      <c r="V195" s="7677">
        <f t="shared" si="100"/>
        <v>195</v>
      </c>
      <c r="W195" s="7678" t="str">
        <f t="shared" si="130"/>
        <v>0</v>
      </c>
      <c r="X195" s="7677" t="s">
        <v>2</v>
      </c>
      <c r="Y195" s="7702" t="str">
        <f t="shared" si="101"/>
        <v>0</v>
      </c>
      <c r="Z195" s="7703" t="str">
        <f t="shared" si="102"/>
        <v/>
      </c>
      <c r="AA195" s="7681" t="str">
        <f t="shared" si="103"/>
        <v>0</v>
      </c>
      <c r="AB195" s="7682" t="str">
        <f t="shared" si="104"/>
        <v/>
      </c>
      <c r="AC195" s="7677">
        <f t="shared" si="105"/>
        <v>0</v>
      </c>
      <c r="AD195" s="7677">
        <f t="shared" si="106"/>
        <v>0</v>
      </c>
      <c r="AE195" s="7682" t="str">
        <f t="shared" si="107"/>
        <v>aucun match</v>
      </c>
      <c r="AF195" s="6625" t="str">
        <f t="shared" si="108"/>
        <v>0</v>
      </c>
      <c r="AG195" s="6625" t="str">
        <f t="shared" si="109"/>
        <v>0</v>
      </c>
      <c r="AH195" s="6625" t="str">
        <f t="shared" si="110"/>
        <v>0</v>
      </c>
      <c r="AI195" s="6625" t="str">
        <f t="shared" si="111"/>
        <v xml:space="preserve"> 0 </v>
      </c>
      <c r="AJ195" s="6625" cm="1">
        <f t="array" ref="AJ195">IF(W195="",0,SUMPRODUCT((CA4:CA795="Gluten")*(CB4:CB795="INFO")*(COUNTIF(AI195,"*"&amp;CC4:CC795&amp;"*")&gt;0)*1))</f>
        <v>0</v>
      </c>
      <c r="AK195" s="6625" cm="1">
        <f t="array" ref="AK195">IF(W195="",0,SUMPRODUCT((CA4:CA795="Gluten")*(CB4:CB795="EXCL")*(COUNTIF(AI195,"*"&amp;CC4:CC795&amp;"*")&gt;0)*1))</f>
        <v>0</v>
      </c>
      <c r="AL195" s="6625" cm="1">
        <f t="array" ref="AL195">IF(W195="",0,SUMPRODUCT((CA4:CA795="Gluten")*(CB4:CB795="ALERTE")*(COUNTIF(AI195,"*"&amp;CC4:CC795&amp;"*")&gt;0)*1))</f>
        <v>0</v>
      </c>
      <c r="AM195" s="6625" cm="1">
        <f t="array" ref="AM195">IF(W195="",0,SUMPRODUCT((CA4:CA795="Gluten")*(CB4:CB795="SUSP")*(COUNTIF(AI195,"*"&amp;CC4:CC795&amp;"*")&gt;0)*1))</f>
        <v>0</v>
      </c>
      <c r="AN195" s="6625" cm="1">
        <f t="array" ref="AN195">IF(W195="",0,SUMPRODUCT((CA4:CA795="Crustaces")*(CB4:CB795="ALERTE")*(COUNTIF(AI195,"*"&amp;CC4:CC795&amp;"*")&gt;0)*1))</f>
        <v>0</v>
      </c>
      <c r="AO195" s="6625" cm="1">
        <f t="array" ref="AO195">IF(W195="",0,SUMPRODUCT((CA4:CA795="Oeufs")*(CB4:CB795="ALERTE")*(COUNTIF(AI195,"*"&amp;CC4:CC795&amp;"*")&gt;0)*1))</f>
        <v>0</v>
      </c>
      <c r="AP195" s="6625" cm="1">
        <f t="array" ref="AP195">IF(W195="",0,SUMPRODUCT((CA4:CA795="Poissons")*(CB4:CB795="INFO")*(COUNTIF(AI195,"*"&amp;CC4:CC795&amp;"*")&gt;0)*1))</f>
        <v>0</v>
      </c>
      <c r="AQ195" s="6625" cm="1">
        <f t="array" ref="AQ195">IF(W195="",0,SUMPRODUCT((CA4:CA795="Poissons")*(CB4:CB795="EXCL")*(COUNTIF(AI195,"*"&amp;CC4:CC795&amp;"*")&gt;0)*1))</f>
        <v>0</v>
      </c>
      <c r="AR195" s="6625" cm="1">
        <f t="array" ref="AR195">IF(W195="",0,SUMPRODUCT((CA4:CA795="Poissons")*(CB4:CB795="ALERTE")*(COUNTIF(AI195,"*"&amp;CC4:CC795&amp;"*")&gt;0)*1))</f>
        <v>0</v>
      </c>
      <c r="AS195" s="6625" cm="1">
        <f t="array" ref="AS195">IF(W195="",0,SUMPRODUCT((CA4:CA795="Arachides")*(CB4:CB795="ALERTE")*(COUNTIF(AI195,"*"&amp;CC4:CC795&amp;"*")&gt;0)*1))</f>
        <v>0</v>
      </c>
      <c r="AT195" s="6625" cm="1">
        <f t="array" ref="AT195">IF(W195="",0,SUMPRODUCT((CA4:CA795="Soja")*(CB4:CB795="INFO")*(COUNTIF(AI195,"*"&amp;CC4:CC795&amp;"*")&gt;0)*1))</f>
        <v>0</v>
      </c>
      <c r="AU195" s="6625" cm="1">
        <f t="array" ref="AU195">IF(W195="",0,SUMPRODUCT((CA4:CA795="Soja")*(CB4:CB795="ALERTE")*(COUNTIF(AI195,"*"&amp;CC4:CC795&amp;"*")&gt;0)*1))</f>
        <v>0</v>
      </c>
      <c r="AV195" s="6625" cm="1">
        <f t="array" ref="AV195">IF(W195="",0,SUMPRODUCT((CA4:CA795="Lait")*(CB4:CB795="INFO")*(COUNTIF(AI195,"*"&amp;CC4:CC795&amp;"*")&gt;0)*1))</f>
        <v>0</v>
      </c>
      <c r="AW195" s="6625" cm="1">
        <f t="array" ref="AW195">IF(W195="",0,SUMPRODUCT((CA4:CA795="Lait")*(CB4:CB795="EXCL")*(COUNTIF(AI195,"*"&amp;CC4:CC795&amp;"*")&gt;0)*1))</f>
        <v>0</v>
      </c>
      <c r="AX195" s="6625" cm="1">
        <f t="array" ref="AX195">IF(W195="",0,SUMPRODUCT((CA4:CA795="Lait")*(CB4:CB795="ALERTE")*(COUNTIF(AI195,"*"&amp;CC4:CC795&amp;"*")&gt;0)*1))</f>
        <v>0</v>
      </c>
      <c r="AY195" s="6625" cm="1">
        <f t="array" ref="AY195">IF(W195="",0,SUMPRODUCT((CA4:CA795="Lait")*(CB4:CB795="SUSP")*(COUNTIF(AI195,"*"&amp;CC4:CC795&amp;"*")&gt;0)*1))</f>
        <v>0</v>
      </c>
      <c r="AZ195" s="6625" cm="1">
        <f t="array" ref="AZ195">IF(W195="",0,SUMPRODUCT((CA4:CA795="Fruits a coque")*(CB4:CB795="EXCL")*(COUNTIF(AI195,"*"&amp;CC4:CC795&amp;"*")&gt;0)*1))</f>
        <v>0</v>
      </c>
      <c r="BA195" s="6625" cm="1">
        <f t="array" ref="BA195">IF(W195="",0,SUMPRODUCT((CA4:CA795="Fruits a coque")*(CB4:CB795="ALERTE")*(COUNTIF(AI195,"*"&amp;CC4:CC795&amp;"*")&gt;0)*1))</f>
        <v>0</v>
      </c>
      <c r="BB195" s="6625" cm="1">
        <f t="array" ref="BB195">IF(W195="",0,SUMPRODUCT((CA4:CA795="Celeri")*(CB4:CB795="ALERTE")*(COUNTIF(AI195,"*"&amp;CC4:CC795&amp;"*")&gt;0)*1))</f>
        <v>0</v>
      </c>
      <c r="BC195" s="6625" cm="1">
        <f t="array" ref="BC195">IF(W195="",0,SUMPRODUCT((CA4:CA795="Moutarde")*(CB4:CB795="ALERTE")*(COUNTIF(AI195,"*"&amp;CC4:CC795&amp;"*")&gt;0)*1))</f>
        <v>0</v>
      </c>
      <c r="BD195" s="6625" cm="1">
        <f t="array" ref="BD195">IF(W195="",0,SUMPRODUCT((CA4:CA795="Sesame")*(CB4:CB795="ALERTE")*(COUNTIF(AI195,"*"&amp;CC4:CC795&amp;"*")&gt;0)*1))</f>
        <v>0</v>
      </c>
      <c r="BE195" s="6625" cm="1">
        <f t="array" ref="BE195">IF(W195="",0,SUMPRODUCT((CA4:CA795="Sulfites")*(CB4:CB795="ALERTE")*(COUNTIF(AI195,"*"&amp;CC4:CC795&amp;"*")&gt;0)*1))</f>
        <v>0</v>
      </c>
      <c r="BF195" s="6625" cm="1">
        <f t="array" ref="BF195">IF(W195="",0,SUMPRODUCT((CA4:CA795="Lupin")*(CB4:CB795="ALERTE")*(COUNTIF(AI195,"*"&amp;CC4:CC795&amp;"*")&gt;0)*1))</f>
        <v>0</v>
      </c>
      <c r="BG195" s="6625" cm="1">
        <f t="array" ref="BG195">IF(W195="",0,SUMPRODUCT((CA4:CA795="Mollusques")*(CB4:CB795="EXCL")*(COUNTIF(AI195,"*"&amp;CC4:CC795&amp;"*")&gt;0)*1))</f>
        <v>0</v>
      </c>
      <c r="BH195" s="6625" cm="1">
        <f t="array" ref="BH195">IF(W195="",0,SUMPRODUCT((CA4:CA795="Mollusques")*(CB4:CB795="ALERTE")*(COUNTIF(AI195,"*"&amp;CC4:CC795&amp;"*")&gt;0)*1))</f>
        <v>0</v>
      </c>
      <c r="BI195" s="6625" t="str">
        <f t="shared" si="112"/>
        <v/>
      </c>
      <c r="BJ195" s="6625" t="str">
        <f t="shared" si="113"/>
        <v/>
      </c>
      <c r="BK195" s="6625" t="str">
        <f t="shared" si="114"/>
        <v/>
      </c>
      <c r="BL195" s="6625" t="str">
        <f t="shared" si="115"/>
        <v/>
      </c>
      <c r="BM195" s="6625" t="str">
        <f t="shared" si="116"/>
        <v/>
      </c>
      <c r="BN195" s="6625" t="str">
        <f t="shared" si="117"/>
        <v/>
      </c>
      <c r="BO195" s="6625" t="str">
        <f t="shared" si="118"/>
        <v/>
      </c>
      <c r="BP195" s="6625" t="str">
        <f t="shared" si="119"/>
        <v/>
      </c>
      <c r="BQ195" s="6625" t="str">
        <f t="shared" si="120"/>
        <v/>
      </c>
      <c r="BR195" s="6625" t="str">
        <f t="shared" si="121"/>
        <v/>
      </c>
      <c r="BS195" s="6625" t="str">
        <f t="shared" si="122"/>
        <v/>
      </c>
      <c r="BT195" s="6625" t="str">
        <f t="shared" si="123"/>
        <v/>
      </c>
      <c r="BU195" s="6625" t="str">
        <f t="shared" si="124"/>
        <v/>
      </c>
      <c r="BV195" s="6625" t="str">
        <f t="shared" si="125"/>
        <v/>
      </c>
      <c r="BW195" s="6625" t="str">
        <f t="shared" si="126"/>
        <v/>
      </c>
      <c r="BX195" s="6625" t="str">
        <f t="shared" si="127"/>
        <v/>
      </c>
      <c r="CA195" s="3170" t="s">
        <v>16629</v>
      </c>
      <c r="CB195" s="7634" t="s">
        <v>16255</v>
      </c>
      <c r="CC195" s="3170" t="s">
        <v>16717</v>
      </c>
      <c r="CD195" s="3170" t="s">
        <v>16718</v>
      </c>
    </row>
    <row r="196" spans="2:82" ht="30" customHeight="1">
      <c r="B196" s="7661" t="str">
        <f t="shared" si="88"/>
        <v/>
      </c>
      <c r="C196" s="7661" t="str">
        <f t="shared" si="89"/>
        <v/>
      </c>
      <c r="D196" s="7661" t="str">
        <f t="shared" si="90"/>
        <v/>
      </c>
      <c r="E196" s="7661">
        <f>IF(H195&lt;&gt;"",E195,IF(E195="","",IFERROR(MATCH(TRUE(),INDEX(INDEX($K:$K,E195+1):$K$203&lt;&gt;"",0),0)+E195,"")))</f>
        <v>371</v>
      </c>
      <c r="F196" s="7661">
        <f t="shared" si="128"/>
        <v>0</v>
      </c>
      <c r="G196" s="7661" t="str">
        <f t="shared" si="91"/>
        <v>0</v>
      </c>
      <c r="H196" s="7672" t="str">
        <f t="shared" si="92"/>
        <v/>
      </c>
      <c r="I196" s="7683" t="str">
        <f t="shared" si="93"/>
        <v/>
      </c>
      <c r="J196" s="7673" t="str">
        <f>IF(K196="","",COUNTIF($K$18:K196,"&lt;&gt;"))</f>
        <v/>
      </c>
      <c r="K196" s="7674"/>
      <c r="L196" s="7673" t="str">
        <f t="shared" si="94"/>
        <v/>
      </c>
      <c r="M196" s="7630">
        <f t="shared" si="95"/>
        <v>1</v>
      </c>
      <c r="N196" s="7675">
        <f t="shared" si="96"/>
        <v>179</v>
      </c>
      <c r="O196" s="7676" t="str">
        <f t="shared" si="97"/>
        <v>0</v>
      </c>
      <c r="P196" s="7675">
        <f t="shared" si="98"/>
        <v>1</v>
      </c>
      <c r="Q196" s="7675">
        <f t="shared" si="99"/>
        <v>1</v>
      </c>
      <c r="S196" s="7679" t="str">
        <f t="shared" si="131"/>
        <v>0</v>
      </c>
      <c r="T196" s="7680" t="str">
        <f t="shared" si="131"/>
        <v/>
      </c>
      <c r="V196" s="7677">
        <f t="shared" si="100"/>
        <v>196</v>
      </c>
      <c r="W196" s="7678" t="str">
        <f t="shared" si="130"/>
        <v>0</v>
      </c>
      <c r="X196" s="7677" t="s">
        <v>2</v>
      </c>
      <c r="Y196" s="7702" t="str">
        <f t="shared" si="101"/>
        <v>0</v>
      </c>
      <c r="Z196" s="7703" t="str">
        <f t="shared" si="102"/>
        <v/>
      </c>
      <c r="AA196" s="7681" t="str">
        <f t="shared" si="103"/>
        <v>0</v>
      </c>
      <c r="AB196" s="7682" t="str">
        <f t="shared" si="104"/>
        <v/>
      </c>
      <c r="AC196" s="7677">
        <f t="shared" si="105"/>
        <v>0</v>
      </c>
      <c r="AD196" s="7677">
        <f t="shared" si="106"/>
        <v>0</v>
      </c>
      <c r="AE196" s="7682" t="str">
        <f t="shared" si="107"/>
        <v>aucun match</v>
      </c>
      <c r="AF196" s="6625" t="str">
        <f t="shared" si="108"/>
        <v>0</v>
      </c>
      <c r="AG196" s="6625" t="str">
        <f t="shared" si="109"/>
        <v>0</v>
      </c>
      <c r="AH196" s="6625" t="str">
        <f t="shared" si="110"/>
        <v>0</v>
      </c>
      <c r="AI196" s="6625" t="str">
        <f t="shared" si="111"/>
        <v xml:space="preserve"> 0 </v>
      </c>
      <c r="AJ196" s="6625" cm="1">
        <f t="array" ref="AJ196">IF(W196="",0,SUMPRODUCT((CA4:CA795="Gluten")*(CB4:CB795="INFO")*(COUNTIF(AI196,"*"&amp;CC4:CC795&amp;"*")&gt;0)*1))</f>
        <v>0</v>
      </c>
      <c r="AK196" s="6625" cm="1">
        <f t="array" ref="AK196">IF(W196="",0,SUMPRODUCT((CA4:CA795="Gluten")*(CB4:CB795="EXCL")*(COUNTIF(AI196,"*"&amp;CC4:CC795&amp;"*")&gt;0)*1))</f>
        <v>0</v>
      </c>
      <c r="AL196" s="6625" cm="1">
        <f t="array" ref="AL196">IF(W196="",0,SUMPRODUCT((CA4:CA795="Gluten")*(CB4:CB795="ALERTE")*(COUNTIF(AI196,"*"&amp;CC4:CC795&amp;"*")&gt;0)*1))</f>
        <v>0</v>
      </c>
      <c r="AM196" s="6625" cm="1">
        <f t="array" ref="AM196">IF(W196="",0,SUMPRODUCT((CA4:CA795="Gluten")*(CB4:CB795="SUSP")*(COUNTIF(AI196,"*"&amp;CC4:CC795&amp;"*")&gt;0)*1))</f>
        <v>0</v>
      </c>
      <c r="AN196" s="6625" cm="1">
        <f t="array" ref="AN196">IF(W196="",0,SUMPRODUCT((CA4:CA795="Crustaces")*(CB4:CB795="ALERTE")*(COUNTIF(AI196,"*"&amp;CC4:CC795&amp;"*")&gt;0)*1))</f>
        <v>0</v>
      </c>
      <c r="AO196" s="6625" cm="1">
        <f t="array" ref="AO196">IF(W196="",0,SUMPRODUCT((CA4:CA795="Oeufs")*(CB4:CB795="ALERTE")*(COUNTIF(AI196,"*"&amp;CC4:CC795&amp;"*")&gt;0)*1))</f>
        <v>0</v>
      </c>
      <c r="AP196" s="6625" cm="1">
        <f t="array" ref="AP196">IF(W196="",0,SUMPRODUCT((CA4:CA795="Poissons")*(CB4:CB795="INFO")*(COUNTIF(AI196,"*"&amp;CC4:CC795&amp;"*")&gt;0)*1))</f>
        <v>0</v>
      </c>
      <c r="AQ196" s="6625" cm="1">
        <f t="array" ref="AQ196">IF(W196="",0,SUMPRODUCT((CA4:CA795="Poissons")*(CB4:CB795="EXCL")*(COUNTIF(AI196,"*"&amp;CC4:CC795&amp;"*")&gt;0)*1))</f>
        <v>0</v>
      </c>
      <c r="AR196" s="6625" cm="1">
        <f t="array" ref="AR196">IF(W196="",0,SUMPRODUCT((CA4:CA795="Poissons")*(CB4:CB795="ALERTE")*(COUNTIF(AI196,"*"&amp;CC4:CC795&amp;"*")&gt;0)*1))</f>
        <v>0</v>
      </c>
      <c r="AS196" s="6625" cm="1">
        <f t="array" ref="AS196">IF(W196="",0,SUMPRODUCT((CA4:CA795="Arachides")*(CB4:CB795="ALERTE")*(COUNTIF(AI196,"*"&amp;CC4:CC795&amp;"*")&gt;0)*1))</f>
        <v>0</v>
      </c>
      <c r="AT196" s="6625" cm="1">
        <f t="array" ref="AT196">IF(W196="",0,SUMPRODUCT((CA4:CA795="Soja")*(CB4:CB795="INFO")*(COUNTIF(AI196,"*"&amp;CC4:CC795&amp;"*")&gt;0)*1))</f>
        <v>0</v>
      </c>
      <c r="AU196" s="6625" cm="1">
        <f t="array" ref="AU196">IF(W196="",0,SUMPRODUCT((CA4:CA795="Soja")*(CB4:CB795="ALERTE")*(COUNTIF(AI196,"*"&amp;CC4:CC795&amp;"*")&gt;0)*1))</f>
        <v>0</v>
      </c>
      <c r="AV196" s="6625" cm="1">
        <f t="array" ref="AV196">IF(W196="",0,SUMPRODUCT((CA4:CA795="Lait")*(CB4:CB795="INFO")*(COUNTIF(AI196,"*"&amp;CC4:CC795&amp;"*")&gt;0)*1))</f>
        <v>0</v>
      </c>
      <c r="AW196" s="6625" cm="1">
        <f t="array" ref="AW196">IF(W196="",0,SUMPRODUCT((CA4:CA795="Lait")*(CB4:CB795="EXCL")*(COUNTIF(AI196,"*"&amp;CC4:CC795&amp;"*")&gt;0)*1))</f>
        <v>0</v>
      </c>
      <c r="AX196" s="6625" cm="1">
        <f t="array" ref="AX196">IF(W196="",0,SUMPRODUCT((CA4:CA795="Lait")*(CB4:CB795="ALERTE")*(COUNTIF(AI196,"*"&amp;CC4:CC795&amp;"*")&gt;0)*1))</f>
        <v>0</v>
      </c>
      <c r="AY196" s="6625" cm="1">
        <f t="array" ref="AY196">IF(W196="",0,SUMPRODUCT((CA4:CA795="Lait")*(CB4:CB795="SUSP")*(COUNTIF(AI196,"*"&amp;CC4:CC795&amp;"*")&gt;0)*1))</f>
        <v>0</v>
      </c>
      <c r="AZ196" s="6625" cm="1">
        <f t="array" ref="AZ196">IF(W196="",0,SUMPRODUCT((CA4:CA795="Fruits a coque")*(CB4:CB795="EXCL")*(COUNTIF(AI196,"*"&amp;CC4:CC795&amp;"*")&gt;0)*1))</f>
        <v>0</v>
      </c>
      <c r="BA196" s="6625" cm="1">
        <f t="array" ref="BA196">IF(W196="",0,SUMPRODUCT((CA4:CA795="Fruits a coque")*(CB4:CB795="ALERTE")*(COUNTIF(AI196,"*"&amp;CC4:CC795&amp;"*")&gt;0)*1))</f>
        <v>0</v>
      </c>
      <c r="BB196" s="6625" cm="1">
        <f t="array" ref="BB196">IF(W196="",0,SUMPRODUCT((CA4:CA795="Celeri")*(CB4:CB795="ALERTE")*(COUNTIF(AI196,"*"&amp;CC4:CC795&amp;"*")&gt;0)*1))</f>
        <v>0</v>
      </c>
      <c r="BC196" s="6625" cm="1">
        <f t="array" ref="BC196">IF(W196="",0,SUMPRODUCT((CA4:CA795="Moutarde")*(CB4:CB795="ALERTE")*(COUNTIF(AI196,"*"&amp;CC4:CC795&amp;"*")&gt;0)*1))</f>
        <v>0</v>
      </c>
      <c r="BD196" s="6625" cm="1">
        <f t="array" ref="BD196">IF(W196="",0,SUMPRODUCT((CA4:CA795="Sesame")*(CB4:CB795="ALERTE")*(COUNTIF(AI196,"*"&amp;CC4:CC795&amp;"*")&gt;0)*1))</f>
        <v>0</v>
      </c>
      <c r="BE196" s="6625" cm="1">
        <f t="array" ref="BE196">IF(W196="",0,SUMPRODUCT((CA4:CA795="Sulfites")*(CB4:CB795="ALERTE")*(COUNTIF(AI196,"*"&amp;CC4:CC795&amp;"*")&gt;0)*1))</f>
        <v>0</v>
      </c>
      <c r="BF196" s="6625" cm="1">
        <f t="array" ref="BF196">IF(W196="",0,SUMPRODUCT((CA4:CA795="Lupin")*(CB4:CB795="ALERTE")*(COUNTIF(AI196,"*"&amp;CC4:CC795&amp;"*")&gt;0)*1))</f>
        <v>0</v>
      </c>
      <c r="BG196" s="6625" cm="1">
        <f t="array" ref="BG196">IF(W196="",0,SUMPRODUCT((CA4:CA795="Mollusques")*(CB4:CB795="EXCL")*(COUNTIF(AI196,"*"&amp;CC4:CC795&amp;"*")&gt;0)*1))</f>
        <v>0</v>
      </c>
      <c r="BH196" s="6625" cm="1">
        <f t="array" ref="BH196">IF(W196="",0,SUMPRODUCT((CA4:CA795="Mollusques")*(CB4:CB795="ALERTE")*(COUNTIF(AI196,"*"&amp;CC4:CC795&amp;"*")&gt;0)*1))</f>
        <v>0</v>
      </c>
      <c r="BI196" s="6625" t="str">
        <f t="shared" si="112"/>
        <v/>
      </c>
      <c r="BJ196" s="6625" t="str">
        <f t="shared" si="113"/>
        <v/>
      </c>
      <c r="BK196" s="6625" t="str">
        <f t="shared" si="114"/>
        <v/>
      </c>
      <c r="BL196" s="6625" t="str">
        <f t="shared" si="115"/>
        <v/>
      </c>
      <c r="BM196" s="6625" t="str">
        <f t="shared" si="116"/>
        <v/>
      </c>
      <c r="BN196" s="6625" t="str">
        <f t="shared" si="117"/>
        <v/>
      </c>
      <c r="BO196" s="6625" t="str">
        <f t="shared" si="118"/>
        <v/>
      </c>
      <c r="BP196" s="6625" t="str">
        <f t="shared" si="119"/>
        <v/>
      </c>
      <c r="BQ196" s="6625" t="str">
        <f t="shared" si="120"/>
        <v/>
      </c>
      <c r="BR196" s="6625" t="str">
        <f t="shared" si="121"/>
        <v/>
      </c>
      <c r="BS196" s="6625" t="str">
        <f t="shared" si="122"/>
        <v/>
      </c>
      <c r="BT196" s="6625" t="str">
        <f t="shared" si="123"/>
        <v/>
      </c>
      <c r="BU196" s="6625" t="str">
        <f t="shared" si="124"/>
        <v/>
      </c>
      <c r="BV196" s="6625" t="str">
        <f t="shared" si="125"/>
        <v/>
      </c>
      <c r="BW196" s="6625" t="str">
        <f t="shared" si="126"/>
        <v/>
      </c>
      <c r="BX196" s="6625" t="str">
        <f t="shared" si="127"/>
        <v/>
      </c>
      <c r="CA196" s="3170" t="s">
        <v>16629</v>
      </c>
      <c r="CB196" s="7634" t="s">
        <v>16255</v>
      </c>
      <c r="CC196" s="3170" t="s">
        <v>16719</v>
      </c>
      <c r="CD196" s="3170" t="s">
        <v>16720</v>
      </c>
    </row>
    <row r="197" spans="2:82" ht="30" customHeight="1">
      <c r="B197" s="7661" t="str">
        <f t="shared" si="88"/>
        <v/>
      </c>
      <c r="C197" s="7661" t="str">
        <f t="shared" si="89"/>
        <v/>
      </c>
      <c r="D197" s="7661" t="str">
        <f t="shared" si="90"/>
        <v/>
      </c>
      <c r="E197" s="7661">
        <f>IF(H196&lt;&gt;"",E196,IF(E196="","",IFERROR(MATCH(TRUE(),INDEX(INDEX($K:$K,E196+1):$K$203&lt;&gt;"",0),0)+E196,"")))</f>
        <v>372</v>
      </c>
      <c r="F197" s="7661">
        <f t="shared" si="128"/>
        <v>0</v>
      </c>
      <c r="G197" s="7661" t="str">
        <f t="shared" si="91"/>
        <v>0</v>
      </c>
      <c r="H197" s="7672" t="str">
        <f t="shared" si="92"/>
        <v/>
      </c>
      <c r="I197" s="7683" t="str">
        <f t="shared" si="93"/>
        <v/>
      </c>
      <c r="J197" s="7673" t="str">
        <f>IF(K197="","",COUNTIF($K$18:K197,"&lt;&gt;"))</f>
        <v/>
      </c>
      <c r="K197" s="7674"/>
      <c r="L197" s="7673" t="str">
        <f t="shared" si="94"/>
        <v/>
      </c>
      <c r="M197" s="7630">
        <f t="shared" si="95"/>
        <v>1</v>
      </c>
      <c r="N197" s="7675">
        <f t="shared" si="96"/>
        <v>180</v>
      </c>
      <c r="O197" s="7676" t="str">
        <f t="shared" si="97"/>
        <v>0</v>
      </c>
      <c r="P197" s="7675">
        <f t="shared" si="98"/>
        <v>1</v>
      </c>
      <c r="Q197" s="7675">
        <f t="shared" si="99"/>
        <v>1</v>
      </c>
      <c r="S197" s="7679" t="str">
        <f t="shared" si="131"/>
        <v>0</v>
      </c>
      <c r="T197" s="7680" t="str">
        <f t="shared" si="131"/>
        <v/>
      </c>
      <c r="V197" s="7677">
        <f t="shared" si="100"/>
        <v>197</v>
      </c>
      <c r="W197" s="7678" t="str">
        <f t="shared" si="130"/>
        <v>0</v>
      </c>
      <c r="X197" s="7677" t="s">
        <v>2</v>
      </c>
      <c r="Y197" s="7702" t="str">
        <f t="shared" si="101"/>
        <v>0</v>
      </c>
      <c r="Z197" s="7703" t="str">
        <f t="shared" si="102"/>
        <v/>
      </c>
      <c r="AA197" s="7681" t="str">
        <f t="shared" si="103"/>
        <v>0</v>
      </c>
      <c r="AB197" s="7682" t="str">
        <f t="shared" si="104"/>
        <v/>
      </c>
      <c r="AC197" s="7677">
        <f t="shared" si="105"/>
        <v>0</v>
      </c>
      <c r="AD197" s="7677">
        <f t="shared" si="106"/>
        <v>0</v>
      </c>
      <c r="AE197" s="7682" t="str">
        <f t="shared" si="107"/>
        <v>aucun match</v>
      </c>
      <c r="AF197" s="6625" t="str">
        <f t="shared" si="108"/>
        <v>0</v>
      </c>
      <c r="AG197" s="6625" t="str">
        <f t="shared" si="109"/>
        <v>0</v>
      </c>
      <c r="AH197" s="6625" t="str">
        <f t="shared" si="110"/>
        <v>0</v>
      </c>
      <c r="AI197" s="6625" t="str">
        <f t="shared" si="111"/>
        <v xml:space="preserve"> 0 </v>
      </c>
      <c r="AJ197" s="6625" cm="1">
        <f t="array" ref="AJ197">IF(W197="",0,SUMPRODUCT((CA4:CA795="Gluten")*(CB4:CB795="INFO")*(COUNTIF(AI197,"*"&amp;CC4:CC795&amp;"*")&gt;0)*1))</f>
        <v>0</v>
      </c>
      <c r="AK197" s="6625" cm="1">
        <f t="array" ref="AK197">IF(W197="",0,SUMPRODUCT((CA4:CA795="Gluten")*(CB4:CB795="EXCL")*(COUNTIF(AI197,"*"&amp;CC4:CC795&amp;"*")&gt;0)*1))</f>
        <v>0</v>
      </c>
      <c r="AL197" s="6625" cm="1">
        <f t="array" ref="AL197">IF(W197="",0,SUMPRODUCT((CA4:CA795="Gluten")*(CB4:CB795="ALERTE")*(COUNTIF(AI197,"*"&amp;CC4:CC795&amp;"*")&gt;0)*1))</f>
        <v>0</v>
      </c>
      <c r="AM197" s="6625" cm="1">
        <f t="array" ref="AM197">IF(W197="",0,SUMPRODUCT((CA4:CA795="Gluten")*(CB4:CB795="SUSP")*(COUNTIF(AI197,"*"&amp;CC4:CC795&amp;"*")&gt;0)*1))</f>
        <v>0</v>
      </c>
      <c r="AN197" s="6625" cm="1">
        <f t="array" ref="AN197">IF(W197="",0,SUMPRODUCT((CA4:CA795="Crustaces")*(CB4:CB795="ALERTE")*(COUNTIF(AI197,"*"&amp;CC4:CC795&amp;"*")&gt;0)*1))</f>
        <v>0</v>
      </c>
      <c r="AO197" s="6625" cm="1">
        <f t="array" ref="AO197">IF(W197="",0,SUMPRODUCT((CA4:CA795="Oeufs")*(CB4:CB795="ALERTE")*(COUNTIF(AI197,"*"&amp;CC4:CC795&amp;"*")&gt;0)*1))</f>
        <v>0</v>
      </c>
      <c r="AP197" s="6625" cm="1">
        <f t="array" ref="AP197">IF(W197="",0,SUMPRODUCT((CA4:CA795="Poissons")*(CB4:CB795="INFO")*(COUNTIF(AI197,"*"&amp;CC4:CC795&amp;"*")&gt;0)*1))</f>
        <v>0</v>
      </c>
      <c r="AQ197" s="6625" cm="1">
        <f t="array" ref="AQ197">IF(W197="",0,SUMPRODUCT((CA4:CA795="Poissons")*(CB4:CB795="EXCL")*(COUNTIF(AI197,"*"&amp;CC4:CC795&amp;"*")&gt;0)*1))</f>
        <v>0</v>
      </c>
      <c r="AR197" s="6625" cm="1">
        <f t="array" ref="AR197">IF(W197="",0,SUMPRODUCT((CA4:CA795="Poissons")*(CB4:CB795="ALERTE")*(COUNTIF(AI197,"*"&amp;CC4:CC795&amp;"*")&gt;0)*1))</f>
        <v>0</v>
      </c>
      <c r="AS197" s="6625" cm="1">
        <f t="array" ref="AS197">IF(W197="",0,SUMPRODUCT((CA4:CA795="Arachides")*(CB4:CB795="ALERTE")*(COUNTIF(AI197,"*"&amp;CC4:CC795&amp;"*")&gt;0)*1))</f>
        <v>0</v>
      </c>
      <c r="AT197" s="6625" cm="1">
        <f t="array" ref="AT197">IF(W197="",0,SUMPRODUCT((CA4:CA795="Soja")*(CB4:CB795="INFO")*(COUNTIF(AI197,"*"&amp;CC4:CC795&amp;"*")&gt;0)*1))</f>
        <v>0</v>
      </c>
      <c r="AU197" s="6625" cm="1">
        <f t="array" ref="AU197">IF(W197="",0,SUMPRODUCT((CA4:CA795="Soja")*(CB4:CB795="ALERTE")*(COUNTIF(AI197,"*"&amp;CC4:CC795&amp;"*")&gt;0)*1))</f>
        <v>0</v>
      </c>
      <c r="AV197" s="6625" cm="1">
        <f t="array" ref="AV197">IF(W197="",0,SUMPRODUCT((CA4:CA795="Lait")*(CB4:CB795="INFO")*(COUNTIF(AI197,"*"&amp;CC4:CC795&amp;"*")&gt;0)*1))</f>
        <v>0</v>
      </c>
      <c r="AW197" s="6625" cm="1">
        <f t="array" ref="AW197">IF(W197="",0,SUMPRODUCT((CA4:CA795="Lait")*(CB4:CB795="EXCL")*(COUNTIF(AI197,"*"&amp;CC4:CC795&amp;"*")&gt;0)*1))</f>
        <v>0</v>
      </c>
      <c r="AX197" s="6625" cm="1">
        <f t="array" ref="AX197">IF(W197="",0,SUMPRODUCT((CA4:CA795="Lait")*(CB4:CB795="ALERTE")*(COUNTIF(AI197,"*"&amp;CC4:CC795&amp;"*")&gt;0)*1))</f>
        <v>0</v>
      </c>
      <c r="AY197" s="6625" cm="1">
        <f t="array" ref="AY197">IF(W197="",0,SUMPRODUCT((CA4:CA795="Lait")*(CB4:CB795="SUSP")*(COUNTIF(AI197,"*"&amp;CC4:CC795&amp;"*")&gt;0)*1))</f>
        <v>0</v>
      </c>
      <c r="AZ197" s="6625" cm="1">
        <f t="array" ref="AZ197">IF(W197="",0,SUMPRODUCT((CA4:CA795="Fruits a coque")*(CB4:CB795="EXCL")*(COUNTIF(AI197,"*"&amp;CC4:CC795&amp;"*")&gt;0)*1))</f>
        <v>0</v>
      </c>
      <c r="BA197" s="6625" cm="1">
        <f t="array" ref="BA197">IF(W197="",0,SUMPRODUCT((CA4:CA795="Fruits a coque")*(CB4:CB795="ALERTE")*(COUNTIF(AI197,"*"&amp;CC4:CC795&amp;"*")&gt;0)*1))</f>
        <v>0</v>
      </c>
      <c r="BB197" s="6625" cm="1">
        <f t="array" ref="BB197">IF(W197="",0,SUMPRODUCT((CA4:CA795="Celeri")*(CB4:CB795="ALERTE")*(COUNTIF(AI197,"*"&amp;CC4:CC795&amp;"*")&gt;0)*1))</f>
        <v>0</v>
      </c>
      <c r="BC197" s="6625" cm="1">
        <f t="array" ref="BC197">IF(W197="",0,SUMPRODUCT((CA4:CA795="Moutarde")*(CB4:CB795="ALERTE")*(COUNTIF(AI197,"*"&amp;CC4:CC795&amp;"*")&gt;0)*1))</f>
        <v>0</v>
      </c>
      <c r="BD197" s="6625" cm="1">
        <f t="array" ref="BD197">IF(W197="",0,SUMPRODUCT((CA4:CA795="Sesame")*(CB4:CB795="ALERTE")*(COUNTIF(AI197,"*"&amp;CC4:CC795&amp;"*")&gt;0)*1))</f>
        <v>0</v>
      </c>
      <c r="BE197" s="6625" cm="1">
        <f t="array" ref="BE197">IF(W197="",0,SUMPRODUCT((CA4:CA795="Sulfites")*(CB4:CB795="ALERTE")*(COUNTIF(AI197,"*"&amp;CC4:CC795&amp;"*")&gt;0)*1))</f>
        <v>0</v>
      </c>
      <c r="BF197" s="6625" cm="1">
        <f t="array" ref="BF197">IF(W197="",0,SUMPRODUCT((CA4:CA795="Lupin")*(CB4:CB795="ALERTE")*(COUNTIF(AI197,"*"&amp;CC4:CC795&amp;"*")&gt;0)*1))</f>
        <v>0</v>
      </c>
      <c r="BG197" s="6625" cm="1">
        <f t="array" ref="BG197">IF(W197="",0,SUMPRODUCT((CA4:CA795="Mollusques")*(CB4:CB795="EXCL")*(COUNTIF(AI197,"*"&amp;CC4:CC795&amp;"*")&gt;0)*1))</f>
        <v>0</v>
      </c>
      <c r="BH197" s="6625" cm="1">
        <f t="array" ref="BH197">IF(W197="",0,SUMPRODUCT((CA4:CA795="Mollusques")*(CB4:CB795="ALERTE")*(COUNTIF(AI197,"*"&amp;CC4:CC795&amp;"*")&gt;0)*1))</f>
        <v>0</v>
      </c>
      <c r="BI197" s="6625" t="str">
        <f t="shared" si="112"/>
        <v/>
      </c>
      <c r="BJ197" s="6625" t="str">
        <f t="shared" si="113"/>
        <v/>
      </c>
      <c r="BK197" s="6625" t="str">
        <f t="shared" si="114"/>
        <v/>
      </c>
      <c r="BL197" s="6625" t="str">
        <f t="shared" si="115"/>
        <v/>
      </c>
      <c r="BM197" s="6625" t="str">
        <f t="shared" si="116"/>
        <v/>
      </c>
      <c r="BN197" s="6625" t="str">
        <f t="shared" si="117"/>
        <v/>
      </c>
      <c r="BO197" s="6625" t="str">
        <f t="shared" si="118"/>
        <v/>
      </c>
      <c r="BP197" s="6625" t="str">
        <f t="shared" si="119"/>
        <v/>
      </c>
      <c r="BQ197" s="6625" t="str">
        <f t="shared" si="120"/>
        <v/>
      </c>
      <c r="BR197" s="6625" t="str">
        <f t="shared" si="121"/>
        <v/>
      </c>
      <c r="BS197" s="6625" t="str">
        <f t="shared" si="122"/>
        <v/>
      </c>
      <c r="BT197" s="6625" t="str">
        <f t="shared" si="123"/>
        <v/>
      </c>
      <c r="BU197" s="6625" t="str">
        <f t="shared" si="124"/>
        <v/>
      </c>
      <c r="BV197" s="6625" t="str">
        <f t="shared" si="125"/>
        <v/>
      </c>
      <c r="BW197" s="6625" t="str">
        <f t="shared" si="126"/>
        <v/>
      </c>
      <c r="BX197" s="6625" t="str">
        <f t="shared" si="127"/>
        <v/>
      </c>
      <c r="CA197" s="3170" t="s">
        <v>16629</v>
      </c>
      <c r="CB197" s="7634" t="s">
        <v>16255</v>
      </c>
      <c r="CC197" s="3170" t="s">
        <v>16721</v>
      </c>
      <c r="CD197" s="3170" t="s">
        <v>16722</v>
      </c>
    </row>
    <row r="198" spans="2:82" ht="30" customHeight="1">
      <c r="B198" s="7661" t="str">
        <f t="shared" si="88"/>
        <v/>
      </c>
      <c r="C198" s="7661" t="str">
        <f t="shared" si="89"/>
        <v/>
      </c>
      <c r="D198" s="7661" t="str">
        <f t="shared" si="90"/>
        <v/>
      </c>
      <c r="E198" s="7661">
        <f>IF(H197&lt;&gt;"",E197,IF(E197="","",IFERROR(MATCH(TRUE(),INDEX(INDEX($K:$K,E197+1):$K$203&lt;&gt;"",0),0)+E197,"")))</f>
        <v>373</v>
      </c>
      <c r="F198" s="7661">
        <f t="shared" si="128"/>
        <v>0</v>
      </c>
      <c r="G198" s="7661" t="str">
        <f t="shared" si="91"/>
        <v>0</v>
      </c>
      <c r="H198" s="7672" t="str">
        <f t="shared" si="92"/>
        <v/>
      </c>
      <c r="I198" s="7683" t="str">
        <f t="shared" si="93"/>
        <v/>
      </c>
      <c r="J198" s="7673" t="str">
        <f>IF(K198="","",COUNTIF($K$18:K198,"&lt;&gt;"))</f>
        <v/>
      </c>
      <c r="K198" s="7674"/>
      <c r="L198" s="7673" t="str">
        <f t="shared" si="94"/>
        <v/>
      </c>
      <c r="M198" s="7630">
        <f t="shared" si="95"/>
        <v>1</v>
      </c>
      <c r="N198" s="7675">
        <f t="shared" si="96"/>
        <v>181</v>
      </c>
      <c r="O198" s="7676" t="str">
        <f t="shared" si="97"/>
        <v>0</v>
      </c>
      <c r="P198" s="7675">
        <f t="shared" si="98"/>
        <v>1</v>
      </c>
      <c r="Q198" s="7675">
        <f t="shared" si="99"/>
        <v>1</v>
      </c>
      <c r="S198" s="7679" t="str">
        <f t="shared" si="131"/>
        <v>0</v>
      </c>
      <c r="T198" s="7680" t="str">
        <f t="shared" si="131"/>
        <v/>
      </c>
      <c r="V198" s="7677">
        <f t="shared" si="100"/>
        <v>198</v>
      </c>
      <c r="W198" s="7678" t="str">
        <f t="shared" si="130"/>
        <v>0</v>
      </c>
      <c r="X198" s="7677" t="s">
        <v>2</v>
      </c>
      <c r="Y198" s="7702" t="str">
        <f t="shared" si="101"/>
        <v>0</v>
      </c>
      <c r="Z198" s="7703" t="str">
        <f t="shared" si="102"/>
        <v/>
      </c>
      <c r="AA198" s="7681" t="str">
        <f t="shared" si="103"/>
        <v>0</v>
      </c>
      <c r="AB198" s="7682" t="str">
        <f t="shared" si="104"/>
        <v/>
      </c>
      <c r="AC198" s="7677">
        <f t="shared" si="105"/>
        <v>0</v>
      </c>
      <c r="AD198" s="7677">
        <f t="shared" si="106"/>
        <v>0</v>
      </c>
      <c r="AE198" s="7682" t="str">
        <f t="shared" si="107"/>
        <v>aucun match</v>
      </c>
      <c r="AF198" s="6625" t="str">
        <f t="shared" si="108"/>
        <v>0</v>
      </c>
      <c r="AG198" s="6625" t="str">
        <f t="shared" si="109"/>
        <v>0</v>
      </c>
      <c r="AH198" s="6625" t="str">
        <f t="shared" si="110"/>
        <v>0</v>
      </c>
      <c r="AI198" s="6625" t="str">
        <f t="shared" si="111"/>
        <v xml:space="preserve"> 0 </v>
      </c>
      <c r="AJ198" s="6625" cm="1">
        <f t="array" ref="AJ198">IF(W198="",0,SUMPRODUCT((CA4:CA795="Gluten")*(CB4:CB795="INFO")*(COUNTIF(AI198,"*"&amp;CC4:CC795&amp;"*")&gt;0)*1))</f>
        <v>0</v>
      </c>
      <c r="AK198" s="6625" cm="1">
        <f t="array" ref="AK198">IF(W198="",0,SUMPRODUCT((CA4:CA795="Gluten")*(CB4:CB795="EXCL")*(COUNTIF(AI198,"*"&amp;CC4:CC795&amp;"*")&gt;0)*1))</f>
        <v>0</v>
      </c>
      <c r="AL198" s="6625" cm="1">
        <f t="array" ref="AL198">IF(W198="",0,SUMPRODUCT((CA4:CA795="Gluten")*(CB4:CB795="ALERTE")*(COUNTIF(AI198,"*"&amp;CC4:CC795&amp;"*")&gt;0)*1))</f>
        <v>0</v>
      </c>
      <c r="AM198" s="6625" cm="1">
        <f t="array" ref="AM198">IF(W198="",0,SUMPRODUCT((CA4:CA795="Gluten")*(CB4:CB795="SUSP")*(COUNTIF(AI198,"*"&amp;CC4:CC795&amp;"*")&gt;0)*1))</f>
        <v>0</v>
      </c>
      <c r="AN198" s="6625" cm="1">
        <f t="array" ref="AN198">IF(W198="",0,SUMPRODUCT((CA4:CA795="Crustaces")*(CB4:CB795="ALERTE")*(COUNTIF(AI198,"*"&amp;CC4:CC795&amp;"*")&gt;0)*1))</f>
        <v>0</v>
      </c>
      <c r="AO198" s="6625" cm="1">
        <f t="array" ref="AO198">IF(W198="",0,SUMPRODUCT((CA4:CA795="Oeufs")*(CB4:CB795="ALERTE")*(COUNTIF(AI198,"*"&amp;CC4:CC795&amp;"*")&gt;0)*1))</f>
        <v>0</v>
      </c>
      <c r="AP198" s="6625" cm="1">
        <f t="array" ref="AP198">IF(W198="",0,SUMPRODUCT((CA4:CA795="Poissons")*(CB4:CB795="INFO")*(COUNTIF(AI198,"*"&amp;CC4:CC795&amp;"*")&gt;0)*1))</f>
        <v>0</v>
      </c>
      <c r="AQ198" s="6625" cm="1">
        <f t="array" ref="AQ198">IF(W198="",0,SUMPRODUCT((CA4:CA795="Poissons")*(CB4:CB795="EXCL")*(COUNTIF(AI198,"*"&amp;CC4:CC795&amp;"*")&gt;0)*1))</f>
        <v>0</v>
      </c>
      <c r="AR198" s="6625" cm="1">
        <f t="array" ref="AR198">IF(W198="",0,SUMPRODUCT((CA4:CA795="Poissons")*(CB4:CB795="ALERTE")*(COUNTIF(AI198,"*"&amp;CC4:CC795&amp;"*")&gt;0)*1))</f>
        <v>0</v>
      </c>
      <c r="AS198" s="6625" cm="1">
        <f t="array" ref="AS198">IF(W198="",0,SUMPRODUCT((CA4:CA795="Arachides")*(CB4:CB795="ALERTE")*(COUNTIF(AI198,"*"&amp;CC4:CC795&amp;"*")&gt;0)*1))</f>
        <v>0</v>
      </c>
      <c r="AT198" s="6625" cm="1">
        <f t="array" ref="AT198">IF(W198="",0,SUMPRODUCT((CA4:CA795="Soja")*(CB4:CB795="INFO")*(COUNTIF(AI198,"*"&amp;CC4:CC795&amp;"*")&gt;0)*1))</f>
        <v>0</v>
      </c>
      <c r="AU198" s="6625" cm="1">
        <f t="array" ref="AU198">IF(W198="",0,SUMPRODUCT((CA4:CA795="Soja")*(CB4:CB795="ALERTE")*(COUNTIF(AI198,"*"&amp;CC4:CC795&amp;"*")&gt;0)*1))</f>
        <v>0</v>
      </c>
      <c r="AV198" s="6625" cm="1">
        <f t="array" ref="AV198">IF(W198="",0,SUMPRODUCT((CA4:CA795="Lait")*(CB4:CB795="INFO")*(COUNTIF(AI198,"*"&amp;CC4:CC795&amp;"*")&gt;0)*1))</f>
        <v>0</v>
      </c>
      <c r="AW198" s="6625" cm="1">
        <f t="array" ref="AW198">IF(W198="",0,SUMPRODUCT((CA4:CA795="Lait")*(CB4:CB795="EXCL")*(COUNTIF(AI198,"*"&amp;CC4:CC795&amp;"*")&gt;0)*1))</f>
        <v>0</v>
      </c>
      <c r="AX198" s="6625" cm="1">
        <f t="array" ref="AX198">IF(W198="",0,SUMPRODUCT((CA4:CA795="Lait")*(CB4:CB795="ALERTE")*(COUNTIF(AI198,"*"&amp;CC4:CC795&amp;"*")&gt;0)*1))</f>
        <v>0</v>
      </c>
      <c r="AY198" s="6625" cm="1">
        <f t="array" ref="AY198">IF(W198="",0,SUMPRODUCT((CA4:CA795="Lait")*(CB4:CB795="SUSP")*(COUNTIF(AI198,"*"&amp;CC4:CC795&amp;"*")&gt;0)*1))</f>
        <v>0</v>
      </c>
      <c r="AZ198" s="6625" cm="1">
        <f t="array" ref="AZ198">IF(W198="",0,SUMPRODUCT((CA4:CA795="Fruits a coque")*(CB4:CB795="EXCL")*(COUNTIF(AI198,"*"&amp;CC4:CC795&amp;"*")&gt;0)*1))</f>
        <v>0</v>
      </c>
      <c r="BA198" s="6625" cm="1">
        <f t="array" ref="BA198">IF(W198="",0,SUMPRODUCT((CA4:CA795="Fruits a coque")*(CB4:CB795="ALERTE")*(COUNTIF(AI198,"*"&amp;CC4:CC795&amp;"*")&gt;0)*1))</f>
        <v>0</v>
      </c>
      <c r="BB198" s="6625" cm="1">
        <f t="array" ref="BB198">IF(W198="",0,SUMPRODUCT((CA4:CA795="Celeri")*(CB4:CB795="ALERTE")*(COUNTIF(AI198,"*"&amp;CC4:CC795&amp;"*")&gt;0)*1))</f>
        <v>0</v>
      </c>
      <c r="BC198" s="6625" cm="1">
        <f t="array" ref="BC198">IF(W198="",0,SUMPRODUCT((CA4:CA795="Moutarde")*(CB4:CB795="ALERTE")*(COUNTIF(AI198,"*"&amp;CC4:CC795&amp;"*")&gt;0)*1))</f>
        <v>0</v>
      </c>
      <c r="BD198" s="6625" cm="1">
        <f t="array" ref="BD198">IF(W198="",0,SUMPRODUCT((CA4:CA795="Sesame")*(CB4:CB795="ALERTE")*(COUNTIF(AI198,"*"&amp;CC4:CC795&amp;"*")&gt;0)*1))</f>
        <v>0</v>
      </c>
      <c r="BE198" s="6625" cm="1">
        <f t="array" ref="BE198">IF(W198="",0,SUMPRODUCT((CA4:CA795="Sulfites")*(CB4:CB795="ALERTE")*(COUNTIF(AI198,"*"&amp;CC4:CC795&amp;"*")&gt;0)*1))</f>
        <v>0</v>
      </c>
      <c r="BF198" s="6625" cm="1">
        <f t="array" ref="BF198">IF(W198="",0,SUMPRODUCT((CA4:CA795="Lupin")*(CB4:CB795="ALERTE")*(COUNTIF(AI198,"*"&amp;CC4:CC795&amp;"*")&gt;0)*1))</f>
        <v>0</v>
      </c>
      <c r="BG198" s="6625" cm="1">
        <f t="array" ref="BG198">IF(W198="",0,SUMPRODUCT((CA4:CA795="Mollusques")*(CB4:CB795="EXCL")*(COUNTIF(AI198,"*"&amp;CC4:CC795&amp;"*")&gt;0)*1))</f>
        <v>0</v>
      </c>
      <c r="BH198" s="6625" cm="1">
        <f t="array" ref="BH198">IF(W198="",0,SUMPRODUCT((CA4:CA795="Mollusques")*(CB4:CB795="ALERTE")*(COUNTIF(AI198,"*"&amp;CC4:CC795&amp;"*")&gt;0)*1))</f>
        <v>0</v>
      </c>
      <c r="BI198" s="6625" t="str">
        <f t="shared" si="112"/>
        <v/>
      </c>
      <c r="BJ198" s="6625" t="str">
        <f t="shared" si="113"/>
        <v/>
      </c>
      <c r="BK198" s="6625" t="str">
        <f t="shared" si="114"/>
        <v/>
      </c>
      <c r="BL198" s="6625" t="str">
        <f t="shared" si="115"/>
        <v/>
      </c>
      <c r="BM198" s="6625" t="str">
        <f t="shared" si="116"/>
        <v/>
      </c>
      <c r="BN198" s="6625" t="str">
        <f t="shared" si="117"/>
        <v/>
      </c>
      <c r="BO198" s="6625" t="str">
        <f t="shared" si="118"/>
        <v/>
      </c>
      <c r="BP198" s="6625" t="str">
        <f t="shared" si="119"/>
        <v/>
      </c>
      <c r="BQ198" s="6625" t="str">
        <f t="shared" si="120"/>
        <v/>
      </c>
      <c r="BR198" s="6625" t="str">
        <f t="shared" si="121"/>
        <v/>
      </c>
      <c r="BS198" s="6625" t="str">
        <f t="shared" si="122"/>
        <v/>
      </c>
      <c r="BT198" s="6625" t="str">
        <f t="shared" si="123"/>
        <v/>
      </c>
      <c r="BU198" s="6625" t="str">
        <f t="shared" si="124"/>
        <v/>
      </c>
      <c r="BV198" s="6625" t="str">
        <f t="shared" si="125"/>
        <v/>
      </c>
      <c r="BW198" s="6625" t="str">
        <f t="shared" si="126"/>
        <v/>
      </c>
      <c r="BX198" s="6625" t="str">
        <f t="shared" si="127"/>
        <v/>
      </c>
      <c r="CA198" s="3170" t="s">
        <v>16629</v>
      </c>
      <c r="CB198" s="7634" t="s">
        <v>16255</v>
      </c>
      <c r="CC198" s="3170" t="s">
        <v>16723</v>
      </c>
      <c r="CD198" s="3170" t="s">
        <v>16724</v>
      </c>
    </row>
    <row r="199" spans="2:82" ht="30" customHeight="1">
      <c r="B199" s="7661" t="str">
        <f t="shared" si="88"/>
        <v/>
      </c>
      <c r="C199" s="7661" t="str">
        <f t="shared" si="89"/>
        <v/>
      </c>
      <c r="D199" s="7661" t="str">
        <f t="shared" si="90"/>
        <v/>
      </c>
      <c r="E199" s="7661">
        <f>IF(H198&lt;&gt;"",E198,IF(E198="","",IFERROR(MATCH(TRUE(),INDEX(INDEX($K:$K,E198+1):$K$203&lt;&gt;"",0),0)+E198,"")))</f>
        <v>374</v>
      </c>
      <c r="F199" s="7661">
        <f t="shared" si="128"/>
        <v>0</v>
      </c>
      <c r="G199" s="7661" t="str">
        <f t="shared" si="91"/>
        <v>0</v>
      </c>
      <c r="H199" s="7672" t="str">
        <f t="shared" si="92"/>
        <v/>
      </c>
      <c r="I199" s="7683" t="str">
        <f t="shared" si="93"/>
        <v/>
      </c>
      <c r="J199" s="7673" t="str">
        <f>IF(K199="","",COUNTIF($K$18:K199,"&lt;&gt;"))</f>
        <v/>
      </c>
      <c r="K199" s="7674"/>
      <c r="L199" s="7673" t="str">
        <f t="shared" si="94"/>
        <v/>
      </c>
      <c r="M199" s="7630">
        <f t="shared" si="95"/>
        <v>1</v>
      </c>
      <c r="N199" s="7675">
        <f t="shared" si="96"/>
        <v>182</v>
      </c>
      <c r="O199" s="7676" t="str">
        <f t="shared" si="97"/>
        <v>0</v>
      </c>
      <c r="P199" s="7675">
        <f t="shared" si="98"/>
        <v>1</v>
      </c>
      <c r="Q199" s="7675">
        <f t="shared" si="99"/>
        <v>1</v>
      </c>
      <c r="S199" s="7679" t="str">
        <f t="shared" si="131"/>
        <v>0</v>
      </c>
      <c r="T199" s="7680" t="str">
        <f t="shared" si="131"/>
        <v/>
      </c>
      <c r="V199" s="7677">
        <f t="shared" si="100"/>
        <v>199</v>
      </c>
      <c r="W199" s="7678" t="str">
        <f t="shared" si="130"/>
        <v>0</v>
      </c>
      <c r="X199" s="7677" t="s">
        <v>2</v>
      </c>
      <c r="Y199" s="7702" t="str">
        <f t="shared" si="101"/>
        <v>0</v>
      </c>
      <c r="Z199" s="7703" t="str">
        <f t="shared" si="102"/>
        <v/>
      </c>
      <c r="AA199" s="7681" t="str">
        <f t="shared" si="103"/>
        <v>0</v>
      </c>
      <c r="AB199" s="7682" t="str">
        <f t="shared" si="104"/>
        <v/>
      </c>
      <c r="AC199" s="7677">
        <f t="shared" si="105"/>
        <v>0</v>
      </c>
      <c r="AD199" s="7677">
        <f t="shared" si="106"/>
        <v>0</v>
      </c>
      <c r="AE199" s="7682" t="str">
        <f t="shared" si="107"/>
        <v>aucun match</v>
      </c>
      <c r="AF199" s="6625" t="str">
        <f t="shared" si="108"/>
        <v>0</v>
      </c>
      <c r="AG199" s="6625" t="str">
        <f t="shared" si="109"/>
        <v>0</v>
      </c>
      <c r="AH199" s="6625" t="str">
        <f t="shared" si="110"/>
        <v>0</v>
      </c>
      <c r="AI199" s="6625" t="str">
        <f t="shared" si="111"/>
        <v xml:space="preserve"> 0 </v>
      </c>
      <c r="AJ199" s="6625" cm="1">
        <f t="array" ref="AJ199">IF(W199="",0,SUMPRODUCT((CA4:CA795="Gluten")*(CB4:CB795="INFO")*(COUNTIF(AI199,"*"&amp;CC4:CC795&amp;"*")&gt;0)*1))</f>
        <v>0</v>
      </c>
      <c r="AK199" s="6625" cm="1">
        <f t="array" ref="AK199">IF(W199="",0,SUMPRODUCT((CA4:CA795="Gluten")*(CB4:CB795="EXCL")*(COUNTIF(AI199,"*"&amp;CC4:CC795&amp;"*")&gt;0)*1))</f>
        <v>0</v>
      </c>
      <c r="AL199" s="6625" cm="1">
        <f t="array" ref="AL199">IF(W199="",0,SUMPRODUCT((CA4:CA795="Gluten")*(CB4:CB795="ALERTE")*(COUNTIF(AI199,"*"&amp;CC4:CC795&amp;"*")&gt;0)*1))</f>
        <v>0</v>
      </c>
      <c r="AM199" s="6625" cm="1">
        <f t="array" ref="AM199">IF(W199="",0,SUMPRODUCT((CA4:CA795="Gluten")*(CB4:CB795="SUSP")*(COUNTIF(AI199,"*"&amp;CC4:CC795&amp;"*")&gt;0)*1))</f>
        <v>0</v>
      </c>
      <c r="AN199" s="6625" cm="1">
        <f t="array" ref="AN199">IF(W199="",0,SUMPRODUCT((CA4:CA795="Crustaces")*(CB4:CB795="ALERTE")*(COUNTIF(AI199,"*"&amp;CC4:CC795&amp;"*")&gt;0)*1))</f>
        <v>0</v>
      </c>
      <c r="AO199" s="6625" cm="1">
        <f t="array" ref="AO199">IF(W199="",0,SUMPRODUCT((CA4:CA795="Oeufs")*(CB4:CB795="ALERTE")*(COUNTIF(AI199,"*"&amp;CC4:CC795&amp;"*")&gt;0)*1))</f>
        <v>0</v>
      </c>
      <c r="AP199" s="6625" cm="1">
        <f t="array" ref="AP199">IF(W199="",0,SUMPRODUCT((CA4:CA795="Poissons")*(CB4:CB795="INFO")*(COUNTIF(AI199,"*"&amp;CC4:CC795&amp;"*")&gt;0)*1))</f>
        <v>0</v>
      </c>
      <c r="AQ199" s="6625" cm="1">
        <f t="array" ref="AQ199">IF(W199="",0,SUMPRODUCT((CA4:CA795="Poissons")*(CB4:CB795="EXCL")*(COUNTIF(AI199,"*"&amp;CC4:CC795&amp;"*")&gt;0)*1))</f>
        <v>0</v>
      </c>
      <c r="AR199" s="6625" cm="1">
        <f t="array" ref="AR199">IF(W199="",0,SUMPRODUCT((CA4:CA795="Poissons")*(CB4:CB795="ALERTE")*(COUNTIF(AI199,"*"&amp;CC4:CC795&amp;"*")&gt;0)*1))</f>
        <v>0</v>
      </c>
      <c r="AS199" s="6625" cm="1">
        <f t="array" ref="AS199">IF(W199="",0,SUMPRODUCT((CA4:CA795="Arachides")*(CB4:CB795="ALERTE")*(COUNTIF(AI199,"*"&amp;CC4:CC795&amp;"*")&gt;0)*1))</f>
        <v>0</v>
      </c>
      <c r="AT199" s="6625" cm="1">
        <f t="array" ref="AT199">IF(W199="",0,SUMPRODUCT((CA4:CA795="Soja")*(CB4:CB795="INFO")*(COUNTIF(AI199,"*"&amp;CC4:CC795&amp;"*")&gt;0)*1))</f>
        <v>0</v>
      </c>
      <c r="AU199" s="6625" cm="1">
        <f t="array" ref="AU199">IF(W199="",0,SUMPRODUCT((CA4:CA795="Soja")*(CB4:CB795="ALERTE")*(COUNTIF(AI199,"*"&amp;CC4:CC795&amp;"*")&gt;0)*1))</f>
        <v>0</v>
      </c>
      <c r="AV199" s="6625" cm="1">
        <f t="array" ref="AV199">IF(W199="",0,SUMPRODUCT((CA4:CA795="Lait")*(CB4:CB795="INFO")*(COUNTIF(AI199,"*"&amp;CC4:CC795&amp;"*")&gt;0)*1))</f>
        <v>0</v>
      </c>
      <c r="AW199" s="6625" cm="1">
        <f t="array" ref="AW199">IF(W199="",0,SUMPRODUCT((CA4:CA795="Lait")*(CB4:CB795="EXCL")*(COUNTIF(AI199,"*"&amp;CC4:CC795&amp;"*")&gt;0)*1))</f>
        <v>0</v>
      </c>
      <c r="AX199" s="6625" cm="1">
        <f t="array" ref="AX199">IF(W199="",0,SUMPRODUCT((CA4:CA795="Lait")*(CB4:CB795="ALERTE")*(COUNTIF(AI199,"*"&amp;CC4:CC795&amp;"*")&gt;0)*1))</f>
        <v>0</v>
      </c>
      <c r="AY199" s="6625" cm="1">
        <f t="array" ref="AY199">IF(W199="",0,SUMPRODUCT((CA4:CA795="Lait")*(CB4:CB795="SUSP")*(COUNTIF(AI199,"*"&amp;CC4:CC795&amp;"*")&gt;0)*1))</f>
        <v>0</v>
      </c>
      <c r="AZ199" s="6625" cm="1">
        <f t="array" ref="AZ199">IF(W199="",0,SUMPRODUCT((CA4:CA795="Fruits a coque")*(CB4:CB795="EXCL")*(COUNTIF(AI199,"*"&amp;CC4:CC795&amp;"*")&gt;0)*1))</f>
        <v>0</v>
      </c>
      <c r="BA199" s="6625" cm="1">
        <f t="array" ref="BA199">IF(W199="",0,SUMPRODUCT((CA4:CA795="Fruits a coque")*(CB4:CB795="ALERTE")*(COUNTIF(AI199,"*"&amp;CC4:CC795&amp;"*")&gt;0)*1))</f>
        <v>0</v>
      </c>
      <c r="BB199" s="6625" cm="1">
        <f t="array" ref="BB199">IF(W199="",0,SUMPRODUCT((CA4:CA795="Celeri")*(CB4:CB795="ALERTE")*(COUNTIF(AI199,"*"&amp;CC4:CC795&amp;"*")&gt;0)*1))</f>
        <v>0</v>
      </c>
      <c r="BC199" s="6625" cm="1">
        <f t="array" ref="BC199">IF(W199="",0,SUMPRODUCT((CA4:CA795="Moutarde")*(CB4:CB795="ALERTE")*(COUNTIF(AI199,"*"&amp;CC4:CC795&amp;"*")&gt;0)*1))</f>
        <v>0</v>
      </c>
      <c r="BD199" s="6625" cm="1">
        <f t="array" ref="BD199">IF(W199="",0,SUMPRODUCT((CA4:CA795="Sesame")*(CB4:CB795="ALERTE")*(COUNTIF(AI199,"*"&amp;CC4:CC795&amp;"*")&gt;0)*1))</f>
        <v>0</v>
      </c>
      <c r="BE199" s="6625" cm="1">
        <f t="array" ref="BE199">IF(W199="",0,SUMPRODUCT((CA4:CA795="Sulfites")*(CB4:CB795="ALERTE")*(COUNTIF(AI199,"*"&amp;CC4:CC795&amp;"*")&gt;0)*1))</f>
        <v>0</v>
      </c>
      <c r="BF199" s="6625" cm="1">
        <f t="array" ref="BF199">IF(W199="",0,SUMPRODUCT((CA4:CA795="Lupin")*(CB4:CB795="ALERTE")*(COUNTIF(AI199,"*"&amp;CC4:CC795&amp;"*")&gt;0)*1))</f>
        <v>0</v>
      </c>
      <c r="BG199" s="6625" cm="1">
        <f t="array" ref="BG199">IF(W199="",0,SUMPRODUCT((CA4:CA795="Mollusques")*(CB4:CB795="EXCL")*(COUNTIF(AI199,"*"&amp;CC4:CC795&amp;"*")&gt;0)*1))</f>
        <v>0</v>
      </c>
      <c r="BH199" s="6625" cm="1">
        <f t="array" ref="BH199">IF(W199="",0,SUMPRODUCT((CA4:CA795="Mollusques")*(CB4:CB795="ALERTE")*(COUNTIF(AI199,"*"&amp;CC4:CC795&amp;"*")&gt;0)*1))</f>
        <v>0</v>
      </c>
      <c r="BI199" s="6625" t="str">
        <f t="shared" si="112"/>
        <v/>
      </c>
      <c r="BJ199" s="6625" t="str">
        <f t="shared" si="113"/>
        <v/>
      </c>
      <c r="BK199" s="6625" t="str">
        <f t="shared" si="114"/>
        <v/>
      </c>
      <c r="BL199" s="6625" t="str">
        <f t="shared" si="115"/>
        <v/>
      </c>
      <c r="BM199" s="6625" t="str">
        <f t="shared" si="116"/>
        <v/>
      </c>
      <c r="BN199" s="6625" t="str">
        <f t="shared" si="117"/>
        <v/>
      </c>
      <c r="BO199" s="6625" t="str">
        <f t="shared" si="118"/>
        <v/>
      </c>
      <c r="BP199" s="6625" t="str">
        <f t="shared" si="119"/>
        <v/>
      </c>
      <c r="BQ199" s="6625" t="str">
        <f t="shared" si="120"/>
        <v/>
      </c>
      <c r="BR199" s="6625" t="str">
        <f t="shared" si="121"/>
        <v/>
      </c>
      <c r="BS199" s="6625" t="str">
        <f t="shared" si="122"/>
        <v/>
      </c>
      <c r="BT199" s="6625" t="str">
        <f t="shared" si="123"/>
        <v/>
      </c>
      <c r="BU199" s="6625" t="str">
        <f t="shared" si="124"/>
        <v/>
      </c>
      <c r="BV199" s="6625" t="str">
        <f t="shared" si="125"/>
        <v/>
      </c>
      <c r="BW199" s="6625" t="str">
        <f t="shared" si="126"/>
        <v/>
      </c>
      <c r="BX199" s="6625" t="str">
        <f t="shared" si="127"/>
        <v/>
      </c>
      <c r="CA199" s="3170" t="s">
        <v>16629</v>
      </c>
      <c r="CB199" s="7634" t="s">
        <v>16255</v>
      </c>
      <c r="CC199" s="3170" t="s">
        <v>16725</v>
      </c>
      <c r="CD199" s="3170" t="s">
        <v>16726</v>
      </c>
    </row>
    <row r="200" spans="2:82" ht="30" customHeight="1">
      <c r="B200" s="7661" t="str">
        <f t="shared" si="88"/>
        <v/>
      </c>
      <c r="C200" s="7661" t="str">
        <f t="shared" si="89"/>
        <v/>
      </c>
      <c r="D200" s="7661" t="str">
        <f t="shared" si="90"/>
        <v/>
      </c>
      <c r="E200" s="7661">
        <f>IF(H199&lt;&gt;"",E199,IF(E199="","",IFERROR(MATCH(TRUE(),INDEX(INDEX($K:$K,E199+1):$K$203&lt;&gt;"",0),0)+E199,"")))</f>
        <v>375</v>
      </c>
      <c r="F200" s="7661">
        <f t="shared" si="128"/>
        <v>0</v>
      </c>
      <c r="G200" s="7661" t="str">
        <f t="shared" si="91"/>
        <v>0</v>
      </c>
      <c r="H200" s="7672" t="str">
        <f t="shared" si="92"/>
        <v/>
      </c>
      <c r="I200" s="7683" t="str">
        <f t="shared" si="93"/>
        <v/>
      </c>
      <c r="J200" s="7673" t="str">
        <f>IF(K200="","",COUNTIF($K$18:K200,"&lt;&gt;"))</f>
        <v/>
      </c>
      <c r="K200" s="7674"/>
      <c r="L200" s="7673" t="str">
        <f t="shared" si="94"/>
        <v/>
      </c>
      <c r="M200" s="7630">
        <f t="shared" si="95"/>
        <v>1</v>
      </c>
      <c r="N200" s="7675">
        <f t="shared" si="96"/>
        <v>183</v>
      </c>
      <c r="O200" s="7676" t="str">
        <f t="shared" si="97"/>
        <v>0</v>
      </c>
      <c r="P200" s="7675">
        <f t="shared" si="98"/>
        <v>1</v>
      </c>
      <c r="Q200" s="7675">
        <f t="shared" si="99"/>
        <v>1</v>
      </c>
      <c r="S200" s="7679" t="str">
        <f t="shared" si="131"/>
        <v>0</v>
      </c>
      <c r="T200" s="7680" t="str">
        <f t="shared" si="131"/>
        <v/>
      </c>
      <c r="V200" s="7677">
        <f t="shared" si="100"/>
        <v>200</v>
      </c>
      <c r="W200" s="7678" t="str">
        <f t="shared" si="130"/>
        <v>0</v>
      </c>
      <c r="X200" s="7677" t="s">
        <v>2</v>
      </c>
      <c r="Y200" s="7702" t="str">
        <f t="shared" si="101"/>
        <v>0</v>
      </c>
      <c r="Z200" s="7703" t="str">
        <f t="shared" si="102"/>
        <v/>
      </c>
      <c r="AA200" s="7681" t="str">
        <f t="shared" si="103"/>
        <v>0</v>
      </c>
      <c r="AB200" s="7682" t="str">
        <f t="shared" si="104"/>
        <v/>
      </c>
      <c r="AC200" s="7677">
        <f t="shared" si="105"/>
        <v>0</v>
      </c>
      <c r="AD200" s="7677">
        <f t="shared" si="106"/>
        <v>0</v>
      </c>
      <c r="AE200" s="7682" t="str">
        <f t="shared" si="107"/>
        <v>aucun match</v>
      </c>
      <c r="AF200" s="6625" t="str">
        <f t="shared" si="108"/>
        <v>0</v>
      </c>
      <c r="AG200" s="6625" t="str">
        <f t="shared" si="109"/>
        <v>0</v>
      </c>
      <c r="AH200" s="6625" t="str">
        <f t="shared" si="110"/>
        <v>0</v>
      </c>
      <c r="AI200" s="6625" t="str">
        <f t="shared" si="111"/>
        <v xml:space="preserve"> 0 </v>
      </c>
      <c r="AJ200" s="6625" cm="1">
        <f t="array" ref="AJ200">IF(W200="",0,SUMPRODUCT((CA4:CA795="Gluten")*(CB4:CB795="INFO")*(COUNTIF(AI200,"*"&amp;CC4:CC795&amp;"*")&gt;0)*1))</f>
        <v>0</v>
      </c>
      <c r="AK200" s="6625" cm="1">
        <f t="array" ref="AK200">IF(W200="",0,SUMPRODUCT((CA4:CA795="Gluten")*(CB4:CB795="EXCL")*(COUNTIF(AI200,"*"&amp;CC4:CC795&amp;"*")&gt;0)*1))</f>
        <v>0</v>
      </c>
      <c r="AL200" s="6625" cm="1">
        <f t="array" ref="AL200">IF(W200="",0,SUMPRODUCT((CA4:CA795="Gluten")*(CB4:CB795="ALERTE")*(COUNTIF(AI200,"*"&amp;CC4:CC795&amp;"*")&gt;0)*1))</f>
        <v>0</v>
      </c>
      <c r="AM200" s="6625" cm="1">
        <f t="array" ref="AM200">IF(W200="",0,SUMPRODUCT((CA4:CA795="Gluten")*(CB4:CB795="SUSP")*(COUNTIF(AI200,"*"&amp;CC4:CC795&amp;"*")&gt;0)*1))</f>
        <v>0</v>
      </c>
      <c r="AN200" s="6625" cm="1">
        <f t="array" ref="AN200">IF(W200="",0,SUMPRODUCT((CA4:CA795="Crustaces")*(CB4:CB795="ALERTE")*(COUNTIF(AI200,"*"&amp;CC4:CC795&amp;"*")&gt;0)*1))</f>
        <v>0</v>
      </c>
      <c r="AO200" s="6625" cm="1">
        <f t="array" ref="AO200">IF(W200="",0,SUMPRODUCT((CA4:CA795="Oeufs")*(CB4:CB795="ALERTE")*(COUNTIF(AI200,"*"&amp;CC4:CC795&amp;"*")&gt;0)*1))</f>
        <v>0</v>
      </c>
      <c r="AP200" s="6625" cm="1">
        <f t="array" ref="AP200">IF(W200="",0,SUMPRODUCT((CA4:CA795="Poissons")*(CB4:CB795="INFO")*(COUNTIF(AI200,"*"&amp;CC4:CC795&amp;"*")&gt;0)*1))</f>
        <v>0</v>
      </c>
      <c r="AQ200" s="6625" cm="1">
        <f t="array" ref="AQ200">IF(W200="",0,SUMPRODUCT((CA4:CA795="Poissons")*(CB4:CB795="EXCL")*(COUNTIF(AI200,"*"&amp;CC4:CC795&amp;"*")&gt;0)*1))</f>
        <v>0</v>
      </c>
      <c r="AR200" s="6625" cm="1">
        <f t="array" ref="AR200">IF(W200="",0,SUMPRODUCT((CA4:CA795="Poissons")*(CB4:CB795="ALERTE")*(COUNTIF(AI200,"*"&amp;CC4:CC795&amp;"*")&gt;0)*1))</f>
        <v>0</v>
      </c>
      <c r="AS200" s="6625" cm="1">
        <f t="array" ref="AS200">IF(W200="",0,SUMPRODUCT((CA4:CA795="Arachides")*(CB4:CB795="ALERTE")*(COUNTIF(AI200,"*"&amp;CC4:CC795&amp;"*")&gt;0)*1))</f>
        <v>0</v>
      </c>
      <c r="AT200" s="6625" cm="1">
        <f t="array" ref="AT200">IF(W200="",0,SUMPRODUCT((CA4:CA795="Soja")*(CB4:CB795="INFO")*(COUNTIF(AI200,"*"&amp;CC4:CC795&amp;"*")&gt;0)*1))</f>
        <v>0</v>
      </c>
      <c r="AU200" s="6625" cm="1">
        <f t="array" ref="AU200">IF(W200="",0,SUMPRODUCT((CA4:CA795="Soja")*(CB4:CB795="ALERTE")*(COUNTIF(AI200,"*"&amp;CC4:CC795&amp;"*")&gt;0)*1))</f>
        <v>0</v>
      </c>
      <c r="AV200" s="6625" cm="1">
        <f t="array" ref="AV200">IF(W200="",0,SUMPRODUCT((CA4:CA795="Lait")*(CB4:CB795="INFO")*(COUNTIF(AI200,"*"&amp;CC4:CC795&amp;"*")&gt;0)*1))</f>
        <v>0</v>
      </c>
      <c r="AW200" s="6625" cm="1">
        <f t="array" ref="AW200">IF(W200="",0,SUMPRODUCT((CA4:CA795="Lait")*(CB4:CB795="EXCL")*(COUNTIF(AI200,"*"&amp;CC4:CC795&amp;"*")&gt;0)*1))</f>
        <v>0</v>
      </c>
      <c r="AX200" s="6625" cm="1">
        <f t="array" ref="AX200">IF(W200="",0,SUMPRODUCT((CA4:CA795="Lait")*(CB4:CB795="ALERTE")*(COUNTIF(AI200,"*"&amp;CC4:CC795&amp;"*")&gt;0)*1))</f>
        <v>0</v>
      </c>
      <c r="AY200" s="6625" cm="1">
        <f t="array" ref="AY200">IF(W200="",0,SUMPRODUCT((CA4:CA795="Lait")*(CB4:CB795="SUSP")*(COUNTIF(AI200,"*"&amp;CC4:CC795&amp;"*")&gt;0)*1))</f>
        <v>0</v>
      </c>
      <c r="AZ200" s="6625" cm="1">
        <f t="array" ref="AZ200">IF(W200="",0,SUMPRODUCT((CA4:CA795="Fruits a coque")*(CB4:CB795="EXCL")*(COUNTIF(AI200,"*"&amp;CC4:CC795&amp;"*")&gt;0)*1))</f>
        <v>0</v>
      </c>
      <c r="BA200" s="6625" cm="1">
        <f t="array" ref="BA200">IF(W200="",0,SUMPRODUCT((CA4:CA795="Fruits a coque")*(CB4:CB795="ALERTE")*(COUNTIF(AI200,"*"&amp;CC4:CC795&amp;"*")&gt;0)*1))</f>
        <v>0</v>
      </c>
      <c r="BB200" s="6625" cm="1">
        <f t="array" ref="BB200">IF(W200="",0,SUMPRODUCT((CA4:CA795="Celeri")*(CB4:CB795="ALERTE")*(COUNTIF(AI200,"*"&amp;CC4:CC795&amp;"*")&gt;0)*1))</f>
        <v>0</v>
      </c>
      <c r="BC200" s="6625" cm="1">
        <f t="array" ref="BC200">IF(W200="",0,SUMPRODUCT((CA4:CA795="Moutarde")*(CB4:CB795="ALERTE")*(COUNTIF(AI200,"*"&amp;CC4:CC795&amp;"*")&gt;0)*1))</f>
        <v>0</v>
      </c>
      <c r="BD200" s="6625" cm="1">
        <f t="array" ref="BD200">IF(W200="",0,SUMPRODUCT((CA4:CA795="Sesame")*(CB4:CB795="ALERTE")*(COUNTIF(AI200,"*"&amp;CC4:CC795&amp;"*")&gt;0)*1))</f>
        <v>0</v>
      </c>
      <c r="BE200" s="6625" cm="1">
        <f t="array" ref="BE200">IF(W200="",0,SUMPRODUCT((CA4:CA795="Sulfites")*(CB4:CB795="ALERTE")*(COUNTIF(AI200,"*"&amp;CC4:CC795&amp;"*")&gt;0)*1))</f>
        <v>0</v>
      </c>
      <c r="BF200" s="6625" cm="1">
        <f t="array" ref="BF200">IF(W200="",0,SUMPRODUCT((CA4:CA795="Lupin")*(CB4:CB795="ALERTE")*(COUNTIF(AI200,"*"&amp;CC4:CC795&amp;"*")&gt;0)*1))</f>
        <v>0</v>
      </c>
      <c r="BG200" s="6625" cm="1">
        <f t="array" ref="BG200">IF(W200="",0,SUMPRODUCT((CA4:CA795="Mollusques")*(CB4:CB795="EXCL")*(COUNTIF(AI200,"*"&amp;CC4:CC795&amp;"*")&gt;0)*1))</f>
        <v>0</v>
      </c>
      <c r="BH200" s="6625" cm="1">
        <f t="array" ref="BH200">IF(W200="",0,SUMPRODUCT((CA4:CA795="Mollusques")*(CB4:CB795="ALERTE")*(COUNTIF(AI200,"*"&amp;CC4:CC795&amp;"*")&gt;0)*1))</f>
        <v>0</v>
      </c>
      <c r="BI200" s="6625" t="str">
        <f t="shared" si="112"/>
        <v/>
      </c>
      <c r="BJ200" s="6625" t="str">
        <f t="shared" si="113"/>
        <v/>
      </c>
      <c r="BK200" s="6625" t="str">
        <f t="shared" si="114"/>
        <v/>
      </c>
      <c r="BL200" s="6625" t="str">
        <f t="shared" si="115"/>
        <v/>
      </c>
      <c r="BM200" s="6625" t="str">
        <f t="shared" si="116"/>
        <v/>
      </c>
      <c r="BN200" s="6625" t="str">
        <f t="shared" si="117"/>
        <v/>
      </c>
      <c r="BO200" s="6625" t="str">
        <f t="shared" si="118"/>
        <v/>
      </c>
      <c r="BP200" s="6625" t="str">
        <f t="shared" si="119"/>
        <v/>
      </c>
      <c r="BQ200" s="6625" t="str">
        <f t="shared" si="120"/>
        <v/>
      </c>
      <c r="BR200" s="6625" t="str">
        <f t="shared" si="121"/>
        <v/>
      </c>
      <c r="BS200" s="6625" t="str">
        <f t="shared" si="122"/>
        <v/>
      </c>
      <c r="BT200" s="6625" t="str">
        <f t="shared" si="123"/>
        <v/>
      </c>
      <c r="BU200" s="6625" t="str">
        <f t="shared" si="124"/>
        <v/>
      </c>
      <c r="BV200" s="6625" t="str">
        <f t="shared" si="125"/>
        <v/>
      </c>
      <c r="BW200" s="6625" t="str">
        <f t="shared" si="126"/>
        <v/>
      </c>
      <c r="BX200" s="6625" t="str">
        <f t="shared" si="127"/>
        <v/>
      </c>
      <c r="CA200" s="3170" t="s">
        <v>16629</v>
      </c>
      <c r="CB200" s="7634" t="s">
        <v>16255</v>
      </c>
      <c r="CC200" s="3170" t="s">
        <v>16727</v>
      </c>
      <c r="CD200" s="3170" t="s">
        <v>16728</v>
      </c>
    </row>
    <row r="201" spans="2:82" ht="30" customHeight="1">
      <c r="B201" s="7661" t="str">
        <f t="shared" si="88"/>
        <v/>
      </c>
      <c r="C201" s="7661" t="str">
        <f t="shared" si="89"/>
        <v/>
      </c>
      <c r="D201" s="7661" t="str">
        <f t="shared" si="90"/>
        <v/>
      </c>
      <c r="E201" s="7661">
        <f>IF(H200&lt;&gt;"",E200,IF(E200="","",IFERROR(MATCH(TRUE(),INDEX(INDEX($K:$K,E200+1):$K$203&lt;&gt;"",0),0)+E200,"")))</f>
        <v>376</v>
      </c>
      <c r="F201" s="7661">
        <f t="shared" si="128"/>
        <v>0</v>
      </c>
      <c r="G201" s="7661" t="str">
        <f t="shared" si="91"/>
        <v>0</v>
      </c>
      <c r="H201" s="7672" t="str">
        <f t="shared" si="92"/>
        <v/>
      </c>
      <c r="I201" s="7683" t="str">
        <f t="shared" si="93"/>
        <v/>
      </c>
      <c r="J201" s="7673" t="str">
        <f>IF(K201="","",COUNTIF($K$18:K201,"&lt;&gt;"))</f>
        <v/>
      </c>
      <c r="K201" s="7674"/>
      <c r="L201" s="7673" t="str">
        <f t="shared" si="94"/>
        <v/>
      </c>
      <c r="M201" s="7630">
        <f t="shared" si="95"/>
        <v>1</v>
      </c>
      <c r="N201" s="7675">
        <f t="shared" si="96"/>
        <v>184</v>
      </c>
      <c r="O201" s="7676" t="str">
        <f t="shared" si="97"/>
        <v>0</v>
      </c>
      <c r="P201" s="7675">
        <f t="shared" si="98"/>
        <v>1</v>
      </c>
      <c r="Q201" s="7675">
        <f t="shared" si="99"/>
        <v>1</v>
      </c>
      <c r="S201" s="7679" t="str">
        <f t="shared" si="131"/>
        <v>0</v>
      </c>
      <c r="T201" s="7680" t="str">
        <f t="shared" si="131"/>
        <v/>
      </c>
      <c r="V201" s="7677">
        <f t="shared" si="100"/>
        <v>201</v>
      </c>
      <c r="W201" s="7678" t="str">
        <f t="shared" si="130"/>
        <v>0</v>
      </c>
      <c r="X201" s="7677" t="s">
        <v>2</v>
      </c>
      <c r="Y201" s="7702" t="str">
        <f t="shared" si="101"/>
        <v>0</v>
      </c>
      <c r="Z201" s="7703" t="str">
        <f t="shared" si="102"/>
        <v/>
      </c>
      <c r="AA201" s="7681" t="str">
        <f t="shared" si="103"/>
        <v>0</v>
      </c>
      <c r="AB201" s="7682" t="str">
        <f t="shared" si="104"/>
        <v/>
      </c>
      <c r="AC201" s="7677">
        <f t="shared" si="105"/>
        <v>0</v>
      </c>
      <c r="AD201" s="7677">
        <f t="shared" si="106"/>
        <v>0</v>
      </c>
      <c r="AE201" s="7682" t="str">
        <f t="shared" si="107"/>
        <v>aucun match</v>
      </c>
      <c r="AF201" s="6625" t="str">
        <f t="shared" si="108"/>
        <v>0</v>
      </c>
      <c r="AG201" s="6625" t="str">
        <f t="shared" si="109"/>
        <v>0</v>
      </c>
      <c r="AH201" s="6625" t="str">
        <f t="shared" si="110"/>
        <v>0</v>
      </c>
      <c r="AI201" s="6625" t="str">
        <f t="shared" si="111"/>
        <v xml:space="preserve"> 0 </v>
      </c>
      <c r="AJ201" s="6625" cm="1">
        <f t="array" ref="AJ201">IF(W201="",0,SUMPRODUCT((CA4:CA795="Gluten")*(CB4:CB795="INFO")*(COUNTIF(AI201,"*"&amp;CC4:CC795&amp;"*")&gt;0)*1))</f>
        <v>0</v>
      </c>
      <c r="AK201" s="6625" cm="1">
        <f t="array" ref="AK201">IF(W201="",0,SUMPRODUCT((CA4:CA795="Gluten")*(CB4:CB795="EXCL")*(COUNTIF(AI201,"*"&amp;CC4:CC795&amp;"*")&gt;0)*1))</f>
        <v>0</v>
      </c>
      <c r="AL201" s="6625" cm="1">
        <f t="array" ref="AL201">IF(W201="",0,SUMPRODUCT((CA4:CA795="Gluten")*(CB4:CB795="ALERTE")*(COUNTIF(AI201,"*"&amp;CC4:CC795&amp;"*")&gt;0)*1))</f>
        <v>0</v>
      </c>
      <c r="AM201" s="6625" cm="1">
        <f t="array" ref="AM201">IF(W201="",0,SUMPRODUCT((CA4:CA795="Gluten")*(CB4:CB795="SUSP")*(COUNTIF(AI201,"*"&amp;CC4:CC795&amp;"*")&gt;0)*1))</f>
        <v>0</v>
      </c>
      <c r="AN201" s="6625" cm="1">
        <f t="array" ref="AN201">IF(W201="",0,SUMPRODUCT((CA4:CA795="Crustaces")*(CB4:CB795="ALERTE")*(COUNTIF(AI201,"*"&amp;CC4:CC795&amp;"*")&gt;0)*1))</f>
        <v>0</v>
      </c>
      <c r="AO201" s="6625" cm="1">
        <f t="array" ref="AO201">IF(W201="",0,SUMPRODUCT((CA4:CA795="Oeufs")*(CB4:CB795="ALERTE")*(COUNTIF(AI201,"*"&amp;CC4:CC795&amp;"*")&gt;0)*1))</f>
        <v>0</v>
      </c>
      <c r="AP201" s="6625" cm="1">
        <f t="array" ref="AP201">IF(W201="",0,SUMPRODUCT((CA4:CA795="Poissons")*(CB4:CB795="INFO")*(COUNTIF(AI201,"*"&amp;CC4:CC795&amp;"*")&gt;0)*1))</f>
        <v>0</v>
      </c>
      <c r="AQ201" s="6625" cm="1">
        <f t="array" ref="AQ201">IF(W201="",0,SUMPRODUCT((CA4:CA795="Poissons")*(CB4:CB795="EXCL")*(COUNTIF(AI201,"*"&amp;CC4:CC795&amp;"*")&gt;0)*1))</f>
        <v>0</v>
      </c>
      <c r="AR201" s="6625" cm="1">
        <f t="array" ref="AR201">IF(W201="",0,SUMPRODUCT((CA4:CA795="Poissons")*(CB4:CB795="ALERTE")*(COUNTIF(AI201,"*"&amp;CC4:CC795&amp;"*")&gt;0)*1))</f>
        <v>0</v>
      </c>
      <c r="AS201" s="6625" cm="1">
        <f t="array" ref="AS201">IF(W201="",0,SUMPRODUCT((CA4:CA795="Arachides")*(CB4:CB795="ALERTE")*(COUNTIF(AI201,"*"&amp;CC4:CC795&amp;"*")&gt;0)*1))</f>
        <v>0</v>
      </c>
      <c r="AT201" s="6625" cm="1">
        <f t="array" ref="AT201">IF(W201="",0,SUMPRODUCT((CA4:CA795="Soja")*(CB4:CB795="INFO")*(COUNTIF(AI201,"*"&amp;CC4:CC795&amp;"*")&gt;0)*1))</f>
        <v>0</v>
      </c>
      <c r="AU201" s="6625" cm="1">
        <f t="array" ref="AU201">IF(W201="",0,SUMPRODUCT((CA4:CA795="Soja")*(CB4:CB795="ALERTE")*(COUNTIF(AI201,"*"&amp;CC4:CC795&amp;"*")&gt;0)*1))</f>
        <v>0</v>
      </c>
      <c r="AV201" s="6625" cm="1">
        <f t="array" ref="AV201">IF(W201="",0,SUMPRODUCT((CA4:CA795="Lait")*(CB4:CB795="INFO")*(COUNTIF(AI201,"*"&amp;CC4:CC795&amp;"*")&gt;0)*1))</f>
        <v>0</v>
      </c>
      <c r="AW201" s="6625" cm="1">
        <f t="array" ref="AW201">IF(W201="",0,SUMPRODUCT((CA4:CA795="Lait")*(CB4:CB795="EXCL")*(COUNTIF(AI201,"*"&amp;CC4:CC795&amp;"*")&gt;0)*1))</f>
        <v>0</v>
      </c>
      <c r="AX201" s="6625" cm="1">
        <f t="array" ref="AX201">IF(W201="",0,SUMPRODUCT((CA4:CA795="Lait")*(CB4:CB795="ALERTE")*(COUNTIF(AI201,"*"&amp;CC4:CC795&amp;"*")&gt;0)*1))</f>
        <v>0</v>
      </c>
      <c r="AY201" s="6625" cm="1">
        <f t="array" ref="AY201">IF(W201="",0,SUMPRODUCT((CA4:CA795="Lait")*(CB4:CB795="SUSP")*(COUNTIF(AI201,"*"&amp;CC4:CC795&amp;"*")&gt;0)*1))</f>
        <v>0</v>
      </c>
      <c r="AZ201" s="6625" cm="1">
        <f t="array" ref="AZ201">IF(W201="",0,SUMPRODUCT((CA4:CA795="Fruits a coque")*(CB4:CB795="EXCL")*(COUNTIF(AI201,"*"&amp;CC4:CC795&amp;"*")&gt;0)*1))</f>
        <v>0</v>
      </c>
      <c r="BA201" s="6625" cm="1">
        <f t="array" ref="BA201">IF(W201="",0,SUMPRODUCT((CA4:CA795="Fruits a coque")*(CB4:CB795="ALERTE")*(COUNTIF(AI201,"*"&amp;CC4:CC795&amp;"*")&gt;0)*1))</f>
        <v>0</v>
      </c>
      <c r="BB201" s="6625" cm="1">
        <f t="array" ref="BB201">IF(W201="",0,SUMPRODUCT((CA4:CA795="Celeri")*(CB4:CB795="ALERTE")*(COUNTIF(AI201,"*"&amp;CC4:CC795&amp;"*")&gt;0)*1))</f>
        <v>0</v>
      </c>
      <c r="BC201" s="6625" cm="1">
        <f t="array" ref="BC201">IF(W201="",0,SUMPRODUCT((CA4:CA795="Moutarde")*(CB4:CB795="ALERTE")*(COUNTIF(AI201,"*"&amp;CC4:CC795&amp;"*")&gt;0)*1))</f>
        <v>0</v>
      </c>
      <c r="BD201" s="6625" cm="1">
        <f t="array" ref="BD201">IF(W201="",0,SUMPRODUCT((CA4:CA795="Sesame")*(CB4:CB795="ALERTE")*(COUNTIF(AI201,"*"&amp;CC4:CC795&amp;"*")&gt;0)*1))</f>
        <v>0</v>
      </c>
      <c r="BE201" s="6625" cm="1">
        <f t="array" ref="BE201">IF(W201="",0,SUMPRODUCT((CA4:CA795="Sulfites")*(CB4:CB795="ALERTE")*(COUNTIF(AI201,"*"&amp;CC4:CC795&amp;"*")&gt;0)*1))</f>
        <v>0</v>
      </c>
      <c r="BF201" s="6625" cm="1">
        <f t="array" ref="BF201">IF(W201="",0,SUMPRODUCT((CA4:CA795="Lupin")*(CB4:CB795="ALERTE")*(COUNTIF(AI201,"*"&amp;CC4:CC795&amp;"*")&gt;0)*1))</f>
        <v>0</v>
      </c>
      <c r="BG201" s="6625" cm="1">
        <f t="array" ref="BG201">IF(W201="",0,SUMPRODUCT((CA4:CA795="Mollusques")*(CB4:CB795="EXCL")*(COUNTIF(AI201,"*"&amp;CC4:CC795&amp;"*")&gt;0)*1))</f>
        <v>0</v>
      </c>
      <c r="BH201" s="6625" cm="1">
        <f t="array" ref="BH201">IF(W201="",0,SUMPRODUCT((CA4:CA795="Mollusques")*(CB4:CB795="ALERTE")*(COUNTIF(AI201,"*"&amp;CC4:CC795&amp;"*")&gt;0)*1))</f>
        <v>0</v>
      </c>
      <c r="BI201" s="6625" t="str">
        <f t="shared" si="112"/>
        <v/>
      </c>
      <c r="BJ201" s="6625" t="str">
        <f t="shared" si="113"/>
        <v/>
      </c>
      <c r="BK201" s="6625" t="str">
        <f t="shared" si="114"/>
        <v/>
      </c>
      <c r="BL201" s="6625" t="str">
        <f t="shared" si="115"/>
        <v/>
      </c>
      <c r="BM201" s="6625" t="str">
        <f t="shared" si="116"/>
        <v/>
      </c>
      <c r="BN201" s="6625" t="str">
        <f t="shared" si="117"/>
        <v/>
      </c>
      <c r="BO201" s="6625" t="str">
        <f t="shared" si="118"/>
        <v/>
      </c>
      <c r="BP201" s="6625" t="str">
        <f t="shared" si="119"/>
        <v/>
      </c>
      <c r="BQ201" s="6625" t="str">
        <f t="shared" si="120"/>
        <v/>
      </c>
      <c r="BR201" s="6625" t="str">
        <f t="shared" si="121"/>
        <v/>
      </c>
      <c r="BS201" s="6625" t="str">
        <f t="shared" si="122"/>
        <v/>
      </c>
      <c r="BT201" s="6625" t="str">
        <f t="shared" si="123"/>
        <v/>
      </c>
      <c r="BU201" s="6625" t="str">
        <f t="shared" si="124"/>
        <v/>
      </c>
      <c r="BV201" s="6625" t="str">
        <f t="shared" si="125"/>
        <v/>
      </c>
      <c r="BW201" s="6625" t="str">
        <f t="shared" si="126"/>
        <v/>
      </c>
      <c r="BX201" s="6625" t="str">
        <f t="shared" si="127"/>
        <v/>
      </c>
      <c r="CA201" s="3170" t="s">
        <v>16629</v>
      </c>
      <c r="CB201" s="7634" t="s">
        <v>16255</v>
      </c>
      <c r="CC201" s="3170" t="s">
        <v>16729</v>
      </c>
      <c r="CD201" s="3170" t="s">
        <v>16730</v>
      </c>
    </row>
    <row r="202" spans="2:82" ht="30" customHeight="1">
      <c r="B202" s="7661" t="str">
        <f t="shared" si="88"/>
        <v/>
      </c>
      <c r="C202" s="7661" t="str">
        <f t="shared" si="89"/>
        <v/>
      </c>
      <c r="D202" s="7661" t="str">
        <f t="shared" si="90"/>
        <v/>
      </c>
      <c r="E202" s="7661">
        <f>IF(H201&lt;&gt;"",E201,IF(E201="","",IFERROR(MATCH(TRUE(),INDEX(INDEX($K:$K,E201+1):$K$203&lt;&gt;"",0),0)+E201,"")))</f>
        <v>377</v>
      </c>
      <c r="F202" s="7661">
        <f t="shared" si="128"/>
        <v>0</v>
      </c>
      <c r="G202" s="7661" t="str">
        <f t="shared" si="91"/>
        <v>0</v>
      </c>
      <c r="H202" s="7672" t="str">
        <f t="shared" si="92"/>
        <v/>
      </c>
      <c r="I202" s="7683" t="str">
        <f t="shared" si="93"/>
        <v/>
      </c>
      <c r="J202" s="7673" t="str">
        <f>IF(K202="","",COUNTIF($K$18:K202,"&lt;&gt;"))</f>
        <v/>
      </c>
      <c r="K202" s="7674"/>
      <c r="L202" s="7673" t="str">
        <f t="shared" si="94"/>
        <v/>
      </c>
      <c r="M202" s="7630">
        <f t="shared" si="95"/>
        <v>1</v>
      </c>
      <c r="N202" s="7675">
        <f t="shared" si="96"/>
        <v>185</v>
      </c>
      <c r="O202" s="7676" t="str">
        <f t="shared" si="97"/>
        <v>0</v>
      </c>
      <c r="P202" s="7675">
        <f t="shared" si="98"/>
        <v>1</v>
      </c>
      <c r="Q202" s="7675">
        <f t="shared" si="99"/>
        <v>1</v>
      </c>
      <c r="S202" s="7679" t="str">
        <f t="shared" si="131"/>
        <v>0</v>
      </c>
      <c r="T202" s="7680" t="str">
        <f t="shared" si="131"/>
        <v/>
      </c>
      <c r="V202" s="7677">
        <f t="shared" si="100"/>
        <v>202</v>
      </c>
      <c r="W202" s="7678" t="str">
        <f t="shared" si="130"/>
        <v>0</v>
      </c>
      <c r="X202" s="7677" t="s">
        <v>2</v>
      </c>
      <c r="Y202" s="7702" t="str">
        <f t="shared" si="101"/>
        <v>0</v>
      </c>
      <c r="Z202" s="7703" t="str">
        <f t="shared" si="102"/>
        <v/>
      </c>
      <c r="AA202" s="7681" t="str">
        <f t="shared" si="103"/>
        <v>0</v>
      </c>
      <c r="AB202" s="7682" t="str">
        <f t="shared" si="104"/>
        <v/>
      </c>
      <c r="AC202" s="7677">
        <f t="shared" si="105"/>
        <v>0</v>
      </c>
      <c r="AD202" s="7677">
        <f t="shared" si="106"/>
        <v>0</v>
      </c>
      <c r="AE202" s="7682" t="str">
        <f t="shared" si="107"/>
        <v>aucun match</v>
      </c>
      <c r="AF202" s="6625" t="str">
        <f t="shared" si="108"/>
        <v>0</v>
      </c>
      <c r="AG202" s="6625" t="str">
        <f t="shared" si="109"/>
        <v>0</v>
      </c>
      <c r="AH202" s="6625" t="str">
        <f t="shared" si="110"/>
        <v>0</v>
      </c>
      <c r="AI202" s="6625" t="str">
        <f t="shared" si="111"/>
        <v xml:space="preserve"> 0 </v>
      </c>
      <c r="AJ202" s="6625" cm="1">
        <f t="array" ref="AJ202">IF(W202="",0,SUMPRODUCT((CA4:CA795="Gluten")*(CB4:CB795="INFO")*(COUNTIF(AI202,"*"&amp;CC4:CC795&amp;"*")&gt;0)*1))</f>
        <v>0</v>
      </c>
      <c r="AK202" s="6625" cm="1">
        <f t="array" ref="AK202">IF(W202="",0,SUMPRODUCT((CA4:CA795="Gluten")*(CB4:CB795="EXCL")*(COUNTIF(AI202,"*"&amp;CC4:CC795&amp;"*")&gt;0)*1))</f>
        <v>0</v>
      </c>
      <c r="AL202" s="6625" cm="1">
        <f t="array" ref="AL202">IF(W202="",0,SUMPRODUCT((CA4:CA795="Gluten")*(CB4:CB795="ALERTE")*(COUNTIF(AI202,"*"&amp;CC4:CC795&amp;"*")&gt;0)*1))</f>
        <v>0</v>
      </c>
      <c r="AM202" s="6625" cm="1">
        <f t="array" ref="AM202">IF(W202="",0,SUMPRODUCT((CA4:CA795="Gluten")*(CB4:CB795="SUSP")*(COUNTIF(AI202,"*"&amp;CC4:CC795&amp;"*")&gt;0)*1))</f>
        <v>0</v>
      </c>
      <c r="AN202" s="6625" cm="1">
        <f t="array" ref="AN202">IF(W202="",0,SUMPRODUCT((CA4:CA795="Crustaces")*(CB4:CB795="ALERTE")*(COUNTIF(AI202,"*"&amp;CC4:CC795&amp;"*")&gt;0)*1))</f>
        <v>0</v>
      </c>
      <c r="AO202" s="6625" cm="1">
        <f t="array" ref="AO202">IF(W202="",0,SUMPRODUCT((CA4:CA795="Oeufs")*(CB4:CB795="ALERTE")*(COUNTIF(AI202,"*"&amp;CC4:CC795&amp;"*")&gt;0)*1))</f>
        <v>0</v>
      </c>
      <c r="AP202" s="6625" cm="1">
        <f t="array" ref="AP202">IF(W202="",0,SUMPRODUCT((CA4:CA795="Poissons")*(CB4:CB795="INFO")*(COUNTIF(AI202,"*"&amp;CC4:CC795&amp;"*")&gt;0)*1))</f>
        <v>0</v>
      </c>
      <c r="AQ202" s="6625" cm="1">
        <f t="array" ref="AQ202">IF(W202="",0,SUMPRODUCT((CA4:CA795="Poissons")*(CB4:CB795="EXCL")*(COUNTIF(AI202,"*"&amp;CC4:CC795&amp;"*")&gt;0)*1))</f>
        <v>0</v>
      </c>
      <c r="AR202" s="6625" cm="1">
        <f t="array" ref="AR202">IF(W202="",0,SUMPRODUCT((CA4:CA795="Poissons")*(CB4:CB795="ALERTE")*(COUNTIF(AI202,"*"&amp;CC4:CC795&amp;"*")&gt;0)*1))</f>
        <v>0</v>
      </c>
      <c r="AS202" s="6625" cm="1">
        <f t="array" ref="AS202">IF(W202="",0,SUMPRODUCT((CA4:CA795="Arachides")*(CB4:CB795="ALERTE")*(COUNTIF(AI202,"*"&amp;CC4:CC795&amp;"*")&gt;0)*1))</f>
        <v>0</v>
      </c>
      <c r="AT202" s="6625" cm="1">
        <f t="array" ref="AT202">IF(W202="",0,SUMPRODUCT((CA4:CA795="Soja")*(CB4:CB795="INFO")*(COUNTIF(AI202,"*"&amp;CC4:CC795&amp;"*")&gt;0)*1))</f>
        <v>0</v>
      </c>
      <c r="AU202" s="6625" cm="1">
        <f t="array" ref="AU202">IF(W202="",0,SUMPRODUCT((CA4:CA795="Soja")*(CB4:CB795="ALERTE")*(COUNTIF(AI202,"*"&amp;CC4:CC795&amp;"*")&gt;0)*1))</f>
        <v>0</v>
      </c>
      <c r="AV202" s="6625" cm="1">
        <f t="array" ref="AV202">IF(W202="",0,SUMPRODUCT((CA4:CA795="Lait")*(CB4:CB795="INFO")*(COUNTIF(AI202,"*"&amp;CC4:CC795&amp;"*")&gt;0)*1))</f>
        <v>0</v>
      </c>
      <c r="AW202" s="6625" cm="1">
        <f t="array" ref="AW202">IF(W202="",0,SUMPRODUCT((CA4:CA795="Lait")*(CB4:CB795="EXCL")*(COUNTIF(AI202,"*"&amp;CC4:CC795&amp;"*")&gt;0)*1))</f>
        <v>0</v>
      </c>
      <c r="AX202" s="6625" cm="1">
        <f t="array" ref="AX202">IF(W202="",0,SUMPRODUCT((CA4:CA795="Lait")*(CB4:CB795="ALERTE")*(COUNTIF(AI202,"*"&amp;CC4:CC795&amp;"*")&gt;0)*1))</f>
        <v>0</v>
      </c>
      <c r="AY202" s="6625" cm="1">
        <f t="array" ref="AY202">IF(W202="",0,SUMPRODUCT((CA4:CA795="Lait")*(CB4:CB795="SUSP")*(COUNTIF(AI202,"*"&amp;CC4:CC795&amp;"*")&gt;0)*1))</f>
        <v>0</v>
      </c>
      <c r="AZ202" s="6625" cm="1">
        <f t="array" ref="AZ202">IF(W202="",0,SUMPRODUCT((CA4:CA795="Fruits a coque")*(CB4:CB795="EXCL")*(COUNTIF(AI202,"*"&amp;CC4:CC795&amp;"*")&gt;0)*1))</f>
        <v>0</v>
      </c>
      <c r="BA202" s="6625" cm="1">
        <f t="array" ref="BA202">IF(W202="",0,SUMPRODUCT((CA4:CA795="Fruits a coque")*(CB4:CB795="ALERTE")*(COUNTIF(AI202,"*"&amp;CC4:CC795&amp;"*")&gt;0)*1))</f>
        <v>0</v>
      </c>
      <c r="BB202" s="6625" cm="1">
        <f t="array" ref="BB202">IF(W202="",0,SUMPRODUCT((CA4:CA795="Celeri")*(CB4:CB795="ALERTE")*(COUNTIF(AI202,"*"&amp;CC4:CC795&amp;"*")&gt;0)*1))</f>
        <v>0</v>
      </c>
      <c r="BC202" s="6625" cm="1">
        <f t="array" ref="BC202">IF(W202="",0,SUMPRODUCT((CA4:CA795="Moutarde")*(CB4:CB795="ALERTE")*(COUNTIF(AI202,"*"&amp;CC4:CC795&amp;"*")&gt;0)*1))</f>
        <v>0</v>
      </c>
      <c r="BD202" s="6625" cm="1">
        <f t="array" ref="BD202">IF(W202="",0,SUMPRODUCT((CA4:CA795="Sesame")*(CB4:CB795="ALERTE")*(COUNTIF(AI202,"*"&amp;CC4:CC795&amp;"*")&gt;0)*1))</f>
        <v>0</v>
      </c>
      <c r="BE202" s="6625" cm="1">
        <f t="array" ref="BE202">IF(W202="",0,SUMPRODUCT((CA4:CA795="Sulfites")*(CB4:CB795="ALERTE")*(COUNTIF(AI202,"*"&amp;CC4:CC795&amp;"*")&gt;0)*1))</f>
        <v>0</v>
      </c>
      <c r="BF202" s="6625" cm="1">
        <f t="array" ref="BF202">IF(W202="",0,SUMPRODUCT((CA4:CA795="Lupin")*(CB4:CB795="ALERTE")*(COUNTIF(AI202,"*"&amp;CC4:CC795&amp;"*")&gt;0)*1))</f>
        <v>0</v>
      </c>
      <c r="BG202" s="6625" cm="1">
        <f t="array" ref="BG202">IF(W202="",0,SUMPRODUCT((CA4:CA795="Mollusques")*(CB4:CB795="EXCL")*(COUNTIF(AI202,"*"&amp;CC4:CC795&amp;"*")&gt;0)*1))</f>
        <v>0</v>
      </c>
      <c r="BH202" s="6625" cm="1">
        <f t="array" ref="BH202">IF(W202="",0,SUMPRODUCT((CA4:CA795="Mollusques")*(CB4:CB795="ALERTE")*(COUNTIF(AI202,"*"&amp;CC4:CC795&amp;"*")&gt;0)*1))</f>
        <v>0</v>
      </c>
      <c r="BI202" s="6625" t="str">
        <f t="shared" si="112"/>
        <v/>
      </c>
      <c r="BJ202" s="6625" t="str">
        <f t="shared" si="113"/>
        <v/>
      </c>
      <c r="BK202" s="6625" t="str">
        <f t="shared" si="114"/>
        <v/>
      </c>
      <c r="BL202" s="6625" t="str">
        <f t="shared" si="115"/>
        <v/>
      </c>
      <c r="BM202" s="6625" t="str">
        <f t="shared" si="116"/>
        <v/>
      </c>
      <c r="BN202" s="6625" t="str">
        <f t="shared" si="117"/>
        <v/>
      </c>
      <c r="BO202" s="6625" t="str">
        <f t="shared" si="118"/>
        <v/>
      </c>
      <c r="BP202" s="6625" t="str">
        <f t="shared" si="119"/>
        <v/>
      </c>
      <c r="BQ202" s="6625" t="str">
        <f t="shared" si="120"/>
        <v/>
      </c>
      <c r="BR202" s="6625" t="str">
        <f t="shared" si="121"/>
        <v/>
      </c>
      <c r="BS202" s="6625" t="str">
        <f t="shared" si="122"/>
        <v/>
      </c>
      <c r="BT202" s="6625" t="str">
        <f t="shared" si="123"/>
        <v/>
      </c>
      <c r="BU202" s="6625" t="str">
        <f t="shared" si="124"/>
        <v/>
      </c>
      <c r="BV202" s="6625" t="str">
        <f t="shared" si="125"/>
        <v/>
      </c>
      <c r="BW202" s="6625" t="str">
        <f t="shared" si="126"/>
        <v/>
      </c>
      <c r="BX202" s="6625" t="str">
        <f t="shared" si="127"/>
        <v/>
      </c>
      <c r="CA202" s="3170" t="s">
        <v>16629</v>
      </c>
      <c r="CB202" s="7634" t="s">
        <v>16255</v>
      </c>
      <c r="CC202" s="3170" t="s">
        <v>16731</v>
      </c>
      <c r="CD202" s="3170" t="s">
        <v>16732</v>
      </c>
    </row>
    <row r="203" spans="2:82" ht="21" customHeight="1">
      <c r="B203" s="7661" t="str">
        <f t="shared" si="88"/>
        <v>Si vous récupérez du texte sur internet, collez-le d’abord dans la colonne 1️⃣ 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C203" s="7661" t="str">
        <f t="shared" si="89"/>
        <v>Si vous récupérez du texte sur internet collez le d’abord dans la colonne 1️⃣ pour le “nettoyer” cela supprime les espaces insécables tabulations invisibles et autres “pollutions” ◄ 2️⃣ Saisissez la largeur du document dans lequel vous collerez ensuite le texte ◄ 3️⃣ saisissez un nombre de caractères par lignes ◄ 4️⃣ Si vous ne voulez pas de ponctuation saisissez un X dans la cellule Ensuite dans la colonne B copiez le texte nettoyé puis dans votre document faites Collage spécial &gt; 1 2 3 Valeurs pour ne coller que le texte sans formules</v>
      </c>
      <c r="D203" s="7661" t="str">
        <f t="shared" si="90"/>
        <v>Si vous récupérez du texte sur internet, collez-le d’abord dans la colonne 1️⃣ 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E203" s="7661">
        <f>IF(H202&lt;&gt;"",E202,IF(E202="","",IFERROR(MATCH(TRUE(),INDEX(INDEX($K:$K,E202+1):$K$203&lt;&gt;"",0),0)+E202,"")))</f>
        <v>378</v>
      </c>
      <c r="F203" s="7661">
        <f t="shared" si="128"/>
        <v>0</v>
      </c>
      <c r="G203" s="7661" t="str">
        <f t="shared" si="91"/>
        <v>0</v>
      </c>
      <c r="H203" s="7672" t="str">
        <f t="shared" si="92"/>
        <v/>
      </c>
      <c r="I203" s="7683" t="str">
        <f t="shared" si="93"/>
        <v/>
      </c>
      <c r="J203" s="7673">
        <f>IF(K203="","",COUNTIF($K$18:K203,"&lt;&gt;"))</f>
        <v>4</v>
      </c>
      <c r="K203" s="7674" t="s">
        <v>16733</v>
      </c>
      <c r="L203" s="7673">
        <f t="shared" si="94"/>
        <v>558</v>
      </c>
      <c r="M203" s="7630">
        <f t="shared" si="95"/>
        <v>1</v>
      </c>
      <c r="N203" s="7675">
        <f t="shared" si="96"/>
        <v>186</v>
      </c>
      <c r="O203" s="7676" t="str">
        <f t="shared" si="97"/>
        <v>0</v>
      </c>
      <c r="P203" s="7675">
        <f t="shared" si="98"/>
        <v>1</v>
      </c>
      <c r="Q203" s="7675">
        <f t="shared" si="99"/>
        <v>1</v>
      </c>
      <c r="CA203" s="3170" t="s">
        <v>16629</v>
      </c>
      <c r="CB203" s="7634" t="s">
        <v>16255</v>
      </c>
      <c r="CC203" s="3170" t="s">
        <v>16734</v>
      </c>
      <c r="CD203" s="3170" t="s">
        <v>16735</v>
      </c>
    </row>
    <row r="204" spans="2:82">
      <c r="B204" s="7685"/>
      <c r="C204" s="7685"/>
      <c r="D204" s="7685"/>
      <c r="E204" s="7685">
        <f>IF(H203&lt;&gt;"",E203,IF(E203="","",IFERROR(MATCH(TRUE(),INDEX(INDEX($K:$K,E203+1):$K$203&lt;&gt;"",0),0)+E203,"")))</f>
        <v>379</v>
      </c>
      <c r="F204" s="7686">
        <f t="shared" si="128"/>
        <v>0</v>
      </c>
      <c r="G204" s="7686" t="str">
        <f t="shared" si="91"/>
        <v>0</v>
      </c>
      <c r="H204" s="7687" t="str">
        <f t="shared" si="92"/>
        <v/>
      </c>
      <c r="I204" s="7685" t="str">
        <f t="shared" si="93"/>
        <v/>
      </c>
      <c r="M204" s="7622">
        <f t="shared" si="95"/>
        <v>1</v>
      </c>
      <c r="N204" s="7688">
        <f t="shared" si="96"/>
        <v>187</v>
      </c>
      <c r="O204" s="7661" t="str">
        <f t="shared" si="97"/>
        <v>0</v>
      </c>
      <c r="P204" s="7688">
        <f t="shared" si="98"/>
        <v>1</v>
      </c>
      <c r="Q204" s="7688">
        <f t="shared" si="99"/>
        <v>1</v>
      </c>
      <c r="CA204" s="3170" t="s">
        <v>16629</v>
      </c>
      <c r="CB204" s="7634" t="s">
        <v>16255</v>
      </c>
      <c r="CC204" s="3170" t="s">
        <v>16736</v>
      </c>
      <c r="CD204" s="3170" t="s">
        <v>16737</v>
      </c>
    </row>
    <row r="205" spans="2:82">
      <c r="B205" s="7685"/>
      <c r="C205" s="7685"/>
      <c r="D205" s="7685"/>
      <c r="E205" s="7685">
        <f>IF(H204&lt;&gt;"",E204,IF(E204="","",IFERROR(MATCH(TRUE(),INDEX(INDEX($K:$K,E204+1):$K$203&lt;&gt;"",0),0)+E204,"")))</f>
        <v>380</v>
      </c>
      <c r="F205" s="7686">
        <f t="shared" si="128"/>
        <v>0</v>
      </c>
      <c r="G205" s="7686" t="str">
        <f t="shared" si="91"/>
        <v>0</v>
      </c>
      <c r="H205" s="7687" t="str">
        <f t="shared" si="92"/>
        <v/>
      </c>
      <c r="I205" s="7685" t="str">
        <f t="shared" si="93"/>
        <v/>
      </c>
      <c r="M205" s="7622">
        <f t="shared" si="95"/>
        <v>1</v>
      </c>
      <c r="N205" s="7688">
        <f t="shared" si="96"/>
        <v>188</v>
      </c>
      <c r="O205" s="7661" t="str">
        <f t="shared" si="97"/>
        <v>0</v>
      </c>
      <c r="P205" s="7688">
        <f t="shared" si="98"/>
        <v>1</v>
      </c>
      <c r="Q205" s="7688">
        <f t="shared" si="99"/>
        <v>1</v>
      </c>
      <c r="CA205" s="3170" t="s">
        <v>16629</v>
      </c>
      <c r="CB205" s="7634" t="s">
        <v>16255</v>
      </c>
      <c r="CC205" s="3170" t="s">
        <v>16738</v>
      </c>
      <c r="CD205" s="3170" t="s">
        <v>16739</v>
      </c>
    </row>
    <row r="206" spans="2:82">
      <c r="B206" s="7685"/>
      <c r="C206" s="7685"/>
      <c r="D206" s="7685"/>
      <c r="E206" s="7685">
        <f>IF(H205&lt;&gt;"",E205,IF(E205="","",IFERROR(MATCH(TRUE(),INDEX(INDEX($K:$K,E205+1):$K$203&lt;&gt;"",0),0)+E205,"")))</f>
        <v>381</v>
      </c>
      <c r="F206" s="7686">
        <f t="shared" si="128"/>
        <v>0</v>
      </c>
      <c r="G206" s="7686" t="str">
        <f t="shared" si="91"/>
        <v>0</v>
      </c>
      <c r="H206" s="7687" t="str">
        <f t="shared" si="92"/>
        <v/>
      </c>
      <c r="I206" s="7685" t="str">
        <f t="shared" si="93"/>
        <v/>
      </c>
      <c r="M206" s="7622">
        <f t="shared" si="95"/>
        <v>1</v>
      </c>
      <c r="N206" s="7688">
        <f t="shared" si="96"/>
        <v>189</v>
      </c>
      <c r="O206" s="7661" t="str">
        <f t="shared" si="97"/>
        <v>0</v>
      </c>
      <c r="P206" s="7688">
        <f t="shared" si="98"/>
        <v>1</v>
      </c>
      <c r="Q206" s="7688">
        <f t="shared" si="99"/>
        <v>1</v>
      </c>
      <c r="CA206" s="3170" t="s">
        <v>16629</v>
      </c>
      <c r="CB206" s="7634" t="s">
        <v>16255</v>
      </c>
      <c r="CC206" s="3170" t="s">
        <v>16740</v>
      </c>
      <c r="CD206" s="3170" t="s">
        <v>16741</v>
      </c>
    </row>
    <row r="207" spans="2:82">
      <c r="B207" s="7685"/>
      <c r="C207" s="7685"/>
      <c r="D207" s="7685"/>
      <c r="E207" s="7685">
        <f>IF(H206&lt;&gt;"",E206,IF(E206="","",IFERROR(MATCH(TRUE(),INDEX(INDEX($K:$K,E206+1):$K$203&lt;&gt;"",0),0)+E206,"")))</f>
        <v>382</v>
      </c>
      <c r="F207" s="7686">
        <f t="shared" si="128"/>
        <v>0</v>
      </c>
      <c r="G207" s="7686" t="str">
        <f t="shared" si="91"/>
        <v>0</v>
      </c>
      <c r="H207" s="7687" t="str">
        <f t="shared" si="92"/>
        <v/>
      </c>
      <c r="I207" s="7685" t="str">
        <f t="shared" si="93"/>
        <v/>
      </c>
      <c r="M207" s="7622">
        <f t="shared" si="95"/>
        <v>1</v>
      </c>
      <c r="N207" s="7688">
        <f t="shared" si="96"/>
        <v>190</v>
      </c>
      <c r="O207" s="7661" t="str">
        <f t="shared" si="97"/>
        <v>0</v>
      </c>
      <c r="P207" s="7688">
        <f t="shared" si="98"/>
        <v>1</v>
      </c>
      <c r="Q207" s="7688">
        <f t="shared" si="99"/>
        <v>1</v>
      </c>
      <c r="CA207" s="3170" t="s">
        <v>16629</v>
      </c>
      <c r="CB207" s="7634" t="s">
        <v>16255</v>
      </c>
      <c r="CC207" s="3170" t="s">
        <v>16742</v>
      </c>
      <c r="CD207" s="3170" t="s">
        <v>16743</v>
      </c>
    </row>
    <row r="208" spans="2:82">
      <c r="B208" s="7685"/>
      <c r="C208" s="7685"/>
      <c r="D208" s="7685"/>
      <c r="E208" s="7685">
        <f>IF(H207&lt;&gt;"",E207,IF(E207="","",IFERROR(MATCH(TRUE(),INDEX(INDEX($K:$K,E207+1):$K$203&lt;&gt;"",0),0)+E207,"")))</f>
        <v>383</v>
      </c>
      <c r="F208" s="7686">
        <f t="shared" si="128"/>
        <v>0</v>
      </c>
      <c r="G208" s="7686" t="str">
        <f t="shared" si="91"/>
        <v>0</v>
      </c>
      <c r="H208" s="7687" t="str">
        <f t="shared" si="92"/>
        <v/>
      </c>
      <c r="I208" s="7685" t="str">
        <f t="shared" si="93"/>
        <v/>
      </c>
      <c r="M208" s="7622">
        <f t="shared" si="95"/>
        <v>1</v>
      </c>
      <c r="N208" s="7688">
        <f t="shared" si="96"/>
        <v>191</v>
      </c>
      <c r="O208" s="7661" t="str">
        <f t="shared" si="97"/>
        <v>0</v>
      </c>
      <c r="P208" s="7688">
        <f t="shared" si="98"/>
        <v>1</v>
      </c>
      <c r="Q208" s="7688">
        <f t="shared" si="99"/>
        <v>1</v>
      </c>
      <c r="CA208" s="3170" t="s">
        <v>16629</v>
      </c>
      <c r="CB208" s="7634" t="s">
        <v>16255</v>
      </c>
      <c r="CC208" s="3170" t="s">
        <v>16744</v>
      </c>
      <c r="CD208" s="3170" t="s">
        <v>16745</v>
      </c>
    </row>
    <row r="209" spans="2:82">
      <c r="B209" s="7685"/>
      <c r="C209" s="7685"/>
      <c r="D209" s="7685"/>
      <c r="E209" s="7685">
        <f>IF(H208&lt;&gt;"",E208,IF(E208="","",IFERROR(MATCH(TRUE(),INDEX(INDEX($K:$K,E208+1):$K$203&lt;&gt;"",0),0)+E208,"")))</f>
        <v>384</v>
      </c>
      <c r="F209" s="7686">
        <f t="shared" si="128"/>
        <v>0</v>
      </c>
      <c r="G209" s="7686" t="str">
        <f t="shared" si="91"/>
        <v>0</v>
      </c>
      <c r="H209" s="7687" t="str">
        <f t="shared" si="92"/>
        <v/>
      </c>
      <c r="I209" s="7685" t="str">
        <f t="shared" si="93"/>
        <v/>
      </c>
      <c r="M209" s="7622">
        <f t="shared" si="95"/>
        <v>1</v>
      </c>
      <c r="N209" s="7688">
        <f t="shared" si="96"/>
        <v>192</v>
      </c>
      <c r="O209" s="7661" t="str">
        <f t="shared" si="97"/>
        <v>0</v>
      </c>
      <c r="P209" s="7688">
        <f t="shared" si="98"/>
        <v>1</v>
      </c>
      <c r="Q209" s="7688">
        <f t="shared" si="99"/>
        <v>1</v>
      </c>
      <c r="CA209" s="3170" t="s">
        <v>16629</v>
      </c>
      <c r="CB209" s="7634" t="s">
        <v>16255</v>
      </c>
      <c r="CC209" s="3170" t="s">
        <v>16746</v>
      </c>
      <c r="CD209" s="3170" t="s">
        <v>16747</v>
      </c>
    </row>
    <row r="210" spans="2:82">
      <c r="B210" s="7685"/>
      <c r="C210" s="7685"/>
      <c r="D210" s="7685"/>
      <c r="E210" s="7685">
        <f>IF(H209&lt;&gt;"",E209,IF(E209="","",IFERROR(MATCH(TRUE(),INDEX(INDEX($K:$K,E209+1):$K$203&lt;&gt;"",0),0)+E209,"")))</f>
        <v>385</v>
      </c>
      <c r="F210" s="7686">
        <f t="shared" si="128"/>
        <v>0</v>
      </c>
      <c r="G210" s="7686" t="str">
        <f t="shared" ref="G210:G273" si="132">IF(OR(F210="",M210=""),"",LEFT(F210,M210))</f>
        <v>0</v>
      </c>
      <c r="H210" s="7687" t="str">
        <f t="shared" ref="H210:H273" si="133">IF(OR(F210="",M210=""),"",TRIM(MID(F210,M210+1,99999)))</f>
        <v/>
      </c>
      <c r="I210" s="7685" t="str">
        <f t="shared" ref="I210:I273" si="134">IF(AND(F210&lt;&gt;"",$N$10&gt;0,M210&gt;$N$10),"Mot &gt; limite","")</f>
        <v/>
      </c>
      <c r="M210" s="7622">
        <f t="shared" ref="M210:M273" si="135">IF(OR(F210="",$N$10="",$N$10&lt;=0),"",IF(LEN(F210)&lt;=$N$10,LEN(F210),IFERROR(FIND("♦",SUBSTITUTE(LEFT(F210,$N$10)," ","♦",LEN(LEFT(F210,$N$10))-LEN(SUBSTITUTE(LEFT(F210,$N$10)," ","")))),FIND(" ",F210&amp;" ",$N$10+1)-1)))</f>
        <v>1</v>
      </c>
      <c r="N210" s="7688">
        <f t="shared" ref="N210:N273" si="136">IF(O210="","",ROW()-17)</f>
        <v>193</v>
      </c>
      <c r="O210" s="7661" t="str">
        <f t="shared" ref="O210:O273" si="137">G210</f>
        <v>0</v>
      </c>
      <c r="P210" s="7688">
        <f t="shared" ref="P210:P273" si="138">IF(O210="","",LEN(TRIM(O210))-LEN(SUBSTITUTE(TRIM(O210)," ",""))+1)</f>
        <v>1</v>
      </c>
      <c r="Q210" s="7688">
        <f t="shared" ref="Q210:Q273" si="139">IF(O210="","",LEN(O210))</f>
        <v>1</v>
      </c>
      <c r="CA210" s="3170" t="s">
        <v>16629</v>
      </c>
      <c r="CB210" s="7634" t="s">
        <v>16255</v>
      </c>
      <c r="CC210" s="3170" t="s">
        <v>16748</v>
      </c>
      <c r="CD210" s="3170" t="s">
        <v>16749</v>
      </c>
    </row>
    <row r="211" spans="2:82">
      <c r="B211" s="7685"/>
      <c r="C211" s="7685"/>
      <c r="D211" s="7685"/>
      <c r="E211" s="7685">
        <f>IF(H210&lt;&gt;"",E210,IF(E210="","",IFERROR(MATCH(TRUE(),INDEX(INDEX($K:$K,E210+1):$K$203&lt;&gt;"",0),0)+E210,"")))</f>
        <v>386</v>
      </c>
      <c r="F211" s="7686">
        <f t="shared" ref="F211:F274" si="140">IF(E211="","",IF(H210&lt;&gt;"",H210,INDEX($D:$D,E211)))</f>
        <v>0</v>
      </c>
      <c r="G211" s="7686" t="str">
        <f t="shared" si="132"/>
        <v>0</v>
      </c>
      <c r="H211" s="7687" t="str">
        <f t="shared" si="133"/>
        <v/>
      </c>
      <c r="I211" s="7685" t="str">
        <f t="shared" si="134"/>
        <v/>
      </c>
      <c r="M211" s="7622">
        <f t="shared" si="135"/>
        <v>1</v>
      </c>
      <c r="N211" s="7688">
        <f t="shared" si="136"/>
        <v>194</v>
      </c>
      <c r="O211" s="7661" t="str">
        <f t="shared" si="137"/>
        <v>0</v>
      </c>
      <c r="P211" s="7688">
        <f t="shared" si="138"/>
        <v>1</v>
      </c>
      <c r="Q211" s="7688">
        <f t="shared" si="139"/>
        <v>1</v>
      </c>
      <c r="CA211" s="3170" t="s">
        <v>16629</v>
      </c>
      <c r="CB211" s="7634" t="s">
        <v>16255</v>
      </c>
      <c r="CC211" s="3170" t="s">
        <v>16750</v>
      </c>
      <c r="CD211" s="3170" t="s">
        <v>16751</v>
      </c>
    </row>
    <row r="212" spans="2:82">
      <c r="B212" s="7685"/>
      <c r="C212" s="7685"/>
      <c r="D212" s="7685"/>
      <c r="E212" s="7685">
        <f>IF(H211&lt;&gt;"",E211,IF(E211="","",IFERROR(MATCH(TRUE(),INDEX(INDEX($K:$K,E211+1):$K$203&lt;&gt;"",0),0)+E211,"")))</f>
        <v>387</v>
      </c>
      <c r="F212" s="7686">
        <f t="shared" si="140"/>
        <v>0</v>
      </c>
      <c r="G212" s="7686" t="str">
        <f t="shared" si="132"/>
        <v>0</v>
      </c>
      <c r="H212" s="7687" t="str">
        <f t="shared" si="133"/>
        <v/>
      </c>
      <c r="I212" s="7685" t="str">
        <f t="shared" si="134"/>
        <v/>
      </c>
      <c r="M212" s="7622">
        <f t="shared" si="135"/>
        <v>1</v>
      </c>
      <c r="N212" s="7688">
        <f t="shared" si="136"/>
        <v>195</v>
      </c>
      <c r="O212" s="7661" t="str">
        <f t="shared" si="137"/>
        <v>0</v>
      </c>
      <c r="P212" s="7688">
        <f t="shared" si="138"/>
        <v>1</v>
      </c>
      <c r="Q212" s="7688">
        <f t="shared" si="139"/>
        <v>1</v>
      </c>
      <c r="CA212" s="3170" t="s">
        <v>16629</v>
      </c>
      <c r="CB212" s="7634" t="s">
        <v>16255</v>
      </c>
      <c r="CC212" s="3170" t="s">
        <v>16752</v>
      </c>
      <c r="CD212" s="3170" t="s">
        <v>16753</v>
      </c>
    </row>
    <row r="213" spans="2:82">
      <c r="B213" s="7685"/>
      <c r="C213" s="7685"/>
      <c r="D213" s="7685"/>
      <c r="E213" s="7685">
        <f>IF(H212&lt;&gt;"",E212,IF(E212="","",IFERROR(MATCH(TRUE(),INDEX(INDEX($K:$K,E212+1):$K$203&lt;&gt;"",0),0)+E212,"")))</f>
        <v>388</v>
      </c>
      <c r="F213" s="7686">
        <f t="shared" si="140"/>
        <v>0</v>
      </c>
      <c r="G213" s="7686" t="str">
        <f t="shared" si="132"/>
        <v>0</v>
      </c>
      <c r="H213" s="7687" t="str">
        <f t="shared" si="133"/>
        <v/>
      </c>
      <c r="I213" s="7685" t="str">
        <f t="shared" si="134"/>
        <v/>
      </c>
      <c r="M213" s="7622">
        <f t="shared" si="135"/>
        <v>1</v>
      </c>
      <c r="N213" s="7688">
        <f t="shared" si="136"/>
        <v>196</v>
      </c>
      <c r="O213" s="7661" t="str">
        <f t="shared" si="137"/>
        <v>0</v>
      </c>
      <c r="P213" s="7688">
        <f t="shared" si="138"/>
        <v>1</v>
      </c>
      <c r="Q213" s="7688">
        <f t="shared" si="139"/>
        <v>1</v>
      </c>
      <c r="CA213" s="3170" t="s">
        <v>16629</v>
      </c>
      <c r="CB213" s="7634" t="s">
        <v>16255</v>
      </c>
      <c r="CC213" s="3170" t="s">
        <v>16754</v>
      </c>
      <c r="CD213" s="3170" t="s">
        <v>16755</v>
      </c>
    </row>
    <row r="214" spans="2:82">
      <c r="B214" s="7685"/>
      <c r="C214" s="7685"/>
      <c r="D214" s="7685"/>
      <c r="E214" s="7685">
        <f>IF(H213&lt;&gt;"",E213,IF(E213="","",IFERROR(MATCH(TRUE(),INDEX(INDEX($K:$K,E213+1):$K$203&lt;&gt;"",0),0)+E213,"")))</f>
        <v>389</v>
      </c>
      <c r="F214" s="7686">
        <f t="shared" si="140"/>
        <v>0</v>
      </c>
      <c r="G214" s="7686" t="str">
        <f t="shared" si="132"/>
        <v>0</v>
      </c>
      <c r="H214" s="7687" t="str">
        <f t="shared" si="133"/>
        <v/>
      </c>
      <c r="I214" s="7685" t="str">
        <f t="shared" si="134"/>
        <v/>
      </c>
      <c r="M214" s="7622">
        <f t="shared" si="135"/>
        <v>1</v>
      </c>
      <c r="N214" s="7688">
        <f t="shared" si="136"/>
        <v>197</v>
      </c>
      <c r="O214" s="7661" t="str">
        <f t="shared" si="137"/>
        <v>0</v>
      </c>
      <c r="P214" s="7688">
        <f t="shared" si="138"/>
        <v>1</v>
      </c>
      <c r="Q214" s="7688">
        <f t="shared" si="139"/>
        <v>1</v>
      </c>
      <c r="CA214" s="3170" t="s">
        <v>16629</v>
      </c>
      <c r="CB214" s="7634" t="s">
        <v>16255</v>
      </c>
      <c r="CC214" s="3170" t="s">
        <v>16756</v>
      </c>
      <c r="CD214" s="3170" t="s">
        <v>16757</v>
      </c>
    </row>
    <row r="215" spans="2:82">
      <c r="B215" s="7685"/>
      <c r="C215" s="7685"/>
      <c r="D215" s="7685"/>
      <c r="E215" s="7685">
        <f>IF(H214&lt;&gt;"",E214,IF(E214="","",IFERROR(MATCH(TRUE(),INDEX(INDEX($K:$K,E214+1):$K$203&lt;&gt;"",0),0)+E214,"")))</f>
        <v>390</v>
      </c>
      <c r="F215" s="7686">
        <f t="shared" si="140"/>
        <v>0</v>
      </c>
      <c r="G215" s="7686" t="str">
        <f t="shared" si="132"/>
        <v>0</v>
      </c>
      <c r="H215" s="7687" t="str">
        <f t="shared" si="133"/>
        <v/>
      </c>
      <c r="I215" s="7685" t="str">
        <f t="shared" si="134"/>
        <v/>
      </c>
      <c r="M215" s="7622">
        <f t="shared" si="135"/>
        <v>1</v>
      </c>
      <c r="N215" s="7688">
        <f t="shared" si="136"/>
        <v>198</v>
      </c>
      <c r="O215" s="7661" t="str">
        <f t="shared" si="137"/>
        <v>0</v>
      </c>
      <c r="P215" s="7688">
        <f t="shared" si="138"/>
        <v>1</v>
      </c>
      <c r="Q215" s="7688">
        <f t="shared" si="139"/>
        <v>1</v>
      </c>
      <c r="CA215" s="3170" t="s">
        <v>16629</v>
      </c>
      <c r="CB215" s="7634" t="s">
        <v>16255</v>
      </c>
      <c r="CC215" s="3170" t="s">
        <v>16758</v>
      </c>
      <c r="CD215" s="3170" t="s">
        <v>16759</v>
      </c>
    </row>
    <row r="216" spans="2:82">
      <c r="B216" s="7685"/>
      <c r="C216" s="7685"/>
      <c r="D216" s="7685"/>
      <c r="E216" s="7685">
        <f>IF(H215&lt;&gt;"",E215,IF(E215="","",IFERROR(MATCH(TRUE(),INDEX(INDEX($K:$K,E215+1):$K$203&lt;&gt;"",0),0)+E215,"")))</f>
        <v>391</v>
      </c>
      <c r="F216" s="7686">
        <f t="shared" si="140"/>
        <v>0</v>
      </c>
      <c r="G216" s="7686" t="str">
        <f t="shared" si="132"/>
        <v>0</v>
      </c>
      <c r="H216" s="7687" t="str">
        <f t="shared" si="133"/>
        <v/>
      </c>
      <c r="I216" s="7685" t="str">
        <f t="shared" si="134"/>
        <v/>
      </c>
      <c r="M216" s="7622">
        <f t="shared" si="135"/>
        <v>1</v>
      </c>
      <c r="N216" s="7688">
        <f t="shared" si="136"/>
        <v>199</v>
      </c>
      <c r="O216" s="7661" t="str">
        <f t="shared" si="137"/>
        <v>0</v>
      </c>
      <c r="P216" s="7688">
        <f t="shared" si="138"/>
        <v>1</v>
      </c>
      <c r="Q216" s="7688">
        <f t="shared" si="139"/>
        <v>1</v>
      </c>
      <c r="CA216" s="3170" t="s">
        <v>16629</v>
      </c>
      <c r="CB216" s="7634" t="s">
        <v>16255</v>
      </c>
      <c r="CC216" s="3170" t="s">
        <v>16760</v>
      </c>
      <c r="CD216" s="3170" t="s">
        <v>16761</v>
      </c>
    </row>
    <row r="217" spans="2:82">
      <c r="B217" s="7685"/>
      <c r="C217" s="7685"/>
      <c r="D217" s="7685"/>
      <c r="E217" s="7685">
        <f>IF(H216&lt;&gt;"",E216,IF(E216="","",IFERROR(MATCH(TRUE(),INDEX(INDEX($K:$K,E216+1):$K$203&lt;&gt;"",0),0)+E216,"")))</f>
        <v>392</v>
      </c>
      <c r="F217" s="7686">
        <f t="shared" si="140"/>
        <v>0</v>
      </c>
      <c r="G217" s="7686" t="str">
        <f t="shared" si="132"/>
        <v>0</v>
      </c>
      <c r="H217" s="7687" t="str">
        <f t="shared" si="133"/>
        <v/>
      </c>
      <c r="I217" s="7685" t="str">
        <f t="shared" si="134"/>
        <v/>
      </c>
      <c r="M217" s="7622">
        <f t="shared" si="135"/>
        <v>1</v>
      </c>
      <c r="N217" s="7688">
        <f t="shared" si="136"/>
        <v>200</v>
      </c>
      <c r="O217" s="7661" t="str">
        <f t="shared" si="137"/>
        <v>0</v>
      </c>
      <c r="P217" s="7688">
        <f t="shared" si="138"/>
        <v>1</v>
      </c>
      <c r="Q217" s="7688">
        <f t="shared" si="139"/>
        <v>1</v>
      </c>
      <c r="CA217" s="3170" t="s">
        <v>16629</v>
      </c>
      <c r="CB217" s="7634" t="s">
        <v>16255</v>
      </c>
      <c r="CC217" s="3170" t="s">
        <v>16762</v>
      </c>
      <c r="CD217" s="3170" t="s">
        <v>16763</v>
      </c>
    </row>
    <row r="218" spans="2:82">
      <c r="B218" s="7685"/>
      <c r="C218" s="7685"/>
      <c r="D218" s="7685"/>
      <c r="E218" s="7685">
        <f>IF(H217&lt;&gt;"",E217,IF(E217="","",IFERROR(MATCH(TRUE(),INDEX(INDEX($K:$K,E217+1):$K$203&lt;&gt;"",0),0)+E217,"")))</f>
        <v>393</v>
      </c>
      <c r="F218" s="7686">
        <f t="shared" si="140"/>
        <v>0</v>
      </c>
      <c r="G218" s="7686" t="str">
        <f t="shared" si="132"/>
        <v>0</v>
      </c>
      <c r="H218" s="7687" t="str">
        <f t="shared" si="133"/>
        <v/>
      </c>
      <c r="I218" s="7685" t="str">
        <f t="shared" si="134"/>
        <v/>
      </c>
      <c r="M218" s="7622">
        <f t="shared" si="135"/>
        <v>1</v>
      </c>
      <c r="N218" s="7688">
        <f t="shared" si="136"/>
        <v>201</v>
      </c>
      <c r="O218" s="7661" t="str">
        <f t="shared" si="137"/>
        <v>0</v>
      </c>
      <c r="P218" s="7688">
        <f t="shared" si="138"/>
        <v>1</v>
      </c>
      <c r="Q218" s="7688">
        <f t="shared" si="139"/>
        <v>1</v>
      </c>
      <c r="CA218" s="3170" t="s">
        <v>16629</v>
      </c>
      <c r="CB218" s="7634" t="s">
        <v>16255</v>
      </c>
      <c r="CC218" s="3170" t="s">
        <v>16764</v>
      </c>
      <c r="CD218" s="3170" t="s">
        <v>16765</v>
      </c>
    </row>
    <row r="219" spans="2:82">
      <c r="B219" s="7685"/>
      <c r="C219" s="7685"/>
      <c r="D219" s="7685"/>
      <c r="E219" s="7685">
        <f>IF(H218&lt;&gt;"",E218,IF(E218="","",IFERROR(MATCH(TRUE(),INDEX(INDEX($K:$K,E218+1):$K$203&lt;&gt;"",0),0)+E218,"")))</f>
        <v>394</v>
      </c>
      <c r="F219" s="7686">
        <f t="shared" si="140"/>
        <v>0</v>
      </c>
      <c r="G219" s="7686" t="str">
        <f t="shared" si="132"/>
        <v>0</v>
      </c>
      <c r="H219" s="7687" t="str">
        <f t="shared" si="133"/>
        <v/>
      </c>
      <c r="I219" s="7685" t="str">
        <f t="shared" si="134"/>
        <v/>
      </c>
      <c r="M219" s="7622">
        <f t="shared" si="135"/>
        <v>1</v>
      </c>
      <c r="N219" s="7688">
        <f t="shared" si="136"/>
        <v>202</v>
      </c>
      <c r="O219" s="7661" t="str">
        <f t="shared" si="137"/>
        <v>0</v>
      </c>
      <c r="P219" s="7688">
        <f t="shared" si="138"/>
        <v>1</v>
      </c>
      <c r="Q219" s="7688">
        <f t="shared" si="139"/>
        <v>1</v>
      </c>
      <c r="CA219" s="3170" t="s">
        <v>16629</v>
      </c>
      <c r="CB219" s="7634" t="s">
        <v>16255</v>
      </c>
      <c r="CC219" s="3170" t="s">
        <v>12283</v>
      </c>
      <c r="CD219" s="3170" t="s">
        <v>16766</v>
      </c>
    </row>
    <row r="220" spans="2:82">
      <c r="B220" s="7685"/>
      <c r="C220" s="7685"/>
      <c r="D220" s="7685"/>
      <c r="E220" s="7685">
        <f>IF(H219&lt;&gt;"",E219,IF(E219="","",IFERROR(MATCH(TRUE(),INDEX(INDEX($K:$K,E219+1):$K$203&lt;&gt;"",0),0)+E219,"")))</f>
        <v>395</v>
      </c>
      <c r="F220" s="7686">
        <f t="shared" si="140"/>
        <v>0</v>
      </c>
      <c r="G220" s="7686" t="str">
        <f t="shared" si="132"/>
        <v>0</v>
      </c>
      <c r="H220" s="7687" t="str">
        <f t="shared" si="133"/>
        <v/>
      </c>
      <c r="I220" s="7685" t="str">
        <f t="shared" si="134"/>
        <v/>
      </c>
      <c r="M220" s="7622">
        <f t="shared" si="135"/>
        <v>1</v>
      </c>
      <c r="N220" s="7688">
        <f t="shared" si="136"/>
        <v>203</v>
      </c>
      <c r="O220" s="7661" t="str">
        <f t="shared" si="137"/>
        <v>0</v>
      </c>
      <c r="P220" s="7688">
        <f t="shared" si="138"/>
        <v>1</v>
      </c>
      <c r="Q220" s="7688">
        <f t="shared" si="139"/>
        <v>1</v>
      </c>
      <c r="CA220" s="3170" t="s">
        <v>16629</v>
      </c>
      <c r="CB220" s="7634" t="s">
        <v>16255</v>
      </c>
      <c r="CC220" s="3170" t="s">
        <v>16767</v>
      </c>
      <c r="CD220" s="3170" t="s">
        <v>16768</v>
      </c>
    </row>
    <row r="221" spans="2:82">
      <c r="B221" s="7685"/>
      <c r="C221" s="7685"/>
      <c r="D221" s="7685"/>
      <c r="E221" s="7685">
        <f>IF(H220&lt;&gt;"",E220,IF(E220="","",IFERROR(MATCH(TRUE(),INDEX(INDEX($K:$K,E220+1):$K$203&lt;&gt;"",0),0)+E220,"")))</f>
        <v>396</v>
      </c>
      <c r="F221" s="7686">
        <f t="shared" si="140"/>
        <v>0</v>
      </c>
      <c r="G221" s="7686" t="str">
        <f t="shared" si="132"/>
        <v>0</v>
      </c>
      <c r="H221" s="7687" t="str">
        <f t="shared" si="133"/>
        <v/>
      </c>
      <c r="I221" s="7685" t="str">
        <f t="shared" si="134"/>
        <v/>
      </c>
      <c r="M221" s="7622">
        <f t="shared" si="135"/>
        <v>1</v>
      </c>
      <c r="N221" s="7688">
        <f t="shared" si="136"/>
        <v>204</v>
      </c>
      <c r="O221" s="7661" t="str">
        <f t="shared" si="137"/>
        <v>0</v>
      </c>
      <c r="P221" s="7688">
        <f t="shared" si="138"/>
        <v>1</v>
      </c>
      <c r="Q221" s="7688">
        <f t="shared" si="139"/>
        <v>1</v>
      </c>
      <c r="CA221" s="3170" t="s">
        <v>966</v>
      </c>
      <c r="CB221" s="7634" t="s">
        <v>16255</v>
      </c>
      <c r="CC221" s="3170" t="s">
        <v>16769</v>
      </c>
      <c r="CD221" s="3170" t="s">
        <v>16770</v>
      </c>
    </row>
    <row r="222" spans="2:82">
      <c r="B222" s="7685"/>
      <c r="C222" s="7685"/>
      <c r="D222" s="7685"/>
      <c r="E222" s="7685">
        <f>IF(H221&lt;&gt;"",E221,IF(E221="","",IFERROR(MATCH(TRUE(),INDEX(INDEX($K:$K,E221+1):$K$203&lt;&gt;"",0),0)+E221,"")))</f>
        <v>397</v>
      </c>
      <c r="F222" s="7686">
        <f t="shared" si="140"/>
        <v>0</v>
      </c>
      <c r="G222" s="7686" t="str">
        <f t="shared" si="132"/>
        <v>0</v>
      </c>
      <c r="H222" s="7687" t="str">
        <f t="shared" si="133"/>
        <v/>
      </c>
      <c r="I222" s="7685" t="str">
        <f t="shared" si="134"/>
        <v/>
      </c>
      <c r="M222" s="7622">
        <f t="shared" si="135"/>
        <v>1</v>
      </c>
      <c r="N222" s="7688">
        <f t="shared" si="136"/>
        <v>205</v>
      </c>
      <c r="O222" s="7661" t="str">
        <f t="shared" si="137"/>
        <v>0</v>
      </c>
      <c r="P222" s="7688">
        <f t="shared" si="138"/>
        <v>1</v>
      </c>
      <c r="Q222" s="7688">
        <f t="shared" si="139"/>
        <v>1</v>
      </c>
      <c r="CA222" s="3170" t="s">
        <v>966</v>
      </c>
      <c r="CB222" s="7634" t="s">
        <v>16255</v>
      </c>
      <c r="CC222" s="3170" t="s">
        <v>1701</v>
      </c>
      <c r="CD222" s="3170" t="s">
        <v>16771</v>
      </c>
    </row>
    <row r="223" spans="2:82">
      <c r="B223" s="7685"/>
      <c r="C223" s="7685"/>
      <c r="D223" s="7685"/>
      <c r="E223" s="7685">
        <f>IF(H222&lt;&gt;"",E222,IF(E222="","",IFERROR(MATCH(TRUE(),INDEX(INDEX($K:$K,E222+1):$K$203&lt;&gt;"",0),0)+E222,"")))</f>
        <v>398</v>
      </c>
      <c r="F223" s="7686">
        <f t="shared" si="140"/>
        <v>0</v>
      </c>
      <c r="G223" s="7686" t="str">
        <f t="shared" si="132"/>
        <v>0</v>
      </c>
      <c r="H223" s="7687" t="str">
        <f t="shared" si="133"/>
        <v/>
      </c>
      <c r="I223" s="7685" t="str">
        <f t="shared" si="134"/>
        <v/>
      </c>
      <c r="M223" s="7622">
        <f t="shared" si="135"/>
        <v>1</v>
      </c>
      <c r="N223" s="7688">
        <f t="shared" si="136"/>
        <v>206</v>
      </c>
      <c r="O223" s="7661" t="str">
        <f t="shared" si="137"/>
        <v>0</v>
      </c>
      <c r="P223" s="7688">
        <f t="shared" si="138"/>
        <v>1</v>
      </c>
      <c r="Q223" s="7688">
        <f t="shared" si="139"/>
        <v>1</v>
      </c>
      <c r="CA223" s="3170" t="s">
        <v>966</v>
      </c>
      <c r="CB223" s="7634" t="s">
        <v>16255</v>
      </c>
      <c r="CC223" s="3170" t="s">
        <v>16772</v>
      </c>
      <c r="CD223" s="3170" t="s">
        <v>16773</v>
      </c>
    </row>
    <row r="224" spans="2:82">
      <c r="B224" s="7685"/>
      <c r="C224" s="7685"/>
      <c r="D224" s="7685"/>
      <c r="E224" s="7685">
        <f>IF(H223&lt;&gt;"",E223,IF(E223="","",IFERROR(MATCH(TRUE(),INDEX(INDEX($K:$K,E223+1):$K$203&lt;&gt;"",0),0)+E223,"")))</f>
        <v>399</v>
      </c>
      <c r="F224" s="7686">
        <f t="shared" si="140"/>
        <v>0</v>
      </c>
      <c r="G224" s="7686" t="str">
        <f t="shared" si="132"/>
        <v>0</v>
      </c>
      <c r="H224" s="7687" t="str">
        <f t="shared" si="133"/>
        <v/>
      </c>
      <c r="I224" s="7685" t="str">
        <f t="shared" si="134"/>
        <v/>
      </c>
      <c r="M224" s="7622">
        <f t="shared" si="135"/>
        <v>1</v>
      </c>
      <c r="N224" s="7688">
        <f t="shared" si="136"/>
        <v>207</v>
      </c>
      <c r="O224" s="7661" t="str">
        <f t="shared" si="137"/>
        <v>0</v>
      </c>
      <c r="P224" s="7688">
        <f t="shared" si="138"/>
        <v>1</v>
      </c>
      <c r="Q224" s="7688">
        <f t="shared" si="139"/>
        <v>1</v>
      </c>
      <c r="CA224" s="3170" t="s">
        <v>966</v>
      </c>
      <c r="CB224" s="7634" t="s">
        <v>16255</v>
      </c>
      <c r="CC224" s="3170" t="s">
        <v>16774</v>
      </c>
      <c r="CD224" s="3170" t="s">
        <v>16775</v>
      </c>
    </row>
    <row r="225" spans="2:82">
      <c r="B225" s="7685"/>
      <c r="C225" s="7685"/>
      <c r="D225" s="7685"/>
      <c r="E225" s="7685">
        <f>IF(H224&lt;&gt;"",E224,IF(E224="","",IFERROR(MATCH(TRUE(),INDEX(INDEX($K:$K,E224+1):$K$203&lt;&gt;"",0),0)+E224,"")))</f>
        <v>400</v>
      </c>
      <c r="F225" s="7686">
        <f t="shared" si="140"/>
        <v>0</v>
      </c>
      <c r="G225" s="7686" t="str">
        <f t="shared" si="132"/>
        <v>0</v>
      </c>
      <c r="H225" s="7687" t="str">
        <f t="shared" si="133"/>
        <v/>
      </c>
      <c r="I225" s="7685" t="str">
        <f t="shared" si="134"/>
        <v/>
      </c>
      <c r="M225" s="7622">
        <f t="shared" si="135"/>
        <v>1</v>
      </c>
      <c r="N225" s="7688">
        <f t="shared" si="136"/>
        <v>208</v>
      </c>
      <c r="O225" s="7661" t="str">
        <f t="shared" si="137"/>
        <v>0</v>
      </c>
      <c r="P225" s="7688">
        <f t="shared" si="138"/>
        <v>1</v>
      </c>
      <c r="Q225" s="7688">
        <f t="shared" si="139"/>
        <v>1</v>
      </c>
      <c r="CA225" s="3170" t="s">
        <v>966</v>
      </c>
      <c r="CB225" s="7634" t="s">
        <v>16255</v>
      </c>
      <c r="CC225" s="3170" t="s">
        <v>16776</v>
      </c>
      <c r="CD225" s="3170" t="s">
        <v>16777</v>
      </c>
    </row>
    <row r="226" spans="2:82">
      <c r="B226" s="7685"/>
      <c r="C226" s="7685"/>
      <c r="D226" s="7685"/>
      <c r="E226" s="7685">
        <f>IF(H225&lt;&gt;"",E225,IF(E225="","",IFERROR(MATCH(TRUE(),INDEX(INDEX($K:$K,E225+1):$K$203&lt;&gt;"",0),0)+E225,"")))</f>
        <v>401</v>
      </c>
      <c r="F226" s="7686">
        <f t="shared" si="140"/>
        <v>0</v>
      </c>
      <c r="G226" s="7686" t="str">
        <f t="shared" si="132"/>
        <v>0</v>
      </c>
      <c r="H226" s="7687" t="str">
        <f t="shared" si="133"/>
        <v/>
      </c>
      <c r="I226" s="7685" t="str">
        <f t="shared" si="134"/>
        <v/>
      </c>
      <c r="M226" s="7622">
        <f t="shared" si="135"/>
        <v>1</v>
      </c>
      <c r="N226" s="7688">
        <f t="shared" si="136"/>
        <v>209</v>
      </c>
      <c r="O226" s="7661" t="str">
        <f t="shared" si="137"/>
        <v>0</v>
      </c>
      <c r="P226" s="7688">
        <f t="shared" si="138"/>
        <v>1</v>
      </c>
      <c r="Q226" s="7688">
        <f t="shared" si="139"/>
        <v>1</v>
      </c>
      <c r="CA226" s="3170" t="s">
        <v>966</v>
      </c>
      <c r="CB226" s="7634" t="s">
        <v>16255</v>
      </c>
      <c r="CC226" s="3170" t="s">
        <v>16778</v>
      </c>
      <c r="CD226" s="3170" t="s">
        <v>16779</v>
      </c>
    </row>
    <row r="227" spans="2:82">
      <c r="B227" s="7685"/>
      <c r="C227" s="7685"/>
      <c r="D227" s="7685"/>
      <c r="E227" s="7685">
        <f>IF(H226&lt;&gt;"",E226,IF(E226="","",IFERROR(MATCH(TRUE(),INDEX(INDEX($K:$K,E226+1):$K$203&lt;&gt;"",0),0)+E226,"")))</f>
        <v>402</v>
      </c>
      <c r="F227" s="7686">
        <f t="shared" si="140"/>
        <v>0</v>
      </c>
      <c r="G227" s="7686" t="str">
        <f t="shared" si="132"/>
        <v>0</v>
      </c>
      <c r="H227" s="7687" t="str">
        <f t="shared" si="133"/>
        <v/>
      </c>
      <c r="I227" s="7685" t="str">
        <f t="shared" si="134"/>
        <v/>
      </c>
      <c r="M227" s="7622">
        <f t="shared" si="135"/>
        <v>1</v>
      </c>
      <c r="N227" s="7688">
        <f t="shared" si="136"/>
        <v>210</v>
      </c>
      <c r="O227" s="7661" t="str">
        <f t="shared" si="137"/>
        <v>0</v>
      </c>
      <c r="P227" s="7688">
        <f t="shared" si="138"/>
        <v>1</v>
      </c>
      <c r="Q227" s="7688">
        <f t="shared" si="139"/>
        <v>1</v>
      </c>
      <c r="CA227" s="3170" t="s">
        <v>966</v>
      </c>
      <c r="CB227" s="7634" t="s">
        <v>16255</v>
      </c>
      <c r="CC227" s="3170" t="s">
        <v>16780</v>
      </c>
      <c r="CD227" s="3170" t="s">
        <v>16781</v>
      </c>
    </row>
    <row r="228" spans="2:82">
      <c r="B228" s="7685"/>
      <c r="C228" s="7685"/>
      <c r="D228" s="7685"/>
      <c r="E228" s="7685">
        <f>IF(H227&lt;&gt;"",E227,IF(E227="","",IFERROR(MATCH(TRUE(),INDEX(INDEX($K:$K,E227+1):$K$203&lt;&gt;"",0),0)+E227,"")))</f>
        <v>403</v>
      </c>
      <c r="F228" s="7686">
        <f t="shared" si="140"/>
        <v>0</v>
      </c>
      <c r="G228" s="7686" t="str">
        <f t="shared" si="132"/>
        <v>0</v>
      </c>
      <c r="H228" s="7687" t="str">
        <f t="shared" si="133"/>
        <v/>
      </c>
      <c r="I228" s="7685" t="str">
        <f t="shared" si="134"/>
        <v/>
      </c>
      <c r="M228" s="7622">
        <f t="shared" si="135"/>
        <v>1</v>
      </c>
      <c r="N228" s="7688">
        <f t="shared" si="136"/>
        <v>211</v>
      </c>
      <c r="O228" s="7661" t="str">
        <f t="shared" si="137"/>
        <v>0</v>
      </c>
      <c r="P228" s="7688">
        <f t="shared" si="138"/>
        <v>1</v>
      </c>
      <c r="Q228" s="7688">
        <f t="shared" si="139"/>
        <v>1</v>
      </c>
      <c r="CA228" s="3170" t="s">
        <v>966</v>
      </c>
      <c r="CB228" s="7634" t="s">
        <v>16255</v>
      </c>
      <c r="CC228" s="3170" t="s">
        <v>16782</v>
      </c>
      <c r="CD228" s="3170" t="s">
        <v>16783</v>
      </c>
    </row>
    <row r="229" spans="2:82">
      <c r="B229" s="7685"/>
      <c r="C229" s="7685"/>
      <c r="D229" s="7685"/>
      <c r="E229" s="7685">
        <f>IF(H228&lt;&gt;"",E228,IF(E228="","",IFERROR(MATCH(TRUE(),INDEX(INDEX($K:$K,E228+1):$K$203&lt;&gt;"",0),0)+E228,"")))</f>
        <v>404</v>
      </c>
      <c r="F229" s="7686">
        <f t="shared" si="140"/>
        <v>0</v>
      </c>
      <c r="G229" s="7686" t="str">
        <f t="shared" si="132"/>
        <v>0</v>
      </c>
      <c r="H229" s="7687" t="str">
        <f t="shared" si="133"/>
        <v/>
      </c>
      <c r="I229" s="7685" t="str">
        <f t="shared" si="134"/>
        <v/>
      </c>
      <c r="M229" s="7622">
        <f t="shared" si="135"/>
        <v>1</v>
      </c>
      <c r="N229" s="7688">
        <f t="shared" si="136"/>
        <v>212</v>
      </c>
      <c r="O229" s="7661" t="str">
        <f t="shared" si="137"/>
        <v>0</v>
      </c>
      <c r="P229" s="7688">
        <f t="shared" si="138"/>
        <v>1</v>
      </c>
      <c r="Q229" s="7688">
        <f t="shared" si="139"/>
        <v>1</v>
      </c>
      <c r="CA229" s="3170" t="s">
        <v>966</v>
      </c>
      <c r="CB229" s="7634" t="s">
        <v>16255</v>
      </c>
      <c r="CC229" s="3170" t="s">
        <v>16784</v>
      </c>
      <c r="CD229" s="3170" t="s">
        <v>16785</v>
      </c>
    </row>
    <row r="230" spans="2:82">
      <c r="B230" s="7685"/>
      <c r="C230" s="7685"/>
      <c r="D230" s="7685"/>
      <c r="E230" s="7685">
        <f>IF(H229&lt;&gt;"",E229,IF(E229="","",IFERROR(MATCH(TRUE(),INDEX(INDEX($K:$K,E229+1):$K$203&lt;&gt;"",0),0)+E229,"")))</f>
        <v>405</v>
      </c>
      <c r="F230" s="7686">
        <f t="shared" si="140"/>
        <v>0</v>
      </c>
      <c r="G230" s="7686" t="str">
        <f t="shared" si="132"/>
        <v>0</v>
      </c>
      <c r="H230" s="7687" t="str">
        <f t="shared" si="133"/>
        <v/>
      </c>
      <c r="I230" s="7685" t="str">
        <f t="shared" si="134"/>
        <v/>
      </c>
      <c r="M230" s="7622">
        <f t="shared" si="135"/>
        <v>1</v>
      </c>
      <c r="N230" s="7688">
        <f t="shared" si="136"/>
        <v>213</v>
      </c>
      <c r="O230" s="7661" t="str">
        <f t="shared" si="137"/>
        <v>0</v>
      </c>
      <c r="P230" s="7688">
        <f t="shared" si="138"/>
        <v>1</v>
      </c>
      <c r="Q230" s="7688">
        <f t="shared" si="139"/>
        <v>1</v>
      </c>
      <c r="CA230" s="3170" t="s">
        <v>966</v>
      </c>
      <c r="CB230" s="7634" t="s">
        <v>16255</v>
      </c>
      <c r="CC230" s="3170" t="s">
        <v>16786</v>
      </c>
      <c r="CD230" s="3170" t="s">
        <v>16787</v>
      </c>
    </row>
    <row r="231" spans="2:82">
      <c r="B231" s="7685"/>
      <c r="C231" s="7685"/>
      <c r="D231" s="7685"/>
      <c r="E231" s="7685">
        <f>IF(H230&lt;&gt;"",E230,IF(E230="","",IFERROR(MATCH(TRUE(),INDEX(INDEX($K:$K,E230+1):$K$203&lt;&gt;"",0),0)+E230,"")))</f>
        <v>406</v>
      </c>
      <c r="F231" s="7686">
        <f t="shared" si="140"/>
        <v>0</v>
      </c>
      <c r="G231" s="7686" t="str">
        <f t="shared" si="132"/>
        <v>0</v>
      </c>
      <c r="H231" s="7687" t="str">
        <f t="shared" si="133"/>
        <v/>
      </c>
      <c r="I231" s="7685" t="str">
        <f t="shared" si="134"/>
        <v/>
      </c>
      <c r="M231" s="7622">
        <f t="shared" si="135"/>
        <v>1</v>
      </c>
      <c r="N231" s="7688">
        <f t="shared" si="136"/>
        <v>214</v>
      </c>
      <c r="O231" s="7661" t="str">
        <f t="shared" si="137"/>
        <v>0</v>
      </c>
      <c r="P231" s="7688">
        <f t="shared" si="138"/>
        <v>1</v>
      </c>
      <c r="Q231" s="7688">
        <f t="shared" si="139"/>
        <v>1</v>
      </c>
      <c r="CA231" s="3170" t="s">
        <v>966</v>
      </c>
      <c r="CB231" s="7634" t="s">
        <v>16255</v>
      </c>
      <c r="CC231" s="3170" t="s">
        <v>16788</v>
      </c>
      <c r="CD231" s="3170" t="s">
        <v>16789</v>
      </c>
    </row>
    <row r="232" spans="2:82">
      <c r="B232" s="7685"/>
      <c r="C232" s="7685"/>
      <c r="D232" s="7685"/>
      <c r="E232" s="7685">
        <f>IF(H231&lt;&gt;"",E231,IF(E231="","",IFERROR(MATCH(TRUE(),INDEX(INDEX($K:$K,E231+1):$K$203&lt;&gt;"",0),0)+E231,"")))</f>
        <v>407</v>
      </c>
      <c r="F232" s="7686">
        <f t="shared" si="140"/>
        <v>0</v>
      </c>
      <c r="G232" s="7686" t="str">
        <f t="shared" si="132"/>
        <v>0</v>
      </c>
      <c r="H232" s="7687" t="str">
        <f t="shared" si="133"/>
        <v/>
      </c>
      <c r="I232" s="7685" t="str">
        <f t="shared" si="134"/>
        <v/>
      </c>
      <c r="M232" s="7622">
        <f t="shared" si="135"/>
        <v>1</v>
      </c>
      <c r="N232" s="7688">
        <f t="shared" si="136"/>
        <v>215</v>
      </c>
      <c r="O232" s="7661" t="str">
        <f t="shared" si="137"/>
        <v>0</v>
      </c>
      <c r="P232" s="7688">
        <f t="shared" si="138"/>
        <v>1</v>
      </c>
      <c r="Q232" s="7688">
        <f t="shared" si="139"/>
        <v>1</v>
      </c>
      <c r="CA232" s="3170" t="s">
        <v>966</v>
      </c>
      <c r="CB232" s="7634" t="s">
        <v>16255</v>
      </c>
      <c r="CC232" s="3170" t="s">
        <v>16790</v>
      </c>
      <c r="CD232" s="3170" t="s">
        <v>16791</v>
      </c>
    </row>
    <row r="233" spans="2:82">
      <c r="B233" s="7685"/>
      <c r="C233" s="7685"/>
      <c r="D233" s="7685"/>
      <c r="E233" s="7685">
        <f>IF(H232&lt;&gt;"",E232,IF(E232="","",IFERROR(MATCH(TRUE(),INDEX(INDEX($K:$K,E232+1):$K$203&lt;&gt;"",0),0)+E232,"")))</f>
        <v>408</v>
      </c>
      <c r="F233" s="7686">
        <f t="shared" si="140"/>
        <v>0</v>
      </c>
      <c r="G233" s="7686" t="str">
        <f t="shared" si="132"/>
        <v>0</v>
      </c>
      <c r="H233" s="7687" t="str">
        <f t="shared" si="133"/>
        <v/>
      </c>
      <c r="I233" s="7685" t="str">
        <f t="shared" si="134"/>
        <v/>
      </c>
      <c r="M233" s="7622">
        <f t="shared" si="135"/>
        <v>1</v>
      </c>
      <c r="N233" s="7688">
        <f t="shared" si="136"/>
        <v>216</v>
      </c>
      <c r="O233" s="7661" t="str">
        <f t="shared" si="137"/>
        <v>0</v>
      </c>
      <c r="P233" s="7688">
        <f t="shared" si="138"/>
        <v>1</v>
      </c>
      <c r="Q233" s="7688">
        <f t="shared" si="139"/>
        <v>1</v>
      </c>
      <c r="CA233" s="3170" t="s">
        <v>966</v>
      </c>
      <c r="CB233" s="7634" t="s">
        <v>16255</v>
      </c>
      <c r="CC233" s="3170" t="s">
        <v>16792</v>
      </c>
      <c r="CD233" s="3170" t="s">
        <v>16793</v>
      </c>
    </row>
    <row r="234" spans="2:82">
      <c r="B234" s="7685"/>
      <c r="C234" s="7685"/>
      <c r="D234" s="7685"/>
      <c r="E234" s="7685">
        <f>IF(H233&lt;&gt;"",E233,IF(E233="","",IFERROR(MATCH(TRUE(),INDEX(INDEX($K:$K,E233+1):$K$203&lt;&gt;"",0),0)+E233,"")))</f>
        <v>409</v>
      </c>
      <c r="F234" s="7686">
        <f t="shared" si="140"/>
        <v>0</v>
      </c>
      <c r="G234" s="7686" t="str">
        <f t="shared" si="132"/>
        <v>0</v>
      </c>
      <c r="H234" s="7687" t="str">
        <f t="shared" si="133"/>
        <v/>
      </c>
      <c r="I234" s="7685" t="str">
        <f t="shared" si="134"/>
        <v/>
      </c>
      <c r="M234" s="7622">
        <f t="shared" si="135"/>
        <v>1</v>
      </c>
      <c r="N234" s="7688">
        <f t="shared" si="136"/>
        <v>217</v>
      </c>
      <c r="O234" s="7661" t="str">
        <f t="shared" si="137"/>
        <v>0</v>
      </c>
      <c r="P234" s="7688">
        <f t="shared" si="138"/>
        <v>1</v>
      </c>
      <c r="Q234" s="7688">
        <f t="shared" si="139"/>
        <v>1</v>
      </c>
      <c r="CA234" s="3170" t="s">
        <v>966</v>
      </c>
      <c r="CB234" s="7634" t="s">
        <v>16255</v>
      </c>
      <c r="CC234" s="3170" t="s">
        <v>16794</v>
      </c>
      <c r="CD234" s="3170" t="s">
        <v>16795</v>
      </c>
    </row>
    <row r="235" spans="2:82">
      <c r="B235" s="7685"/>
      <c r="C235" s="7685"/>
      <c r="D235" s="7685"/>
      <c r="E235" s="7685">
        <f>IF(H234&lt;&gt;"",E234,IF(E234="","",IFERROR(MATCH(TRUE(),INDEX(INDEX($K:$K,E234+1):$K$203&lt;&gt;"",0),0)+E234,"")))</f>
        <v>410</v>
      </c>
      <c r="F235" s="7686">
        <f t="shared" si="140"/>
        <v>0</v>
      </c>
      <c r="G235" s="7686" t="str">
        <f t="shared" si="132"/>
        <v>0</v>
      </c>
      <c r="H235" s="7687" t="str">
        <f t="shared" si="133"/>
        <v/>
      </c>
      <c r="I235" s="7685" t="str">
        <f t="shared" si="134"/>
        <v/>
      </c>
      <c r="M235" s="7622">
        <f t="shared" si="135"/>
        <v>1</v>
      </c>
      <c r="N235" s="7688">
        <f t="shared" si="136"/>
        <v>218</v>
      </c>
      <c r="O235" s="7661" t="str">
        <f t="shared" si="137"/>
        <v>0</v>
      </c>
      <c r="P235" s="7688">
        <f t="shared" si="138"/>
        <v>1</v>
      </c>
      <c r="Q235" s="7688">
        <f t="shared" si="139"/>
        <v>1</v>
      </c>
      <c r="CA235" s="3170" t="s">
        <v>966</v>
      </c>
      <c r="CB235" s="7634" t="s">
        <v>16255</v>
      </c>
      <c r="CC235" s="3170" t="s">
        <v>16796</v>
      </c>
      <c r="CD235" s="3170" t="s">
        <v>16797</v>
      </c>
    </row>
    <row r="236" spans="2:82">
      <c r="B236" s="7685"/>
      <c r="C236" s="7685"/>
      <c r="D236" s="7685"/>
      <c r="E236" s="7685">
        <f>IF(H235&lt;&gt;"",E235,IF(E235="","",IFERROR(MATCH(TRUE(),INDEX(INDEX($K:$K,E235+1):$K$203&lt;&gt;"",0),0)+E235,"")))</f>
        <v>411</v>
      </c>
      <c r="F236" s="7686">
        <f t="shared" si="140"/>
        <v>0</v>
      </c>
      <c r="G236" s="7686" t="str">
        <f t="shared" si="132"/>
        <v>0</v>
      </c>
      <c r="H236" s="7687" t="str">
        <f t="shared" si="133"/>
        <v/>
      </c>
      <c r="I236" s="7685" t="str">
        <f t="shared" si="134"/>
        <v/>
      </c>
      <c r="M236" s="7622">
        <f t="shared" si="135"/>
        <v>1</v>
      </c>
      <c r="N236" s="7688">
        <f t="shared" si="136"/>
        <v>219</v>
      </c>
      <c r="O236" s="7661" t="str">
        <f t="shared" si="137"/>
        <v>0</v>
      </c>
      <c r="P236" s="7688">
        <f t="shared" si="138"/>
        <v>1</v>
      </c>
      <c r="Q236" s="7688">
        <f t="shared" si="139"/>
        <v>1</v>
      </c>
      <c r="CA236" s="3170" t="s">
        <v>966</v>
      </c>
      <c r="CB236" s="7634" t="s">
        <v>16255</v>
      </c>
      <c r="CC236" s="3170" t="s">
        <v>16798</v>
      </c>
      <c r="CD236" s="3170" t="s">
        <v>16799</v>
      </c>
    </row>
    <row r="237" spans="2:82">
      <c r="B237" s="7685"/>
      <c r="C237" s="7685"/>
      <c r="D237" s="7685"/>
      <c r="E237" s="7685">
        <f>IF(H236&lt;&gt;"",E236,IF(E236="","",IFERROR(MATCH(TRUE(),INDEX(INDEX($K:$K,E236+1):$K$203&lt;&gt;"",0),0)+E236,"")))</f>
        <v>412</v>
      </c>
      <c r="F237" s="7686">
        <f t="shared" si="140"/>
        <v>0</v>
      </c>
      <c r="G237" s="7686" t="str">
        <f t="shared" si="132"/>
        <v>0</v>
      </c>
      <c r="H237" s="7687" t="str">
        <f t="shared" si="133"/>
        <v/>
      </c>
      <c r="I237" s="7685" t="str">
        <f t="shared" si="134"/>
        <v/>
      </c>
      <c r="M237" s="7622">
        <f t="shared" si="135"/>
        <v>1</v>
      </c>
      <c r="N237" s="7688">
        <f t="shared" si="136"/>
        <v>220</v>
      </c>
      <c r="O237" s="7661" t="str">
        <f t="shared" si="137"/>
        <v>0</v>
      </c>
      <c r="P237" s="7688">
        <f t="shared" si="138"/>
        <v>1</v>
      </c>
      <c r="Q237" s="7688">
        <f t="shared" si="139"/>
        <v>1</v>
      </c>
      <c r="CA237" s="3170" t="s">
        <v>966</v>
      </c>
      <c r="CB237" s="7634" t="s">
        <v>16255</v>
      </c>
      <c r="CC237" s="3170" t="s">
        <v>16800</v>
      </c>
      <c r="CD237" s="3170" t="s">
        <v>16801</v>
      </c>
    </row>
    <row r="238" spans="2:82">
      <c r="B238" s="7685"/>
      <c r="C238" s="7685"/>
      <c r="D238" s="7685"/>
      <c r="E238" s="7685">
        <f>IF(H237&lt;&gt;"",E237,IF(E237="","",IFERROR(MATCH(TRUE(),INDEX(INDEX($K:$K,E237+1):$K$203&lt;&gt;"",0),0)+E237,"")))</f>
        <v>413</v>
      </c>
      <c r="F238" s="7686">
        <f t="shared" si="140"/>
        <v>0</v>
      </c>
      <c r="G238" s="7686" t="str">
        <f t="shared" si="132"/>
        <v>0</v>
      </c>
      <c r="H238" s="7687" t="str">
        <f t="shared" si="133"/>
        <v/>
      </c>
      <c r="I238" s="7685" t="str">
        <f t="shared" si="134"/>
        <v/>
      </c>
      <c r="M238" s="7622">
        <f t="shared" si="135"/>
        <v>1</v>
      </c>
      <c r="N238" s="7688">
        <f t="shared" si="136"/>
        <v>221</v>
      </c>
      <c r="O238" s="7661" t="str">
        <f t="shared" si="137"/>
        <v>0</v>
      </c>
      <c r="P238" s="7688">
        <f t="shared" si="138"/>
        <v>1</v>
      </c>
      <c r="Q238" s="7688">
        <f t="shared" si="139"/>
        <v>1</v>
      </c>
      <c r="CA238" s="3170" t="s">
        <v>966</v>
      </c>
      <c r="CB238" s="7634" t="s">
        <v>16255</v>
      </c>
      <c r="CC238" s="3170" t="s">
        <v>16802</v>
      </c>
      <c r="CD238" s="3170" t="s">
        <v>16803</v>
      </c>
    </row>
    <row r="239" spans="2:82">
      <c r="B239" s="7685"/>
      <c r="C239" s="7685"/>
      <c r="D239" s="7685"/>
      <c r="E239" s="7685">
        <f>IF(H238&lt;&gt;"",E238,IF(E238="","",IFERROR(MATCH(TRUE(),INDEX(INDEX($K:$K,E238+1):$K$203&lt;&gt;"",0),0)+E238,"")))</f>
        <v>414</v>
      </c>
      <c r="F239" s="7686">
        <f t="shared" si="140"/>
        <v>0</v>
      </c>
      <c r="G239" s="7686" t="str">
        <f t="shared" si="132"/>
        <v>0</v>
      </c>
      <c r="H239" s="7687" t="str">
        <f t="shared" si="133"/>
        <v/>
      </c>
      <c r="I239" s="7685" t="str">
        <f t="shared" si="134"/>
        <v/>
      </c>
      <c r="M239" s="7622">
        <f t="shared" si="135"/>
        <v>1</v>
      </c>
      <c r="N239" s="7688">
        <f t="shared" si="136"/>
        <v>222</v>
      </c>
      <c r="O239" s="7661" t="str">
        <f t="shared" si="137"/>
        <v>0</v>
      </c>
      <c r="P239" s="7688">
        <f t="shared" si="138"/>
        <v>1</v>
      </c>
      <c r="Q239" s="7688">
        <f t="shared" si="139"/>
        <v>1</v>
      </c>
      <c r="CA239" s="3170" t="s">
        <v>966</v>
      </c>
      <c r="CB239" s="7634" t="s">
        <v>16255</v>
      </c>
      <c r="CC239" s="3170" t="s">
        <v>16804</v>
      </c>
      <c r="CD239" s="3170" t="s">
        <v>16805</v>
      </c>
    </row>
    <row r="240" spans="2:82">
      <c r="B240" s="7685"/>
      <c r="C240" s="7685"/>
      <c r="D240" s="7685"/>
      <c r="E240" s="7685">
        <f>IF(H239&lt;&gt;"",E239,IF(E239="","",IFERROR(MATCH(TRUE(),INDEX(INDEX($K:$K,E239+1):$K$203&lt;&gt;"",0),0)+E239,"")))</f>
        <v>415</v>
      </c>
      <c r="F240" s="7686">
        <f t="shared" si="140"/>
        <v>0</v>
      </c>
      <c r="G240" s="7686" t="str">
        <f t="shared" si="132"/>
        <v>0</v>
      </c>
      <c r="H240" s="7687" t="str">
        <f t="shared" si="133"/>
        <v/>
      </c>
      <c r="I240" s="7685" t="str">
        <f t="shared" si="134"/>
        <v/>
      </c>
      <c r="M240" s="7622">
        <f t="shared" si="135"/>
        <v>1</v>
      </c>
      <c r="N240" s="7688">
        <f t="shared" si="136"/>
        <v>223</v>
      </c>
      <c r="O240" s="7661" t="str">
        <f t="shared" si="137"/>
        <v>0</v>
      </c>
      <c r="P240" s="7688">
        <f t="shared" si="138"/>
        <v>1</v>
      </c>
      <c r="Q240" s="7688">
        <f t="shared" si="139"/>
        <v>1</v>
      </c>
      <c r="CA240" s="3170" t="s">
        <v>966</v>
      </c>
      <c r="CB240" s="7634" t="s">
        <v>16255</v>
      </c>
      <c r="CC240" s="3170" t="s">
        <v>16806</v>
      </c>
      <c r="CD240" s="3170" t="s">
        <v>16807</v>
      </c>
    </row>
    <row r="241" spans="2:82">
      <c r="B241" s="7685"/>
      <c r="C241" s="7685"/>
      <c r="D241" s="7685"/>
      <c r="E241" s="7685">
        <f>IF(H240&lt;&gt;"",E240,IF(E240="","",IFERROR(MATCH(TRUE(),INDEX(INDEX($K:$K,E240+1):$K$203&lt;&gt;"",0),0)+E240,"")))</f>
        <v>416</v>
      </c>
      <c r="F241" s="7686">
        <f t="shared" si="140"/>
        <v>0</v>
      </c>
      <c r="G241" s="7686" t="str">
        <f t="shared" si="132"/>
        <v>0</v>
      </c>
      <c r="H241" s="7687" t="str">
        <f t="shared" si="133"/>
        <v/>
      </c>
      <c r="I241" s="7685" t="str">
        <f t="shared" si="134"/>
        <v/>
      </c>
      <c r="M241" s="7622">
        <f t="shared" si="135"/>
        <v>1</v>
      </c>
      <c r="N241" s="7688">
        <f t="shared" si="136"/>
        <v>224</v>
      </c>
      <c r="O241" s="7661" t="str">
        <f t="shared" si="137"/>
        <v>0</v>
      </c>
      <c r="P241" s="7688">
        <f t="shared" si="138"/>
        <v>1</v>
      </c>
      <c r="Q241" s="7688">
        <f t="shared" si="139"/>
        <v>1</v>
      </c>
      <c r="CA241" s="3170" t="s">
        <v>966</v>
      </c>
      <c r="CB241" s="7634" t="s">
        <v>16255</v>
      </c>
      <c r="CC241" s="3170" t="s">
        <v>16808</v>
      </c>
      <c r="CD241" s="3170" t="s">
        <v>16809</v>
      </c>
    </row>
    <row r="242" spans="2:82">
      <c r="B242" s="7685"/>
      <c r="C242" s="7685"/>
      <c r="D242" s="7685"/>
      <c r="E242" s="7685">
        <f>IF(H241&lt;&gt;"",E241,IF(E241="","",IFERROR(MATCH(TRUE(),INDEX(INDEX($K:$K,E241+1):$K$203&lt;&gt;"",0),0)+E241,"")))</f>
        <v>417</v>
      </c>
      <c r="F242" s="7686">
        <f t="shared" si="140"/>
        <v>0</v>
      </c>
      <c r="G242" s="7686" t="str">
        <f t="shared" si="132"/>
        <v>0</v>
      </c>
      <c r="H242" s="7687" t="str">
        <f t="shared" si="133"/>
        <v/>
      </c>
      <c r="I242" s="7685" t="str">
        <f t="shared" si="134"/>
        <v/>
      </c>
      <c r="M242" s="7622">
        <f t="shared" si="135"/>
        <v>1</v>
      </c>
      <c r="N242" s="7688">
        <f t="shared" si="136"/>
        <v>225</v>
      </c>
      <c r="O242" s="7661" t="str">
        <f t="shared" si="137"/>
        <v>0</v>
      </c>
      <c r="P242" s="7688">
        <f t="shared" si="138"/>
        <v>1</v>
      </c>
      <c r="Q242" s="7688">
        <f t="shared" si="139"/>
        <v>1</v>
      </c>
      <c r="CA242" s="3170" t="s">
        <v>966</v>
      </c>
      <c r="CB242" s="7634" t="s">
        <v>16255</v>
      </c>
      <c r="CC242" s="3170" t="s">
        <v>16810</v>
      </c>
      <c r="CD242" s="3170" t="s">
        <v>16811</v>
      </c>
    </row>
    <row r="243" spans="2:82">
      <c r="B243" s="7685"/>
      <c r="C243" s="7685"/>
      <c r="D243" s="7685"/>
      <c r="E243" s="7685">
        <f>IF(H242&lt;&gt;"",E242,IF(E242="","",IFERROR(MATCH(TRUE(),INDEX(INDEX($K:$K,E242+1):$K$203&lt;&gt;"",0),0)+E242,"")))</f>
        <v>418</v>
      </c>
      <c r="F243" s="7686">
        <f t="shared" si="140"/>
        <v>0</v>
      </c>
      <c r="G243" s="7686" t="str">
        <f t="shared" si="132"/>
        <v>0</v>
      </c>
      <c r="H243" s="7687" t="str">
        <f t="shared" si="133"/>
        <v/>
      </c>
      <c r="I243" s="7685" t="str">
        <f t="shared" si="134"/>
        <v/>
      </c>
      <c r="M243" s="7622">
        <f t="shared" si="135"/>
        <v>1</v>
      </c>
      <c r="N243" s="7688">
        <f t="shared" si="136"/>
        <v>226</v>
      </c>
      <c r="O243" s="7661" t="str">
        <f t="shared" si="137"/>
        <v>0</v>
      </c>
      <c r="P243" s="7688">
        <f t="shared" si="138"/>
        <v>1</v>
      </c>
      <c r="Q243" s="7688">
        <f t="shared" si="139"/>
        <v>1</v>
      </c>
      <c r="CA243" s="3170" t="s">
        <v>966</v>
      </c>
      <c r="CB243" s="7634" t="s">
        <v>16255</v>
      </c>
      <c r="CC243" s="3170" t="s">
        <v>16812</v>
      </c>
      <c r="CD243" s="3170" t="s">
        <v>16813</v>
      </c>
    </row>
    <row r="244" spans="2:82">
      <c r="B244" s="7685"/>
      <c r="C244" s="7685"/>
      <c r="D244" s="7685"/>
      <c r="E244" s="7685">
        <f>IF(H243&lt;&gt;"",E243,IF(E243="","",IFERROR(MATCH(TRUE(),INDEX(INDEX($K:$K,E243+1):$K$203&lt;&gt;"",0),0)+E243,"")))</f>
        <v>419</v>
      </c>
      <c r="F244" s="7686">
        <f t="shared" si="140"/>
        <v>0</v>
      </c>
      <c r="G244" s="7686" t="str">
        <f t="shared" si="132"/>
        <v>0</v>
      </c>
      <c r="H244" s="7687" t="str">
        <f t="shared" si="133"/>
        <v/>
      </c>
      <c r="I244" s="7685" t="str">
        <f t="shared" si="134"/>
        <v/>
      </c>
      <c r="M244" s="7622">
        <f t="shared" si="135"/>
        <v>1</v>
      </c>
      <c r="N244" s="7688">
        <f t="shared" si="136"/>
        <v>227</v>
      </c>
      <c r="O244" s="7661" t="str">
        <f t="shared" si="137"/>
        <v>0</v>
      </c>
      <c r="P244" s="7688">
        <f t="shared" si="138"/>
        <v>1</v>
      </c>
      <c r="Q244" s="7688">
        <f t="shared" si="139"/>
        <v>1</v>
      </c>
      <c r="CA244" s="3170" t="s">
        <v>966</v>
      </c>
      <c r="CB244" s="7634" t="s">
        <v>16255</v>
      </c>
      <c r="CC244" s="3170" t="s">
        <v>16814</v>
      </c>
      <c r="CD244" s="3170" t="s">
        <v>16815</v>
      </c>
    </row>
    <row r="245" spans="2:82">
      <c r="B245" s="7685"/>
      <c r="C245" s="7685"/>
      <c r="D245" s="7685"/>
      <c r="E245" s="7685">
        <f>IF(H244&lt;&gt;"",E244,IF(E244="","",IFERROR(MATCH(TRUE(),INDEX(INDEX($K:$K,E244+1):$K$203&lt;&gt;"",0),0)+E244,"")))</f>
        <v>420</v>
      </c>
      <c r="F245" s="7686">
        <f t="shared" si="140"/>
        <v>0</v>
      </c>
      <c r="G245" s="7686" t="str">
        <f t="shared" si="132"/>
        <v>0</v>
      </c>
      <c r="H245" s="7687" t="str">
        <f t="shared" si="133"/>
        <v/>
      </c>
      <c r="I245" s="7685" t="str">
        <f t="shared" si="134"/>
        <v/>
      </c>
      <c r="M245" s="7622">
        <f t="shared" si="135"/>
        <v>1</v>
      </c>
      <c r="N245" s="7688">
        <f t="shared" si="136"/>
        <v>228</v>
      </c>
      <c r="O245" s="7661" t="str">
        <f t="shared" si="137"/>
        <v>0</v>
      </c>
      <c r="P245" s="7688">
        <f t="shared" si="138"/>
        <v>1</v>
      </c>
      <c r="Q245" s="7688">
        <f t="shared" si="139"/>
        <v>1</v>
      </c>
      <c r="CA245" s="3170" t="s">
        <v>966</v>
      </c>
      <c r="CB245" s="7634" t="s">
        <v>16255</v>
      </c>
      <c r="CC245" s="3170" t="s">
        <v>16816</v>
      </c>
      <c r="CD245" s="3170" t="s">
        <v>16817</v>
      </c>
    </row>
    <row r="246" spans="2:82">
      <c r="B246" s="7685"/>
      <c r="C246" s="7685"/>
      <c r="D246" s="7685"/>
      <c r="E246" s="7685">
        <f>IF(H245&lt;&gt;"",E245,IF(E245="","",IFERROR(MATCH(TRUE(),INDEX(INDEX($K:$K,E245+1):$K$203&lt;&gt;"",0),0)+E245,"")))</f>
        <v>421</v>
      </c>
      <c r="F246" s="7686">
        <f t="shared" si="140"/>
        <v>0</v>
      </c>
      <c r="G246" s="7686" t="str">
        <f t="shared" si="132"/>
        <v>0</v>
      </c>
      <c r="H246" s="7687" t="str">
        <f t="shared" si="133"/>
        <v/>
      </c>
      <c r="I246" s="7685" t="str">
        <f t="shared" si="134"/>
        <v/>
      </c>
      <c r="M246" s="7622">
        <f t="shared" si="135"/>
        <v>1</v>
      </c>
      <c r="N246" s="7688">
        <f t="shared" si="136"/>
        <v>229</v>
      </c>
      <c r="O246" s="7661" t="str">
        <f t="shared" si="137"/>
        <v>0</v>
      </c>
      <c r="P246" s="7688">
        <f t="shared" si="138"/>
        <v>1</v>
      </c>
      <c r="Q246" s="7688">
        <f t="shared" si="139"/>
        <v>1</v>
      </c>
      <c r="CA246" s="3170" t="s">
        <v>966</v>
      </c>
      <c r="CB246" s="7634" t="s">
        <v>16255</v>
      </c>
      <c r="CC246" s="3170" t="s">
        <v>16818</v>
      </c>
      <c r="CD246" s="3170" t="s">
        <v>16819</v>
      </c>
    </row>
    <row r="247" spans="2:82">
      <c r="B247" s="7685"/>
      <c r="C247" s="7685"/>
      <c r="D247" s="7685"/>
      <c r="E247" s="7685">
        <f>IF(H246&lt;&gt;"",E246,IF(E246="","",IFERROR(MATCH(TRUE(),INDEX(INDEX($K:$K,E246+1):$K$203&lt;&gt;"",0),0)+E246,"")))</f>
        <v>422</v>
      </c>
      <c r="F247" s="7686">
        <f t="shared" si="140"/>
        <v>0</v>
      </c>
      <c r="G247" s="7686" t="str">
        <f t="shared" si="132"/>
        <v>0</v>
      </c>
      <c r="H247" s="7687" t="str">
        <f t="shared" si="133"/>
        <v/>
      </c>
      <c r="I247" s="7685" t="str">
        <f t="shared" si="134"/>
        <v/>
      </c>
      <c r="M247" s="7622">
        <f t="shared" si="135"/>
        <v>1</v>
      </c>
      <c r="N247" s="7688">
        <f t="shared" si="136"/>
        <v>230</v>
      </c>
      <c r="O247" s="7661" t="str">
        <f t="shared" si="137"/>
        <v>0</v>
      </c>
      <c r="P247" s="7688">
        <f t="shared" si="138"/>
        <v>1</v>
      </c>
      <c r="Q247" s="7688">
        <f t="shared" si="139"/>
        <v>1</v>
      </c>
      <c r="CA247" s="3170" t="s">
        <v>966</v>
      </c>
      <c r="CB247" s="7634" t="s">
        <v>16255</v>
      </c>
      <c r="CC247" s="3170" t="s">
        <v>16820</v>
      </c>
      <c r="CD247" s="3170" t="s">
        <v>16821</v>
      </c>
    </row>
    <row r="248" spans="2:82">
      <c r="B248" s="7685"/>
      <c r="C248" s="7685"/>
      <c r="D248" s="7685"/>
      <c r="E248" s="7685">
        <f>IF(H247&lt;&gt;"",E247,IF(E247="","",IFERROR(MATCH(TRUE(),INDEX(INDEX($K:$K,E247+1):$K$203&lt;&gt;"",0),0)+E247,"")))</f>
        <v>423</v>
      </c>
      <c r="F248" s="7686">
        <f t="shared" si="140"/>
        <v>0</v>
      </c>
      <c r="G248" s="7686" t="str">
        <f t="shared" si="132"/>
        <v>0</v>
      </c>
      <c r="H248" s="7687" t="str">
        <f t="shared" si="133"/>
        <v/>
      </c>
      <c r="I248" s="7685" t="str">
        <f t="shared" si="134"/>
        <v/>
      </c>
      <c r="M248" s="7622">
        <f t="shared" si="135"/>
        <v>1</v>
      </c>
      <c r="N248" s="7688">
        <f t="shared" si="136"/>
        <v>231</v>
      </c>
      <c r="O248" s="7661" t="str">
        <f t="shared" si="137"/>
        <v>0</v>
      </c>
      <c r="P248" s="7688">
        <f t="shared" si="138"/>
        <v>1</v>
      </c>
      <c r="Q248" s="7688">
        <f t="shared" si="139"/>
        <v>1</v>
      </c>
      <c r="CA248" s="3170" t="s">
        <v>966</v>
      </c>
      <c r="CB248" s="7634" t="s">
        <v>16255</v>
      </c>
      <c r="CC248" s="3170" t="s">
        <v>16822</v>
      </c>
      <c r="CD248" s="3170" t="s">
        <v>16823</v>
      </c>
    </row>
    <row r="249" spans="2:82">
      <c r="B249" s="7685"/>
      <c r="C249" s="7685"/>
      <c r="D249" s="7685"/>
      <c r="E249" s="7685">
        <f>IF(H248&lt;&gt;"",E248,IF(E248="","",IFERROR(MATCH(TRUE(),INDEX(INDEX($K:$K,E248+1):$K$203&lt;&gt;"",0),0)+E248,"")))</f>
        <v>424</v>
      </c>
      <c r="F249" s="7686">
        <f t="shared" si="140"/>
        <v>0</v>
      </c>
      <c r="G249" s="7686" t="str">
        <f t="shared" si="132"/>
        <v>0</v>
      </c>
      <c r="H249" s="7687" t="str">
        <f t="shared" si="133"/>
        <v/>
      </c>
      <c r="I249" s="7685" t="str">
        <f t="shared" si="134"/>
        <v/>
      </c>
      <c r="M249" s="7622">
        <f t="shared" si="135"/>
        <v>1</v>
      </c>
      <c r="N249" s="7688">
        <f t="shared" si="136"/>
        <v>232</v>
      </c>
      <c r="O249" s="7661" t="str">
        <f t="shared" si="137"/>
        <v>0</v>
      </c>
      <c r="P249" s="7688">
        <f t="shared" si="138"/>
        <v>1</v>
      </c>
      <c r="Q249" s="7688">
        <f t="shared" si="139"/>
        <v>1</v>
      </c>
      <c r="CA249" s="3170" t="s">
        <v>966</v>
      </c>
      <c r="CB249" s="7634" t="s">
        <v>16255</v>
      </c>
      <c r="CC249" s="3170" t="s">
        <v>16824</v>
      </c>
      <c r="CD249" s="3170" t="s">
        <v>16825</v>
      </c>
    </row>
    <row r="250" spans="2:82">
      <c r="B250" s="7685"/>
      <c r="C250" s="7685"/>
      <c r="D250" s="7685"/>
      <c r="E250" s="7685">
        <f>IF(H249&lt;&gt;"",E249,IF(E249="","",IFERROR(MATCH(TRUE(),INDEX(INDEX($K:$K,E249+1):$K$203&lt;&gt;"",0),0)+E249,"")))</f>
        <v>425</v>
      </c>
      <c r="F250" s="7686">
        <f t="shared" si="140"/>
        <v>0</v>
      </c>
      <c r="G250" s="7686" t="str">
        <f t="shared" si="132"/>
        <v>0</v>
      </c>
      <c r="H250" s="7687" t="str">
        <f t="shared" si="133"/>
        <v/>
      </c>
      <c r="I250" s="7685" t="str">
        <f t="shared" si="134"/>
        <v/>
      </c>
      <c r="M250" s="7622">
        <f t="shared" si="135"/>
        <v>1</v>
      </c>
      <c r="N250" s="7688">
        <f t="shared" si="136"/>
        <v>233</v>
      </c>
      <c r="O250" s="7661" t="str">
        <f t="shared" si="137"/>
        <v>0</v>
      </c>
      <c r="P250" s="7688">
        <f t="shared" si="138"/>
        <v>1</v>
      </c>
      <c r="Q250" s="7688">
        <f t="shared" si="139"/>
        <v>1</v>
      </c>
      <c r="CA250" s="3170" t="s">
        <v>966</v>
      </c>
      <c r="CB250" s="7634" t="s">
        <v>16255</v>
      </c>
      <c r="CC250" s="3170" t="s">
        <v>16826</v>
      </c>
      <c r="CD250" s="3170" t="s">
        <v>16827</v>
      </c>
    </row>
    <row r="251" spans="2:82">
      <c r="B251" s="7685"/>
      <c r="C251" s="7685"/>
      <c r="D251" s="7685"/>
      <c r="E251" s="7685">
        <f>IF(H250&lt;&gt;"",E250,IF(E250="","",IFERROR(MATCH(TRUE(),INDEX(INDEX($K:$K,E250+1):$K$203&lt;&gt;"",0),0)+E250,"")))</f>
        <v>426</v>
      </c>
      <c r="F251" s="7686">
        <f t="shared" si="140"/>
        <v>0</v>
      </c>
      <c r="G251" s="7686" t="str">
        <f t="shared" si="132"/>
        <v>0</v>
      </c>
      <c r="H251" s="7687" t="str">
        <f t="shared" si="133"/>
        <v/>
      </c>
      <c r="I251" s="7685" t="str">
        <f t="shared" si="134"/>
        <v/>
      </c>
      <c r="M251" s="7622">
        <f t="shared" si="135"/>
        <v>1</v>
      </c>
      <c r="N251" s="7688">
        <f t="shared" si="136"/>
        <v>234</v>
      </c>
      <c r="O251" s="7661" t="str">
        <f t="shared" si="137"/>
        <v>0</v>
      </c>
      <c r="P251" s="7688">
        <f t="shared" si="138"/>
        <v>1</v>
      </c>
      <c r="Q251" s="7688">
        <f t="shared" si="139"/>
        <v>1</v>
      </c>
      <c r="CA251" s="3170" t="s">
        <v>966</v>
      </c>
      <c r="CB251" s="7634" t="s">
        <v>16255</v>
      </c>
      <c r="CC251" s="3170" t="s">
        <v>16828</v>
      </c>
      <c r="CD251" s="3170" t="s">
        <v>16829</v>
      </c>
    </row>
    <row r="252" spans="2:82">
      <c r="B252" s="7685"/>
      <c r="C252" s="7685"/>
      <c r="D252" s="7685"/>
      <c r="E252" s="7685">
        <f>IF(H251&lt;&gt;"",E251,IF(E251="","",IFERROR(MATCH(TRUE(),INDEX(INDEX($K:$K,E251+1):$K$203&lt;&gt;"",0),0)+E251,"")))</f>
        <v>427</v>
      </c>
      <c r="F252" s="7686">
        <f t="shared" si="140"/>
        <v>0</v>
      </c>
      <c r="G252" s="7686" t="str">
        <f t="shared" si="132"/>
        <v>0</v>
      </c>
      <c r="H252" s="7687" t="str">
        <f t="shared" si="133"/>
        <v/>
      </c>
      <c r="I252" s="7685" t="str">
        <f t="shared" si="134"/>
        <v/>
      </c>
      <c r="M252" s="7622">
        <f t="shared" si="135"/>
        <v>1</v>
      </c>
      <c r="N252" s="7688">
        <f t="shared" si="136"/>
        <v>235</v>
      </c>
      <c r="O252" s="7661" t="str">
        <f t="shared" si="137"/>
        <v>0</v>
      </c>
      <c r="P252" s="7688">
        <f t="shared" si="138"/>
        <v>1</v>
      </c>
      <c r="Q252" s="7688">
        <f t="shared" si="139"/>
        <v>1</v>
      </c>
      <c r="CA252" s="3170" t="s">
        <v>966</v>
      </c>
      <c r="CB252" s="7634" t="s">
        <v>16255</v>
      </c>
      <c r="CC252" s="3170" t="s">
        <v>16830</v>
      </c>
      <c r="CD252" s="3170" t="s">
        <v>16831</v>
      </c>
    </row>
    <row r="253" spans="2:82">
      <c r="B253" s="7685"/>
      <c r="C253" s="7685"/>
      <c r="D253" s="7685"/>
      <c r="E253" s="7685">
        <f>IF(H252&lt;&gt;"",E252,IF(E252="","",IFERROR(MATCH(TRUE(),INDEX(INDEX($K:$K,E252+1):$K$203&lt;&gt;"",0),0)+E252,"")))</f>
        <v>428</v>
      </c>
      <c r="F253" s="7686">
        <f t="shared" si="140"/>
        <v>0</v>
      </c>
      <c r="G253" s="7686" t="str">
        <f t="shared" si="132"/>
        <v>0</v>
      </c>
      <c r="H253" s="7687" t="str">
        <f t="shared" si="133"/>
        <v/>
      </c>
      <c r="I253" s="7685" t="str">
        <f t="shared" si="134"/>
        <v/>
      </c>
      <c r="M253" s="7622">
        <f t="shared" si="135"/>
        <v>1</v>
      </c>
      <c r="N253" s="7688">
        <f t="shared" si="136"/>
        <v>236</v>
      </c>
      <c r="O253" s="7661" t="str">
        <f t="shared" si="137"/>
        <v>0</v>
      </c>
      <c r="P253" s="7688">
        <f t="shared" si="138"/>
        <v>1</v>
      </c>
      <c r="Q253" s="7688">
        <f t="shared" si="139"/>
        <v>1</v>
      </c>
      <c r="CA253" s="3170" t="s">
        <v>966</v>
      </c>
      <c r="CB253" s="7634" t="s">
        <v>16255</v>
      </c>
      <c r="CC253" s="3170" t="s">
        <v>16832</v>
      </c>
      <c r="CD253" s="3170" t="s">
        <v>16833</v>
      </c>
    </row>
    <row r="254" spans="2:82">
      <c r="B254" s="7685"/>
      <c r="C254" s="7685"/>
      <c r="D254" s="7685"/>
      <c r="E254" s="7685">
        <f>IF(H253&lt;&gt;"",E253,IF(E253="","",IFERROR(MATCH(TRUE(),INDEX(INDEX($K:$K,E253+1):$K$203&lt;&gt;"",0),0)+E253,"")))</f>
        <v>429</v>
      </c>
      <c r="F254" s="7686">
        <f t="shared" si="140"/>
        <v>0</v>
      </c>
      <c r="G254" s="7686" t="str">
        <f t="shared" si="132"/>
        <v>0</v>
      </c>
      <c r="H254" s="7687" t="str">
        <f t="shared" si="133"/>
        <v/>
      </c>
      <c r="I254" s="7685" t="str">
        <f t="shared" si="134"/>
        <v/>
      </c>
      <c r="M254" s="7622">
        <f t="shared" si="135"/>
        <v>1</v>
      </c>
      <c r="N254" s="7688">
        <f t="shared" si="136"/>
        <v>237</v>
      </c>
      <c r="O254" s="7661" t="str">
        <f t="shared" si="137"/>
        <v>0</v>
      </c>
      <c r="P254" s="7688">
        <f t="shared" si="138"/>
        <v>1</v>
      </c>
      <c r="Q254" s="7688">
        <f t="shared" si="139"/>
        <v>1</v>
      </c>
      <c r="CA254" s="3170" t="s">
        <v>966</v>
      </c>
      <c r="CB254" s="7634" t="s">
        <v>16255</v>
      </c>
      <c r="CC254" s="3170" t="s">
        <v>16834</v>
      </c>
      <c r="CD254" s="3170" t="s">
        <v>16835</v>
      </c>
    </row>
    <row r="255" spans="2:82">
      <c r="B255" s="7685"/>
      <c r="C255" s="7685"/>
      <c r="D255" s="7685"/>
      <c r="E255" s="7685">
        <f>IF(H254&lt;&gt;"",E254,IF(E254="","",IFERROR(MATCH(TRUE(),INDEX(INDEX($K:$K,E254+1):$K$203&lt;&gt;"",0),0)+E254,"")))</f>
        <v>430</v>
      </c>
      <c r="F255" s="7686">
        <f t="shared" si="140"/>
        <v>0</v>
      </c>
      <c r="G255" s="7686" t="str">
        <f t="shared" si="132"/>
        <v>0</v>
      </c>
      <c r="H255" s="7687" t="str">
        <f t="shared" si="133"/>
        <v/>
      </c>
      <c r="I255" s="7685" t="str">
        <f t="shared" si="134"/>
        <v/>
      </c>
      <c r="M255" s="7622">
        <f t="shared" si="135"/>
        <v>1</v>
      </c>
      <c r="N255" s="7688">
        <f t="shared" si="136"/>
        <v>238</v>
      </c>
      <c r="O255" s="7661" t="str">
        <f t="shared" si="137"/>
        <v>0</v>
      </c>
      <c r="P255" s="7688">
        <f t="shared" si="138"/>
        <v>1</v>
      </c>
      <c r="Q255" s="7688">
        <f t="shared" si="139"/>
        <v>1</v>
      </c>
      <c r="CA255" s="3170" t="s">
        <v>966</v>
      </c>
      <c r="CB255" s="7634" t="s">
        <v>16255</v>
      </c>
      <c r="CC255" s="3170" t="s">
        <v>16836</v>
      </c>
      <c r="CD255" s="3170" t="s">
        <v>16837</v>
      </c>
    </row>
    <row r="256" spans="2:82">
      <c r="B256" s="7685"/>
      <c r="C256" s="7685"/>
      <c r="D256" s="7685"/>
      <c r="E256" s="7685">
        <f>IF(H255&lt;&gt;"",E255,IF(E255="","",IFERROR(MATCH(TRUE(),INDEX(INDEX($K:$K,E255+1):$K$203&lt;&gt;"",0),0)+E255,"")))</f>
        <v>431</v>
      </c>
      <c r="F256" s="7686">
        <f t="shared" si="140"/>
        <v>0</v>
      </c>
      <c r="G256" s="7686" t="str">
        <f t="shared" si="132"/>
        <v>0</v>
      </c>
      <c r="H256" s="7687" t="str">
        <f t="shared" si="133"/>
        <v/>
      </c>
      <c r="I256" s="7685" t="str">
        <f t="shared" si="134"/>
        <v/>
      </c>
      <c r="M256" s="7622">
        <f t="shared" si="135"/>
        <v>1</v>
      </c>
      <c r="N256" s="7688">
        <f t="shared" si="136"/>
        <v>239</v>
      </c>
      <c r="O256" s="7661" t="str">
        <f t="shared" si="137"/>
        <v>0</v>
      </c>
      <c r="P256" s="7688">
        <f t="shared" si="138"/>
        <v>1</v>
      </c>
      <c r="Q256" s="7688">
        <f t="shared" si="139"/>
        <v>1</v>
      </c>
      <c r="CA256" s="3170" t="s">
        <v>966</v>
      </c>
      <c r="CB256" s="7634" t="s">
        <v>16255</v>
      </c>
      <c r="CC256" s="3170" t="s">
        <v>16838</v>
      </c>
      <c r="CD256" s="3170" t="s">
        <v>16839</v>
      </c>
    </row>
    <row r="257" spans="2:82">
      <c r="B257" s="7685"/>
      <c r="C257" s="7685"/>
      <c r="D257" s="7685"/>
      <c r="E257" s="7685">
        <f>IF(H256&lt;&gt;"",E256,IF(E256="","",IFERROR(MATCH(TRUE(),INDEX(INDEX($K:$K,E256+1):$K$203&lt;&gt;"",0),0)+E256,"")))</f>
        <v>432</v>
      </c>
      <c r="F257" s="7686">
        <f t="shared" si="140"/>
        <v>0</v>
      </c>
      <c r="G257" s="7686" t="str">
        <f t="shared" si="132"/>
        <v>0</v>
      </c>
      <c r="H257" s="7687" t="str">
        <f t="shared" si="133"/>
        <v/>
      </c>
      <c r="I257" s="7685" t="str">
        <f t="shared" si="134"/>
        <v/>
      </c>
      <c r="M257" s="7622">
        <f t="shared" si="135"/>
        <v>1</v>
      </c>
      <c r="N257" s="7688">
        <f t="shared" si="136"/>
        <v>240</v>
      </c>
      <c r="O257" s="7661" t="str">
        <f t="shared" si="137"/>
        <v>0</v>
      </c>
      <c r="P257" s="7688">
        <f t="shared" si="138"/>
        <v>1</v>
      </c>
      <c r="Q257" s="7688">
        <f t="shared" si="139"/>
        <v>1</v>
      </c>
      <c r="CA257" s="3170" t="s">
        <v>966</v>
      </c>
      <c r="CB257" s="7634" t="s">
        <v>16255</v>
      </c>
      <c r="CC257" s="3170" t="s">
        <v>15189</v>
      </c>
      <c r="CD257" s="3170" t="s">
        <v>16840</v>
      </c>
    </row>
    <row r="258" spans="2:82">
      <c r="B258" s="7685"/>
      <c r="C258" s="7685"/>
      <c r="D258" s="7685"/>
      <c r="E258" s="7685">
        <f>IF(H257&lt;&gt;"",E257,IF(E257="","",IFERROR(MATCH(TRUE(),INDEX(INDEX($K:$K,E257+1):$K$203&lt;&gt;"",0),0)+E257,"")))</f>
        <v>433</v>
      </c>
      <c r="F258" s="7686">
        <f t="shared" si="140"/>
        <v>0</v>
      </c>
      <c r="G258" s="7686" t="str">
        <f t="shared" si="132"/>
        <v>0</v>
      </c>
      <c r="H258" s="7687" t="str">
        <f t="shared" si="133"/>
        <v/>
      </c>
      <c r="I258" s="7685" t="str">
        <f t="shared" si="134"/>
        <v/>
      </c>
      <c r="M258" s="7622">
        <f t="shared" si="135"/>
        <v>1</v>
      </c>
      <c r="N258" s="7688">
        <f t="shared" si="136"/>
        <v>241</v>
      </c>
      <c r="O258" s="7661" t="str">
        <f t="shared" si="137"/>
        <v>0</v>
      </c>
      <c r="P258" s="7688">
        <f t="shared" si="138"/>
        <v>1</v>
      </c>
      <c r="Q258" s="7688">
        <f t="shared" si="139"/>
        <v>1</v>
      </c>
      <c r="CA258" s="3170" t="s">
        <v>966</v>
      </c>
      <c r="CB258" s="7634" t="s">
        <v>16255</v>
      </c>
      <c r="CC258" s="3170" t="s">
        <v>16841</v>
      </c>
      <c r="CD258" s="3170" t="s">
        <v>16842</v>
      </c>
    </row>
    <row r="259" spans="2:82">
      <c r="B259" s="7685"/>
      <c r="C259" s="7685"/>
      <c r="D259" s="7685"/>
      <c r="E259" s="7685">
        <f>IF(H258&lt;&gt;"",E258,IF(E258="","",IFERROR(MATCH(TRUE(),INDEX(INDEX($K:$K,E258+1):$K$203&lt;&gt;"",0),0)+E258,"")))</f>
        <v>434</v>
      </c>
      <c r="F259" s="7686">
        <f t="shared" si="140"/>
        <v>0</v>
      </c>
      <c r="G259" s="7686" t="str">
        <f t="shared" si="132"/>
        <v>0</v>
      </c>
      <c r="H259" s="7687" t="str">
        <f t="shared" si="133"/>
        <v/>
      </c>
      <c r="I259" s="7685" t="str">
        <f t="shared" si="134"/>
        <v/>
      </c>
      <c r="M259" s="7622">
        <f t="shared" si="135"/>
        <v>1</v>
      </c>
      <c r="N259" s="7688">
        <f t="shared" si="136"/>
        <v>242</v>
      </c>
      <c r="O259" s="7661" t="str">
        <f t="shared" si="137"/>
        <v>0</v>
      </c>
      <c r="P259" s="7688">
        <f t="shared" si="138"/>
        <v>1</v>
      </c>
      <c r="Q259" s="7688">
        <f t="shared" si="139"/>
        <v>1</v>
      </c>
      <c r="CA259" s="3170" t="s">
        <v>966</v>
      </c>
      <c r="CB259" s="7634" t="s">
        <v>16255</v>
      </c>
      <c r="CC259" s="3170" t="s">
        <v>16843</v>
      </c>
      <c r="CD259" s="3170" t="s">
        <v>16844</v>
      </c>
    </row>
    <row r="260" spans="2:82">
      <c r="B260" s="7685"/>
      <c r="C260" s="7685"/>
      <c r="D260" s="7685"/>
      <c r="E260" s="7685">
        <f>IF(H259&lt;&gt;"",E259,IF(E259="","",IFERROR(MATCH(TRUE(),INDEX(INDEX($K:$K,E259+1):$K$203&lt;&gt;"",0),0)+E259,"")))</f>
        <v>435</v>
      </c>
      <c r="F260" s="7686">
        <f t="shared" si="140"/>
        <v>0</v>
      </c>
      <c r="G260" s="7686" t="str">
        <f t="shared" si="132"/>
        <v>0</v>
      </c>
      <c r="H260" s="7687" t="str">
        <f t="shared" si="133"/>
        <v/>
      </c>
      <c r="I260" s="7685" t="str">
        <f t="shared" si="134"/>
        <v/>
      </c>
      <c r="M260" s="7622">
        <f t="shared" si="135"/>
        <v>1</v>
      </c>
      <c r="N260" s="7688">
        <f t="shared" si="136"/>
        <v>243</v>
      </c>
      <c r="O260" s="7661" t="str">
        <f t="shared" si="137"/>
        <v>0</v>
      </c>
      <c r="P260" s="7688">
        <f t="shared" si="138"/>
        <v>1</v>
      </c>
      <c r="Q260" s="7688">
        <f t="shared" si="139"/>
        <v>1</v>
      </c>
      <c r="CA260" s="3170" t="s">
        <v>966</v>
      </c>
      <c r="CB260" s="7634" t="s">
        <v>16255</v>
      </c>
      <c r="CC260" s="3170" t="s">
        <v>16845</v>
      </c>
      <c r="CD260" s="3170" t="s">
        <v>16846</v>
      </c>
    </row>
    <row r="261" spans="2:82">
      <c r="B261" s="7685"/>
      <c r="C261" s="7685"/>
      <c r="D261" s="7685"/>
      <c r="E261" s="7685">
        <f>IF(H260&lt;&gt;"",E260,IF(E260="","",IFERROR(MATCH(TRUE(),INDEX(INDEX($K:$K,E260+1):$K$203&lt;&gt;"",0),0)+E260,"")))</f>
        <v>436</v>
      </c>
      <c r="F261" s="7686">
        <f t="shared" si="140"/>
        <v>0</v>
      </c>
      <c r="G261" s="7686" t="str">
        <f t="shared" si="132"/>
        <v>0</v>
      </c>
      <c r="H261" s="7687" t="str">
        <f t="shared" si="133"/>
        <v/>
      </c>
      <c r="I261" s="7685" t="str">
        <f t="shared" si="134"/>
        <v/>
      </c>
      <c r="M261" s="7622">
        <f t="shared" si="135"/>
        <v>1</v>
      </c>
      <c r="N261" s="7688">
        <f t="shared" si="136"/>
        <v>244</v>
      </c>
      <c r="O261" s="7661" t="str">
        <f t="shared" si="137"/>
        <v>0</v>
      </c>
      <c r="P261" s="7688">
        <f t="shared" si="138"/>
        <v>1</v>
      </c>
      <c r="Q261" s="7688">
        <f t="shared" si="139"/>
        <v>1</v>
      </c>
      <c r="CA261" s="3170" t="s">
        <v>966</v>
      </c>
      <c r="CB261" s="7634" t="s">
        <v>16255</v>
      </c>
      <c r="CC261" s="3170" t="s">
        <v>16847</v>
      </c>
      <c r="CD261" s="3170" t="s">
        <v>16848</v>
      </c>
    </row>
    <row r="262" spans="2:82">
      <c r="B262" s="7685"/>
      <c r="C262" s="7685"/>
      <c r="D262" s="7685"/>
      <c r="E262" s="7685">
        <f>IF(H261&lt;&gt;"",E261,IF(E261="","",IFERROR(MATCH(TRUE(),INDEX(INDEX($K:$K,E261+1):$K$203&lt;&gt;"",0),0)+E261,"")))</f>
        <v>437</v>
      </c>
      <c r="F262" s="7686">
        <f t="shared" si="140"/>
        <v>0</v>
      </c>
      <c r="G262" s="7686" t="str">
        <f t="shared" si="132"/>
        <v>0</v>
      </c>
      <c r="H262" s="7687" t="str">
        <f t="shared" si="133"/>
        <v/>
      </c>
      <c r="I262" s="7685" t="str">
        <f t="shared" si="134"/>
        <v/>
      </c>
      <c r="M262" s="7622">
        <f t="shared" si="135"/>
        <v>1</v>
      </c>
      <c r="N262" s="7688">
        <f t="shared" si="136"/>
        <v>245</v>
      </c>
      <c r="O262" s="7661" t="str">
        <f t="shared" si="137"/>
        <v>0</v>
      </c>
      <c r="P262" s="7688">
        <f t="shared" si="138"/>
        <v>1</v>
      </c>
      <c r="Q262" s="7688">
        <f t="shared" si="139"/>
        <v>1</v>
      </c>
      <c r="CA262" s="3170" t="s">
        <v>966</v>
      </c>
      <c r="CB262" s="7634" t="s">
        <v>16255</v>
      </c>
      <c r="CC262" s="3170" t="s">
        <v>16849</v>
      </c>
      <c r="CD262" s="3170" t="s">
        <v>16850</v>
      </c>
    </row>
    <row r="263" spans="2:82">
      <c r="B263" s="7685"/>
      <c r="C263" s="7685"/>
      <c r="D263" s="7685"/>
      <c r="E263" s="7685">
        <f>IF(H262&lt;&gt;"",E262,IF(E262="","",IFERROR(MATCH(TRUE(),INDEX(INDEX($K:$K,E262+1):$K$203&lt;&gt;"",0),0)+E262,"")))</f>
        <v>438</v>
      </c>
      <c r="F263" s="7686">
        <f t="shared" si="140"/>
        <v>0</v>
      </c>
      <c r="G263" s="7686" t="str">
        <f t="shared" si="132"/>
        <v>0</v>
      </c>
      <c r="H263" s="7687" t="str">
        <f t="shared" si="133"/>
        <v/>
      </c>
      <c r="I263" s="7685" t="str">
        <f t="shared" si="134"/>
        <v/>
      </c>
      <c r="M263" s="7622">
        <f t="shared" si="135"/>
        <v>1</v>
      </c>
      <c r="N263" s="7688">
        <f t="shared" si="136"/>
        <v>246</v>
      </c>
      <c r="O263" s="7661" t="str">
        <f t="shared" si="137"/>
        <v>0</v>
      </c>
      <c r="P263" s="7688">
        <f t="shared" si="138"/>
        <v>1</v>
      </c>
      <c r="Q263" s="7688">
        <f t="shared" si="139"/>
        <v>1</v>
      </c>
      <c r="CA263" s="3170" t="s">
        <v>966</v>
      </c>
      <c r="CB263" s="7634" t="s">
        <v>16255</v>
      </c>
      <c r="CC263" s="3170" t="s">
        <v>16851</v>
      </c>
      <c r="CD263" s="3170" t="s">
        <v>16852</v>
      </c>
    </row>
    <row r="264" spans="2:82">
      <c r="B264" s="7685"/>
      <c r="C264" s="7685"/>
      <c r="D264" s="7685"/>
      <c r="E264" s="7685">
        <f>IF(H263&lt;&gt;"",E263,IF(E263="","",IFERROR(MATCH(TRUE(),INDEX(INDEX($K:$K,E263+1):$K$203&lt;&gt;"",0),0)+E263,"")))</f>
        <v>439</v>
      </c>
      <c r="F264" s="7686">
        <f t="shared" si="140"/>
        <v>0</v>
      </c>
      <c r="G264" s="7686" t="str">
        <f t="shared" si="132"/>
        <v>0</v>
      </c>
      <c r="H264" s="7687" t="str">
        <f t="shared" si="133"/>
        <v/>
      </c>
      <c r="I264" s="7685" t="str">
        <f t="shared" si="134"/>
        <v/>
      </c>
      <c r="M264" s="7622">
        <f t="shared" si="135"/>
        <v>1</v>
      </c>
      <c r="N264" s="7688">
        <f t="shared" si="136"/>
        <v>247</v>
      </c>
      <c r="O264" s="7661" t="str">
        <f t="shared" si="137"/>
        <v>0</v>
      </c>
      <c r="P264" s="7688">
        <f t="shared" si="138"/>
        <v>1</v>
      </c>
      <c r="Q264" s="7688">
        <f t="shared" si="139"/>
        <v>1</v>
      </c>
      <c r="CA264" s="3170" t="s">
        <v>966</v>
      </c>
      <c r="CB264" s="7634" t="s">
        <v>16255</v>
      </c>
      <c r="CC264" s="3170" t="s">
        <v>468</v>
      </c>
      <c r="CD264" s="3170" t="s">
        <v>16853</v>
      </c>
    </row>
    <row r="265" spans="2:82">
      <c r="B265" s="7685"/>
      <c r="C265" s="7685"/>
      <c r="D265" s="7685"/>
      <c r="E265" s="7685">
        <f>IF(H264&lt;&gt;"",E264,IF(E264="","",IFERROR(MATCH(TRUE(),INDEX(INDEX($K:$K,E264+1):$K$203&lt;&gt;"",0),0)+E264,"")))</f>
        <v>440</v>
      </c>
      <c r="F265" s="7686">
        <f t="shared" si="140"/>
        <v>0</v>
      </c>
      <c r="G265" s="7686" t="str">
        <f t="shared" si="132"/>
        <v>0</v>
      </c>
      <c r="H265" s="7687" t="str">
        <f t="shared" si="133"/>
        <v/>
      </c>
      <c r="I265" s="7685" t="str">
        <f t="shared" si="134"/>
        <v/>
      </c>
      <c r="M265" s="7622">
        <f t="shared" si="135"/>
        <v>1</v>
      </c>
      <c r="N265" s="7688">
        <f t="shared" si="136"/>
        <v>248</v>
      </c>
      <c r="O265" s="7661" t="str">
        <f t="shared" si="137"/>
        <v>0</v>
      </c>
      <c r="P265" s="7688">
        <f t="shared" si="138"/>
        <v>1</v>
      </c>
      <c r="Q265" s="7688">
        <f t="shared" si="139"/>
        <v>1</v>
      </c>
      <c r="CA265" s="3170" t="s">
        <v>966</v>
      </c>
      <c r="CB265" s="7634" t="s">
        <v>16255</v>
      </c>
      <c r="CC265" s="3170" t="s">
        <v>16854</v>
      </c>
      <c r="CD265" s="3170" t="s">
        <v>16855</v>
      </c>
    </row>
    <row r="266" spans="2:82">
      <c r="B266" s="7685"/>
      <c r="C266" s="7685"/>
      <c r="D266" s="7685"/>
      <c r="E266" s="7685">
        <f>IF(H265&lt;&gt;"",E265,IF(E265="","",IFERROR(MATCH(TRUE(),INDEX(INDEX($K:$K,E265+1):$K$203&lt;&gt;"",0),0)+E265,"")))</f>
        <v>441</v>
      </c>
      <c r="F266" s="7686">
        <f t="shared" si="140"/>
        <v>0</v>
      </c>
      <c r="G266" s="7686" t="str">
        <f t="shared" si="132"/>
        <v>0</v>
      </c>
      <c r="H266" s="7687" t="str">
        <f t="shared" si="133"/>
        <v/>
      </c>
      <c r="I266" s="7685" t="str">
        <f t="shared" si="134"/>
        <v/>
      </c>
      <c r="M266" s="7622">
        <f t="shared" si="135"/>
        <v>1</v>
      </c>
      <c r="N266" s="7688">
        <f t="shared" si="136"/>
        <v>249</v>
      </c>
      <c r="O266" s="7661" t="str">
        <f t="shared" si="137"/>
        <v>0</v>
      </c>
      <c r="P266" s="7688">
        <f t="shared" si="138"/>
        <v>1</v>
      </c>
      <c r="Q266" s="7688">
        <f t="shared" si="139"/>
        <v>1</v>
      </c>
      <c r="CA266" s="3170" t="s">
        <v>966</v>
      </c>
      <c r="CB266" s="7634" t="s">
        <v>16255</v>
      </c>
      <c r="CC266" s="3170" t="s">
        <v>16856</v>
      </c>
      <c r="CD266" s="3170" t="s">
        <v>16857</v>
      </c>
    </row>
    <row r="267" spans="2:82">
      <c r="B267" s="7685"/>
      <c r="C267" s="7685"/>
      <c r="D267" s="7685"/>
      <c r="E267" s="7685">
        <f>IF(H266&lt;&gt;"",E266,IF(E266="","",IFERROR(MATCH(TRUE(),INDEX(INDEX($K:$K,E266+1):$K$203&lt;&gt;"",0),0)+E266,"")))</f>
        <v>442</v>
      </c>
      <c r="F267" s="7686">
        <f t="shared" si="140"/>
        <v>0</v>
      </c>
      <c r="G267" s="7686" t="str">
        <f t="shared" si="132"/>
        <v>0</v>
      </c>
      <c r="H267" s="7687" t="str">
        <f t="shared" si="133"/>
        <v/>
      </c>
      <c r="I267" s="7685" t="str">
        <f t="shared" si="134"/>
        <v/>
      </c>
      <c r="M267" s="7622">
        <f t="shared" si="135"/>
        <v>1</v>
      </c>
      <c r="N267" s="7688">
        <f t="shared" si="136"/>
        <v>250</v>
      </c>
      <c r="O267" s="7661" t="str">
        <f t="shared" si="137"/>
        <v>0</v>
      </c>
      <c r="P267" s="7688">
        <f t="shared" si="138"/>
        <v>1</v>
      </c>
      <c r="Q267" s="7688">
        <f t="shared" si="139"/>
        <v>1</v>
      </c>
      <c r="CA267" s="3170" t="s">
        <v>966</v>
      </c>
      <c r="CB267" s="7634" t="s">
        <v>16255</v>
      </c>
      <c r="CC267" s="3170" t="s">
        <v>16858</v>
      </c>
      <c r="CD267" s="3170" t="s">
        <v>16859</v>
      </c>
    </row>
    <row r="268" spans="2:82">
      <c r="B268" s="7685"/>
      <c r="C268" s="7685"/>
      <c r="D268" s="7685"/>
      <c r="E268" s="7685">
        <f>IF(H267&lt;&gt;"",E267,IF(E267="","",IFERROR(MATCH(TRUE(),INDEX(INDEX($K:$K,E267+1):$K$203&lt;&gt;"",0),0)+E267,"")))</f>
        <v>443</v>
      </c>
      <c r="F268" s="7686">
        <f t="shared" si="140"/>
        <v>0</v>
      </c>
      <c r="G268" s="7686" t="str">
        <f t="shared" si="132"/>
        <v>0</v>
      </c>
      <c r="H268" s="7687" t="str">
        <f t="shared" si="133"/>
        <v/>
      </c>
      <c r="I268" s="7685" t="str">
        <f t="shared" si="134"/>
        <v/>
      </c>
      <c r="M268" s="7622">
        <f t="shared" si="135"/>
        <v>1</v>
      </c>
      <c r="N268" s="7688">
        <f t="shared" si="136"/>
        <v>251</v>
      </c>
      <c r="O268" s="7661" t="str">
        <f t="shared" si="137"/>
        <v>0</v>
      </c>
      <c r="P268" s="7688">
        <f t="shared" si="138"/>
        <v>1</v>
      </c>
      <c r="Q268" s="7688">
        <f t="shared" si="139"/>
        <v>1</v>
      </c>
      <c r="CA268" s="3170" t="s">
        <v>966</v>
      </c>
      <c r="CB268" s="7634" t="s">
        <v>16255</v>
      </c>
      <c r="CC268" s="3170" t="s">
        <v>16860</v>
      </c>
      <c r="CD268" s="3170" t="s">
        <v>16861</v>
      </c>
    </row>
    <row r="269" spans="2:82">
      <c r="B269" s="7685"/>
      <c r="C269" s="7685"/>
      <c r="D269" s="7685"/>
      <c r="E269" s="7685">
        <f>IF(H268&lt;&gt;"",E268,IF(E268="","",IFERROR(MATCH(TRUE(),INDEX(INDEX($K:$K,E268+1):$K$203&lt;&gt;"",0),0)+E268,"")))</f>
        <v>444</v>
      </c>
      <c r="F269" s="7686">
        <f t="shared" si="140"/>
        <v>0</v>
      </c>
      <c r="G269" s="7686" t="str">
        <f t="shared" si="132"/>
        <v>0</v>
      </c>
      <c r="H269" s="7687" t="str">
        <f t="shared" si="133"/>
        <v/>
      </c>
      <c r="I269" s="7685" t="str">
        <f t="shared" si="134"/>
        <v/>
      </c>
      <c r="M269" s="7622">
        <f t="shared" si="135"/>
        <v>1</v>
      </c>
      <c r="N269" s="7688">
        <f t="shared" si="136"/>
        <v>252</v>
      </c>
      <c r="O269" s="7661" t="str">
        <f t="shared" si="137"/>
        <v>0</v>
      </c>
      <c r="P269" s="7688">
        <f t="shared" si="138"/>
        <v>1</v>
      </c>
      <c r="Q269" s="7688">
        <f t="shared" si="139"/>
        <v>1</v>
      </c>
      <c r="CA269" s="3170" t="s">
        <v>966</v>
      </c>
      <c r="CB269" s="7634" t="s">
        <v>16255</v>
      </c>
      <c r="CC269" s="3170" t="s">
        <v>16862</v>
      </c>
      <c r="CD269" s="3170" t="s">
        <v>16863</v>
      </c>
    </row>
    <row r="270" spans="2:82">
      <c r="B270" s="7685"/>
      <c r="C270" s="7685"/>
      <c r="D270" s="7685"/>
      <c r="E270" s="7685">
        <f>IF(H269&lt;&gt;"",E269,IF(E269="","",IFERROR(MATCH(TRUE(),INDEX(INDEX($K:$K,E269+1):$K$203&lt;&gt;"",0),0)+E269,"")))</f>
        <v>445</v>
      </c>
      <c r="F270" s="7686">
        <f t="shared" si="140"/>
        <v>0</v>
      </c>
      <c r="G270" s="7686" t="str">
        <f t="shared" si="132"/>
        <v>0</v>
      </c>
      <c r="H270" s="7687" t="str">
        <f t="shared" si="133"/>
        <v/>
      </c>
      <c r="I270" s="7685" t="str">
        <f t="shared" si="134"/>
        <v/>
      </c>
      <c r="M270" s="7622">
        <f t="shared" si="135"/>
        <v>1</v>
      </c>
      <c r="N270" s="7688">
        <f t="shared" si="136"/>
        <v>253</v>
      </c>
      <c r="O270" s="7661" t="str">
        <f t="shared" si="137"/>
        <v>0</v>
      </c>
      <c r="P270" s="7688">
        <f t="shared" si="138"/>
        <v>1</v>
      </c>
      <c r="Q270" s="7688">
        <f t="shared" si="139"/>
        <v>1</v>
      </c>
      <c r="CA270" s="3170" t="s">
        <v>966</v>
      </c>
      <c r="CB270" s="7634" t="s">
        <v>16255</v>
      </c>
      <c r="CC270" s="3170" t="s">
        <v>16864</v>
      </c>
      <c r="CD270" s="3170" t="s">
        <v>16865</v>
      </c>
    </row>
    <row r="271" spans="2:82">
      <c r="B271" s="7685"/>
      <c r="C271" s="7685"/>
      <c r="D271" s="7685"/>
      <c r="E271" s="7685">
        <f>IF(H270&lt;&gt;"",E270,IF(E270="","",IFERROR(MATCH(TRUE(),INDEX(INDEX($K:$K,E270+1):$K$203&lt;&gt;"",0),0)+E270,"")))</f>
        <v>446</v>
      </c>
      <c r="F271" s="7686">
        <f t="shared" si="140"/>
        <v>0</v>
      </c>
      <c r="G271" s="7686" t="str">
        <f t="shared" si="132"/>
        <v>0</v>
      </c>
      <c r="H271" s="7687" t="str">
        <f t="shared" si="133"/>
        <v/>
      </c>
      <c r="I271" s="7685" t="str">
        <f t="shared" si="134"/>
        <v/>
      </c>
      <c r="M271" s="7622">
        <f t="shared" si="135"/>
        <v>1</v>
      </c>
      <c r="N271" s="7688">
        <f t="shared" si="136"/>
        <v>254</v>
      </c>
      <c r="O271" s="7661" t="str">
        <f t="shared" si="137"/>
        <v>0</v>
      </c>
      <c r="P271" s="7688">
        <f t="shared" si="138"/>
        <v>1</v>
      </c>
      <c r="Q271" s="7688">
        <f t="shared" si="139"/>
        <v>1</v>
      </c>
      <c r="CA271" s="3170" t="s">
        <v>966</v>
      </c>
      <c r="CB271" s="7634" t="s">
        <v>16255</v>
      </c>
      <c r="CC271" s="3170" t="s">
        <v>16866</v>
      </c>
      <c r="CD271" s="3170" t="s">
        <v>16867</v>
      </c>
    </row>
    <row r="272" spans="2:82">
      <c r="B272" s="7685"/>
      <c r="C272" s="7685"/>
      <c r="D272" s="7685"/>
      <c r="E272" s="7685">
        <f>IF(H271&lt;&gt;"",E271,IF(E271="","",IFERROR(MATCH(TRUE(),INDEX(INDEX($K:$K,E271+1):$K$203&lt;&gt;"",0),0)+E271,"")))</f>
        <v>447</v>
      </c>
      <c r="F272" s="7686">
        <f t="shared" si="140"/>
        <v>0</v>
      </c>
      <c r="G272" s="7686" t="str">
        <f t="shared" si="132"/>
        <v>0</v>
      </c>
      <c r="H272" s="7687" t="str">
        <f t="shared" si="133"/>
        <v/>
      </c>
      <c r="I272" s="7685" t="str">
        <f t="shared" si="134"/>
        <v/>
      </c>
      <c r="M272" s="7622">
        <f t="shared" si="135"/>
        <v>1</v>
      </c>
      <c r="N272" s="7688">
        <f t="shared" si="136"/>
        <v>255</v>
      </c>
      <c r="O272" s="7661" t="str">
        <f t="shared" si="137"/>
        <v>0</v>
      </c>
      <c r="P272" s="7688">
        <f t="shared" si="138"/>
        <v>1</v>
      </c>
      <c r="Q272" s="7688">
        <f t="shared" si="139"/>
        <v>1</v>
      </c>
      <c r="CA272" s="3170" t="s">
        <v>966</v>
      </c>
      <c r="CB272" s="7634" t="s">
        <v>16255</v>
      </c>
      <c r="CC272" s="3170" t="s">
        <v>16868</v>
      </c>
      <c r="CD272" s="3170" t="s">
        <v>16869</v>
      </c>
    </row>
    <row r="273" spans="2:82">
      <c r="B273" s="7685"/>
      <c r="C273" s="7685"/>
      <c r="D273" s="7685"/>
      <c r="E273" s="7685">
        <f>IF(H272&lt;&gt;"",E272,IF(E272="","",IFERROR(MATCH(TRUE(),INDEX(INDEX($K:$K,E272+1):$K$203&lt;&gt;"",0),0)+E272,"")))</f>
        <v>448</v>
      </c>
      <c r="F273" s="7686">
        <f t="shared" si="140"/>
        <v>0</v>
      </c>
      <c r="G273" s="7686" t="str">
        <f t="shared" si="132"/>
        <v>0</v>
      </c>
      <c r="H273" s="7687" t="str">
        <f t="shared" si="133"/>
        <v/>
      </c>
      <c r="I273" s="7685" t="str">
        <f t="shared" si="134"/>
        <v/>
      </c>
      <c r="M273" s="7622">
        <f t="shared" si="135"/>
        <v>1</v>
      </c>
      <c r="N273" s="7688">
        <f t="shared" si="136"/>
        <v>256</v>
      </c>
      <c r="O273" s="7661" t="str">
        <f t="shared" si="137"/>
        <v>0</v>
      </c>
      <c r="P273" s="7688">
        <f t="shared" si="138"/>
        <v>1</v>
      </c>
      <c r="Q273" s="7688">
        <f t="shared" si="139"/>
        <v>1</v>
      </c>
      <c r="CA273" s="3170" t="s">
        <v>966</v>
      </c>
      <c r="CB273" s="7634" t="s">
        <v>16255</v>
      </c>
      <c r="CC273" s="3170" t="s">
        <v>16870</v>
      </c>
      <c r="CD273" s="3170" t="s">
        <v>16871</v>
      </c>
    </row>
    <row r="274" spans="2:82">
      <c r="B274" s="7685"/>
      <c r="C274" s="7685"/>
      <c r="D274" s="7685"/>
      <c r="E274" s="7685">
        <f>IF(H273&lt;&gt;"",E273,IF(E273="","",IFERROR(MATCH(TRUE(),INDEX(INDEX($K:$K,E273+1):$K$203&lt;&gt;"",0),0)+E273,"")))</f>
        <v>449</v>
      </c>
      <c r="F274" s="7686">
        <f t="shared" si="140"/>
        <v>0</v>
      </c>
      <c r="G274" s="7686" t="str">
        <f t="shared" ref="G274:G337" si="141">IF(OR(F274="",M274=""),"",LEFT(F274,M274))</f>
        <v>0</v>
      </c>
      <c r="H274" s="7687" t="str">
        <f t="shared" ref="H274:H337" si="142">IF(OR(F274="",M274=""),"",TRIM(MID(F274,M274+1,99999)))</f>
        <v/>
      </c>
      <c r="I274" s="7685" t="str">
        <f t="shared" ref="I274:I337" si="143">IF(AND(F274&lt;&gt;"",$N$10&gt;0,M274&gt;$N$10),"Mot &gt; limite","")</f>
        <v/>
      </c>
      <c r="M274" s="7622">
        <f t="shared" ref="M274:M337" si="144">IF(OR(F274="",$N$10="",$N$10&lt;=0),"",IF(LEN(F274)&lt;=$N$10,LEN(F274),IFERROR(FIND("♦",SUBSTITUTE(LEFT(F274,$N$10)," ","♦",LEN(LEFT(F274,$N$10))-LEN(SUBSTITUTE(LEFT(F274,$N$10)," ","")))),FIND(" ",F274&amp;" ",$N$10+1)-1)))</f>
        <v>1</v>
      </c>
      <c r="N274" s="7688">
        <f t="shared" ref="N274:N337" si="145">IF(O274="","",ROW()-17)</f>
        <v>257</v>
      </c>
      <c r="O274" s="7661" t="str">
        <f t="shared" ref="O274:O337" si="146">G274</f>
        <v>0</v>
      </c>
      <c r="P274" s="7688">
        <f t="shared" ref="P274:P337" si="147">IF(O274="","",LEN(TRIM(O274))-LEN(SUBSTITUTE(TRIM(O274)," ",""))+1)</f>
        <v>1</v>
      </c>
      <c r="Q274" s="7688">
        <f t="shared" ref="Q274:Q337" si="148">IF(O274="","",LEN(O274))</f>
        <v>1</v>
      </c>
      <c r="CA274" s="3170" t="s">
        <v>966</v>
      </c>
      <c r="CB274" s="7634" t="s">
        <v>16255</v>
      </c>
      <c r="CC274" s="3170" t="s">
        <v>16872</v>
      </c>
      <c r="CD274" s="3170" t="s">
        <v>16873</v>
      </c>
    </row>
    <row r="275" spans="2:82">
      <c r="B275" s="7685"/>
      <c r="C275" s="7685"/>
      <c r="D275" s="7685"/>
      <c r="E275" s="7685">
        <f>IF(H274&lt;&gt;"",E274,IF(E274="","",IFERROR(MATCH(TRUE(),INDEX(INDEX($K:$K,E274+1):$K$203&lt;&gt;"",0),0)+E274,"")))</f>
        <v>450</v>
      </c>
      <c r="F275" s="7686">
        <f t="shared" ref="F275:F338" si="149">IF(E275="","",IF(H274&lt;&gt;"",H274,INDEX($D:$D,E275)))</f>
        <v>0</v>
      </c>
      <c r="G275" s="7686" t="str">
        <f t="shared" si="141"/>
        <v>0</v>
      </c>
      <c r="H275" s="7687" t="str">
        <f t="shared" si="142"/>
        <v/>
      </c>
      <c r="I275" s="7685" t="str">
        <f t="shared" si="143"/>
        <v/>
      </c>
      <c r="M275" s="7622">
        <f t="shared" si="144"/>
        <v>1</v>
      </c>
      <c r="N275" s="7688">
        <f t="shared" si="145"/>
        <v>258</v>
      </c>
      <c r="O275" s="7661" t="str">
        <f t="shared" si="146"/>
        <v>0</v>
      </c>
      <c r="P275" s="7688">
        <f t="shared" si="147"/>
        <v>1</v>
      </c>
      <c r="Q275" s="7688">
        <f t="shared" si="148"/>
        <v>1</v>
      </c>
      <c r="CA275" s="3170" t="s">
        <v>966</v>
      </c>
      <c r="CB275" s="7634" t="s">
        <v>16255</v>
      </c>
      <c r="CC275" s="3170" t="s">
        <v>16874</v>
      </c>
      <c r="CD275" s="3170" t="s">
        <v>16875</v>
      </c>
    </row>
    <row r="276" spans="2:82">
      <c r="B276" s="7685"/>
      <c r="C276" s="7685"/>
      <c r="D276" s="7685"/>
      <c r="E276" s="7685">
        <f>IF(H275&lt;&gt;"",E275,IF(E275="","",IFERROR(MATCH(TRUE(),INDEX(INDEX($K:$K,E275+1):$K$203&lt;&gt;"",0),0)+E275,"")))</f>
        <v>451</v>
      </c>
      <c r="F276" s="7686">
        <f t="shared" si="149"/>
        <v>0</v>
      </c>
      <c r="G276" s="7686" t="str">
        <f t="shared" si="141"/>
        <v>0</v>
      </c>
      <c r="H276" s="7687" t="str">
        <f t="shared" si="142"/>
        <v/>
      </c>
      <c r="I276" s="7685" t="str">
        <f t="shared" si="143"/>
        <v/>
      </c>
      <c r="M276" s="7622">
        <f t="shared" si="144"/>
        <v>1</v>
      </c>
      <c r="N276" s="7688">
        <f t="shared" si="145"/>
        <v>259</v>
      </c>
      <c r="O276" s="7661" t="str">
        <f t="shared" si="146"/>
        <v>0</v>
      </c>
      <c r="P276" s="7688">
        <f t="shared" si="147"/>
        <v>1</v>
      </c>
      <c r="Q276" s="7688">
        <f t="shared" si="148"/>
        <v>1</v>
      </c>
      <c r="CA276" s="3170" t="s">
        <v>966</v>
      </c>
      <c r="CB276" s="7634" t="s">
        <v>16255</v>
      </c>
      <c r="CC276" s="3170" t="s">
        <v>16876</v>
      </c>
      <c r="CD276" s="3170" t="s">
        <v>16877</v>
      </c>
    </row>
    <row r="277" spans="2:82">
      <c r="B277" s="7685"/>
      <c r="C277" s="7685"/>
      <c r="D277" s="7685"/>
      <c r="E277" s="7685">
        <f>IF(H276&lt;&gt;"",E276,IF(E276="","",IFERROR(MATCH(TRUE(),INDEX(INDEX($K:$K,E276+1):$K$203&lt;&gt;"",0),0)+E276,"")))</f>
        <v>452</v>
      </c>
      <c r="F277" s="7686">
        <f t="shared" si="149"/>
        <v>0</v>
      </c>
      <c r="G277" s="7686" t="str">
        <f t="shared" si="141"/>
        <v>0</v>
      </c>
      <c r="H277" s="7687" t="str">
        <f t="shared" si="142"/>
        <v/>
      </c>
      <c r="I277" s="7685" t="str">
        <f t="shared" si="143"/>
        <v/>
      </c>
      <c r="M277" s="7622">
        <f t="shared" si="144"/>
        <v>1</v>
      </c>
      <c r="N277" s="7688">
        <f t="shared" si="145"/>
        <v>260</v>
      </c>
      <c r="O277" s="7661" t="str">
        <f t="shared" si="146"/>
        <v>0</v>
      </c>
      <c r="P277" s="7688">
        <f t="shared" si="147"/>
        <v>1</v>
      </c>
      <c r="Q277" s="7688">
        <f t="shared" si="148"/>
        <v>1</v>
      </c>
      <c r="CA277" s="3170" t="s">
        <v>966</v>
      </c>
      <c r="CB277" s="7634" t="s">
        <v>16255</v>
      </c>
      <c r="CC277" s="3170" t="s">
        <v>16878</v>
      </c>
      <c r="CD277" s="3170" t="s">
        <v>16879</v>
      </c>
    </row>
    <row r="278" spans="2:82">
      <c r="B278" s="7685"/>
      <c r="C278" s="7685"/>
      <c r="D278" s="7685"/>
      <c r="E278" s="7685">
        <f>IF(H277&lt;&gt;"",E277,IF(E277="","",IFERROR(MATCH(TRUE(),INDEX(INDEX($K:$K,E277+1):$K$203&lt;&gt;"",0),0)+E277,"")))</f>
        <v>453</v>
      </c>
      <c r="F278" s="7686">
        <f t="shared" si="149"/>
        <v>0</v>
      </c>
      <c r="G278" s="7686" t="str">
        <f t="shared" si="141"/>
        <v>0</v>
      </c>
      <c r="H278" s="7687" t="str">
        <f t="shared" si="142"/>
        <v/>
      </c>
      <c r="I278" s="7685" t="str">
        <f t="shared" si="143"/>
        <v/>
      </c>
      <c r="M278" s="7622">
        <f t="shared" si="144"/>
        <v>1</v>
      </c>
      <c r="N278" s="7688">
        <f t="shared" si="145"/>
        <v>261</v>
      </c>
      <c r="O278" s="7661" t="str">
        <f t="shared" si="146"/>
        <v>0</v>
      </c>
      <c r="P278" s="7688">
        <f t="shared" si="147"/>
        <v>1</v>
      </c>
      <c r="Q278" s="7688">
        <f t="shared" si="148"/>
        <v>1</v>
      </c>
      <c r="CA278" s="3170" t="s">
        <v>966</v>
      </c>
      <c r="CB278" s="7634" t="s">
        <v>16255</v>
      </c>
      <c r="CC278" s="3170" t="s">
        <v>16880</v>
      </c>
      <c r="CD278" s="3170" t="s">
        <v>16881</v>
      </c>
    </row>
    <row r="279" spans="2:82">
      <c r="B279" s="7685"/>
      <c r="C279" s="7685"/>
      <c r="D279" s="7685"/>
      <c r="E279" s="7685">
        <f>IF(H278&lt;&gt;"",E278,IF(E278="","",IFERROR(MATCH(TRUE(),INDEX(INDEX($K:$K,E278+1):$K$203&lt;&gt;"",0),0)+E278,"")))</f>
        <v>454</v>
      </c>
      <c r="F279" s="7686">
        <f t="shared" si="149"/>
        <v>0</v>
      </c>
      <c r="G279" s="7686" t="str">
        <f t="shared" si="141"/>
        <v>0</v>
      </c>
      <c r="H279" s="7687" t="str">
        <f t="shared" si="142"/>
        <v/>
      </c>
      <c r="I279" s="7685" t="str">
        <f t="shared" si="143"/>
        <v/>
      </c>
      <c r="M279" s="7622">
        <f t="shared" si="144"/>
        <v>1</v>
      </c>
      <c r="N279" s="7688">
        <f t="shared" si="145"/>
        <v>262</v>
      </c>
      <c r="O279" s="7661" t="str">
        <f t="shared" si="146"/>
        <v>0</v>
      </c>
      <c r="P279" s="7688">
        <f t="shared" si="147"/>
        <v>1</v>
      </c>
      <c r="Q279" s="7688">
        <f t="shared" si="148"/>
        <v>1</v>
      </c>
      <c r="CA279" s="3170" t="s">
        <v>966</v>
      </c>
      <c r="CB279" s="7634" t="s">
        <v>16255</v>
      </c>
      <c r="CC279" s="3170" t="s">
        <v>16882</v>
      </c>
      <c r="CD279" s="3170" t="s">
        <v>16883</v>
      </c>
    </row>
    <row r="280" spans="2:82">
      <c r="B280" s="7685"/>
      <c r="C280" s="7685"/>
      <c r="D280" s="7685"/>
      <c r="E280" s="7685">
        <f>IF(H279&lt;&gt;"",E279,IF(E279="","",IFERROR(MATCH(TRUE(),INDEX(INDEX($K:$K,E279+1):$K$203&lt;&gt;"",0),0)+E279,"")))</f>
        <v>455</v>
      </c>
      <c r="F280" s="7686">
        <f t="shared" si="149"/>
        <v>0</v>
      </c>
      <c r="G280" s="7686" t="str">
        <f t="shared" si="141"/>
        <v>0</v>
      </c>
      <c r="H280" s="7687" t="str">
        <f t="shared" si="142"/>
        <v/>
      </c>
      <c r="I280" s="7685" t="str">
        <f t="shared" si="143"/>
        <v/>
      </c>
      <c r="M280" s="7622">
        <f t="shared" si="144"/>
        <v>1</v>
      </c>
      <c r="N280" s="7688">
        <f t="shared" si="145"/>
        <v>263</v>
      </c>
      <c r="O280" s="7661" t="str">
        <f t="shared" si="146"/>
        <v>0</v>
      </c>
      <c r="P280" s="7688">
        <f t="shared" si="147"/>
        <v>1</v>
      </c>
      <c r="Q280" s="7688">
        <f t="shared" si="148"/>
        <v>1</v>
      </c>
      <c r="CA280" s="3170" t="s">
        <v>966</v>
      </c>
      <c r="CB280" s="7634" t="s">
        <v>16255</v>
      </c>
      <c r="CC280" s="3170" t="s">
        <v>16884</v>
      </c>
      <c r="CD280" s="3170" t="s">
        <v>16885</v>
      </c>
    </row>
    <row r="281" spans="2:82">
      <c r="B281" s="7685"/>
      <c r="C281" s="7685"/>
      <c r="D281" s="7685"/>
      <c r="E281" s="7685">
        <f>IF(H280&lt;&gt;"",E280,IF(E280="","",IFERROR(MATCH(TRUE(),INDEX(INDEX($K:$K,E280+1):$K$203&lt;&gt;"",0),0)+E280,"")))</f>
        <v>456</v>
      </c>
      <c r="F281" s="7686">
        <f t="shared" si="149"/>
        <v>0</v>
      </c>
      <c r="G281" s="7686" t="str">
        <f t="shared" si="141"/>
        <v>0</v>
      </c>
      <c r="H281" s="7687" t="str">
        <f t="shared" si="142"/>
        <v/>
      </c>
      <c r="I281" s="7685" t="str">
        <f t="shared" si="143"/>
        <v/>
      </c>
      <c r="M281" s="7622">
        <f t="shared" si="144"/>
        <v>1</v>
      </c>
      <c r="N281" s="7688">
        <f t="shared" si="145"/>
        <v>264</v>
      </c>
      <c r="O281" s="7661" t="str">
        <f t="shared" si="146"/>
        <v>0</v>
      </c>
      <c r="P281" s="7688">
        <f t="shared" si="147"/>
        <v>1</v>
      </c>
      <c r="Q281" s="7688">
        <f t="shared" si="148"/>
        <v>1</v>
      </c>
      <c r="CA281" s="3170" t="s">
        <v>966</v>
      </c>
      <c r="CB281" s="7634" t="s">
        <v>16255</v>
      </c>
      <c r="CC281" s="3170" t="s">
        <v>16886</v>
      </c>
      <c r="CD281" s="3170" t="s">
        <v>16887</v>
      </c>
    </row>
    <row r="282" spans="2:82">
      <c r="B282" s="7685"/>
      <c r="C282" s="7685"/>
      <c r="D282" s="7685"/>
      <c r="E282" s="7685">
        <f>IF(H281&lt;&gt;"",E281,IF(E281="","",IFERROR(MATCH(TRUE(),INDEX(INDEX($K:$K,E281+1):$K$203&lt;&gt;"",0),0)+E281,"")))</f>
        <v>457</v>
      </c>
      <c r="F282" s="7686">
        <f t="shared" si="149"/>
        <v>0</v>
      </c>
      <c r="G282" s="7686" t="str">
        <f t="shared" si="141"/>
        <v>0</v>
      </c>
      <c r="H282" s="7687" t="str">
        <f t="shared" si="142"/>
        <v/>
      </c>
      <c r="I282" s="7685" t="str">
        <f t="shared" si="143"/>
        <v/>
      </c>
      <c r="M282" s="7622">
        <f t="shared" si="144"/>
        <v>1</v>
      </c>
      <c r="N282" s="7688">
        <f t="shared" si="145"/>
        <v>265</v>
      </c>
      <c r="O282" s="7661" t="str">
        <f t="shared" si="146"/>
        <v>0</v>
      </c>
      <c r="P282" s="7688">
        <f t="shared" si="147"/>
        <v>1</v>
      </c>
      <c r="Q282" s="7688">
        <f t="shared" si="148"/>
        <v>1</v>
      </c>
      <c r="CA282" s="3170" t="s">
        <v>966</v>
      </c>
      <c r="CB282" s="7634" t="s">
        <v>16255</v>
      </c>
      <c r="CC282" s="3170" t="s">
        <v>16888</v>
      </c>
      <c r="CD282" s="3170" t="s">
        <v>16889</v>
      </c>
    </row>
    <row r="283" spans="2:82">
      <c r="B283" s="7685"/>
      <c r="C283" s="7685"/>
      <c r="D283" s="7685"/>
      <c r="E283" s="7685">
        <f>IF(H282&lt;&gt;"",E282,IF(E282="","",IFERROR(MATCH(TRUE(),INDEX(INDEX($K:$K,E282+1):$K$203&lt;&gt;"",0),0)+E282,"")))</f>
        <v>458</v>
      </c>
      <c r="F283" s="7686">
        <f t="shared" si="149"/>
        <v>0</v>
      </c>
      <c r="G283" s="7686" t="str">
        <f t="shared" si="141"/>
        <v>0</v>
      </c>
      <c r="H283" s="7687" t="str">
        <f t="shared" si="142"/>
        <v/>
      </c>
      <c r="I283" s="7685" t="str">
        <f t="shared" si="143"/>
        <v/>
      </c>
      <c r="M283" s="7622">
        <f t="shared" si="144"/>
        <v>1</v>
      </c>
      <c r="N283" s="7688">
        <f t="shared" si="145"/>
        <v>266</v>
      </c>
      <c r="O283" s="7661" t="str">
        <f t="shared" si="146"/>
        <v>0</v>
      </c>
      <c r="P283" s="7688">
        <f t="shared" si="147"/>
        <v>1</v>
      </c>
      <c r="Q283" s="7688">
        <f t="shared" si="148"/>
        <v>1</v>
      </c>
      <c r="CA283" s="3170" t="s">
        <v>16890</v>
      </c>
      <c r="CB283" s="7634" t="s">
        <v>16255</v>
      </c>
      <c r="CC283" s="3170" t="s">
        <v>16891</v>
      </c>
      <c r="CD283" s="3170" t="s">
        <v>16892</v>
      </c>
    </row>
    <row r="284" spans="2:82">
      <c r="B284" s="7685"/>
      <c r="C284" s="7685"/>
      <c r="D284" s="7685"/>
      <c r="E284" s="7685">
        <f>IF(H283&lt;&gt;"",E283,IF(E283="","",IFERROR(MATCH(TRUE(),INDEX(INDEX($K:$K,E283+1):$K$203&lt;&gt;"",0),0)+E283,"")))</f>
        <v>459</v>
      </c>
      <c r="F284" s="7686">
        <f t="shared" si="149"/>
        <v>0</v>
      </c>
      <c r="G284" s="7686" t="str">
        <f t="shared" si="141"/>
        <v>0</v>
      </c>
      <c r="H284" s="7687" t="str">
        <f t="shared" si="142"/>
        <v/>
      </c>
      <c r="I284" s="7685" t="str">
        <f t="shared" si="143"/>
        <v/>
      </c>
      <c r="M284" s="7622">
        <f t="shared" si="144"/>
        <v>1</v>
      </c>
      <c r="N284" s="7688">
        <f t="shared" si="145"/>
        <v>267</v>
      </c>
      <c r="O284" s="7661" t="str">
        <f t="shared" si="146"/>
        <v>0</v>
      </c>
      <c r="P284" s="7688">
        <f t="shared" si="147"/>
        <v>1</v>
      </c>
      <c r="Q284" s="7688">
        <f t="shared" si="148"/>
        <v>1</v>
      </c>
      <c r="CA284" s="3170" t="s">
        <v>16890</v>
      </c>
      <c r="CB284" s="7634" t="s">
        <v>16255</v>
      </c>
      <c r="CC284" s="3170" t="s">
        <v>16893</v>
      </c>
      <c r="CD284" s="3170" t="s">
        <v>16894</v>
      </c>
    </row>
    <row r="285" spans="2:82">
      <c r="B285" s="7685"/>
      <c r="C285" s="7685"/>
      <c r="D285" s="7685"/>
      <c r="E285" s="7685">
        <f>IF(H284&lt;&gt;"",E284,IF(E284="","",IFERROR(MATCH(TRUE(),INDEX(INDEX($K:$K,E284+1):$K$203&lt;&gt;"",0),0)+E284,"")))</f>
        <v>460</v>
      </c>
      <c r="F285" s="7686">
        <f t="shared" si="149"/>
        <v>0</v>
      </c>
      <c r="G285" s="7686" t="str">
        <f t="shared" si="141"/>
        <v>0</v>
      </c>
      <c r="H285" s="7687" t="str">
        <f t="shared" si="142"/>
        <v/>
      </c>
      <c r="I285" s="7685" t="str">
        <f t="shared" si="143"/>
        <v/>
      </c>
      <c r="M285" s="7622">
        <f t="shared" si="144"/>
        <v>1</v>
      </c>
      <c r="N285" s="7688">
        <f t="shared" si="145"/>
        <v>268</v>
      </c>
      <c r="O285" s="7661" t="str">
        <f t="shared" si="146"/>
        <v>0</v>
      </c>
      <c r="P285" s="7688">
        <f t="shared" si="147"/>
        <v>1</v>
      </c>
      <c r="Q285" s="7688">
        <f t="shared" si="148"/>
        <v>1</v>
      </c>
      <c r="CA285" s="3170" t="s">
        <v>16890</v>
      </c>
      <c r="CB285" s="7634" t="s">
        <v>16255</v>
      </c>
      <c r="CC285" s="3170" t="s">
        <v>16895</v>
      </c>
      <c r="CD285" s="3170" t="s">
        <v>16896</v>
      </c>
    </row>
    <row r="286" spans="2:82">
      <c r="B286" s="7685"/>
      <c r="C286" s="7685"/>
      <c r="D286" s="7685"/>
      <c r="E286" s="7685">
        <f>IF(H285&lt;&gt;"",E285,IF(E285="","",IFERROR(MATCH(TRUE(),INDEX(INDEX($K:$K,E285+1):$K$203&lt;&gt;"",0),0)+E285,"")))</f>
        <v>461</v>
      </c>
      <c r="F286" s="7686">
        <f t="shared" si="149"/>
        <v>0</v>
      </c>
      <c r="G286" s="7686" t="str">
        <f t="shared" si="141"/>
        <v>0</v>
      </c>
      <c r="H286" s="7687" t="str">
        <f t="shared" si="142"/>
        <v/>
      </c>
      <c r="I286" s="7685" t="str">
        <f t="shared" si="143"/>
        <v/>
      </c>
      <c r="M286" s="7622">
        <f t="shared" si="144"/>
        <v>1</v>
      </c>
      <c r="N286" s="7688">
        <f t="shared" si="145"/>
        <v>269</v>
      </c>
      <c r="O286" s="7661" t="str">
        <f t="shared" si="146"/>
        <v>0</v>
      </c>
      <c r="P286" s="7688">
        <f t="shared" si="147"/>
        <v>1</v>
      </c>
      <c r="Q286" s="7688">
        <f t="shared" si="148"/>
        <v>1</v>
      </c>
      <c r="CA286" s="3170" t="s">
        <v>16890</v>
      </c>
      <c r="CB286" s="7634" t="s">
        <v>16255</v>
      </c>
      <c r="CC286" s="3170" t="s">
        <v>16897</v>
      </c>
      <c r="CD286" s="3170" t="s">
        <v>16898</v>
      </c>
    </row>
    <row r="287" spans="2:82">
      <c r="B287" s="7685"/>
      <c r="C287" s="7685"/>
      <c r="D287" s="7685"/>
      <c r="E287" s="7685">
        <f>IF(H286&lt;&gt;"",E286,IF(E286="","",IFERROR(MATCH(TRUE(),INDEX(INDEX($K:$K,E286+1):$K$203&lt;&gt;"",0),0)+E286,"")))</f>
        <v>462</v>
      </c>
      <c r="F287" s="7686">
        <f t="shared" si="149"/>
        <v>0</v>
      </c>
      <c r="G287" s="7686" t="str">
        <f t="shared" si="141"/>
        <v>0</v>
      </c>
      <c r="H287" s="7687" t="str">
        <f t="shared" si="142"/>
        <v/>
      </c>
      <c r="I287" s="7685" t="str">
        <f t="shared" si="143"/>
        <v/>
      </c>
      <c r="M287" s="7622">
        <f t="shared" si="144"/>
        <v>1</v>
      </c>
      <c r="N287" s="7688">
        <f t="shared" si="145"/>
        <v>270</v>
      </c>
      <c r="O287" s="7661" t="str">
        <f t="shared" si="146"/>
        <v>0</v>
      </c>
      <c r="P287" s="7688">
        <f t="shared" si="147"/>
        <v>1</v>
      </c>
      <c r="Q287" s="7688">
        <f t="shared" si="148"/>
        <v>1</v>
      </c>
      <c r="CA287" s="3170" t="s">
        <v>16890</v>
      </c>
      <c r="CB287" s="7634" t="s">
        <v>16255</v>
      </c>
      <c r="CC287" s="3170" t="s">
        <v>16899</v>
      </c>
      <c r="CD287" s="3170" t="s">
        <v>16900</v>
      </c>
    </row>
    <row r="288" spans="2:82">
      <c r="B288" s="7685"/>
      <c r="C288" s="7685"/>
      <c r="D288" s="7685"/>
      <c r="E288" s="7685">
        <f>IF(H287&lt;&gt;"",E287,IF(E287="","",IFERROR(MATCH(TRUE(),INDEX(INDEX($K:$K,E287+1):$K$203&lt;&gt;"",0),0)+E287,"")))</f>
        <v>463</v>
      </c>
      <c r="F288" s="7686">
        <f t="shared" si="149"/>
        <v>0</v>
      </c>
      <c r="G288" s="7686" t="str">
        <f t="shared" si="141"/>
        <v>0</v>
      </c>
      <c r="H288" s="7687" t="str">
        <f t="shared" si="142"/>
        <v/>
      </c>
      <c r="I288" s="7685" t="str">
        <f t="shared" si="143"/>
        <v/>
      </c>
      <c r="M288" s="7622">
        <f t="shared" si="144"/>
        <v>1</v>
      </c>
      <c r="N288" s="7688">
        <f t="shared" si="145"/>
        <v>271</v>
      </c>
      <c r="O288" s="7661" t="str">
        <f t="shared" si="146"/>
        <v>0</v>
      </c>
      <c r="P288" s="7688">
        <f t="shared" si="147"/>
        <v>1</v>
      </c>
      <c r="Q288" s="7688">
        <f t="shared" si="148"/>
        <v>1</v>
      </c>
      <c r="CA288" s="3170" t="s">
        <v>16890</v>
      </c>
      <c r="CB288" s="7634" t="s">
        <v>16255</v>
      </c>
      <c r="CC288" s="3170" t="s">
        <v>16901</v>
      </c>
      <c r="CD288" s="3170" t="s">
        <v>16902</v>
      </c>
    </row>
    <row r="289" spans="2:82">
      <c r="B289" s="7685"/>
      <c r="C289" s="7685"/>
      <c r="D289" s="7685"/>
      <c r="E289" s="7685">
        <f>IF(H288&lt;&gt;"",E288,IF(E288="","",IFERROR(MATCH(TRUE(),INDEX(INDEX($K:$K,E288+1):$K$203&lt;&gt;"",0),0)+E288,"")))</f>
        <v>464</v>
      </c>
      <c r="F289" s="7686">
        <f t="shared" si="149"/>
        <v>0</v>
      </c>
      <c r="G289" s="7686" t="str">
        <f t="shared" si="141"/>
        <v>0</v>
      </c>
      <c r="H289" s="7687" t="str">
        <f t="shared" si="142"/>
        <v/>
      </c>
      <c r="I289" s="7685" t="str">
        <f t="shared" si="143"/>
        <v/>
      </c>
      <c r="M289" s="7622">
        <f t="shared" si="144"/>
        <v>1</v>
      </c>
      <c r="N289" s="7688">
        <f t="shared" si="145"/>
        <v>272</v>
      </c>
      <c r="O289" s="7661" t="str">
        <f t="shared" si="146"/>
        <v>0</v>
      </c>
      <c r="P289" s="7688">
        <f t="shared" si="147"/>
        <v>1</v>
      </c>
      <c r="Q289" s="7688">
        <f t="shared" si="148"/>
        <v>1</v>
      </c>
      <c r="CA289" s="3170" t="s">
        <v>16890</v>
      </c>
      <c r="CB289" s="7634" t="s">
        <v>16255</v>
      </c>
      <c r="CC289" s="3170" t="s">
        <v>16903</v>
      </c>
      <c r="CD289" s="3170" t="s">
        <v>16904</v>
      </c>
    </row>
    <row r="290" spans="2:82">
      <c r="B290" s="7685"/>
      <c r="C290" s="7685"/>
      <c r="D290" s="7685"/>
      <c r="E290" s="7685">
        <f>IF(H289&lt;&gt;"",E289,IF(E289="","",IFERROR(MATCH(TRUE(),INDEX(INDEX($K:$K,E289+1):$K$203&lt;&gt;"",0),0)+E289,"")))</f>
        <v>465</v>
      </c>
      <c r="F290" s="7686">
        <f t="shared" si="149"/>
        <v>0</v>
      </c>
      <c r="G290" s="7686" t="str">
        <f t="shared" si="141"/>
        <v>0</v>
      </c>
      <c r="H290" s="7687" t="str">
        <f t="shared" si="142"/>
        <v/>
      </c>
      <c r="I290" s="7685" t="str">
        <f t="shared" si="143"/>
        <v/>
      </c>
      <c r="M290" s="7622">
        <f t="shared" si="144"/>
        <v>1</v>
      </c>
      <c r="N290" s="7688">
        <f t="shared" si="145"/>
        <v>273</v>
      </c>
      <c r="O290" s="7661" t="str">
        <f t="shared" si="146"/>
        <v>0</v>
      </c>
      <c r="P290" s="7688">
        <f t="shared" si="147"/>
        <v>1</v>
      </c>
      <c r="Q290" s="7688">
        <f t="shared" si="148"/>
        <v>1</v>
      </c>
      <c r="CA290" s="3170" t="s">
        <v>16890</v>
      </c>
      <c r="CB290" s="7634" t="s">
        <v>16255</v>
      </c>
      <c r="CC290" s="3170" t="s">
        <v>16905</v>
      </c>
      <c r="CD290" s="3170" t="s">
        <v>16906</v>
      </c>
    </row>
    <row r="291" spans="2:82">
      <c r="B291" s="7685"/>
      <c r="C291" s="7685"/>
      <c r="D291" s="7685"/>
      <c r="E291" s="7685">
        <f>IF(H290&lt;&gt;"",E290,IF(E290="","",IFERROR(MATCH(TRUE(),INDEX(INDEX($K:$K,E290+1):$K$203&lt;&gt;"",0),0)+E290,"")))</f>
        <v>466</v>
      </c>
      <c r="F291" s="7686">
        <f t="shared" si="149"/>
        <v>0</v>
      </c>
      <c r="G291" s="7686" t="str">
        <f t="shared" si="141"/>
        <v>0</v>
      </c>
      <c r="H291" s="7687" t="str">
        <f t="shared" si="142"/>
        <v/>
      </c>
      <c r="I291" s="7685" t="str">
        <f t="shared" si="143"/>
        <v/>
      </c>
      <c r="M291" s="7622">
        <f t="shared" si="144"/>
        <v>1</v>
      </c>
      <c r="N291" s="7688">
        <f t="shared" si="145"/>
        <v>274</v>
      </c>
      <c r="O291" s="7661" t="str">
        <f t="shared" si="146"/>
        <v>0</v>
      </c>
      <c r="P291" s="7688">
        <f t="shared" si="147"/>
        <v>1</v>
      </c>
      <c r="Q291" s="7688">
        <f t="shared" si="148"/>
        <v>1</v>
      </c>
      <c r="CA291" s="3170" t="s">
        <v>16890</v>
      </c>
      <c r="CB291" s="7634" t="s">
        <v>16255</v>
      </c>
      <c r="CC291" s="3170" t="s">
        <v>16907</v>
      </c>
      <c r="CD291" s="3170" t="s">
        <v>16908</v>
      </c>
    </row>
    <row r="292" spans="2:82">
      <c r="B292" s="7685"/>
      <c r="C292" s="7685"/>
      <c r="D292" s="7685"/>
      <c r="E292" s="7685">
        <f>IF(H291&lt;&gt;"",E291,IF(E291="","",IFERROR(MATCH(TRUE(),INDEX(INDEX($K:$K,E291+1):$K$203&lt;&gt;"",0),0)+E291,"")))</f>
        <v>467</v>
      </c>
      <c r="F292" s="7686">
        <f t="shared" si="149"/>
        <v>0</v>
      </c>
      <c r="G292" s="7686" t="str">
        <f t="shared" si="141"/>
        <v>0</v>
      </c>
      <c r="H292" s="7687" t="str">
        <f t="shared" si="142"/>
        <v/>
      </c>
      <c r="I292" s="7685" t="str">
        <f t="shared" si="143"/>
        <v/>
      </c>
      <c r="M292" s="7622">
        <f t="shared" si="144"/>
        <v>1</v>
      </c>
      <c r="N292" s="7688">
        <f t="shared" si="145"/>
        <v>275</v>
      </c>
      <c r="O292" s="7661" t="str">
        <f t="shared" si="146"/>
        <v>0</v>
      </c>
      <c r="P292" s="7688">
        <f t="shared" si="147"/>
        <v>1</v>
      </c>
      <c r="Q292" s="7688">
        <f t="shared" si="148"/>
        <v>1</v>
      </c>
      <c r="CA292" s="3170" t="s">
        <v>16890</v>
      </c>
      <c r="CB292" s="7634" t="s">
        <v>16255</v>
      </c>
      <c r="CC292" s="3170" t="s">
        <v>16909</v>
      </c>
      <c r="CD292" s="3170" t="s">
        <v>16910</v>
      </c>
    </row>
    <row r="293" spans="2:82">
      <c r="B293" s="7685"/>
      <c r="C293" s="7685"/>
      <c r="D293" s="7685"/>
      <c r="E293" s="7685">
        <f>IF(H292&lt;&gt;"",E292,IF(E292="","",IFERROR(MATCH(TRUE(),INDEX(INDEX($K:$K,E292+1):$K$203&lt;&gt;"",0),0)+E292,"")))</f>
        <v>468</v>
      </c>
      <c r="F293" s="7686">
        <f t="shared" si="149"/>
        <v>0</v>
      </c>
      <c r="G293" s="7686" t="str">
        <f t="shared" si="141"/>
        <v>0</v>
      </c>
      <c r="H293" s="7687" t="str">
        <f t="shared" si="142"/>
        <v/>
      </c>
      <c r="I293" s="7685" t="str">
        <f t="shared" si="143"/>
        <v/>
      </c>
      <c r="M293" s="7622">
        <f t="shared" si="144"/>
        <v>1</v>
      </c>
      <c r="N293" s="7688">
        <f t="shared" si="145"/>
        <v>276</v>
      </c>
      <c r="O293" s="7661" t="str">
        <f t="shared" si="146"/>
        <v>0</v>
      </c>
      <c r="P293" s="7688">
        <f t="shared" si="147"/>
        <v>1</v>
      </c>
      <c r="Q293" s="7688">
        <f t="shared" si="148"/>
        <v>1</v>
      </c>
      <c r="CA293" s="3170" t="s">
        <v>16890</v>
      </c>
      <c r="CB293" s="7634" t="s">
        <v>16255</v>
      </c>
      <c r="CC293" s="3170" t="s">
        <v>16911</v>
      </c>
      <c r="CD293" s="3170" t="s">
        <v>16912</v>
      </c>
    </row>
    <row r="294" spans="2:82">
      <c r="B294" s="7685"/>
      <c r="C294" s="7685"/>
      <c r="D294" s="7685"/>
      <c r="E294" s="7685">
        <f>IF(H293&lt;&gt;"",E293,IF(E293="","",IFERROR(MATCH(TRUE(),INDEX(INDEX($K:$K,E293+1):$K$203&lt;&gt;"",0),0)+E293,"")))</f>
        <v>469</v>
      </c>
      <c r="F294" s="7686">
        <f t="shared" si="149"/>
        <v>0</v>
      </c>
      <c r="G294" s="7686" t="str">
        <f t="shared" si="141"/>
        <v>0</v>
      </c>
      <c r="H294" s="7687" t="str">
        <f t="shared" si="142"/>
        <v/>
      </c>
      <c r="I294" s="7685" t="str">
        <f t="shared" si="143"/>
        <v/>
      </c>
      <c r="M294" s="7622">
        <f t="shared" si="144"/>
        <v>1</v>
      </c>
      <c r="N294" s="7688">
        <f t="shared" si="145"/>
        <v>277</v>
      </c>
      <c r="O294" s="7661" t="str">
        <f t="shared" si="146"/>
        <v>0</v>
      </c>
      <c r="P294" s="7688">
        <f t="shared" si="147"/>
        <v>1</v>
      </c>
      <c r="Q294" s="7688">
        <f t="shared" si="148"/>
        <v>1</v>
      </c>
      <c r="CA294" s="3170" t="s">
        <v>16913</v>
      </c>
      <c r="CB294" s="7634" t="s">
        <v>16255</v>
      </c>
      <c r="CC294" s="3170" t="s">
        <v>16914</v>
      </c>
      <c r="CD294" s="3170" t="s">
        <v>16915</v>
      </c>
    </row>
    <row r="295" spans="2:82">
      <c r="B295" s="7685"/>
      <c r="C295" s="7685"/>
      <c r="D295" s="7685"/>
      <c r="E295" s="7685">
        <f>IF(H294&lt;&gt;"",E294,IF(E294="","",IFERROR(MATCH(TRUE(),INDEX(INDEX($K:$K,E294+1):$K$203&lt;&gt;"",0),0)+E294,"")))</f>
        <v>470</v>
      </c>
      <c r="F295" s="7686">
        <f t="shared" si="149"/>
        <v>0</v>
      </c>
      <c r="G295" s="7686" t="str">
        <f t="shared" si="141"/>
        <v>0</v>
      </c>
      <c r="H295" s="7687" t="str">
        <f t="shared" si="142"/>
        <v/>
      </c>
      <c r="I295" s="7685" t="str">
        <f t="shared" si="143"/>
        <v/>
      </c>
      <c r="M295" s="7622">
        <f t="shared" si="144"/>
        <v>1</v>
      </c>
      <c r="N295" s="7688">
        <f t="shared" si="145"/>
        <v>278</v>
      </c>
      <c r="O295" s="7661" t="str">
        <f t="shared" si="146"/>
        <v>0</v>
      </c>
      <c r="P295" s="7688">
        <f t="shared" si="147"/>
        <v>1</v>
      </c>
      <c r="Q295" s="7688">
        <f t="shared" si="148"/>
        <v>1</v>
      </c>
      <c r="CA295" s="3170" t="s">
        <v>16913</v>
      </c>
      <c r="CB295" s="7634" t="s">
        <v>16255</v>
      </c>
      <c r="CC295" s="3170" t="s">
        <v>16916</v>
      </c>
      <c r="CD295" s="3170" t="s">
        <v>16917</v>
      </c>
    </row>
    <row r="296" spans="2:82">
      <c r="B296" s="7685"/>
      <c r="C296" s="7685"/>
      <c r="D296" s="7685"/>
      <c r="E296" s="7685">
        <f>IF(H295&lt;&gt;"",E295,IF(E295="","",IFERROR(MATCH(TRUE(),INDEX(INDEX($K:$K,E295+1):$K$203&lt;&gt;"",0),0)+E295,"")))</f>
        <v>471</v>
      </c>
      <c r="F296" s="7686">
        <f t="shared" si="149"/>
        <v>0</v>
      </c>
      <c r="G296" s="7686" t="str">
        <f t="shared" si="141"/>
        <v>0</v>
      </c>
      <c r="H296" s="7687" t="str">
        <f t="shared" si="142"/>
        <v/>
      </c>
      <c r="I296" s="7685" t="str">
        <f t="shared" si="143"/>
        <v/>
      </c>
      <c r="M296" s="7622">
        <f t="shared" si="144"/>
        <v>1</v>
      </c>
      <c r="N296" s="7688">
        <f t="shared" si="145"/>
        <v>279</v>
      </c>
      <c r="O296" s="7661" t="str">
        <f t="shared" si="146"/>
        <v>0</v>
      </c>
      <c r="P296" s="7688">
        <f t="shared" si="147"/>
        <v>1</v>
      </c>
      <c r="Q296" s="7688">
        <f t="shared" si="148"/>
        <v>1</v>
      </c>
      <c r="CA296" s="3170" t="s">
        <v>16913</v>
      </c>
      <c r="CB296" s="7634" t="s">
        <v>16255</v>
      </c>
      <c r="CC296" s="3170" t="s">
        <v>16918</v>
      </c>
      <c r="CD296" s="3170" t="s">
        <v>16919</v>
      </c>
    </row>
    <row r="297" spans="2:82">
      <c r="B297" s="7685"/>
      <c r="C297" s="7685"/>
      <c r="D297" s="7685"/>
      <c r="E297" s="7685">
        <f>IF(H296&lt;&gt;"",E296,IF(E296="","",IFERROR(MATCH(TRUE(),INDEX(INDEX($K:$K,E296+1):$K$203&lt;&gt;"",0),0)+E296,"")))</f>
        <v>472</v>
      </c>
      <c r="F297" s="7686">
        <f t="shared" si="149"/>
        <v>0</v>
      </c>
      <c r="G297" s="7686" t="str">
        <f t="shared" si="141"/>
        <v>0</v>
      </c>
      <c r="H297" s="7687" t="str">
        <f t="shared" si="142"/>
        <v/>
      </c>
      <c r="I297" s="7685" t="str">
        <f t="shared" si="143"/>
        <v/>
      </c>
      <c r="M297" s="7622">
        <f t="shared" si="144"/>
        <v>1</v>
      </c>
      <c r="N297" s="7688">
        <f t="shared" si="145"/>
        <v>280</v>
      </c>
      <c r="O297" s="7661" t="str">
        <f t="shared" si="146"/>
        <v>0</v>
      </c>
      <c r="P297" s="7688">
        <f t="shared" si="147"/>
        <v>1</v>
      </c>
      <c r="Q297" s="7688">
        <f t="shared" si="148"/>
        <v>1</v>
      </c>
      <c r="CA297" s="3170" t="s">
        <v>16913</v>
      </c>
      <c r="CB297" s="7634" t="s">
        <v>16255</v>
      </c>
      <c r="CC297" s="3170" t="s">
        <v>16920</v>
      </c>
      <c r="CD297" s="3170" t="s">
        <v>16921</v>
      </c>
    </row>
    <row r="298" spans="2:82">
      <c r="B298" s="7685"/>
      <c r="C298" s="7685"/>
      <c r="D298" s="7685"/>
      <c r="E298" s="7685">
        <f>IF(H297&lt;&gt;"",E297,IF(E297="","",IFERROR(MATCH(TRUE(),INDEX(INDEX($K:$K,E297+1):$K$203&lt;&gt;"",0),0)+E297,"")))</f>
        <v>473</v>
      </c>
      <c r="F298" s="7686">
        <f t="shared" si="149"/>
        <v>0</v>
      </c>
      <c r="G298" s="7686" t="str">
        <f t="shared" si="141"/>
        <v>0</v>
      </c>
      <c r="H298" s="7687" t="str">
        <f t="shared" si="142"/>
        <v/>
      </c>
      <c r="I298" s="7685" t="str">
        <f t="shared" si="143"/>
        <v/>
      </c>
      <c r="M298" s="7622">
        <f t="shared" si="144"/>
        <v>1</v>
      </c>
      <c r="N298" s="7688">
        <f t="shared" si="145"/>
        <v>281</v>
      </c>
      <c r="O298" s="7661" t="str">
        <f t="shared" si="146"/>
        <v>0</v>
      </c>
      <c r="P298" s="7688">
        <f t="shared" si="147"/>
        <v>1</v>
      </c>
      <c r="Q298" s="7688">
        <f t="shared" si="148"/>
        <v>1</v>
      </c>
      <c r="CA298" s="3170" t="s">
        <v>16913</v>
      </c>
      <c r="CB298" s="7634" t="s">
        <v>16255</v>
      </c>
      <c r="CC298" s="3170" t="s">
        <v>16922</v>
      </c>
      <c r="CD298" s="3170" t="s">
        <v>16923</v>
      </c>
    </row>
    <row r="299" spans="2:82">
      <c r="B299" s="7685"/>
      <c r="C299" s="7685"/>
      <c r="D299" s="7685"/>
      <c r="E299" s="7685">
        <f>IF(H298&lt;&gt;"",E298,IF(E298="","",IFERROR(MATCH(TRUE(),INDEX(INDEX($K:$K,E298+1):$K$203&lt;&gt;"",0),0)+E298,"")))</f>
        <v>474</v>
      </c>
      <c r="F299" s="7686">
        <f t="shared" si="149"/>
        <v>0</v>
      </c>
      <c r="G299" s="7686" t="str">
        <f t="shared" si="141"/>
        <v>0</v>
      </c>
      <c r="H299" s="7687" t="str">
        <f t="shared" si="142"/>
        <v/>
      </c>
      <c r="I299" s="7685" t="str">
        <f t="shared" si="143"/>
        <v/>
      </c>
      <c r="M299" s="7622">
        <f t="shared" si="144"/>
        <v>1</v>
      </c>
      <c r="N299" s="7688">
        <f t="shared" si="145"/>
        <v>282</v>
      </c>
      <c r="O299" s="7661" t="str">
        <f t="shared" si="146"/>
        <v>0</v>
      </c>
      <c r="P299" s="7688">
        <f t="shared" si="147"/>
        <v>1</v>
      </c>
      <c r="Q299" s="7688">
        <f t="shared" si="148"/>
        <v>1</v>
      </c>
      <c r="CA299" s="3170" t="s">
        <v>16913</v>
      </c>
      <c r="CB299" s="7634" t="s">
        <v>16255</v>
      </c>
      <c r="CC299" s="3170" t="s">
        <v>16924</v>
      </c>
      <c r="CD299" s="3170" t="s">
        <v>16925</v>
      </c>
    </row>
    <row r="300" spans="2:82">
      <c r="B300" s="7685"/>
      <c r="C300" s="7685"/>
      <c r="D300" s="7685"/>
      <c r="E300" s="7685">
        <f>IF(H299&lt;&gt;"",E299,IF(E299="","",IFERROR(MATCH(TRUE(),INDEX(INDEX($K:$K,E299+1):$K$203&lt;&gt;"",0),0)+E299,"")))</f>
        <v>475</v>
      </c>
      <c r="F300" s="7686">
        <f t="shared" si="149"/>
        <v>0</v>
      </c>
      <c r="G300" s="7686" t="str">
        <f t="shared" si="141"/>
        <v>0</v>
      </c>
      <c r="H300" s="7687" t="str">
        <f t="shared" si="142"/>
        <v/>
      </c>
      <c r="I300" s="7685" t="str">
        <f t="shared" si="143"/>
        <v/>
      </c>
      <c r="M300" s="7622">
        <f t="shared" si="144"/>
        <v>1</v>
      </c>
      <c r="N300" s="7688">
        <f t="shared" si="145"/>
        <v>283</v>
      </c>
      <c r="O300" s="7661" t="str">
        <f t="shared" si="146"/>
        <v>0</v>
      </c>
      <c r="P300" s="7688">
        <f t="shared" si="147"/>
        <v>1</v>
      </c>
      <c r="Q300" s="7688">
        <f t="shared" si="148"/>
        <v>1</v>
      </c>
      <c r="CA300" s="3170" t="s">
        <v>16913</v>
      </c>
      <c r="CB300" s="7634" t="s">
        <v>16255</v>
      </c>
      <c r="CC300" s="3170" t="s">
        <v>16926</v>
      </c>
      <c r="CD300" s="3170" t="s">
        <v>16927</v>
      </c>
    </row>
    <row r="301" spans="2:82">
      <c r="B301" s="7685"/>
      <c r="C301" s="7685"/>
      <c r="D301" s="7685"/>
      <c r="E301" s="7685">
        <f>IF(H300&lt;&gt;"",E300,IF(E300="","",IFERROR(MATCH(TRUE(),INDEX(INDEX($K:$K,E300+1):$K$203&lt;&gt;"",0),0)+E300,"")))</f>
        <v>476</v>
      </c>
      <c r="F301" s="7686">
        <f t="shared" si="149"/>
        <v>0</v>
      </c>
      <c r="G301" s="7686" t="str">
        <f t="shared" si="141"/>
        <v>0</v>
      </c>
      <c r="H301" s="7687" t="str">
        <f t="shared" si="142"/>
        <v/>
      </c>
      <c r="I301" s="7685" t="str">
        <f t="shared" si="143"/>
        <v/>
      </c>
      <c r="M301" s="7622">
        <f t="shared" si="144"/>
        <v>1</v>
      </c>
      <c r="N301" s="7688">
        <f t="shared" si="145"/>
        <v>284</v>
      </c>
      <c r="O301" s="7661" t="str">
        <f t="shared" si="146"/>
        <v>0</v>
      </c>
      <c r="P301" s="7688">
        <f t="shared" si="147"/>
        <v>1</v>
      </c>
      <c r="Q301" s="7688">
        <f t="shared" si="148"/>
        <v>1</v>
      </c>
      <c r="CA301" s="3170" t="s">
        <v>16913</v>
      </c>
      <c r="CB301" s="7634" t="s">
        <v>16255</v>
      </c>
      <c r="CC301" s="3170" t="s">
        <v>5289</v>
      </c>
      <c r="CD301" s="3170" t="s">
        <v>16928</v>
      </c>
    </row>
    <row r="302" spans="2:82">
      <c r="B302" s="7685"/>
      <c r="C302" s="7685"/>
      <c r="D302" s="7685"/>
      <c r="E302" s="7685">
        <f>IF(H301&lt;&gt;"",E301,IF(E301="","",IFERROR(MATCH(TRUE(),INDEX(INDEX($K:$K,E301+1):$K$203&lt;&gt;"",0),0)+E301,"")))</f>
        <v>477</v>
      </c>
      <c r="F302" s="7686">
        <f t="shared" si="149"/>
        <v>0</v>
      </c>
      <c r="G302" s="7686" t="str">
        <f t="shared" si="141"/>
        <v>0</v>
      </c>
      <c r="H302" s="7687" t="str">
        <f t="shared" si="142"/>
        <v/>
      </c>
      <c r="I302" s="7685" t="str">
        <f t="shared" si="143"/>
        <v/>
      </c>
      <c r="M302" s="7622">
        <f t="shared" si="144"/>
        <v>1</v>
      </c>
      <c r="N302" s="7688">
        <f t="shared" si="145"/>
        <v>285</v>
      </c>
      <c r="O302" s="7661" t="str">
        <f t="shared" si="146"/>
        <v>0</v>
      </c>
      <c r="P302" s="7688">
        <f t="shared" si="147"/>
        <v>1</v>
      </c>
      <c r="Q302" s="7688">
        <f t="shared" si="148"/>
        <v>1</v>
      </c>
      <c r="CA302" s="3170" t="s">
        <v>16913</v>
      </c>
      <c r="CB302" s="7634" t="s">
        <v>16255</v>
      </c>
      <c r="CC302" s="3170" t="s">
        <v>16929</v>
      </c>
      <c r="CD302" s="3170" t="s">
        <v>16930</v>
      </c>
    </row>
    <row r="303" spans="2:82">
      <c r="B303" s="7685"/>
      <c r="C303" s="7685"/>
      <c r="D303" s="7685"/>
      <c r="E303" s="7685">
        <f>IF(H302&lt;&gt;"",E302,IF(E302="","",IFERROR(MATCH(TRUE(),INDEX(INDEX($K:$K,E302+1):$K$203&lt;&gt;"",0),0)+E302,"")))</f>
        <v>478</v>
      </c>
      <c r="F303" s="7686">
        <f t="shared" si="149"/>
        <v>0</v>
      </c>
      <c r="G303" s="7686" t="str">
        <f t="shared" si="141"/>
        <v>0</v>
      </c>
      <c r="H303" s="7687" t="str">
        <f t="shared" si="142"/>
        <v/>
      </c>
      <c r="I303" s="7685" t="str">
        <f t="shared" si="143"/>
        <v/>
      </c>
      <c r="M303" s="7622">
        <f t="shared" si="144"/>
        <v>1</v>
      </c>
      <c r="N303" s="7688">
        <f t="shared" si="145"/>
        <v>286</v>
      </c>
      <c r="O303" s="7661" t="str">
        <f t="shared" si="146"/>
        <v>0</v>
      </c>
      <c r="P303" s="7688">
        <f t="shared" si="147"/>
        <v>1</v>
      </c>
      <c r="Q303" s="7688">
        <f t="shared" si="148"/>
        <v>1</v>
      </c>
      <c r="CA303" s="3170" t="s">
        <v>16913</v>
      </c>
      <c r="CB303" s="7634" t="s">
        <v>16255</v>
      </c>
      <c r="CC303" s="3170" t="s">
        <v>16931</v>
      </c>
      <c r="CD303" s="3170" t="s">
        <v>16932</v>
      </c>
    </row>
    <row r="304" spans="2:82">
      <c r="B304" s="7685"/>
      <c r="C304" s="7685"/>
      <c r="D304" s="7685"/>
      <c r="E304" s="7685">
        <f>IF(H303&lt;&gt;"",E303,IF(E303="","",IFERROR(MATCH(TRUE(),INDEX(INDEX($K:$K,E303+1):$K$203&lt;&gt;"",0),0)+E303,"")))</f>
        <v>479</v>
      </c>
      <c r="F304" s="7686">
        <f t="shared" si="149"/>
        <v>0</v>
      </c>
      <c r="G304" s="7686" t="str">
        <f t="shared" si="141"/>
        <v>0</v>
      </c>
      <c r="H304" s="7687" t="str">
        <f t="shared" si="142"/>
        <v/>
      </c>
      <c r="I304" s="7685" t="str">
        <f t="shared" si="143"/>
        <v/>
      </c>
      <c r="M304" s="7622">
        <f t="shared" si="144"/>
        <v>1</v>
      </c>
      <c r="N304" s="7688">
        <f t="shared" si="145"/>
        <v>287</v>
      </c>
      <c r="O304" s="7661" t="str">
        <f t="shared" si="146"/>
        <v>0</v>
      </c>
      <c r="P304" s="7688">
        <f t="shared" si="147"/>
        <v>1</v>
      </c>
      <c r="Q304" s="7688">
        <f t="shared" si="148"/>
        <v>1</v>
      </c>
      <c r="CA304" s="3170" t="s">
        <v>16913</v>
      </c>
      <c r="CB304" s="7634" t="s">
        <v>16255</v>
      </c>
      <c r="CC304" s="3170" t="s">
        <v>16933</v>
      </c>
      <c r="CD304" s="3170" t="s">
        <v>16934</v>
      </c>
    </row>
    <row r="305" spans="2:82">
      <c r="B305" s="7685"/>
      <c r="C305" s="7685"/>
      <c r="D305" s="7685"/>
      <c r="E305" s="7685">
        <f>IF(H304&lt;&gt;"",E304,IF(E304="","",IFERROR(MATCH(TRUE(),INDEX(INDEX($K:$K,E304+1):$K$203&lt;&gt;"",0),0)+E304,"")))</f>
        <v>480</v>
      </c>
      <c r="F305" s="7686">
        <f t="shared" si="149"/>
        <v>0</v>
      </c>
      <c r="G305" s="7686" t="str">
        <f t="shared" si="141"/>
        <v>0</v>
      </c>
      <c r="H305" s="7687" t="str">
        <f t="shared" si="142"/>
        <v/>
      </c>
      <c r="I305" s="7685" t="str">
        <f t="shared" si="143"/>
        <v/>
      </c>
      <c r="M305" s="7622">
        <f t="shared" si="144"/>
        <v>1</v>
      </c>
      <c r="N305" s="7688">
        <f t="shared" si="145"/>
        <v>288</v>
      </c>
      <c r="O305" s="7661" t="str">
        <f t="shared" si="146"/>
        <v>0</v>
      </c>
      <c r="P305" s="7688">
        <f t="shared" si="147"/>
        <v>1</v>
      </c>
      <c r="Q305" s="7688">
        <f t="shared" si="148"/>
        <v>1</v>
      </c>
      <c r="CA305" s="3170" t="s">
        <v>16913</v>
      </c>
      <c r="CB305" s="7634" t="s">
        <v>16255</v>
      </c>
      <c r="CC305" s="3170" t="s">
        <v>16935</v>
      </c>
      <c r="CD305" s="3170" t="s">
        <v>16936</v>
      </c>
    </row>
    <row r="306" spans="2:82">
      <c r="B306" s="7685"/>
      <c r="C306" s="7685"/>
      <c r="D306" s="7685"/>
      <c r="E306" s="7685">
        <f>IF(H305&lt;&gt;"",E305,IF(E305="","",IFERROR(MATCH(TRUE(),INDEX(INDEX($K:$K,E305+1):$K$203&lt;&gt;"",0),0)+E305,"")))</f>
        <v>481</v>
      </c>
      <c r="F306" s="7686">
        <f t="shared" si="149"/>
        <v>0</v>
      </c>
      <c r="G306" s="7686" t="str">
        <f t="shared" si="141"/>
        <v>0</v>
      </c>
      <c r="H306" s="7687" t="str">
        <f t="shared" si="142"/>
        <v/>
      </c>
      <c r="I306" s="7685" t="str">
        <f t="shared" si="143"/>
        <v/>
      </c>
      <c r="M306" s="7622">
        <f t="shared" si="144"/>
        <v>1</v>
      </c>
      <c r="N306" s="7688">
        <f t="shared" si="145"/>
        <v>289</v>
      </c>
      <c r="O306" s="7661" t="str">
        <f t="shared" si="146"/>
        <v>0</v>
      </c>
      <c r="P306" s="7688">
        <f t="shared" si="147"/>
        <v>1</v>
      </c>
      <c r="Q306" s="7688">
        <f t="shared" si="148"/>
        <v>1</v>
      </c>
      <c r="CA306" s="3170" t="s">
        <v>16913</v>
      </c>
      <c r="CB306" s="7634" t="s">
        <v>16255</v>
      </c>
      <c r="CC306" s="3170" t="s">
        <v>16937</v>
      </c>
      <c r="CD306" s="3170" t="s">
        <v>16938</v>
      </c>
    </row>
    <row r="307" spans="2:82">
      <c r="B307" s="7685"/>
      <c r="C307" s="7685"/>
      <c r="D307" s="7685"/>
      <c r="E307" s="7685">
        <f>IF(H306&lt;&gt;"",E306,IF(E306="","",IFERROR(MATCH(TRUE(),INDEX(INDEX($K:$K,E306+1):$K$203&lt;&gt;"",0),0)+E306,"")))</f>
        <v>482</v>
      </c>
      <c r="F307" s="7686">
        <f t="shared" si="149"/>
        <v>0</v>
      </c>
      <c r="G307" s="7686" t="str">
        <f t="shared" si="141"/>
        <v>0</v>
      </c>
      <c r="H307" s="7687" t="str">
        <f t="shared" si="142"/>
        <v/>
      </c>
      <c r="I307" s="7685" t="str">
        <f t="shared" si="143"/>
        <v/>
      </c>
      <c r="M307" s="7622">
        <f t="shared" si="144"/>
        <v>1</v>
      </c>
      <c r="N307" s="7688">
        <f t="shared" si="145"/>
        <v>290</v>
      </c>
      <c r="O307" s="7661" t="str">
        <f t="shared" si="146"/>
        <v>0</v>
      </c>
      <c r="P307" s="7688">
        <f t="shared" si="147"/>
        <v>1</v>
      </c>
      <c r="Q307" s="7688">
        <f t="shared" si="148"/>
        <v>1</v>
      </c>
      <c r="CA307" s="3170" t="s">
        <v>16913</v>
      </c>
      <c r="CB307" s="7634" t="s">
        <v>16255</v>
      </c>
      <c r="CC307" s="3170" t="s">
        <v>16939</v>
      </c>
      <c r="CD307" s="3170" t="s">
        <v>16940</v>
      </c>
    </row>
    <row r="308" spans="2:82">
      <c r="B308" s="7685"/>
      <c r="C308" s="7685"/>
      <c r="D308" s="7685"/>
      <c r="E308" s="7685">
        <f>IF(H307&lt;&gt;"",E307,IF(E307="","",IFERROR(MATCH(TRUE(),INDEX(INDEX($K:$K,E307+1):$K$203&lt;&gt;"",0),0)+E307,"")))</f>
        <v>483</v>
      </c>
      <c r="F308" s="7686">
        <f t="shared" si="149"/>
        <v>0</v>
      </c>
      <c r="G308" s="7686" t="str">
        <f t="shared" si="141"/>
        <v>0</v>
      </c>
      <c r="H308" s="7687" t="str">
        <f t="shared" si="142"/>
        <v/>
      </c>
      <c r="I308" s="7685" t="str">
        <f t="shared" si="143"/>
        <v/>
      </c>
      <c r="M308" s="7622">
        <f t="shared" si="144"/>
        <v>1</v>
      </c>
      <c r="N308" s="7688">
        <f t="shared" si="145"/>
        <v>291</v>
      </c>
      <c r="O308" s="7661" t="str">
        <f t="shared" si="146"/>
        <v>0</v>
      </c>
      <c r="P308" s="7688">
        <f t="shared" si="147"/>
        <v>1</v>
      </c>
      <c r="Q308" s="7688">
        <f t="shared" si="148"/>
        <v>1</v>
      </c>
      <c r="CA308" s="3170" t="s">
        <v>16913</v>
      </c>
      <c r="CB308" s="7634" t="s">
        <v>16255</v>
      </c>
      <c r="CC308" s="3170" t="s">
        <v>4581</v>
      </c>
      <c r="CD308" s="3170" t="s">
        <v>16941</v>
      </c>
    </row>
    <row r="309" spans="2:82">
      <c r="B309" s="7685"/>
      <c r="C309" s="7685"/>
      <c r="D309" s="7685"/>
      <c r="E309" s="7685">
        <f>IF(H308&lt;&gt;"",E308,IF(E308="","",IFERROR(MATCH(TRUE(),INDEX(INDEX($K:$K,E308+1):$K$203&lt;&gt;"",0),0)+E308,"")))</f>
        <v>484</v>
      </c>
      <c r="F309" s="7686">
        <f t="shared" si="149"/>
        <v>0</v>
      </c>
      <c r="G309" s="7686" t="str">
        <f t="shared" si="141"/>
        <v>0</v>
      </c>
      <c r="H309" s="7687" t="str">
        <f t="shared" si="142"/>
        <v/>
      </c>
      <c r="I309" s="7685" t="str">
        <f t="shared" si="143"/>
        <v/>
      </c>
      <c r="M309" s="7622">
        <f t="shared" si="144"/>
        <v>1</v>
      </c>
      <c r="N309" s="7688">
        <f t="shared" si="145"/>
        <v>292</v>
      </c>
      <c r="O309" s="7661" t="str">
        <f t="shared" si="146"/>
        <v>0</v>
      </c>
      <c r="P309" s="7688">
        <f t="shared" si="147"/>
        <v>1</v>
      </c>
      <c r="Q309" s="7688">
        <f t="shared" si="148"/>
        <v>1</v>
      </c>
      <c r="CA309" s="3170" t="s">
        <v>16913</v>
      </c>
      <c r="CB309" s="7634" t="s">
        <v>16255</v>
      </c>
      <c r="CC309" s="3170" t="s">
        <v>16942</v>
      </c>
      <c r="CD309" s="3170" t="s">
        <v>16943</v>
      </c>
    </row>
    <row r="310" spans="2:82">
      <c r="B310" s="7685"/>
      <c r="C310" s="7685"/>
      <c r="D310" s="7685"/>
      <c r="E310" s="7685">
        <f>IF(H309&lt;&gt;"",E309,IF(E309="","",IFERROR(MATCH(TRUE(),INDEX(INDEX($K:$K,E309+1):$K$203&lt;&gt;"",0),0)+E309,"")))</f>
        <v>485</v>
      </c>
      <c r="F310" s="7686">
        <f t="shared" si="149"/>
        <v>0</v>
      </c>
      <c r="G310" s="7686" t="str">
        <f t="shared" si="141"/>
        <v>0</v>
      </c>
      <c r="H310" s="7687" t="str">
        <f t="shared" si="142"/>
        <v/>
      </c>
      <c r="I310" s="7685" t="str">
        <f t="shared" si="143"/>
        <v/>
      </c>
      <c r="M310" s="7622">
        <f t="shared" si="144"/>
        <v>1</v>
      </c>
      <c r="N310" s="7688">
        <f t="shared" si="145"/>
        <v>293</v>
      </c>
      <c r="O310" s="7661" t="str">
        <f t="shared" si="146"/>
        <v>0</v>
      </c>
      <c r="P310" s="7688">
        <f t="shared" si="147"/>
        <v>1</v>
      </c>
      <c r="Q310" s="7688">
        <f t="shared" si="148"/>
        <v>1</v>
      </c>
      <c r="CA310" s="3170" t="s">
        <v>16913</v>
      </c>
      <c r="CB310" s="7634" t="s">
        <v>16255</v>
      </c>
      <c r="CC310" s="3170" t="s">
        <v>16944</v>
      </c>
      <c r="CD310" s="3170" t="s">
        <v>16945</v>
      </c>
    </row>
    <row r="311" spans="2:82">
      <c r="B311" s="7685"/>
      <c r="C311" s="7685"/>
      <c r="D311" s="7685"/>
      <c r="E311" s="7685">
        <f>IF(H310&lt;&gt;"",E310,IF(E310="","",IFERROR(MATCH(TRUE(),INDEX(INDEX($K:$K,E310+1):$K$203&lt;&gt;"",0),0)+E310,"")))</f>
        <v>486</v>
      </c>
      <c r="F311" s="7686">
        <f t="shared" si="149"/>
        <v>0</v>
      </c>
      <c r="G311" s="7686" t="str">
        <f t="shared" si="141"/>
        <v>0</v>
      </c>
      <c r="H311" s="7687" t="str">
        <f t="shared" si="142"/>
        <v/>
      </c>
      <c r="I311" s="7685" t="str">
        <f t="shared" si="143"/>
        <v/>
      </c>
      <c r="M311" s="7622">
        <f t="shared" si="144"/>
        <v>1</v>
      </c>
      <c r="N311" s="7688">
        <f t="shared" si="145"/>
        <v>294</v>
      </c>
      <c r="O311" s="7661" t="str">
        <f t="shared" si="146"/>
        <v>0</v>
      </c>
      <c r="P311" s="7688">
        <f t="shared" si="147"/>
        <v>1</v>
      </c>
      <c r="Q311" s="7688">
        <f t="shared" si="148"/>
        <v>1</v>
      </c>
      <c r="CA311" s="3170" t="s">
        <v>16913</v>
      </c>
      <c r="CB311" s="7634" t="s">
        <v>16255</v>
      </c>
      <c r="CC311" s="3170" t="s">
        <v>16946</v>
      </c>
      <c r="CD311" s="3170" t="s">
        <v>16947</v>
      </c>
    </row>
    <row r="312" spans="2:82">
      <c r="B312" s="7685"/>
      <c r="C312" s="7685"/>
      <c r="D312" s="7685"/>
      <c r="E312" s="7685">
        <f>IF(H311&lt;&gt;"",E311,IF(E311="","",IFERROR(MATCH(TRUE(),INDEX(INDEX($K:$K,E311+1):$K$203&lt;&gt;"",0),0)+E311,"")))</f>
        <v>487</v>
      </c>
      <c r="F312" s="7686">
        <f t="shared" si="149"/>
        <v>0</v>
      </c>
      <c r="G312" s="7686" t="str">
        <f t="shared" si="141"/>
        <v>0</v>
      </c>
      <c r="H312" s="7687" t="str">
        <f t="shared" si="142"/>
        <v/>
      </c>
      <c r="I312" s="7685" t="str">
        <f t="shared" si="143"/>
        <v/>
      </c>
      <c r="M312" s="7622">
        <f t="shared" si="144"/>
        <v>1</v>
      </c>
      <c r="N312" s="7688">
        <f t="shared" si="145"/>
        <v>295</v>
      </c>
      <c r="O312" s="7661" t="str">
        <f t="shared" si="146"/>
        <v>0</v>
      </c>
      <c r="P312" s="7688">
        <f t="shared" si="147"/>
        <v>1</v>
      </c>
      <c r="Q312" s="7688">
        <f t="shared" si="148"/>
        <v>1</v>
      </c>
      <c r="CA312" s="3170" t="s">
        <v>16913</v>
      </c>
      <c r="CB312" s="7634" t="s">
        <v>16255</v>
      </c>
      <c r="CC312" s="3170" t="s">
        <v>16948</v>
      </c>
      <c r="CD312" s="3170" t="s">
        <v>16949</v>
      </c>
    </row>
    <row r="313" spans="2:82">
      <c r="B313" s="7685"/>
      <c r="C313" s="7685"/>
      <c r="D313" s="7685"/>
      <c r="E313" s="7685">
        <f>IF(H312&lt;&gt;"",E312,IF(E312="","",IFERROR(MATCH(TRUE(),INDEX(INDEX($K:$K,E312+1):$K$203&lt;&gt;"",0),0)+E312,"")))</f>
        <v>488</v>
      </c>
      <c r="F313" s="7686">
        <f t="shared" si="149"/>
        <v>0</v>
      </c>
      <c r="G313" s="7686" t="str">
        <f t="shared" si="141"/>
        <v>0</v>
      </c>
      <c r="H313" s="7687" t="str">
        <f t="shared" si="142"/>
        <v/>
      </c>
      <c r="I313" s="7685" t="str">
        <f t="shared" si="143"/>
        <v/>
      </c>
      <c r="M313" s="7622">
        <f t="shared" si="144"/>
        <v>1</v>
      </c>
      <c r="N313" s="7688">
        <f t="shared" si="145"/>
        <v>296</v>
      </c>
      <c r="O313" s="7661" t="str">
        <f t="shared" si="146"/>
        <v>0</v>
      </c>
      <c r="P313" s="7688">
        <f t="shared" si="147"/>
        <v>1</v>
      </c>
      <c r="Q313" s="7688">
        <f t="shared" si="148"/>
        <v>1</v>
      </c>
      <c r="CA313" s="3170" t="s">
        <v>16913</v>
      </c>
      <c r="CB313" s="7634" t="s">
        <v>16255</v>
      </c>
      <c r="CC313" s="3170" t="s">
        <v>16950</v>
      </c>
      <c r="CD313" s="3170" t="s">
        <v>16951</v>
      </c>
    </row>
    <row r="314" spans="2:82">
      <c r="B314" s="7685"/>
      <c r="C314" s="7685"/>
      <c r="D314" s="7685"/>
      <c r="E314" s="7685">
        <f>IF(H313&lt;&gt;"",E313,IF(E313="","",IFERROR(MATCH(TRUE(),INDEX(INDEX($K:$K,E313+1):$K$203&lt;&gt;"",0),0)+E313,"")))</f>
        <v>489</v>
      </c>
      <c r="F314" s="7686">
        <f t="shared" si="149"/>
        <v>0</v>
      </c>
      <c r="G314" s="7686" t="str">
        <f t="shared" si="141"/>
        <v>0</v>
      </c>
      <c r="H314" s="7687" t="str">
        <f t="shared" si="142"/>
        <v/>
      </c>
      <c r="I314" s="7685" t="str">
        <f t="shared" si="143"/>
        <v/>
      </c>
      <c r="M314" s="7622">
        <f t="shared" si="144"/>
        <v>1</v>
      </c>
      <c r="N314" s="7688">
        <f t="shared" si="145"/>
        <v>297</v>
      </c>
      <c r="O314" s="7661" t="str">
        <f t="shared" si="146"/>
        <v>0</v>
      </c>
      <c r="P314" s="7688">
        <f t="shared" si="147"/>
        <v>1</v>
      </c>
      <c r="Q314" s="7688">
        <f t="shared" si="148"/>
        <v>1</v>
      </c>
      <c r="CA314" s="3170" t="s">
        <v>16913</v>
      </c>
      <c r="CB314" s="7634" t="s">
        <v>16255</v>
      </c>
      <c r="CC314" s="3170" t="s">
        <v>16952</v>
      </c>
      <c r="CD314" s="3170" t="s">
        <v>16953</v>
      </c>
    </row>
    <row r="315" spans="2:82">
      <c r="B315" s="7685"/>
      <c r="C315" s="7685"/>
      <c r="D315" s="7685"/>
      <c r="E315" s="7685">
        <f>IF(H314&lt;&gt;"",E314,IF(E314="","",IFERROR(MATCH(TRUE(),INDEX(INDEX($K:$K,E314+1):$K$203&lt;&gt;"",0),0)+E314,"")))</f>
        <v>490</v>
      </c>
      <c r="F315" s="7686">
        <f t="shared" si="149"/>
        <v>0</v>
      </c>
      <c r="G315" s="7686" t="str">
        <f t="shared" si="141"/>
        <v>0</v>
      </c>
      <c r="H315" s="7687" t="str">
        <f t="shared" si="142"/>
        <v/>
      </c>
      <c r="I315" s="7685" t="str">
        <f t="shared" si="143"/>
        <v/>
      </c>
      <c r="M315" s="7622">
        <f t="shared" si="144"/>
        <v>1</v>
      </c>
      <c r="N315" s="7688">
        <f t="shared" si="145"/>
        <v>298</v>
      </c>
      <c r="O315" s="7661" t="str">
        <f t="shared" si="146"/>
        <v>0</v>
      </c>
      <c r="P315" s="7688">
        <f t="shared" si="147"/>
        <v>1</v>
      </c>
      <c r="Q315" s="7688">
        <f t="shared" si="148"/>
        <v>1</v>
      </c>
      <c r="CA315" s="3170" t="s">
        <v>16913</v>
      </c>
      <c r="CB315" s="7634" t="s">
        <v>16255</v>
      </c>
      <c r="CC315" s="3170" t="s">
        <v>16954</v>
      </c>
      <c r="CD315" s="3170" t="s">
        <v>16955</v>
      </c>
    </row>
    <row r="316" spans="2:82">
      <c r="B316" s="7685"/>
      <c r="C316" s="7685"/>
      <c r="D316" s="7685"/>
      <c r="E316" s="7685">
        <f>IF(H315&lt;&gt;"",E315,IF(E315="","",IFERROR(MATCH(TRUE(),INDEX(INDEX($K:$K,E315+1):$K$203&lt;&gt;"",0),0)+E315,"")))</f>
        <v>491</v>
      </c>
      <c r="F316" s="7686">
        <f t="shared" si="149"/>
        <v>0</v>
      </c>
      <c r="G316" s="7686" t="str">
        <f t="shared" si="141"/>
        <v>0</v>
      </c>
      <c r="H316" s="7687" t="str">
        <f t="shared" si="142"/>
        <v/>
      </c>
      <c r="I316" s="7685" t="str">
        <f t="shared" si="143"/>
        <v/>
      </c>
      <c r="M316" s="7622">
        <f t="shared" si="144"/>
        <v>1</v>
      </c>
      <c r="N316" s="7688">
        <f t="shared" si="145"/>
        <v>299</v>
      </c>
      <c r="O316" s="7661" t="str">
        <f t="shared" si="146"/>
        <v>0</v>
      </c>
      <c r="P316" s="7688">
        <f t="shared" si="147"/>
        <v>1</v>
      </c>
      <c r="Q316" s="7688">
        <f t="shared" si="148"/>
        <v>1</v>
      </c>
      <c r="CA316" s="3170" t="s">
        <v>16913</v>
      </c>
      <c r="CB316" s="7634" t="s">
        <v>16255</v>
      </c>
      <c r="CC316" s="3170" t="s">
        <v>16956</v>
      </c>
      <c r="CD316" s="3170" t="s">
        <v>16957</v>
      </c>
    </row>
    <row r="317" spans="2:82">
      <c r="B317" s="7685"/>
      <c r="C317" s="7685"/>
      <c r="D317" s="7685"/>
      <c r="E317" s="7685">
        <f>IF(H316&lt;&gt;"",E316,IF(E316="","",IFERROR(MATCH(TRUE(),INDEX(INDEX($K:$K,E316+1):$K$203&lt;&gt;"",0),0)+E316,"")))</f>
        <v>492</v>
      </c>
      <c r="F317" s="7686">
        <f t="shared" si="149"/>
        <v>0</v>
      </c>
      <c r="G317" s="7686" t="str">
        <f t="shared" si="141"/>
        <v>0</v>
      </c>
      <c r="H317" s="7687" t="str">
        <f t="shared" si="142"/>
        <v/>
      </c>
      <c r="I317" s="7685" t="str">
        <f t="shared" si="143"/>
        <v/>
      </c>
      <c r="M317" s="7622">
        <f t="shared" si="144"/>
        <v>1</v>
      </c>
      <c r="N317" s="7688">
        <f t="shared" si="145"/>
        <v>300</v>
      </c>
      <c r="O317" s="7661" t="str">
        <f t="shared" si="146"/>
        <v>0</v>
      </c>
      <c r="P317" s="7688">
        <f t="shared" si="147"/>
        <v>1</v>
      </c>
      <c r="Q317" s="7688">
        <f t="shared" si="148"/>
        <v>1</v>
      </c>
      <c r="CA317" s="3170" t="s">
        <v>16913</v>
      </c>
      <c r="CB317" s="7634" t="s">
        <v>16255</v>
      </c>
      <c r="CC317" s="3170" t="s">
        <v>16958</v>
      </c>
      <c r="CD317" s="3170" t="s">
        <v>16959</v>
      </c>
    </row>
    <row r="318" spans="2:82">
      <c r="B318" s="7685"/>
      <c r="C318" s="7685"/>
      <c r="D318" s="7685"/>
      <c r="E318" s="7685">
        <f>IF(H317&lt;&gt;"",E317,IF(E317="","",IFERROR(MATCH(TRUE(),INDEX(INDEX($K:$K,E317+1):$K$203&lt;&gt;"",0),0)+E317,"")))</f>
        <v>493</v>
      </c>
      <c r="F318" s="7686">
        <f t="shared" si="149"/>
        <v>0</v>
      </c>
      <c r="G318" s="7686" t="str">
        <f t="shared" si="141"/>
        <v>0</v>
      </c>
      <c r="H318" s="7687" t="str">
        <f t="shared" si="142"/>
        <v/>
      </c>
      <c r="I318" s="7685" t="str">
        <f t="shared" si="143"/>
        <v/>
      </c>
      <c r="M318" s="7622">
        <f t="shared" si="144"/>
        <v>1</v>
      </c>
      <c r="N318" s="7688">
        <f t="shared" si="145"/>
        <v>301</v>
      </c>
      <c r="O318" s="7661" t="str">
        <f t="shared" si="146"/>
        <v>0</v>
      </c>
      <c r="P318" s="7688">
        <f t="shared" si="147"/>
        <v>1</v>
      </c>
      <c r="Q318" s="7688">
        <f t="shared" si="148"/>
        <v>1</v>
      </c>
      <c r="CA318" s="3170" t="s">
        <v>16913</v>
      </c>
      <c r="CB318" s="7634" t="s">
        <v>16255</v>
      </c>
      <c r="CC318" s="3170" t="s">
        <v>16960</v>
      </c>
      <c r="CD318" s="3170" t="s">
        <v>16961</v>
      </c>
    </row>
    <row r="319" spans="2:82">
      <c r="B319" s="7685"/>
      <c r="C319" s="7685"/>
      <c r="D319" s="7685"/>
      <c r="E319" s="7685">
        <f>IF(H318&lt;&gt;"",E318,IF(E318="","",IFERROR(MATCH(TRUE(),INDEX(INDEX($K:$K,E318+1):$K$203&lt;&gt;"",0),0)+E318,"")))</f>
        <v>494</v>
      </c>
      <c r="F319" s="7686">
        <f t="shared" si="149"/>
        <v>0</v>
      </c>
      <c r="G319" s="7686" t="str">
        <f t="shared" si="141"/>
        <v>0</v>
      </c>
      <c r="H319" s="7687" t="str">
        <f t="shared" si="142"/>
        <v/>
      </c>
      <c r="I319" s="7685" t="str">
        <f t="shared" si="143"/>
        <v/>
      </c>
      <c r="M319" s="7622">
        <f t="shared" si="144"/>
        <v>1</v>
      </c>
      <c r="N319" s="7688">
        <f t="shared" si="145"/>
        <v>302</v>
      </c>
      <c r="O319" s="7661" t="str">
        <f t="shared" si="146"/>
        <v>0</v>
      </c>
      <c r="P319" s="7688">
        <f t="shared" si="147"/>
        <v>1</v>
      </c>
      <c r="Q319" s="7688">
        <f t="shared" si="148"/>
        <v>1</v>
      </c>
      <c r="CA319" s="3170" t="s">
        <v>16913</v>
      </c>
      <c r="CB319" s="7634" t="s">
        <v>16255</v>
      </c>
      <c r="CC319" s="3170" t="s">
        <v>16962</v>
      </c>
      <c r="CD319" s="3170" t="s">
        <v>16963</v>
      </c>
    </row>
    <row r="320" spans="2:82">
      <c r="B320" s="7685"/>
      <c r="C320" s="7685"/>
      <c r="D320" s="7685"/>
      <c r="E320" s="7685">
        <f>IF(H319&lt;&gt;"",E319,IF(E319="","",IFERROR(MATCH(TRUE(),INDEX(INDEX($K:$K,E319+1):$K$203&lt;&gt;"",0),0)+E319,"")))</f>
        <v>495</v>
      </c>
      <c r="F320" s="7686">
        <f t="shared" si="149"/>
        <v>0</v>
      </c>
      <c r="G320" s="7686" t="str">
        <f t="shared" si="141"/>
        <v>0</v>
      </c>
      <c r="H320" s="7687" t="str">
        <f t="shared" si="142"/>
        <v/>
      </c>
      <c r="I320" s="7685" t="str">
        <f t="shared" si="143"/>
        <v/>
      </c>
      <c r="M320" s="7622">
        <f t="shared" si="144"/>
        <v>1</v>
      </c>
      <c r="N320" s="7688">
        <f t="shared" si="145"/>
        <v>303</v>
      </c>
      <c r="O320" s="7661" t="str">
        <f t="shared" si="146"/>
        <v>0</v>
      </c>
      <c r="P320" s="7688">
        <f t="shared" si="147"/>
        <v>1</v>
      </c>
      <c r="Q320" s="7688">
        <f t="shared" si="148"/>
        <v>1</v>
      </c>
      <c r="CA320" s="3170" t="s">
        <v>16913</v>
      </c>
      <c r="CB320" s="7634" t="s">
        <v>16255</v>
      </c>
      <c r="CC320" s="3170" t="s">
        <v>16964</v>
      </c>
      <c r="CD320" s="3170" t="s">
        <v>16965</v>
      </c>
    </row>
    <row r="321" spans="2:82">
      <c r="B321" s="7685"/>
      <c r="C321" s="7685"/>
      <c r="D321" s="7685"/>
      <c r="E321" s="7685">
        <f>IF(H320&lt;&gt;"",E320,IF(E320="","",IFERROR(MATCH(TRUE(),INDEX(INDEX($K:$K,E320+1):$K$203&lt;&gt;"",0),0)+E320,"")))</f>
        <v>496</v>
      </c>
      <c r="F321" s="7686">
        <f t="shared" si="149"/>
        <v>0</v>
      </c>
      <c r="G321" s="7686" t="str">
        <f t="shared" si="141"/>
        <v>0</v>
      </c>
      <c r="H321" s="7687" t="str">
        <f t="shared" si="142"/>
        <v/>
      </c>
      <c r="I321" s="7685" t="str">
        <f t="shared" si="143"/>
        <v/>
      </c>
      <c r="M321" s="7622">
        <f t="shared" si="144"/>
        <v>1</v>
      </c>
      <c r="N321" s="7688">
        <f t="shared" si="145"/>
        <v>304</v>
      </c>
      <c r="O321" s="7661" t="str">
        <f t="shared" si="146"/>
        <v>0</v>
      </c>
      <c r="P321" s="7688">
        <f t="shared" si="147"/>
        <v>1</v>
      </c>
      <c r="Q321" s="7688">
        <f t="shared" si="148"/>
        <v>1</v>
      </c>
      <c r="CA321" s="3170" t="s">
        <v>16913</v>
      </c>
      <c r="CB321" s="7634" t="s">
        <v>16255</v>
      </c>
      <c r="CC321" s="3170" t="s">
        <v>16966</v>
      </c>
      <c r="CD321" s="3170" t="s">
        <v>16967</v>
      </c>
    </row>
    <row r="322" spans="2:82">
      <c r="B322" s="7685"/>
      <c r="C322" s="7685"/>
      <c r="D322" s="7685"/>
      <c r="E322" s="7685">
        <f>IF(H321&lt;&gt;"",E321,IF(E321="","",IFERROR(MATCH(TRUE(),INDEX(INDEX($K:$K,E321+1):$K$203&lt;&gt;"",0),0)+E321,"")))</f>
        <v>497</v>
      </c>
      <c r="F322" s="7686">
        <f t="shared" si="149"/>
        <v>0</v>
      </c>
      <c r="G322" s="7686" t="str">
        <f t="shared" si="141"/>
        <v>0</v>
      </c>
      <c r="H322" s="7687" t="str">
        <f t="shared" si="142"/>
        <v/>
      </c>
      <c r="I322" s="7685" t="str">
        <f t="shared" si="143"/>
        <v/>
      </c>
      <c r="M322" s="7622">
        <f t="shared" si="144"/>
        <v>1</v>
      </c>
      <c r="N322" s="7688">
        <f t="shared" si="145"/>
        <v>305</v>
      </c>
      <c r="O322" s="7661" t="str">
        <f t="shared" si="146"/>
        <v>0</v>
      </c>
      <c r="P322" s="7688">
        <f t="shared" si="147"/>
        <v>1</v>
      </c>
      <c r="Q322" s="7688">
        <f t="shared" si="148"/>
        <v>1</v>
      </c>
      <c r="CA322" s="3170" t="s">
        <v>16913</v>
      </c>
      <c r="CB322" s="7634" t="s">
        <v>16255</v>
      </c>
      <c r="CC322" s="3170" t="s">
        <v>16968</v>
      </c>
      <c r="CD322" s="3170" t="s">
        <v>16969</v>
      </c>
    </row>
    <row r="323" spans="2:82">
      <c r="B323" s="7685"/>
      <c r="C323" s="7685"/>
      <c r="D323" s="7685"/>
      <c r="E323" s="7685">
        <f>IF(H322&lt;&gt;"",E322,IF(E322="","",IFERROR(MATCH(TRUE(),INDEX(INDEX($K:$K,E322+1):$K$203&lt;&gt;"",0),0)+E322,"")))</f>
        <v>498</v>
      </c>
      <c r="F323" s="7686">
        <f t="shared" si="149"/>
        <v>0</v>
      </c>
      <c r="G323" s="7686" t="str">
        <f t="shared" si="141"/>
        <v>0</v>
      </c>
      <c r="H323" s="7687" t="str">
        <f t="shared" si="142"/>
        <v/>
      </c>
      <c r="I323" s="7685" t="str">
        <f t="shared" si="143"/>
        <v/>
      </c>
      <c r="M323" s="7622">
        <f t="shared" si="144"/>
        <v>1</v>
      </c>
      <c r="N323" s="7688">
        <f t="shared" si="145"/>
        <v>306</v>
      </c>
      <c r="O323" s="7661" t="str">
        <f t="shared" si="146"/>
        <v>0</v>
      </c>
      <c r="P323" s="7688">
        <f t="shared" si="147"/>
        <v>1</v>
      </c>
      <c r="Q323" s="7688">
        <f t="shared" si="148"/>
        <v>1</v>
      </c>
      <c r="CA323" s="3170" t="s">
        <v>16913</v>
      </c>
      <c r="CB323" s="7634" t="s">
        <v>16255</v>
      </c>
      <c r="CC323" s="3170" t="s">
        <v>16970</v>
      </c>
      <c r="CD323" s="3170" t="s">
        <v>16971</v>
      </c>
    </row>
    <row r="324" spans="2:82">
      <c r="B324" s="7685"/>
      <c r="C324" s="7685"/>
      <c r="D324" s="7685"/>
      <c r="E324" s="7685">
        <f>IF(H323&lt;&gt;"",E323,IF(E323="","",IFERROR(MATCH(TRUE(),INDEX(INDEX($K:$K,E323+1):$K$203&lt;&gt;"",0),0)+E323,"")))</f>
        <v>499</v>
      </c>
      <c r="F324" s="7686">
        <f t="shared" si="149"/>
        <v>0</v>
      </c>
      <c r="G324" s="7686" t="str">
        <f t="shared" si="141"/>
        <v>0</v>
      </c>
      <c r="H324" s="7687" t="str">
        <f t="shared" si="142"/>
        <v/>
      </c>
      <c r="I324" s="7685" t="str">
        <f t="shared" si="143"/>
        <v/>
      </c>
      <c r="M324" s="7622">
        <f t="shared" si="144"/>
        <v>1</v>
      </c>
      <c r="N324" s="7688">
        <f t="shared" si="145"/>
        <v>307</v>
      </c>
      <c r="O324" s="7661" t="str">
        <f t="shared" si="146"/>
        <v>0</v>
      </c>
      <c r="P324" s="7688">
        <f t="shared" si="147"/>
        <v>1</v>
      </c>
      <c r="Q324" s="7688">
        <f t="shared" si="148"/>
        <v>1</v>
      </c>
      <c r="CA324" s="3170" t="s">
        <v>16913</v>
      </c>
      <c r="CB324" s="7634" t="s">
        <v>16255</v>
      </c>
      <c r="CC324" s="3170" t="s">
        <v>4726</v>
      </c>
      <c r="CD324" s="3170" t="s">
        <v>16972</v>
      </c>
    </row>
    <row r="325" spans="2:82">
      <c r="B325" s="7685"/>
      <c r="C325" s="7685"/>
      <c r="D325" s="7685"/>
      <c r="E325" s="7685">
        <f>IF(H324&lt;&gt;"",E324,IF(E324="","",IFERROR(MATCH(TRUE(),INDEX(INDEX($K:$K,E324+1):$K$203&lt;&gt;"",0),0)+E324,"")))</f>
        <v>500</v>
      </c>
      <c r="F325" s="7686">
        <f t="shared" si="149"/>
        <v>0</v>
      </c>
      <c r="G325" s="7686" t="str">
        <f t="shared" si="141"/>
        <v>0</v>
      </c>
      <c r="H325" s="7687" t="str">
        <f t="shared" si="142"/>
        <v/>
      </c>
      <c r="I325" s="7685" t="str">
        <f t="shared" si="143"/>
        <v/>
      </c>
      <c r="M325" s="7622">
        <f t="shared" si="144"/>
        <v>1</v>
      </c>
      <c r="N325" s="7688">
        <f t="shared" si="145"/>
        <v>308</v>
      </c>
      <c r="O325" s="7661" t="str">
        <f t="shared" si="146"/>
        <v>0</v>
      </c>
      <c r="P325" s="7688">
        <f t="shared" si="147"/>
        <v>1</v>
      </c>
      <c r="Q325" s="7688">
        <f t="shared" si="148"/>
        <v>1</v>
      </c>
      <c r="CA325" s="3170" t="s">
        <v>16913</v>
      </c>
      <c r="CB325" s="7634" t="s">
        <v>16255</v>
      </c>
      <c r="CC325" s="3170" t="s">
        <v>16973</v>
      </c>
      <c r="CD325" s="3170" t="s">
        <v>16974</v>
      </c>
    </row>
    <row r="326" spans="2:82">
      <c r="B326" s="7685"/>
      <c r="C326" s="7685"/>
      <c r="D326" s="7685"/>
      <c r="E326" s="7685">
        <f>IF(H325&lt;&gt;"",E325,IF(E325="","",IFERROR(MATCH(TRUE(),INDEX(INDEX($K:$K,E325+1):$K$203&lt;&gt;"",0),0)+E325,"")))</f>
        <v>501</v>
      </c>
      <c r="F326" s="7686">
        <f t="shared" si="149"/>
        <v>0</v>
      </c>
      <c r="G326" s="7686" t="str">
        <f t="shared" si="141"/>
        <v>0</v>
      </c>
      <c r="H326" s="7687" t="str">
        <f t="shared" si="142"/>
        <v/>
      </c>
      <c r="I326" s="7685" t="str">
        <f t="shared" si="143"/>
        <v/>
      </c>
      <c r="M326" s="7622">
        <f t="shared" si="144"/>
        <v>1</v>
      </c>
      <c r="N326" s="7688">
        <f t="shared" si="145"/>
        <v>309</v>
      </c>
      <c r="O326" s="7661" t="str">
        <f t="shared" si="146"/>
        <v>0</v>
      </c>
      <c r="P326" s="7688">
        <f t="shared" si="147"/>
        <v>1</v>
      </c>
      <c r="Q326" s="7688">
        <f t="shared" si="148"/>
        <v>1</v>
      </c>
      <c r="CA326" s="3170" t="s">
        <v>16913</v>
      </c>
      <c r="CB326" s="7634" t="s">
        <v>16255</v>
      </c>
      <c r="CC326" s="3170" t="s">
        <v>16975</v>
      </c>
      <c r="CD326" s="3170" t="s">
        <v>16976</v>
      </c>
    </row>
    <row r="327" spans="2:82">
      <c r="B327" s="7685"/>
      <c r="C327" s="7685"/>
      <c r="D327" s="7685"/>
      <c r="E327" s="7685">
        <f>IF(H326&lt;&gt;"",E326,IF(E326="","",IFERROR(MATCH(TRUE(),INDEX(INDEX($K:$K,E326+1):$K$203&lt;&gt;"",0),0)+E326,"")))</f>
        <v>502</v>
      </c>
      <c r="F327" s="7686">
        <f t="shared" si="149"/>
        <v>0</v>
      </c>
      <c r="G327" s="7686" t="str">
        <f t="shared" si="141"/>
        <v>0</v>
      </c>
      <c r="H327" s="7687" t="str">
        <f t="shared" si="142"/>
        <v/>
      </c>
      <c r="I327" s="7685" t="str">
        <f t="shared" si="143"/>
        <v/>
      </c>
      <c r="M327" s="7622">
        <f t="shared" si="144"/>
        <v>1</v>
      </c>
      <c r="N327" s="7688">
        <f t="shared" si="145"/>
        <v>310</v>
      </c>
      <c r="O327" s="7661" t="str">
        <f t="shared" si="146"/>
        <v>0</v>
      </c>
      <c r="P327" s="7688">
        <f t="shared" si="147"/>
        <v>1</v>
      </c>
      <c r="Q327" s="7688">
        <f t="shared" si="148"/>
        <v>1</v>
      </c>
      <c r="CA327" s="3170" t="s">
        <v>16913</v>
      </c>
      <c r="CB327" s="7634" t="s">
        <v>16255</v>
      </c>
      <c r="CC327" s="3170" t="s">
        <v>16977</v>
      </c>
      <c r="CD327" s="3170" t="s">
        <v>16978</v>
      </c>
    </row>
    <row r="328" spans="2:82">
      <c r="B328" s="7685"/>
      <c r="C328" s="7685"/>
      <c r="D328" s="7685"/>
      <c r="E328" s="7685">
        <f>IF(H327&lt;&gt;"",E327,IF(E327="","",IFERROR(MATCH(TRUE(),INDEX(INDEX($K:$K,E327+1):$K$203&lt;&gt;"",0),0)+E327,"")))</f>
        <v>503</v>
      </c>
      <c r="F328" s="7686">
        <f t="shared" si="149"/>
        <v>0</v>
      </c>
      <c r="G328" s="7686" t="str">
        <f t="shared" si="141"/>
        <v>0</v>
      </c>
      <c r="H328" s="7687" t="str">
        <f t="shared" si="142"/>
        <v/>
      </c>
      <c r="I328" s="7685" t="str">
        <f t="shared" si="143"/>
        <v/>
      </c>
      <c r="M328" s="7622">
        <f t="shared" si="144"/>
        <v>1</v>
      </c>
      <c r="N328" s="7688">
        <f t="shared" si="145"/>
        <v>311</v>
      </c>
      <c r="O328" s="7661" t="str">
        <f t="shared" si="146"/>
        <v>0</v>
      </c>
      <c r="P328" s="7688">
        <f t="shared" si="147"/>
        <v>1</v>
      </c>
      <c r="Q328" s="7688">
        <f t="shared" si="148"/>
        <v>1</v>
      </c>
      <c r="CA328" s="3170" t="s">
        <v>16913</v>
      </c>
      <c r="CB328" s="7634" t="s">
        <v>16255</v>
      </c>
      <c r="CC328" s="3170" t="s">
        <v>16979</v>
      </c>
      <c r="CD328" s="3170" t="s">
        <v>16980</v>
      </c>
    </row>
    <row r="329" spans="2:82">
      <c r="B329" s="7685"/>
      <c r="C329" s="7685"/>
      <c r="D329" s="7685"/>
      <c r="E329" s="7685">
        <f>IF(H328&lt;&gt;"",E328,IF(E328="","",IFERROR(MATCH(TRUE(),INDEX(INDEX($K:$K,E328+1):$K$203&lt;&gt;"",0),0)+E328,"")))</f>
        <v>504</v>
      </c>
      <c r="F329" s="7686">
        <f t="shared" si="149"/>
        <v>0</v>
      </c>
      <c r="G329" s="7686" t="str">
        <f t="shared" si="141"/>
        <v>0</v>
      </c>
      <c r="H329" s="7687" t="str">
        <f t="shared" si="142"/>
        <v/>
      </c>
      <c r="I329" s="7685" t="str">
        <f t="shared" si="143"/>
        <v/>
      </c>
      <c r="M329" s="7622">
        <f t="shared" si="144"/>
        <v>1</v>
      </c>
      <c r="N329" s="7688">
        <f t="shared" si="145"/>
        <v>312</v>
      </c>
      <c r="O329" s="7661" t="str">
        <f t="shared" si="146"/>
        <v>0</v>
      </c>
      <c r="P329" s="7688">
        <f t="shared" si="147"/>
        <v>1</v>
      </c>
      <c r="Q329" s="7688">
        <f t="shared" si="148"/>
        <v>1</v>
      </c>
      <c r="CA329" s="3170" t="s">
        <v>16913</v>
      </c>
      <c r="CB329" s="7634" t="s">
        <v>16255</v>
      </c>
      <c r="CC329" s="3170" t="s">
        <v>16981</v>
      </c>
      <c r="CD329" s="3170" t="s">
        <v>16982</v>
      </c>
    </row>
    <row r="330" spans="2:82">
      <c r="B330" s="7685"/>
      <c r="C330" s="7685"/>
      <c r="D330" s="7685"/>
      <c r="E330" s="7685">
        <f>IF(H329&lt;&gt;"",E329,IF(E329="","",IFERROR(MATCH(TRUE(),INDEX(INDEX($K:$K,E329+1):$K$203&lt;&gt;"",0),0)+E329,"")))</f>
        <v>505</v>
      </c>
      <c r="F330" s="7686">
        <f t="shared" si="149"/>
        <v>0</v>
      </c>
      <c r="G330" s="7686" t="str">
        <f t="shared" si="141"/>
        <v>0</v>
      </c>
      <c r="H330" s="7687" t="str">
        <f t="shared" si="142"/>
        <v/>
      </c>
      <c r="I330" s="7685" t="str">
        <f t="shared" si="143"/>
        <v/>
      </c>
      <c r="M330" s="7622">
        <f t="shared" si="144"/>
        <v>1</v>
      </c>
      <c r="N330" s="7688">
        <f t="shared" si="145"/>
        <v>313</v>
      </c>
      <c r="O330" s="7661" t="str">
        <f t="shared" si="146"/>
        <v>0</v>
      </c>
      <c r="P330" s="7688">
        <f t="shared" si="147"/>
        <v>1</v>
      </c>
      <c r="Q330" s="7688">
        <f t="shared" si="148"/>
        <v>1</v>
      </c>
      <c r="CA330" s="3170" t="s">
        <v>16913</v>
      </c>
      <c r="CB330" s="7634" t="s">
        <v>16255</v>
      </c>
      <c r="CC330" s="3170" t="s">
        <v>16983</v>
      </c>
      <c r="CD330" s="3170" t="s">
        <v>16984</v>
      </c>
    </row>
    <row r="331" spans="2:82">
      <c r="B331" s="7685"/>
      <c r="C331" s="7685"/>
      <c r="D331" s="7685"/>
      <c r="E331" s="7685">
        <f>IF(H330&lt;&gt;"",E330,IF(E330="","",IFERROR(MATCH(TRUE(),INDEX(INDEX($K:$K,E330+1):$K$203&lt;&gt;"",0),0)+E330,"")))</f>
        <v>506</v>
      </c>
      <c r="F331" s="7686">
        <f t="shared" si="149"/>
        <v>0</v>
      </c>
      <c r="G331" s="7686" t="str">
        <f t="shared" si="141"/>
        <v>0</v>
      </c>
      <c r="H331" s="7687" t="str">
        <f t="shared" si="142"/>
        <v/>
      </c>
      <c r="I331" s="7685" t="str">
        <f t="shared" si="143"/>
        <v/>
      </c>
      <c r="M331" s="7622">
        <f t="shared" si="144"/>
        <v>1</v>
      </c>
      <c r="N331" s="7688">
        <f t="shared" si="145"/>
        <v>314</v>
      </c>
      <c r="O331" s="7661" t="str">
        <f t="shared" si="146"/>
        <v>0</v>
      </c>
      <c r="P331" s="7688">
        <f t="shared" si="147"/>
        <v>1</v>
      </c>
      <c r="Q331" s="7688">
        <f t="shared" si="148"/>
        <v>1</v>
      </c>
      <c r="CA331" s="3170" t="s">
        <v>16913</v>
      </c>
      <c r="CB331" s="7634" t="s">
        <v>16255</v>
      </c>
      <c r="CC331" s="3170" t="s">
        <v>16985</v>
      </c>
      <c r="CD331" s="3170" t="s">
        <v>16986</v>
      </c>
    </row>
    <row r="332" spans="2:82">
      <c r="B332" s="7685"/>
      <c r="C332" s="7685"/>
      <c r="D332" s="7685"/>
      <c r="E332" s="7685">
        <f>IF(H331&lt;&gt;"",E331,IF(E331="","",IFERROR(MATCH(TRUE(),INDEX(INDEX($K:$K,E331+1):$K$203&lt;&gt;"",0),0)+E331,"")))</f>
        <v>507</v>
      </c>
      <c r="F332" s="7686">
        <f t="shared" si="149"/>
        <v>0</v>
      </c>
      <c r="G332" s="7686" t="str">
        <f t="shared" si="141"/>
        <v>0</v>
      </c>
      <c r="H332" s="7687" t="str">
        <f t="shared" si="142"/>
        <v/>
      </c>
      <c r="I332" s="7685" t="str">
        <f t="shared" si="143"/>
        <v/>
      </c>
      <c r="M332" s="7622">
        <f t="shared" si="144"/>
        <v>1</v>
      </c>
      <c r="N332" s="7688">
        <f t="shared" si="145"/>
        <v>315</v>
      </c>
      <c r="O332" s="7661" t="str">
        <f t="shared" si="146"/>
        <v>0</v>
      </c>
      <c r="P332" s="7688">
        <f t="shared" si="147"/>
        <v>1</v>
      </c>
      <c r="Q332" s="7688">
        <f t="shared" si="148"/>
        <v>1</v>
      </c>
      <c r="CA332" s="3170" t="s">
        <v>16913</v>
      </c>
      <c r="CB332" s="7634" t="s">
        <v>16255</v>
      </c>
      <c r="CC332" s="3170" t="s">
        <v>16987</v>
      </c>
      <c r="CD332" s="3170" t="s">
        <v>16988</v>
      </c>
    </row>
    <row r="333" spans="2:82">
      <c r="B333" s="7685"/>
      <c r="C333" s="7685"/>
      <c r="D333" s="7685"/>
      <c r="E333" s="7685">
        <f>IF(H332&lt;&gt;"",E332,IF(E332="","",IFERROR(MATCH(TRUE(),INDEX(INDEX($K:$K,E332+1):$K$203&lt;&gt;"",0),0)+E332,"")))</f>
        <v>508</v>
      </c>
      <c r="F333" s="7686">
        <f t="shared" si="149"/>
        <v>0</v>
      </c>
      <c r="G333" s="7686" t="str">
        <f t="shared" si="141"/>
        <v>0</v>
      </c>
      <c r="H333" s="7687" t="str">
        <f t="shared" si="142"/>
        <v/>
      </c>
      <c r="I333" s="7685" t="str">
        <f t="shared" si="143"/>
        <v/>
      </c>
      <c r="M333" s="7622">
        <f t="shared" si="144"/>
        <v>1</v>
      </c>
      <c r="N333" s="7688">
        <f t="shared" si="145"/>
        <v>316</v>
      </c>
      <c r="O333" s="7661" t="str">
        <f t="shared" si="146"/>
        <v>0</v>
      </c>
      <c r="P333" s="7688">
        <f t="shared" si="147"/>
        <v>1</v>
      </c>
      <c r="Q333" s="7688">
        <f t="shared" si="148"/>
        <v>1</v>
      </c>
      <c r="CA333" s="3170" t="s">
        <v>16913</v>
      </c>
      <c r="CB333" s="7634" t="s">
        <v>16255</v>
      </c>
      <c r="CC333" s="3170" t="s">
        <v>16989</v>
      </c>
      <c r="CD333" s="3170" t="s">
        <v>16990</v>
      </c>
    </row>
    <row r="334" spans="2:82">
      <c r="B334" s="7685"/>
      <c r="C334" s="7685"/>
      <c r="D334" s="7685"/>
      <c r="E334" s="7685">
        <f>IF(H333&lt;&gt;"",E333,IF(E333="","",IFERROR(MATCH(TRUE(),INDEX(INDEX($K:$K,E333+1):$K$203&lt;&gt;"",0),0)+E333,"")))</f>
        <v>509</v>
      </c>
      <c r="F334" s="7686">
        <f t="shared" si="149"/>
        <v>0</v>
      </c>
      <c r="G334" s="7686" t="str">
        <f t="shared" si="141"/>
        <v>0</v>
      </c>
      <c r="H334" s="7687" t="str">
        <f t="shared" si="142"/>
        <v/>
      </c>
      <c r="I334" s="7685" t="str">
        <f t="shared" si="143"/>
        <v/>
      </c>
      <c r="M334" s="7622">
        <f t="shared" si="144"/>
        <v>1</v>
      </c>
      <c r="N334" s="7688">
        <f t="shared" si="145"/>
        <v>317</v>
      </c>
      <c r="O334" s="7661" t="str">
        <f t="shared" si="146"/>
        <v>0</v>
      </c>
      <c r="P334" s="7688">
        <f t="shared" si="147"/>
        <v>1</v>
      </c>
      <c r="Q334" s="7688">
        <f t="shared" si="148"/>
        <v>1</v>
      </c>
      <c r="CA334" s="3170" t="s">
        <v>1914</v>
      </c>
      <c r="CB334" s="7634" t="s">
        <v>16255</v>
      </c>
      <c r="CC334" s="3170" t="s">
        <v>16991</v>
      </c>
      <c r="CD334" s="3170" t="s">
        <v>16992</v>
      </c>
    </row>
    <row r="335" spans="2:82">
      <c r="B335" s="7685"/>
      <c r="C335" s="7685"/>
      <c r="D335" s="7685"/>
      <c r="E335" s="7685">
        <f>IF(H334&lt;&gt;"",E334,IF(E334="","",IFERROR(MATCH(TRUE(),INDEX(INDEX($K:$K,E334+1):$K$203&lt;&gt;"",0),0)+E334,"")))</f>
        <v>510</v>
      </c>
      <c r="F335" s="7686">
        <f t="shared" si="149"/>
        <v>0</v>
      </c>
      <c r="G335" s="7686" t="str">
        <f t="shared" si="141"/>
        <v>0</v>
      </c>
      <c r="H335" s="7687" t="str">
        <f t="shared" si="142"/>
        <v/>
      </c>
      <c r="I335" s="7685" t="str">
        <f t="shared" si="143"/>
        <v/>
      </c>
      <c r="M335" s="7622">
        <f t="shared" si="144"/>
        <v>1</v>
      </c>
      <c r="N335" s="7688">
        <f t="shared" si="145"/>
        <v>318</v>
      </c>
      <c r="O335" s="7661" t="str">
        <f t="shared" si="146"/>
        <v>0</v>
      </c>
      <c r="P335" s="7688">
        <f t="shared" si="147"/>
        <v>1</v>
      </c>
      <c r="Q335" s="7688">
        <f t="shared" si="148"/>
        <v>1</v>
      </c>
      <c r="CA335" s="3170" t="s">
        <v>1914</v>
      </c>
      <c r="CB335" s="7634" t="s">
        <v>16255</v>
      </c>
      <c r="CC335" s="3170" t="s">
        <v>16993</v>
      </c>
      <c r="CD335" s="3170" t="s">
        <v>16994</v>
      </c>
    </row>
    <row r="336" spans="2:82">
      <c r="B336" s="7685"/>
      <c r="C336" s="7685"/>
      <c r="D336" s="7685"/>
      <c r="E336" s="7685">
        <f>IF(H335&lt;&gt;"",E335,IF(E335="","",IFERROR(MATCH(TRUE(),INDEX(INDEX($K:$K,E335+1):$K$203&lt;&gt;"",0),0)+E335,"")))</f>
        <v>511</v>
      </c>
      <c r="F336" s="7686">
        <f t="shared" si="149"/>
        <v>0</v>
      </c>
      <c r="G336" s="7686" t="str">
        <f t="shared" si="141"/>
        <v>0</v>
      </c>
      <c r="H336" s="7687" t="str">
        <f t="shared" si="142"/>
        <v/>
      </c>
      <c r="I336" s="7685" t="str">
        <f t="shared" si="143"/>
        <v/>
      </c>
      <c r="M336" s="7622">
        <f t="shared" si="144"/>
        <v>1</v>
      </c>
      <c r="N336" s="7688">
        <f t="shared" si="145"/>
        <v>319</v>
      </c>
      <c r="O336" s="7661" t="str">
        <f t="shared" si="146"/>
        <v>0</v>
      </c>
      <c r="P336" s="7688">
        <f t="shared" si="147"/>
        <v>1</v>
      </c>
      <c r="Q336" s="7688">
        <f t="shared" si="148"/>
        <v>1</v>
      </c>
      <c r="CA336" s="3170" t="s">
        <v>1914</v>
      </c>
      <c r="CB336" s="7634" t="s">
        <v>16255</v>
      </c>
      <c r="CC336" s="3170" t="s">
        <v>16995</v>
      </c>
      <c r="CD336" s="3170" t="s">
        <v>16996</v>
      </c>
    </row>
    <row r="337" spans="2:82">
      <c r="B337" s="7685"/>
      <c r="C337" s="7685"/>
      <c r="D337" s="7685"/>
      <c r="E337" s="7685">
        <f>IF(H336&lt;&gt;"",E336,IF(E336="","",IFERROR(MATCH(TRUE(),INDEX(INDEX($K:$K,E336+1):$K$203&lt;&gt;"",0),0)+E336,"")))</f>
        <v>512</v>
      </c>
      <c r="F337" s="7686">
        <f t="shared" si="149"/>
        <v>0</v>
      </c>
      <c r="G337" s="7686" t="str">
        <f t="shared" si="141"/>
        <v>0</v>
      </c>
      <c r="H337" s="7687" t="str">
        <f t="shared" si="142"/>
        <v/>
      </c>
      <c r="I337" s="7685" t="str">
        <f t="shared" si="143"/>
        <v/>
      </c>
      <c r="M337" s="7622">
        <f t="shared" si="144"/>
        <v>1</v>
      </c>
      <c r="N337" s="7688">
        <f t="shared" si="145"/>
        <v>320</v>
      </c>
      <c r="O337" s="7661" t="str">
        <f t="shared" si="146"/>
        <v>0</v>
      </c>
      <c r="P337" s="7688">
        <f t="shared" si="147"/>
        <v>1</v>
      </c>
      <c r="Q337" s="7688">
        <f t="shared" si="148"/>
        <v>1</v>
      </c>
      <c r="CA337" s="3170" t="s">
        <v>1914</v>
      </c>
      <c r="CB337" s="7634" t="s">
        <v>16255</v>
      </c>
      <c r="CC337" s="3170" t="s">
        <v>16997</v>
      </c>
      <c r="CD337" s="3170" t="s">
        <v>16998</v>
      </c>
    </row>
    <row r="338" spans="2:82">
      <c r="B338" s="7685"/>
      <c r="C338" s="7685"/>
      <c r="D338" s="7685"/>
      <c r="E338" s="7685">
        <f>IF(H337&lt;&gt;"",E337,IF(E337="","",IFERROR(MATCH(TRUE(),INDEX(INDEX($K:$K,E337+1):$K$203&lt;&gt;"",0),0)+E337,"")))</f>
        <v>513</v>
      </c>
      <c r="F338" s="7686">
        <f t="shared" si="149"/>
        <v>0</v>
      </c>
      <c r="G338" s="7686" t="str">
        <f t="shared" ref="G338:G401" si="150">IF(OR(F338="",M338=""),"",LEFT(F338,M338))</f>
        <v>0</v>
      </c>
      <c r="H338" s="7687" t="str">
        <f t="shared" ref="H338:H401" si="151">IF(OR(F338="",M338=""),"",TRIM(MID(F338,M338+1,99999)))</f>
        <v/>
      </c>
      <c r="I338" s="7685" t="str">
        <f t="shared" ref="I338:I401" si="152">IF(AND(F338&lt;&gt;"",$N$10&gt;0,M338&gt;$N$10),"Mot &gt; limite","")</f>
        <v/>
      </c>
      <c r="M338" s="7622">
        <f t="shared" ref="M338:M401" si="153">IF(OR(F338="",$N$10="",$N$10&lt;=0),"",IF(LEN(F338)&lt;=$N$10,LEN(F338),IFERROR(FIND("♦",SUBSTITUTE(LEFT(F338,$N$10)," ","♦",LEN(LEFT(F338,$N$10))-LEN(SUBSTITUTE(LEFT(F338,$N$10)," ","")))),FIND(" ",F338&amp;" ",$N$10+1)-1)))</f>
        <v>1</v>
      </c>
      <c r="N338" s="7688">
        <f t="shared" ref="N338:N401" si="154">IF(O338="","",ROW()-17)</f>
        <v>321</v>
      </c>
      <c r="O338" s="7661" t="str">
        <f t="shared" ref="O338:O401" si="155">G338</f>
        <v>0</v>
      </c>
      <c r="P338" s="7688">
        <f t="shared" ref="P338:P401" si="156">IF(O338="","",LEN(TRIM(O338))-LEN(SUBSTITUTE(TRIM(O338)," ",""))+1)</f>
        <v>1</v>
      </c>
      <c r="Q338" s="7688">
        <f t="shared" ref="Q338:Q401" si="157">IF(O338="","",LEN(O338))</f>
        <v>1</v>
      </c>
      <c r="CA338" s="3170" t="s">
        <v>1914</v>
      </c>
      <c r="CB338" s="7634" t="s">
        <v>16255</v>
      </c>
      <c r="CC338" s="3170" t="s">
        <v>16999</v>
      </c>
      <c r="CD338" s="3170" t="s">
        <v>17000</v>
      </c>
    </row>
    <row r="339" spans="2:82">
      <c r="B339" s="7685"/>
      <c r="C339" s="7685"/>
      <c r="D339" s="7685"/>
      <c r="E339" s="7685">
        <f>IF(H338&lt;&gt;"",E338,IF(E338="","",IFERROR(MATCH(TRUE(),INDEX(INDEX($K:$K,E338+1):$K$203&lt;&gt;"",0),0)+E338,"")))</f>
        <v>514</v>
      </c>
      <c r="F339" s="7686">
        <f t="shared" ref="F339:F402" si="158">IF(E339="","",IF(H338&lt;&gt;"",H338,INDEX($D:$D,E339)))</f>
        <v>0</v>
      </c>
      <c r="G339" s="7686" t="str">
        <f t="shared" si="150"/>
        <v>0</v>
      </c>
      <c r="H339" s="7687" t="str">
        <f t="shared" si="151"/>
        <v/>
      </c>
      <c r="I339" s="7685" t="str">
        <f t="shared" si="152"/>
        <v/>
      </c>
      <c r="M339" s="7622">
        <f t="shared" si="153"/>
        <v>1</v>
      </c>
      <c r="N339" s="7688">
        <f t="shared" si="154"/>
        <v>322</v>
      </c>
      <c r="O339" s="7661" t="str">
        <f t="shared" si="155"/>
        <v>0</v>
      </c>
      <c r="P339" s="7688">
        <f t="shared" si="156"/>
        <v>1</v>
      </c>
      <c r="Q339" s="7688">
        <f t="shared" si="157"/>
        <v>1</v>
      </c>
      <c r="CA339" s="3170" t="s">
        <v>1914</v>
      </c>
      <c r="CB339" s="7634" t="s">
        <v>16255</v>
      </c>
      <c r="CC339" s="3170" t="s">
        <v>17001</v>
      </c>
      <c r="CD339" s="3170" t="s">
        <v>17002</v>
      </c>
    </row>
    <row r="340" spans="2:82">
      <c r="B340" s="7685"/>
      <c r="C340" s="7685"/>
      <c r="D340" s="7685"/>
      <c r="E340" s="7685">
        <f>IF(H339&lt;&gt;"",E339,IF(E339="","",IFERROR(MATCH(TRUE(),INDEX(INDEX($K:$K,E339+1):$K$203&lt;&gt;"",0),0)+E339,"")))</f>
        <v>515</v>
      </c>
      <c r="F340" s="7686">
        <f t="shared" si="158"/>
        <v>0</v>
      </c>
      <c r="G340" s="7686" t="str">
        <f t="shared" si="150"/>
        <v>0</v>
      </c>
      <c r="H340" s="7687" t="str">
        <f t="shared" si="151"/>
        <v/>
      </c>
      <c r="I340" s="7685" t="str">
        <f t="shared" si="152"/>
        <v/>
      </c>
      <c r="M340" s="7622">
        <f t="shared" si="153"/>
        <v>1</v>
      </c>
      <c r="N340" s="7688">
        <f t="shared" si="154"/>
        <v>323</v>
      </c>
      <c r="O340" s="7661" t="str">
        <f t="shared" si="155"/>
        <v>0</v>
      </c>
      <c r="P340" s="7688">
        <f t="shared" si="156"/>
        <v>1</v>
      </c>
      <c r="Q340" s="7688">
        <f t="shared" si="157"/>
        <v>1</v>
      </c>
      <c r="CA340" s="3170" t="s">
        <v>1914</v>
      </c>
      <c r="CB340" s="7634" t="s">
        <v>16255</v>
      </c>
      <c r="CC340" s="3170" t="s">
        <v>17003</v>
      </c>
      <c r="CD340" s="3170" t="s">
        <v>17004</v>
      </c>
    </row>
    <row r="341" spans="2:82">
      <c r="B341" s="7685"/>
      <c r="C341" s="7685"/>
      <c r="D341" s="7685"/>
      <c r="E341" s="7685">
        <f>IF(H340&lt;&gt;"",E340,IF(E340="","",IFERROR(MATCH(TRUE(),INDEX(INDEX($K:$K,E340+1):$K$203&lt;&gt;"",0),0)+E340,"")))</f>
        <v>516</v>
      </c>
      <c r="F341" s="7686">
        <f t="shared" si="158"/>
        <v>0</v>
      </c>
      <c r="G341" s="7686" t="str">
        <f t="shared" si="150"/>
        <v>0</v>
      </c>
      <c r="H341" s="7687" t="str">
        <f t="shared" si="151"/>
        <v/>
      </c>
      <c r="I341" s="7685" t="str">
        <f t="shared" si="152"/>
        <v/>
      </c>
      <c r="M341" s="7622">
        <f t="shared" si="153"/>
        <v>1</v>
      </c>
      <c r="N341" s="7688">
        <f t="shared" si="154"/>
        <v>324</v>
      </c>
      <c r="O341" s="7661" t="str">
        <f t="shared" si="155"/>
        <v>0</v>
      </c>
      <c r="P341" s="7688">
        <f t="shared" si="156"/>
        <v>1</v>
      </c>
      <c r="Q341" s="7688">
        <f t="shared" si="157"/>
        <v>1</v>
      </c>
      <c r="CA341" s="3170" t="s">
        <v>1914</v>
      </c>
      <c r="CB341" s="7634" t="s">
        <v>16255</v>
      </c>
      <c r="CC341" s="3170" t="s">
        <v>17005</v>
      </c>
      <c r="CD341" s="3170" t="s">
        <v>17006</v>
      </c>
    </row>
    <row r="342" spans="2:82">
      <c r="B342" s="7685"/>
      <c r="C342" s="7685"/>
      <c r="D342" s="7685"/>
      <c r="E342" s="7685">
        <f>IF(H341&lt;&gt;"",E341,IF(E341="","",IFERROR(MATCH(TRUE(),INDEX(INDEX($K:$K,E341+1):$K$203&lt;&gt;"",0),0)+E341,"")))</f>
        <v>517</v>
      </c>
      <c r="F342" s="7686">
        <f t="shared" si="158"/>
        <v>0</v>
      </c>
      <c r="G342" s="7686" t="str">
        <f t="shared" si="150"/>
        <v>0</v>
      </c>
      <c r="H342" s="7687" t="str">
        <f t="shared" si="151"/>
        <v/>
      </c>
      <c r="I342" s="7685" t="str">
        <f t="shared" si="152"/>
        <v/>
      </c>
      <c r="M342" s="7622">
        <f t="shared" si="153"/>
        <v>1</v>
      </c>
      <c r="N342" s="7688">
        <f t="shared" si="154"/>
        <v>325</v>
      </c>
      <c r="O342" s="7661" t="str">
        <f t="shared" si="155"/>
        <v>0</v>
      </c>
      <c r="P342" s="7688">
        <f t="shared" si="156"/>
        <v>1</v>
      </c>
      <c r="Q342" s="7688">
        <f t="shared" si="157"/>
        <v>1</v>
      </c>
      <c r="CA342" s="3170" t="s">
        <v>1914</v>
      </c>
      <c r="CB342" s="7634" t="s">
        <v>16255</v>
      </c>
      <c r="CC342" s="3170" t="s">
        <v>17007</v>
      </c>
      <c r="CD342" s="3170" t="s">
        <v>17008</v>
      </c>
    </row>
    <row r="343" spans="2:82">
      <c r="B343" s="7685"/>
      <c r="C343" s="7685"/>
      <c r="D343" s="7685"/>
      <c r="E343" s="7685">
        <f>IF(H342&lt;&gt;"",E342,IF(E342="","",IFERROR(MATCH(TRUE(),INDEX(INDEX($K:$K,E342+1):$K$203&lt;&gt;"",0),0)+E342,"")))</f>
        <v>518</v>
      </c>
      <c r="F343" s="7686">
        <f t="shared" si="158"/>
        <v>0</v>
      </c>
      <c r="G343" s="7686" t="str">
        <f t="shared" si="150"/>
        <v>0</v>
      </c>
      <c r="H343" s="7687" t="str">
        <f t="shared" si="151"/>
        <v/>
      </c>
      <c r="I343" s="7685" t="str">
        <f t="shared" si="152"/>
        <v/>
      </c>
      <c r="M343" s="7622">
        <f t="shared" si="153"/>
        <v>1</v>
      </c>
      <c r="N343" s="7688">
        <f t="shared" si="154"/>
        <v>326</v>
      </c>
      <c r="O343" s="7661" t="str">
        <f t="shared" si="155"/>
        <v>0</v>
      </c>
      <c r="P343" s="7688">
        <f t="shared" si="156"/>
        <v>1</v>
      </c>
      <c r="Q343" s="7688">
        <f t="shared" si="157"/>
        <v>1</v>
      </c>
      <c r="CA343" s="3170" t="s">
        <v>1914</v>
      </c>
      <c r="CB343" s="7634" t="s">
        <v>16255</v>
      </c>
      <c r="CC343" s="3170" t="s">
        <v>17009</v>
      </c>
      <c r="CD343" s="3170" t="s">
        <v>17010</v>
      </c>
    </row>
    <row r="344" spans="2:82">
      <c r="B344" s="7685"/>
      <c r="C344" s="7685"/>
      <c r="D344" s="7685"/>
      <c r="E344" s="7685">
        <f>IF(H343&lt;&gt;"",E343,IF(E343="","",IFERROR(MATCH(TRUE(),INDEX(INDEX($K:$K,E343+1):$K$203&lt;&gt;"",0),0)+E343,"")))</f>
        <v>519</v>
      </c>
      <c r="F344" s="7686">
        <f t="shared" si="158"/>
        <v>0</v>
      </c>
      <c r="G344" s="7686" t="str">
        <f t="shared" si="150"/>
        <v>0</v>
      </c>
      <c r="H344" s="7687" t="str">
        <f t="shared" si="151"/>
        <v/>
      </c>
      <c r="I344" s="7685" t="str">
        <f t="shared" si="152"/>
        <v/>
      </c>
      <c r="M344" s="7622">
        <f t="shared" si="153"/>
        <v>1</v>
      </c>
      <c r="N344" s="7688">
        <f t="shared" si="154"/>
        <v>327</v>
      </c>
      <c r="O344" s="7661" t="str">
        <f t="shared" si="155"/>
        <v>0</v>
      </c>
      <c r="P344" s="7688">
        <f t="shared" si="156"/>
        <v>1</v>
      </c>
      <c r="Q344" s="7688">
        <f t="shared" si="157"/>
        <v>1</v>
      </c>
      <c r="CA344" s="3170" t="s">
        <v>1914</v>
      </c>
      <c r="CB344" s="7634" t="s">
        <v>16255</v>
      </c>
      <c r="CC344" s="3170" t="s">
        <v>17011</v>
      </c>
      <c r="CD344" s="3170" t="s">
        <v>17012</v>
      </c>
    </row>
    <row r="345" spans="2:82">
      <c r="B345" s="7685"/>
      <c r="C345" s="7685"/>
      <c r="D345" s="7685"/>
      <c r="E345" s="7685">
        <f>IF(H344&lt;&gt;"",E344,IF(E344="","",IFERROR(MATCH(TRUE(),INDEX(INDEX($K:$K,E344+1):$K$203&lt;&gt;"",0),0)+E344,"")))</f>
        <v>520</v>
      </c>
      <c r="F345" s="7686">
        <f t="shared" si="158"/>
        <v>0</v>
      </c>
      <c r="G345" s="7686" t="str">
        <f t="shared" si="150"/>
        <v>0</v>
      </c>
      <c r="H345" s="7687" t="str">
        <f t="shared" si="151"/>
        <v/>
      </c>
      <c r="I345" s="7685" t="str">
        <f t="shared" si="152"/>
        <v/>
      </c>
      <c r="M345" s="7622">
        <f t="shared" si="153"/>
        <v>1</v>
      </c>
      <c r="N345" s="7688">
        <f t="shared" si="154"/>
        <v>328</v>
      </c>
      <c r="O345" s="7661" t="str">
        <f t="shared" si="155"/>
        <v>0</v>
      </c>
      <c r="P345" s="7688">
        <f t="shared" si="156"/>
        <v>1</v>
      </c>
      <c r="Q345" s="7688">
        <f t="shared" si="157"/>
        <v>1</v>
      </c>
      <c r="CA345" s="3170" t="s">
        <v>1914</v>
      </c>
      <c r="CB345" s="7634" t="s">
        <v>16255</v>
      </c>
      <c r="CC345" s="3170" t="s">
        <v>17013</v>
      </c>
      <c r="CD345" s="3170" t="s">
        <v>17014</v>
      </c>
    </row>
    <row r="346" spans="2:82">
      <c r="B346" s="7685"/>
      <c r="C346" s="7685"/>
      <c r="D346" s="7685"/>
      <c r="E346" s="7685">
        <f>IF(H345&lt;&gt;"",E345,IF(E345="","",IFERROR(MATCH(TRUE(),INDEX(INDEX($K:$K,E345+1):$K$203&lt;&gt;"",0),0)+E345,"")))</f>
        <v>521</v>
      </c>
      <c r="F346" s="7686">
        <f t="shared" si="158"/>
        <v>0</v>
      </c>
      <c r="G346" s="7686" t="str">
        <f t="shared" si="150"/>
        <v>0</v>
      </c>
      <c r="H346" s="7687" t="str">
        <f t="shared" si="151"/>
        <v/>
      </c>
      <c r="I346" s="7685" t="str">
        <f t="shared" si="152"/>
        <v/>
      </c>
      <c r="M346" s="7622">
        <f t="shared" si="153"/>
        <v>1</v>
      </c>
      <c r="N346" s="7688">
        <f t="shared" si="154"/>
        <v>329</v>
      </c>
      <c r="O346" s="7661" t="str">
        <f t="shared" si="155"/>
        <v>0</v>
      </c>
      <c r="P346" s="7688">
        <f t="shared" si="156"/>
        <v>1</v>
      </c>
      <c r="Q346" s="7688">
        <f t="shared" si="157"/>
        <v>1</v>
      </c>
      <c r="CA346" s="3170" t="s">
        <v>1914</v>
      </c>
      <c r="CB346" s="7634" t="s">
        <v>16255</v>
      </c>
      <c r="CC346" s="3170" t="s">
        <v>17015</v>
      </c>
      <c r="CD346" s="3170" t="s">
        <v>17016</v>
      </c>
    </row>
    <row r="347" spans="2:82">
      <c r="B347" s="7685"/>
      <c r="C347" s="7685"/>
      <c r="D347" s="7685"/>
      <c r="E347" s="7685">
        <f>IF(H346&lt;&gt;"",E346,IF(E346="","",IFERROR(MATCH(TRUE(),INDEX(INDEX($K:$K,E346+1):$K$203&lt;&gt;"",0),0)+E346,"")))</f>
        <v>522</v>
      </c>
      <c r="F347" s="7686">
        <f t="shared" si="158"/>
        <v>0</v>
      </c>
      <c r="G347" s="7686" t="str">
        <f t="shared" si="150"/>
        <v>0</v>
      </c>
      <c r="H347" s="7687" t="str">
        <f t="shared" si="151"/>
        <v/>
      </c>
      <c r="I347" s="7685" t="str">
        <f t="shared" si="152"/>
        <v/>
      </c>
      <c r="M347" s="7622">
        <f t="shared" si="153"/>
        <v>1</v>
      </c>
      <c r="N347" s="7688">
        <f t="shared" si="154"/>
        <v>330</v>
      </c>
      <c r="O347" s="7661" t="str">
        <f t="shared" si="155"/>
        <v>0</v>
      </c>
      <c r="P347" s="7688">
        <f t="shared" si="156"/>
        <v>1</v>
      </c>
      <c r="Q347" s="7688">
        <f t="shared" si="157"/>
        <v>1</v>
      </c>
      <c r="CA347" s="3170" t="s">
        <v>17017</v>
      </c>
      <c r="CB347" s="7634" t="s">
        <v>16255</v>
      </c>
      <c r="CC347" s="3170" t="s">
        <v>17018</v>
      </c>
      <c r="CD347" s="3170" t="s">
        <v>17019</v>
      </c>
    </row>
    <row r="348" spans="2:82">
      <c r="B348" s="7685"/>
      <c r="C348" s="7685"/>
      <c r="D348" s="7685"/>
      <c r="E348" s="7685">
        <f>IF(H347&lt;&gt;"",E347,IF(E347="","",IFERROR(MATCH(TRUE(),INDEX(INDEX($K:$K,E347+1):$K$203&lt;&gt;"",0),0)+E347,"")))</f>
        <v>523</v>
      </c>
      <c r="F348" s="7686">
        <f t="shared" si="158"/>
        <v>0</v>
      </c>
      <c r="G348" s="7686" t="str">
        <f t="shared" si="150"/>
        <v>0</v>
      </c>
      <c r="H348" s="7687" t="str">
        <f t="shared" si="151"/>
        <v/>
      </c>
      <c r="I348" s="7685" t="str">
        <f t="shared" si="152"/>
        <v/>
      </c>
      <c r="M348" s="7622">
        <f t="shared" si="153"/>
        <v>1</v>
      </c>
      <c r="N348" s="7688">
        <f t="shared" si="154"/>
        <v>331</v>
      </c>
      <c r="O348" s="7661" t="str">
        <f t="shared" si="155"/>
        <v>0</v>
      </c>
      <c r="P348" s="7688">
        <f t="shared" si="156"/>
        <v>1</v>
      </c>
      <c r="Q348" s="7688">
        <f t="shared" si="157"/>
        <v>1</v>
      </c>
      <c r="CA348" s="3170" t="s">
        <v>17017</v>
      </c>
      <c r="CB348" s="7634" t="s">
        <v>16255</v>
      </c>
      <c r="CC348" s="3170" t="s">
        <v>17020</v>
      </c>
      <c r="CD348" s="3170" t="s">
        <v>17021</v>
      </c>
    </row>
    <row r="349" spans="2:82">
      <c r="B349" s="7685"/>
      <c r="C349" s="7685"/>
      <c r="D349" s="7685"/>
      <c r="E349" s="7685">
        <f>IF(H348&lt;&gt;"",E348,IF(E348="","",IFERROR(MATCH(TRUE(),INDEX(INDEX($K:$K,E348+1):$K$203&lt;&gt;"",0),0)+E348,"")))</f>
        <v>524</v>
      </c>
      <c r="F349" s="7686">
        <f t="shared" si="158"/>
        <v>0</v>
      </c>
      <c r="G349" s="7686" t="str">
        <f t="shared" si="150"/>
        <v>0</v>
      </c>
      <c r="H349" s="7687" t="str">
        <f t="shared" si="151"/>
        <v/>
      </c>
      <c r="I349" s="7685" t="str">
        <f t="shared" si="152"/>
        <v/>
      </c>
      <c r="M349" s="7622">
        <f t="shared" si="153"/>
        <v>1</v>
      </c>
      <c r="N349" s="7688">
        <f t="shared" si="154"/>
        <v>332</v>
      </c>
      <c r="O349" s="7661" t="str">
        <f t="shared" si="155"/>
        <v>0</v>
      </c>
      <c r="P349" s="7688">
        <f t="shared" si="156"/>
        <v>1</v>
      </c>
      <c r="Q349" s="7688">
        <f t="shared" si="157"/>
        <v>1</v>
      </c>
      <c r="CA349" s="3170" t="s">
        <v>17017</v>
      </c>
      <c r="CB349" s="7634" t="s">
        <v>16255</v>
      </c>
      <c r="CC349" s="3170" t="s">
        <v>17022</v>
      </c>
      <c r="CD349" s="3170" t="s">
        <v>17023</v>
      </c>
    </row>
    <row r="350" spans="2:82">
      <c r="B350" s="7685"/>
      <c r="C350" s="7685"/>
      <c r="D350" s="7685"/>
      <c r="E350" s="7685">
        <f>IF(H349&lt;&gt;"",E349,IF(E349="","",IFERROR(MATCH(TRUE(),INDEX(INDEX($K:$K,E349+1):$K$203&lt;&gt;"",0),0)+E349,"")))</f>
        <v>525</v>
      </c>
      <c r="F350" s="7686">
        <f t="shared" si="158"/>
        <v>0</v>
      </c>
      <c r="G350" s="7686" t="str">
        <f t="shared" si="150"/>
        <v>0</v>
      </c>
      <c r="H350" s="7687" t="str">
        <f t="shared" si="151"/>
        <v/>
      </c>
      <c r="I350" s="7685" t="str">
        <f t="shared" si="152"/>
        <v/>
      </c>
      <c r="M350" s="7622">
        <f t="shared" si="153"/>
        <v>1</v>
      </c>
      <c r="N350" s="7688">
        <f t="shared" si="154"/>
        <v>333</v>
      </c>
      <c r="O350" s="7661" t="str">
        <f t="shared" si="155"/>
        <v>0</v>
      </c>
      <c r="P350" s="7688">
        <f t="shared" si="156"/>
        <v>1</v>
      </c>
      <c r="Q350" s="7688">
        <f t="shared" si="157"/>
        <v>1</v>
      </c>
      <c r="CA350" s="3170" t="s">
        <v>17017</v>
      </c>
      <c r="CB350" s="7634" t="s">
        <v>16255</v>
      </c>
      <c r="CC350" s="3170" t="s">
        <v>17024</v>
      </c>
      <c r="CD350" s="3170" t="s">
        <v>17025</v>
      </c>
    </row>
    <row r="351" spans="2:82">
      <c r="B351" s="7685"/>
      <c r="C351" s="7685"/>
      <c r="D351" s="7685"/>
      <c r="E351" s="7685">
        <f>IF(H350&lt;&gt;"",E350,IF(E350="","",IFERROR(MATCH(TRUE(),INDEX(INDEX($K:$K,E350+1):$K$203&lt;&gt;"",0),0)+E350,"")))</f>
        <v>526</v>
      </c>
      <c r="F351" s="7686">
        <f t="shared" si="158"/>
        <v>0</v>
      </c>
      <c r="G351" s="7686" t="str">
        <f t="shared" si="150"/>
        <v>0</v>
      </c>
      <c r="H351" s="7687" t="str">
        <f t="shared" si="151"/>
        <v/>
      </c>
      <c r="I351" s="7685" t="str">
        <f t="shared" si="152"/>
        <v/>
      </c>
      <c r="M351" s="7622">
        <f t="shared" si="153"/>
        <v>1</v>
      </c>
      <c r="N351" s="7688">
        <f t="shared" si="154"/>
        <v>334</v>
      </c>
      <c r="O351" s="7661" t="str">
        <f t="shared" si="155"/>
        <v>0</v>
      </c>
      <c r="P351" s="7688">
        <f t="shared" si="156"/>
        <v>1</v>
      </c>
      <c r="Q351" s="7688">
        <f t="shared" si="157"/>
        <v>1</v>
      </c>
      <c r="CA351" s="3170" t="s">
        <v>17017</v>
      </c>
      <c r="CB351" s="7634" t="s">
        <v>16255</v>
      </c>
      <c r="CC351" s="3170" t="s">
        <v>17026</v>
      </c>
      <c r="CD351" s="3170" t="s">
        <v>17027</v>
      </c>
    </row>
    <row r="352" spans="2:82">
      <c r="B352" s="7685"/>
      <c r="C352" s="7685"/>
      <c r="D352" s="7685"/>
      <c r="E352" s="7685">
        <f>IF(H351&lt;&gt;"",E351,IF(E351="","",IFERROR(MATCH(TRUE(),INDEX(INDEX($K:$K,E351+1):$K$203&lt;&gt;"",0),0)+E351,"")))</f>
        <v>527</v>
      </c>
      <c r="F352" s="7686">
        <f t="shared" si="158"/>
        <v>0</v>
      </c>
      <c r="G352" s="7686" t="str">
        <f t="shared" si="150"/>
        <v>0</v>
      </c>
      <c r="H352" s="7687" t="str">
        <f t="shared" si="151"/>
        <v/>
      </c>
      <c r="I352" s="7685" t="str">
        <f t="shared" si="152"/>
        <v/>
      </c>
      <c r="M352" s="7622">
        <f t="shared" si="153"/>
        <v>1</v>
      </c>
      <c r="N352" s="7688">
        <f t="shared" si="154"/>
        <v>335</v>
      </c>
      <c r="O352" s="7661" t="str">
        <f t="shared" si="155"/>
        <v>0</v>
      </c>
      <c r="P352" s="7688">
        <f t="shared" si="156"/>
        <v>1</v>
      </c>
      <c r="Q352" s="7688">
        <f t="shared" si="157"/>
        <v>1</v>
      </c>
      <c r="CA352" s="3170" t="s">
        <v>17017</v>
      </c>
      <c r="CB352" s="7634" t="s">
        <v>16255</v>
      </c>
      <c r="CC352" s="3170" t="s">
        <v>17028</v>
      </c>
      <c r="CD352" s="3170" t="s">
        <v>17029</v>
      </c>
    </row>
    <row r="353" spans="2:82">
      <c r="B353" s="7685"/>
      <c r="C353" s="7685"/>
      <c r="D353" s="7685"/>
      <c r="E353" s="7685">
        <f>IF(H352&lt;&gt;"",E352,IF(E352="","",IFERROR(MATCH(TRUE(),INDEX(INDEX($K:$K,E352+1):$K$203&lt;&gt;"",0),0)+E352,"")))</f>
        <v>528</v>
      </c>
      <c r="F353" s="7686">
        <f t="shared" si="158"/>
        <v>0</v>
      </c>
      <c r="G353" s="7686" t="str">
        <f t="shared" si="150"/>
        <v>0</v>
      </c>
      <c r="H353" s="7687" t="str">
        <f t="shared" si="151"/>
        <v/>
      </c>
      <c r="I353" s="7685" t="str">
        <f t="shared" si="152"/>
        <v/>
      </c>
      <c r="M353" s="7622">
        <f t="shared" si="153"/>
        <v>1</v>
      </c>
      <c r="N353" s="7688">
        <f t="shared" si="154"/>
        <v>336</v>
      </c>
      <c r="O353" s="7661" t="str">
        <f t="shared" si="155"/>
        <v>0</v>
      </c>
      <c r="P353" s="7688">
        <f t="shared" si="156"/>
        <v>1</v>
      </c>
      <c r="Q353" s="7688">
        <f t="shared" si="157"/>
        <v>1</v>
      </c>
      <c r="CA353" s="3170" t="s">
        <v>17017</v>
      </c>
      <c r="CB353" s="7634" t="s">
        <v>16255</v>
      </c>
      <c r="CC353" s="3170" t="s">
        <v>17030</v>
      </c>
      <c r="CD353" s="3170" t="s">
        <v>17031</v>
      </c>
    </row>
    <row r="354" spans="2:82">
      <c r="B354" s="7685"/>
      <c r="C354" s="7685"/>
      <c r="D354" s="7685"/>
      <c r="E354" s="7685">
        <f>IF(H353&lt;&gt;"",E353,IF(E353="","",IFERROR(MATCH(TRUE(),INDEX(INDEX($K:$K,E353+1):$K$203&lt;&gt;"",0),0)+E353,"")))</f>
        <v>529</v>
      </c>
      <c r="F354" s="7686">
        <f t="shared" si="158"/>
        <v>0</v>
      </c>
      <c r="G354" s="7686" t="str">
        <f t="shared" si="150"/>
        <v>0</v>
      </c>
      <c r="H354" s="7687" t="str">
        <f t="shared" si="151"/>
        <v/>
      </c>
      <c r="I354" s="7685" t="str">
        <f t="shared" si="152"/>
        <v/>
      </c>
      <c r="M354" s="7622">
        <f t="shared" si="153"/>
        <v>1</v>
      </c>
      <c r="N354" s="7688">
        <f t="shared" si="154"/>
        <v>337</v>
      </c>
      <c r="O354" s="7661" t="str">
        <f t="shared" si="155"/>
        <v>0</v>
      </c>
      <c r="P354" s="7688">
        <f t="shared" si="156"/>
        <v>1</v>
      </c>
      <c r="Q354" s="7688">
        <f t="shared" si="157"/>
        <v>1</v>
      </c>
      <c r="CA354" s="3170" t="s">
        <v>17017</v>
      </c>
      <c r="CB354" s="7634" t="s">
        <v>16255</v>
      </c>
      <c r="CC354" s="3170" t="s">
        <v>17032</v>
      </c>
      <c r="CD354" s="3170" t="s">
        <v>17033</v>
      </c>
    </row>
    <row r="355" spans="2:82">
      <c r="B355" s="7685"/>
      <c r="C355" s="7685"/>
      <c r="D355" s="7685"/>
      <c r="E355" s="7685">
        <f>IF(H354&lt;&gt;"",E354,IF(E354="","",IFERROR(MATCH(TRUE(),INDEX(INDEX($K:$K,E354+1):$K$203&lt;&gt;"",0),0)+E354,"")))</f>
        <v>530</v>
      </c>
      <c r="F355" s="7686">
        <f t="shared" si="158"/>
        <v>0</v>
      </c>
      <c r="G355" s="7686" t="str">
        <f t="shared" si="150"/>
        <v>0</v>
      </c>
      <c r="H355" s="7687" t="str">
        <f t="shared" si="151"/>
        <v/>
      </c>
      <c r="I355" s="7685" t="str">
        <f t="shared" si="152"/>
        <v/>
      </c>
      <c r="M355" s="7622">
        <f t="shared" si="153"/>
        <v>1</v>
      </c>
      <c r="N355" s="7688">
        <f t="shared" si="154"/>
        <v>338</v>
      </c>
      <c r="O355" s="7661" t="str">
        <f t="shared" si="155"/>
        <v>0</v>
      </c>
      <c r="P355" s="7688">
        <f t="shared" si="156"/>
        <v>1</v>
      </c>
      <c r="Q355" s="7688">
        <f t="shared" si="157"/>
        <v>1</v>
      </c>
      <c r="CA355" s="3170" t="s">
        <v>17017</v>
      </c>
      <c r="CB355" s="7634" t="s">
        <v>16255</v>
      </c>
      <c r="CC355" s="3170" t="s">
        <v>17034</v>
      </c>
      <c r="CD355" s="3170" t="s">
        <v>17035</v>
      </c>
    </row>
    <row r="356" spans="2:82">
      <c r="B356" s="7685"/>
      <c r="C356" s="7685"/>
      <c r="D356" s="7685"/>
      <c r="E356" s="7685">
        <f>IF(H355&lt;&gt;"",E355,IF(E355="","",IFERROR(MATCH(TRUE(),INDEX(INDEX($K:$K,E355+1):$K$203&lt;&gt;"",0),0)+E355,"")))</f>
        <v>531</v>
      </c>
      <c r="F356" s="7686">
        <f t="shared" si="158"/>
        <v>0</v>
      </c>
      <c r="G356" s="7686" t="str">
        <f t="shared" si="150"/>
        <v>0</v>
      </c>
      <c r="H356" s="7687" t="str">
        <f t="shared" si="151"/>
        <v/>
      </c>
      <c r="I356" s="7685" t="str">
        <f t="shared" si="152"/>
        <v/>
      </c>
      <c r="M356" s="7622">
        <f t="shared" si="153"/>
        <v>1</v>
      </c>
      <c r="N356" s="7688">
        <f t="shared" si="154"/>
        <v>339</v>
      </c>
      <c r="O356" s="7661" t="str">
        <f t="shared" si="155"/>
        <v>0</v>
      </c>
      <c r="P356" s="7688">
        <f t="shared" si="156"/>
        <v>1</v>
      </c>
      <c r="Q356" s="7688">
        <f t="shared" si="157"/>
        <v>1</v>
      </c>
      <c r="CA356" s="3170" t="s">
        <v>17017</v>
      </c>
      <c r="CB356" s="7634" t="s">
        <v>16255</v>
      </c>
      <c r="CC356" s="3170" t="s">
        <v>17036</v>
      </c>
      <c r="CD356" s="3170" t="s">
        <v>17037</v>
      </c>
    </row>
    <row r="357" spans="2:82">
      <c r="B357" s="7685"/>
      <c r="C357" s="7685"/>
      <c r="D357" s="7685"/>
      <c r="E357" s="7685">
        <f>IF(H356&lt;&gt;"",E356,IF(E356="","",IFERROR(MATCH(TRUE(),INDEX(INDEX($K:$K,E356+1):$K$203&lt;&gt;"",0),0)+E356,"")))</f>
        <v>532</v>
      </c>
      <c r="F357" s="7686">
        <f t="shared" si="158"/>
        <v>0</v>
      </c>
      <c r="G357" s="7686" t="str">
        <f t="shared" si="150"/>
        <v>0</v>
      </c>
      <c r="H357" s="7687" t="str">
        <f t="shared" si="151"/>
        <v/>
      </c>
      <c r="I357" s="7685" t="str">
        <f t="shared" si="152"/>
        <v/>
      </c>
      <c r="M357" s="7622">
        <f t="shared" si="153"/>
        <v>1</v>
      </c>
      <c r="N357" s="7688">
        <f t="shared" si="154"/>
        <v>340</v>
      </c>
      <c r="O357" s="7661" t="str">
        <f t="shared" si="155"/>
        <v>0</v>
      </c>
      <c r="P357" s="7688">
        <f t="shared" si="156"/>
        <v>1</v>
      </c>
      <c r="Q357" s="7688">
        <f t="shared" si="157"/>
        <v>1</v>
      </c>
      <c r="CA357" s="3170" t="s">
        <v>17017</v>
      </c>
      <c r="CB357" s="7634" t="s">
        <v>16255</v>
      </c>
      <c r="CC357" s="3170" t="s">
        <v>17038</v>
      </c>
      <c r="CD357" s="3170" t="s">
        <v>17039</v>
      </c>
    </row>
    <row r="358" spans="2:82">
      <c r="B358" s="7685"/>
      <c r="C358" s="7685"/>
      <c r="D358" s="7685"/>
      <c r="E358" s="7685">
        <f>IF(H357&lt;&gt;"",E357,IF(E357="","",IFERROR(MATCH(TRUE(),INDEX(INDEX($K:$K,E357+1):$K$203&lt;&gt;"",0),0)+E357,"")))</f>
        <v>533</v>
      </c>
      <c r="F358" s="7686">
        <f t="shared" si="158"/>
        <v>0</v>
      </c>
      <c r="G358" s="7686" t="str">
        <f t="shared" si="150"/>
        <v>0</v>
      </c>
      <c r="H358" s="7687" t="str">
        <f t="shared" si="151"/>
        <v/>
      </c>
      <c r="I358" s="7685" t="str">
        <f t="shared" si="152"/>
        <v/>
      </c>
      <c r="M358" s="7622">
        <f t="shared" si="153"/>
        <v>1</v>
      </c>
      <c r="N358" s="7688">
        <f t="shared" si="154"/>
        <v>341</v>
      </c>
      <c r="O358" s="7661" t="str">
        <f t="shared" si="155"/>
        <v>0</v>
      </c>
      <c r="P358" s="7688">
        <f t="shared" si="156"/>
        <v>1</v>
      </c>
      <c r="Q358" s="7688">
        <f t="shared" si="157"/>
        <v>1</v>
      </c>
      <c r="CA358" s="3170" t="s">
        <v>17017</v>
      </c>
      <c r="CB358" s="7634" t="s">
        <v>16255</v>
      </c>
      <c r="CC358" s="3170" t="s">
        <v>17040</v>
      </c>
      <c r="CD358" s="3170" t="s">
        <v>17041</v>
      </c>
    </row>
    <row r="359" spans="2:82">
      <c r="B359" s="7685"/>
      <c r="C359" s="7685"/>
      <c r="D359" s="7685"/>
      <c r="E359" s="7685">
        <f>IF(H358&lt;&gt;"",E358,IF(E358="","",IFERROR(MATCH(TRUE(),INDEX(INDEX($K:$K,E358+1):$K$203&lt;&gt;"",0),0)+E358,"")))</f>
        <v>534</v>
      </c>
      <c r="F359" s="7686">
        <f t="shared" si="158"/>
        <v>0</v>
      </c>
      <c r="G359" s="7686" t="str">
        <f t="shared" si="150"/>
        <v>0</v>
      </c>
      <c r="H359" s="7687" t="str">
        <f t="shared" si="151"/>
        <v/>
      </c>
      <c r="I359" s="7685" t="str">
        <f t="shared" si="152"/>
        <v/>
      </c>
      <c r="M359" s="7622">
        <f t="shared" si="153"/>
        <v>1</v>
      </c>
      <c r="N359" s="7688">
        <f t="shared" si="154"/>
        <v>342</v>
      </c>
      <c r="O359" s="7661" t="str">
        <f t="shared" si="155"/>
        <v>0</v>
      </c>
      <c r="P359" s="7688">
        <f t="shared" si="156"/>
        <v>1</v>
      </c>
      <c r="Q359" s="7688">
        <f t="shared" si="157"/>
        <v>1</v>
      </c>
      <c r="CA359" s="3170" t="s">
        <v>17017</v>
      </c>
      <c r="CB359" s="7634" t="s">
        <v>16255</v>
      </c>
      <c r="CC359" s="3170" t="s">
        <v>17042</v>
      </c>
      <c r="CD359" s="3170" t="s">
        <v>17043</v>
      </c>
    </row>
    <row r="360" spans="2:82">
      <c r="B360" s="7685"/>
      <c r="C360" s="7685"/>
      <c r="D360" s="7685"/>
      <c r="E360" s="7685">
        <f>IF(H359&lt;&gt;"",E359,IF(E359="","",IFERROR(MATCH(TRUE(),INDEX(INDEX($K:$K,E359+1):$K$203&lt;&gt;"",0),0)+E359,"")))</f>
        <v>535</v>
      </c>
      <c r="F360" s="7686">
        <f t="shared" si="158"/>
        <v>0</v>
      </c>
      <c r="G360" s="7686" t="str">
        <f t="shared" si="150"/>
        <v>0</v>
      </c>
      <c r="H360" s="7687" t="str">
        <f t="shared" si="151"/>
        <v/>
      </c>
      <c r="I360" s="7685" t="str">
        <f t="shared" si="152"/>
        <v/>
      </c>
      <c r="M360" s="7622">
        <f t="shared" si="153"/>
        <v>1</v>
      </c>
      <c r="N360" s="7688">
        <f t="shared" si="154"/>
        <v>343</v>
      </c>
      <c r="O360" s="7661" t="str">
        <f t="shared" si="155"/>
        <v>0</v>
      </c>
      <c r="P360" s="7688">
        <f t="shared" si="156"/>
        <v>1</v>
      </c>
      <c r="Q360" s="7688">
        <f t="shared" si="157"/>
        <v>1</v>
      </c>
      <c r="CA360" s="3170" t="s">
        <v>17017</v>
      </c>
      <c r="CB360" s="7634" t="s">
        <v>16255</v>
      </c>
      <c r="CC360" s="3170" t="s">
        <v>17044</v>
      </c>
      <c r="CD360" s="3170" t="s">
        <v>17045</v>
      </c>
    </row>
    <row r="361" spans="2:82">
      <c r="B361" s="7685"/>
      <c r="C361" s="7685"/>
      <c r="D361" s="7685"/>
      <c r="E361" s="7685">
        <f>IF(H360&lt;&gt;"",E360,IF(E360="","",IFERROR(MATCH(TRUE(),INDEX(INDEX($K:$K,E360+1):$K$203&lt;&gt;"",0),0)+E360,"")))</f>
        <v>536</v>
      </c>
      <c r="F361" s="7686">
        <f t="shared" si="158"/>
        <v>0</v>
      </c>
      <c r="G361" s="7686" t="str">
        <f t="shared" si="150"/>
        <v>0</v>
      </c>
      <c r="H361" s="7687" t="str">
        <f t="shared" si="151"/>
        <v/>
      </c>
      <c r="I361" s="7685" t="str">
        <f t="shared" si="152"/>
        <v/>
      </c>
      <c r="M361" s="7622">
        <f t="shared" si="153"/>
        <v>1</v>
      </c>
      <c r="N361" s="7688">
        <f t="shared" si="154"/>
        <v>344</v>
      </c>
      <c r="O361" s="7661" t="str">
        <f t="shared" si="155"/>
        <v>0</v>
      </c>
      <c r="P361" s="7688">
        <f t="shared" si="156"/>
        <v>1</v>
      </c>
      <c r="Q361" s="7688">
        <f t="shared" si="157"/>
        <v>1</v>
      </c>
      <c r="CA361" s="3170" t="s">
        <v>17017</v>
      </c>
      <c r="CB361" s="7634" t="s">
        <v>16255</v>
      </c>
      <c r="CC361" s="3170" t="s">
        <v>17046</v>
      </c>
      <c r="CD361" s="3170" t="s">
        <v>17047</v>
      </c>
    </row>
    <row r="362" spans="2:82">
      <c r="B362" s="7685"/>
      <c r="C362" s="7685"/>
      <c r="D362" s="7685"/>
      <c r="E362" s="7685">
        <f>IF(H361&lt;&gt;"",E361,IF(E361="","",IFERROR(MATCH(TRUE(),INDEX(INDEX($K:$K,E361+1):$K$203&lt;&gt;"",0),0)+E361,"")))</f>
        <v>537</v>
      </c>
      <c r="F362" s="7686">
        <f t="shared" si="158"/>
        <v>0</v>
      </c>
      <c r="G362" s="7686" t="str">
        <f t="shared" si="150"/>
        <v>0</v>
      </c>
      <c r="H362" s="7687" t="str">
        <f t="shared" si="151"/>
        <v/>
      </c>
      <c r="I362" s="7685" t="str">
        <f t="shared" si="152"/>
        <v/>
      </c>
      <c r="M362" s="7622">
        <f t="shared" si="153"/>
        <v>1</v>
      </c>
      <c r="N362" s="7688">
        <f t="shared" si="154"/>
        <v>345</v>
      </c>
      <c r="O362" s="7661" t="str">
        <f t="shared" si="155"/>
        <v>0</v>
      </c>
      <c r="P362" s="7688">
        <f t="shared" si="156"/>
        <v>1</v>
      </c>
      <c r="Q362" s="7688">
        <f t="shared" si="157"/>
        <v>1</v>
      </c>
      <c r="CA362" s="3170" t="s">
        <v>17017</v>
      </c>
      <c r="CB362" s="7634" t="s">
        <v>16255</v>
      </c>
      <c r="CC362" s="3170" t="s">
        <v>17048</v>
      </c>
      <c r="CD362" s="3170" t="s">
        <v>17049</v>
      </c>
    </row>
    <row r="363" spans="2:82">
      <c r="B363" s="7685"/>
      <c r="C363" s="7685"/>
      <c r="D363" s="7685"/>
      <c r="E363" s="7685">
        <f>IF(H362&lt;&gt;"",E362,IF(E362="","",IFERROR(MATCH(TRUE(),INDEX(INDEX($K:$K,E362+1):$K$203&lt;&gt;"",0),0)+E362,"")))</f>
        <v>538</v>
      </c>
      <c r="F363" s="7686">
        <f t="shared" si="158"/>
        <v>0</v>
      </c>
      <c r="G363" s="7686" t="str">
        <f t="shared" si="150"/>
        <v>0</v>
      </c>
      <c r="H363" s="7687" t="str">
        <f t="shared" si="151"/>
        <v/>
      </c>
      <c r="I363" s="7685" t="str">
        <f t="shared" si="152"/>
        <v/>
      </c>
      <c r="M363" s="7622">
        <f t="shared" si="153"/>
        <v>1</v>
      </c>
      <c r="N363" s="7688">
        <f t="shared" si="154"/>
        <v>346</v>
      </c>
      <c r="O363" s="7661" t="str">
        <f t="shared" si="155"/>
        <v>0</v>
      </c>
      <c r="P363" s="7688">
        <f t="shared" si="156"/>
        <v>1</v>
      </c>
      <c r="Q363" s="7688">
        <f t="shared" si="157"/>
        <v>1</v>
      </c>
      <c r="CA363" s="3170" t="s">
        <v>17017</v>
      </c>
      <c r="CB363" s="7634" t="s">
        <v>16255</v>
      </c>
      <c r="CC363" s="3170" t="s">
        <v>17050</v>
      </c>
      <c r="CD363" s="3170" t="s">
        <v>17051</v>
      </c>
    </row>
    <row r="364" spans="2:82">
      <c r="B364" s="7685"/>
      <c r="C364" s="7685"/>
      <c r="D364" s="7685"/>
      <c r="E364" s="7685">
        <f>IF(H363&lt;&gt;"",E363,IF(E363="","",IFERROR(MATCH(TRUE(),INDEX(INDEX($K:$K,E363+1):$K$203&lt;&gt;"",0),0)+E363,"")))</f>
        <v>539</v>
      </c>
      <c r="F364" s="7686">
        <f t="shared" si="158"/>
        <v>0</v>
      </c>
      <c r="G364" s="7686" t="str">
        <f t="shared" si="150"/>
        <v>0</v>
      </c>
      <c r="H364" s="7687" t="str">
        <f t="shared" si="151"/>
        <v/>
      </c>
      <c r="I364" s="7685" t="str">
        <f t="shared" si="152"/>
        <v/>
      </c>
      <c r="M364" s="7622">
        <f t="shared" si="153"/>
        <v>1</v>
      </c>
      <c r="N364" s="7688">
        <f t="shared" si="154"/>
        <v>347</v>
      </c>
      <c r="O364" s="7661" t="str">
        <f t="shared" si="155"/>
        <v>0</v>
      </c>
      <c r="P364" s="7688">
        <f t="shared" si="156"/>
        <v>1</v>
      </c>
      <c r="Q364" s="7688">
        <f t="shared" si="157"/>
        <v>1</v>
      </c>
      <c r="CA364" s="3170" t="s">
        <v>17017</v>
      </c>
      <c r="CB364" s="7634" t="s">
        <v>16255</v>
      </c>
      <c r="CC364" s="3170" t="s">
        <v>17052</v>
      </c>
      <c r="CD364" s="3170" t="s">
        <v>17053</v>
      </c>
    </row>
    <row r="365" spans="2:82">
      <c r="B365" s="7685"/>
      <c r="C365" s="7685"/>
      <c r="D365" s="7685"/>
      <c r="E365" s="7685">
        <f>IF(H364&lt;&gt;"",E364,IF(E364="","",IFERROR(MATCH(TRUE(),INDEX(INDEX($K:$K,E364+1):$K$203&lt;&gt;"",0),0)+E364,"")))</f>
        <v>540</v>
      </c>
      <c r="F365" s="7686">
        <f t="shared" si="158"/>
        <v>0</v>
      </c>
      <c r="G365" s="7686" t="str">
        <f t="shared" si="150"/>
        <v>0</v>
      </c>
      <c r="H365" s="7687" t="str">
        <f t="shared" si="151"/>
        <v/>
      </c>
      <c r="I365" s="7685" t="str">
        <f t="shared" si="152"/>
        <v/>
      </c>
      <c r="M365" s="7622">
        <f t="shared" si="153"/>
        <v>1</v>
      </c>
      <c r="N365" s="7688">
        <f t="shared" si="154"/>
        <v>348</v>
      </c>
      <c r="O365" s="7661" t="str">
        <f t="shared" si="155"/>
        <v>0</v>
      </c>
      <c r="P365" s="7688">
        <f t="shared" si="156"/>
        <v>1</v>
      </c>
      <c r="Q365" s="7688">
        <f t="shared" si="157"/>
        <v>1</v>
      </c>
      <c r="CA365" s="3170" t="s">
        <v>17017</v>
      </c>
      <c r="CB365" s="7634" t="s">
        <v>16255</v>
      </c>
      <c r="CC365" s="3170" t="s">
        <v>17054</v>
      </c>
      <c r="CD365" s="3170" t="s">
        <v>17055</v>
      </c>
    </row>
    <row r="366" spans="2:82">
      <c r="B366" s="7685"/>
      <c r="C366" s="7685"/>
      <c r="D366" s="7685"/>
      <c r="E366" s="7685">
        <f>IF(H365&lt;&gt;"",E365,IF(E365="","",IFERROR(MATCH(TRUE(),INDEX(INDEX($K:$K,E365+1):$K$203&lt;&gt;"",0),0)+E365,"")))</f>
        <v>541</v>
      </c>
      <c r="F366" s="7686">
        <f t="shared" si="158"/>
        <v>0</v>
      </c>
      <c r="G366" s="7686" t="str">
        <f t="shared" si="150"/>
        <v>0</v>
      </c>
      <c r="H366" s="7687" t="str">
        <f t="shared" si="151"/>
        <v/>
      </c>
      <c r="I366" s="7685" t="str">
        <f t="shared" si="152"/>
        <v/>
      </c>
      <c r="M366" s="7622">
        <f t="shared" si="153"/>
        <v>1</v>
      </c>
      <c r="N366" s="7688">
        <f t="shared" si="154"/>
        <v>349</v>
      </c>
      <c r="O366" s="7661" t="str">
        <f t="shared" si="155"/>
        <v>0</v>
      </c>
      <c r="P366" s="7688">
        <f t="shared" si="156"/>
        <v>1</v>
      </c>
      <c r="Q366" s="7688">
        <f t="shared" si="157"/>
        <v>1</v>
      </c>
      <c r="CA366" s="3170" t="s">
        <v>17017</v>
      </c>
      <c r="CB366" s="7634" t="s">
        <v>16255</v>
      </c>
      <c r="CC366" s="3170" t="s">
        <v>17056</v>
      </c>
      <c r="CD366" s="3170" t="s">
        <v>17057</v>
      </c>
    </row>
    <row r="367" spans="2:82">
      <c r="B367" s="7685"/>
      <c r="C367" s="7685"/>
      <c r="D367" s="7685"/>
      <c r="E367" s="7685">
        <f>IF(H366&lt;&gt;"",E366,IF(E366="","",IFERROR(MATCH(TRUE(),INDEX(INDEX($K:$K,E366+1):$K$203&lt;&gt;"",0),0)+E366,"")))</f>
        <v>542</v>
      </c>
      <c r="F367" s="7686">
        <f t="shared" si="158"/>
        <v>0</v>
      </c>
      <c r="G367" s="7686" t="str">
        <f t="shared" si="150"/>
        <v>0</v>
      </c>
      <c r="H367" s="7687" t="str">
        <f t="shared" si="151"/>
        <v/>
      </c>
      <c r="I367" s="7685" t="str">
        <f t="shared" si="152"/>
        <v/>
      </c>
      <c r="M367" s="7622">
        <f t="shared" si="153"/>
        <v>1</v>
      </c>
      <c r="N367" s="7688">
        <f t="shared" si="154"/>
        <v>350</v>
      </c>
      <c r="O367" s="7661" t="str">
        <f t="shared" si="155"/>
        <v>0</v>
      </c>
      <c r="P367" s="7688">
        <f t="shared" si="156"/>
        <v>1</v>
      </c>
      <c r="Q367" s="7688">
        <f t="shared" si="157"/>
        <v>1</v>
      </c>
      <c r="CA367" s="3170" t="s">
        <v>17017</v>
      </c>
      <c r="CB367" s="7634" t="s">
        <v>16255</v>
      </c>
      <c r="CC367" s="3170" t="s">
        <v>4650</v>
      </c>
      <c r="CD367" s="3170" t="s">
        <v>17058</v>
      </c>
    </row>
    <row r="368" spans="2:82">
      <c r="B368" s="7685"/>
      <c r="C368" s="7685"/>
      <c r="D368" s="7685"/>
      <c r="E368" s="7685">
        <f>IF(H367&lt;&gt;"",E367,IF(E367="","",IFERROR(MATCH(TRUE(),INDEX(INDEX($K:$K,E367+1):$K$203&lt;&gt;"",0),0)+E367,"")))</f>
        <v>543</v>
      </c>
      <c r="F368" s="7686">
        <f t="shared" si="158"/>
        <v>0</v>
      </c>
      <c r="G368" s="7686" t="str">
        <f t="shared" si="150"/>
        <v>0</v>
      </c>
      <c r="H368" s="7687" t="str">
        <f t="shared" si="151"/>
        <v/>
      </c>
      <c r="I368" s="7685" t="str">
        <f t="shared" si="152"/>
        <v/>
      </c>
      <c r="M368" s="7622">
        <f t="shared" si="153"/>
        <v>1</v>
      </c>
      <c r="N368" s="7688">
        <f t="shared" si="154"/>
        <v>351</v>
      </c>
      <c r="O368" s="7661" t="str">
        <f t="shared" si="155"/>
        <v>0</v>
      </c>
      <c r="P368" s="7688">
        <f t="shared" si="156"/>
        <v>1</v>
      </c>
      <c r="Q368" s="7688">
        <f t="shared" si="157"/>
        <v>1</v>
      </c>
      <c r="CA368" s="3170" t="s">
        <v>17017</v>
      </c>
      <c r="CB368" s="7634" t="s">
        <v>16255</v>
      </c>
      <c r="CC368" s="3170" t="s">
        <v>17059</v>
      </c>
      <c r="CD368" s="3170" t="s">
        <v>17060</v>
      </c>
    </row>
    <row r="369" spans="2:82">
      <c r="B369" s="7685"/>
      <c r="C369" s="7685"/>
      <c r="D369" s="7685"/>
      <c r="E369" s="7685">
        <f>IF(H368&lt;&gt;"",E368,IF(E368="","",IFERROR(MATCH(TRUE(),INDEX(INDEX($K:$K,E368+1):$K$203&lt;&gt;"",0),0)+E368,"")))</f>
        <v>544</v>
      </c>
      <c r="F369" s="7686">
        <f t="shared" si="158"/>
        <v>0</v>
      </c>
      <c r="G369" s="7686" t="str">
        <f t="shared" si="150"/>
        <v>0</v>
      </c>
      <c r="H369" s="7687" t="str">
        <f t="shared" si="151"/>
        <v/>
      </c>
      <c r="I369" s="7685" t="str">
        <f t="shared" si="152"/>
        <v/>
      </c>
      <c r="M369" s="7622">
        <f t="shared" si="153"/>
        <v>1</v>
      </c>
      <c r="N369" s="7688">
        <f t="shared" si="154"/>
        <v>352</v>
      </c>
      <c r="O369" s="7661" t="str">
        <f t="shared" si="155"/>
        <v>0</v>
      </c>
      <c r="P369" s="7688">
        <f t="shared" si="156"/>
        <v>1</v>
      </c>
      <c r="Q369" s="7688">
        <f t="shared" si="157"/>
        <v>1</v>
      </c>
      <c r="CA369" s="3170" t="s">
        <v>17017</v>
      </c>
      <c r="CB369" s="7634" t="s">
        <v>16255</v>
      </c>
      <c r="CC369" s="3170" t="s">
        <v>17061</v>
      </c>
      <c r="CD369" s="3170" t="s">
        <v>17062</v>
      </c>
    </row>
    <row r="370" spans="2:82">
      <c r="B370" s="7685"/>
      <c r="C370" s="7685"/>
      <c r="D370" s="7685"/>
      <c r="E370" s="7685">
        <f>IF(H369&lt;&gt;"",E369,IF(E369="","",IFERROR(MATCH(TRUE(),INDEX(INDEX($K:$K,E369+1):$K$203&lt;&gt;"",0),0)+E369,"")))</f>
        <v>545</v>
      </c>
      <c r="F370" s="7686">
        <f t="shared" si="158"/>
        <v>0</v>
      </c>
      <c r="G370" s="7686" t="str">
        <f t="shared" si="150"/>
        <v>0</v>
      </c>
      <c r="H370" s="7687" t="str">
        <f t="shared" si="151"/>
        <v/>
      </c>
      <c r="I370" s="7685" t="str">
        <f t="shared" si="152"/>
        <v/>
      </c>
      <c r="M370" s="7622">
        <f t="shared" si="153"/>
        <v>1</v>
      </c>
      <c r="N370" s="7688">
        <f t="shared" si="154"/>
        <v>353</v>
      </c>
      <c r="O370" s="7661" t="str">
        <f t="shared" si="155"/>
        <v>0</v>
      </c>
      <c r="P370" s="7688">
        <f t="shared" si="156"/>
        <v>1</v>
      </c>
      <c r="Q370" s="7688">
        <f t="shared" si="157"/>
        <v>1</v>
      </c>
      <c r="CA370" s="3170" t="s">
        <v>17017</v>
      </c>
      <c r="CB370" s="7634" t="s">
        <v>16255</v>
      </c>
      <c r="CC370" s="3170" t="s">
        <v>17063</v>
      </c>
      <c r="CD370" s="3170" t="s">
        <v>17064</v>
      </c>
    </row>
    <row r="371" spans="2:82">
      <c r="B371" s="7685"/>
      <c r="C371" s="7685"/>
      <c r="D371" s="7685"/>
      <c r="E371" s="7685">
        <f>IF(H370&lt;&gt;"",E370,IF(E370="","",IFERROR(MATCH(TRUE(),INDEX(INDEX($K:$K,E370+1):$K$203&lt;&gt;"",0),0)+E370,"")))</f>
        <v>546</v>
      </c>
      <c r="F371" s="7686">
        <f t="shared" si="158"/>
        <v>0</v>
      </c>
      <c r="G371" s="7686" t="str">
        <f t="shared" si="150"/>
        <v>0</v>
      </c>
      <c r="H371" s="7687" t="str">
        <f t="shared" si="151"/>
        <v/>
      </c>
      <c r="I371" s="7685" t="str">
        <f t="shared" si="152"/>
        <v/>
      </c>
      <c r="M371" s="7622">
        <f t="shared" si="153"/>
        <v>1</v>
      </c>
      <c r="N371" s="7688">
        <f t="shared" si="154"/>
        <v>354</v>
      </c>
      <c r="O371" s="7661" t="str">
        <f t="shared" si="155"/>
        <v>0</v>
      </c>
      <c r="P371" s="7688">
        <f t="shared" si="156"/>
        <v>1</v>
      </c>
      <c r="Q371" s="7688">
        <f t="shared" si="157"/>
        <v>1</v>
      </c>
      <c r="CA371" s="3170" t="s">
        <v>17017</v>
      </c>
      <c r="CB371" s="7634" t="s">
        <v>16255</v>
      </c>
      <c r="CC371" s="3170" t="s">
        <v>17065</v>
      </c>
      <c r="CD371" s="3170" t="s">
        <v>17066</v>
      </c>
    </row>
    <row r="372" spans="2:82">
      <c r="B372" s="7685"/>
      <c r="C372" s="7685"/>
      <c r="D372" s="7685"/>
      <c r="E372" s="7685">
        <f>IF(H371&lt;&gt;"",E371,IF(E371="","",IFERROR(MATCH(TRUE(),INDEX(INDEX($K:$K,E371+1):$K$203&lt;&gt;"",0),0)+E371,"")))</f>
        <v>547</v>
      </c>
      <c r="F372" s="7686">
        <f t="shared" si="158"/>
        <v>0</v>
      </c>
      <c r="G372" s="7686" t="str">
        <f t="shared" si="150"/>
        <v>0</v>
      </c>
      <c r="H372" s="7687" t="str">
        <f t="shared" si="151"/>
        <v/>
      </c>
      <c r="I372" s="7685" t="str">
        <f t="shared" si="152"/>
        <v/>
      </c>
      <c r="M372" s="7622">
        <f t="shared" si="153"/>
        <v>1</v>
      </c>
      <c r="N372" s="7688">
        <f t="shared" si="154"/>
        <v>355</v>
      </c>
      <c r="O372" s="7661" t="str">
        <f t="shared" si="155"/>
        <v>0</v>
      </c>
      <c r="P372" s="7688">
        <f t="shared" si="156"/>
        <v>1</v>
      </c>
      <c r="Q372" s="7688">
        <f t="shared" si="157"/>
        <v>1</v>
      </c>
      <c r="CA372" s="3170" t="s">
        <v>17017</v>
      </c>
      <c r="CB372" s="7634" t="s">
        <v>16255</v>
      </c>
      <c r="CC372" s="3170" t="s">
        <v>17067</v>
      </c>
      <c r="CD372" s="3170" t="s">
        <v>17068</v>
      </c>
    </row>
    <row r="373" spans="2:82">
      <c r="B373" s="7685"/>
      <c r="C373" s="7685"/>
      <c r="D373" s="7685"/>
      <c r="E373" s="7685">
        <f>IF(H372&lt;&gt;"",E372,IF(E372="","",IFERROR(MATCH(TRUE(),INDEX(INDEX($K:$K,E372+1):$K$203&lt;&gt;"",0),0)+E372,"")))</f>
        <v>548</v>
      </c>
      <c r="F373" s="7686">
        <f t="shared" si="158"/>
        <v>0</v>
      </c>
      <c r="G373" s="7686" t="str">
        <f t="shared" si="150"/>
        <v>0</v>
      </c>
      <c r="H373" s="7687" t="str">
        <f t="shared" si="151"/>
        <v/>
      </c>
      <c r="I373" s="7685" t="str">
        <f t="shared" si="152"/>
        <v/>
      </c>
      <c r="M373" s="7622">
        <f t="shared" si="153"/>
        <v>1</v>
      </c>
      <c r="N373" s="7688">
        <f t="shared" si="154"/>
        <v>356</v>
      </c>
      <c r="O373" s="7661" t="str">
        <f t="shared" si="155"/>
        <v>0</v>
      </c>
      <c r="P373" s="7688">
        <f t="shared" si="156"/>
        <v>1</v>
      </c>
      <c r="Q373" s="7688">
        <f t="shared" si="157"/>
        <v>1</v>
      </c>
      <c r="CA373" s="3170" t="s">
        <v>17017</v>
      </c>
      <c r="CB373" s="7634" t="s">
        <v>16255</v>
      </c>
      <c r="CC373" s="3170" t="s">
        <v>17069</v>
      </c>
      <c r="CD373" s="3170" t="s">
        <v>17070</v>
      </c>
    </row>
    <row r="374" spans="2:82">
      <c r="B374" s="7685"/>
      <c r="C374" s="7685"/>
      <c r="D374" s="7685"/>
      <c r="E374" s="7685">
        <f>IF(H373&lt;&gt;"",E373,IF(E373="","",IFERROR(MATCH(TRUE(),INDEX(INDEX($K:$K,E373+1):$K$203&lt;&gt;"",0),0)+E373,"")))</f>
        <v>549</v>
      </c>
      <c r="F374" s="7686">
        <f t="shared" si="158"/>
        <v>0</v>
      </c>
      <c r="G374" s="7686" t="str">
        <f t="shared" si="150"/>
        <v>0</v>
      </c>
      <c r="H374" s="7687" t="str">
        <f t="shared" si="151"/>
        <v/>
      </c>
      <c r="I374" s="7685" t="str">
        <f t="shared" si="152"/>
        <v/>
      </c>
      <c r="M374" s="7622">
        <f t="shared" si="153"/>
        <v>1</v>
      </c>
      <c r="N374" s="7688">
        <f t="shared" si="154"/>
        <v>357</v>
      </c>
      <c r="O374" s="7661" t="str">
        <f t="shared" si="155"/>
        <v>0</v>
      </c>
      <c r="P374" s="7688">
        <f t="shared" si="156"/>
        <v>1</v>
      </c>
      <c r="Q374" s="7688">
        <f t="shared" si="157"/>
        <v>1</v>
      </c>
      <c r="CA374" s="3170" t="s">
        <v>17017</v>
      </c>
      <c r="CB374" s="7634" t="s">
        <v>16255</v>
      </c>
      <c r="CC374" s="3170" t="s">
        <v>17071</v>
      </c>
      <c r="CD374" s="3170" t="s">
        <v>17072</v>
      </c>
    </row>
    <row r="375" spans="2:82">
      <c r="B375" s="7685"/>
      <c r="C375" s="7685"/>
      <c r="D375" s="7685"/>
      <c r="E375" s="7685">
        <f>IF(H374&lt;&gt;"",E374,IF(E374="","",IFERROR(MATCH(TRUE(),INDEX(INDEX($K:$K,E374+1):$K$203&lt;&gt;"",0),0)+E374,"")))</f>
        <v>550</v>
      </c>
      <c r="F375" s="7686">
        <f t="shared" si="158"/>
        <v>0</v>
      </c>
      <c r="G375" s="7686" t="str">
        <f t="shared" si="150"/>
        <v>0</v>
      </c>
      <c r="H375" s="7687" t="str">
        <f t="shared" si="151"/>
        <v/>
      </c>
      <c r="I375" s="7685" t="str">
        <f t="shared" si="152"/>
        <v/>
      </c>
      <c r="M375" s="7622">
        <f t="shared" si="153"/>
        <v>1</v>
      </c>
      <c r="N375" s="7688">
        <f t="shared" si="154"/>
        <v>358</v>
      </c>
      <c r="O375" s="7661" t="str">
        <f t="shared" si="155"/>
        <v>0</v>
      </c>
      <c r="P375" s="7688">
        <f t="shared" si="156"/>
        <v>1</v>
      </c>
      <c r="Q375" s="7688">
        <f t="shared" si="157"/>
        <v>1</v>
      </c>
      <c r="CA375" s="3170" t="s">
        <v>17017</v>
      </c>
      <c r="CB375" s="7634" t="s">
        <v>16255</v>
      </c>
      <c r="CC375" s="3170" t="s">
        <v>17073</v>
      </c>
      <c r="CD375" s="3170" t="s">
        <v>17074</v>
      </c>
    </row>
    <row r="376" spans="2:82">
      <c r="B376" s="7685"/>
      <c r="C376" s="7685"/>
      <c r="D376" s="7685"/>
      <c r="E376" s="7685">
        <f>IF(H375&lt;&gt;"",E375,IF(E375="","",IFERROR(MATCH(TRUE(),INDEX(INDEX($K:$K,E375+1):$K$203&lt;&gt;"",0),0)+E375,"")))</f>
        <v>551</v>
      </c>
      <c r="F376" s="7686">
        <f t="shared" si="158"/>
        <v>0</v>
      </c>
      <c r="G376" s="7686" t="str">
        <f t="shared" si="150"/>
        <v>0</v>
      </c>
      <c r="H376" s="7687" t="str">
        <f t="shared" si="151"/>
        <v/>
      </c>
      <c r="I376" s="7685" t="str">
        <f t="shared" si="152"/>
        <v/>
      </c>
      <c r="M376" s="7622">
        <f t="shared" si="153"/>
        <v>1</v>
      </c>
      <c r="N376" s="7688">
        <f t="shared" si="154"/>
        <v>359</v>
      </c>
      <c r="O376" s="7661" t="str">
        <f t="shared" si="155"/>
        <v>0</v>
      </c>
      <c r="P376" s="7688">
        <f t="shared" si="156"/>
        <v>1</v>
      </c>
      <c r="Q376" s="7688">
        <f t="shared" si="157"/>
        <v>1</v>
      </c>
      <c r="CA376" s="3170" t="s">
        <v>17017</v>
      </c>
      <c r="CB376" s="7634" t="s">
        <v>16255</v>
      </c>
      <c r="CC376" s="3170" t="s">
        <v>17075</v>
      </c>
      <c r="CD376" s="3170" t="s">
        <v>17076</v>
      </c>
    </row>
    <row r="377" spans="2:82">
      <c r="B377" s="7685"/>
      <c r="C377" s="7685"/>
      <c r="D377" s="7685"/>
      <c r="E377" s="7685">
        <f>IF(H376&lt;&gt;"",E376,IF(E376="","",IFERROR(MATCH(TRUE(),INDEX(INDEX($K:$K,E376+1):$K$203&lt;&gt;"",0),0)+E376,"")))</f>
        <v>552</v>
      </c>
      <c r="F377" s="7686">
        <f t="shared" si="158"/>
        <v>0</v>
      </c>
      <c r="G377" s="7686" t="str">
        <f t="shared" si="150"/>
        <v>0</v>
      </c>
      <c r="H377" s="7687" t="str">
        <f t="shared" si="151"/>
        <v/>
      </c>
      <c r="I377" s="7685" t="str">
        <f t="shared" si="152"/>
        <v/>
      </c>
      <c r="M377" s="7622">
        <f t="shared" si="153"/>
        <v>1</v>
      </c>
      <c r="N377" s="7688">
        <f t="shared" si="154"/>
        <v>360</v>
      </c>
      <c r="O377" s="7661" t="str">
        <f t="shared" si="155"/>
        <v>0</v>
      </c>
      <c r="P377" s="7688">
        <f t="shared" si="156"/>
        <v>1</v>
      </c>
      <c r="Q377" s="7688">
        <f t="shared" si="157"/>
        <v>1</v>
      </c>
      <c r="CA377" s="3170" t="s">
        <v>17017</v>
      </c>
      <c r="CB377" s="7634" t="s">
        <v>16255</v>
      </c>
      <c r="CC377" s="3170" t="s">
        <v>17077</v>
      </c>
      <c r="CD377" s="3170" t="s">
        <v>17078</v>
      </c>
    </row>
    <row r="378" spans="2:82">
      <c r="B378" s="7685"/>
      <c r="C378" s="7685"/>
      <c r="D378" s="7685"/>
      <c r="E378" s="7685">
        <f>IF(H377&lt;&gt;"",E377,IF(E377="","",IFERROR(MATCH(TRUE(),INDEX(INDEX($K:$K,E377+1):$K$203&lt;&gt;"",0),0)+E377,"")))</f>
        <v>553</v>
      </c>
      <c r="F378" s="7686">
        <f t="shared" si="158"/>
        <v>0</v>
      </c>
      <c r="G378" s="7686" t="str">
        <f t="shared" si="150"/>
        <v>0</v>
      </c>
      <c r="H378" s="7687" t="str">
        <f t="shared" si="151"/>
        <v/>
      </c>
      <c r="I378" s="7685" t="str">
        <f t="shared" si="152"/>
        <v/>
      </c>
      <c r="M378" s="7622">
        <f t="shared" si="153"/>
        <v>1</v>
      </c>
      <c r="N378" s="7688">
        <f t="shared" si="154"/>
        <v>361</v>
      </c>
      <c r="O378" s="7661" t="str">
        <f t="shared" si="155"/>
        <v>0</v>
      </c>
      <c r="P378" s="7688">
        <f t="shared" si="156"/>
        <v>1</v>
      </c>
      <c r="Q378" s="7688">
        <f t="shared" si="157"/>
        <v>1</v>
      </c>
      <c r="CA378" s="3170" t="s">
        <v>17017</v>
      </c>
      <c r="CB378" s="7634" t="s">
        <v>16255</v>
      </c>
      <c r="CC378" s="3170" t="s">
        <v>17079</v>
      </c>
      <c r="CD378" s="3170" t="s">
        <v>17080</v>
      </c>
    </row>
    <row r="379" spans="2:82">
      <c r="B379" s="7685"/>
      <c r="C379" s="7685"/>
      <c r="D379" s="7685"/>
      <c r="E379" s="7685">
        <f>IF(H378&lt;&gt;"",E378,IF(E378="","",IFERROR(MATCH(TRUE(),INDEX(INDEX($K:$K,E378+1):$K$203&lt;&gt;"",0),0)+E378,"")))</f>
        <v>554</v>
      </c>
      <c r="F379" s="7686">
        <f t="shared" si="158"/>
        <v>0</v>
      </c>
      <c r="G379" s="7686" t="str">
        <f t="shared" si="150"/>
        <v>0</v>
      </c>
      <c r="H379" s="7687" t="str">
        <f t="shared" si="151"/>
        <v/>
      </c>
      <c r="I379" s="7685" t="str">
        <f t="shared" si="152"/>
        <v/>
      </c>
      <c r="M379" s="7622">
        <f t="shared" si="153"/>
        <v>1</v>
      </c>
      <c r="N379" s="7688">
        <f t="shared" si="154"/>
        <v>362</v>
      </c>
      <c r="O379" s="7661" t="str">
        <f t="shared" si="155"/>
        <v>0</v>
      </c>
      <c r="P379" s="7688">
        <f t="shared" si="156"/>
        <v>1</v>
      </c>
      <c r="Q379" s="7688">
        <f t="shared" si="157"/>
        <v>1</v>
      </c>
      <c r="CA379" s="3170" t="s">
        <v>17017</v>
      </c>
      <c r="CB379" s="7634" t="s">
        <v>16255</v>
      </c>
      <c r="CC379" s="3170" t="s">
        <v>17081</v>
      </c>
      <c r="CD379" s="3170" t="s">
        <v>17082</v>
      </c>
    </row>
    <row r="380" spans="2:82">
      <c r="B380" s="7685"/>
      <c r="C380" s="7685"/>
      <c r="D380" s="7685"/>
      <c r="E380" s="7685">
        <f>IF(H379&lt;&gt;"",E379,IF(E379="","",IFERROR(MATCH(TRUE(),INDEX(INDEX($K:$K,E379+1):$K$203&lt;&gt;"",0),0)+E379,"")))</f>
        <v>555</v>
      </c>
      <c r="F380" s="7686">
        <f t="shared" si="158"/>
        <v>0</v>
      </c>
      <c r="G380" s="7686" t="str">
        <f t="shared" si="150"/>
        <v>0</v>
      </c>
      <c r="H380" s="7687" t="str">
        <f t="shared" si="151"/>
        <v/>
      </c>
      <c r="I380" s="7685" t="str">
        <f t="shared" si="152"/>
        <v/>
      </c>
      <c r="M380" s="7622">
        <f t="shared" si="153"/>
        <v>1</v>
      </c>
      <c r="N380" s="7688">
        <f t="shared" si="154"/>
        <v>363</v>
      </c>
      <c r="O380" s="7661" t="str">
        <f t="shared" si="155"/>
        <v>0</v>
      </c>
      <c r="P380" s="7688">
        <f t="shared" si="156"/>
        <v>1</v>
      </c>
      <c r="Q380" s="7688">
        <f t="shared" si="157"/>
        <v>1</v>
      </c>
      <c r="CA380" s="3170" t="s">
        <v>17017</v>
      </c>
      <c r="CB380" s="7634" t="s">
        <v>16255</v>
      </c>
      <c r="CC380" s="3170" t="s">
        <v>17083</v>
      </c>
      <c r="CD380" s="3170" t="s">
        <v>17084</v>
      </c>
    </row>
    <row r="381" spans="2:82">
      <c r="B381" s="7685"/>
      <c r="C381" s="7685"/>
      <c r="D381" s="7685"/>
      <c r="E381" s="7685">
        <f>IF(H380&lt;&gt;"",E380,IF(E380="","",IFERROR(MATCH(TRUE(),INDEX(INDEX($K:$K,E380+1):$K$203&lt;&gt;"",0),0)+E380,"")))</f>
        <v>556</v>
      </c>
      <c r="F381" s="7686">
        <f t="shared" si="158"/>
        <v>0</v>
      </c>
      <c r="G381" s="7686" t="str">
        <f t="shared" si="150"/>
        <v>0</v>
      </c>
      <c r="H381" s="7687" t="str">
        <f t="shared" si="151"/>
        <v/>
      </c>
      <c r="I381" s="7685" t="str">
        <f t="shared" si="152"/>
        <v/>
      </c>
      <c r="M381" s="7622">
        <f t="shared" si="153"/>
        <v>1</v>
      </c>
      <c r="N381" s="7688">
        <f t="shared" si="154"/>
        <v>364</v>
      </c>
      <c r="O381" s="7661" t="str">
        <f t="shared" si="155"/>
        <v>0</v>
      </c>
      <c r="P381" s="7688">
        <f t="shared" si="156"/>
        <v>1</v>
      </c>
      <c r="Q381" s="7688">
        <f t="shared" si="157"/>
        <v>1</v>
      </c>
      <c r="CA381" s="3170" t="s">
        <v>17017</v>
      </c>
      <c r="CB381" s="7634" t="s">
        <v>16255</v>
      </c>
      <c r="CC381" s="3170" t="s">
        <v>17085</v>
      </c>
      <c r="CD381" s="3170" t="s">
        <v>17086</v>
      </c>
    </row>
    <row r="382" spans="2:82">
      <c r="B382" s="7685"/>
      <c r="C382" s="7685"/>
      <c r="D382" s="7685"/>
      <c r="E382" s="7685">
        <f>IF(H381&lt;&gt;"",E381,IF(E381="","",IFERROR(MATCH(TRUE(),INDEX(INDEX($K:$K,E381+1):$K$203&lt;&gt;"",0),0)+E381,"")))</f>
        <v>557</v>
      </c>
      <c r="F382" s="7686">
        <f t="shared" si="158"/>
        <v>0</v>
      </c>
      <c r="G382" s="7686" t="str">
        <f t="shared" si="150"/>
        <v>0</v>
      </c>
      <c r="H382" s="7687" t="str">
        <f t="shared" si="151"/>
        <v/>
      </c>
      <c r="I382" s="7685" t="str">
        <f t="shared" si="152"/>
        <v/>
      </c>
      <c r="M382" s="7622">
        <f t="shared" si="153"/>
        <v>1</v>
      </c>
      <c r="N382" s="7688">
        <f t="shared" si="154"/>
        <v>365</v>
      </c>
      <c r="O382" s="7661" t="str">
        <f t="shared" si="155"/>
        <v>0</v>
      </c>
      <c r="P382" s="7688">
        <f t="shared" si="156"/>
        <v>1</v>
      </c>
      <c r="Q382" s="7688">
        <f t="shared" si="157"/>
        <v>1</v>
      </c>
      <c r="CA382" s="3170" t="s">
        <v>4036</v>
      </c>
      <c r="CB382" s="7634" t="s">
        <v>16255</v>
      </c>
      <c r="CC382" s="3170" t="s">
        <v>17087</v>
      </c>
      <c r="CD382" s="3170" t="s">
        <v>17088</v>
      </c>
    </row>
    <row r="383" spans="2:82">
      <c r="B383" s="7685"/>
      <c r="C383" s="7685"/>
      <c r="D383" s="7685"/>
      <c r="E383" s="7685">
        <f>IF(H382&lt;&gt;"",E382,IF(E382="","",IFERROR(MATCH(TRUE(),INDEX(INDEX($K:$K,E382+1):$K$203&lt;&gt;"",0),0)+E382,"")))</f>
        <v>558</v>
      </c>
      <c r="F383" s="7686">
        <f t="shared" si="158"/>
        <v>0</v>
      </c>
      <c r="G383" s="7686" t="str">
        <f t="shared" si="150"/>
        <v>0</v>
      </c>
      <c r="H383" s="7687" t="str">
        <f t="shared" si="151"/>
        <v/>
      </c>
      <c r="I383" s="7685" t="str">
        <f t="shared" si="152"/>
        <v/>
      </c>
      <c r="M383" s="7622">
        <f t="shared" si="153"/>
        <v>1</v>
      </c>
      <c r="N383" s="7688">
        <f t="shared" si="154"/>
        <v>366</v>
      </c>
      <c r="O383" s="7661" t="str">
        <f t="shared" si="155"/>
        <v>0</v>
      </c>
      <c r="P383" s="7688">
        <f t="shared" si="156"/>
        <v>1</v>
      </c>
      <c r="Q383" s="7688">
        <f t="shared" si="157"/>
        <v>1</v>
      </c>
      <c r="CA383" s="3170" t="s">
        <v>4036</v>
      </c>
      <c r="CB383" s="7634" t="s">
        <v>16255</v>
      </c>
      <c r="CC383" s="3170" t="s">
        <v>17089</v>
      </c>
      <c r="CD383" s="3170" t="s">
        <v>17090</v>
      </c>
    </row>
    <row r="384" spans="2:82">
      <c r="B384" s="7685"/>
      <c r="C384" s="7685"/>
      <c r="D384" s="7685"/>
      <c r="E384" s="7685">
        <f>IF(H383&lt;&gt;"",E383,IF(E383="","",IFERROR(MATCH(TRUE(),INDEX(INDEX($K:$K,E383+1):$K$203&lt;&gt;"",0),0)+E383,"")))</f>
        <v>559</v>
      </c>
      <c r="F384" s="7686">
        <f t="shared" si="158"/>
        <v>0</v>
      </c>
      <c r="G384" s="7686" t="str">
        <f t="shared" si="150"/>
        <v>0</v>
      </c>
      <c r="H384" s="7687" t="str">
        <f t="shared" si="151"/>
        <v/>
      </c>
      <c r="I384" s="7685" t="str">
        <f t="shared" si="152"/>
        <v/>
      </c>
      <c r="M384" s="7622">
        <f t="shared" si="153"/>
        <v>1</v>
      </c>
      <c r="N384" s="7688">
        <f t="shared" si="154"/>
        <v>367</v>
      </c>
      <c r="O384" s="7661" t="str">
        <f t="shared" si="155"/>
        <v>0</v>
      </c>
      <c r="P384" s="7688">
        <f t="shared" si="156"/>
        <v>1</v>
      </c>
      <c r="Q384" s="7688">
        <f t="shared" si="157"/>
        <v>1</v>
      </c>
      <c r="CA384" s="3170" t="s">
        <v>4036</v>
      </c>
      <c r="CB384" s="7634" t="s">
        <v>16255</v>
      </c>
      <c r="CC384" s="3170" t="s">
        <v>17091</v>
      </c>
      <c r="CD384" s="3170" t="s">
        <v>17092</v>
      </c>
    </row>
    <row r="385" spans="2:82">
      <c r="B385" s="7685"/>
      <c r="C385" s="7685"/>
      <c r="D385" s="7685"/>
      <c r="E385" s="7685">
        <f>IF(H384&lt;&gt;"",E384,IF(E384="","",IFERROR(MATCH(TRUE(),INDEX(INDEX($K:$K,E384+1):$K$203&lt;&gt;"",0),0)+E384,"")))</f>
        <v>560</v>
      </c>
      <c r="F385" s="7686">
        <f t="shared" si="158"/>
        <v>0</v>
      </c>
      <c r="G385" s="7686" t="str">
        <f t="shared" si="150"/>
        <v>0</v>
      </c>
      <c r="H385" s="7687" t="str">
        <f t="shared" si="151"/>
        <v/>
      </c>
      <c r="I385" s="7685" t="str">
        <f t="shared" si="152"/>
        <v/>
      </c>
      <c r="M385" s="7622">
        <f t="shared" si="153"/>
        <v>1</v>
      </c>
      <c r="N385" s="7688">
        <f t="shared" si="154"/>
        <v>368</v>
      </c>
      <c r="O385" s="7661" t="str">
        <f t="shared" si="155"/>
        <v>0</v>
      </c>
      <c r="P385" s="7688">
        <f t="shared" si="156"/>
        <v>1</v>
      </c>
      <c r="Q385" s="7688">
        <f t="shared" si="157"/>
        <v>1</v>
      </c>
      <c r="CA385" s="3170" t="s">
        <v>4036</v>
      </c>
      <c r="CB385" s="7634" t="s">
        <v>16255</v>
      </c>
      <c r="CC385" s="3170" t="s">
        <v>17093</v>
      </c>
      <c r="CD385" s="3170" t="s">
        <v>17094</v>
      </c>
    </row>
    <row r="386" spans="2:82">
      <c r="B386" s="7685"/>
      <c r="C386" s="7685"/>
      <c r="D386" s="7685"/>
      <c r="E386" s="7685">
        <f>IF(H385&lt;&gt;"",E385,IF(E385="","",IFERROR(MATCH(TRUE(),INDEX(INDEX($K:$K,E385+1):$K$203&lt;&gt;"",0),0)+E385,"")))</f>
        <v>561</v>
      </c>
      <c r="F386" s="7686">
        <f t="shared" si="158"/>
        <v>0</v>
      </c>
      <c r="G386" s="7686" t="str">
        <f t="shared" si="150"/>
        <v>0</v>
      </c>
      <c r="H386" s="7687" t="str">
        <f t="shared" si="151"/>
        <v/>
      </c>
      <c r="I386" s="7685" t="str">
        <f t="shared" si="152"/>
        <v/>
      </c>
      <c r="M386" s="7622">
        <f t="shared" si="153"/>
        <v>1</v>
      </c>
      <c r="N386" s="7688">
        <f t="shared" si="154"/>
        <v>369</v>
      </c>
      <c r="O386" s="7661" t="str">
        <f t="shared" si="155"/>
        <v>0</v>
      </c>
      <c r="P386" s="7688">
        <f t="shared" si="156"/>
        <v>1</v>
      </c>
      <c r="Q386" s="7688">
        <f t="shared" si="157"/>
        <v>1</v>
      </c>
      <c r="CA386" s="3170" t="s">
        <v>4036</v>
      </c>
      <c r="CB386" s="7634" t="s">
        <v>16255</v>
      </c>
      <c r="CC386" s="3170" t="s">
        <v>17095</v>
      </c>
      <c r="CD386" s="3170" t="s">
        <v>17096</v>
      </c>
    </row>
    <row r="387" spans="2:82">
      <c r="B387" s="7685"/>
      <c r="C387" s="7685"/>
      <c r="D387" s="7685"/>
      <c r="E387" s="7685">
        <f>IF(H386&lt;&gt;"",E386,IF(E386="","",IFERROR(MATCH(TRUE(),INDEX(INDEX($K:$K,E386+1):$K$203&lt;&gt;"",0),0)+E386,"")))</f>
        <v>562</v>
      </c>
      <c r="F387" s="7686">
        <f t="shared" si="158"/>
        <v>0</v>
      </c>
      <c r="G387" s="7686" t="str">
        <f t="shared" si="150"/>
        <v>0</v>
      </c>
      <c r="H387" s="7687" t="str">
        <f t="shared" si="151"/>
        <v/>
      </c>
      <c r="I387" s="7685" t="str">
        <f t="shared" si="152"/>
        <v/>
      </c>
      <c r="M387" s="7622">
        <f t="shared" si="153"/>
        <v>1</v>
      </c>
      <c r="N387" s="7688">
        <f t="shared" si="154"/>
        <v>370</v>
      </c>
      <c r="O387" s="7661" t="str">
        <f t="shared" si="155"/>
        <v>0</v>
      </c>
      <c r="P387" s="7688">
        <f t="shared" si="156"/>
        <v>1</v>
      </c>
      <c r="Q387" s="7688">
        <f t="shared" si="157"/>
        <v>1</v>
      </c>
      <c r="CA387" s="3170" t="s">
        <v>4036</v>
      </c>
      <c r="CB387" s="7634" t="s">
        <v>16255</v>
      </c>
      <c r="CC387" s="3170" t="s">
        <v>17097</v>
      </c>
      <c r="CD387" s="3170" t="s">
        <v>17098</v>
      </c>
    </row>
    <row r="388" spans="2:82">
      <c r="B388" s="7685"/>
      <c r="C388" s="7685"/>
      <c r="D388" s="7685"/>
      <c r="E388" s="7685">
        <f>IF(H387&lt;&gt;"",E387,IF(E387="","",IFERROR(MATCH(TRUE(),INDEX(INDEX($K:$K,E387+1):$K$203&lt;&gt;"",0),0)+E387,"")))</f>
        <v>563</v>
      </c>
      <c r="F388" s="7686">
        <f t="shared" si="158"/>
        <v>0</v>
      </c>
      <c r="G388" s="7686" t="str">
        <f t="shared" si="150"/>
        <v>0</v>
      </c>
      <c r="H388" s="7687" t="str">
        <f t="shared" si="151"/>
        <v/>
      </c>
      <c r="I388" s="7685" t="str">
        <f t="shared" si="152"/>
        <v/>
      </c>
      <c r="M388" s="7622">
        <f t="shared" si="153"/>
        <v>1</v>
      </c>
      <c r="N388" s="7688">
        <f t="shared" si="154"/>
        <v>371</v>
      </c>
      <c r="O388" s="7661" t="str">
        <f t="shared" si="155"/>
        <v>0</v>
      </c>
      <c r="P388" s="7688">
        <f t="shared" si="156"/>
        <v>1</v>
      </c>
      <c r="Q388" s="7688">
        <f t="shared" si="157"/>
        <v>1</v>
      </c>
      <c r="CA388" s="3170" t="s">
        <v>4036</v>
      </c>
      <c r="CB388" s="7634" t="s">
        <v>16255</v>
      </c>
      <c r="CC388" s="3170" t="s">
        <v>17099</v>
      </c>
      <c r="CD388" s="3170" t="s">
        <v>17100</v>
      </c>
    </row>
    <row r="389" spans="2:82">
      <c r="B389" s="7685"/>
      <c r="C389" s="7685"/>
      <c r="D389" s="7685"/>
      <c r="E389" s="7685">
        <f>IF(H388&lt;&gt;"",E388,IF(E388="","",IFERROR(MATCH(TRUE(),INDEX(INDEX($K:$K,E388+1):$K$203&lt;&gt;"",0),0)+E388,"")))</f>
        <v>564</v>
      </c>
      <c r="F389" s="7686">
        <f t="shared" si="158"/>
        <v>0</v>
      </c>
      <c r="G389" s="7686" t="str">
        <f t="shared" si="150"/>
        <v>0</v>
      </c>
      <c r="H389" s="7687" t="str">
        <f t="shared" si="151"/>
        <v/>
      </c>
      <c r="I389" s="7685" t="str">
        <f t="shared" si="152"/>
        <v/>
      </c>
      <c r="M389" s="7622">
        <f t="shared" si="153"/>
        <v>1</v>
      </c>
      <c r="N389" s="7688">
        <f t="shared" si="154"/>
        <v>372</v>
      </c>
      <c r="O389" s="7661" t="str">
        <f t="shared" si="155"/>
        <v>0</v>
      </c>
      <c r="P389" s="7688">
        <f t="shared" si="156"/>
        <v>1</v>
      </c>
      <c r="Q389" s="7688">
        <f t="shared" si="157"/>
        <v>1</v>
      </c>
      <c r="CA389" s="3170" t="s">
        <v>4036</v>
      </c>
      <c r="CB389" s="7634" t="s">
        <v>16255</v>
      </c>
      <c r="CC389" s="3170" t="s">
        <v>17101</v>
      </c>
      <c r="CD389" s="3170" t="s">
        <v>17102</v>
      </c>
    </row>
    <row r="390" spans="2:82">
      <c r="B390" s="7685"/>
      <c r="C390" s="7685"/>
      <c r="D390" s="7685"/>
      <c r="E390" s="7685">
        <f>IF(H389&lt;&gt;"",E389,IF(E389="","",IFERROR(MATCH(TRUE(),INDEX(INDEX($K:$K,E389+1):$K$203&lt;&gt;"",0),0)+E389,"")))</f>
        <v>565</v>
      </c>
      <c r="F390" s="7686">
        <f t="shared" si="158"/>
        <v>0</v>
      </c>
      <c r="G390" s="7686" t="str">
        <f t="shared" si="150"/>
        <v>0</v>
      </c>
      <c r="H390" s="7687" t="str">
        <f t="shared" si="151"/>
        <v/>
      </c>
      <c r="I390" s="7685" t="str">
        <f t="shared" si="152"/>
        <v/>
      </c>
      <c r="M390" s="7622">
        <f t="shared" si="153"/>
        <v>1</v>
      </c>
      <c r="N390" s="7688">
        <f t="shared" si="154"/>
        <v>373</v>
      </c>
      <c r="O390" s="7661" t="str">
        <f t="shared" si="155"/>
        <v>0</v>
      </c>
      <c r="P390" s="7688">
        <f t="shared" si="156"/>
        <v>1</v>
      </c>
      <c r="Q390" s="7688">
        <f t="shared" si="157"/>
        <v>1</v>
      </c>
      <c r="CA390" s="3170" t="s">
        <v>4036</v>
      </c>
      <c r="CB390" s="7634" t="s">
        <v>16255</v>
      </c>
      <c r="CC390" s="3170" t="s">
        <v>17103</v>
      </c>
      <c r="CD390" s="3170" t="s">
        <v>17104</v>
      </c>
    </row>
    <row r="391" spans="2:82">
      <c r="B391" s="7685"/>
      <c r="C391" s="7685"/>
      <c r="D391" s="7685"/>
      <c r="E391" s="7685">
        <f>IF(H390&lt;&gt;"",E390,IF(E390="","",IFERROR(MATCH(TRUE(),INDEX(INDEX($K:$K,E390+1):$K$203&lt;&gt;"",0),0)+E390,"")))</f>
        <v>566</v>
      </c>
      <c r="F391" s="7686">
        <f t="shared" si="158"/>
        <v>0</v>
      </c>
      <c r="G391" s="7686" t="str">
        <f t="shared" si="150"/>
        <v>0</v>
      </c>
      <c r="H391" s="7687" t="str">
        <f t="shared" si="151"/>
        <v/>
      </c>
      <c r="I391" s="7685" t="str">
        <f t="shared" si="152"/>
        <v/>
      </c>
      <c r="M391" s="7622">
        <f t="shared" si="153"/>
        <v>1</v>
      </c>
      <c r="N391" s="7688">
        <f t="shared" si="154"/>
        <v>374</v>
      </c>
      <c r="O391" s="7661" t="str">
        <f t="shared" si="155"/>
        <v>0</v>
      </c>
      <c r="P391" s="7688">
        <f t="shared" si="156"/>
        <v>1</v>
      </c>
      <c r="Q391" s="7688">
        <f t="shared" si="157"/>
        <v>1</v>
      </c>
      <c r="CA391" s="3170" t="s">
        <v>4036</v>
      </c>
      <c r="CB391" s="7634" t="s">
        <v>16255</v>
      </c>
      <c r="CC391" s="3170" t="s">
        <v>17105</v>
      </c>
      <c r="CD391" s="3170" t="s">
        <v>17106</v>
      </c>
    </row>
    <row r="392" spans="2:82">
      <c r="B392" s="7685"/>
      <c r="C392" s="7685"/>
      <c r="D392" s="7685"/>
      <c r="E392" s="7685">
        <f>IF(H391&lt;&gt;"",E391,IF(E391="","",IFERROR(MATCH(TRUE(),INDEX(INDEX($K:$K,E391+1):$K$203&lt;&gt;"",0),0)+E391,"")))</f>
        <v>567</v>
      </c>
      <c r="F392" s="7686">
        <f t="shared" si="158"/>
        <v>0</v>
      </c>
      <c r="G392" s="7686" t="str">
        <f t="shared" si="150"/>
        <v>0</v>
      </c>
      <c r="H392" s="7687" t="str">
        <f t="shared" si="151"/>
        <v/>
      </c>
      <c r="I392" s="7685" t="str">
        <f t="shared" si="152"/>
        <v/>
      </c>
      <c r="M392" s="7622">
        <f t="shared" si="153"/>
        <v>1</v>
      </c>
      <c r="N392" s="7688">
        <f t="shared" si="154"/>
        <v>375</v>
      </c>
      <c r="O392" s="7661" t="str">
        <f t="shared" si="155"/>
        <v>0</v>
      </c>
      <c r="P392" s="7688">
        <f t="shared" si="156"/>
        <v>1</v>
      </c>
      <c r="Q392" s="7688">
        <f t="shared" si="157"/>
        <v>1</v>
      </c>
      <c r="CA392" s="3170" t="s">
        <v>4036</v>
      </c>
      <c r="CB392" s="7634" t="s">
        <v>16255</v>
      </c>
      <c r="CC392" s="3170" t="s">
        <v>17107</v>
      </c>
      <c r="CD392" s="3170" t="s">
        <v>17108</v>
      </c>
    </row>
    <row r="393" spans="2:82">
      <c r="B393" s="7685"/>
      <c r="C393" s="7685"/>
      <c r="D393" s="7685"/>
      <c r="E393" s="7685">
        <f>IF(H392&lt;&gt;"",E392,IF(E392="","",IFERROR(MATCH(TRUE(),INDEX(INDEX($K:$K,E392+1):$K$203&lt;&gt;"",0),0)+E392,"")))</f>
        <v>568</v>
      </c>
      <c r="F393" s="7686">
        <f t="shared" si="158"/>
        <v>0</v>
      </c>
      <c r="G393" s="7686" t="str">
        <f t="shared" si="150"/>
        <v>0</v>
      </c>
      <c r="H393" s="7687" t="str">
        <f t="shared" si="151"/>
        <v/>
      </c>
      <c r="I393" s="7685" t="str">
        <f t="shared" si="152"/>
        <v/>
      </c>
      <c r="M393" s="7622">
        <f t="shared" si="153"/>
        <v>1</v>
      </c>
      <c r="N393" s="7688">
        <f t="shared" si="154"/>
        <v>376</v>
      </c>
      <c r="O393" s="7661" t="str">
        <f t="shared" si="155"/>
        <v>0</v>
      </c>
      <c r="P393" s="7688">
        <f t="shared" si="156"/>
        <v>1</v>
      </c>
      <c r="Q393" s="7688">
        <f t="shared" si="157"/>
        <v>1</v>
      </c>
      <c r="CA393" s="3170" t="s">
        <v>4036</v>
      </c>
      <c r="CB393" s="7634" t="s">
        <v>16255</v>
      </c>
      <c r="CC393" s="3170" t="s">
        <v>17109</v>
      </c>
      <c r="CD393" s="3170" t="s">
        <v>17110</v>
      </c>
    </row>
    <row r="394" spans="2:82">
      <c r="B394" s="7685"/>
      <c r="C394" s="7685"/>
      <c r="D394" s="7685"/>
      <c r="E394" s="7685">
        <f>IF(H393&lt;&gt;"",E393,IF(E393="","",IFERROR(MATCH(TRUE(),INDEX(INDEX($K:$K,E393+1):$K$203&lt;&gt;"",0),0)+E393,"")))</f>
        <v>569</v>
      </c>
      <c r="F394" s="7686">
        <f t="shared" si="158"/>
        <v>0</v>
      </c>
      <c r="G394" s="7686" t="str">
        <f t="shared" si="150"/>
        <v>0</v>
      </c>
      <c r="H394" s="7687" t="str">
        <f t="shared" si="151"/>
        <v/>
      </c>
      <c r="I394" s="7685" t="str">
        <f t="shared" si="152"/>
        <v/>
      </c>
      <c r="M394" s="7622">
        <f t="shared" si="153"/>
        <v>1</v>
      </c>
      <c r="N394" s="7688">
        <f t="shared" si="154"/>
        <v>377</v>
      </c>
      <c r="O394" s="7661" t="str">
        <f t="shared" si="155"/>
        <v>0</v>
      </c>
      <c r="P394" s="7688">
        <f t="shared" si="156"/>
        <v>1</v>
      </c>
      <c r="Q394" s="7688">
        <f t="shared" si="157"/>
        <v>1</v>
      </c>
      <c r="CA394" s="3170" t="s">
        <v>4036</v>
      </c>
      <c r="CB394" s="7634" t="s">
        <v>16255</v>
      </c>
      <c r="CC394" s="3170" t="s">
        <v>17111</v>
      </c>
      <c r="CD394" s="3170" t="s">
        <v>17112</v>
      </c>
    </row>
    <row r="395" spans="2:82">
      <c r="B395" s="7685"/>
      <c r="C395" s="7685"/>
      <c r="D395" s="7685"/>
      <c r="E395" s="7685">
        <f>IF(H394&lt;&gt;"",E394,IF(E394="","",IFERROR(MATCH(TRUE(),INDEX(INDEX($K:$K,E394+1):$K$203&lt;&gt;"",0),0)+E394,"")))</f>
        <v>570</v>
      </c>
      <c r="F395" s="7686">
        <f t="shared" si="158"/>
        <v>0</v>
      </c>
      <c r="G395" s="7686" t="str">
        <f t="shared" si="150"/>
        <v>0</v>
      </c>
      <c r="H395" s="7687" t="str">
        <f t="shared" si="151"/>
        <v/>
      </c>
      <c r="I395" s="7685" t="str">
        <f t="shared" si="152"/>
        <v/>
      </c>
      <c r="M395" s="7622">
        <f t="shared" si="153"/>
        <v>1</v>
      </c>
      <c r="N395" s="7688">
        <f t="shared" si="154"/>
        <v>378</v>
      </c>
      <c r="O395" s="7661" t="str">
        <f t="shared" si="155"/>
        <v>0</v>
      </c>
      <c r="P395" s="7688">
        <f t="shared" si="156"/>
        <v>1</v>
      </c>
      <c r="Q395" s="7688">
        <f t="shared" si="157"/>
        <v>1</v>
      </c>
      <c r="CA395" s="3170" t="s">
        <v>4036</v>
      </c>
      <c r="CB395" s="7634" t="s">
        <v>16255</v>
      </c>
      <c r="CC395" s="3170" t="s">
        <v>17113</v>
      </c>
      <c r="CD395" s="3170" t="s">
        <v>17114</v>
      </c>
    </row>
    <row r="396" spans="2:82">
      <c r="B396" s="7685"/>
      <c r="C396" s="7685"/>
      <c r="D396" s="7685"/>
      <c r="E396" s="7685">
        <f>IF(H395&lt;&gt;"",E395,IF(E395="","",IFERROR(MATCH(TRUE(),INDEX(INDEX($K:$K,E395+1):$K$203&lt;&gt;"",0),0)+E395,"")))</f>
        <v>571</v>
      </c>
      <c r="F396" s="7686">
        <f t="shared" si="158"/>
        <v>0</v>
      </c>
      <c r="G396" s="7686" t="str">
        <f t="shared" si="150"/>
        <v>0</v>
      </c>
      <c r="H396" s="7687" t="str">
        <f t="shared" si="151"/>
        <v/>
      </c>
      <c r="I396" s="7685" t="str">
        <f t="shared" si="152"/>
        <v/>
      </c>
      <c r="M396" s="7622">
        <f t="shared" si="153"/>
        <v>1</v>
      </c>
      <c r="N396" s="7688">
        <f t="shared" si="154"/>
        <v>379</v>
      </c>
      <c r="O396" s="7661" t="str">
        <f t="shared" si="155"/>
        <v>0</v>
      </c>
      <c r="P396" s="7688">
        <f t="shared" si="156"/>
        <v>1</v>
      </c>
      <c r="Q396" s="7688">
        <f t="shared" si="157"/>
        <v>1</v>
      </c>
      <c r="CA396" s="3170" t="s">
        <v>4036</v>
      </c>
      <c r="CB396" s="7634" t="s">
        <v>16255</v>
      </c>
      <c r="CC396" s="3170" t="s">
        <v>17115</v>
      </c>
      <c r="CD396" s="3170" t="s">
        <v>17116</v>
      </c>
    </row>
    <row r="397" spans="2:82">
      <c r="B397" s="7685"/>
      <c r="C397" s="7685"/>
      <c r="D397" s="7685"/>
      <c r="E397" s="7685">
        <f>IF(H396&lt;&gt;"",E396,IF(E396="","",IFERROR(MATCH(TRUE(),INDEX(INDEX($K:$K,E396+1):$K$203&lt;&gt;"",0),0)+E396,"")))</f>
        <v>572</v>
      </c>
      <c r="F397" s="7686">
        <f t="shared" si="158"/>
        <v>0</v>
      </c>
      <c r="G397" s="7686" t="str">
        <f t="shared" si="150"/>
        <v>0</v>
      </c>
      <c r="H397" s="7687" t="str">
        <f t="shared" si="151"/>
        <v/>
      </c>
      <c r="I397" s="7685" t="str">
        <f t="shared" si="152"/>
        <v/>
      </c>
      <c r="M397" s="7622">
        <f t="shared" si="153"/>
        <v>1</v>
      </c>
      <c r="N397" s="7688">
        <f t="shared" si="154"/>
        <v>380</v>
      </c>
      <c r="O397" s="7661" t="str">
        <f t="shared" si="155"/>
        <v>0</v>
      </c>
      <c r="P397" s="7688">
        <f t="shared" si="156"/>
        <v>1</v>
      </c>
      <c r="Q397" s="7688">
        <f t="shared" si="157"/>
        <v>1</v>
      </c>
      <c r="CA397" s="3170" t="s">
        <v>4036</v>
      </c>
      <c r="CB397" s="7634" t="s">
        <v>16255</v>
      </c>
      <c r="CC397" s="3170" t="s">
        <v>17117</v>
      </c>
      <c r="CD397" s="3170" t="s">
        <v>17118</v>
      </c>
    </row>
    <row r="398" spans="2:82">
      <c r="B398" s="7685"/>
      <c r="C398" s="7685"/>
      <c r="D398" s="7685"/>
      <c r="E398" s="7685">
        <f>IF(H397&lt;&gt;"",E397,IF(E397="","",IFERROR(MATCH(TRUE(),INDEX(INDEX($K:$K,E397+1):$K$203&lt;&gt;"",0),0)+E397,"")))</f>
        <v>573</v>
      </c>
      <c r="F398" s="7686">
        <f t="shared" si="158"/>
        <v>0</v>
      </c>
      <c r="G398" s="7686" t="str">
        <f t="shared" si="150"/>
        <v>0</v>
      </c>
      <c r="H398" s="7687" t="str">
        <f t="shared" si="151"/>
        <v/>
      </c>
      <c r="I398" s="7685" t="str">
        <f t="shared" si="152"/>
        <v/>
      </c>
      <c r="M398" s="7622">
        <f t="shared" si="153"/>
        <v>1</v>
      </c>
      <c r="N398" s="7688">
        <f t="shared" si="154"/>
        <v>381</v>
      </c>
      <c r="O398" s="7661" t="str">
        <f t="shared" si="155"/>
        <v>0</v>
      </c>
      <c r="P398" s="7688">
        <f t="shared" si="156"/>
        <v>1</v>
      </c>
      <c r="Q398" s="7688">
        <f t="shared" si="157"/>
        <v>1</v>
      </c>
      <c r="CA398" s="3170" t="s">
        <v>4036</v>
      </c>
      <c r="CB398" s="7634" t="s">
        <v>16255</v>
      </c>
      <c r="CC398" s="3170" t="s">
        <v>17119</v>
      </c>
      <c r="CD398" s="3170" t="s">
        <v>17120</v>
      </c>
    </row>
    <row r="399" spans="2:82">
      <c r="B399" s="7685"/>
      <c r="C399" s="7685"/>
      <c r="D399" s="7685"/>
      <c r="E399" s="7685">
        <f>IF(H398&lt;&gt;"",E398,IF(E398="","",IFERROR(MATCH(TRUE(),INDEX(INDEX($K:$K,E398+1):$K$203&lt;&gt;"",0),0)+E398,"")))</f>
        <v>574</v>
      </c>
      <c r="F399" s="7686">
        <f t="shared" si="158"/>
        <v>0</v>
      </c>
      <c r="G399" s="7686" t="str">
        <f t="shared" si="150"/>
        <v>0</v>
      </c>
      <c r="H399" s="7687" t="str">
        <f t="shared" si="151"/>
        <v/>
      </c>
      <c r="I399" s="7685" t="str">
        <f t="shared" si="152"/>
        <v/>
      </c>
      <c r="M399" s="7622">
        <f t="shared" si="153"/>
        <v>1</v>
      </c>
      <c r="N399" s="7688">
        <f t="shared" si="154"/>
        <v>382</v>
      </c>
      <c r="O399" s="7661" t="str">
        <f t="shared" si="155"/>
        <v>0</v>
      </c>
      <c r="P399" s="7688">
        <f t="shared" si="156"/>
        <v>1</v>
      </c>
      <c r="Q399" s="7688">
        <f t="shared" si="157"/>
        <v>1</v>
      </c>
      <c r="CA399" s="3170" t="s">
        <v>4036</v>
      </c>
      <c r="CB399" s="7634" t="s">
        <v>16255</v>
      </c>
      <c r="CC399" s="3170" t="s">
        <v>17121</v>
      </c>
      <c r="CD399" s="3170" t="s">
        <v>17122</v>
      </c>
    </row>
    <row r="400" spans="2:82">
      <c r="B400" s="7685"/>
      <c r="C400" s="7685"/>
      <c r="D400" s="7685"/>
      <c r="E400" s="7685">
        <f>IF(H399&lt;&gt;"",E399,IF(E399="","",IFERROR(MATCH(TRUE(),INDEX(INDEX($K:$K,E399+1):$K$203&lt;&gt;"",0),0)+E399,"")))</f>
        <v>575</v>
      </c>
      <c r="F400" s="7686">
        <f t="shared" si="158"/>
        <v>0</v>
      </c>
      <c r="G400" s="7686" t="str">
        <f t="shared" si="150"/>
        <v>0</v>
      </c>
      <c r="H400" s="7687" t="str">
        <f t="shared" si="151"/>
        <v/>
      </c>
      <c r="I400" s="7685" t="str">
        <f t="shared" si="152"/>
        <v/>
      </c>
      <c r="M400" s="7622">
        <f t="shared" si="153"/>
        <v>1</v>
      </c>
      <c r="N400" s="7688">
        <f t="shared" si="154"/>
        <v>383</v>
      </c>
      <c r="O400" s="7661" t="str">
        <f t="shared" si="155"/>
        <v>0</v>
      </c>
      <c r="P400" s="7688">
        <f t="shared" si="156"/>
        <v>1</v>
      </c>
      <c r="Q400" s="7688">
        <f t="shared" si="157"/>
        <v>1</v>
      </c>
      <c r="CA400" s="3170" t="s">
        <v>4036</v>
      </c>
      <c r="CB400" s="7634" t="s">
        <v>16255</v>
      </c>
      <c r="CC400" s="3170" t="s">
        <v>17123</v>
      </c>
      <c r="CD400" s="3170" t="s">
        <v>17124</v>
      </c>
    </row>
    <row r="401" spans="2:82">
      <c r="B401" s="7685"/>
      <c r="C401" s="7685"/>
      <c r="D401" s="7685"/>
      <c r="E401" s="7685">
        <f>IF(H400&lt;&gt;"",E400,IF(E400="","",IFERROR(MATCH(TRUE(),INDEX(INDEX($K:$K,E400+1):$K$203&lt;&gt;"",0),0)+E400,"")))</f>
        <v>576</v>
      </c>
      <c r="F401" s="7686">
        <f t="shared" si="158"/>
        <v>0</v>
      </c>
      <c r="G401" s="7686" t="str">
        <f t="shared" si="150"/>
        <v>0</v>
      </c>
      <c r="H401" s="7687" t="str">
        <f t="shared" si="151"/>
        <v/>
      </c>
      <c r="I401" s="7685" t="str">
        <f t="shared" si="152"/>
        <v/>
      </c>
      <c r="M401" s="7622">
        <f t="shared" si="153"/>
        <v>1</v>
      </c>
      <c r="N401" s="7688">
        <f t="shared" si="154"/>
        <v>384</v>
      </c>
      <c r="O401" s="7661" t="str">
        <f t="shared" si="155"/>
        <v>0</v>
      </c>
      <c r="P401" s="7688">
        <f t="shared" si="156"/>
        <v>1</v>
      </c>
      <c r="Q401" s="7688">
        <f t="shared" si="157"/>
        <v>1</v>
      </c>
      <c r="CA401" s="3170" t="s">
        <v>4036</v>
      </c>
      <c r="CB401" s="7634" t="s">
        <v>16255</v>
      </c>
      <c r="CC401" s="3170" t="s">
        <v>17125</v>
      </c>
      <c r="CD401" s="3170" t="s">
        <v>17126</v>
      </c>
    </row>
    <row r="402" spans="2:82">
      <c r="B402" s="7685"/>
      <c r="C402" s="7685"/>
      <c r="D402" s="7685"/>
      <c r="E402" s="7685">
        <f>IF(H401&lt;&gt;"",E401,IF(E401="","",IFERROR(MATCH(TRUE(),INDEX(INDEX($K:$K,E401+1):$K$203&lt;&gt;"",0),0)+E401,"")))</f>
        <v>577</v>
      </c>
      <c r="F402" s="7686">
        <f t="shared" si="158"/>
        <v>0</v>
      </c>
      <c r="G402" s="7686" t="str">
        <f t="shared" ref="G402:G465" si="159">IF(OR(F402="",M402=""),"",LEFT(F402,M402))</f>
        <v>0</v>
      </c>
      <c r="H402" s="7687" t="str">
        <f t="shared" ref="H402:H465" si="160">IF(OR(F402="",M402=""),"",TRIM(MID(F402,M402+1,99999)))</f>
        <v/>
      </c>
      <c r="I402" s="7685" t="str">
        <f t="shared" ref="I402:I465" si="161">IF(AND(F402&lt;&gt;"",$N$10&gt;0,M402&gt;$N$10),"Mot &gt; limite","")</f>
        <v/>
      </c>
      <c r="M402" s="7622">
        <f t="shared" ref="M402:M465" si="162">IF(OR(F402="",$N$10="",$N$10&lt;=0),"",IF(LEN(F402)&lt;=$N$10,LEN(F402),IFERROR(FIND("♦",SUBSTITUTE(LEFT(F402,$N$10)," ","♦",LEN(LEFT(F402,$N$10))-LEN(SUBSTITUTE(LEFT(F402,$N$10)," ","")))),FIND(" ",F402&amp;" ",$N$10+1)-1)))</f>
        <v>1</v>
      </c>
      <c r="N402" s="7688">
        <f t="shared" ref="N402:N465" si="163">IF(O402="","",ROW()-17)</f>
        <v>385</v>
      </c>
      <c r="O402" s="7661" t="str">
        <f t="shared" ref="O402:O465" si="164">G402</f>
        <v>0</v>
      </c>
      <c r="P402" s="7688">
        <f t="shared" ref="P402:P465" si="165">IF(O402="","",LEN(TRIM(O402))-LEN(SUBSTITUTE(TRIM(O402)," ",""))+1)</f>
        <v>1</v>
      </c>
      <c r="Q402" s="7688">
        <f t="shared" ref="Q402:Q465" si="166">IF(O402="","",LEN(O402))</f>
        <v>1</v>
      </c>
      <c r="CA402" s="3170" t="s">
        <v>4036</v>
      </c>
      <c r="CB402" s="7634" t="s">
        <v>16255</v>
      </c>
      <c r="CC402" s="3170" t="s">
        <v>17127</v>
      </c>
      <c r="CD402" s="3170" t="s">
        <v>17128</v>
      </c>
    </row>
    <row r="403" spans="2:82">
      <c r="B403" s="7685"/>
      <c r="C403" s="7685"/>
      <c r="D403" s="7685"/>
      <c r="E403" s="7685">
        <f>IF(H402&lt;&gt;"",E402,IF(E402="","",IFERROR(MATCH(TRUE(),INDEX(INDEX($K:$K,E402+1):$K$203&lt;&gt;"",0),0)+E402,"")))</f>
        <v>578</v>
      </c>
      <c r="F403" s="7686">
        <f t="shared" ref="F403:F466" si="167">IF(E403="","",IF(H402&lt;&gt;"",H402,INDEX($D:$D,E403)))</f>
        <v>0</v>
      </c>
      <c r="G403" s="7686" t="str">
        <f t="shared" si="159"/>
        <v>0</v>
      </c>
      <c r="H403" s="7687" t="str">
        <f t="shared" si="160"/>
        <v/>
      </c>
      <c r="I403" s="7685" t="str">
        <f t="shared" si="161"/>
        <v/>
      </c>
      <c r="M403" s="7622">
        <f t="shared" si="162"/>
        <v>1</v>
      </c>
      <c r="N403" s="7688">
        <f t="shared" si="163"/>
        <v>386</v>
      </c>
      <c r="O403" s="7661" t="str">
        <f t="shared" si="164"/>
        <v>0</v>
      </c>
      <c r="P403" s="7688">
        <f t="shared" si="165"/>
        <v>1</v>
      </c>
      <c r="Q403" s="7688">
        <f t="shared" si="166"/>
        <v>1</v>
      </c>
      <c r="CA403" s="3170" t="s">
        <v>4036</v>
      </c>
      <c r="CB403" s="7634" t="s">
        <v>16255</v>
      </c>
      <c r="CC403" s="3170" t="s">
        <v>17129</v>
      </c>
      <c r="CD403" s="3170" t="s">
        <v>17130</v>
      </c>
    </row>
    <row r="404" spans="2:82">
      <c r="B404" s="7685"/>
      <c r="C404" s="7685"/>
      <c r="D404" s="7685"/>
      <c r="E404" s="7685">
        <f>IF(H403&lt;&gt;"",E403,IF(E403="","",IFERROR(MATCH(TRUE(),INDEX(INDEX($K:$K,E403+1):$K$203&lt;&gt;"",0),0)+E403,"")))</f>
        <v>579</v>
      </c>
      <c r="F404" s="7686">
        <f t="shared" si="167"/>
        <v>0</v>
      </c>
      <c r="G404" s="7686" t="str">
        <f t="shared" si="159"/>
        <v>0</v>
      </c>
      <c r="H404" s="7687" t="str">
        <f t="shared" si="160"/>
        <v/>
      </c>
      <c r="I404" s="7685" t="str">
        <f t="shared" si="161"/>
        <v/>
      </c>
      <c r="M404" s="7622">
        <f t="shared" si="162"/>
        <v>1</v>
      </c>
      <c r="N404" s="7688">
        <f t="shared" si="163"/>
        <v>387</v>
      </c>
      <c r="O404" s="7661" t="str">
        <f t="shared" si="164"/>
        <v>0</v>
      </c>
      <c r="P404" s="7688">
        <f t="shared" si="165"/>
        <v>1</v>
      </c>
      <c r="Q404" s="7688">
        <f t="shared" si="166"/>
        <v>1</v>
      </c>
      <c r="CA404" s="3170" t="s">
        <v>4036</v>
      </c>
      <c r="CB404" s="7634" t="s">
        <v>16255</v>
      </c>
      <c r="CC404" s="3170" t="s">
        <v>17131</v>
      </c>
      <c r="CD404" s="3170" t="s">
        <v>17132</v>
      </c>
    </row>
    <row r="405" spans="2:82">
      <c r="B405" s="7685"/>
      <c r="C405" s="7685"/>
      <c r="D405" s="7685"/>
      <c r="E405" s="7685">
        <f>IF(H404&lt;&gt;"",E404,IF(E404="","",IFERROR(MATCH(TRUE(),INDEX(INDEX($K:$K,E404+1):$K$203&lt;&gt;"",0),0)+E404,"")))</f>
        <v>580</v>
      </c>
      <c r="F405" s="7686">
        <f t="shared" si="167"/>
        <v>0</v>
      </c>
      <c r="G405" s="7686" t="str">
        <f t="shared" si="159"/>
        <v>0</v>
      </c>
      <c r="H405" s="7687" t="str">
        <f t="shared" si="160"/>
        <v/>
      </c>
      <c r="I405" s="7685" t="str">
        <f t="shared" si="161"/>
        <v/>
      </c>
      <c r="M405" s="7622">
        <f t="shared" si="162"/>
        <v>1</v>
      </c>
      <c r="N405" s="7688">
        <f t="shared" si="163"/>
        <v>388</v>
      </c>
      <c r="O405" s="7661" t="str">
        <f t="shared" si="164"/>
        <v>0</v>
      </c>
      <c r="P405" s="7688">
        <f t="shared" si="165"/>
        <v>1</v>
      </c>
      <c r="Q405" s="7688">
        <f t="shared" si="166"/>
        <v>1</v>
      </c>
      <c r="CA405" s="3170" t="s">
        <v>4036</v>
      </c>
      <c r="CB405" s="7634" t="s">
        <v>16255</v>
      </c>
      <c r="CC405" s="3170" t="s">
        <v>4798</v>
      </c>
      <c r="CD405" s="3170" t="s">
        <v>17133</v>
      </c>
    </row>
    <row r="406" spans="2:82">
      <c r="B406" s="7685"/>
      <c r="C406" s="7685"/>
      <c r="D406" s="7685"/>
      <c r="E406" s="7685">
        <f>IF(H405&lt;&gt;"",E405,IF(E405="","",IFERROR(MATCH(TRUE(),INDEX(INDEX($K:$K,E405+1):$K$203&lt;&gt;"",0),0)+E405,"")))</f>
        <v>581</v>
      </c>
      <c r="F406" s="7686">
        <f t="shared" si="167"/>
        <v>0</v>
      </c>
      <c r="G406" s="7686" t="str">
        <f t="shared" si="159"/>
        <v>0</v>
      </c>
      <c r="H406" s="7687" t="str">
        <f t="shared" si="160"/>
        <v/>
      </c>
      <c r="I406" s="7685" t="str">
        <f t="shared" si="161"/>
        <v/>
      </c>
      <c r="M406" s="7622">
        <f t="shared" si="162"/>
        <v>1</v>
      </c>
      <c r="N406" s="7688">
        <f t="shared" si="163"/>
        <v>389</v>
      </c>
      <c r="O406" s="7661" t="str">
        <f t="shared" si="164"/>
        <v>0</v>
      </c>
      <c r="P406" s="7688">
        <f t="shared" si="165"/>
        <v>1</v>
      </c>
      <c r="Q406" s="7688">
        <f t="shared" si="166"/>
        <v>1</v>
      </c>
      <c r="CA406" s="3170" t="s">
        <v>4036</v>
      </c>
      <c r="CB406" s="7634" t="s">
        <v>16255</v>
      </c>
      <c r="CC406" s="3170" t="s">
        <v>17134</v>
      </c>
      <c r="CD406" s="3170" t="s">
        <v>17135</v>
      </c>
    </row>
    <row r="407" spans="2:82">
      <c r="B407" s="7685"/>
      <c r="C407" s="7685"/>
      <c r="D407" s="7685"/>
      <c r="E407" s="7685">
        <f>IF(H406&lt;&gt;"",E406,IF(E406="","",IFERROR(MATCH(TRUE(),INDEX(INDEX($K:$K,E406+1):$K$203&lt;&gt;"",0),0)+E406,"")))</f>
        <v>582</v>
      </c>
      <c r="F407" s="7686">
        <f t="shared" si="167"/>
        <v>0</v>
      </c>
      <c r="G407" s="7686" t="str">
        <f t="shared" si="159"/>
        <v>0</v>
      </c>
      <c r="H407" s="7687" t="str">
        <f t="shared" si="160"/>
        <v/>
      </c>
      <c r="I407" s="7685" t="str">
        <f t="shared" si="161"/>
        <v/>
      </c>
      <c r="M407" s="7622">
        <f t="shared" si="162"/>
        <v>1</v>
      </c>
      <c r="N407" s="7688">
        <f t="shared" si="163"/>
        <v>390</v>
      </c>
      <c r="O407" s="7661" t="str">
        <f t="shared" si="164"/>
        <v>0</v>
      </c>
      <c r="P407" s="7688">
        <f t="shared" si="165"/>
        <v>1</v>
      </c>
      <c r="Q407" s="7688">
        <f t="shared" si="166"/>
        <v>1</v>
      </c>
      <c r="CA407" s="3170" t="s">
        <v>4036</v>
      </c>
      <c r="CB407" s="7634" t="s">
        <v>16255</v>
      </c>
      <c r="CC407" s="3170" t="s">
        <v>17136</v>
      </c>
      <c r="CD407" s="3170" t="s">
        <v>17137</v>
      </c>
    </row>
    <row r="408" spans="2:82">
      <c r="B408" s="7685"/>
      <c r="C408" s="7685"/>
      <c r="D408" s="7685"/>
      <c r="E408" s="7685">
        <f>IF(H407&lt;&gt;"",E407,IF(E407="","",IFERROR(MATCH(TRUE(),INDEX(INDEX($K:$K,E407+1):$K$203&lt;&gt;"",0),0)+E407,"")))</f>
        <v>583</v>
      </c>
      <c r="F408" s="7686">
        <f t="shared" si="167"/>
        <v>0</v>
      </c>
      <c r="G408" s="7686" t="str">
        <f t="shared" si="159"/>
        <v>0</v>
      </c>
      <c r="H408" s="7687" t="str">
        <f t="shared" si="160"/>
        <v/>
      </c>
      <c r="I408" s="7685" t="str">
        <f t="shared" si="161"/>
        <v/>
      </c>
      <c r="M408" s="7622">
        <f t="shared" si="162"/>
        <v>1</v>
      </c>
      <c r="N408" s="7688">
        <f t="shared" si="163"/>
        <v>391</v>
      </c>
      <c r="O408" s="7661" t="str">
        <f t="shared" si="164"/>
        <v>0</v>
      </c>
      <c r="P408" s="7688">
        <f t="shared" si="165"/>
        <v>1</v>
      </c>
      <c r="Q408" s="7688">
        <f t="shared" si="166"/>
        <v>1</v>
      </c>
      <c r="CA408" s="3170" t="s">
        <v>4036</v>
      </c>
      <c r="CB408" s="7634" t="s">
        <v>16255</v>
      </c>
      <c r="CC408" s="3170" t="s">
        <v>17138</v>
      </c>
      <c r="CD408" s="3170" t="s">
        <v>17139</v>
      </c>
    </row>
    <row r="409" spans="2:82">
      <c r="B409" s="7685"/>
      <c r="C409" s="7685"/>
      <c r="D409" s="7685"/>
      <c r="E409" s="7685">
        <f>IF(H408&lt;&gt;"",E408,IF(E408="","",IFERROR(MATCH(TRUE(),INDEX(INDEX($K:$K,E408+1):$K$203&lt;&gt;"",0),0)+E408,"")))</f>
        <v>584</v>
      </c>
      <c r="F409" s="7686">
        <f t="shared" si="167"/>
        <v>0</v>
      </c>
      <c r="G409" s="7686" t="str">
        <f t="shared" si="159"/>
        <v>0</v>
      </c>
      <c r="H409" s="7687" t="str">
        <f t="shared" si="160"/>
        <v/>
      </c>
      <c r="I409" s="7685" t="str">
        <f t="shared" si="161"/>
        <v/>
      </c>
      <c r="M409" s="7622">
        <f t="shared" si="162"/>
        <v>1</v>
      </c>
      <c r="N409" s="7688">
        <f t="shared" si="163"/>
        <v>392</v>
      </c>
      <c r="O409" s="7661" t="str">
        <f t="shared" si="164"/>
        <v>0</v>
      </c>
      <c r="P409" s="7688">
        <f t="shared" si="165"/>
        <v>1</v>
      </c>
      <c r="Q409" s="7688">
        <f t="shared" si="166"/>
        <v>1</v>
      </c>
      <c r="CA409" s="3170" t="s">
        <v>4036</v>
      </c>
      <c r="CB409" s="7634" t="s">
        <v>16255</v>
      </c>
      <c r="CC409" s="3170" t="s">
        <v>17140</v>
      </c>
      <c r="CD409" s="3170" t="s">
        <v>17141</v>
      </c>
    </row>
    <row r="410" spans="2:82">
      <c r="B410" s="7685"/>
      <c r="C410" s="7685"/>
      <c r="D410" s="7685"/>
      <c r="E410" s="7685">
        <f>IF(H409&lt;&gt;"",E409,IF(E409="","",IFERROR(MATCH(TRUE(),INDEX(INDEX($K:$K,E409+1):$K$203&lt;&gt;"",0),0)+E409,"")))</f>
        <v>585</v>
      </c>
      <c r="F410" s="7686">
        <f t="shared" si="167"/>
        <v>0</v>
      </c>
      <c r="G410" s="7686" t="str">
        <f t="shared" si="159"/>
        <v>0</v>
      </c>
      <c r="H410" s="7687" t="str">
        <f t="shared" si="160"/>
        <v/>
      </c>
      <c r="I410" s="7685" t="str">
        <f t="shared" si="161"/>
        <v/>
      </c>
      <c r="M410" s="7622">
        <f t="shared" si="162"/>
        <v>1</v>
      </c>
      <c r="N410" s="7688">
        <f t="shared" si="163"/>
        <v>393</v>
      </c>
      <c r="O410" s="7661" t="str">
        <f t="shared" si="164"/>
        <v>0</v>
      </c>
      <c r="P410" s="7688">
        <f t="shared" si="165"/>
        <v>1</v>
      </c>
      <c r="Q410" s="7688">
        <f t="shared" si="166"/>
        <v>1</v>
      </c>
      <c r="CA410" s="3170" t="s">
        <v>4036</v>
      </c>
      <c r="CB410" s="7634" t="s">
        <v>16255</v>
      </c>
      <c r="CC410" s="3170" t="s">
        <v>17142</v>
      </c>
      <c r="CD410" s="3170" t="s">
        <v>17143</v>
      </c>
    </row>
    <row r="411" spans="2:82">
      <c r="B411" s="7685"/>
      <c r="C411" s="7685"/>
      <c r="D411" s="7685"/>
      <c r="E411" s="7685">
        <f>IF(H410&lt;&gt;"",E410,IF(E410="","",IFERROR(MATCH(TRUE(),INDEX(INDEX($K:$K,E410+1):$K$203&lt;&gt;"",0),0)+E410,"")))</f>
        <v>586</v>
      </c>
      <c r="F411" s="7686">
        <f t="shared" si="167"/>
        <v>0</v>
      </c>
      <c r="G411" s="7686" t="str">
        <f t="shared" si="159"/>
        <v>0</v>
      </c>
      <c r="H411" s="7687" t="str">
        <f t="shared" si="160"/>
        <v/>
      </c>
      <c r="I411" s="7685" t="str">
        <f t="shared" si="161"/>
        <v/>
      </c>
      <c r="M411" s="7622">
        <f t="shared" si="162"/>
        <v>1</v>
      </c>
      <c r="N411" s="7688">
        <f t="shared" si="163"/>
        <v>394</v>
      </c>
      <c r="O411" s="7661" t="str">
        <f t="shared" si="164"/>
        <v>0</v>
      </c>
      <c r="P411" s="7688">
        <f t="shared" si="165"/>
        <v>1</v>
      </c>
      <c r="Q411" s="7688">
        <f t="shared" si="166"/>
        <v>1</v>
      </c>
      <c r="CA411" s="3170" t="s">
        <v>4036</v>
      </c>
      <c r="CB411" s="7634" t="s">
        <v>16255</v>
      </c>
      <c r="CC411" s="3170" t="s">
        <v>17144</v>
      </c>
      <c r="CD411" s="3170" t="s">
        <v>17145</v>
      </c>
    </row>
    <row r="412" spans="2:82">
      <c r="B412" s="7685"/>
      <c r="C412" s="7685"/>
      <c r="D412" s="7685"/>
      <c r="E412" s="7685">
        <f>IF(H411&lt;&gt;"",E411,IF(E411="","",IFERROR(MATCH(TRUE(),INDEX(INDEX($K:$K,E411+1):$K$203&lt;&gt;"",0),0)+E411,"")))</f>
        <v>587</v>
      </c>
      <c r="F412" s="7686">
        <f t="shared" si="167"/>
        <v>0</v>
      </c>
      <c r="G412" s="7686" t="str">
        <f t="shared" si="159"/>
        <v>0</v>
      </c>
      <c r="H412" s="7687" t="str">
        <f t="shared" si="160"/>
        <v/>
      </c>
      <c r="I412" s="7685" t="str">
        <f t="shared" si="161"/>
        <v/>
      </c>
      <c r="M412" s="7622">
        <f t="shared" si="162"/>
        <v>1</v>
      </c>
      <c r="N412" s="7688">
        <f t="shared" si="163"/>
        <v>395</v>
      </c>
      <c r="O412" s="7661" t="str">
        <f t="shared" si="164"/>
        <v>0</v>
      </c>
      <c r="P412" s="7688">
        <f t="shared" si="165"/>
        <v>1</v>
      </c>
      <c r="Q412" s="7688">
        <f t="shared" si="166"/>
        <v>1</v>
      </c>
      <c r="CA412" s="3170" t="s">
        <v>4036</v>
      </c>
      <c r="CB412" s="7634" t="s">
        <v>16255</v>
      </c>
      <c r="CC412" s="3170" t="s">
        <v>17146</v>
      </c>
      <c r="CD412" s="3170" t="s">
        <v>17147</v>
      </c>
    </row>
    <row r="413" spans="2:82">
      <c r="B413" s="7685"/>
      <c r="C413" s="7685"/>
      <c r="D413" s="7685"/>
      <c r="E413" s="7685">
        <f>IF(H412&lt;&gt;"",E412,IF(E412="","",IFERROR(MATCH(TRUE(),INDEX(INDEX($K:$K,E412+1):$K$203&lt;&gt;"",0),0)+E412,"")))</f>
        <v>588</v>
      </c>
      <c r="F413" s="7686">
        <f t="shared" si="167"/>
        <v>0</v>
      </c>
      <c r="G413" s="7686" t="str">
        <f t="shared" si="159"/>
        <v>0</v>
      </c>
      <c r="H413" s="7687" t="str">
        <f t="shared" si="160"/>
        <v/>
      </c>
      <c r="I413" s="7685" t="str">
        <f t="shared" si="161"/>
        <v/>
      </c>
      <c r="M413" s="7622">
        <f t="shared" si="162"/>
        <v>1</v>
      </c>
      <c r="N413" s="7688">
        <f t="shared" si="163"/>
        <v>396</v>
      </c>
      <c r="O413" s="7661" t="str">
        <f t="shared" si="164"/>
        <v>0</v>
      </c>
      <c r="P413" s="7688">
        <f t="shared" si="165"/>
        <v>1</v>
      </c>
      <c r="Q413" s="7688">
        <f t="shared" si="166"/>
        <v>1</v>
      </c>
      <c r="CA413" s="3170" t="s">
        <v>4036</v>
      </c>
      <c r="CB413" s="7634" t="s">
        <v>16255</v>
      </c>
      <c r="CC413" s="3170" t="s">
        <v>17148</v>
      </c>
      <c r="CD413" s="3170" t="s">
        <v>17149</v>
      </c>
    </row>
    <row r="414" spans="2:82">
      <c r="B414" s="7685"/>
      <c r="C414" s="7685"/>
      <c r="D414" s="7685"/>
      <c r="E414" s="7685">
        <f>IF(H413&lt;&gt;"",E413,IF(E413="","",IFERROR(MATCH(TRUE(),INDEX(INDEX($K:$K,E413+1):$K$203&lt;&gt;"",0),0)+E413,"")))</f>
        <v>589</v>
      </c>
      <c r="F414" s="7686">
        <f t="shared" si="167"/>
        <v>0</v>
      </c>
      <c r="G414" s="7686" t="str">
        <f t="shared" si="159"/>
        <v>0</v>
      </c>
      <c r="H414" s="7687" t="str">
        <f t="shared" si="160"/>
        <v/>
      </c>
      <c r="I414" s="7685" t="str">
        <f t="shared" si="161"/>
        <v/>
      </c>
      <c r="M414" s="7622">
        <f t="shared" si="162"/>
        <v>1</v>
      </c>
      <c r="N414" s="7688">
        <f t="shared" si="163"/>
        <v>397</v>
      </c>
      <c r="O414" s="7661" t="str">
        <f t="shared" si="164"/>
        <v>0</v>
      </c>
      <c r="P414" s="7688">
        <f t="shared" si="165"/>
        <v>1</v>
      </c>
      <c r="Q414" s="7688">
        <f t="shared" si="166"/>
        <v>1</v>
      </c>
      <c r="CA414" s="3170" t="s">
        <v>4036</v>
      </c>
      <c r="CB414" s="7634" t="s">
        <v>16255</v>
      </c>
      <c r="CC414" s="3170" t="s">
        <v>17150</v>
      </c>
      <c r="CD414" s="3170" t="s">
        <v>17151</v>
      </c>
    </row>
    <row r="415" spans="2:82">
      <c r="B415" s="7685"/>
      <c r="C415" s="7685"/>
      <c r="D415" s="7685"/>
      <c r="E415" s="7685">
        <f>IF(H414&lt;&gt;"",E414,IF(E414="","",IFERROR(MATCH(TRUE(),INDEX(INDEX($K:$K,E414+1):$K$203&lt;&gt;"",0),0)+E414,"")))</f>
        <v>590</v>
      </c>
      <c r="F415" s="7686">
        <f t="shared" si="167"/>
        <v>0</v>
      </c>
      <c r="G415" s="7686" t="str">
        <f t="shared" si="159"/>
        <v>0</v>
      </c>
      <c r="H415" s="7687" t="str">
        <f t="shared" si="160"/>
        <v/>
      </c>
      <c r="I415" s="7685" t="str">
        <f t="shared" si="161"/>
        <v/>
      </c>
      <c r="M415" s="7622">
        <f t="shared" si="162"/>
        <v>1</v>
      </c>
      <c r="N415" s="7688">
        <f t="shared" si="163"/>
        <v>398</v>
      </c>
      <c r="O415" s="7661" t="str">
        <f t="shared" si="164"/>
        <v>0</v>
      </c>
      <c r="P415" s="7688">
        <f t="shared" si="165"/>
        <v>1</v>
      </c>
      <c r="Q415" s="7688">
        <f t="shared" si="166"/>
        <v>1</v>
      </c>
      <c r="CA415" s="3170" t="s">
        <v>4036</v>
      </c>
      <c r="CB415" s="7634" t="s">
        <v>16255</v>
      </c>
      <c r="CC415" s="3170" t="s">
        <v>15231</v>
      </c>
      <c r="CD415" s="3170" t="s">
        <v>17152</v>
      </c>
    </row>
    <row r="416" spans="2:82">
      <c r="B416" s="7685"/>
      <c r="C416" s="7685"/>
      <c r="D416" s="7685"/>
      <c r="E416" s="7685">
        <f>IF(H415&lt;&gt;"",E415,IF(E415="","",IFERROR(MATCH(TRUE(),INDEX(INDEX($K:$K,E415+1):$K$203&lt;&gt;"",0),0)+E415,"")))</f>
        <v>591</v>
      </c>
      <c r="F416" s="7686">
        <f t="shared" si="167"/>
        <v>0</v>
      </c>
      <c r="G416" s="7686" t="str">
        <f t="shared" si="159"/>
        <v>0</v>
      </c>
      <c r="H416" s="7687" t="str">
        <f t="shared" si="160"/>
        <v/>
      </c>
      <c r="I416" s="7685" t="str">
        <f t="shared" si="161"/>
        <v/>
      </c>
      <c r="M416" s="7622">
        <f t="shared" si="162"/>
        <v>1</v>
      </c>
      <c r="N416" s="7688">
        <f t="shared" si="163"/>
        <v>399</v>
      </c>
      <c r="O416" s="7661" t="str">
        <f t="shared" si="164"/>
        <v>0</v>
      </c>
      <c r="P416" s="7688">
        <f t="shared" si="165"/>
        <v>1</v>
      </c>
      <c r="Q416" s="7688">
        <f t="shared" si="166"/>
        <v>1</v>
      </c>
      <c r="CA416" s="3170" t="s">
        <v>4036</v>
      </c>
      <c r="CB416" s="7634" t="s">
        <v>16255</v>
      </c>
      <c r="CC416" s="3170" t="s">
        <v>17153</v>
      </c>
      <c r="CD416" s="3170" t="s">
        <v>17154</v>
      </c>
    </row>
    <row r="417" spans="2:82">
      <c r="B417" s="7685"/>
      <c r="C417" s="7685"/>
      <c r="D417" s="7685"/>
      <c r="E417" s="7685">
        <f>IF(H416&lt;&gt;"",E416,IF(E416="","",IFERROR(MATCH(TRUE(),INDEX(INDEX($K:$K,E416+1):$K$203&lt;&gt;"",0),0)+E416,"")))</f>
        <v>592</v>
      </c>
      <c r="F417" s="7686">
        <f t="shared" si="167"/>
        <v>0</v>
      </c>
      <c r="G417" s="7686" t="str">
        <f t="shared" si="159"/>
        <v>0</v>
      </c>
      <c r="H417" s="7687" t="str">
        <f t="shared" si="160"/>
        <v/>
      </c>
      <c r="I417" s="7685" t="str">
        <f t="shared" si="161"/>
        <v/>
      </c>
      <c r="M417" s="7622">
        <f t="shared" si="162"/>
        <v>1</v>
      </c>
      <c r="N417" s="7688">
        <f t="shared" si="163"/>
        <v>400</v>
      </c>
      <c r="O417" s="7661" t="str">
        <f t="shared" si="164"/>
        <v>0</v>
      </c>
      <c r="P417" s="7688">
        <f t="shared" si="165"/>
        <v>1</v>
      </c>
      <c r="Q417" s="7688">
        <f t="shared" si="166"/>
        <v>1</v>
      </c>
      <c r="CA417" s="3170" t="s">
        <v>4036</v>
      </c>
      <c r="CB417" s="7634" t="s">
        <v>16255</v>
      </c>
      <c r="CC417" s="3170" t="s">
        <v>17155</v>
      </c>
      <c r="CD417" s="3170" t="s">
        <v>17156</v>
      </c>
    </row>
    <row r="418" spans="2:82">
      <c r="B418" s="7685"/>
      <c r="C418" s="7685"/>
      <c r="D418" s="7685"/>
      <c r="E418" s="7685">
        <f>IF(H417&lt;&gt;"",E417,IF(E417="","",IFERROR(MATCH(TRUE(),INDEX(INDEX($K:$K,E417+1):$K$203&lt;&gt;"",0),0)+E417,"")))</f>
        <v>593</v>
      </c>
      <c r="F418" s="7686">
        <f t="shared" si="167"/>
        <v>0</v>
      </c>
      <c r="G418" s="7686" t="str">
        <f t="shared" si="159"/>
        <v>0</v>
      </c>
      <c r="H418" s="7687" t="str">
        <f t="shared" si="160"/>
        <v/>
      </c>
      <c r="I418" s="7685" t="str">
        <f t="shared" si="161"/>
        <v/>
      </c>
      <c r="M418" s="7622">
        <f t="shared" si="162"/>
        <v>1</v>
      </c>
      <c r="N418" s="7688">
        <f t="shared" si="163"/>
        <v>401</v>
      </c>
      <c r="O418" s="7661" t="str">
        <f t="shared" si="164"/>
        <v>0</v>
      </c>
      <c r="P418" s="7688">
        <f t="shared" si="165"/>
        <v>1</v>
      </c>
      <c r="Q418" s="7688">
        <f t="shared" si="166"/>
        <v>1</v>
      </c>
      <c r="CA418" s="3170" t="s">
        <v>17157</v>
      </c>
      <c r="CB418" s="7634" t="s">
        <v>16255</v>
      </c>
      <c r="CC418" s="3170" t="s">
        <v>17158</v>
      </c>
      <c r="CD418" s="3170" t="s">
        <v>17159</v>
      </c>
    </row>
    <row r="419" spans="2:82">
      <c r="B419" s="7685"/>
      <c r="C419" s="7685"/>
      <c r="D419" s="7685"/>
      <c r="E419" s="7685">
        <f>IF(H418&lt;&gt;"",E418,IF(E418="","",IFERROR(MATCH(TRUE(),INDEX(INDEX($K:$K,E418+1):$K$203&lt;&gt;"",0),0)+E418,"")))</f>
        <v>594</v>
      </c>
      <c r="F419" s="7686">
        <f t="shared" si="167"/>
        <v>0</v>
      </c>
      <c r="G419" s="7686" t="str">
        <f t="shared" si="159"/>
        <v>0</v>
      </c>
      <c r="H419" s="7687" t="str">
        <f t="shared" si="160"/>
        <v/>
      </c>
      <c r="I419" s="7685" t="str">
        <f t="shared" si="161"/>
        <v/>
      </c>
      <c r="M419" s="7622">
        <f t="shared" si="162"/>
        <v>1</v>
      </c>
      <c r="N419" s="7688">
        <f t="shared" si="163"/>
        <v>402</v>
      </c>
      <c r="O419" s="7661" t="str">
        <f t="shared" si="164"/>
        <v>0</v>
      </c>
      <c r="P419" s="7688">
        <f t="shared" si="165"/>
        <v>1</v>
      </c>
      <c r="Q419" s="7688">
        <f t="shared" si="166"/>
        <v>1</v>
      </c>
      <c r="CA419" s="3170" t="s">
        <v>17157</v>
      </c>
      <c r="CB419" s="7634" t="s">
        <v>16255</v>
      </c>
      <c r="CC419" s="3170" t="s">
        <v>17160</v>
      </c>
      <c r="CD419" s="3170" t="s">
        <v>17161</v>
      </c>
    </row>
    <row r="420" spans="2:82">
      <c r="B420" s="7685"/>
      <c r="C420" s="7685"/>
      <c r="D420" s="7685"/>
      <c r="E420" s="7685">
        <f>IF(H419&lt;&gt;"",E419,IF(E419="","",IFERROR(MATCH(TRUE(),INDEX(INDEX($K:$K,E419+1):$K$203&lt;&gt;"",0),0)+E419,"")))</f>
        <v>595</v>
      </c>
      <c r="F420" s="7686">
        <f t="shared" si="167"/>
        <v>0</v>
      </c>
      <c r="G420" s="7686" t="str">
        <f t="shared" si="159"/>
        <v>0</v>
      </c>
      <c r="H420" s="7687" t="str">
        <f t="shared" si="160"/>
        <v/>
      </c>
      <c r="I420" s="7685" t="str">
        <f t="shared" si="161"/>
        <v/>
      </c>
      <c r="M420" s="7622">
        <f t="shared" si="162"/>
        <v>1</v>
      </c>
      <c r="N420" s="7688">
        <f t="shared" si="163"/>
        <v>403</v>
      </c>
      <c r="O420" s="7661" t="str">
        <f t="shared" si="164"/>
        <v>0</v>
      </c>
      <c r="P420" s="7688">
        <f t="shared" si="165"/>
        <v>1</v>
      </c>
      <c r="Q420" s="7688">
        <f t="shared" si="166"/>
        <v>1</v>
      </c>
      <c r="CA420" s="3170" t="s">
        <v>17157</v>
      </c>
      <c r="CB420" s="7634" t="s">
        <v>16255</v>
      </c>
      <c r="CC420" s="3170" t="s">
        <v>17162</v>
      </c>
      <c r="CD420" s="3170" t="s">
        <v>17163</v>
      </c>
    </row>
    <row r="421" spans="2:82">
      <c r="B421" s="7685"/>
      <c r="C421" s="7685"/>
      <c r="D421" s="7685"/>
      <c r="E421" s="7685">
        <f>IF(H420&lt;&gt;"",E420,IF(E420="","",IFERROR(MATCH(TRUE(),INDEX(INDEX($K:$K,E420+1):$K$203&lt;&gt;"",0),0)+E420,"")))</f>
        <v>596</v>
      </c>
      <c r="F421" s="7686">
        <f t="shared" si="167"/>
        <v>0</v>
      </c>
      <c r="G421" s="7686" t="str">
        <f t="shared" si="159"/>
        <v>0</v>
      </c>
      <c r="H421" s="7687" t="str">
        <f t="shared" si="160"/>
        <v/>
      </c>
      <c r="I421" s="7685" t="str">
        <f t="shared" si="161"/>
        <v/>
      </c>
      <c r="M421" s="7622">
        <f t="shared" si="162"/>
        <v>1</v>
      </c>
      <c r="N421" s="7688">
        <f t="shared" si="163"/>
        <v>404</v>
      </c>
      <c r="O421" s="7661" t="str">
        <f t="shared" si="164"/>
        <v>0</v>
      </c>
      <c r="P421" s="7688">
        <f t="shared" si="165"/>
        <v>1</v>
      </c>
      <c r="Q421" s="7688">
        <f t="shared" si="166"/>
        <v>1</v>
      </c>
      <c r="CA421" s="3170" t="s">
        <v>17157</v>
      </c>
      <c r="CB421" s="7634" t="s">
        <v>16255</v>
      </c>
      <c r="CC421" s="3170" t="s">
        <v>17164</v>
      </c>
      <c r="CD421" s="3170" t="s">
        <v>17165</v>
      </c>
    </row>
    <row r="422" spans="2:82">
      <c r="B422" s="7685"/>
      <c r="C422" s="7685"/>
      <c r="D422" s="7685"/>
      <c r="E422" s="7685">
        <f>IF(H421&lt;&gt;"",E421,IF(E421="","",IFERROR(MATCH(TRUE(),INDEX(INDEX($K:$K,E421+1):$K$203&lt;&gt;"",0),0)+E421,"")))</f>
        <v>597</v>
      </c>
      <c r="F422" s="7686">
        <f t="shared" si="167"/>
        <v>0</v>
      </c>
      <c r="G422" s="7686" t="str">
        <f t="shared" si="159"/>
        <v>0</v>
      </c>
      <c r="H422" s="7687" t="str">
        <f t="shared" si="160"/>
        <v/>
      </c>
      <c r="I422" s="7685" t="str">
        <f t="shared" si="161"/>
        <v/>
      </c>
      <c r="M422" s="7622">
        <f t="shared" si="162"/>
        <v>1</v>
      </c>
      <c r="N422" s="7688">
        <f t="shared" si="163"/>
        <v>405</v>
      </c>
      <c r="O422" s="7661" t="str">
        <f t="shared" si="164"/>
        <v>0</v>
      </c>
      <c r="P422" s="7688">
        <f t="shared" si="165"/>
        <v>1</v>
      </c>
      <c r="Q422" s="7688">
        <f t="shared" si="166"/>
        <v>1</v>
      </c>
      <c r="CA422" s="3170" t="s">
        <v>17157</v>
      </c>
      <c r="CB422" s="7634" t="s">
        <v>16255</v>
      </c>
      <c r="CC422" s="3170" t="s">
        <v>17166</v>
      </c>
      <c r="CD422" s="3170" t="s">
        <v>17167</v>
      </c>
    </row>
    <row r="423" spans="2:82">
      <c r="B423" s="7685"/>
      <c r="C423" s="7685"/>
      <c r="D423" s="7685"/>
      <c r="E423" s="7685">
        <f>IF(H422&lt;&gt;"",E422,IF(E422="","",IFERROR(MATCH(TRUE(),INDEX(INDEX($K:$K,E422+1):$K$203&lt;&gt;"",0),0)+E422,"")))</f>
        <v>598</v>
      </c>
      <c r="F423" s="7686">
        <f t="shared" si="167"/>
        <v>0</v>
      </c>
      <c r="G423" s="7686" t="str">
        <f t="shared" si="159"/>
        <v>0</v>
      </c>
      <c r="H423" s="7687" t="str">
        <f t="shared" si="160"/>
        <v/>
      </c>
      <c r="I423" s="7685" t="str">
        <f t="shared" si="161"/>
        <v/>
      </c>
      <c r="M423" s="7622">
        <f t="shared" si="162"/>
        <v>1</v>
      </c>
      <c r="N423" s="7688">
        <f t="shared" si="163"/>
        <v>406</v>
      </c>
      <c r="O423" s="7661" t="str">
        <f t="shared" si="164"/>
        <v>0</v>
      </c>
      <c r="P423" s="7688">
        <f t="shared" si="165"/>
        <v>1</v>
      </c>
      <c r="Q423" s="7688">
        <f t="shared" si="166"/>
        <v>1</v>
      </c>
      <c r="CA423" s="3170" t="s">
        <v>17157</v>
      </c>
      <c r="CB423" s="7634" t="s">
        <v>16255</v>
      </c>
      <c r="CC423" s="3170" t="s">
        <v>17168</v>
      </c>
      <c r="CD423" s="3170" t="s">
        <v>17169</v>
      </c>
    </row>
    <row r="424" spans="2:82">
      <c r="B424" s="7685"/>
      <c r="C424" s="7685"/>
      <c r="D424" s="7685"/>
      <c r="E424" s="7685">
        <f>IF(H423&lt;&gt;"",E423,IF(E423="","",IFERROR(MATCH(TRUE(),INDEX(INDEX($K:$K,E423+1):$K$203&lt;&gt;"",0),0)+E423,"")))</f>
        <v>599</v>
      </c>
      <c r="F424" s="7686">
        <f t="shared" si="167"/>
        <v>0</v>
      </c>
      <c r="G424" s="7686" t="str">
        <f t="shared" si="159"/>
        <v>0</v>
      </c>
      <c r="H424" s="7687" t="str">
        <f t="shared" si="160"/>
        <v/>
      </c>
      <c r="I424" s="7685" t="str">
        <f t="shared" si="161"/>
        <v/>
      </c>
      <c r="M424" s="7622">
        <f t="shared" si="162"/>
        <v>1</v>
      </c>
      <c r="N424" s="7688">
        <f t="shared" si="163"/>
        <v>407</v>
      </c>
      <c r="O424" s="7661" t="str">
        <f t="shared" si="164"/>
        <v>0</v>
      </c>
      <c r="P424" s="7688">
        <f t="shared" si="165"/>
        <v>1</v>
      </c>
      <c r="Q424" s="7688">
        <f t="shared" si="166"/>
        <v>1</v>
      </c>
      <c r="CA424" s="3170" t="s">
        <v>17157</v>
      </c>
      <c r="CB424" s="7634" t="s">
        <v>16255</v>
      </c>
      <c r="CC424" s="3170" t="s">
        <v>17170</v>
      </c>
      <c r="CD424" s="3170" t="s">
        <v>17171</v>
      </c>
    </row>
    <row r="425" spans="2:82">
      <c r="B425" s="7685"/>
      <c r="C425" s="7685"/>
      <c r="D425" s="7685"/>
      <c r="E425" s="7685">
        <f>IF(H424&lt;&gt;"",E424,IF(E424="","",IFERROR(MATCH(TRUE(),INDEX(INDEX($K:$K,E424+1):$K$203&lt;&gt;"",0),0)+E424,"")))</f>
        <v>600</v>
      </c>
      <c r="F425" s="7686">
        <f t="shared" si="167"/>
        <v>0</v>
      </c>
      <c r="G425" s="7686" t="str">
        <f t="shared" si="159"/>
        <v>0</v>
      </c>
      <c r="H425" s="7687" t="str">
        <f t="shared" si="160"/>
        <v/>
      </c>
      <c r="I425" s="7685" t="str">
        <f t="shared" si="161"/>
        <v/>
      </c>
      <c r="M425" s="7622">
        <f t="shared" si="162"/>
        <v>1</v>
      </c>
      <c r="N425" s="7688">
        <f t="shared" si="163"/>
        <v>408</v>
      </c>
      <c r="O425" s="7661" t="str">
        <f t="shared" si="164"/>
        <v>0</v>
      </c>
      <c r="P425" s="7688">
        <f t="shared" si="165"/>
        <v>1</v>
      </c>
      <c r="Q425" s="7688">
        <f t="shared" si="166"/>
        <v>1</v>
      </c>
      <c r="CA425" s="3170" t="s">
        <v>17157</v>
      </c>
      <c r="CB425" s="7634" t="s">
        <v>16255</v>
      </c>
      <c r="CC425" s="3170" t="s">
        <v>17172</v>
      </c>
      <c r="CD425" s="3170" t="s">
        <v>17173</v>
      </c>
    </row>
    <row r="426" spans="2:82">
      <c r="B426" s="7685"/>
      <c r="C426" s="7685"/>
      <c r="D426" s="7685"/>
      <c r="E426" s="7685">
        <f>IF(H425&lt;&gt;"",E425,IF(E425="","",IFERROR(MATCH(TRUE(),INDEX(INDEX($K:$K,E425+1):$K$203&lt;&gt;"",0),0)+E425,"")))</f>
        <v>601</v>
      </c>
      <c r="F426" s="7686">
        <f t="shared" si="167"/>
        <v>0</v>
      </c>
      <c r="G426" s="7686" t="str">
        <f t="shared" si="159"/>
        <v>0</v>
      </c>
      <c r="H426" s="7687" t="str">
        <f t="shared" si="160"/>
        <v/>
      </c>
      <c r="I426" s="7685" t="str">
        <f t="shared" si="161"/>
        <v/>
      </c>
      <c r="M426" s="7622">
        <f t="shared" si="162"/>
        <v>1</v>
      </c>
      <c r="N426" s="7688">
        <f t="shared" si="163"/>
        <v>409</v>
      </c>
      <c r="O426" s="7661" t="str">
        <f t="shared" si="164"/>
        <v>0</v>
      </c>
      <c r="P426" s="7688">
        <f t="shared" si="165"/>
        <v>1</v>
      </c>
      <c r="Q426" s="7688">
        <f t="shared" si="166"/>
        <v>1</v>
      </c>
      <c r="CA426" s="3170" t="s">
        <v>17157</v>
      </c>
      <c r="CB426" s="7634" t="s">
        <v>16255</v>
      </c>
      <c r="CC426" s="3170" t="s">
        <v>17174</v>
      </c>
      <c r="CD426" s="3170" t="s">
        <v>17175</v>
      </c>
    </row>
    <row r="427" spans="2:82">
      <c r="B427" s="7685"/>
      <c r="C427" s="7685"/>
      <c r="D427" s="7685"/>
      <c r="E427" s="7685">
        <f>IF(H426&lt;&gt;"",E426,IF(E426="","",IFERROR(MATCH(TRUE(),INDEX(INDEX($K:$K,E426+1):$K$203&lt;&gt;"",0),0)+E426,"")))</f>
        <v>602</v>
      </c>
      <c r="F427" s="7686">
        <f t="shared" si="167"/>
        <v>0</v>
      </c>
      <c r="G427" s="7686" t="str">
        <f t="shared" si="159"/>
        <v>0</v>
      </c>
      <c r="H427" s="7687" t="str">
        <f t="shared" si="160"/>
        <v/>
      </c>
      <c r="I427" s="7685" t="str">
        <f t="shared" si="161"/>
        <v/>
      </c>
      <c r="M427" s="7622">
        <f t="shared" si="162"/>
        <v>1</v>
      </c>
      <c r="N427" s="7688">
        <f t="shared" si="163"/>
        <v>410</v>
      </c>
      <c r="O427" s="7661" t="str">
        <f t="shared" si="164"/>
        <v>0</v>
      </c>
      <c r="P427" s="7688">
        <f t="shared" si="165"/>
        <v>1</v>
      </c>
      <c r="Q427" s="7688">
        <f t="shared" si="166"/>
        <v>1</v>
      </c>
      <c r="CA427" s="3170" t="s">
        <v>17157</v>
      </c>
      <c r="CB427" s="7634" t="s">
        <v>16255</v>
      </c>
      <c r="CC427" s="3170" t="s">
        <v>17176</v>
      </c>
      <c r="CD427" s="3170" t="s">
        <v>17177</v>
      </c>
    </row>
    <row r="428" spans="2:82">
      <c r="B428" s="7685"/>
      <c r="C428" s="7685"/>
      <c r="D428" s="7685"/>
      <c r="E428" s="7685">
        <f>IF(H427&lt;&gt;"",E427,IF(E427="","",IFERROR(MATCH(TRUE(),INDEX(INDEX($K:$K,E427+1):$K$203&lt;&gt;"",0),0)+E427,"")))</f>
        <v>603</v>
      </c>
      <c r="F428" s="7686">
        <f t="shared" si="167"/>
        <v>0</v>
      </c>
      <c r="G428" s="7686" t="str">
        <f t="shared" si="159"/>
        <v>0</v>
      </c>
      <c r="H428" s="7687" t="str">
        <f t="shared" si="160"/>
        <v/>
      </c>
      <c r="I428" s="7685" t="str">
        <f t="shared" si="161"/>
        <v/>
      </c>
      <c r="M428" s="7622">
        <f t="shared" si="162"/>
        <v>1</v>
      </c>
      <c r="N428" s="7688">
        <f t="shared" si="163"/>
        <v>411</v>
      </c>
      <c r="O428" s="7661" t="str">
        <f t="shared" si="164"/>
        <v>0</v>
      </c>
      <c r="P428" s="7688">
        <f t="shared" si="165"/>
        <v>1</v>
      </c>
      <c r="Q428" s="7688">
        <f t="shared" si="166"/>
        <v>1</v>
      </c>
      <c r="CA428" s="3170" t="s">
        <v>17157</v>
      </c>
      <c r="CB428" s="7634" t="s">
        <v>16255</v>
      </c>
      <c r="CC428" s="3170" t="s">
        <v>17178</v>
      </c>
      <c r="CD428" s="3170" t="s">
        <v>17179</v>
      </c>
    </row>
    <row r="429" spans="2:82">
      <c r="B429" s="7685"/>
      <c r="C429" s="7685"/>
      <c r="D429" s="7685"/>
      <c r="E429" s="7685">
        <f>IF(H428&lt;&gt;"",E428,IF(E428="","",IFERROR(MATCH(TRUE(),INDEX(INDEX($K:$K,E428+1):$K$203&lt;&gt;"",0),0)+E428,"")))</f>
        <v>604</v>
      </c>
      <c r="F429" s="7686">
        <f t="shared" si="167"/>
        <v>0</v>
      </c>
      <c r="G429" s="7686" t="str">
        <f t="shared" si="159"/>
        <v>0</v>
      </c>
      <c r="H429" s="7687" t="str">
        <f t="shared" si="160"/>
        <v/>
      </c>
      <c r="I429" s="7685" t="str">
        <f t="shared" si="161"/>
        <v/>
      </c>
      <c r="M429" s="7622">
        <f t="shared" si="162"/>
        <v>1</v>
      </c>
      <c r="N429" s="7688">
        <f t="shared" si="163"/>
        <v>412</v>
      </c>
      <c r="O429" s="7661" t="str">
        <f t="shared" si="164"/>
        <v>0</v>
      </c>
      <c r="P429" s="7688">
        <f t="shared" si="165"/>
        <v>1</v>
      </c>
      <c r="Q429" s="7688">
        <f t="shared" si="166"/>
        <v>1</v>
      </c>
      <c r="CA429" s="3170" t="s">
        <v>17157</v>
      </c>
      <c r="CB429" s="7634" t="s">
        <v>16255</v>
      </c>
      <c r="CC429" s="3170" t="s">
        <v>17180</v>
      </c>
      <c r="CD429" s="3170" t="s">
        <v>17181</v>
      </c>
    </row>
    <row r="430" spans="2:82">
      <c r="B430" s="7685"/>
      <c r="C430" s="7685"/>
      <c r="D430" s="7685"/>
      <c r="E430" s="7685">
        <f>IF(H429&lt;&gt;"",E429,IF(E429="","",IFERROR(MATCH(TRUE(),INDEX(INDEX($K:$K,E429+1):$K$203&lt;&gt;"",0),0)+E429,"")))</f>
        <v>605</v>
      </c>
      <c r="F430" s="7686">
        <f t="shared" si="167"/>
        <v>0</v>
      </c>
      <c r="G430" s="7686" t="str">
        <f t="shared" si="159"/>
        <v>0</v>
      </c>
      <c r="H430" s="7687" t="str">
        <f t="shared" si="160"/>
        <v/>
      </c>
      <c r="I430" s="7685" t="str">
        <f t="shared" si="161"/>
        <v/>
      </c>
      <c r="M430" s="7622">
        <f t="shared" si="162"/>
        <v>1</v>
      </c>
      <c r="N430" s="7688">
        <f t="shared" si="163"/>
        <v>413</v>
      </c>
      <c r="O430" s="7661" t="str">
        <f t="shared" si="164"/>
        <v>0</v>
      </c>
      <c r="P430" s="7688">
        <f t="shared" si="165"/>
        <v>1</v>
      </c>
      <c r="Q430" s="7688">
        <f t="shared" si="166"/>
        <v>1</v>
      </c>
      <c r="CA430" s="3170" t="s">
        <v>17182</v>
      </c>
      <c r="CB430" s="7634" t="s">
        <v>16255</v>
      </c>
      <c r="CC430" s="3170" t="s">
        <v>17183</v>
      </c>
      <c r="CD430" s="3170" t="s">
        <v>17184</v>
      </c>
    </row>
    <row r="431" spans="2:82">
      <c r="B431" s="7685"/>
      <c r="C431" s="7685"/>
      <c r="D431" s="7685"/>
      <c r="E431" s="7685">
        <f>IF(H430&lt;&gt;"",E430,IF(E430="","",IFERROR(MATCH(TRUE(),INDEX(INDEX($K:$K,E430+1):$K$203&lt;&gt;"",0),0)+E430,"")))</f>
        <v>606</v>
      </c>
      <c r="F431" s="7686">
        <f t="shared" si="167"/>
        <v>0</v>
      </c>
      <c r="G431" s="7686" t="str">
        <f t="shared" si="159"/>
        <v>0</v>
      </c>
      <c r="H431" s="7687" t="str">
        <f t="shared" si="160"/>
        <v/>
      </c>
      <c r="I431" s="7685" t="str">
        <f t="shared" si="161"/>
        <v/>
      </c>
      <c r="M431" s="7622">
        <f t="shared" si="162"/>
        <v>1</v>
      </c>
      <c r="N431" s="7688">
        <f t="shared" si="163"/>
        <v>414</v>
      </c>
      <c r="O431" s="7661" t="str">
        <f t="shared" si="164"/>
        <v>0</v>
      </c>
      <c r="P431" s="7688">
        <f t="shared" si="165"/>
        <v>1</v>
      </c>
      <c r="Q431" s="7688">
        <f t="shared" si="166"/>
        <v>1</v>
      </c>
      <c r="CA431" s="3170" t="s">
        <v>17182</v>
      </c>
      <c r="CB431" s="7634" t="s">
        <v>16255</v>
      </c>
      <c r="CC431" s="3170" t="s">
        <v>17185</v>
      </c>
      <c r="CD431" s="3170" t="s">
        <v>17186</v>
      </c>
    </row>
    <row r="432" spans="2:82">
      <c r="B432" s="7685"/>
      <c r="C432" s="7685"/>
      <c r="D432" s="7685"/>
      <c r="E432" s="7685">
        <f>IF(H431&lt;&gt;"",E431,IF(E431="","",IFERROR(MATCH(TRUE(),INDEX(INDEX($K:$K,E431+1):$K$203&lt;&gt;"",0),0)+E431,"")))</f>
        <v>607</v>
      </c>
      <c r="F432" s="7686">
        <f t="shared" si="167"/>
        <v>0</v>
      </c>
      <c r="G432" s="7686" t="str">
        <f t="shared" si="159"/>
        <v>0</v>
      </c>
      <c r="H432" s="7687" t="str">
        <f t="shared" si="160"/>
        <v/>
      </c>
      <c r="I432" s="7685" t="str">
        <f t="shared" si="161"/>
        <v/>
      </c>
      <c r="M432" s="7622">
        <f t="shared" si="162"/>
        <v>1</v>
      </c>
      <c r="N432" s="7688">
        <f t="shared" si="163"/>
        <v>415</v>
      </c>
      <c r="O432" s="7661" t="str">
        <f t="shared" si="164"/>
        <v>0</v>
      </c>
      <c r="P432" s="7688">
        <f t="shared" si="165"/>
        <v>1</v>
      </c>
      <c r="Q432" s="7688">
        <f t="shared" si="166"/>
        <v>1</v>
      </c>
      <c r="CA432" s="3170" t="s">
        <v>17182</v>
      </c>
      <c r="CB432" s="7634" t="s">
        <v>16255</v>
      </c>
      <c r="CC432" s="3170" t="s">
        <v>17187</v>
      </c>
      <c r="CD432" s="3170" t="s">
        <v>17188</v>
      </c>
    </row>
    <row r="433" spans="2:82">
      <c r="B433" s="7685"/>
      <c r="C433" s="7685"/>
      <c r="D433" s="7685"/>
      <c r="E433" s="7685">
        <f>IF(H432&lt;&gt;"",E432,IF(E432="","",IFERROR(MATCH(TRUE(),INDEX(INDEX($K:$K,E432+1):$K$203&lt;&gt;"",0),0)+E432,"")))</f>
        <v>608</v>
      </c>
      <c r="F433" s="7686">
        <f t="shared" si="167"/>
        <v>0</v>
      </c>
      <c r="G433" s="7686" t="str">
        <f t="shared" si="159"/>
        <v>0</v>
      </c>
      <c r="H433" s="7687" t="str">
        <f t="shared" si="160"/>
        <v/>
      </c>
      <c r="I433" s="7685" t="str">
        <f t="shared" si="161"/>
        <v/>
      </c>
      <c r="M433" s="7622">
        <f t="shared" si="162"/>
        <v>1</v>
      </c>
      <c r="N433" s="7688">
        <f t="shared" si="163"/>
        <v>416</v>
      </c>
      <c r="O433" s="7661" t="str">
        <f t="shared" si="164"/>
        <v>0</v>
      </c>
      <c r="P433" s="7688">
        <f t="shared" si="165"/>
        <v>1</v>
      </c>
      <c r="Q433" s="7688">
        <f t="shared" si="166"/>
        <v>1</v>
      </c>
      <c r="CA433" s="3170" t="s">
        <v>17182</v>
      </c>
      <c r="CB433" s="7634" t="s">
        <v>16255</v>
      </c>
      <c r="CC433" s="3170" t="s">
        <v>17189</v>
      </c>
      <c r="CD433" s="3170" t="s">
        <v>17190</v>
      </c>
    </row>
    <row r="434" spans="2:82">
      <c r="B434" s="7685"/>
      <c r="C434" s="7685"/>
      <c r="D434" s="7685"/>
      <c r="E434" s="7685">
        <f>IF(H433&lt;&gt;"",E433,IF(E433="","",IFERROR(MATCH(TRUE(),INDEX(INDEX($K:$K,E433+1):$K$203&lt;&gt;"",0),0)+E433,"")))</f>
        <v>609</v>
      </c>
      <c r="F434" s="7686">
        <f t="shared" si="167"/>
        <v>0</v>
      </c>
      <c r="G434" s="7686" t="str">
        <f t="shared" si="159"/>
        <v>0</v>
      </c>
      <c r="H434" s="7687" t="str">
        <f t="shared" si="160"/>
        <v/>
      </c>
      <c r="I434" s="7685" t="str">
        <f t="shared" si="161"/>
        <v/>
      </c>
      <c r="M434" s="7622">
        <f t="shared" si="162"/>
        <v>1</v>
      </c>
      <c r="N434" s="7688">
        <f t="shared" si="163"/>
        <v>417</v>
      </c>
      <c r="O434" s="7661" t="str">
        <f t="shared" si="164"/>
        <v>0</v>
      </c>
      <c r="P434" s="7688">
        <f t="shared" si="165"/>
        <v>1</v>
      </c>
      <c r="Q434" s="7688">
        <f t="shared" si="166"/>
        <v>1</v>
      </c>
      <c r="CA434" s="3170" t="s">
        <v>17182</v>
      </c>
      <c r="CB434" s="7634" t="s">
        <v>16255</v>
      </c>
      <c r="CC434" s="3170" t="s">
        <v>17191</v>
      </c>
      <c r="CD434" s="3170" t="s">
        <v>17192</v>
      </c>
    </row>
    <row r="435" spans="2:82">
      <c r="B435" s="7685"/>
      <c r="C435" s="7685"/>
      <c r="D435" s="7685"/>
      <c r="E435" s="7685">
        <f>IF(H434&lt;&gt;"",E434,IF(E434="","",IFERROR(MATCH(TRUE(),INDEX(INDEX($K:$K,E434+1):$K$203&lt;&gt;"",0),0)+E434,"")))</f>
        <v>610</v>
      </c>
      <c r="F435" s="7686">
        <f t="shared" si="167"/>
        <v>0</v>
      </c>
      <c r="G435" s="7686" t="str">
        <f t="shared" si="159"/>
        <v>0</v>
      </c>
      <c r="H435" s="7687" t="str">
        <f t="shared" si="160"/>
        <v/>
      </c>
      <c r="I435" s="7685" t="str">
        <f t="shared" si="161"/>
        <v/>
      </c>
      <c r="M435" s="7622">
        <f t="shared" si="162"/>
        <v>1</v>
      </c>
      <c r="N435" s="7688">
        <f t="shared" si="163"/>
        <v>418</v>
      </c>
      <c r="O435" s="7661" t="str">
        <f t="shared" si="164"/>
        <v>0</v>
      </c>
      <c r="P435" s="7688">
        <f t="shared" si="165"/>
        <v>1</v>
      </c>
      <c r="Q435" s="7688">
        <f t="shared" si="166"/>
        <v>1</v>
      </c>
      <c r="CA435" s="3170" t="s">
        <v>17182</v>
      </c>
      <c r="CB435" s="7634" t="s">
        <v>16255</v>
      </c>
      <c r="CC435" s="3170" t="s">
        <v>17193</v>
      </c>
      <c r="CD435" s="3170" t="s">
        <v>17194</v>
      </c>
    </row>
    <row r="436" spans="2:82">
      <c r="B436" s="7685"/>
      <c r="C436" s="7685"/>
      <c r="D436" s="7685"/>
      <c r="E436" s="7685">
        <f>IF(H435&lt;&gt;"",E435,IF(E435="","",IFERROR(MATCH(TRUE(),INDEX(INDEX($K:$K,E435+1):$K$203&lt;&gt;"",0),0)+E435,"")))</f>
        <v>611</v>
      </c>
      <c r="F436" s="7686">
        <f t="shared" si="167"/>
        <v>0</v>
      </c>
      <c r="G436" s="7686" t="str">
        <f t="shared" si="159"/>
        <v>0</v>
      </c>
      <c r="H436" s="7687" t="str">
        <f t="shared" si="160"/>
        <v/>
      </c>
      <c r="I436" s="7685" t="str">
        <f t="shared" si="161"/>
        <v/>
      </c>
      <c r="M436" s="7622">
        <f t="shared" si="162"/>
        <v>1</v>
      </c>
      <c r="N436" s="7688">
        <f t="shared" si="163"/>
        <v>419</v>
      </c>
      <c r="O436" s="7661" t="str">
        <f t="shared" si="164"/>
        <v>0</v>
      </c>
      <c r="P436" s="7688">
        <f t="shared" si="165"/>
        <v>1</v>
      </c>
      <c r="Q436" s="7688">
        <f t="shared" si="166"/>
        <v>1</v>
      </c>
      <c r="CA436" s="3170" t="s">
        <v>17182</v>
      </c>
      <c r="CB436" s="7634" t="s">
        <v>16255</v>
      </c>
      <c r="CC436" s="3170" t="s">
        <v>17195</v>
      </c>
      <c r="CD436" s="3170" t="s">
        <v>17196</v>
      </c>
    </row>
    <row r="437" spans="2:82">
      <c r="B437" s="7685"/>
      <c r="C437" s="7685"/>
      <c r="D437" s="7685"/>
      <c r="E437" s="7685">
        <f>IF(H436&lt;&gt;"",E436,IF(E436="","",IFERROR(MATCH(TRUE(),INDEX(INDEX($K:$K,E436+1):$K$203&lt;&gt;"",0),0)+E436,"")))</f>
        <v>612</v>
      </c>
      <c r="F437" s="7686">
        <f t="shared" si="167"/>
        <v>0</v>
      </c>
      <c r="G437" s="7686" t="str">
        <f t="shared" si="159"/>
        <v>0</v>
      </c>
      <c r="H437" s="7687" t="str">
        <f t="shared" si="160"/>
        <v/>
      </c>
      <c r="I437" s="7685" t="str">
        <f t="shared" si="161"/>
        <v/>
      </c>
      <c r="M437" s="7622">
        <f t="shared" si="162"/>
        <v>1</v>
      </c>
      <c r="N437" s="7688">
        <f t="shared" si="163"/>
        <v>420</v>
      </c>
      <c r="O437" s="7661" t="str">
        <f t="shared" si="164"/>
        <v>0</v>
      </c>
      <c r="P437" s="7688">
        <f t="shared" si="165"/>
        <v>1</v>
      </c>
      <c r="Q437" s="7688">
        <f t="shared" si="166"/>
        <v>1</v>
      </c>
      <c r="CA437" s="3170" t="s">
        <v>17182</v>
      </c>
      <c r="CB437" s="7634" t="s">
        <v>16255</v>
      </c>
      <c r="CC437" s="3170" t="s">
        <v>17197</v>
      </c>
      <c r="CD437" s="3170" t="s">
        <v>17198</v>
      </c>
    </row>
    <row r="438" spans="2:82">
      <c r="B438" s="7685"/>
      <c r="C438" s="7685"/>
      <c r="D438" s="7685"/>
      <c r="E438" s="7685">
        <f>IF(H437&lt;&gt;"",E437,IF(E437="","",IFERROR(MATCH(TRUE(),INDEX(INDEX($K:$K,E437+1):$K$203&lt;&gt;"",0),0)+E437,"")))</f>
        <v>613</v>
      </c>
      <c r="F438" s="7686">
        <f t="shared" si="167"/>
        <v>0</v>
      </c>
      <c r="G438" s="7686" t="str">
        <f t="shared" si="159"/>
        <v>0</v>
      </c>
      <c r="H438" s="7687" t="str">
        <f t="shared" si="160"/>
        <v/>
      </c>
      <c r="I438" s="7685" t="str">
        <f t="shared" si="161"/>
        <v/>
      </c>
      <c r="M438" s="7622">
        <f t="shared" si="162"/>
        <v>1</v>
      </c>
      <c r="N438" s="7688">
        <f t="shared" si="163"/>
        <v>421</v>
      </c>
      <c r="O438" s="7661" t="str">
        <f t="shared" si="164"/>
        <v>0</v>
      </c>
      <c r="P438" s="7688">
        <f t="shared" si="165"/>
        <v>1</v>
      </c>
      <c r="Q438" s="7688">
        <f t="shared" si="166"/>
        <v>1</v>
      </c>
      <c r="CA438" s="3170" t="s">
        <v>17182</v>
      </c>
      <c r="CB438" s="7634" t="s">
        <v>16255</v>
      </c>
      <c r="CC438" s="3170" t="s">
        <v>17199</v>
      </c>
      <c r="CD438" s="3170" t="s">
        <v>17200</v>
      </c>
    </row>
    <row r="439" spans="2:82">
      <c r="B439" s="7685"/>
      <c r="C439" s="7685"/>
      <c r="D439" s="7685"/>
      <c r="E439" s="7685">
        <f>IF(H438&lt;&gt;"",E438,IF(E438="","",IFERROR(MATCH(TRUE(),INDEX(INDEX($K:$K,E438+1):$K$203&lt;&gt;"",0),0)+E438,"")))</f>
        <v>614</v>
      </c>
      <c r="F439" s="7686">
        <f t="shared" si="167"/>
        <v>0</v>
      </c>
      <c r="G439" s="7686" t="str">
        <f t="shared" si="159"/>
        <v>0</v>
      </c>
      <c r="H439" s="7687" t="str">
        <f t="shared" si="160"/>
        <v/>
      </c>
      <c r="I439" s="7685" t="str">
        <f t="shared" si="161"/>
        <v/>
      </c>
      <c r="M439" s="7622">
        <f t="shared" si="162"/>
        <v>1</v>
      </c>
      <c r="N439" s="7688">
        <f t="shared" si="163"/>
        <v>422</v>
      </c>
      <c r="O439" s="7661" t="str">
        <f t="shared" si="164"/>
        <v>0</v>
      </c>
      <c r="P439" s="7688">
        <f t="shared" si="165"/>
        <v>1</v>
      </c>
      <c r="Q439" s="7688">
        <f t="shared" si="166"/>
        <v>1</v>
      </c>
      <c r="CA439" s="3170" t="s">
        <v>17182</v>
      </c>
      <c r="CB439" s="7634" t="s">
        <v>16255</v>
      </c>
      <c r="CC439" s="3170" t="s">
        <v>17201</v>
      </c>
      <c r="CD439" s="3170" t="s">
        <v>17202</v>
      </c>
    </row>
    <row r="440" spans="2:82">
      <c r="B440" s="7685"/>
      <c r="C440" s="7685"/>
      <c r="D440" s="7685"/>
      <c r="E440" s="7685">
        <f>IF(H439&lt;&gt;"",E439,IF(E439="","",IFERROR(MATCH(TRUE(),INDEX(INDEX($K:$K,E439+1):$K$203&lt;&gt;"",0),0)+E439,"")))</f>
        <v>615</v>
      </c>
      <c r="F440" s="7686">
        <f t="shared" si="167"/>
        <v>0</v>
      </c>
      <c r="G440" s="7686" t="str">
        <f t="shared" si="159"/>
        <v>0</v>
      </c>
      <c r="H440" s="7687" t="str">
        <f t="shared" si="160"/>
        <v/>
      </c>
      <c r="I440" s="7685" t="str">
        <f t="shared" si="161"/>
        <v/>
      </c>
      <c r="M440" s="7622">
        <f t="shared" si="162"/>
        <v>1</v>
      </c>
      <c r="N440" s="7688">
        <f t="shared" si="163"/>
        <v>423</v>
      </c>
      <c r="O440" s="7661" t="str">
        <f t="shared" si="164"/>
        <v>0</v>
      </c>
      <c r="P440" s="7688">
        <f t="shared" si="165"/>
        <v>1</v>
      </c>
      <c r="Q440" s="7688">
        <f t="shared" si="166"/>
        <v>1</v>
      </c>
      <c r="CA440" s="3170" t="s">
        <v>17182</v>
      </c>
      <c r="CB440" s="7634" t="s">
        <v>16255</v>
      </c>
      <c r="CC440" s="3170" t="s">
        <v>17203</v>
      </c>
      <c r="CD440" s="3170" t="s">
        <v>17204</v>
      </c>
    </row>
    <row r="441" spans="2:82">
      <c r="B441" s="7685"/>
      <c r="C441" s="7685"/>
      <c r="D441" s="7685"/>
      <c r="E441" s="7685">
        <f>IF(H440&lt;&gt;"",E440,IF(E440="","",IFERROR(MATCH(TRUE(),INDEX(INDEX($K:$K,E440+1):$K$203&lt;&gt;"",0),0)+E440,"")))</f>
        <v>616</v>
      </c>
      <c r="F441" s="7686">
        <f t="shared" si="167"/>
        <v>0</v>
      </c>
      <c r="G441" s="7686" t="str">
        <f t="shared" si="159"/>
        <v>0</v>
      </c>
      <c r="H441" s="7687" t="str">
        <f t="shared" si="160"/>
        <v/>
      </c>
      <c r="I441" s="7685" t="str">
        <f t="shared" si="161"/>
        <v/>
      </c>
      <c r="M441" s="7622">
        <f t="shared" si="162"/>
        <v>1</v>
      </c>
      <c r="N441" s="7688">
        <f t="shared" si="163"/>
        <v>424</v>
      </c>
      <c r="O441" s="7661" t="str">
        <f t="shared" si="164"/>
        <v>0</v>
      </c>
      <c r="P441" s="7688">
        <f t="shared" si="165"/>
        <v>1</v>
      </c>
      <c r="Q441" s="7688">
        <f t="shared" si="166"/>
        <v>1</v>
      </c>
      <c r="CA441" s="3170" t="s">
        <v>17182</v>
      </c>
      <c r="CB441" s="7634" t="s">
        <v>16255</v>
      </c>
      <c r="CC441" s="3170" t="s">
        <v>17205</v>
      </c>
      <c r="CD441" s="3170" t="s">
        <v>17206</v>
      </c>
    </row>
    <row r="442" spans="2:82">
      <c r="B442" s="7685"/>
      <c r="C442" s="7685"/>
      <c r="D442" s="7685"/>
      <c r="E442" s="7685">
        <f>IF(H441&lt;&gt;"",E441,IF(E441="","",IFERROR(MATCH(TRUE(),INDEX(INDEX($K:$K,E441+1):$K$203&lt;&gt;"",0),0)+E441,"")))</f>
        <v>617</v>
      </c>
      <c r="F442" s="7686">
        <f t="shared" si="167"/>
        <v>0</v>
      </c>
      <c r="G442" s="7686" t="str">
        <f t="shared" si="159"/>
        <v>0</v>
      </c>
      <c r="H442" s="7687" t="str">
        <f t="shared" si="160"/>
        <v/>
      </c>
      <c r="I442" s="7685" t="str">
        <f t="shared" si="161"/>
        <v/>
      </c>
      <c r="M442" s="7622">
        <f t="shared" si="162"/>
        <v>1</v>
      </c>
      <c r="N442" s="7688">
        <f t="shared" si="163"/>
        <v>425</v>
      </c>
      <c r="O442" s="7661" t="str">
        <f t="shared" si="164"/>
        <v>0</v>
      </c>
      <c r="P442" s="7688">
        <f t="shared" si="165"/>
        <v>1</v>
      </c>
      <c r="Q442" s="7688">
        <f t="shared" si="166"/>
        <v>1</v>
      </c>
      <c r="CA442" s="3170" t="s">
        <v>17182</v>
      </c>
      <c r="CB442" s="7634" t="s">
        <v>16255</v>
      </c>
      <c r="CC442" s="3170" t="s">
        <v>17207</v>
      </c>
      <c r="CD442" s="3170" t="s">
        <v>17208</v>
      </c>
    </row>
    <row r="443" spans="2:82">
      <c r="B443" s="7685"/>
      <c r="C443" s="7685"/>
      <c r="D443" s="7685"/>
      <c r="E443" s="7685">
        <f>IF(H442&lt;&gt;"",E442,IF(E442="","",IFERROR(MATCH(TRUE(),INDEX(INDEX($K:$K,E442+1):$K$203&lt;&gt;"",0),0)+E442,"")))</f>
        <v>618</v>
      </c>
      <c r="F443" s="7686">
        <f t="shared" si="167"/>
        <v>0</v>
      </c>
      <c r="G443" s="7686" t="str">
        <f t="shared" si="159"/>
        <v>0</v>
      </c>
      <c r="H443" s="7687" t="str">
        <f t="shared" si="160"/>
        <v/>
      </c>
      <c r="I443" s="7685" t="str">
        <f t="shared" si="161"/>
        <v/>
      </c>
      <c r="M443" s="7622">
        <f t="shared" si="162"/>
        <v>1</v>
      </c>
      <c r="N443" s="7688">
        <f t="shared" si="163"/>
        <v>426</v>
      </c>
      <c r="O443" s="7661" t="str">
        <f t="shared" si="164"/>
        <v>0</v>
      </c>
      <c r="P443" s="7688">
        <f t="shared" si="165"/>
        <v>1</v>
      </c>
      <c r="Q443" s="7688">
        <f t="shared" si="166"/>
        <v>1</v>
      </c>
      <c r="CA443" s="3170" t="s">
        <v>17182</v>
      </c>
      <c r="CB443" s="7634" t="s">
        <v>16255</v>
      </c>
      <c r="CC443" s="3170" t="s">
        <v>17209</v>
      </c>
      <c r="CD443" s="3170" t="s">
        <v>17210</v>
      </c>
    </row>
    <row r="444" spans="2:82">
      <c r="B444" s="7685"/>
      <c r="C444" s="7685"/>
      <c r="D444" s="7685"/>
      <c r="E444" s="7685">
        <f>IF(H443&lt;&gt;"",E443,IF(E443="","",IFERROR(MATCH(TRUE(),INDEX(INDEX($K:$K,E443+1):$K$203&lt;&gt;"",0),0)+E443,"")))</f>
        <v>619</v>
      </c>
      <c r="F444" s="7686">
        <f t="shared" si="167"/>
        <v>0</v>
      </c>
      <c r="G444" s="7686" t="str">
        <f t="shared" si="159"/>
        <v>0</v>
      </c>
      <c r="H444" s="7687" t="str">
        <f t="shared" si="160"/>
        <v/>
      </c>
      <c r="I444" s="7685" t="str">
        <f t="shared" si="161"/>
        <v/>
      </c>
      <c r="M444" s="7622">
        <f t="shared" si="162"/>
        <v>1</v>
      </c>
      <c r="N444" s="7688">
        <f t="shared" si="163"/>
        <v>427</v>
      </c>
      <c r="O444" s="7661" t="str">
        <f t="shared" si="164"/>
        <v>0</v>
      </c>
      <c r="P444" s="7688">
        <f t="shared" si="165"/>
        <v>1</v>
      </c>
      <c r="Q444" s="7688">
        <f t="shared" si="166"/>
        <v>1</v>
      </c>
      <c r="CA444" s="3170" t="s">
        <v>17182</v>
      </c>
      <c r="CB444" s="7634" t="s">
        <v>16255</v>
      </c>
      <c r="CC444" s="3170" t="s">
        <v>17211</v>
      </c>
      <c r="CD444" s="3170" t="s">
        <v>17212</v>
      </c>
    </row>
    <row r="445" spans="2:82">
      <c r="B445" s="7685"/>
      <c r="C445" s="7685"/>
      <c r="D445" s="7685"/>
      <c r="E445" s="7685">
        <f>IF(H444&lt;&gt;"",E444,IF(E444="","",IFERROR(MATCH(TRUE(),INDEX(INDEX($K:$K,E444+1):$K$203&lt;&gt;"",0),0)+E444,"")))</f>
        <v>620</v>
      </c>
      <c r="F445" s="7686">
        <f t="shared" si="167"/>
        <v>0</v>
      </c>
      <c r="G445" s="7686" t="str">
        <f t="shared" si="159"/>
        <v>0</v>
      </c>
      <c r="H445" s="7687" t="str">
        <f t="shared" si="160"/>
        <v/>
      </c>
      <c r="I445" s="7685" t="str">
        <f t="shared" si="161"/>
        <v/>
      </c>
      <c r="M445" s="7622">
        <f t="shared" si="162"/>
        <v>1</v>
      </c>
      <c r="N445" s="7688">
        <f t="shared" si="163"/>
        <v>428</v>
      </c>
      <c r="O445" s="7661" t="str">
        <f t="shared" si="164"/>
        <v>0</v>
      </c>
      <c r="P445" s="7688">
        <f t="shared" si="165"/>
        <v>1</v>
      </c>
      <c r="Q445" s="7688">
        <f t="shared" si="166"/>
        <v>1</v>
      </c>
      <c r="CA445" s="3170" t="s">
        <v>17182</v>
      </c>
      <c r="CB445" s="7634" t="s">
        <v>16255</v>
      </c>
      <c r="CC445" s="3170" t="s">
        <v>17213</v>
      </c>
      <c r="CD445" s="3170" t="s">
        <v>17214</v>
      </c>
    </row>
    <row r="446" spans="2:82">
      <c r="B446" s="7685"/>
      <c r="C446" s="7685"/>
      <c r="D446" s="7685"/>
      <c r="E446" s="7685">
        <f>IF(H445&lt;&gt;"",E445,IF(E445="","",IFERROR(MATCH(TRUE(),INDEX(INDEX($K:$K,E445+1):$K$203&lt;&gt;"",0),0)+E445,"")))</f>
        <v>621</v>
      </c>
      <c r="F446" s="7686">
        <f t="shared" si="167"/>
        <v>0</v>
      </c>
      <c r="G446" s="7686" t="str">
        <f t="shared" si="159"/>
        <v>0</v>
      </c>
      <c r="H446" s="7687" t="str">
        <f t="shared" si="160"/>
        <v/>
      </c>
      <c r="I446" s="7685" t="str">
        <f t="shared" si="161"/>
        <v/>
      </c>
      <c r="M446" s="7622">
        <f t="shared" si="162"/>
        <v>1</v>
      </c>
      <c r="N446" s="7688">
        <f t="shared" si="163"/>
        <v>429</v>
      </c>
      <c r="O446" s="7661" t="str">
        <f t="shared" si="164"/>
        <v>0</v>
      </c>
      <c r="P446" s="7688">
        <f t="shared" si="165"/>
        <v>1</v>
      </c>
      <c r="Q446" s="7688">
        <f t="shared" si="166"/>
        <v>1</v>
      </c>
      <c r="CA446" s="3170" t="s">
        <v>17182</v>
      </c>
      <c r="CB446" s="7634" t="s">
        <v>16255</v>
      </c>
      <c r="CC446" s="3170" t="s">
        <v>17215</v>
      </c>
      <c r="CD446" s="3170" t="s">
        <v>17216</v>
      </c>
    </row>
    <row r="447" spans="2:82">
      <c r="B447" s="7685"/>
      <c r="C447" s="7685"/>
      <c r="D447" s="7685"/>
      <c r="E447" s="7685">
        <f>IF(H446&lt;&gt;"",E446,IF(E446="","",IFERROR(MATCH(TRUE(),INDEX(INDEX($K:$K,E446+1):$K$203&lt;&gt;"",0),0)+E446,"")))</f>
        <v>622</v>
      </c>
      <c r="F447" s="7686">
        <f t="shared" si="167"/>
        <v>0</v>
      </c>
      <c r="G447" s="7686" t="str">
        <f t="shared" si="159"/>
        <v>0</v>
      </c>
      <c r="H447" s="7687" t="str">
        <f t="shared" si="160"/>
        <v/>
      </c>
      <c r="I447" s="7685" t="str">
        <f t="shared" si="161"/>
        <v/>
      </c>
      <c r="M447" s="7622">
        <f t="shared" si="162"/>
        <v>1</v>
      </c>
      <c r="N447" s="7688">
        <f t="shared" si="163"/>
        <v>430</v>
      </c>
      <c r="O447" s="7661" t="str">
        <f t="shared" si="164"/>
        <v>0</v>
      </c>
      <c r="P447" s="7688">
        <f t="shared" si="165"/>
        <v>1</v>
      </c>
      <c r="Q447" s="7688">
        <f t="shared" si="166"/>
        <v>1</v>
      </c>
      <c r="CA447" s="3170" t="s">
        <v>17182</v>
      </c>
      <c r="CB447" s="7634" t="s">
        <v>16255</v>
      </c>
      <c r="CC447" s="3170" t="s">
        <v>17217</v>
      </c>
      <c r="CD447" s="3170" t="s">
        <v>17218</v>
      </c>
    </row>
    <row r="448" spans="2:82">
      <c r="B448" s="7685"/>
      <c r="C448" s="7685"/>
      <c r="D448" s="7685"/>
      <c r="E448" s="7685">
        <f>IF(H447&lt;&gt;"",E447,IF(E447="","",IFERROR(MATCH(TRUE(),INDEX(INDEX($K:$K,E447+1):$K$203&lt;&gt;"",0),0)+E447,"")))</f>
        <v>623</v>
      </c>
      <c r="F448" s="7686">
        <f t="shared" si="167"/>
        <v>0</v>
      </c>
      <c r="G448" s="7686" t="str">
        <f t="shared" si="159"/>
        <v>0</v>
      </c>
      <c r="H448" s="7687" t="str">
        <f t="shared" si="160"/>
        <v/>
      </c>
      <c r="I448" s="7685" t="str">
        <f t="shared" si="161"/>
        <v/>
      </c>
      <c r="M448" s="7622">
        <f t="shared" si="162"/>
        <v>1</v>
      </c>
      <c r="N448" s="7688">
        <f t="shared" si="163"/>
        <v>431</v>
      </c>
      <c r="O448" s="7661" t="str">
        <f t="shared" si="164"/>
        <v>0</v>
      </c>
      <c r="P448" s="7688">
        <f t="shared" si="165"/>
        <v>1</v>
      </c>
      <c r="Q448" s="7688">
        <f t="shared" si="166"/>
        <v>1</v>
      </c>
      <c r="CA448" s="3170" t="s">
        <v>17182</v>
      </c>
      <c r="CB448" s="7634" t="s">
        <v>16255</v>
      </c>
      <c r="CC448" s="3170" t="s">
        <v>17219</v>
      </c>
      <c r="CD448" s="3170" t="s">
        <v>17220</v>
      </c>
    </row>
    <row r="449" spans="2:82">
      <c r="B449" s="7685"/>
      <c r="C449" s="7685"/>
      <c r="D449" s="7685"/>
      <c r="E449" s="7685">
        <f>IF(H448&lt;&gt;"",E448,IF(E448="","",IFERROR(MATCH(TRUE(),INDEX(INDEX($K:$K,E448+1):$K$203&lt;&gt;"",0),0)+E448,"")))</f>
        <v>624</v>
      </c>
      <c r="F449" s="7686">
        <f t="shared" si="167"/>
        <v>0</v>
      </c>
      <c r="G449" s="7686" t="str">
        <f t="shared" si="159"/>
        <v>0</v>
      </c>
      <c r="H449" s="7687" t="str">
        <f t="shared" si="160"/>
        <v/>
      </c>
      <c r="I449" s="7685" t="str">
        <f t="shared" si="161"/>
        <v/>
      </c>
      <c r="M449" s="7622">
        <f t="shared" si="162"/>
        <v>1</v>
      </c>
      <c r="N449" s="7688">
        <f t="shared" si="163"/>
        <v>432</v>
      </c>
      <c r="O449" s="7661" t="str">
        <f t="shared" si="164"/>
        <v>0</v>
      </c>
      <c r="P449" s="7688">
        <f t="shared" si="165"/>
        <v>1</v>
      </c>
      <c r="Q449" s="7688">
        <f t="shared" si="166"/>
        <v>1</v>
      </c>
      <c r="CA449" s="3170" t="s">
        <v>17182</v>
      </c>
      <c r="CB449" s="7634" t="s">
        <v>16255</v>
      </c>
      <c r="CC449" s="3170" t="s">
        <v>17221</v>
      </c>
      <c r="CD449" s="3170" t="s">
        <v>17222</v>
      </c>
    </row>
    <row r="450" spans="2:82">
      <c r="B450" s="7685"/>
      <c r="C450" s="7685"/>
      <c r="D450" s="7685"/>
      <c r="E450" s="7685">
        <f>IF(H449&lt;&gt;"",E449,IF(E449="","",IFERROR(MATCH(TRUE(),INDEX(INDEX($K:$K,E449+1):$K$203&lt;&gt;"",0),0)+E449,"")))</f>
        <v>625</v>
      </c>
      <c r="F450" s="7686">
        <f t="shared" si="167"/>
        <v>0</v>
      </c>
      <c r="G450" s="7686" t="str">
        <f t="shared" si="159"/>
        <v>0</v>
      </c>
      <c r="H450" s="7687" t="str">
        <f t="shared" si="160"/>
        <v/>
      </c>
      <c r="I450" s="7685" t="str">
        <f t="shared" si="161"/>
        <v/>
      </c>
      <c r="M450" s="7622">
        <f t="shared" si="162"/>
        <v>1</v>
      </c>
      <c r="N450" s="7688">
        <f t="shared" si="163"/>
        <v>433</v>
      </c>
      <c r="O450" s="7661" t="str">
        <f t="shared" si="164"/>
        <v>0</v>
      </c>
      <c r="P450" s="7688">
        <f t="shared" si="165"/>
        <v>1</v>
      </c>
      <c r="Q450" s="7688">
        <f t="shared" si="166"/>
        <v>1</v>
      </c>
      <c r="CA450" s="3170" t="s">
        <v>17182</v>
      </c>
      <c r="CB450" s="7634" t="s">
        <v>16255</v>
      </c>
      <c r="CC450" s="3170" t="s">
        <v>17223</v>
      </c>
      <c r="CD450" s="3170" t="s">
        <v>17224</v>
      </c>
    </row>
    <row r="451" spans="2:82">
      <c r="B451" s="7685"/>
      <c r="C451" s="7685"/>
      <c r="D451" s="7685"/>
      <c r="E451" s="7685">
        <f>IF(H450&lt;&gt;"",E450,IF(E450="","",IFERROR(MATCH(TRUE(),INDEX(INDEX($K:$K,E450+1):$K$203&lt;&gt;"",0),0)+E450,"")))</f>
        <v>626</v>
      </c>
      <c r="F451" s="7686">
        <f t="shared" si="167"/>
        <v>0</v>
      </c>
      <c r="G451" s="7686" t="str">
        <f t="shared" si="159"/>
        <v>0</v>
      </c>
      <c r="H451" s="7687" t="str">
        <f t="shared" si="160"/>
        <v/>
      </c>
      <c r="I451" s="7685" t="str">
        <f t="shared" si="161"/>
        <v/>
      </c>
      <c r="M451" s="7622">
        <f t="shared" si="162"/>
        <v>1</v>
      </c>
      <c r="N451" s="7688">
        <f t="shared" si="163"/>
        <v>434</v>
      </c>
      <c r="O451" s="7661" t="str">
        <f t="shared" si="164"/>
        <v>0</v>
      </c>
      <c r="P451" s="7688">
        <f t="shared" si="165"/>
        <v>1</v>
      </c>
      <c r="Q451" s="7688">
        <f t="shared" si="166"/>
        <v>1</v>
      </c>
      <c r="CA451" s="3170" t="s">
        <v>17182</v>
      </c>
      <c r="CB451" s="7634" t="s">
        <v>16255</v>
      </c>
      <c r="CC451" s="3170" t="s">
        <v>17225</v>
      </c>
      <c r="CD451" s="3170" t="s">
        <v>17226</v>
      </c>
    </row>
    <row r="452" spans="2:82">
      <c r="B452" s="7685"/>
      <c r="C452" s="7685"/>
      <c r="D452" s="7685"/>
      <c r="E452" s="7685">
        <f>IF(H451&lt;&gt;"",E451,IF(E451="","",IFERROR(MATCH(TRUE(),INDEX(INDEX($K:$K,E451+1):$K$203&lt;&gt;"",0),0)+E451,"")))</f>
        <v>627</v>
      </c>
      <c r="F452" s="7686">
        <f t="shared" si="167"/>
        <v>0</v>
      </c>
      <c r="G452" s="7686" t="str">
        <f t="shared" si="159"/>
        <v>0</v>
      </c>
      <c r="H452" s="7687" t="str">
        <f t="shared" si="160"/>
        <v/>
      </c>
      <c r="I452" s="7685" t="str">
        <f t="shared" si="161"/>
        <v/>
      </c>
      <c r="M452" s="7622">
        <f t="shared" si="162"/>
        <v>1</v>
      </c>
      <c r="N452" s="7688">
        <f t="shared" si="163"/>
        <v>435</v>
      </c>
      <c r="O452" s="7661" t="str">
        <f t="shared" si="164"/>
        <v>0</v>
      </c>
      <c r="P452" s="7688">
        <f t="shared" si="165"/>
        <v>1</v>
      </c>
      <c r="Q452" s="7688">
        <f t="shared" si="166"/>
        <v>1</v>
      </c>
      <c r="CA452" s="3170" t="s">
        <v>17182</v>
      </c>
      <c r="CB452" s="7634" t="s">
        <v>16255</v>
      </c>
      <c r="CC452" s="3170" t="s">
        <v>17227</v>
      </c>
      <c r="CD452" s="3170" t="s">
        <v>17228</v>
      </c>
    </row>
    <row r="453" spans="2:82">
      <c r="B453" s="7685"/>
      <c r="C453" s="7685"/>
      <c r="D453" s="7685"/>
      <c r="E453" s="7685">
        <f>IF(H452&lt;&gt;"",E452,IF(E452="","",IFERROR(MATCH(TRUE(),INDEX(INDEX($K:$K,E452+1):$K$203&lt;&gt;"",0),0)+E452,"")))</f>
        <v>628</v>
      </c>
      <c r="F453" s="7686">
        <f t="shared" si="167"/>
        <v>0</v>
      </c>
      <c r="G453" s="7686" t="str">
        <f t="shared" si="159"/>
        <v>0</v>
      </c>
      <c r="H453" s="7687" t="str">
        <f t="shared" si="160"/>
        <v/>
      </c>
      <c r="I453" s="7685" t="str">
        <f t="shared" si="161"/>
        <v/>
      </c>
      <c r="M453" s="7622">
        <f t="shared" si="162"/>
        <v>1</v>
      </c>
      <c r="N453" s="7688">
        <f t="shared" si="163"/>
        <v>436</v>
      </c>
      <c r="O453" s="7661" t="str">
        <f t="shared" si="164"/>
        <v>0</v>
      </c>
      <c r="P453" s="7688">
        <f t="shared" si="165"/>
        <v>1</v>
      </c>
      <c r="Q453" s="7688">
        <f t="shared" si="166"/>
        <v>1</v>
      </c>
      <c r="CA453" s="3170" t="s">
        <v>17182</v>
      </c>
      <c r="CB453" s="7634" t="s">
        <v>16255</v>
      </c>
      <c r="CC453" s="3170" t="s">
        <v>17229</v>
      </c>
      <c r="CD453" s="3170" t="s">
        <v>17230</v>
      </c>
    </row>
    <row r="454" spans="2:82">
      <c r="B454" s="7685"/>
      <c r="C454" s="7685"/>
      <c r="D454" s="7685"/>
      <c r="E454" s="7685">
        <f>IF(H453&lt;&gt;"",E453,IF(E453="","",IFERROR(MATCH(TRUE(),INDEX(INDEX($K:$K,E453+1):$K$203&lt;&gt;"",0),0)+E453,"")))</f>
        <v>629</v>
      </c>
      <c r="F454" s="7686">
        <f t="shared" si="167"/>
        <v>0</v>
      </c>
      <c r="G454" s="7686" t="str">
        <f t="shared" si="159"/>
        <v>0</v>
      </c>
      <c r="H454" s="7687" t="str">
        <f t="shared" si="160"/>
        <v/>
      </c>
      <c r="I454" s="7685" t="str">
        <f t="shared" si="161"/>
        <v/>
      </c>
      <c r="M454" s="7622">
        <f t="shared" si="162"/>
        <v>1</v>
      </c>
      <c r="N454" s="7688">
        <f t="shared" si="163"/>
        <v>437</v>
      </c>
      <c r="O454" s="7661" t="str">
        <f t="shared" si="164"/>
        <v>0</v>
      </c>
      <c r="P454" s="7688">
        <f t="shared" si="165"/>
        <v>1</v>
      </c>
      <c r="Q454" s="7688">
        <f t="shared" si="166"/>
        <v>1</v>
      </c>
      <c r="CA454" s="3170" t="s">
        <v>17182</v>
      </c>
      <c r="CB454" s="7634" t="s">
        <v>16255</v>
      </c>
      <c r="CC454" s="3170" t="s">
        <v>17231</v>
      </c>
      <c r="CD454" s="3170" t="s">
        <v>17232</v>
      </c>
    </row>
    <row r="455" spans="2:82">
      <c r="B455" s="7685"/>
      <c r="C455" s="7685"/>
      <c r="D455" s="7685"/>
      <c r="E455" s="7685">
        <f>IF(H454&lt;&gt;"",E454,IF(E454="","",IFERROR(MATCH(TRUE(),INDEX(INDEX($K:$K,E454+1):$K$203&lt;&gt;"",0),0)+E454,"")))</f>
        <v>630</v>
      </c>
      <c r="F455" s="7686">
        <f t="shared" si="167"/>
        <v>0</v>
      </c>
      <c r="G455" s="7686" t="str">
        <f t="shared" si="159"/>
        <v>0</v>
      </c>
      <c r="H455" s="7687" t="str">
        <f t="shared" si="160"/>
        <v/>
      </c>
      <c r="I455" s="7685" t="str">
        <f t="shared" si="161"/>
        <v/>
      </c>
      <c r="M455" s="7622">
        <f t="shared" si="162"/>
        <v>1</v>
      </c>
      <c r="N455" s="7688">
        <f t="shared" si="163"/>
        <v>438</v>
      </c>
      <c r="O455" s="7661" t="str">
        <f t="shared" si="164"/>
        <v>0</v>
      </c>
      <c r="P455" s="7688">
        <f t="shared" si="165"/>
        <v>1</v>
      </c>
      <c r="Q455" s="7688">
        <f t="shared" si="166"/>
        <v>1</v>
      </c>
      <c r="CA455" s="3170" t="s">
        <v>17182</v>
      </c>
      <c r="CB455" s="7634" t="s">
        <v>16255</v>
      </c>
      <c r="CC455" s="3170" t="s">
        <v>17233</v>
      </c>
      <c r="CD455" s="3170" t="s">
        <v>17234</v>
      </c>
    </row>
    <row r="456" spans="2:82">
      <c r="B456" s="7685"/>
      <c r="C456" s="7685"/>
      <c r="D456" s="7685"/>
      <c r="E456" s="7685">
        <f>IF(H455&lt;&gt;"",E455,IF(E455="","",IFERROR(MATCH(TRUE(),INDEX(INDEX($K:$K,E455+1):$K$203&lt;&gt;"",0),0)+E455,"")))</f>
        <v>631</v>
      </c>
      <c r="F456" s="7686">
        <f t="shared" si="167"/>
        <v>0</v>
      </c>
      <c r="G456" s="7686" t="str">
        <f t="shared" si="159"/>
        <v>0</v>
      </c>
      <c r="H456" s="7687" t="str">
        <f t="shared" si="160"/>
        <v/>
      </c>
      <c r="I456" s="7685" t="str">
        <f t="shared" si="161"/>
        <v/>
      </c>
      <c r="M456" s="7622">
        <f t="shared" si="162"/>
        <v>1</v>
      </c>
      <c r="N456" s="7688">
        <f t="shared" si="163"/>
        <v>439</v>
      </c>
      <c r="O456" s="7661" t="str">
        <f t="shared" si="164"/>
        <v>0</v>
      </c>
      <c r="P456" s="7688">
        <f t="shared" si="165"/>
        <v>1</v>
      </c>
      <c r="Q456" s="7688">
        <f t="shared" si="166"/>
        <v>1</v>
      </c>
      <c r="CA456" s="3170" t="s">
        <v>17182</v>
      </c>
      <c r="CB456" s="7634" t="s">
        <v>16255</v>
      </c>
      <c r="CC456" s="3170" t="s">
        <v>17235</v>
      </c>
      <c r="CD456" s="3170" t="s">
        <v>17236</v>
      </c>
    </row>
    <row r="457" spans="2:82">
      <c r="B457" s="7685"/>
      <c r="C457" s="7685"/>
      <c r="D457" s="7685"/>
      <c r="E457" s="7685">
        <f>IF(H456&lt;&gt;"",E456,IF(E456="","",IFERROR(MATCH(TRUE(),INDEX(INDEX($K:$K,E456+1):$K$203&lt;&gt;"",0),0)+E456,"")))</f>
        <v>632</v>
      </c>
      <c r="F457" s="7686">
        <f t="shared" si="167"/>
        <v>0</v>
      </c>
      <c r="G457" s="7686" t="str">
        <f t="shared" si="159"/>
        <v>0</v>
      </c>
      <c r="H457" s="7687" t="str">
        <f t="shared" si="160"/>
        <v/>
      </c>
      <c r="I457" s="7685" t="str">
        <f t="shared" si="161"/>
        <v/>
      </c>
      <c r="M457" s="7622">
        <f t="shared" si="162"/>
        <v>1</v>
      </c>
      <c r="N457" s="7688">
        <f t="shared" si="163"/>
        <v>440</v>
      </c>
      <c r="O457" s="7661" t="str">
        <f t="shared" si="164"/>
        <v>0</v>
      </c>
      <c r="P457" s="7688">
        <f t="shared" si="165"/>
        <v>1</v>
      </c>
      <c r="Q457" s="7688">
        <f t="shared" si="166"/>
        <v>1</v>
      </c>
      <c r="CA457" s="3170" t="s">
        <v>17182</v>
      </c>
      <c r="CB457" s="7634" t="s">
        <v>16255</v>
      </c>
      <c r="CC457" s="3170" t="s">
        <v>17237</v>
      </c>
      <c r="CD457" s="3170" t="s">
        <v>17238</v>
      </c>
    </row>
    <row r="458" spans="2:82">
      <c r="B458" s="7685"/>
      <c r="C458" s="7685"/>
      <c r="D458" s="7685"/>
      <c r="E458" s="7685">
        <f>IF(H457&lt;&gt;"",E457,IF(E457="","",IFERROR(MATCH(TRUE(),INDEX(INDEX($K:$K,E457+1):$K$203&lt;&gt;"",0),0)+E457,"")))</f>
        <v>633</v>
      </c>
      <c r="F458" s="7686">
        <f t="shared" si="167"/>
        <v>0</v>
      </c>
      <c r="G458" s="7686" t="str">
        <f t="shared" si="159"/>
        <v>0</v>
      </c>
      <c r="H458" s="7687" t="str">
        <f t="shared" si="160"/>
        <v/>
      </c>
      <c r="I458" s="7685" t="str">
        <f t="shared" si="161"/>
        <v/>
      </c>
      <c r="M458" s="7622">
        <f t="shared" si="162"/>
        <v>1</v>
      </c>
      <c r="N458" s="7688">
        <f t="shared" si="163"/>
        <v>441</v>
      </c>
      <c r="O458" s="7661" t="str">
        <f t="shared" si="164"/>
        <v>0</v>
      </c>
      <c r="P458" s="7688">
        <f t="shared" si="165"/>
        <v>1</v>
      </c>
      <c r="Q458" s="7688">
        <f t="shared" si="166"/>
        <v>1</v>
      </c>
      <c r="CA458" s="3170" t="s">
        <v>17182</v>
      </c>
      <c r="CB458" s="7634" t="s">
        <v>16255</v>
      </c>
      <c r="CC458" s="3170" t="s">
        <v>17239</v>
      </c>
      <c r="CD458" s="3170" t="s">
        <v>17240</v>
      </c>
    </row>
    <row r="459" spans="2:82">
      <c r="B459" s="7685"/>
      <c r="C459" s="7685"/>
      <c r="D459" s="7685"/>
      <c r="E459" s="7685">
        <f>IF(H458&lt;&gt;"",E458,IF(E458="","",IFERROR(MATCH(TRUE(),INDEX(INDEX($K:$K,E458+1):$K$203&lt;&gt;"",0),0)+E458,"")))</f>
        <v>634</v>
      </c>
      <c r="F459" s="7686">
        <f t="shared" si="167"/>
        <v>0</v>
      </c>
      <c r="G459" s="7686" t="str">
        <f t="shared" si="159"/>
        <v>0</v>
      </c>
      <c r="H459" s="7687" t="str">
        <f t="shared" si="160"/>
        <v/>
      </c>
      <c r="I459" s="7685" t="str">
        <f t="shared" si="161"/>
        <v/>
      </c>
      <c r="M459" s="7622">
        <f t="shared" si="162"/>
        <v>1</v>
      </c>
      <c r="N459" s="7688">
        <f t="shared" si="163"/>
        <v>442</v>
      </c>
      <c r="O459" s="7661" t="str">
        <f t="shared" si="164"/>
        <v>0</v>
      </c>
      <c r="P459" s="7688">
        <f t="shared" si="165"/>
        <v>1</v>
      </c>
      <c r="Q459" s="7688">
        <f t="shared" si="166"/>
        <v>1</v>
      </c>
      <c r="CA459" s="3170" t="s">
        <v>17182</v>
      </c>
      <c r="CB459" s="7634" t="s">
        <v>16255</v>
      </c>
      <c r="CC459" s="3170" t="s">
        <v>17241</v>
      </c>
      <c r="CD459" s="3170" t="s">
        <v>17242</v>
      </c>
    </row>
    <row r="460" spans="2:82">
      <c r="B460" s="7685"/>
      <c r="C460" s="7685"/>
      <c r="D460" s="7685"/>
      <c r="E460" s="7685">
        <f>IF(H459&lt;&gt;"",E459,IF(E459="","",IFERROR(MATCH(TRUE(),INDEX(INDEX($K:$K,E459+1):$K$203&lt;&gt;"",0),0)+E459,"")))</f>
        <v>635</v>
      </c>
      <c r="F460" s="7686">
        <f t="shared" si="167"/>
        <v>0</v>
      </c>
      <c r="G460" s="7686" t="str">
        <f t="shared" si="159"/>
        <v>0</v>
      </c>
      <c r="H460" s="7687" t="str">
        <f t="shared" si="160"/>
        <v/>
      </c>
      <c r="I460" s="7685" t="str">
        <f t="shared" si="161"/>
        <v/>
      </c>
      <c r="M460" s="7622">
        <f t="shared" si="162"/>
        <v>1</v>
      </c>
      <c r="N460" s="7688">
        <f t="shared" si="163"/>
        <v>443</v>
      </c>
      <c r="O460" s="7661" t="str">
        <f t="shared" si="164"/>
        <v>0</v>
      </c>
      <c r="P460" s="7688">
        <f t="shared" si="165"/>
        <v>1</v>
      </c>
      <c r="Q460" s="7688">
        <f t="shared" si="166"/>
        <v>1</v>
      </c>
      <c r="CA460" s="3170" t="s">
        <v>17182</v>
      </c>
      <c r="CB460" s="7634" t="s">
        <v>16255</v>
      </c>
      <c r="CC460" s="3170" t="s">
        <v>17243</v>
      </c>
      <c r="CD460" s="3170" t="s">
        <v>17244</v>
      </c>
    </row>
    <row r="461" spans="2:82">
      <c r="B461" s="7685"/>
      <c r="C461" s="7685"/>
      <c r="D461" s="7685"/>
      <c r="E461" s="7685">
        <f>IF(H460&lt;&gt;"",E460,IF(E460="","",IFERROR(MATCH(TRUE(),INDEX(INDEX($K:$K,E460+1):$K$203&lt;&gt;"",0),0)+E460,"")))</f>
        <v>636</v>
      </c>
      <c r="F461" s="7686">
        <f t="shared" si="167"/>
        <v>0</v>
      </c>
      <c r="G461" s="7686" t="str">
        <f t="shared" si="159"/>
        <v>0</v>
      </c>
      <c r="H461" s="7687" t="str">
        <f t="shared" si="160"/>
        <v/>
      </c>
      <c r="I461" s="7685" t="str">
        <f t="shared" si="161"/>
        <v/>
      </c>
      <c r="M461" s="7622">
        <f t="shared" si="162"/>
        <v>1</v>
      </c>
      <c r="N461" s="7688">
        <f t="shared" si="163"/>
        <v>444</v>
      </c>
      <c r="O461" s="7661" t="str">
        <f t="shared" si="164"/>
        <v>0</v>
      </c>
      <c r="P461" s="7688">
        <f t="shared" si="165"/>
        <v>1</v>
      </c>
      <c r="Q461" s="7688">
        <f t="shared" si="166"/>
        <v>1</v>
      </c>
      <c r="CA461" s="3170" t="s">
        <v>17182</v>
      </c>
      <c r="CB461" s="7634" t="s">
        <v>16255</v>
      </c>
      <c r="CC461" s="3170" t="s">
        <v>17245</v>
      </c>
      <c r="CD461" s="3170" t="s">
        <v>17246</v>
      </c>
    </row>
    <row r="462" spans="2:82">
      <c r="B462" s="7685"/>
      <c r="C462" s="7685"/>
      <c r="D462" s="7685"/>
      <c r="E462" s="7685">
        <f>IF(H461&lt;&gt;"",E461,IF(E461="","",IFERROR(MATCH(TRUE(),INDEX(INDEX($K:$K,E461+1):$K$203&lt;&gt;"",0),0)+E461,"")))</f>
        <v>637</v>
      </c>
      <c r="F462" s="7686">
        <f t="shared" si="167"/>
        <v>0</v>
      </c>
      <c r="G462" s="7686" t="str">
        <f t="shared" si="159"/>
        <v>0</v>
      </c>
      <c r="H462" s="7687" t="str">
        <f t="shared" si="160"/>
        <v/>
      </c>
      <c r="I462" s="7685" t="str">
        <f t="shared" si="161"/>
        <v/>
      </c>
      <c r="M462" s="7622">
        <f t="shared" si="162"/>
        <v>1</v>
      </c>
      <c r="N462" s="7688">
        <f t="shared" si="163"/>
        <v>445</v>
      </c>
      <c r="O462" s="7661" t="str">
        <f t="shared" si="164"/>
        <v>0</v>
      </c>
      <c r="P462" s="7688">
        <f t="shared" si="165"/>
        <v>1</v>
      </c>
      <c r="Q462" s="7688">
        <f t="shared" si="166"/>
        <v>1</v>
      </c>
      <c r="CA462" s="3170" t="s">
        <v>17182</v>
      </c>
      <c r="CB462" s="7634" t="s">
        <v>16255</v>
      </c>
      <c r="CC462" s="3170" t="s">
        <v>17247</v>
      </c>
      <c r="CD462" s="3170" t="s">
        <v>17248</v>
      </c>
    </row>
    <row r="463" spans="2:82">
      <c r="B463" s="7685"/>
      <c r="C463" s="7685"/>
      <c r="D463" s="7685"/>
      <c r="E463" s="7685">
        <f>IF(H462&lt;&gt;"",E462,IF(E462="","",IFERROR(MATCH(TRUE(),INDEX(INDEX($K:$K,E462+1):$K$203&lt;&gt;"",0),0)+E462,"")))</f>
        <v>638</v>
      </c>
      <c r="F463" s="7686">
        <f t="shared" si="167"/>
        <v>0</v>
      </c>
      <c r="G463" s="7686" t="str">
        <f t="shared" si="159"/>
        <v>0</v>
      </c>
      <c r="H463" s="7687" t="str">
        <f t="shared" si="160"/>
        <v/>
      </c>
      <c r="I463" s="7685" t="str">
        <f t="shared" si="161"/>
        <v/>
      </c>
      <c r="M463" s="7622">
        <f t="shared" si="162"/>
        <v>1</v>
      </c>
      <c r="N463" s="7688">
        <f t="shared" si="163"/>
        <v>446</v>
      </c>
      <c r="O463" s="7661" t="str">
        <f t="shared" si="164"/>
        <v>0</v>
      </c>
      <c r="P463" s="7688">
        <f t="shared" si="165"/>
        <v>1</v>
      </c>
      <c r="Q463" s="7688">
        <f t="shared" si="166"/>
        <v>1</v>
      </c>
      <c r="CA463" s="3170" t="s">
        <v>17182</v>
      </c>
      <c r="CB463" s="7634" t="s">
        <v>16255</v>
      </c>
      <c r="CC463" s="3170" t="s">
        <v>17249</v>
      </c>
      <c r="CD463" s="3170" t="s">
        <v>17250</v>
      </c>
    </row>
    <row r="464" spans="2:82">
      <c r="B464" s="7685"/>
      <c r="C464" s="7685"/>
      <c r="D464" s="7685"/>
      <c r="E464" s="7685">
        <f>IF(H463&lt;&gt;"",E463,IF(E463="","",IFERROR(MATCH(TRUE(),INDEX(INDEX($K:$K,E463+1):$K$203&lt;&gt;"",0),0)+E463,"")))</f>
        <v>639</v>
      </c>
      <c r="F464" s="7686">
        <f t="shared" si="167"/>
        <v>0</v>
      </c>
      <c r="G464" s="7686" t="str">
        <f t="shared" si="159"/>
        <v>0</v>
      </c>
      <c r="H464" s="7687" t="str">
        <f t="shared" si="160"/>
        <v/>
      </c>
      <c r="I464" s="7685" t="str">
        <f t="shared" si="161"/>
        <v/>
      </c>
      <c r="M464" s="7622">
        <f t="shared" si="162"/>
        <v>1</v>
      </c>
      <c r="N464" s="7688">
        <f t="shared" si="163"/>
        <v>447</v>
      </c>
      <c r="O464" s="7661" t="str">
        <f t="shared" si="164"/>
        <v>0</v>
      </c>
      <c r="P464" s="7688">
        <f t="shared" si="165"/>
        <v>1</v>
      </c>
      <c r="Q464" s="7688">
        <f t="shared" si="166"/>
        <v>1</v>
      </c>
      <c r="CA464" s="3170" t="s">
        <v>17182</v>
      </c>
      <c r="CB464" s="7634" t="s">
        <v>16255</v>
      </c>
      <c r="CC464" s="3170" t="s">
        <v>17251</v>
      </c>
      <c r="CD464" s="3170" t="s">
        <v>17252</v>
      </c>
    </row>
    <row r="465" spans="2:82">
      <c r="B465" s="7685"/>
      <c r="C465" s="7685"/>
      <c r="D465" s="7685"/>
      <c r="E465" s="7685">
        <f>IF(H464&lt;&gt;"",E464,IF(E464="","",IFERROR(MATCH(TRUE(),INDEX(INDEX($K:$K,E464+1):$K$203&lt;&gt;"",0),0)+E464,"")))</f>
        <v>640</v>
      </c>
      <c r="F465" s="7686">
        <f t="shared" si="167"/>
        <v>0</v>
      </c>
      <c r="G465" s="7686" t="str">
        <f t="shared" si="159"/>
        <v>0</v>
      </c>
      <c r="H465" s="7687" t="str">
        <f t="shared" si="160"/>
        <v/>
      </c>
      <c r="I465" s="7685" t="str">
        <f t="shared" si="161"/>
        <v/>
      </c>
      <c r="M465" s="7622">
        <f t="shared" si="162"/>
        <v>1</v>
      </c>
      <c r="N465" s="7688">
        <f t="shared" si="163"/>
        <v>448</v>
      </c>
      <c r="O465" s="7661" t="str">
        <f t="shared" si="164"/>
        <v>0</v>
      </c>
      <c r="P465" s="7688">
        <f t="shared" si="165"/>
        <v>1</v>
      </c>
      <c r="Q465" s="7688">
        <f t="shared" si="166"/>
        <v>1</v>
      </c>
      <c r="CA465" s="3170" t="s">
        <v>17182</v>
      </c>
      <c r="CB465" s="7634" t="s">
        <v>16255</v>
      </c>
      <c r="CC465" s="3170" t="s">
        <v>17253</v>
      </c>
      <c r="CD465" s="3170" t="s">
        <v>17254</v>
      </c>
    </row>
    <row r="466" spans="2:82">
      <c r="B466" s="7685"/>
      <c r="C466" s="7685"/>
      <c r="D466" s="7685"/>
      <c r="E466" s="7685">
        <f>IF(H465&lt;&gt;"",E465,IF(E465="","",IFERROR(MATCH(TRUE(),INDEX(INDEX($K:$K,E465+1):$K$203&lt;&gt;"",0),0)+E465,"")))</f>
        <v>641</v>
      </c>
      <c r="F466" s="7686">
        <f t="shared" si="167"/>
        <v>0</v>
      </c>
      <c r="G466" s="7686" t="str">
        <f t="shared" ref="G466:G529" si="168">IF(OR(F466="",M466=""),"",LEFT(F466,M466))</f>
        <v>0</v>
      </c>
      <c r="H466" s="7687" t="str">
        <f t="shared" ref="H466:H529" si="169">IF(OR(F466="",M466=""),"",TRIM(MID(F466,M466+1,99999)))</f>
        <v/>
      </c>
      <c r="I466" s="7685" t="str">
        <f t="shared" ref="I466:I529" si="170">IF(AND(F466&lt;&gt;"",$N$10&gt;0,M466&gt;$N$10),"Mot &gt; limite","")</f>
        <v/>
      </c>
      <c r="M466" s="7622">
        <f t="shared" ref="M466:M529" si="171">IF(OR(F466="",$N$10="",$N$10&lt;=0),"",IF(LEN(F466)&lt;=$N$10,LEN(F466),IFERROR(FIND("♦",SUBSTITUTE(LEFT(F466,$N$10)," ","♦",LEN(LEFT(F466,$N$10))-LEN(SUBSTITUTE(LEFT(F466,$N$10)," ","")))),FIND(" ",F466&amp;" ",$N$10+1)-1)))</f>
        <v>1</v>
      </c>
      <c r="N466" s="7688">
        <f t="shared" ref="N466:N529" si="172">IF(O466="","",ROW()-17)</f>
        <v>449</v>
      </c>
      <c r="O466" s="7661" t="str">
        <f t="shared" ref="O466:O529" si="173">G466</f>
        <v>0</v>
      </c>
      <c r="P466" s="7688">
        <f t="shared" ref="P466:P529" si="174">IF(O466="","",LEN(TRIM(O466))-LEN(SUBSTITUTE(TRIM(O466)," ",""))+1)</f>
        <v>1</v>
      </c>
      <c r="Q466" s="7688">
        <f t="shared" ref="Q466:Q529" si="175">IF(O466="","",LEN(O466))</f>
        <v>1</v>
      </c>
      <c r="CA466" s="3170" t="s">
        <v>17182</v>
      </c>
      <c r="CB466" s="7634" t="s">
        <v>16255</v>
      </c>
      <c r="CC466" s="3170" t="s">
        <v>17255</v>
      </c>
      <c r="CD466" s="3170" t="s">
        <v>17256</v>
      </c>
    </row>
    <row r="467" spans="2:82">
      <c r="B467" s="7685"/>
      <c r="C467" s="7685"/>
      <c r="D467" s="7685"/>
      <c r="E467" s="7685">
        <f>IF(H466&lt;&gt;"",E466,IF(E466="","",IFERROR(MATCH(TRUE(),INDEX(INDEX($K:$K,E466+1):$K$203&lt;&gt;"",0),0)+E466,"")))</f>
        <v>642</v>
      </c>
      <c r="F467" s="7686">
        <f t="shared" ref="F467:F530" si="176">IF(E467="","",IF(H466&lt;&gt;"",H466,INDEX($D:$D,E467)))</f>
        <v>0</v>
      </c>
      <c r="G467" s="7686" t="str">
        <f t="shared" si="168"/>
        <v>0</v>
      </c>
      <c r="H467" s="7687" t="str">
        <f t="shared" si="169"/>
        <v/>
      </c>
      <c r="I467" s="7685" t="str">
        <f t="shared" si="170"/>
        <v/>
      </c>
      <c r="M467" s="7622">
        <f t="shared" si="171"/>
        <v>1</v>
      </c>
      <c r="N467" s="7688">
        <f t="shared" si="172"/>
        <v>450</v>
      </c>
      <c r="O467" s="7661" t="str">
        <f t="shared" si="173"/>
        <v>0</v>
      </c>
      <c r="P467" s="7688">
        <f t="shared" si="174"/>
        <v>1</v>
      </c>
      <c r="Q467" s="7688">
        <f t="shared" si="175"/>
        <v>1</v>
      </c>
      <c r="CA467" s="3170" t="s">
        <v>17182</v>
      </c>
      <c r="CB467" s="7634" t="s">
        <v>16255</v>
      </c>
      <c r="CC467" s="3170" t="s">
        <v>17257</v>
      </c>
      <c r="CD467" s="3170" t="s">
        <v>17258</v>
      </c>
    </row>
    <row r="468" spans="2:82">
      <c r="B468" s="7685"/>
      <c r="C468" s="7685"/>
      <c r="D468" s="7685"/>
      <c r="E468" s="7685">
        <f>IF(H467&lt;&gt;"",E467,IF(E467="","",IFERROR(MATCH(TRUE(),INDEX(INDEX($K:$K,E467+1):$K$203&lt;&gt;"",0),0)+E467,"")))</f>
        <v>643</v>
      </c>
      <c r="F468" s="7686">
        <f t="shared" si="176"/>
        <v>0</v>
      </c>
      <c r="G468" s="7686" t="str">
        <f t="shared" si="168"/>
        <v>0</v>
      </c>
      <c r="H468" s="7687" t="str">
        <f t="shared" si="169"/>
        <v/>
      </c>
      <c r="I468" s="7685" t="str">
        <f t="shared" si="170"/>
        <v/>
      </c>
      <c r="M468" s="7622">
        <f t="shared" si="171"/>
        <v>1</v>
      </c>
      <c r="N468" s="7688">
        <f t="shared" si="172"/>
        <v>451</v>
      </c>
      <c r="O468" s="7661" t="str">
        <f t="shared" si="173"/>
        <v>0</v>
      </c>
      <c r="P468" s="7688">
        <f t="shared" si="174"/>
        <v>1</v>
      </c>
      <c r="Q468" s="7688">
        <f t="shared" si="175"/>
        <v>1</v>
      </c>
      <c r="CA468" s="3170" t="s">
        <v>17182</v>
      </c>
      <c r="CB468" s="7634" t="s">
        <v>16255</v>
      </c>
      <c r="CC468" s="3170" t="s">
        <v>17259</v>
      </c>
      <c r="CD468" s="3170" t="s">
        <v>17260</v>
      </c>
    </row>
    <row r="469" spans="2:82">
      <c r="B469" s="7685"/>
      <c r="C469" s="7685"/>
      <c r="D469" s="7685"/>
      <c r="E469" s="7685">
        <f>IF(H468&lt;&gt;"",E468,IF(E468="","",IFERROR(MATCH(TRUE(),INDEX(INDEX($K:$K,E468+1):$K$203&lt;&gt;"",0),0)+E468,"")))</f>
        <v>644</v>
      </c>
      <c r="F469" s="7686">
        <f t="shared" si="176"/>
        <v>0</v>
      </c>
      <c r="G469" s="7686" t="str">
        <f t="shared" si="168"/>
        <v>0</v>
      </c>
      <c r="H469" s="7687" t="str">
        <f t="shared" si="169"/>
        <v/>
      </c>
      <c r="I469" s="7685" t="str">
        <f t="shared" si="170"/>
        <v/>
      </c>
      <c r="M469" s="7622">
        <f t="shared" si="171"/>
        <v>1</v>
      </c>
      <c r="N469" s="7688">
        <f t="shared" si="172"/>
        <v>452</v>
      </c>
      <c r="O469" s="7661" t="str">
        <f t="shared" si="173"/>
        <v>0</v>
      </c>
      <c r="P469" s="7688">
        <f t="shared" si="174"/>
        <v>1</v>
      </c>
      <c r="Q469" s="7688">
        <f t="shared" si="175"/>
        <v>1</v>
      </c>
      <c r="CA469" s="3170" t="s">
        <v>17182</v>
      </c>
      <c r="CB469" s="7634" t="s">
        <v>16255</v>
      </c>
      <c r="CC469" s="3170" t="s">
        <v>17261</v>
      </c>
      <c r="CD469" s="3170" t="s">
        <v>17262</v>
      </c>
    </row>
    <row r="470" spans="2:82">
      <c r="B470" s="7685"/>
      <c r="C470" s="7685"/>
      <c r="D470" s="7685"/>
      <c r="E470" s="7685">
        <f>IF(H469&lt;&gt;"",E469,IF(E469="","",IFERROR(MATCH(TRUE(),INDEX(INDEX($K:$K,E469+1):$K$203&lt;&gt;"",0),0)+E469,"")))</f>
        <v>645</v>
      </c>
      <c r="F470" s="7686">
        <f t="shared" si="176"/>
        <v>0</v>
      </c>
      <c r="G470" s="7686" t="str">
        <f t="shared" si="168"/>
        <v>0</v>
      </c>
      <c r="H470" s="7687" t="str">
        <f t="shared" si="169"/>
        <v/>
      </c>
      <c r="I470" s="7685" t="str">
        <f t="shared" si="170"/>
        <v/>
      </c>
      <c r="M470" s="7622">
        <f t="shared" si="171"/>
        <v>1</v>
      </c>
      <c r="N470" s="7688">
        <f t="shared" si="172"/>
        <v>453</v>
      </c>
      <c r="O470" s="7661" t="str">
        <f t="shared" si="173"/>
        <v>0</v>
      </c>
      <c r="P470" s="7688">
        <f t="shared" si="174"/>
        <v>1</v>
      </c>
      <c r="Q470" s="7688">
        <f t="shared" si="175"/>
        <v>1</v>
      </c>
      <c r="CA470" s="3170" t="s">
        <v>17182</v>
      </c>
      <c r="CB470" s="7634" t="s">
        <v>16255</v>
      </c>
      <c r="CC470" s="3170" t="s">
        <v>17263</v>
      </c>
      <c r="CD470" s="3170" t="s">
        <v>17264</v>
      </c>
    </row>
    <row r="471" spans="2:82">
      <c r="B471" s="7685"/>
      <c r="C471" s="7685"/>
      <c r="D471" s="7685"/>
      <c r="E471" s="7685">
        <f>IF(H470&lt;&gt;"",E470,IF(E470="","",IFERROR(MATCH(TRUE(),INDEX(INDEX($K:$K,E470+1):$K$203&lt;&gt;"",0),0)+E470,"")))</f>
        <v>646</v>
      </c>
      <c r="F471" s="7686">
        <f t="shared" si="176"/>
        <v>0</v>
      </c>
      <c r="G471" s="7686" t="str">
        <f t="shared" si="168"/>
        <v>0</v>
      </c>
      <c r="H471" s="7687" t="str">
        <f t="shared" si="169"/>
        <v/>
      </c>
      <c r="I471" s="7685" t="str">
        <f t="shared" si="170"/>
        <v/>
      </c>
      <c r="M471" s="7622">
        <f t="shared" si="171"/>
        <v>1</v>
      </c>
      <c r="N471" s="7688">
        <f t="shared" si="172"/>
        <v>454</v>
      </c>
      <c r="O471" s="7661" t="str">
        <f t="shared" si="173"/>
        <v>0</v>
      </c>
      <c r="P471" s="7688">
        <f t="shared" si="174"/>
        <v>1</v>
      </c>
      <c r="Q471" s="7688">
        <f t="shared" si="175"/>
        <v>1</v>
      </c>
      <c r="CA471" s="3170" t="s">
        <v>17182</v>
      </c>
      <c r="CB471" s="7634" t="s">
        <v>16255</v>
      </c>
      <c r="CC471" s="3170" t="s">
        <v>17265</v>
      </c>
      <c r="CD471" s="3170" t="s">
        <v>17266</v>
      </c>
    </row>
    <row r="472" spans="2:82">
      <c r="B472" s="7685"/>
      <c r="C472" s="7685"/>
      <c r="D472" s="7685"/>
      <c r="E472" s="7685">
        <f>IF(H471&lt;&gt;"",E471,IF(E471="","",IFERROR(MATCH(TRUE(),INDEX(INDEX($K:$K,E471+1):$K$203&lt;&gt;"",0),0)+E471,"")))</f>
        <v>647</v>
      </c>
      <c r="F472" s="7686">
        <f t="shared" si="176"/>
        <v>0</v>
      </c>
      <c r="G472" s="7686" t="str">
        <f t="shared" si="168"/>
        <v>0</v>
      </c>
      <c r="H472" s="7687" t="str">
        <f t="shared" si="169"/>
        <v/>
      </c>
      <c r="I472" s="7685" t="str">
        <f t="shared" si="170"/>
        <v/>
      </c>
      <c r="M472" s="7622">
        <f t="shared" si="171"/>
        <v>1</v>
      </c>
      <c r="N472" s="7688">
        <f t="shared" si="172"/>
        <v>455</v>
      </c>
      <c r="O472" s="7661" t="str">
        <f t="shared" si="173"/>
        <v>0</v>
      </c>
      <c r="P472" s="7688">
        <f t="shared" si="174"/>
        <v>1</v>
      </c>
      <c r="Q472" s="7688">
        <f t="shared" si="175"/>
        <v>1</v>
      </c>
      <c r="CA472" s="3170" t="s">
        <v>17182</v>
      </c>
      <c r="CB472" s="7634" t="s">
        <v>16255</v>
      </c>
      <c r="CC472" s="3170" t="s">
        <v>17267</v>
      </c>
      <c r="CD472" s="3170" t="s">
        <v>17268</v>
      </c>
    </row>
    <row r="473" spans="2:82">
      <c r="B473" s="7685"/>
      <c r="C473" s="7685"/>
      <c r="D473" s="7685"/>
      <c r="E473" s="7685">
        <f>IF(H472&lt;&gt;"",E472,IF(E472="","",IFERROR(MATCH(TRUE(),INDEX(INDEX($K:$K,E472+1):$K$203&lt;&gt;"",0),0)+E472,"")))</f>
        <v>648</v>
      </c>
      <c r="F473" s="7686">
        <f t="shared" si="176"/>
        <v>0</v>
      </c>
      <c r="G473" s="7686" t="str">
        <f t="shared" si="168"/>
        <v>0</v>
      </c>
      <c r="H473" s="7687" t="str">
        <f t="shared" si="169"/>
        <v/>
      </c>
      <c r="I473" s="7685" t="str">
        <f t="shared" si="170"/>
        <v/>
      </c>
      <c r="M473" s="7622">
        <f t="shared" si="171"/>
        <v>1</v>
      </c>
      <c r="N473" s="7688">
        <f t="shared" si="172"/>
        <v>456</v>
      </c>
      <c r="O473" s="7661" t="str">
        <f t="shared" si="173"/>
        <v>0</v>
      </c>
      <c r="P473" s="7688">
        <f t="shared" si="174"/>
        <v>1</v>
      </c>
      <c r="Q473" s="7688">
        <f t="shared" si="175"/>
        <v>1</v>
      </c>
      <c r="CA473" s="3170" t="s">
        <v>17269</v>
      </c>
      <c r="CB473" s="7634" t="s">
        <v>16255</v>
      </c>
      <c r="CC473" s="3170" t="s">
        <v>17270</v>
      </c>
      <c r="CD473" s="3170" t="s">
        <v>17271</v>
      </c>
    </row>
    <row r="474" spans="2:82">
      <c r="B474" s="7685"/>
      <c r="C474" s="7685"/>
      <c r="D474" s="7685"/>
      <c r="E474" s="7685">
        <f>IF(H473&lt;&gt;"",E473,IF(E473="","",IFERROR(MATCH(TRUE(),INDEX(INDEX($K:$K,E473+1):$K$203&lt;&gt;"",0),0)+E473,"")))</f>
        <v>649</v>
      </c>
      <c r="F474" s="7686">
        <f t="shared" si="176"/>
        <v>0</v>
      </c>
      <c r="G474" s="7686" t="str">
        <f t="shared" si="168"/>
        <v>0</v>
      </c>
      <c r="H474" s="7687" t="str">
        <f t="shared" si="169"/>
        <v/>
      </c>
      <c r="I474" s="7685" t="str">
        <f t="shared" si="170"/>
        <v/>
      </c>
      <c r="M474" s="7622">
        <f t="shared" si="171"/>
        <v>1</v>
      </c>
      <c r="N474" s="7688">
        <f t="shared" si="172"/>
        <v>457</v>
      </c>
      <c r="O474" s="7661" t="str">
        <f t="shared" si="173"/>
        <v>0</v>
      </c>
      <c r="P474" s="7688">
        <f t="shared" si="174"/>
        <v>1</v>
      </c>
      <c r="Q474" s="7688">
        <f t="shared" si="175"/>
        <v>1</v>
      </c>
      <c r="CA474" s="3170" t="s">
        <v>17269</v>
      </c>
      <c r="CB474" s="7634" t="s">
        <v>16255</v>
      </c>
      <c r="CC474" s="3170" t="s">
        <v>17272</v>
      </c>
      <c r="CD474" s="3170" t="s">
        <v>17273</v>
      </c>
    </row>
    <row r="475" spans="2:82">
      <c r="B475" s="7685"/>
      <c r="C475" s="7685"/>
      <c r="D475" s="7685"/>
      <c r="E475" s="7685">
        <f>IF(H474&lt;&gt;"",E474,IF(E474="","",IFERROR(MATCH(TRUE(),INDEX(INDEX($K:$K,E474+1):$K$203&lt;&gt;"",0),0)+E474,"")))</f>
        <v>650</v>
      </c>
      <c r="F475" s="7686">
        <f t="shared" si="176"/>
        <v>0</v>
      </c>
      <c r="G475" s="7686" t="str">
        <f t="shared" si="168"/>
        <v>0</v>
      </c>
      <c r="H475" s="7687" t="str">
        <f t="shared" si="169"/>
        <v/>
      </c>
      <c r="I475" s="7685" t="str">
        <f t="shared" si="170"/>
        <v/>
      </c>
      <c r="M475" s="7622">
        <f t="shared" si="171"/>
        <v>1</v>
      </c>
      <c r="N475" s="7688">
        <f t="shared" si="172"/>
        <v>458</v>
      </c>
      <c r="O475" s="7661" t="str">
        <f t="shared" si="173"/>
        <v>0</v>
      </c>
      <c r="P475" s="7688">
        <f t="shared" si="174"/>
        <v>1</v>
      </c>
      <c r="Q475" s="7688">
        <f t="shared" si="175"/>
        <v>1</v>
      </c>
      <c r="CA475" s="3170" t="s">
        <v>17269</v>
      </c>
      <c r="CB475" s="7634" t="s">
        <v>16255</v>
      </c>
      <c r="CC475" s="3170" t="s">
        <v>17274</v>
      </c>
      <c r="CD475" s="3170" t="s">
        <v>17275</v>
      </c>
    </row>
    <row r="476" spans="2:82">
      <c r="B476" s="7685"/>
      <c r="C476" s="7685"/>
      <c r="D476" s="7685"/>
      <c r="E476" s="7685">
        <f>IF(H475&lt;&gt;"",E475,IF(E475="","",IFERROR(MATCH(TRUE(),INDEX(INDEX($K:$K,E475+1):$K$203&lt;&gt;"",0),0)+E475,"")))</f>
        <v>651</v>
      </c>
      <c r="F476" s="7686">
        <f t="shared" si="176"/>
        <v>0</v>
      </c>
      <c r="G476" s="7686" t="str">
        <f t="shared" si="168"/>
        <v>0</v>
      </c>
      <c r="H476" s="7687" t="str">
        <f t="shared" si="169"/>
        <v/>
      </c>
      <c r="I476" s="7685" t="str">
        <f t="shared" si="170"/>
        <v/>
      </c>
      <c r="M476" s="7622">
        <f t="shared" si="171"/>
        <v>1</v>
      </c>
      <c r="N476" s="7688">
        <f t="shared" si="172"/>
        <v>459</v>
      </c>
      <c r="O476" s="7661" t="str">
        <f t="shared" si="173"/>
        <v>0</v>
      </c>
      <c r="P476" s="7688">
        <f t="shared" si="174"/>
        <v>1</v>
      </c>
      <c r="Q476" s="7688">
        <f t="shared" si="175"/>
        <v>1</v>
      </c>
      <c r="CA476" s="3170" t="s">
        <v>17269</v>
      </c>
      <c r="CB476" s="7634" t="s">
        <v>16255</v>
      </c>
      <c r="CC476" s="3170" t="s">
        <v>17276</v>
      </c>
      <c r="CD476" s="3170" t="s">
        <v>17277</v>
      </c>
    </row>
    <row r="477" spans="2:82">
      <c r="B477" s="7685"/>
      <c r="C477" s="7685"/>
      <c r="D477" s="7685"/>
      <c r="E477" s="7685">
        <f>IF(H476&lt;&gt;"",E476,IF(E476="","",IFERROR(MATCH(TRUE(),INDEX(INDEX($K:$K,E476+1):$K$203&lt;&gt;"",0),0)+E476,"")))</f>
        <v>652</v>
      </c>
      <c r="F477" s="7686">
        <f t="shared" si="176"/>
        <v>0</v>
      </c>
      <c r="G477" s="7686" t="str">
        <f t="shared" si="168"/>
        <v>0</v>
      </c>
      <c r="H477" s="7687" t="str">
        <f t="shared" si="169"/>
        <v/>
      </c>
      <c r="I477" s="7685" t="str">
        <f t="shared" si="170"/>
        <v/>
      </c>
      <c r="M477" s="7622">
        <f t="shared" si="171"/>
        <v>1</v>
      </c>
      <c r="N477" s="7688">
        <f t="shared" si="172"/>
        <v>460</v>
      </c>
      <c r="O477" s="7661" t="str">
        <f t="shared" si="173"/>
        <v>0</v>
      </c>
      <c r="P477" s="7688">
        <f t="shared" si="174"/>
        <v>1</v>
      </c>
      <c r="Q477" s="7688">
        <f t="shared" si="175"/>
        <v>1</v>
      </c>
      <c r="CA477" s="3170" t="s">
        <v>17269</v>
      </c>
      <c r="CB477" s="7634" t="s">
        <v>16255</v>
      </c>
      <c r="CC477" s="3170" t="s">
        <v>17278</v>
      </c>
      <c r="CD477" s="3170" t="s">
        <v>17279</v>
      </c>
    </row>
    <row r="478" spans="2:82">
      <c r="B478" s="7685"/>
      <c r="C478" s="7685"/>
      <c r="D478" s="7685"/>
      <c r="E478" s="7685">
        <f>IF(H477&lt;&gt;"",E477,IF(E477="","",IFERROR(MATCH(TRUE(),INDEX(INDEX($K:$K,E477+1):$K$203&lt;&gt;"",0),0)+E477,"")))</f>
        <v>653</v>
      </c>
      <c r="F478" s="7686">
        <f t="shared" si="176"/>
        <v>0</v>
      </c>
      <c r="G478" s="7686" t="str">
        <f t="shared" si="168"/>
        <v>0</v>
      </c>
      <c r="H478" s="7687" t="str">
        <f t="shared" si="169"/>
        <v/>
      </c>
      <c r="I478" s="7685" t="str">
        <f t="shared" si="170"/>
        <v/>
      </c>
      <c r="M478" s="7622">
        <f t="shared" si="171"/>
        <v>1</v>
      </c>
      <c r="N478" s="7688">
        <f t="shared" si="172"/>
        <v>461</v>
      </c>
      <c r="O478" s="7661" t="str">
        <f t="shared" si="173"/>
        <v>0</v>
      </c>
      <c r="P478" s="7688">
        <f t="shared" si="174"/>
        <v>1</v>
      </c>
      <c r="Q478" s="7688">
        <f t="shared" si="175"/>
        <v>1</v>
      </c>
      <c r="CA478" s="3170" t="s">
        <v>17269</v>
      </c>
      <c r="CB478" s="7634" t="s">
        <v>16255</v>
      </c>
      <c r="CC478" s="3170" t="s">
        <v>17280</v>
      </c>
      <c r="CD478" s="3170" t="s">
        <v>17281</v>
      </c>
    </row>
    <row r="479" spans="2:82">
      <c r="B479" s="7685"/>
      <c r="C479" s="7685"/>
      <c r="D479" s="7685"/>
      <c r="E479" s="7685">
        <f>IF(H478&lt;&gt;"",E478,IF(E478="","",IFERROR(MATCH(TRUE(),INDEX(INDEX($K:$K,E478+1):$K$203&lt;&gt;"",0),0)+E478,"")))</f>
        <v>654</v>
      </c>
      <c r="F479" s="7686">
        <f t="shared" si="176"/>
        <v>0</v>
      </c>
      <c r="G479" s="7686" t="str">
        <f t="shared" si="168"/>
        <v>0</v>
      </c>
      <c r="H479" s="7687" t="str">
        <f t="shared" si="169"/>
        <v/>
      </c>
      <c r="I479" s="7685" t="str">
        <f t="shared" si="170"/>
        <v/>
      </c>
      <c r="M479" s="7622">
        <f t="shared" si="171"/>
        <v>1</v>
      </c>
      <c r="N479" s="7688">
        <f t="shared" si="172"/>
        <v>462</v>
      </c>
      <c r="O479" s="7661" t="str">
        <f t="shared" si="173"/>
        <v>0</v>
      </c>
      <c r="P479" s="7688">
        <f t="shared" si="174"/>
        <v>1</v>
      </c>
      <c r="Q479" s="7688">
        <f t="shared" si="175"/>
        <v>1</v>
      </c>
      <c r="CA479" s="3170" t="s">
        <v>17269</v>
      </c>
      <c r="CB479" s="7634" t="s">
        <v>16255</v>
      </c>
      <c r="CC479" s="3170" t="s">
        <v>17282</v>
      </c>
      <c r="CD479" s="3170" t="s">
        <v>17283</v>
      </c>
    </row>
    <row r="480" spans="2:82">
      <c r="B480" s="7685"/>
      <c r="C480" s="7685"/>
      <c r="D480" s="7685"/>
      <c r="E480" s="7685">
        <f>IF(H479&lt;&gt;"",E479,IF(E479="","",IFERROR(MATCH(TRUE(),INDEX(INDEX($K:$K,E479+1):$K$203&lt;&gt;"",0),0)+E479,"")))</f>
        <v>655</v>
      </c>
      <c r="F480" s="7686">
        <f t="shared" si="176"/>
        <v>0</v>
      </c>
      <c r="G480" s="7686" t="str">
        <f t="shared" si="168"/>
        <v>0</v>
      </c>
      <c r="H480" s="7687" t="str">
        <f t="shared" si="169"/>
        <v/>
      </c>
      <c r="I480" s="7685" t="str">
        <f t="shared" si="170"/>
        <v/>
      </c>
      <c r="M480" s="7622">
        <f t="shared" si="171"/>
        <v>1</v>
      </c>
      <c r="N480" s="7688">
        <f t="shared" si="172"/>
        <v>463</v>
      </c>
      <c r="O480" s="7661" t="str">
        <f t="shared" si="173"/>
        <v>0</v>
      </c>
      <c r="P480" s="7688">
        <f t="shared" si="174"/>
        <v>1</v>
      </c>
      <c r="Q480" s="7688">
        <f t="shared" si="175"/>
        <v>1</v>
      </c>
      <c r="CA480" s="3170" t="s">
        <v>17269</v>
      </c>
      <c r="CB480" s="7634" t="s">
        <v>16255</v>
      </c>
      <c r="CC480" s="3170" t="s">
        <v>17284</v>
      </c>
      <c r="CD480" s="3170" t="s">
        <v>17285</v>
      </c>
    </row>
    <row r="481" spans="2:82">
      <c r="B481" s="7685"/>
      <c r="C481" s="7685"/>
      <c r="D481" s="7685"/>
      <c r="E481" s="7685">
        <f>IF(H480&lt;&gt;"",E480,IF(E480="","",IFERROR(MATCH(TRUE(),INDEX(INDEX($K:$K,E480+1):$K$203&lt;&gt;"",0),0)+E480,"")))</f>
        <v>656</v>
      </c>
      <c r="F481" s="7686">
        <f t="shared" si="176"/>
        <v>0</v>
      </c>
      <c r="G481" s="7686" t="str">
        <f t="shared" si="168"/>
        <v>0</v>
      </c>
      <c r="H481" s="7687" t="str">
        <f t="shared" si="169"/>
        <v/>
      </c>
      <c r="I481" s="7685" t="str">
        <f t="shared" si="170"/>
        <v/>
      </c>
      <c r="M481" s="7622">
        <f t="shared" si="171"/>
        <v>1</v>
      </c>
      <c r="N481" s="7688">
        <f t="shared" si="172"/>
        <v>464</v>
      </c>
      <c r="O481" s="7661" t="str">
        <f t="shared" si="173"/>
        <v>0</v>
      </c>
      <c r="P481" s="7688">
        <f t="shared" si="174"/>
        <v>1</v>
      </c>
      <c r="Q481" s="7688">
        <f t="shared" si="175"/>
        <v>1</v>
      </c>
      <c r="CA481" s="3170" t="s">
        <v>17269</v>
      </c>
      <c r="CB481" s="7634" t="s">
        <v>16255</v>
      </c>
      <c r="CC481" s="3170" t="s">
        <v>17286</v>
      </c>
      <c r="CD481" s="3170" t="s">
        <v>17287</v>
      </c>
    </row>
    <row r="482" spans="2:82">
      <c r="B482" s="7685"/>
      <c r="C482" s="7685"/>
      <c r="D482" s="7685"/>
      <c r="E482" s="7685">
        <f>IF(H481&lt;&gt;"",E481,IF(E481="","",IFERROR(MATCH(TRUE(),INDEX(INDEX($K:$K,E481+1):$K$203&lt;&gt;"",0),0)+E481,"")))</f>
        <v>657</v>
      </c>
      <c r="F482" s="7686">
        <f t="shared" si="176"/>
        <v>0</v>
      </c>
      <c r="G482" s="7686" t="str">
        <f t="shared" si="168"/>
        <v>0</v>
      </c>
      <c r="H482" s="7687" t="str">
        <f t="shared" si="169"/>
        <v/>
      </c>
      <c r="I482" s="7685" t="str">
        <f t="shared" si="170"/>
        <v/>
      </c>
      <c r="M482" s="7622">
        <f t="shared" si="171"/>
        <v>1</v>
      </c>
      <c r="N482" s="7688">
        <f t="shared" si="172"/>
        <v>465</v>
      </c>
      <c r="O482" s="7661" t="str">
        <f t="shared" si="173"/>
        <v>0</v>
      </c>
      <c r="P482" s="7688">
        <f t="shared" si="174"/>
        <v>1</v>
      </c>
      <c r="Q482" s="7688">
        <f t="shared" si="175"/>
        <v>1</v>
      </c>
      <c r="CA482" s="3170" t="s">
        <v>17269</v>
      </c>
      <c r="CB482" s="7634" t="s">
        <v>16255</v>
      </c>
      <c r="CC482" s="3170" t="s">
        <v>17288</v>
      </c>
      <c r="CD482" s="3170" t="s">
        <v>17289</v>
      </c>
    </row>
    <row r="483" spans="2:82">
      <c r="B483" s="7685"/>
      <c r="C483" s="7685"/>
      <c r="D483" s="7685"/>
      <c r="E483" s="7685">
        <f>IF(H482&lt;&gt;"",E482,IF(E482="","",IFERROR(MATCH(TRUE(),INDEX(INDEX($K:$K,E482+1):$K$203&lt;&gt;"",0),0)+E482,"")))</f>
        <v>658</v>
      </c>
      <c r="F483" s="7686">
        <f t="shared" si="176"/>
        <v>0</v>
      </c>
      <c r="G483" s="7686" t="str">
        <f t="shared" si="168"/>
        <v>0</v>
      </c>
      <c r="H483" s="7687" t="str">
        <f t="shared" si="169"/>
        <v/>
      </c>
      <c r="I483" s="7685" t="str">
        <f t="shared" si="170"/>
        <v/>
      </c>
      <c r="M483" s="7622">
        <f t="shared" si="171"/>
        <v>1</v>
      </c>
      <c r="N483" s="7688">
        <f t="shared" si="172"/>
        <v>466</v>
      </c>
      <c r="O483" s="7661" t="str">
        <f t="shared" si="173"/>
        <v>0</v>
      </c>
      <c r="P483" s="7688">
        <f t="shared" si="174"/>
        <v>1</v>
      </c>
      <c r="Q483" s="7688">
        <f t="shared" si="175"/>
        <v>1</v>
      </c>
      <c r="CA483" s="3170" t="s">
        <v>17269</v>
      </c>
      <c r="CB483" s="7634" t="s">
        <v>16255</v>
      </c>
      <c r="CC483" s="3170" t="s">
        <v>17290</v>
      </c>
      <c r="CD483" s="3170" t="s">
        <v>17291</v>
      </c>
    </row>
    <row r="484" spans="2:82">
      <c r="B484" s="7685"/>
      <c r="C484" s="7685"/>
      <c r="D484" s="7685"/>
      <c r="E484" s="7685">
        <f>IF(H483&lt;&gt;"",E483,IF(E483="","",IFERROR(MATCH(TRUE(),INDEX(INDEX($K:$K,E483+1):$K$203&lt;&gt;"",0),0)+E483,"")))</f>
        <v>659</v>
      </c>
      <c r="F484" s="7686">
        <f t="shared" si="176"/>
        <v>0</v>
      </c>
      <c r="G484" s="7686" t="str">
        <f t="shared" si="168"/>
        <v>0</v>
      </c>
      <c r="H484" s="7687" t="str">
        <f t="shared" si="169"/>
        <v/>
      </c>
      <c r="I484" s="7685" t="str">
        <f t="shared" si="170"/>
        <v/>
      </c>
      <c r="M484" s="7622">
        <f t="shared" si="171"/>
        <v>1</v>
      </c>
      <c r="N484" s="7688">
        <f t="shared" si="172"/>
        <v>467</v>
      </c>
      <c r="O484" s="7661" t="str">
        <f t="shared" si="173"/>
        <v>0</v>
      </c>
      <c r="P484" s="7688">
        <f t="shared" si="174"/>
        <v>1</v>
      </c>
      <c r="Q484" s="7688">
        <f t="shared" si="175"/>
        <v>1</v>
      </c>
      <c r="CA484" s="3170" t="s">
        <v>17269</v>
      </c>
      <c r="CB484" s="7634" t="s">
        <v>16255</v>
      </c>
      <c r="CC484" s="3170" t="s">
        <v>17292</v>
      </c>
      <c r="CD484" s="3170" t="s">
        <v>17293</v>
      </c>
    </row>
    <row r="485" spans="2:82">
      <c r="B485" s="7685"/>
      <c r="C485" s="7685"/>
      <c r="D485" s="7685"/>
      <c r="E485" s="7685">
        <f>IF(H484&lt;&gt;"",E484,IF(E484="","",IFERROR(MATCH(TRUE(),INDEX(INDEX($K:$K,E484+1):$K$203&lt;&gt;"",0),0)+E484,"")))</f>
        <v>660</v>
      </c>
      <c r="F485" s="7686">
        <f t="shared" si="176"/>
        <v>0</v>
      </c>
      <c r="G485" s="7686" t="str">
        <f t="shared" si="168"/>
        <v>0</v>
      </c>
      <c r="H485" s="7687" t="str">
        <f t="shared" si="169"/>
        <v/>
      </c>
      <c r="I485" s="7685" t="str">
        <f t="shared" si="170"/>
        <v/>
      </c>
      <c r="M485" s="7622">
        <f t="shared" si="171"/>
        <v>1</v>
      </c>
      <c r="N485" s="7688">
        <f t="shared" si="172"/>
        <v>468</v>
      </c>
      <c r="O485" s="7661" t="str">
        <f t="shared" si="173"/>
        <v>0</v>
      </c>
      <c r="P485" s="7688">
        <f t="shared" si="174"/>
        <v>1</v>
      </c>
      <c r="Q485" s="7688">
        <f t="shared" si="175"/>
        <v>1</v>
      </c>
      <c r="CA485" s="3170" t="s">
        <v>17269</v>
      </c>
      <c r="CB485" s="7634" t="s">
        <v>16255</v>
      </c>
      <c r="CC485" s="3170" t="s">
        <v>17294</v>
      </c>
      <c r="CD485" s="3170" t="s">
        <v>17295</v>
      </c>
    </row>
    <row r="486" spans="2:82">
      <c r="B486" s="7685"/>
      <c r="C486" s="7685"/>
      <c r="D486" s="7685"/>
      <c r="E486" s="7685">
        <f>IF(H485&lt;&gt;"",E485,IF(E485="","",IFERROR(MATCH(TRUE(),INDEX(INDEX($K:$K,E485+1):$K$203&lt;&gt;"",0),0)+E485,"")))</f>
        <v>661</v>
      </c>
      <c r="F486" s="7686">
        <f t="shared" si="176"/>
        <v>0</v>
      </c>
      <c r="G486" s="7686" t="str">
        <f t="shared" si="168"/>
        <v>0</v>
      </c>
      <c r="H486" s="7687" t="str">
        <f t="shared" si="169"/>
        <v/>
      </c>
      <c r="I486" s="7685" t="str">
        <f t="shared" si="170"/>
        <v/>
      </c>
      <c r="M486" s="7622">
        <f t="shared" si="171"/>
        <v>1</v>
      </c>
      <c r="N486" s="7688">
        <f t="shared" si="172"/>
        <v>469</v>
      </c>
      <c r="O486" s="7661" t="str">
        <f t="shared" si="173"/>
        <v>0</v>
      </c>
      <c r="P486" s="7688">
        <f t="shared" si="174"/>
        <v>1</v>
      </c>
      <c r="Q486" s="7688">
        <f t="shared" si="175"/>
        <v>1</v>
      </c>
      <c r="CA486" s="3170" t="s">
        <v>17269</v>
      </c>
      <c r="CB486" s="7634" t="s">
        <v>16255</v>
      </c>
      <c r="CC486" s="3170" t="s">
        <v>17296</v>
      </c>
      <c r="CD486" s="3170" t="s">
        <v>17297</v>
      </c>
    </row>
    <row r="487" spans="2:82">
      <c r="B487" s="7685"/>
      <c r="C487" s="7685"/>
      <c r="D487" s="7685"/>
      <c r="E487" s="7685">
        <f>IF(H486&lt;&gt;"",E486,IF(E486="","",IFERROR(MATCH(TRUE(),INDEX(INDEX($K:$K,E486+1):$K$203&lt;&gt;"",0),0)+E486,"")))</f>
        <v>662</v>
      </c>
      <c r="F487" s="7686">
        <f t="shared" si="176"/>
        <v>0</v>
      </c>
      <c r="G487" s="7686" t="str">
        <f t="shared" si="168"/>
        <v>0</v>
      </c>
      <c r="H487" s="7687" t="str">
        <f t="shared" si="169"/>
        <v/>
      </c>
      <c r="I487" s="7685" t="str">
        <f t="shared" si="170"/>
        <v/>
      </c>
      <c r="M487" s="7622">
        <f t="shared" si="171"/>
        <v>1</v>
      </c>
      <c r="N487" s="7688">
        <f t="shared" si="172"/>
        <v>470</v>
      </c>
      <c r="O487" s="7661" t="str">
        <f t="shared" si="173"/>
        <v>0</v>
      </c>
      <c r="P487" s="7688">
        <f t="shared" si="174"/>
        <v>1</v>
      </c>
      <c r="Q487" s="7688">
        <f t="shared" si="175"/>
        <v>1</v>
      </c>
      <c r="CA487" s="3170" t="s">
        <v>17269</v>
      </c>
      <c r="CB487" s="7634" t="s">
        <v>16255</v>
      </c>
      <c r="CC487" s="3170" t="s">
        <v>17298</v>
      </c>
      <c r="CD487" s="3170" t="s">
        <v>17299</v>
      </c>
    </row>
    <row r="488" spans="2:82">
      <c r="B488" s="7685"/>
      <c r="C488" s="7685"/>
      <c r="D488" s="7685"/>
      <c r="E488" s="7685">
        <f>IF(H487&lt;&gt;"",E487,IF(E487="","",IFERROR(MATCH(TRUE(),INDEX(INDEX($K:$K,E487+1):$K$203&lt;&gt;"",0),0)+E487,"")))</f>
        <v>663</v>
      </c>
      <c r="F488" s="7686">
        <f t="shared" si="176"/>
        <v>0</v>
      </c>
      <c r="G488" s="7686" t="str">
        <f t="shared" si="168"/>
        <v>0</v>
      </c>
      <c r="H488" s="7687" t="str">
        <f t="shared" si="169"/>
        <v/>
      </c>
      <c r="I488" s="7685" t="str">
        <f t="shared" si="170"/>
        <v/>
      </c>
      <c r="M488" s="7622">
        <f t="shared" si="171"/>
        <v>1</v>
      </c>
      <c r="N488" s="7688">
        <f t="shared" si="172"/>
        <v>471</v>
      </c>
      <c r="O488" s="7661" t="str">
        <f t="shared" si="173"/>
        <v>0</v>
      </c>
      <c r="P488" s="7688">
        <f t="shared" si="174"/>
        <v>1</v>
      </c>
      <c r="Q488" s="7688">
        <f t="shared" si="175"/>
        <v>1</v>
      </c>
      <c r="CA488" s="3170" t="s">
        <v>17269</v>
      </c>
      <c r="CB488" s="7634" t="s">
        <v>16255</v>
      </c>
      <c r="CC488" s="3170" t="s">
        <v>17300</v>
      </c>
      <c r="CD488" s="3170" t="s">
        <v>17301</v>
      </c>
    </row>
    <row r="489" spans="2:82">
      <c r="B489" s="7685"/>
      <c r="C489" s="7685"/>
      <c r="D489" s="7685"/>
      <c r="E489" s="7685">
        <f>IF(H488&lt;&gt;"",E488,IF(E488="","",IFERROR(MATCH(TRUE(),INDEX(INDEX($K:$K,E488+1):$K$203&lt;&gt;"",0),0)+E488,"")))</f>
        <v>664</v>
      </c>
      <c r="F489" s="7686">
        <f t="shared" si="176"/>
        <v>0</v>
      </c>
      <c r="G489" s="7686" t="str">
        <f t="shared" si="168"/>
        <v>0</v>
      </c>
      <c r="H489" s="7687" t="str">
        <f t="shared" si="169"/>
        <v/>
      </c>
      <c r="I489" s="7685" t="str">
        <f t="shared" si="170"/>
        <v/>
      </c>
      <c r="M489" s="7622">
        <f t="shared" si="171"/>
        <v>1</v>
      </c>
      <c r="N489" s="7688">
        <f t="shared" si="172"/>
        <v>472</v>
      </c>
      <c r="O489" s="7661" t="str">
        <f t="shared" si="173"/>
        <v>0</v>
      </c>
      <c r="P489" s="7688">
        <f t="shared" si="174"/>
        <v>1</v>
      </c>
      <c r="Q489" s="7688">
        <f t="shared" si="175"/>
        <v>1</v>
      </c>
      <c r="CA489" s="3170" t="s">
        <v>17269</v>
      </c>
      <c r="CB489" s="7634" t="s">
        <v>16255</v>
      </c>
      <c r="CC489" s="3170" t="s">
        <v>17302</v>
      </c>
      <c r="CD489" s="3170" t="s">
        <v>17303</v>
      </c>
    </row>
    <row r="490" spans="2:82">
      <c r="B490" s="7685"/>
      <c r="C490" s="7685"/>
      <c r="D490" s="7685"/>
      <c r="E490" s="7685">
        <f>IF(H489&lt;&gt;"",E489,IF(E489="","",IFERROR(MATCH(TRUE(),INDEX(INDEX($K:$K,E489+1):$K$203&lt;&gt;"",0),0)+E489,"")))</f>
        <v>665</v>
      </c>
      <c r="F490" s="7686">
        <f t="shared" si="176"/>
        <v>0</v>
      </c>
      <c r="G490" s="7686" t="str">
        <f t="shared" si="168"/>
        <v>0</v>
      </c>
      <c r="H490" s="7687" t="str">
        <f t="shared" si="169"/>
        <v/>
      </c>
      <c r="I490" s="7685" t="str">
        <f t="shared" si="170"/>
        <v/>
      </c>
      <c r="M490" s="7622">
        <f t="shared" si="171"/>
        <v>1</v>
      </c>
      <c r="N490" s="7688">
        <f t="shared" si="172"/>
        <v>473</v>
      </c>
      <c r="O490" s="7661" t="str">
        <f t="shared" si="173"/>
        <v>0</v>
      </c>
      <c r="P490" s="7688">
        <f t="shared" si="174"/>
        <v>1</v>
      </c>
      <c r="Q490" s="7688">
        <f t="shared" si="175"/>
        <v>1</v>
      </c>
      <c r="CA490" s="3170" t="s">
        <v>17269</v>
      </c>
      <c r="CB490" s="7634" t="s">
        <v>16255</v>
      </c>
      <c r="CC490" s="3170" t="s">
        <v>17304</v>
      </c>
      <c r="CD490" s="3170" t="s">
        <v>17305</v>
      </c>
    </row>
    <row r="491" spans="2:82">
      <c r="B491" s="7685"/>
      <c r="C491" s="7685"/>
      <c r="D491" s="7685"/>
      <c r="E491" s="7685">
        <f>IF(H490&lt;&gt;"",E490,IF(E490="","",IFERROR(MATCH(TRUE(),INDEX(INDEX($K:$K,E490+1):$K$203&lt;&gt;"",0),0)+E490,"")))</f>
        <v>666</v>
      </c>
      <c r="F491" s="7686">
        <f t="shared" si="176"/>
        <v>0</v>
      </c>
      <c r="G491" s="7686" t="str">
        <f t="shared" si="168"/>
        <v>0</v>
      </c>
      <c r="H491" s="7687" t="str">
        <f t="shared" si="169"/>
        <v/>
      </c>
      <c r="I491" s="7685" t="str">
        <f t="shared" si="170"/>
        <v/>
      </c>
      <c r="M491" s="7622">
        <f t="shared" si="171"/>
        <v>1</v>
      </c>
      <c r="N491" s="7688">
        <f t="shared" si="172"/>
        <v>474</v>
      </c>
      <c r="O491" s="7661" t="str">
        <f t="shared" si="173"/>
        <v>0</v>
      </c>
      <c r="P491" s="7688">
        <f t="shared" si="174"/>
        <v>1</v>
      </c>
      <c r="Q491" s="7688">
        <f t="shared" si="175"/>
        <v>1</v>
      </c>
      <c r="CA491" s="3170" t="s">
        <v>17269</v>
      </c>
      <c r="CB491" s="7634" t="s">
        <v>16255</v>
      </c>
      <c r="CC491" s="3170" t="s">
        <v>17306</v>
      </c>
      <c r="CD491" s="3170" t="s">
        <v>17307</v>
      </c>
    </row>
    <row r="492" spans="2:82">
      <c r="B492" s="7685"/>
      <c r="C492" s="7685"/>
      <c r="D492" s="7685"/>
      <c r="E492" s="7685">
        <f>IF(H491&lt;&gt;"",E491,IF(E491="","",IFERROR(MATCH(TRUE(),INDEX(INDEX($K:$K,E491+1):$K$203&lt;&gt;"",0),0)+E491,"")))</f>
        <v>667</v>
      </c>
      <c r="F492" s="7686">
        <f t="shared" si="176"/>
        <v>0</v>
      </c>
      <c r="G492" s="7686" t="str">
        <f t="shared" si="168"/>
        <v>0</v>
      </c>
      <c r="H492" s="7687" t="str">
        <f t="shared" si="169"/>
        <v/>
      </c>
      <c r="I492" s="7685" t="str">
        <f t="shared" si="170"/>
        <v/>
      </c>
      <c r="M492" s="7622">
        <f t="shared" si="171"/>
        <v>1</v>
      </c>
      <c r="N492" s="7688">
        <f t="shared" si="172"/>
        <v>475</v>
      </c>
      <c r="O492" s="7661" t="str">
        <f t="shared" si="173"/>
        <v>0</v>
      </c>
      <c r="P492" s="7688">
        <f t="shared" si="174"/>
        <v>1</v>
      </c>
      <c r="Q492" s="7688">
        <f t="shared" si="175"/>
        <v>1</v>
      </c>
      <c r="CA492" s="3170" t="s">
        <v>17269</v>
      </c>
      <c r="CB492" s="7634" t="s">
        <v>16255</v>
      </c>
      <c r="CC492" s="3170" t="s">
        <v>17308</v>
      </c>
      <c r="CD492" s="3170" t="s">
        <v>17309</v>
      </c>
    </row>
    <row r="493" spans="2:82">
      <c r="B493" s="7685"/>
      <c r="C493" s="7685"/>
      <c r="D493" s="7685"/>
      <c r="E493" s="7685">
        <f>IF(H492&lt;&gt;"",E492,IF(E492="","",IFERROR(MATCH(TRUE(),INDEX(INDEX($K:$K,E492+1):$K$203&lt;&gt;"",0),0)+E492,"")))</f>
        <v>668</v>
      </c>
      <c r="F493" s="7686">
        <f t="shared" si="176"/>
        <v>0</v>
      </c>
      <c r="G493" s="7686" t="str">
        <f t="shared" si="168"/>
        <v>0</v>
      </c>
      <c r="H493" s="7687" t="str">
        <f t="shared" si="169"/>
        <v/>
      </c>
      <c r="I493" s="7685" t="str">
        <f t="shared" si="170"/>
        <v/>
      </c>
      <c r="M493" s="7622">
        <f t="shared" si="171"/>
        <v>1</v>
      </c>
      <c r="N493" s="7688">
        <f t="shared" si="172"/>
        <v>476</v>
      </c>
      <c r="O493" s="7661" t="str">
        <f t="shared" si="173"/>
        <v>0</v>
      </c>
      <c r="P493" s="7688">
        <f t="shared" si="174"/>
        <v>1</v>
      </c>
      <c r="Q493" s="7688">
        <f t="shared" si="175"/>
        <v>1</v>
      </c>
      <c r="CA493" s="3170" t="s">
        <v>17269</v>
      </c>
      <c r="CB493" s="7634" t="s">
        <v>16255</v>
      </c>
      <c r="CC493" s="3170" t="s">
        <v>17310</v>
      </c>
      <c r="CD493" s="3170" t="s">
        <v>17311</v>
      </c>
    </row>
    <row r="494" spans="2:82">
      <c r="B494" s="7685"/>
      <c r="C494" s="7685"/>
      <c r="D494" s="7685"/>
      <c r="E494" s="7685">
        <f>IF(H493&lt;&gt;"",E493,IF(E493="","",IFERROR(MATCH(TRUE(),INDEX(INDEX($K:$K,E493+1):$K$203&lt;&gt;"",0),0)+E493,"")))</f>
        <v>669</v>
      </c>
      <c r="F494" s="7686">
        <f t="shared" si="176"/>
        <v>0</v>
      </c>
      <c r="G494" s="7686" t="str">
        <f t="shared" si="168"/>
        <v>0</v>
      </c>
      <c r="H494" s="7687" t="str">
        <f t="shared" si="169"/>
        <v/>
      </c>
      <c r="I494" s="7685" t="str">
        <f t="shared" si="170"/>
        <v/>
      </c>
      <c r="M494" s="7622">
        <f t="shared" si="171"/>
        <v>1</v>
      </c>
      <c r="N494" s="7688">
        <f t="shared" si="172"/>
        <v>477</v>
      </c>
      <c r="O494" s="7661" t="str">
        <f t="shared" si="173"/>
        <v>0</v>
      </c>
      <c r="P494" s="7688">
        <f t="shared" si="174"/>
        <v>1</v>
      </c>
      <c r="Q494" s="7688">
        <f t="shared" si="175"/>
        <v>1</v>
      </c>
      <c r="CA494" s="3170" t="s">
        <v>17269</v>
      </c>
      <c r="CB494" s="7634" t="s">
        <v>16255</v>
      </c>
      <c r="CC494" s="3170" t="s">
        <v>17312</v>
      </c>
      <c r="CD494" s="3170" t="s">
        <v>17313</v>
      </c>
    </row>
    <row r="495" spans="2:82">
      <c r="B495" s="7685"/>
      <c r="C495" s="7685"/>
      <c r="D495" s="7685"/>
      <c r="E495" s="7685">
        <f>IF(H494&lt;&gt;"",E494,IF(E494="","",IFERROR(MATCH(TRUE(),INDEX(INDEX($K:$K,E494+1):$K$203&lt;&gt;"",0),0)+E494,"")))</f>
        <v>670</v>
      </c>
      <c r="F495" s="7686">
        <f t="shared" si="176"/>
        <v>0</v>
      </c>
      <c r="G495" s="7686" t="str">
        <f t="shared" si="168"/>
        <v>0</v>
      </c>
      <c r="H495" s="7687" t="str">
        <f t="shared" si="169"/>
        <v/>
      </c>
      <c r="I495" s="7685" t="str">
        <f t="shared" si="170"/>
        <v/>
      </c>
      <c r="M495" s="7622">
        <f t="shared" si="171"/>
        <v>1</v>
      </c>
      <c r="N495" s="7688">
        <f t="shared" si="172"/>
        <v>478</v>
      </c>
      <c r="O495" s="7661" t="str">
        <f t="shared" si="173"/>
        <v>0</v>
      </c>
      <c r="P495" s="7688">
        <f t="shared" si="174"/>
        <v>1</v>
      </c>
      <c r="Q495" s="7688">
        <f t="shared" si="175"/>
        <v>1</v>
      </c>
      <c r="CA495" s="3170" t="s">
        <v>17269</v>
      </c>
      <c r="CB495" s="7634" t="s">
        <v>16255</v>
      </c>
      <c r="CC495" s="3170" t="s">
        <v>17314</v>
      </c>
      <c r="CD495" s="3170" t="s">
        <v>17315</v>
      </c>
    </row>
    <row r="496" spans="2:82">
      <c r="B496" s="7685"/>
      <c r="C496" s="7685"/>
      <c r="D496" s="7685"/>
      <c r="E496" s="7685">
        <f>IF(H495&lt;&gt;"",E495,IF(E495="","",IFERROR(MATCH(TRUE(),INDEX(INDEX($K:$K,E495+1):$K$203&lt;&gt;"",0),0)+E495,"")))</f>
        <v>671</v>
      </c>
      <c r="F496" s="7686">
        <f t="shared" si="176"/>
        <v>0</v>
      </c>
      <c r="G496" s="7686" t="str">
        <f t="shared" si="168"/>
        <v>0</v>
      </c>
      <c r="H496" s="7687" t="str">
        <f t="shared" si="169"/>
        <v/>
      </c>
      <c r="I496" s="7685" t="str">
        <f t="shared" si="170"/>
        <v/>
      </c>
      <c r="M496" s="7622">
        <f t="shared" si="171"/>
        <v>1</v>
      </c>
      <c r="N496" s="7688">
        <f t="shared" si="172"/>
        <v>479</v>
      </c>
      <c r="O496" s="7661" t="str">
        <f t="shared" si="173"/>
        <v>0</v>
      </c>
      <c r="P496" s="7688">
        <f t="shared" si="174"/>
        <v>1</v>
      </c>
      <c r="Q496" s="7688">
        <f t="shared" si="175"/>
        <v>1</v>
      </c>
      <c r="CA496" s="3170" t="s">
        <v>17269</v>
      </c>
      <c r="CB496" s="7634" t="s">
        <v>16255</v>
      </c>
      <c r="CC496" s="3170" t="s">
        <v>17316</v>
      </c>
      <c r="CD496" s="3170" t="s">
        <v>17317</v>
      </c>
    </row>
    <row r="497" spans="2:82">
      <c r="B497" s="7685"/>
      <c r="C497" s="7685"/>
      <c r="D497" s="7685"/>
      <c r="E497" s="7685">
        <f>IF(H496&lt;&gt;"",E496,IF(E496="","",IFERROR(MATCH(TRUE(),INDEX(INDEX($K:$K,E496+1):$K$203&lt;&gt;"",0),0)+E496,"")))</f>
        <v>672</v>
      </c>
      <c r="F497" s="7686">
        <f t="shared" si="176"/>
        <v>0</v>
      </c>
      <c r="G497" s="7686" t="str">
        <f t="shared" si="168"/>
        <v>0</v>
      </c>
      <c r="H497" s="7687" t="str">
        <f t="shared" si="169"/>
        <v/>
      </c>
      <c r="I497" s="7685" t="str">
        <f t="shared" si="170"/>
        <v/>
      </c>
      <c r="M497" s="7622">
        <f t="shared" si="171"/>
        <v>1</v>
      </c>
      <c r="N497" s="7688">
        <f t="shared" si="172"/>
        <v>480</v>
      </c>
      <c r="O497" s="7661" t="str">
        <f t="shared" si="173"/>
        <v>0</v>
      </c>
      <c r="P497" s="7688">
        <f t="shared" si="174"/>
        <v>1</v>
      </c>
      <c r="Q497" s="7688">
        <f t="shared" si="175"/>
        <v>1</v>
      </c>
      <c r="CA497" s="3170" t="s">
        <v>16501</v>
      </c>
      <c r="CB497" s="7689" t="s">
        <v>17318</v>
      </c>
      <c r="CC497" s="3170" t="s">
        <v>17319</v>
      </c>
      <c r="CD497" s="3170" t="s">
        <v>17320</v>
      </c>
    </row>
    <row r="498" spans="2:82">
      <c r="B498" s="7685"/>
      <c r="C498" s="7685"/>
      <c r="D498" s="7685"/>
      <c r="E498" s="7685">
        <f>IF(H497&lt;&gt;"",E497,IF(E497="","",IFERROR(MATCH(TRUE(),INDEX(INDEX($K:$K,E497+1):$K$203&lt;&gt;"",0),0)+E497,"")))</f>
        <v>673</v>
      </c>
      <c r="F498" s="7686">
        <f t="shared" si="176"/>
        <v>0</v>
      </c>
      <c r="G498" s="7686" t="str">
        <f t="shared" si="168"/>
        <v>0</v>
      </c>
      <c r="H498" s="7687" t="str">
        <f t="shared" si="169"/>
        <v/>
      </c>
      <c r="I498" s="7685" t="str">
        <f t="shared" si="170"/>
        <v/>
      </c>
      <c r="M498" s="7622">
        <f t="shared" si="171"/>
        <v>1</v>
      </c>
      <c r="N498" s="7688">
        <f t="shared" si="172"/>
        <v>481</v>
      </c>
      <c r="O498" s="7661" t="str">
        <f t="shared" si="173"/>
        <v>0</v>
      </c>
      <c r="P498" s="7688">
        <f t="shared" si="174"/>
        <v>1</v>
      </c>
      <c r="Q498" s="7688">
        <f t="shared" si="175"/>
        <v>1</v>
      </c>
      <c r="CA498" s="3170" t="s">
        <v>16501</v>
      </c>
      <c r="CB498" s="7689" t="s">
        <v>17318</v>
      </c>
      <c r="CC498" s="3170" t="s">
        <v>17321</v>
      </c>
      <c r="CD498" s="3170" t="s">
        <v>17322</v>
      </c>
    </row>
    <row r="499" spans="2:82">
      <c r="B499" s="7685"/>
      <c r="C499" s="7685"/>
      <c r="D499" s="7685"/>
      <c r="E499" s="7685">
        <f>IF(H498&lt;&gt;"",E498,IF(E498="","",IFERROR(MATCH(TRUE(),INDEX(INDEX($K:$K,E498+1):$K$203&lt;&gt;"",0),0)+E498,"")))</f>
        <v>674</v>
      </c>
      <c r="F499" s="7686">
        <f t="shared" si="176"/>
        <v>0</v>
      </c>
      <c r="G499" s="7686" t="str">
        <f t="shared" si="168"/>
        <v>0</v>
      </c>
      <c r="H499" s="7687" t="str">
        <f t="shared" si="169"/>
        <v/>
      </c>
      <c r="I499" s="7685" t="str">
        <f t="shared" si="170"/>
        <v/>
      </c>
      <c r="M499" s="7622">
        <f t="shared" si="171"/>
        <v>1</v>
      </c>
      <c r="N499" s="7688">
        <f t="shared" si="172"/>
        <v>482</v>
      </c>
      <c r="O499" s="7661" t="str">
        <f t="shared" si="173"/>
        <v>0</v>
      </c>
      <c r="P499" s="7688">
        <f t="shared" si="174"/>
        <v>1</v>
      </c>
      <c r="Q499" s="7688">
        <f t="shared" si="175"/>
        <v>1</v>
      </c>
      <c r="CA499" s="3170" t="s">
        <v>16501</v>
      </c>
      <c r="CB499" s="7689" t="s">
        <v>17318</v>
      </c>
      <c r="CC499" s="3170" t="s">
        <v>17323</v>
      </c>
      <c r="CD499" s="3170" t="s">
        <v>17324</v>
      </c>
    </row>
    <row r="500" spans="2:82">
      <c r="B500" s="7685"/>
      <c r="C500" s="7685"/>
      <c r="D500" s="7685"/>
      <c r="E500" s="7685">
        <f>IF(H499&lt;&gt;"",E499,IF(E499="","",IFERROR(MATCH(TRUE(),INDEX(INDEX($K:$K,E499+1):$K$203&lt;&gt;"",0),0)+E499,"")))</f>
        <v>675</v>
      </c>
      <c r="F500" s="7686">
        <f t="shared" si="176"/>
        <v>0</v>
      </c>
      <c r="G500" s="7686" t="str">
        <f t="shared" si="168"/>
        <v>0</v>
      </c>
      <c r="H500" s="7687" t="str">
        <f t="shared" si="169"/>
        <v/>
      </c>
      <c r="I500" s="7685" t="str">
        <f t="shared" si="170"/>
        <v/>
      </c>
      <c r="M500" s="7622">
        <f t="shared" si="171"/>
        <v>1</v>
      </c>
      <c r="N500" s="7688">
        <f t="shared" si="172"/>
        <v>483</v>
      </c>
      <c r="O500" s="7661" t="str">
        <f t="shared" si="173"/>
        <v>0</v>
      </c>
      <c r="P500" s="7688">
        <f t="shared" si="174"/>
        <v>1</v>
      </c>
      <c r="Q500" s="7688">
        <f t="shared" si="175"/>
        <v>1</v>
      </c>
      <c r="CA500" s="3170" t="s">
        <v>16501</v>
      </c>
      <c r="CB500" s="7689" t="s">
        <v>17318</v>
      </c>
      <c r="CC500" s="3170" t="s">
        <v>17325</v>
      </c>
      <c r="CD500" s="3170" t="s">
        <v>17326</v>
      </c>
    </row>
    <row r="501" spans="2:82">
      <c r="B501" s="7685"/>
      <c r="C501" s="7685"/>
      <c r="D501" s="7685"/>
      <c r="E501" s="7685">
        <f>IF(H500&lt;&gt;"",E500,IF(E500="","",IFERROR(MATCH(TRUE(),INDEX(INDEX($K:$K,E500+1):$K$203&lt;&gt;"",0),0)+E500,"")))</f>
        <v>676</v>
      </c>
      <c r="F501" s="7686">
        <f t="shared" si="176"/>
        <v>0</v>
      </c>
      <c r="G501" s="7686" t="str">
        <f t="shared" si="168"/>
        <v>0</v>
      </c>
      <c r="H501" s="7687" t="str">
        <f t="shared" si="169"/>
        <v/>
      </c>
      <c r="I501" s="7685" t="str">
        <f t="shared" si="170"/>
        <v/>
      </c>
      <c r="M501" s="7622">
        <f t="shared" si="171"/>
        <v>1</v>
      </c>
      <c r="N501" s="7688">
        <f t="shared" si="172"/>
        <v>484</v>
      </c>
      <c r="O501" s="7661" t="str">
        <f t="shared" si="173"/>
        <v>0</v>
      </c>
      <c r="P501" s="7688">
        <f t="shared" si="174"/>
        <v>1</v>
      </c>
      <c r="Q501" s="7688">
        <f t="shared" si="175"/>
        <v>1</v>
      </c>
      <c r="CA501" s="3170" t="s">
        <v>16501</v>
      </c>
      <c r="CB501" s="7689" t="s">
        <v>17318</v>
      </c>
      <c r="CC501" s="3170" t="s">
        <v>17327</v>
      </c>
      <c r="CD501" s="3170" t="s">
        <v>17328</v>
      </c>
    </row>
    <row r="502" spans="2:82">
      <c r="B502" s="7685"/>
      <c r="C502" s="7685"/>
      <c r="D502" s="7685"/>
      <c r="E502" s="7685">
        <f>IF(H501&lt;&gt;"",E501,IF(E501="","",IFERROR(MATCH(TRUE(),INDEX(INDEX($K:$K,E501+1):$K$203&lt;&gt;"",0),0)+E501,"")))</f>
        <v>677</v>
      </c>
      <c r="F502" s="7686">
        <f t="shared" si="176"/>
        <v>0</v>
      </c>
      <c r="G502" s="7686" t="str">
        <f t="shared" si="168"/>
        <v>0</v>
      </c>
      <c r="H502" s="7687" t="str">
        <f t="shared" si="169"/>
        <v/>
      </c>
      <c r="I502" s="7685" t="str">
        <f t="shared" si="170"/>
        <v/>
      </c>
      <c r="M502" s="7622">
        <f t="shared" si="171"/>
        <v>1</v>
      </c>
      <c r="N502" s="7688">
        <f t="shared" si="172"/>
        <v>485</v>
      </c>
      <c r="O502" s="7661" t="str">
        <f t="shared" si="173"/>
        <v>0</v>
      </c>
      <c r="P502" s="7688">
        <f t="shared" si="174"/>
        <v>1</v>
      </c>
      <c r="Q502" s="7688">
        <f t="shared" si="175"/>
        <v>1</v>
      </c>
      <c r="CA502" s="3170" t="s">
        <v>16501</v>
      </c>
      <c r="CB502" s="7689" t="s">
        <v>17318</v>
      </c>
      <c r="CC502" s="3170" t="s">
        <v>17329</v>
      </c>
      <c r="CD502" s="3170" t="s">
        <v>17330</v>
      </c>
    </row>
    <row r="503" spans="2:82">
      <c r="B503" s="7685"/>
      <c r="C503" s="7685"/>
      <c r="D503" s="7685"/>
      <c r="E503" s="7685">
        <f>IF(H502&lt;&gt;"",E502,IF(E502="","",IFERROR(MATCH(TRUE(),INDEX(INDEX($K:$K,E502+1):$K$203&lt;&gt;"",0),0)+E502,"")))</f>
        <v>678</v>
      </c>
      <c r="F503" s="7686">
        <f t="shared" si="176"/>
        <v>0</v>
      </c>
      <c r="G503" s="7686" t="str">
        <f t="shared" si="168"/>
        <v>0</v>
      </c>
      <c r="H503" s="7687" t="str">
        <f t="shared" si="169"/>
        <v/>
      </c>
      <c r="I503" s="7685" t="str">
        <f t="shared" si="170"/>
        <v/>
      </c>
      <c r="M503" s="7622">
        <f t="shared" si="171"/>
        <v>1</v>
      </c>
      <c r="N503" s="7688">
        <f t="shared" si="172"/>
        <v>486</v>
      </c>
      <c r="O503" s="7661" t="str">
        <f t="shared" si="173"/>
        <v>0</v>
      </c>
      <c r="P503" s="7688">
        <f t="shared" si="174"/>
        <v>1</v>
      </c>
      <c r="Q503" s="7688">
        <f t="shared" si="175"/>
        <v>1</v>
      </c>
      <c r="CA503" s="3170" t="s">
        <v>16501</v>
      </c>
      <c r="CB503" s="7689" t="s">
        <v>17318</v>
      </c>
      <c r="CC503" s="3170" t="s">
        <v>17331</v>
      </c>
      <c r="CD503" s="3170" t="s">
        <v>17332</v>
      </c>
    </row>
    <row r="504" spans="2:82">
      <c r="B504" s="7685"/>
      <c r="C504" s="7685"/>
      <c r="D504" s="7685"/>
      <c r="E504" s="7685">
        <f>IF(H503&lt;&gt;"",E503,IF(E503="","",IFERROR(MATCH(TRUE(),INDEX(INDEX($K:$K,E503+1):$K$203&lt;&gt;"",0),0)+E503,"")))</f>
        <v>679</v>
      </c>
      <c r="F504" s="7686">
        <f t="shared" si="176"/>
        <v>0</v>
      </c>
      <c r="G504" s="7686" t="str">
        <f t="shared" si="168"/>
        <v>0</v>
      </c>
      <c r="H504" s="7687" t="str">
        <f t="shared" si="169"/>
        <v/>
      </c>
      <c r="I504" s="7685" t="str">
        <f t="shared" si="170"/>
        <v/>
      </c>
      <c r="M504" s="7622">
        <f t="shared" si="171"/>
        <v>1</v>
      </c>
      <c r="N504" s="7688">
        <f t="shared" si="172"/>
        <v>487</v>
      </c>
      <c r="O504" s="7661" t="str">
        <f t="shared" si="173"/>
        <v>0</v>
      </c>
      <c r="P504" s="7688">
        <f t="shared" si="174"/>
        <v>1</v>
      </c>
      <c r="Q504" s="7688">
        <f t="shared" si="175"/>
        <v>1</v>
      </c>
      <c r="CA504" s="3170" t="s">
        <v>16501</v>
      </c>
      <c r="CB504" s="7689" t="s">
        <v>17318</v>
      </c>
      <c r="CC504" s="3170" t="s">
        <v>17333</v>
      </c>
      <c r="CD504" s="3170" t="s">
        <v>17334</v>
      </c>
    </row>
    <row r="505" spans="2:82">
      <c r="B505" s="7685"/>
      <c r="C505" s="7685"/>
      <c r="D505" s="7685"/>
      <c r="E505" s="7685">
        <f>IF(H504&lt;&gt;"",E504,IF(E504="","",IFERROR(MATCH(TRUE(),INDEX(INDEX($K:$K,E504+1):$K$203&lt;&gt;"",0),0)+E504,"")))</f>
        <v>680</v>
      </c>
      <c r="F505" s="7686">
        <f t="shared" si="176"/>
        <v>0</v>
      </c>
      <c r="G505" s="7686" t="str">
        <f t="shared" si="168"/>
        <v>0</v>
      </c>
      <c r="H505" s="7687" t="str">
        <f t="shared" si="169"/>
        <v/>
      </c>
      <c r="I505" s="7685" t="str">
        <f t="shared" si="170"/>
        <v/>
      </c>
      <c r="M505" s="7622">
        <f t="shared" si="171"/>
        <v>1</v>
      </c>
      <c r="N505" s="7688">
        <f t="shared" si="172"/>
        <v>488</v>
      </c>
      <c r="O505" s="7661" t="str">
        <f t="shared" si="173"/>
        <v>0</v>
      </c>
      <c r="P505" s="7688">
        <f t="shared" si="174"/>
        <v>1</v>
      </c>
      <c r="Q505" s="7688">
        <f t="shared" si="175"/>
        <v>1</v>
      </c>
      <c r="CA505" s="3170" t="s">
        <v>16501</v>
      </c>
      <c r="CB505" s="7689" t="s">
        <v>17318</v>
      </c>
      <c r="CC505" s="3170" t="s">
        <v>17335</v>
      </c>
      <c r="CD505" s="3170" t="s">
        <v>17336</v>
      </c>
    </row>
    <row r="506" spans="2:82">
      <c r="B506" s="7685"/>
      <c r="C506" s="7685"/>
      <c r="D506" s="7685"/>
      <c r="E506" s="7685">
        <f>IF(H505&lt;&gt;"",E505,IF(E505="","",IFERROR(MATCH(TRUE(),INDEX(INDEX($K:$K,E505+1):$K$203&lt;&gt;"",0),0)+E505,"")))</f>
        <v>681</v>
      </c>
      <c r="F506" s="7686">
        <f t="shared" si="176"/>
        <v>0</v>
      </c>
      <c r="G506" s="7686" t="str">
        <f t="shared" si="168"/>
        <v>0</v>
      </c>
      <c r="H506" s="7687" t="str">
        <f t="shared" si="169"/>
        <v/>
      </c>
      <c r="I506" s="7685" t="str">
        <f t="shared" si="170"/>
        <v/>
      </c>
      <c r="M506" s="7622">
        <f t="shared" si="171"/>
        <v>1</v>
      </c>
      <c r="N506" s="7688">
        <f t="shared" si="172"/>
        <v>489</v>
      </c>
      <c r="O506" s="7661" t="str">
        <f t="shared" si="173"/>
        <v>0</v>
      </c>
      <c r="P506" s="7688">
        <f t="shared" si="174"/>
        <v>1</v>
      </c>
      <c r="Q506" s="7688">
        <f t="shared" si="175"/>
        <v>1</v>
      </c>
      <c r="CA506" s="3170" t="s">
        <v>16501</v>
      </c>
      <c r="CB506" s="7689" t="s">
        <v>17318</v>
      </c>
      <c r="CC506" s="3170" t="s">
        <v>17337</v>
      </c>
      <c r="CD506" s="3170" t="s">
        <v>17338</v>
      </c>
    </row>
    <row r="507" spans="2:82">
      <c r="B507" s="7685"/>
      <c r="C507" s="7685"/>
      <c r="D507" s="7685"/>
      <c r="E507" s="7685">
        <f>IF(H506&lt;&gt;"",E506,IF(E506="","",IFERROR(MATCH(TRUE(),INDEX(INDEX($K:$K,E506+1):$K$203&lt;&gt;"",0),0)+E506,"")))</f>
        <v>682</v>
      </c>
      <c r="F507" s="7686">
        <f t="shared" si="176"/>
        <v>0</v>
      </c>
      <c r="G507" s="7686" t="str">
        <f t="shared" si="168"/>
        <v>0</v>
      </c>
      <c r="H507" s="7687" t="str">
        <f t="shared" si="169"/>
        <v/>
      </c>
      <c r="I507" s="7685" t="str">
        <f t="shared" si="170"/>
        <v/>
      </c>
      <c r="M507" s="7622">
        <f t="shared" si="171"/>
        <v>1</v>
      </c>
      <c r="N507" s="7688">
        <f t="shared" si="172"/>
        <v>490</v>
      </c>
      <c r="O507" s="7661" t="str">
        <f t="shared" si="173"/>
        <v>0</v>
      </c>
      <c r="P507" s="7688">
        <f t="shared" si="174"/>
        <v>1</v>
      </c>
      <c r="Q507" s="7688">
        <f t="shared" si="175"/>
        <v>1</v>
      </c>
      <c r="CA507" s="3170" t="s">
        <v>16501</v>
      </c>
      <c r="CB507" s="7689" t="s">
        <v>17318</v>
      </c>
      <c r="CC507" s="3170" t="s">
        <v>17339</v>
      </c>
      <c r="CD507" s="3170" t="s">
        <v>17340</v>
      </c>
    </row>
    <row r="508" spans="2:82">
      <c r="B508" s="7685"/>
      <c r="C508" s="7685"/>
      <c r="D508" s="7685"/>
      <c r="E508" s="7685">
        <f>IF(H507&lt;&gt;"",E507,IF(E507="","",IFERROR(MATCH(TRUE(),INDEX(INDEX($K:$K,E507+1):$K$203&lt;&gt;"",0),0)+E507,"")))</f>
        <v>683</v>
      </c>
      <c r="F508" s="7686">
        <f t="shared" si="176"/>
        <v>0</v>
      </c>
      <c r="G508" s="7686" t="str">
        <f t="shared" si="168"/>
        <v>0</v>
      </c>
      <c r="H508" s="7687" t="str">
        <f t="shared" si="169"/>
        <v/>
      </c>
      <c r="I508" s="7685" t="str">
        <f t="shared" si="170"/>
        <v/>
      </c>
      <c r="M508" s="7622">
        <f t="shared" si="171"/>
        <v>1</v>
      </c>
      <c r="N508" s="7688">
        <f t="shared" si="172"/>
        <v>491</v>
      </c>
      <c r="O508" s="7661" t="str">
        <f t="shared" si="173"/>
        <v>0</v>
      </c>
      <c r="P508" s="7688">
        <f t="shared" si="174"/>
        <v>1</v>
      </c>
      <c r="Q508" s="7688">
        <f t="shared" si="175"/>
        <v>1</v>
      </c>
      <c r="CA508" s="3170" t="s">
        <v>16501</v>
      </c>
      <c r="CB508" s="7689" t="s">
        <v>17318</v>
      </c>
      <c r="CC508" s="3170" t="s">
        <v>17341</v>
      </c>
      <c r="CD508" s="3170" t="s">
        <v>17342</v>
      </c>
    </row>
    <row r="509" spans="2:82">
      <c r="B509" s="7685"/>
      <c r="C509" s="7685"/>
      <c r="D509" s="7685"/>
      <c r="E509" s="7685">
        <f>IF(H508&lt;&gt;"",E508,IF(E508="","",IFERROR(MATCH(TRUE(),INDEX(INDEX($K:$K,E508+1):$K$203&lt;&gt;"",0),0)+E508,"")))</f>
        <v>684</v>
      </c>
      <c r="F509" s="7686">
        <f t="shared" si="176"/>
        <v>0</v>
      </c>
      <c r="G509" s="7686" t="str">
        <f t="shared" si="168"/>
        <v>0</v>
      </c>
      <c r="H509" s="7687" t="str">
        <f t="shared" si="169"/>
        <v/>
      </c>
      <c r="I509" s="7685" t="str">
        <f t="shared" si="170"/>
        <v/>
      </c>
      <c r="M509" s="7622">
        <f t="shared" si="171"/>
        <v>1</v>
      </c>
      <c r="N509" s="7688">
        <f t="shared" si="172"/>
        <v>492</v>
      </c>
      <c r="O509" s="7661" t="str">
        <f t="shared" si="173"/>
        <v>0</v>
      </c>
      <c r="P509" s="7688">
        <f t="shared" si="174"/>
        <v>1</v>
      </c>
      <c r="Q509" s="7688">
        <f t="shared" si="175"/>
        <v>1</v>
      </c>
      <c r="CA509" s="3170" t="s">
        <v>16501</v>
      </c>
      <c r="CB509" s="7689" t="s">
        <v>17318</v>
      </c>
      <c r="CC509" s="3170" t="s">
        <v>17343</v>
      </c>
      <c r="CD509" s="3170" t="s">
        <v>17344</v>
      </c>
    </row>
    <row r="510" spans="2:82">
      <c r="B510" s="7685"/>
      <c r="C510" s="7685"/>
      <c r="D510" s="7685"/>
      <c r="E510" s="7685">
        <f>IF(H509&lt;&gt;"",E509,IF(E509="","",IFERROR(MATCH(TRUE(),INDEX(INDEX($K:$K,E509+1):$K$203&lt;&gt;"",0),0)+E509,"")))</f>
        <v>685</v>
      </c>
      <c r="F510" s="7686">
        <f t="shared" si="176"/>
        <v>0</v>
      </c>
      <c r="G510" s="7686" t="str">
        <f t="shared" si="168"/>
        <v>0</v>
      </c>
      <c r="H510" s="7687" t="str">
        <f t="shared" si="169"/>
        <v/>
      </c>
      <c r="I510" s="7685" t="str">
        <f t="shared" si="170"/>
        <v/>
      </c>
      <c r="M510" s="7622">
        <f t="shared" si="171"/>
        <v>1</v>
      </c>
      <c r="N510" s="7688">
        <f t="shared" si="172"/>
        <v>493</v>
      </c>
      <c r="O510" s="7661" t="str">
        <f t="shared" si="173"/>
        <v>0</v>
      </c>
      <c r="P510" s="7688">
        <f t="shared" si="174"/>
        <v>1</v>
      </c>
      <c r="Q510" s="7688">
        <f t="shared" si="175"/>
        <v>1</v>
      </c>
      <c r="CA510" s="3170" t="s">
        <v>16501</v>
      </c>
      <c r="CB510" s="7689" t="s">
        <v>17318</v>
      </c>
      <c r="CC510" s="3170" t="s">
        <v>17345</v>
      </c>
      <c r="CD510" s="3170" t="s">
        <v>17346</v>
      </c>
    </row>
    <row r="511" spans="2:82">
      <c r="B511" s="7685"/>
      <c r="C511" s="7685"/>
      <c r="D511" s="7685"/>
      <c r="E511" s="7685">
        <f>IF(H510&lt;&gt;"",E510,IF(E510="","",IFERROR(MATCH(TRUE(),INDEX(INDEX($K:$K,E510+1):$K$203&lt;&gt;"",0),0)+E510,"")))</f>
        <v>686</v>
      </c>
      <c r="F511" s="7686">
        <f t="shared" si="176"/>
        <v>0</v>
      </c>
      <c r="G511" s="7686" t="str">
        <f t="shared" si="168"/>
        <v>0</v>
      </c>
      <c r="H511" s="7687" t="str">
        <f t="shared" si="169"/>
        <v/>
      </c>
      <c r="I511" s="7685" t="str">
        <f t="shared" si="170"/>
        <v/>
      </c>
      <c r="M511" s="7622">
        <f t="shared" si="171"/>
        <v>1</v>
      </c>
      <c r="N511" s="7688">
        <f t="shared" si="172"/>
        <v>494</v>
      </c>
      <c r="O511" s="7661" t="str">
        <f t="shared" si="173"/>
        <v>0</v>
      </c>
      <c r="P511" s="7688">
        <f t="shared" si="174"/>
        <v>1</v>
      </c>
      <c r="Q511" s="7688">
        <f t="shared" si="175"/>
        <v>1</v>
      </c>
      <c r="CA511" s="3170" t="s">
        <v>16501</v>
      </c>
      <c r="CB511" s="7689" t="s">
        <v>17318</v>
      </c>
      <c r="CC511" s="3170" t="s">
        <v>17347</v>
      </c>
      <c r="CD511" s="3170" t="s">
        <v>17348</v>
      </c>
    </row>
    <row r="512" spans="2:82">
      <c r="B512" s="7685"/>
      <c r="C512" s="7685"/>
      <c r="D512" s="7685"/>
      <c r="E512" s="7685">
        <f>IF(H511&lt;&gt;"",E511,IF(E511="","",IFERROR(MATCH(TRUE(),INDEX(INDEX($K:$K,E511+1):$K$203&lt;&gt;"",0),0)+E511,"")))</f>
        <v>687</v>
      </c>
      <c r="F512" s="7686">
        <f t="shared" si="176"/>
        <v>0</v>
      </c>
      <c r="G512" s="7686" t="str">
        <f t="shared" si="168"/>
        <v>0</v>
      </c>
      <c r="H512" s="7687" t="str">
        <f t="shared" si="169"/>
        <v/>
      </c>
      <c r="I512" s="7685" t="str">
        <f t="shared" si="170"/>
        <v/>
      </c>
      <c r="M512" s="7622">
        <f t="shared" si="171"/>
        <v>1</v>
      </c>
      <c r="N512" s="7688">
        <f t="shared" si="172"/>
        <v>495</v>
      </c>
      <c r="O512" s="7661" t="str">
        <f t="shared" si="173"/>
        <v>0</v>
      </c>
      <c r="P512" s="7688">
        <f t="shared" si="174"/>
        <v>1</v>
      </c>
      <c r="Q512" s="7688">
        <f t="shared" si="175"/>
        <v>1</v>
      </c>
      <c r="CA512" s="3170" t="s">
        <v>16501</v>
      </c>
      <c r="CB512" s="7689" t="s">
        <v>17318</v>
      </c>
      <c r="CC512" s="3170" t="s">
        <v>4780</v>
      </c>
      <c r="CD512" s="3170" t="s">
        <v>17349</v>
      </c>
    </row>
    <row r="513" spans="2:82">
      <c r="B513" s="7685"/>
      <c r="C513" s="7685"/>
      <c r="D513" s="7685"/>
      <c r="E513" s="7685">
        <f>IF(H512&lt;&gt;"",E512,IF(E512="","",IFERROR(MATCH(TRUE(),INDEX(INDEX($K:$K,E512+1):$K$203&lt;&gt;"",0),0)+E512,"")))</f>
        <v>688</v>
      </c>
      <c r="F513" s="7686">
        <f t="shared" si="176"/>
        <v>0</v>
      </c>
      <c r="G513" s="7686" t="str">
        <f t="shared" si="168"/>
        <v>0</v>
      </c>
      <c r="H513" s="7687" t="str">
        <f t="shared" si="169"/>
        <v/>
      </c>
      <c r="I513" s="7685" t="str">
        <f t="shared" si="170"/>
        <v/>
      </c>
      <c r="M513" s="7622">
        <f t="shared" si="171"/>
        <v>1</v>
      </c>
      <c r="N513" s="7688">
        <f t="shared" si="172"/>
        <v>496</v>
      </c>
      <c r="O513" s="7661" t="str">
        <f t="shared" si="173"/>
        <v>0</v>
      </c>
      <c r="P513" s="7688">
        <f t="shared" si="174"/>
        <v>1</v>
      </c>
      <c r="Q513" s="7688">
        <f t="shared" si="175"/>
        <v>1</v>
      </c>
      <c r="CA513" s="3170" t="s">
        <v>16501</v>
      </c>
      <c r="CB513" s="7689" t="s">
        <v>17318</v>
      </c>
      <c r="CC513" s="3170" t="s">
        <v>17350</v>
      </c>
      <c r="CD513" s="3170" t="s">
        <v>17351</v>
      </c>
    </row>
    <row r="514" spans="2:82">
      <c r="B514" s="7685"/>
      <c r="C514" s="7685"/>
      <c r="D514" s="7685"/>
      <c r="E514" s="7685">
        <f>IF(H513&lt;&gt;"",E513,IF(E513="","",IFERROR(MATCH(TRUE(),INDEX(INDEX($K:$K,E513+1):$K$203&lt;&gt;"",0),0)+E513,"")))</f>
        <v>689</v>
      </c>
      <c r="F514" s="7686">
        <f t="shared" si="176"/>
        <v>0</v>
      </c>
      <c r="G514" s="7686" t="str">
        <f t="shared" si="168"/>
        <v>0</v>
      </c>
      <c r="H514" s="7687" t="str">
        <f t="shared" si="169"/>
        <v/>
      </c>
      <c r="I514" s="7685" t="str">
        <f t="shared" si="170"/>
        <v/>
      </c>
      <c r="M514" s="7622">
        <f t="shared" si="171"/>
        <v>1</v>
      </c>
      <c r="N514" s="7688">
        <f t="shared" si="172"/>
        <v>497</v>
      </c>
      <c r="O514" s="7661" t="str">
        <f t="shared" si="173"/>
        <v>0</v>
      </c>
      <c r="P514" s="7688">
        <f t="shared" si="174"/>
        <v>1</v>
      </c>
      <c r="Q514" s="7688">
        <f t="shared" si="175"/>
        <v>1</v>
      </c>
      <c r="CA514" s="3170" t="s">
        <v>16501</v>
      </c>
      <c r="CB514" s="7689" t="s">
        <v>17318</v>
      </c>
      <c r="CC514" s="3170" t="s">
        <v>15200</v>
      </c>
      <c r="CD514" s="3170" t="s">
        <v>17352</v>
      </c>
    </row>
    <row r="515" spans="2:82">
      <c r="B515" s="7685"/>
      <c r="C515" s="7685"/>
      <c r="D515" s="7685"/>
      <c r="E515" s="7685">
        <f>IF(H514&lt;&gt;"",E514,IF(E514="","",IFERROR(MATCH(TRUE(),INDEX(INDEX($K:$K,E514+1):$K$203&lt;&gt;"",0),0)+E514,"")))</f>
        <v>690</v>
      </c>
      <c r="F515" s="7686">
        <f t="shared" si="176"/>
        <v>0</v>
      </c>
      <c r="G515" s="7686" t="str">
        <f t="shared" si="168"/>
        <v>0</v>
      </c>
      <c r="H515" s="7687" t="str">
        <f t="shared" si="169"/>
        <v/>
      </c>
      <c r="I515" s="7685" t="str">
        <f t="shared" si="170"/>
        <v/>
      </c>
      <c r="M515" s="7622">
        <f t="shared" si="171"/>
        <v>1</v>
      </c>
      <c r="N515" s="7688">
        <f t="shared" si="172"/>
        <v>498</v>
      </c>
      <c r="O515" s="7661" t="str">
        <f t="shared" si="173"/>
        <v>0</v>
      </c>
      <c r="P515" s="7688">
        <f t="shared" si="174"/>
        <v>1</v>
      </c>
      <c r="Q515" s="7688">
        <f t="shared" si="175"/>
        <v>1</v>
      </c>
      <c r="CA515" s="3170" t="s">
        <v>16501</v>
      </c>
      <c r="CB515" s="7689" t="s">
        <v>17318</v>
      </c>
      <c r="CC515" s="3170" t="s">
        <v>17353</v>
      </c>
      <c r="CD515" s="3170" t="s">
        <v>17354</v>
      </c>
    </row>
    <row r="516" spans="2:82">
      <c r="B516" s="7685"/>
      <c r="C516" s="7685"/>
      <c r="D516" s="7685"/>
      <c r="E516" s="7685">
        <f>IF(H515&lt;&gt;"",E515,IF(E515="","",IFERROR(MATCH(TRUE(),INDEX(INDEX($K:$K,E515+1):$K$203&lt;&gt;"",0),0)+E515,"")))</f>
        <v>691</v>
      </c>
      <c r="F516" s="7686">
        <f t="shared" si="176"/>
        <v>0</v>
      </c>
      <c r="G516" s="7686" t="str">
        <f t="shared" si="168"/>
        <v>0</v>
      </c>
      <c r="H516" s="7687" t="str">
        <f t="shared" si="169"/>
        <v/>
      </c>
      <c r="I516" s="7685" t="str">
        <f t="shared" si="170"/>
        <v/>
      </c>
      <c r="M516" s="7622">
        <f t="shared" si="171"/>
        <v>1</v>
      </c>
      <c r="N516" s="7688">
        <f t="shared" si="172"/>
        <v>499</v>
      </c>
      <c r="O516" s="7661" t="str">
        <f t="shared" si="173"/>
        <v>0</v>
      </c>
      <c r="P516" s="7688">
        <f t="shared" si="174"/>
        <v>1</v>
      </c>
      <c r="Q516" s="7688">
        <f t="shared" si="175"/>
        <v>1</v>
      </c>
      <c r="CA516" s="3170" t="s">
        <v>16501</v>
      </c>
      <c r="CB516" s="7689" t="s">
        <v>17318</v>
      </c>
      <c r="CC516" s="3170" t="s">
        <v>17355</v>
      </c>
      <c r="CD516" s="3170" t="s">
        <v>17356</v>
      </c>
    </row>
    <row r="517" spans="2:82">
      <c r="B517" s="7685"/>
      <c r="C517" s="7685"/>
      <c r="D517" s="7685"/>
      <c r="E517" s="7685">
        <f>IF(H516&lt;&gt;"",E516,IF(E516="","",IFERROR(MATCH(TRUE(),INDEX(INDEX($K:$K,E516+1):$K$203&lt;&gt;"",0),0)+E516,"")))</f>
        <v>692</v>
      </c>
      <c r="F517" s="7686">
        <f t="shared" si="176"/>
        <v>0</v>
      </c>
      <c r="G517" s="7686" t="str">
        <f t="shared" si="168"/>
        <v>0</v>
      </c>
      <c r="H517" s="7687" t="str">
        <f t="shared" si="169"/>
        <v/>
      </c>
      <c r="I517" s="7685" t="str">
        <f t="shared" si="170"/>
        <v/>
      </c>
      <c r="M517" s="7622">
        <f t="shared" si="171"/>
        <v>1</v>
      </c>
      <c r="N517" s="7688">
        <f t="shared" si="172"/>
        <v>500</v>
      </c>
      <c r="O517" s="7661" t="str">
        <f t="shared" si="173"/>
        <v>0</v>
      </c>
      <c r="P517" s="7688">
        <f t="shared" si="174"/>
        <v>1</v>
      </c>
      <c r="Q517" s="7688">
        <f t="shared" si="175"/>
        <v>1</v>
      </c>
      <c r="CA517" s="3170" t="s">
        <v>16501</v>
      </c>
      <c r="CB517" s="7689" t="s">
        <v>17318</v>
      </c>
      <c r="CC517" s="3170" t="s">
        <v>16958</v>
      </c>
      <c r="CD517" s="3170" t="s">
        <v>17357</v>
      </c>
    </row>
    <row r="518" spans="2:82">
      <c r="B518" s="7685"/>
      <c r="C518" s="7685"/>
      <c r="D518" s="7685"/>
      <c r="E518" s="7685">
        <f>IF(H517&lt;&gt;"",E517,IF(E517="","",IFERROR(MATCH(TRUE(),INDEX(INDEX($K:$K,E517+1):$K$203&lt;&gt;"",0),0)+E517,"")))</f>
        <v>693</v>
      </c>
      <c r="F518" s="7686">
        <f t="shared" si="176"/>
        <v>0</v>
      </c>
      <c r="G518" s="7686" t="str">
        <f t="shared" si="168"/>
        <v>0</v>
      </c>
      <c r="H518" s="7687" t="str">
        <f t="shared" si="169"/>
        <v/>
      </c>
      <c r="I518" s="7685" t="str">
        <f t="shared" si="170"/>
        <v/>
      </c>
      <c r="M518" s="7622">
        <f t="shared" si="171"/>
        <v>1</v>
      </c>
      <c r="N518" s="7688">
        <f t="shared" si="172"/>
        <v>501</v>
      </c>
      <c r="O518" s="7661" t="str">
        <f t="shared" si="173"/>
        <v>0</v>
      </c>
      <c r="P518" s="7688">
        <f t="shared" si="174"/>
        <v>1</v>
      </c>
      <c r="Q518" s="7688">
        <f t="shared" si="175"/>
        <v>1</v>
      </c>
      <c r="CA518" s="3170" t="s">
        <v>16501</v>
      </c>
      <c r="CB518" s="7689" t="s">
        <v>17318</v>
      </c>
      <c r="CC518" s="3170" t="s">
        <v>16960</v>
      </c>
      <c r="CD518" s="3170" t="s">
        <v>17358</v>
      </c>
    </row>
    <row r="519" spans="2:82">
      <c r="B519" s="7685"/>
      <c r="C519" s="7685"/>
      <c r="D519" s="7685"/>
      <c r="E519" s="7685">
        <f>IF(H518&lt;&gt;"",E518,IF(E518="","",IFERROR(MATCH(TRUE(),INDEX(INDEX($K:$K,E518+1):$K$203&lt;&gt;"",0),0)+E518,"")))</f>
        <v>694</v>
      </c>
      <c r="F519" s="7686">
        <f t="shared" si="176"/>
        <v>0</v>
      </c>
      <c r="G519" s="7686" t="str">
        <f t="shared" si="168"/>
        <v>0</v>
      </c>
      <c r="H519" s="7687" t="str">
        <f t="shared" si="169"/>
        <v/>
      </c>
      <c r="I519" s="7685" t="str">
        <f t="shared" si="170"/>
        <v/>
      </c>
      <c r="M519" s="7622">
        <f t="shared" si="171"/>
        <v>1</v>
      </c>
      <c r="N519" s="7688">
        <f t="shared" si="172"/>
        <v>502</v>
      </c>
      <c r="O519" s="7661" t="str">
        <f t="shared" si="173"/>
        <v>0</v>
      </c>
      <c r="P519" s="7688">
        <f t="shared" si="174"/>
        <v>1</v>
      </c>
      <c r="Q519" s="7688">
        <f t="shared" si="175"/>
        <v>1</v>
      </c>
      <c r="CA519" s="3170" t="s">
        <v>16501</v>
      </c>
      <c r="CB519" s="7689" t="s">
        <v>17318</v>
      </c>
      <c r="CC519" s="3170" t="s">
        <v>17359</v>
      </c>
      <c r="CD519" s="3170" t="s">
        <v>17360</v>
      </c>
    </row>
    <row r="520" spans="2:82">
      <c r="B520" s="7685"/>
      <c r="C520" s="7685"/>
      <c r="D520" s="7685"/>
      <c r="E520" s="7685">
        <f>IF(H519&lt;&gt;"",E519,IF(E519="","",IFERROR(MATCH(TRUE(),INDEX(INDEX($K:$K,E519+1):$K$203&lt;&gt;"",0),0)+E519,"")))</f>
        <v>695</v>
      </c>
      <c r="F520" s="7686">
        <f t="shared" si="176"/>
        <v>0</v>
      </c>
      <c r="G520" s="7686" t="str">
        <f t="shared" si="168"/>
        <v>0</v>
      </c>
      <c r="H520" s="7687" t="str">
        <f t="shared" si="169"/>
        <v/>
      </c>
      <c r="I520" s="7685" t="str">
        <f t="shared" si="170"/>
        <v/>
      </c>
      <c r="M520" s="7622">
        <f t="shared" si="171"/>
        <v>1</v>
      </c>
      <c r="N520" s="7688">
        <f t="shared" si="172"/>
        <v>503</v>
      </c>
      <c r="O520" s="7661" t="str">
        <f t="shared" si="173"/>
        <v>0</v>
      </c>
      <c r="P520" s="7688">
        <f t="shared" si="174"/>
        <v>1</v>
      </c>
      <c r="Q520" s="7688">
        <f t="shared" si="175"/>
        <v>1</v>
      </c>
      <c r="CA520" s="3170" t="s">
        <v>16501</v>
      </c>
      <c r="CB520" s="7689" t="s">
        <v>17318</v>
      </c>
      <c r="CC520" s="3170" t="s">
        <v>17361</v>
      </c>
      <c r="CD520" s="3170" t="s">
        <v>17362</v>
      </c>
    </row>
    <row r="521" spans="2:82">
      <c r="B521" s="7685"/>
      <c r="C521" s="7685"/>
      <c r="D521" s="7685"/>
      <c r="E521" s="7685">
        <f>IF(H520&lt;&gt;"",E520,IF(E520="","",IFERROR(MATCH(TRUE(),INDEX(INDEX($K:$K,E520+1):$K$203&lt;&gt;"",0),0)+E520,"")))</f>
        <v>696</v>
      </c>
      <c r="F521" s="7686">
        <f t="shared" si="176"/>
        <v>0</v>
      </c>
      <c r="G521" s="7686" t="str">
        <f t="shared" si="168"/>
        <v>0</v>
      </c>
      <c r="H521" s="7687" t="str">
        <f t="shared" si="169"/>
        <v/>
      </c>
      <c r="I521" s="7685" t="str">
        <f t="shared" si="170"/>
        <v/>
      </c>
      <c r="M521" s="7622">
        <f t="shared" si="171"/>
        <v>1</v>
      </c>
      <c r="N521" s="7688">
        <f t="shared" si="172"/>
        <v>504</v>
      </c>
      <c r="O521" s="7661" t="str">
        <f t="shared" si="173"/>
        <v>0</v>
      </c>
      <c r="P521" s="7688">
        <f t="shared" si="174"/>
        <v>1</v>
      </c>
      <c r="Q521" s="7688">
        <f t="shared" si="175"/>
        <v>1</v>
      </c>
      <c r="CA521" s="3170" t="s">
        <v>16501</v>
      </c>
      <c r="CB521" s="7689" t="s">
        <v>17318</v>
      </c>
      <c r="CC521" s="3170" t="s">
        <v>17363</v>
      </c>
      <c r="CD521" s="3170" t="s">
        <v>17364</v>
      </c>
    </row>
    <row r="522" spans="2:82">
      <c r="B522" s="7685"/>
      <c r="C522" s="7685"/>
      <c r="D522" s="7685"/>
      <c r="E522" s="7685">
        <f>IF(H521&lt;&gt;"",E521,IF(E521="","",IFERROR(MATCH(TRUE(),INDEX(INDEX($K:$K,E521+1):$K$203&lt;&gt;"",0),0)+E521,"")))</f>
        <v>697</v>
      </c>
      <c r="F522" s="7686">
        <f t="shared" si="176"/>
        <v>0</v>
      </c>
      <c r="G522" s="7686" t="str">
        <f t="shared" si="168"/>
        <v>0</v>
      </c>
      <c r="H522" s="7687" t="str">
        <f t="shared" si="169"/>
        <v/>
      </c>
      <c r="I522" s="7685" t="str">
        <f t="shared" si="170"/>
        <v/>
      </c>
      <c r="M522" s="7622">
        <f t="shared" si="171"/>
        <v>1</v>
      </c>
      <c r="N522" s="7688">
        <f t="shared" si="172"/>
        <v>505</v>
      </c>
      <c r="O522" s="7661" t="str">
        <f t="shared" si="173"/>
        <v>0</v>
      </c>
      <c r="P522" s="7688">
        <f t="shared" si="174"/>
        <v>1</v>
      </c>
      <c r="Q522" s="7688">
        <f t="shared" si="175"/>
        <v>1</v>
      </c>
      <c r="CA522" s="3170" t="s">
        <v>16501</v>
      </c>
      <c r="CB522" s="7689" t="s">
        <v>17318</v>
      </c>
      <c r="CC522" s="3170" t="s">
        <v>17365</v>
      </c>
      <c r="CD522" s="3170" t="s">
        <v>17366</v>
      </c>
    </row>
    <row r="523" spans="2:82">
      <c r="B523" s="7685"/>
      <c r="C523" s="7685"/>
      <c r="D523" s="7685"/>
      <c r="E523" s="7685">
        <f>IF(H522&lt;&gt;"",E522,IF(E522="","",IFERROR(MATCH(TRUE(),INDEX(INDEX($K:$K,E522+1):$K$203&lt;&gt;"",0),0)+E522,"")))</f>
        <v>698</v>
      </c>
      <c r="F523" s="7686">
        <f t="shared" si="176"/>
        <v>0</v>
      </c>
      <c r="G523" s="7686" t="str">
        <f t="shared" si="168"/>
        <v>0</v>
      </c>
      <c r="H523" s="7687" t="str">
        <f t="shared" si="169"/>
        <v/>
      </c>
      <c r="I523" s="7685" t="str">
        <f t="shared" si="170"/>
        <v/>
      </c>
      <c r="M523" s="7622">
        <f t="shared" si="171"/>
        <v>1</v>
      </c>
      <c r="N523" s="7688">
        <f t="shared" si="172"/>
        <v>506</v>
      </c>
      <c r="O523" s="7661" t="str">
        <f t="shared" si="173"/>
        <v>0</v>
      </c>
      <c r="P523" s="7688">
        <f t="shared" si="174"/>
        <v>1</v>
      </c>
      <c r="Q523" s="7688">
        <f t="shared" si="175"/>
        <v>1</v>
      </c>
      <c r="CA523" s="3170" t="s">
        <v>16501</v>
      </c>
      <c r="CB523" s="7689" t="s">
        <v>17318</v>
      </c>
      <c r="CC523" s="3170" t="s">
        <v>17367</v>
      </c>
      <c r="CD523" s="3170" t="s">
        <v>17368</v>
      </c>
    </row>
    <row r="524" spans="2:82">
      <c r="B524" s="7685"/>
      <c r="C524" s="7685"/>
      <c r="D524" s="7685"/>
      <c r="E524" s="7685">
        <f>IF(H523&lt;&gt;"",E523,IF(E523="","",IFERROR(MATCH(TRUE(),INDEX(INDEX($K:$K,E523+1):$K$203&lt;&gt;"",0),0)+E523,"")))</f>
        <v>699</v>
      </c>
      <c r="F524" s="7686">
        <f t="shared" si="176"/>
        <v>0</v>
      </c>
      <c r="G524" s="7686" t="str">
        <f t="shared" si="168"/>
        <v>0</v>
      </c>
      <c r="H524" s="7687" t="str">
        <f t="shared" si="169"/>
        <v/>
      </c>
      <c r="I524" s="7685" t="str">
        <f t="shared" si="170"/>
        <v/>
      </c>
      <c r="M524" s="7622">
        <f t="shared" si="171"/>
        <v>1</v>
      </c>
      <c r="N524" s="7688">
        <f t="shared" si="172"/>
        <v>507</v>
      </c>
      <c r="O524" s="7661" t="str">
        <f t="shared" si="173"/>
        <v>0</v>
      </c>
      <c r="P524" s="7688">
        <f t="shared" si="174"/>
        <v>1</v>
      </c>
      <c r="Q524" s="7688">
        <f t="shared" si="175"/>
        <v>1</v>
      </c>
      <c r="CA524" s="3170" t="s">
        <v>16501</v>
      </c>
      <c r="CB524" s="7689" t="s">
        <v>17318</v>
      </c>
      <c r="CC524" s="3170" t="s">
        <v>17369</v>
      </c>
      <c r="CD524" s="3170" t="s">
        <v>17370</v>
      </c>
    </row>
    <row r="525" spans="2:82">
      <c r="B525" s="7685"/>
      <c r="C525" s="7685"/>
      <c r="D525" s="7685"/>
      <c r="E525" s="7685">
        <f>IF(H524&lt;&gt;"",E524,IF(E524="","",IFERROR(MATCH(TRUE(),INDEX(INDEX($K:$K,E524+1):$K$203&lt;&gt;"",0),0)+E524,"")))</f>
        <v>700</v>
      </c>
      <c r="F525" s="7686">
        <f t="shared" si="176"/>
        <v>0</v>
      </c>
      <c r="G525" s="7686" t="str">
        <f t="shared" si="168"/>
        <v>0</v>
      </c>
      <c r="H525" s="7687" t="str">
        <f t="shared" si="169"/>
        <v/>
      </c>
      <c r="I525" s="7685" t="str">
        <f t="shared" si="170"/>
        <v/>
      </c>
      <c r="M525" s="7622">
        <f t="shared" si="171"/>
        <v>1</v>
      </c>
      <c r="N525" s="7688">
        <f t="shared" si="172"/>
        <v>508</v>
      </c>
      <c r="O525" s="7661" t="str">
        <f t="shared" si="173"/>
        <v>0</v>
      </c>
      <c r="P525" s="7688">
        <f t="shared" si="174"/>
        <v>1</v>
      </c>
      <c r="Q525" s="7688">
        <f t="shared" si="175"/>
        <v>1</v>
      </c>
      <c r="CA525" s="3170" t="s">
        <v>16501</v>
      </c>
      <c r="CB525" s="7689" t="s">
        <v>17318</v>
      </c>
      <c r="CC525" s="3170" t="s">
        <v>17371</v>
      </c>
      <c r="CD525" s="3170" t="s">
        <v>17372</v>
      </c>
    </row>
    <row r="526" spans="2:82">
      <c r="B526" s="7685"/>
      <c r="C526" s="7685"/>
      <c r="D526" s="7685"/>
      <c r="E526" s="7685">
        <f>IF(H525&lt;&gt;"",E525,IF(E525="","",IFERROR(MATCH(TRUE(),INDEX(INDEX($K:$K,E525+1):$K$203&lt;&gt;"",0),0)+E525,"")))</f>
        <v>701</v>
      </c>
      <c r="F526" s="7686">
        <f t="shared" si="176"/>
        <v>0</v>
      </c>
      <c r="G526" s="7686" t="str">
        <f t="shared" si="168"/>
        <v>0</v>
      </c>
      <c r="H526" s="7687" t="str">
        <f t="shared" si="169"/>
        <v/>
      </c>
      <c r="I526" s="7685" t="str">
        <f t="shared" si="170"/>
        <v/>
      </c>
      <c r="M526" s="7622">
        <f t="shared" si="171"/>
        <v>1</v>
      </c>
      <c r="N526" s="7688">
        <f t="shared" si="172"/>
        <v>509</v>
      </c>
      <c r="O526" s="7661" t="str">
        <f t="shared" si="173"/>
        <v>0</v>
      </c>
      <c r="P526" s="7688">
        <f t="shared" si="174"/>
        <v>1</v>
      </c>
      <c r="Q526" s="7688">
        <f t="shared" si="175"/>
        <v>1</v>
      </c>
      <c r="CA526" s="3170" t="s">
        <v>16629</v>
      </c>
      <c r="CB526" s="7689" t="s">
        <v>17318</v>
      </c>
      <c r="CC526" s="3170" t="s">
        <v>17373</v>
      </c>
      <c r="CD526" s="3170" t="s">
        <v>17374</v>
      </c>
    </row>
    <row r="527" spans="2:82">
      <c r="B527" s="7685"/>
      <c r="C527" s="7685"/>
      <c r="D527" s="7685"/>
      <c r="E527" s="7685">
        <f>IF(H526&lt;&gt;"",E526,IF(E526="","",IFERROR(MATCH(TRUE(),INDEX(INDEX($K:$K,E526+1):$K$203&lt;&gt;"",0),0)+E526,"")))</f>
        <v>702</v>
      </c>
      <c r="F527" s="7686">
        <f t="shared" si="176"/>
        <v>0</v>
      </c>
      <c r="G527" s="7686" t="str">
        <f t="shared" si="168"/>
        <v>0</v>
      </c>
      <c r="H527" s="7687" t="str">
        <f t="shared" si="169"/>
        <v/>
      </c>
      <c r="I527" s="7685" t="str">
        <f t="shared" si="170"/>
        <v/>
      </c>
      <c r="M527" s="7622">
        <f t="shared" si="171"/>
        <v>1</v>
      </c>
      <c r="N527" s="7688">
        <f t="shared" si="172"/>
        <v>510</v>
      </c>
      <c r="O527" s="7661" t="str">
        <f t="shared" si="173"/>
        <v>0</v>
      </c>
      <c r="P527" s="7688">
        <f t="shared" si="174"/>
        <v>1</v>
      </c>
      <c r="Q527" s="7688">
        <f t="shared" si="175"/>
        <v>1</v>
      </c>
      <c r="CA527" s="3170" t="s">
        <v>16629</v>
      </c>
      <c r="CB527" s="7689" t="s">
        <v>17318</v>
      </c>
      <c r="CC527" s="3170" t="s">
        <v>17375</v>
      </c>
      <c r="CD527" s="3170" t="s">
        <v>17376</v>
      </c>
    </row>
    <row r="528" spans="2:82">
      <c r="B528" s="7685"/>
      <c r="C528" s="7685"/>
      <c r="D528" s="7685"/>
      <c r="E528" s="7685">
        <f>IF(H527&lt;&gt;"",E527,IF(E527="","",IFERROR(MATCH(TRUE(),INDEX(INDEX($K:$K,E527+1):$K$203&lt;&gt;"",0),0)+E527,"")))</f>
        <v>703</v>
      </c>
      <c r="F528" s="7686">
        <f t="shared" si="176"/>
        <v>0</v>
      </c>
      <c r="G528" s="7686" t="str">
        <f t="shared" si="168"/>
        <v>0</v>
      </c>
      <c r="H528" s="7687" t="str">
        <f t="shared" si="169"/>
        <v/>
      </c>
      <c r="I528" s="7685" t="str">
        <f t="shared" si="170"/>
        <v/>
      </c>
      <c r="M528" s="7622">
        <f t="shared" si="171"/>
        <v>1</v>
      </c>
      <c r="N528" s="7688">
        <f t="shared" si="172"/>
        <v>511</v>
      </c>
      <c r="O528" s="7661" t="str">
        <f t="shared" si="173"/>
        <v>0</v>
      </c>
      <c r="P528" s="7688">
        <f t="shared" si="174"/>
        <v>1</v>
      </c>
      <c r="Q528" s="7688">
        <f t="shared" si="175"/>
        <v>1</v>
      </c>
      <c r="CA528" s="3170" t="s">
        <v>16629</v>
      </c>
      <c r="CB528" s="7689" t="s">
        <v>17318</v>
      </c>
      <c r="CC528" s="3170" t="s">
        <v>17377</v>
      </c>
      <c r="CD528" s="3170" t="s">
        <v>17378</v>
      </c>
    </row>
    <row r="529" spans="2:82">
      <c r="B529" s="7685"/>
      <c r="C529" s="7685"/>
      <c r="D529" s="7685"/>
      <c r="E529" s="7685">
        <f>IF(H528&lt;&gt;"",E528,IF(E528="","",IFERROR(MATCH(TRUE(),INDEX(INDEX($K:$K,E528+1):$K$203&lt;&gt;"",0),0)+E528,"")))</f>
        <v>704</v>
      </c>
      <c r="F529" s="7686">
        <f t="shared" si="176"/>
        <v>0</v>
      </c>
      <c r="G529" s="7686" t="str">
        <f t="shared" si="168"/>
        <v>0</v>
      </c>
      <c r="H529" s="7687" t="str">
        <f t="shared" si="169"/>
        <v/>
      </c>
      <c r="I529" s="7685" t="str">
        <f t="shared" si="170"/>
        <v/>
      </c>
      <c r="M529" s="7622">
        <f t="shared" si="171"/>
        <v>1</v>
      </c>
      <c r="N529" s="7688">
        <f t="shared" si="172"/>
        <v>512</v>
      </c>
      <c r="O529" s="7661" t="str">
        <f t="shared" si="173"/>
        <v>0</v>
      </c>
      <c r="P529" s="7688">
        <f t="shared" si="174"/>
        <v>1</v>
      </c>
      <c r="Q529" s="7688">
        <f t="shared" si="175"/>
        <v>1</v>
      </c>
      <c r="CA529" s="3170" t="s">
        <v>16629</v>
      </c>
      <c r="CB529" s="7689" t="s">
        <v>17318</v>
      </c>
      <c r="CC529" s="3170" t="s">
        <v>17379</v>
      </c>
      <c r="CD529" s="3170" t="s">
        <v>17380</v>
      </c>
    </row>
    <row r="530" spans="2:82">
      <c r="B530" s="7685"/>
      <c r="C530" s="7685"/>
      <c r="D530" s="7685"/>
      <c r="E530" s="7685">
        <f>IF(H529&lt;&gt;"",E529,IF(E529="","",IFERROR(MATCH(TRUE(),INDEX(INDEX($K:$K,E529+1):$K$203&lt;&gt;"",0),0)+E529,"")))</f>
        <v>705</v>
      </c>
      <c r="F530" s="7686">
        <f t="shared" si="176"/>
        <v>0</v>
      </c>
      <c r="G530" s="7686" t="str">
        <f t="shared" ref="G530:G593" si="177">IF(OR(F530="",M530=""),"",LEFT(F530,M530))</f>
        <v>0</v>
      </c>
      <c r="H530" s="7687" t="str">
        <f t="shared" ref="H530:H593" si="178">IF(OR(F530="",M530=""),"",TRIM(MID(F530,M530+1,99999)))</f>
        <v/>
      </c>
      <c r="I530" s="7685" t="str">
        <f t="shared" ref="I530:I593" si="179">IF(AND(F530&lt;&gt;"",$N$10&gt;0,M530&gt;$N$10),"Mot &gt; limite","")</f>
        <v/>
      </c>
      <c r="M530" s="7622">
        <f t="shared" ref="M530:M593" si="180">IF(OR(F530="",$N$10="",$N$10&lt;=0),"",IF(LEN(F530)&lt;=$N$10,LEN(F530),IFERROR(FIND("♦",SUBSTITUTE(LEFT(F530,$N$10)," ","♦",LEN(LEFT(F530,$N$10))-LEN(SUBSTITUTE(LEFT(F530,$N$10)," ","")))),FIND(" ",F530&amp;" ",$N$10+1)-1)))</f>
        <v>1</v>
      </c>
      <c r="N530" s="7688">
        <f t="shared" ref="N530:N593" si="181">IF(O530="","",ROW()-17)</f>
        <v>513</v>
      </c>
      <c r="O530" s="7661" t="str">
        <f t="shared" ref="O530:O593" si="182">G530</f>
        <v>0</v>
      </c>
      <c r="P530" s="7688">
        <f t="shared" ref="P530:P593" si="183">IF(O530="","",LEN(TRIM(O530))-LEN(SUBSTITUTE(TRIM(O530)," ",""))+1)</f>
        <v>1</v>
      </c>
      <c r="Q530" s="7688">
        <f t="shared" ref="Q530:Q593" si="184">IF(O530="","",LEN(O530))</f>
        <v>1</v>
      </c>
      <c r="CA530" s="3170" t="s">
        <v>16629</v>
      </c>
      <c r="CB530" s="7689" t="s">
        <v>17318</v>
      </c>
      <c r="CC530" s="3170" t="s">
        <v>17381</v>
      </c>
      <c r="CD530" s="3170" t="s">
        <v>17382</v>
      </c>
    </row>
    <row r="531" spans="2:82">
      <c r="B531" s="7685"/>
      <c r="C531" s="7685"/>
      <c r="D531" s="7685"/>
      <c r="E531" s="7685">
        <f>IF(H530&lt;&gt;"",E530,IF(E530="","",IFERROR(MATCH(TRUE(),INDEX(INDEX($K:$K,E530+1):$K$203&lt;&gt;"",0),0)+E530,"")))</f>
        <v>706</v>
      </c>
      <c r="F531" s="7686">
        <f t="shared" ref="F531:F594" si="185">IF(E531="","",IF(H530&lt;&gt;"",H530,INDEX($D:$D,E531)))</f>
        <v>0</v>
      </c>
      <c r="G531" s="7686" t="str">
        <f t="shared" si="177"/>
        <v>0</v>
      </c>
      <c r="H531" s="7687" t="str">
        <f t="shared" si="178"/>
        <v/>
      </c>
      <c r="I531" s="7685" t="str">
        <f t="shared" si="179"/>
        <v/>
      </c>
      <c r="M531" s="7622">
        <f t="shared" si="180"/>
        <v>1</v>
      </c>
      <c r="N531" s="7688">
        <f t="shared" si="181"/>
        <v>514</v>
      </c>
      <c r="O531" s="7661" t="str">
        <f t="shared" si="182"/>
        <v>0</v>
      </c>
      <c r="P531" s="7688">
        <f t="shared" si="183"/>
        <v>1</v>
      </c>
      <c r="Q531" s="7688">
        <f t="shared" si="184"/>
        <v>1</v>
      </c>
      <c r="CA531" s="3170" t="s">
        <v>16629</v>
      </c>
      <c r="CB531" s="7689" t="s">
        <v>17318</v>
      </c>
      <c r="CC531" s="3170" t="s">
        <v>17383</v>
      </c>
      <c r="CD531" s="3170" t="s">
        <v>17384</v>
      </c>
    </row>
    <row r="532" spans="2:82">
      <c r="B532" s="7685"/>
      <c r="C532" s="7685"/>
      <c r="D532" s="7685"/>
      <c r="E532" s="7685">
        <f>IF(H531&lt;&gt;"",E531,IF(E531="","",IFERROR(MATCH(TRUE(),INDEX(INDEX($K:$K,E531+1):$K$203&lt;&gt;"",0),0)+E531,"")))</f>
        <v>707</v>
      </c>
      <c r="F532" s="7686">
        <f t="shared" si="185"/>
        <v>0</v>
      </c>
      <c r="G532" s="7686" t="str">
        <f t="shared" si="177"/>
        <v>0</v>
      </c>
      <c r="H532" s="7687" t="str">
        <f t="shared" si="178"/>
        <v/>
      </c>
      <c r="I532" s="7685" t="str">
        <f t="shared" si="179"/>
        <v/>
      </c>
      <c r="M532" s="7622">
        <f t="shared" si="180"/>
        <v>1</v>
      </c>
      <c r="N532" s="7688">
        <f t="shared" si="181"/>
        <v>515</v>
      </c>
      <c r="O532" s="7661" t="str">
        <f t="shared" si="182"/>
        <v>0</v>
      </c>
      <c r="P532" s="7688">
        <f t="shared" si="183"/>
        <v>1</v>
      </c>
      <c r="Q532" s="7688">
        <f t="shared" si="184"/>
        <v>1</v>
      </c>
      <c r="CA532" s="3170" t="s">
        <v>16629</v>
      </c>
      <c r="CB532" s="7689" t="s">
        <v>17318</v>
      </c>
      <c r="CC532" s="3170" t="s">
        <v>17385</v>
      </c>
      <c r="CD532" s="3170" t="s">
        <v>17386</v>
      </c>
    </row>
    <row r="533" spans="2:82">
      <c r="B533" s="7685"/>
      <c r="C533" s="7685"/>
      <c r="D533" s="7685"/>
      <c r="E533" s="7685">
        <f>IF(H532&lt;&gt;"",E532,IF(E532="","",IFERROR(MATCH(TRUE(),INDEX(INDEX($K:$K,E532+1):$K$203&lt;&gt;"",0),0)+E532,"")))</f>
        <v>708</v>
      </c>
      <c r="F533" s="7686">
        <f t="shared" si="185"/>
        <v>0</v>
      </c>
      <c r="G533" s="7686" t="str">
        <f t="shared" si="177"/>
        <v>0</v>
      </c>
      <c r="H533" s="7687" t="str">
        <f t="shared" si="178"/>
        <v/>
      </c>
      <c r="I533" s="7685" t="str">
        <f t="shared" si="179"/>
        <v/>
      </c>
      <c r="M533" s="7622">
        <f t="shared" si="180"/>
        <v>1</v>
      </c>
      <c r="N533" s="7688">
        <f t="shared" si="181"/>
        <v>516</v>
      </c>
      <c r="O533" s="7661" t="str">
        <f t="shared" si="182"/>
        <v>0</v>
      </c>
      <c r="P533" s="7688">
        <f t="shared" si="183"/>
        <v>1</v>
      </c>
      <c r="Q533" s="7688">
        <f t="shared" si="184"/>
        <v>1</v>
      </c>
      <c r="CA533" s="3170" t="s">
        <v>16629</v>
      </c>
      <c r="CB533" s="7689" t="s">
        <v>17318</v>
      </c>
      <c r="CC533" s="3170" t="s">
        <v>17387</v>
      </c>
      <c r="CD533" s="3170" t="s">
        <v>17388</v>
      </c>
    </row>
    <row r="534" spans="2:82">
      <c r="B534" s="7685"/>
      <c r="C534" s="7685"/>
      <c r="D534" s="7685"/>
      <c r="E534" s="7685">
        <f>IF(H533&lt;&gt;"",E533,IF(E533="","",IFERROR(MATCH(TRUE(),INDEX(INDEX($K:$K,E533+1):$K$203&lt;&gt;"",0),0)+E533,"")))</f>
        <v>709</v>
      </c>
      <c r="F534" s="7686">
        <f t="shared" si="185"/>
        <v>0</v>
      </c>
      <c r="G534" s="7686" t="str">
        <f t="shared" si="177"/>
        <v>0</v>
      </c>
      <c r="H534" s="7687" t="str">
        <f t="shared" si="178"/>
        <v/>
      </c>
      <c r="I534" s="7685" t="str">
        <f t="shared" si="179"/>
        <v/>
      </c>
      <c r="M534" s="7622">
        <f t="shared" si="180"/>
        <v>1</v>
      </c>
      <c r="N534" s="7688">
        <f t="shared" si="181"/>
        <v>517</v>
      </c>
      <c r="O534" s="7661" t="str">
        <f t="shared" si="182"/>
        <v>0</v>
      </c>
      <c r="P534" s="7688">
        <f t="shared" si="183"/>
        <v>1</v>
      </c>
      <c r="Q534" s="7688">
        <f t="shared" si="184"/>
        <v>1</v>
      </c>
      <c r="CA534" s="3170" t="s">
        <v>16629</v>
      </c>
      <c r="CB534" s="7689" t="s">
        <v>17318</v>
      </c>
      <c r="CC534" s="3170" t="s">
        <v>17389</v>
      </c>
      <c r="CD534" s="3170" t="s">
        <v>17390</v>
      </c>
    </row>
    <row r="535" spans="2:82">
      <c r="B535" s="7685"/>
      <c r="C535" s="7685"/>
      <c r="D535" s="7685"/>
      <c r="E535" s="7685">
        <f>IF(H534&lt;&gt;"",E534,IF(E534="","",IFERROR(MATCH(TRUE(),INDEX(INDEX($K:$K,E534+1):$K$203&lt;&gt;"",0),0)+E534,"")))</f>
        <v>710</v>
      </c>
      <c r="F535" s="7686">
        <f t="shared" si="185"/>
        <v>0</v>
      </c>
      <c r="G535" s="7686" t="str">
        <f t="shared" si="177"/>
        <v>0</v>
      </c>
      <c r="H535" s="7687" t="str">
        <f t="shared" si="178"/>
        <v/>
      </c>
      <c r="I535" s="7685" t="str">
        <f t="shared" si="179"/>
        <v/>
      </c>
      <c r="M535" s="7622">
        <f t="shared" si="180"/>
        <v>1</v>
      </c>
      <c r="N535" s="7688">
        <f t="shared" si="181"/>
        <v>518</v>
      </c>
      <c r="O535" s="7661" t="str">
        <f t="shared" si="182"/>
        <v>0</v>
      </c>
      <c r="P535" s="7688">
        <f t="shared" si="183"/>
        <v>1</v>
      </c>
      <c r="Q535" s="7688">
        <f t="shared" si="184"/>
        <v>1</v>
      </c>
      <c r="CA535" s="3170" t="s">
        <v>16629</v>
      </c>
      <c r="CB535" s="7689" t="s">
        <v>17318</v>
      </c>
      <c r="CC535" s="3170" t="s">
        <v>17391</v>
      </c>
      <c r="CD535" s="3170" t="s">
        <v>17392</v>
      </c>
    </row>
    <row r="536" spans="2:82">
      <c r="B536" s="7685"/>
      <c r="C536" s="7685"/>
      <c r="D536" s="7685"/>
      <c r="E536" s="7685">
        <f>IF(H535&lt;&gt;"",E535,IF(E535="","",IFERROR(MATCH(TRUE(),INDEX(INDEX($K:$K,E535+1):$K$203&lt;&gt;"",0),0)+E535,"")))</f>
        <v>711</v>
      </c>
      <c r="F536" s="7686">
        <f t="shared" si="185"/>
        <v>0</v>
      </c>
      <c r="G536" s="7686" t="str">
        <f t="shared" si="177"/>
        <v>0</v>
      </c>
      <c r="H536" s="7687" t="str">
        <f t="shared" si="178"/>
        <v/>
      </c>
      <c r="I536" s="7685" t="str">
        <f t="shared" si="179"/>
        <v/>
      </c>
      <c r="M536" s="7622">
        <f t="shared" si="180"/>
        <v>1</v>
      </c>
      <c r="N536" s="7688">
        <f t="shared" si="181"/>
        <v>519</v>
      </c>
      <c r="O536" s="7661" t="str">
        <f t="shared" si="182"/>
        <v>0</v>
      </c>
      <c r="P536" s="7688">
        <f t="shared" si="183"/>
        <v>1</v>
      </c>
      <c r="Q536" s="7688">
        <f t="shared" si="184"/>
        <v>1</v>
      </c>
      <c r="CA536" s="3170" t="s">
        <v>16629</v>
      </c>
      <c r="CB536" s="7689" t="s">
        <v>17318</v>
      </c>
      <c r="CC536" s="3170" t="s">
        <v>17393</v>
      </c>
      <c r="CD536" s="3170" t="s">
        <v>17394</v>
      </c>
    </row>
    <row r="537" spans="2:82">
      <c r="B537" s="7685"/>
      <c r="C537" s="7685"/>
      <c r="D537" s="7685"/>
      <c r="E537" s="7685">
        <f>IF(H536&lt;&gt;"",E536,IF(E536="","",IFERROR(MATCH(TRUE(),INDEX(INDEX($K:$K,E536+1):$K$203&lt;&gt;"",0),0)+E536,"")))</f>
        <v>712</v>
      </c>
      <c r="F537" s="7686">
        <f t="shared" si="185"/>
        <v>0</v>
      </c>
      <c r="G537" s="7686" t="str">
        <f t="shared" si="177"/>
        <v>0</v>
      </c>
      <c r="H537" s="7687" t="str">
        <f t="shared" si="178"/>
        <v/>
      </c>
      <c r="I537" s="7685" t="str">
        <f t="shared" si="179"/>
        <v/>
      </c>
      <c r="M537" s="7622">
        <f t="shared" si="180"/>
        <v>1</v>
      </c>
      <c r="N537" s="7688">
        <f t="shared" si="181"/>
        <v>520</v>
      </c>
      <c r="O537" s="7661" t="str">
        <f t="shared" si="182"/>
        <v>0</v>
      </c>
      <c r="P537" s="7688">
        <f t="shared" si="183"/>
        <v>1</v>
      </c>
      <c r="Q537" s="7688">
        <f t="shared" si="184"/>
        <v>1</v>
      </c>
      <c r="CA537" s="3170" t="s">
        <v>16629</v>
      </c>
      <c r="CB537" s="7689" t="s">
        <v>17318</v>
      </c>
      <c r="CC537" s="3170" t="s">
        <v>17395</v>
      </c>
      <c r="CD537" s="3170" t="s">
        <v>17396</v>
      </c>
    </row>
    <row r="538" spans="2:82">
      <c r="B538" s="7685"/>
      <c r="C538" s="7685"/>
      <c r="D538" s="7685"/>
      <c r="E538" s="7685">
        <f>IF(H537&lt;&gt;"",E537,IF(E537="","",IFERROR(MATCH(TRUE(),INDEX(INDEX($K:$K,E537+1):$K$203&lt;&gt;"",0),0)+E537,"")))</f>
        <v>713</v>
      </c>
      <c r="F538" s="7686">
        <f t="shared" si="185"/>
        <v>0</v>
      </c>
      <c r="G538" s="7686" t="str">
        <f t="shared" si="177"/>
        <v>0</v>
      </c>
      <c r="H538" s="7687" t="str">
        <f t="shared" si="178"/>
        <v/>
      </c>
      <c r="I538" s="7685" t="str">
        <f t="shared" si="179"/>
        <v/>
      </c>
      <c r="M538" s="7622">
        <f t="shared" si="180"/>
        <v>1</v>
      </c>
      <c r="N538" s="7688">
        <f t="shared" si="181"/>
        <v>521</v>
      </c>
      <c r="O538" s="7661" t="str">
        <f t="shared" si="182"/>
        <v>0</v>
      </c>
      <c r="P538" s="7688">
        <f t="shared" si="183"/>
        <v>1</v>
      </c>
      <c r="Q538" s="7688">
        <f t="shared" si="184"/>
        <v>1</v>
      </c>
      <c r="CA538" s="3170" t="s">
        <v>16629</v>
      </c>
      <c r="CB538" s="7689" t="s">
        <v>17318</v>
      </c>
      <c r="CC538" s="3170" t="s">
        <v>17337</v>
      </c>
      <c r="CD538" s="3170" t="s">
        <v>17397</v>
      </c>
    </row>
    <row r="539" spans="2:82">
      <c r="B539" s="7685"/>
      <c r="C539" s="7685"/>
      <c r="D539" s="7685"/>
      <c r="E539" s="7685">
        <f>IF(H538&lt;&gt;"",E538,IF(E538="","",IFERROR(MATCH(TRUE(),INDEX(INDEX($K:$K,E538+1):$K$203&lt;&gt;"",0),0)+E538,"")))</f>
        <v>714</v>
      </c>
      <c r="F539" s="7686">
        <f t="shared" si="185"/>
        <v>0</v>
      </c>
      <c r="G539" s="7686" t="str">
        <f t="shared" si="177"/>
        <v>0</v>
      </c>
      <c r="H539" s="7687" t="str">
        <f t="shared" si="178"/>
        <v/>
      </c>
      <c r="I539" s="7685" t="str">
        <f t="shared" si="179"/>
        <v/>
      </c>
      <c r="M539" s="7622">
        <f t="shared" si="180"/>
        <v>1</v>
      </c>
      <c r="N539" s="7688">
        <f t="shared" si="181"/>
        <v>522</v>
      </c>
      <c r="O539" s="7661" t="str">
        <f t="shared" si="182"/>
        <v>0</v>
      </c>
      <c r="P539" s="7688">
        <f t="shared" si="183"/>
        <v>1</v>
      </c>
      <c r="Q539" s="7688">
        <f t="shared" si="184"/>
        <v>1</v>
      </c>
      <c r="CA539" s="3170" t="s">
        <v>16629</v>
      </c>
      <c r="CB539" s="7689" t="s">
        <v>17318</v>
      </c>
      <c r="CC539" s="3170" t="s">
        <v>17398</v>
      </c>
      <c r="CD539" s="3170" t="s">
        <v>17399</v>
      </c>
    </row>
    <row r="540" spans="2:82">
      <c r="B540" s="7685"/>
      <c r="C540" s="7685"/>
      <c r="D540" s="7685"/>
      <c r="E540" s="7685">
        <f>IF(H539&lt;&gt;"",E539,IF(E539="","",IFERROR(MATCH(TRUE(),INDEX(INDEX($K:$K,E539+1):$K$203&lt;&gt;"",0),0)+E539,"")))</f>
        <v>715</v>
      </c>
      <c r="F540" s="7686">
        <f t="shared" si="185"/>
        <v>0</v>
      </c>
      <c r="G540" s="7686" t="str">
        <f t="shared" si="177"/>
        <v>0</v>
      </c>
      <c r="H540" s="7687" t="str">
        <f t="shared" si="178"/>
        <v/>
      </c>
      <c r="I540" s="7685" t="str">
        <f t="shared" si="179"/>
        <v/>
      </c>
      <c r="M540" s="7622">
        <f t="shared" si="180"/>
        <v>1</v>
      </c>
      <c r="N540" s="7688">
        <f t="shared" si="181"/>
        <v>523</v>
      </c>
      <c r="O540" s="7661" t="str">
        <f t="shared" si="182"/>
        <v>0</v>
      </c>
      <c r="P540" s="7688">
        <f t="shared" si="183"/>
        <v>1</v>
      </c>
      <c r="Q540" s="7688">
        <f t="shared" si="184"/>
        <v>1</v>
      </c>
      <c r="CA540" s="3170" t="s">
        <v>16629</v>
      </c>
      <c r="CB540" s="7689" t="s">
        <v>17318</v>
      </c>
      <c r="CC540" s="3170" t="s">
        <v>17400</v>
      </c>
      <c r="CD540" s="3170" t="s">
        <v>17401</v>
      </c>
    </row>
    <row r="541" spans="2:82">
      <c r="B541" s="7685"/>
      <c r="C541" s="7685"/>
      <c r="D541" s="7685"/>
      <c r="E541" s="7685">
        <f>IF(H540&lt;&gt;"",E540,IF(E540="","",IFERROR(MATCH(TRUE(),INDEX(INDEX($K:$K,E540+1):$K$203&lt;&gt;"",0),0)+E540,"")))</f>
        <v>716</v>
      </c>
      <c r="F541" s="7686">
        <f t="shared" si="185"/>
        <v>0</v>
      </c>
      <c r="G541" s="7686" t="str">
        <f t="shared" si="177"/>
        <v>0</v>
      </c>
      <c r="H541" s="7687" t="str">
        <f t="shared" si="178"/>
        <v/>
      </c>
      <c r="I541" s="7685" t="str">
        <f t="shared" si="179"/>
        <v/>
      </c>
      <c r="M541" s="7622">
        <f t="shared" si="180"/>
        <v>1</v>
      </c>
      <c r="N541" s="7688">
        <f t="shared" si="181"/>
        <v>524</v>
      </c>
      <c r="O541" s="7661" t="str">
        <f t="shared" si="182"/>
        <v>0</v>
      </c>
      <c r="P541" s="7688">
        <f t="shared" si="183"/>
        <v>1</v>
      </c>
      <c r="Q541" s="7688">
        <f t="shared" si="184"/>
        <v>1</v>
      </c>
      <c r="CA541" s="3170" t="s">
        <v>16629</v>
      </c>
      <c r="CB541" s="7689" t="s">
        <v>17318</v>
      </c>
      <c r="CC541" s="3170" t="s">
        <v>17402</v>
      </c>
      <c r="CD541" s="3170" t="s">
        <v>17403</v>
      </c>
    </row>
    <row r="542" spans="2:82">
      <c r="B542" s="7685"/>
      <c r="C542" s="7685"/>
      <c r="D542" s="7685"/>
      <c r="E542" s="7685">
        <f>IF(H541&lt;&gt;"",E541,IF(E541="","",IFERROR(MATCH(TRUE(),INDEX(INDEX($K:$K,E541+1):$K$203&lt;&gt;"",0),0)+E541,"")))</f>
        <v>717</v>
      </c>
      <c r="F542" s="7686">
        <f t="shared" si="185"/>
        <v>0</v>
      </c>
      <c r="G542" s="7686" t="str">
        <f t="shared" si="177"/>
        <v>0</v>
      </c>
      <c r="H542" s="7687" t="str">
        <f t="shared" si="178"/>
        <v/>
      </c>
      <c r="I542" s="7685" t="str">
        <f t="shared" si="179"/>
        <v/>
      </c>
      <c r="M542" s="7622">
        <f t="shared" si="180"/>
        <v>1</v>
      </c>
      <c r="N542" s="7688">
        <f t="shared" si="181"/>
        <v>525</v>
      </c>
      <c r="O542" s="7661" t="str">
        <f t="shared" si="182"/>
        <v>0</v>
      </c>
      <c r="P542" s="7688">
        <f t="shared" si="183"/>
        <v>1</v>
      </c>
      <c r="Q542" s="7688">
        <f t="shared" si="184"/>
        <v>1</v>
      </c>
      <c r="CA542" s="3170" t="s">
        <v>16629</v>
      </c>
      <c r="CB542" s="7689" t="s">
        <v>17318</v>
      </c>
      <c r="CC542" s="3170" t="s">
        <v>16893</v>
      </c>
      <c r="CD542" s="3170" t="s">
        <v>17404</v>
      </c>
    </row>
    <row r="543" spans="2:82">
      <c r="B543" s="7685"/>
      <c r="C543" s="7685"/>
      <c r="D543" s="7685"/>
      <c r="E543" s="7685">
        <f>IF(H542&lt;&gt;"",E542,IF(E542="","",IFERROR(MATCH(TRUE(),INDEX(INDEX($K:$K,E542+1):$K$203&lt;&gt;"",0),0)+E542,"")))</f>
        <v>718</v>
      </c>
      <c r="F543" s="7686">
        <f t="shared" si="185"/>
        <v>0</v>
      </c>
      <c r="G543" s="7686" t="str">
        <f t="shared" si="177"/>
        <v>0</v>
      </c>
      <c r="H543" s="7687" t="str">
        <f t="shared" si="178"/>
        <v/>
      </c>
      <c r="I543" s="7685" t="str">
        <f t="shared" si="179"/>
        <v/>
      </c>
      <c r="M543" s="7622">
        <f t="shared" si="180"/>
        <v>1</v>
      </c>
      <c r="N543" s="7688">
        <f t="shared" si="181"/>
        <v>526</v>
      </c>
      <c r="O543" s="7661" t="str">
        <f t="shared" si="182"/>
        <v>0</v>
      </c>
      <c r="P543" s="7688">
        <f t="shared" si="183"/>
        <v>1</v>
      </c>
      <c r="Q543" s="7688">
        <f t="shared" si="184"/>
        <v>1</v>
      </c>
      <c r="CA543" s="3170" t="s">
        <v>16629</v>
      </c>
      <c r="CB543" s="7689" t="s">
        <v>17318</v>
      </c>
      <c r="CC543" s="3170" t="s">
        <v>17405</v>
      </c>
      <c r="CD543" s="3170" t="s">
        <v>17406</v>
      </c>
    </row>
    <row r="544" spans="2:82">
      <c r="B544" s="7685"/>
      <c r="C544" s="7685"/>
      <c r="D544" s="7685"/>
      <c r="E544" s="7685">
        <f>IF(H543&lt;&gt;"",E543,IF(E543="","",IFERROR(MATCH(TRUE(),INDEX(INDEX($K:$K,E543+1):$K$203&lt;&gt;"",0),0)+E543,"")))</f>
        <v>719</v>
      </c>
      <c r="F544" s="7686">
        <f t="shared" si="185"/>
        <v>0</v>
      </c>
      <c r="G544" s="7686" t="str">
        <f t="shared" si="177"/>
        <v>0</v>
      </c>
      <c r="H544" s="7687" t="str">
        <f t="shared" si="178"/>
        <v/>
      </c>
      <c r="I544" s="7685" t="str">
        <f t="shared" si="179"/>
        <v/>
      </c>
      <c r="M544" s="7622">
        <f t="shared" si="180"/>
        <v>1</v>
      </c>
      <c r="N544" s="7688">
        <f t="shared" si="181"/>
        <v>527</v>
      </c>
      <c r="O544" s="7661" t="str">
        <f t="shared" si="182"/>
        <v>0</v>
      </c>
      <c r="P544" s="7688">
        <f t="shared" si="183"/>
        <v>1</v>
      </c>
      <c r="Q544" s="7688">
        <f t="shared" si="184"/>
        <v>1</v>
      </c>
      <c r="CA544" s="3170" t="s">
        <v>16629</v>
      </c>
      <c r="CB544" s="7689" t="s">
        <v>17318</v>
      </c>
      <c r="CC544" s="3170" t="s">
        <v>17407</v>
      </c>
      <c r="CD544" s="3170" t="s">
        <v>17408</v>
      </c>
    </row>
    <row r="545" spans="2:82">
      <c r="B545" s="7685"/>
      <c r="C545" s="7685"/>
      <c r="D545" s="7685"/>
      <c r="E545" s="7685">
        <f>IF(H544&lt;&gt;"",E544,IF(E544="","",IFERROR(MATCH(TRUE(),INDEX(INDEX($K:$K,E544+1):$K$203&lt;&gt;"",0),0)+E544,"")))</f>
        <v>720</v>
      </c>
      <c r="F545" s="7686">
        <f t="shared" si="185"/>
        <v>0</v>
      </c>
      <c r="G545" s="7686" t="str">
        <f t="shared" si="177"/>
        <v>0</v>
      </c>
      <c r="H545" s="7687" t="str">
        <f t="shared" si="178"/>
        <v/>
      </c>
      <c r="I545" s="7685" t="str">
        <f t="shared" si="179"/>
        <v/>
      </c>
      <c r="M545" s="7622">
        <f t="shared" si="180"/>
        <v>1</v>
      </c>
      <c r="N545" s="7688">
        <f t="shared" si="181"/>
        <v>528</v>
      </c>
      <c r="O545" s="7661" t="str">
        <f t="shared" si="182"/>
        <v>0</v>
      </c>
      <c r="P545" s="7688">
        <f t="shared" si="183"/>
        <v>1</v>
      </c>
      <c r="Q545" s="7688">
        <f t="shared" si="184"/>
        <v>1</v>
      </c>
      <c r="CA545" s="3170" t="s">
        <v>16629</v>
      </c>
      <c r="CB545" s="7689" t="s">
        <v>17318</v>
      </c>
      <c r="CC545" s="3170" t="s">
        <v>17409</v>
      </c>
      <c r="CD545" s="3170" t="s">
        <v>17410</v>
      </c>
    </row>
    <row r="546" spans="2:82">
      <c r="B546" s="7685"/>
      <c r="C546" s="7685"/>
      <c r="D546" s="7685"/>
      <c r="E546" s="7685">
        <f>IF(H545&lt;&gt;"",E545,IF(E545="","",IFERROR(MATCH(TRUE(),INDEX(INDEX($K:$K,E545+1):$K$203&lt;&gt;"",0),0)+E545,"")))</f>
        <v>721</v>
      </c>
      <c r="F546" s="7686">
        <f t="shared" si="185"/>
        <v>0</v>
      </c>
      <c r="G546" s="7686" t="str">
        <f t="shared" si="177"/>
        <v>0</v>
      </c>
      <c r="H546" s="7687" t="str">
        <f t="shared" si="178"/>
        <v/>
      </c>
      <c r="I546" s="7685" t="str">
        <f t="shared" si="179"/>
        <v/>
      </c>
      <c r="M546" s="7622">
        <f t="shared" si="180"/>
        <v>1</v>
      </c>
      <c r="N546" s="7688">
        <f t="shared" si="181"/>
        <v>529</v>
      </c>
      <c r="O546" s="7661" t="str">
        <f t="shared" si="182"/>
        <v>0</v>
      </c>
      <c r="P546" s="7688">
        <f t="shared" si="183"/>
        <v>1</v>
      </c>
      <c r="Q546" s="7688">
        <f t="shared" si="184"/>
        <v>1</v>
      </c>
      <c r="CA546" s="3170" t="s">
        <v>16629</v>
      </c>
      <c r="CB546" s="7689" t="s">
        <v>17318</v>
      </c>
      <c r="CC546" s="3170" t="s">
        <v>16993</v>
      </c>
      <c r="CD546" s="3170" t="s">
        <v>17411</v>
      </c>
    </row>
    <row r="547" spans="2:82">
      <c r="B547" s="7685"/>
      <c r="C547" s="7685"/>
      <c r="D547" s="7685"/>
      <c r="E547" s="7685">
        <f>IF(H546&lt;&gt;"",E546,IF(E546="","",IFERROR(MATCH(TRUE(),INDEX(INDEX($K:$K,E546+1):$K$203&lt;&gt;"",0),0)+E546,"")))</f>
        <v>722</v>
      </c>
      <c r="F547" s="7686">
        <f t="shared" si="185"/>
        <v>0</v>
      </c>
      <c r="G547" s="7686" t="str">
        <f t="shared" si="177"/>
        <v>0</v>
      </c>
      <c r="H547" s="7687" t="str">
        <f t="shared" si="178"/>
        <v/>
      </c>
      <c r="I547" s="7685" t="str">
        <f t="shared" si="179"/>
        <v/>
      </c>
      <c r="M547" s="7622">
        <f t="shared" si="180"/>
        <v>1</v>
      </c>
      <c r="N547" s="7688">
        <f t="shared" si="181"/>
        <v>530</v>
      </c>
      <c r="O547" s="7661" t="str">
        <f t="shared" si="182"/>
        <v>0</v>
      </c>
      <c r="P547" s="7688">
        <f t="shared" si="183"/>
        <v>1</v>
      </c>
      <c r="Q547" s="7688">
        <f t="shared" si="184"/>
        <v>1</v>
      </c>
      <c r="CA547" s="3170" t="s">
        <v>16629</v>
      </c>
      <c r="CB547" s="7689" t="s">
        <v>17318</v>
      </c>
      <c r="CC547" s="3170" t="s">
        <v>17412</v>
      </c>
      <c r="CD547" s="3170" t="s">
        <v>17413</v>
      </c>
    </row>
    <row r="548" spans="2:82">
      <c r="B548" s="7685"/>
      <c r="C548" s="7685"/>
      <c r="D548" s="7685"/>
      <c r="E548" s="7685">
        <f>IF(H547&lt;&gt;"",E547,IF(E547="","",IFERROR(MATCH(TRUE(),INDEX(INDEX($K:$K,E547+1):$K$203&lt;&gt;"",0),0)+E547,"")))</f>
        <v>723</v>
      </c>
      <c r="F548" s="7686">
        <f t="shared" si="185"/>
        <v>0</v>
      </c>
      <c r="G548" s="7686" t="str">
        <f t="shared" si="177"/>
        <v>0</v>
      </c>
      <c r="H548" s="7687" t="str">
        <f t="shared" si="178"/>
        <v/>
      </c>
      <c r="I548" s="7685" t="str">
        <f t="shared" si="179"/>
        <v/>
      </c>
      <c r="M548" s="7622">
        <f t="shared" si="180"/>
        <v>1</v>
      </c>
      <c r="N548" s="7688">
        <f t="shared" si="181"/>
        <v>531</v>
      </c>
      <c r="O548" s="7661" t="str">
        <f t="shared" si="182"/>
        <v>0</v>
      </c>
      <c r="P548" s="7688">
        <f t="shared" si="183"/>
        <v>1</v>
      </c>
      <c r="Q548" s="7688">
        <f t="shared" si="184"/>
        <v>1</v>
      </c>
      <c r="CA548" s="3170" t="s">
        <v>16629</v>
      </c>
      <c r="CB548" s="7689" t="s">
        <v>17318</v>
      </c>
      <c r="CC548" s="3170" t="s">
        <v>17414</v>
      </c>
      <c r="CD548" s="3170" t="s">
        <v>17415</v>
      </c>
    </row>
    <row r="549" spans="2:82">
      <c r="B549" s="7685"/>
      <c r="C549" s="7685"/>
      <c r="D549" s="7685"/>
      <c r="E549" s="7685">
        <f>IF(H548&lt;&gt;"",E548,IF(E548="","",IFERROR(MATCH(TRUE(),INDEX(INDEX($K:$K,E548+1):$K$203&lt;&gt;"",0),0)+E548,"")))</f>
        <v>724</v>
      </c>
      <c r="F549" s="7686">
        <f t="shared" si="185"/>
        <v>0</v>
      </c>
      <c r="G549" s="7686" t="str">
        <f t="shared" si="177"/>
        <v>0</v>
      </c>
      <c r="H549" s="7687" t="str">
        <f t="shared" si="178"/>
        <v/>
      </c>
      <c r="I549" s="7685" t="str">
        <f t="shared" si="179"/>
        <v/>
      </c>
      <c r="M549" s="7622">
        <f t="shared" si="180"/>
        <v>1</v>
      </c>
      <c r="N549" s="7688">
        <f t="shared" si="181"/>
        <v>532</v>
      </c>
      <c r="O549" s="7661" t="str">
        <f t="shared" si="182"/>
        <v>0</v>
      </c>
      <c r="P549" s="7688">
        <f t="shared" si="183"/>
        <v>1</v>
      </c>
      <c r="Q549" s="7688">
        <f t="shared" si="184"/>
        <v>1</v>
      </c>
      <c r="CA549" s="3170" t="s">
        <v>16629</v>
      </c>
      <c r="CB549" s="7689" t="s">
        <v>17318</v>
      </c>
      <c r="CC549" s="3170" t="s">
        <v>17416</v>
      </c>
      <c r="CD549" s="3170" t="s">
        <v>17417</v>
      </c>
    </row>
    <row r="550" spans="2:82">
      <c r="B550" s="7685"/>
      <c r="C550" s="7685"/>
      <c r="D550" s="7685"/>
      <c r="E550" s="7685">
        <f>IF(H549&lt;&gt;"",E549,IF(E549="","",IFERROR(MATCH(TRUE(),INDEX(INDEX($K:$K,E549+1):$K$203&lt;&gt;"",0),0)+E549,"")))</f>
        <v>725</v>
      </c>
      <c r="F550" s="7686">
        <f t="shared" si="185"/>
        <v>0</v>
      </c>
      <c r="G550" s="7686" t="str">
        <f t="shared" si="177"/>
        <v>0</v>
      </c>
      <c r="H550" s="7687" t="str">
        <f t="shared" si="178"/>
        <v/>
      </c>
      <c r="I550" s="7685" t="str">
        <f t="shared" si="179"/>
        <v/>
      </c>
      <c r="M550" s="7622">
        <f t="shared" si="180"/>
        <v>1</v>
      </c>
      <c r="N550" s="7688">
        <f t="shared" si="181"/>
        <v>533</v>
      </c>
      <c r="O550" s="7661" t="str">
        <f t="shared" si="182"/>
        <v>0</v>
      </c>
      <c r="P550" s="7688">
        <f t="shared" si="183"/>
        <v>1</v>
      </c>
      <c r="Q550" s="7688">
        <f t="shared" si="184"/>
        <v>1</v>
      </c>
      <c r="CA550" s="3170" t="s">
        <v>16629</v>
      </c>
      <c r="CB550" s="7689" t="s">
        <v>17318</v>
      </c>
      <c r="CC550" s="3170" t="s">
        <v>17418</v>
      </c>
      <c r="CD550" s="3170" t="s">
        <v>17419</v>
      </c>
    </row>
    <row r="551" spans="2:82">
      <c r="B551" s="7685"/>
      <c r="C551" s="7685"/>
      <c r="D551" s="7685"/>
      <c r="E551" s="7685">
        <f>IF(H550&lt;&gt;"",E550,IF(E550="","",IFERROR(MATCH(TRUE(),INDEX(INDEX($K:$K,E550+1):$K$203&lt;&gt;"",0),0)+E550,"")))</f>
        <v>726</v>
      </c>
      <c r="F551" s="7686">
        <f t="shared" si="185"/>
        <v>0</v>
      </c>
      <c r="G551" s="7686" t="str">
        <f t="shared" si="177"/>
        <v>0</v>
      </c>
      <c r="H551" s="7687" t="str">
        <f t="shared" si="178"/>
        <v/>
      </c>
      <c r="I551" s="7685" t="str">
        <f t="shared" si="179"/>
        <v/>
      </c>
      <c r="M551" s="7622">
        <f t="shared" si="180"/>
        <v>1</v>
      </c>
      <c r="N551" s="7688">
        <f t="shared" si="181"/>
        <v>534</v>
      </c>
      <c r="O551" s="7661" t="str">
        <f t="shared" si="182"/>
        <v>0</v>
      </c>
      <c r="P551" s="7688">
        <f t="shared" si="183"/>
        <v>1</v>
      </c>
      <c r="Q551" s="7688">
        <f t="shared" si="184"/>
        <v>1</v>
      </c>
      <c r="CA551" s="3170" t="s">
        <v>16629</v>
      </c>
      <c r="CB551" s="7689" t="s">
        <v>17318</v>
      </c>
      <c r="CC551" s="3170" t="s">
        <v>17420</v>
      </c>
      <c r="CD551" s="3170" t="s">
        <v>17421</v>
      </c>
    </row>
    <row r="552" spans="2:82">
      <c r="B552" s="7685"/>
      <c r="C552" s="7685"/>
      <c r="D552" s="7685"/>
      <c r="E552" s="7685">
        <f>IF(H551&lt;&gt;"",E551,IF(E551="","",IFERROR(MATCH(TRUE(),INDEX(INDEX($K:$K,E551+1):$K$203&lt;&gt;"",0),0)+E551,"")))</f>
        <v>727</v>
      </c>
      <c r="F552" s="7686">
        <f t="shared" si="185"/>
        <v>0</v>
      </c>
      <c r="G552" s="7686" t="str">
        <f t="shared" si="177"/>
        <v>0</v>
      </c>
      <c r="H552" s="7687" t="str">
        <f t="shared" si="178"/>
        <v/>
      </c>
      <c r="I552" s="7685" t="str">
        <f t="shared" si="179"/>
        <v/>
      </c>
      <c r="M552" s="7622">
        <f t="shared" si="180"/>
        <v>1</v>
      </c>
      <c r="N552" s="7688">
        <f t="shared" si="181"/>
        <v>535</v>
      </c>
      <c r="O552" s="7661" t="str">
        <f t="shared" si="182"/>
        <v>0</v>
      </c>
      <c r="P552" s="7688">
        <f t="shared" si="183"/>
        <v>1</v>
      </c>
      <c r="Q552" s="7688">
        <f t="shared" si="184"/>
        <v>1</v>
      </c>
      <c r="CA552" s="3170" t="s">
        <v>16629</v>
      </c>
      <c r="CB552" s="7689" t="s">
        <v>17318</v>
      </c>
      <c r="CC552" s="3170" t="s">
        <v>17422</v>
      </c>
      <c r="CD552" s="3170" t="s">
        <v>17423</v>
      </c>
    </row>
    <row r="553" spans="2:82">
      <c r="B553" s="7685"/>
      <c r="C553" s="7685"/>
      <c r="D553" s="7685"/>
      <c r="E553" s="7685">
        <f>IF(H552&lt;&gt;"",E552,IF(E552="","",IFERROR(MATCH(TRUE(),INDEX(INDEX($K:$K,E552+1):$K$203&lt;&gt;"",0),0)+E552,"")))</f>
        <v>728</v>
      </c>
      <c r="F553" s="7686">
        <f t="shared" si="185"/>
        <v>0</v>
      </c>
      <c r="G553" s="7686" t="str">
        <f t="shared" si="177"/>
        <v>0</v>
      </c>
      <c r="H553" s="7687" t="str">
        <f t="shared" si="178"/>
        <v/>
      </c>
      <c r="I553" s="7685" t="str">
        <f t="shared" si="179"/>
        <v/>
      </c>
      <c r="M553" s="7622">
        <f t="shared" si="180"/>
        <v>1</v>
      </c>
      <c r="N553" s="7688">
        <f t="shared" si="181"/>
        <v>536</v>
      </c>
      <c r="O553" s="7661" t="str">
        <f t="shared" si="182"/>
        <v>0</v>
      </c>
      <c r="P553" s="7688">
        <f t="shared" si="183"/>
        <v>1</v>
      </c>
      <c r="Q553" s="7688">
        <f t="shared" si="184"/>
        <v>1</v>
      </c>
      <c r="CA553" s="3170" t="s">
        <v>16629</v>
      </c>
      <c r="CB553" s="7689" t="s">
        <v>17318</v>
      </c>
      <c r="CC553" s="3170" t="s">
        <v>17424</v>
      </c>
      <c r="CD553" s="3170" t="s">
        <v>17425</v>
      </c>
    </row>
    <row r="554" spans="2:82">
      <c r="B554" s="7685"/>
      <c r="C554" s="7685"/>
      <c r="D554" s="7685"/>
      <c r="E554" s="7685">
        <f>IF(H553&lt;&gt;"",E553,IF(E553="","",IFERROR(MATCH(TRUE(),INDEX(INDEX($K:$K,E553+1):$K$203&lt;&gt;"",0),0)+E553,"")))</f>
        <v>729</v>
      </c>
      <c r="F554" s="7686">
        <f t="shared" si="185"/>
        <v>0</v>
      </c>
      <c r="G554" s="7686" t="str">
        <f t="shared" si="177"/>
        <v>0</v>
      </c>
      <c r="H554" s="7687" t="str">
        <f t="shared" si="178"/>
        <v/>
      </c>
      <c r="I554" s="7685" t="str">
        <f t="shared" si="179"/>
        <v/>
      </c>
      <c r="M554" s="7622">
        <f t="shared" si="180"/>
        <v>1</v>
      </c>
      <c r="N554" s="7688">
        <f t="shared" si="181"/>
        <v>537</v>
      </c>
      <c r="O554" s="7661" t="str">
        <f t="shared" si="182"/>
        <v>0</v>
      </c>
      <c r="P554" s="7688">
        <f t="shared" si="183"/>
        <v>1</v>
      </c>
      <c r="Q554" s="7688">
        <f t="shared" si="184"/>
        <v>1</v>
      </c>
      <c r="CA554" s="3170" t="s">
        <v>16629</v>
      </c>
      <c r="CB554" s="7689" t="s">
        <v>17318</v>
      </c>
      <c r="CC554" s="3170" t="s">
        <v>17426</v>
      </c>
      <c r="CD554" s="3170" t="s">
        <v>17427</v>
      </c>
    </row>
    <row r="555" spans="2:82">
      <c r="B555" s="7685"/>
      <c r="C555" s="7685"/>
      <c r="D555" s="7685"/>
      <c r="E555" s="7685">
        <f>IF(H554&lt;&gt;"",E554,IF(E554="","",IFERROR(MATCH(TRUE(),INDEX(INDEX($K:$K,E554+1):$K$203&lt;&gt;"",0),0)+E554,"")))</f>
        <v>730</v>
      </c>
      <c r="F555" s="7686">
        <f t="shared" si="185"/>
        <v>0</v>
      </c>
      <c r="G555" s="7686" t="str">
        <f t="shared" si="177"/>
        <v>0</v>
      </c>
      <c r="H555" s="7687" t="str">
        <f t="shared" si="178"/>
        <v/>
      </c>
      <c r="I555" s="7685" t="str">
        <f t="shared" si="179"/>
        <v/>
      </c>
      <c r="M555" s="7622">
        <f t="shared" si="180"/>
        <v>1</v>
      </c>
      <c r="N555" s="7688">
        <f t="shared" si="181"/>
        <v>538</v>
      </c>
      <c r="O555" s="7661" t="str">
        <f t="shared" si="182"/>
        <v>0</v>
      </c>
      <c r="P555" s="7688">
        <f t="shared" si="183"/>
        <v>1</v>
      </c>
      <c r="Q555" s="7688">
        <f t="shared" si="184"/>
        <v>1</v>
      </c>
      <c r="CA555" s="3170" t="s">
        <v>16629</v>
      </c>
      <c r="CB555" s="7689" t="s">
        <v>17318</v>
      </c>
      <c r="CC555" s="3170" t="s">
        <v>17428</v>
      </c>
      <c r="CD555" s="3170" t="s">
        <v>17429</v>
      </c>
    </row>
    <row r="556" spans="2:82">
      <c r="B556" s="7685"/>
      <c r="C556" s="7685"/>
      <c r="D556" s="7685"/>
      <c r="E556" s="7685">
        <f>IF(H555&lt;&gt;"",E555,IF(E555="","",IFERROR(MATCH(TRUE(),INDEX(INDEX($K:$K,E555+1):$K$203&lt;&gt;"",0),0)+E555,"")))</f>
        <v>731</v>
      </c>
      <c r="F556" s="7686">
        <f t="shared" si="185"/>
        <v>0</v>
      </c>
      <c r="G556" s="7686" t="str">
        <f t="shared" si="177"/>
        <v>0</v>
      </c>
      <c r="H556" s="7687" t="str">
        <f t="shared" si="178"/>
        <v/>
      </c>
      <c r="I556" s="7685" t="str">
        <f t="shared" si="179"/>
        <v/>
      </c>
      <c r="M556" s="7622">
        <f t="shared" si="180"/>
        <v>1</v>
      </c>
      <c r="N556" s="7688">
        <f t="shared" si="181"/>
        <v>539</v>
      </c>
      <c r="O556" s="7661" t="str">
        <f t="shared" si="182"/>
        <v>0</v>
      </c>
      <c r="P556" s="7688">
        <f t="shared" si="183"/>
        <v>1</v>
      </c>
      <c r="Q556" s="7688">
        <f t="shared" si="184"/>
        <v>1</v>
      </c>
      <c r="CA556" s="3170" t="s">
        <v>16629</v>
      </c>
      <c r="CB556" s="7689" t="s">
        <v>17318</v>
      </c>
      <c r="CC556" s="3170" t="s">
        <v>17430</v>
      </c>
      <c r="CD556" s="3170" t="s">
        <v>17431</v>
      </c>
    </row>
    <row r="557" spans="2:82">
      <c r="B557" s="7685"/>
      <c r="C557" s="7685"/>
      <c r="D557" s="7685"/>
      <c r="E557" s="7685">
        <f>IF(H556&lt;&gt;"",E556,IF(E556="","",IFERROR(MATCH(TRUE(),INDEX(INDEX($K:$K,E556+1):$K$203&lt;&gt;"",0),0)+E556,"")))</f>
        <v>732</v>
      </c>
      <c r="F557" s="7686">
        <f t="shared" si="185"/>
        <v>0</v>
      </c>
      <c r="G557" s="7686" t="str">
        <f t="shared" si="177"/>
        <v>0</v>
      </c>
      <c r="H557" s="7687" t="str">
        <f t="shared" si="178"/>
        <v/>
      </c>
      <c r="I557" s="7685" t="str">
        <f t="shared" si="179"/>
        <v/>
      </c>
      <c r="M557" s="7622">
        <f t="shared" si="180"/>
        <v>1</v>
      </c>
      <c r="N557" s="7688">
        <f t="shared" si="181"/>
        <v>540</v>
      </c>
      <c r="O557" s="7661" t="str">
        <f t="shared" si="182"/>
        <v>0</v>
      </c>
      <c r="P557" s="7688">
        <f t="shared" si="183"/>
        <v>1</v>
      </c>
      <c r="Q557" s="7688">
        <f t="shared" si="184"/>
        <v>1</v>
      </c>
      <c r="CA557" s="3170" t="s">
        <v>16629</v>
      </c>
      <c r="CB557" s="7689" t="s">
        <v>17318</v>
      </c>
      <c r="CC557" s="3170" t="s">
        <v>17432</v>
      </c>
      <c r="CD557" s="3170" t="s">
        <v>17433</v>
      </c>
    </row>
    <row r="558" spans="2:82">
      <c r="B558" s="7685"/>
      <c r="C558" s="7685"/>
      <c r="D558" s="7685"/>
      <c r="E558" s="7685">
        <f>IF(H557&lt;&gt;"",E557,IF(E557="","",IFERROR(MATCH(TRUE(),INDEX(INDEX($K:$K,E557+1):$K$203&lt;&gt;"",0),0)+E557,"")))</f>
        <v>733</v>
      </c>
      <c r="F558" s="7686">
        <f t="shared" si="185"/>
        <v>0</v>
      </c>
      <c r="G558" s="7686" t="str">
        <f t="shared" si="177"/>
        <v>0</v>
      </c>
      <c r="H558" s="7687" t="str">
        <f t="shared" si="178"/>
        <v/>
      </c>
      <c r="I558" s="7685" t="str">
        <f t="shared" si="179"/>
        <v/>
      </c>
      <c r="M558" s="7622">
        <f t="shared" si="180"/>
        <v>1</v>
      </c>
      <c r="N558" s="7688">
        <f t="shared" si="181"/>
        <v>541</v>
      </c>
      <c r="O558" s="7661" t="str">
        <f t="shared" si="182"/>
        <v>0</v>
      </c>
      <c r="P558" s="7688">
        <f t="shared" si="183"/>
        <v>1</v>
      </c>
      <c r="Q558" s="7688">
        <f t="shared" si="184"/>
        <v>1</v>
      </c>
      <c r="CA558" s="3170" t="s">
        <v>16629</v>
      </c>
      <c r="CB558" s="7689" t="s">
        <v>17318</v>
      </c>
      <c r="CC558" s="3170" t="s">
        <v>17201</v>
      </c>
      <c r="CD558" s="3170" t="s">
        <v>17434</v>
      </c>
    </row>
    <row r="559" spans="2:82">
      <c r="B559" s="7685"/>
      <c r="C559" s="7685"/>
      <c r="D559" s="7685"/>
      <c r="E559" s="7685">
        <f>IF(H558&lt;&gt;"",E558,IF(E558="","",IFERROR(MATCH(TRUE(),INDEX(INDEX($K:$K,E558+1):$K$203&lt;&gt;"",0),0)+E558,"")))</f>
        <v>734</v>
      </c>
      <c r="F559" s="7686">
        <f t="shared" si="185"/>
        <v>0</v>
      </c>
      <c r="G559" s="7686" t="str">
        <f t="shared" si="177"/>
        <v>0</v>
      </c>
      <c r="H559" s="7687" t="str">
        <f t="shared" si="178"/>
        <v/>
      </c>
      <c r="I559" s="7685" t="str">
        <f t="shared" si="179"/>
        <v/>
      </c>
      <c r="M559" s="7622">
        <f t="shared" si="180"/>
        <v>1</v>
      </c>
      <c r="N559" s="7688">
        <f t="shared" si="181"/>
        <v>542</v>
      </c>
      <c r="O559" s="7661" t="str">
        <f t="shared" si="182"/>
        <v>0</v>
      </c>
      <c r="P559" s="7688">
        <f t="shared" si="183"/>
        <v>1</v>
      </c>
      <c r="Q559" s="7688">
        <f t="shared" si="184"/>
        <v>1</v>
      </c>
      <c r="CA559" s="3170" t="s">
        <v>16629</v>
      </c>
      <c r="CB559" s="7689" t="s">
        <v>17318</v>
      </c>
      <c r="CC559" s="3170" t="s">
        <v>17435</v>
      </c>
      <c r="CD559" s="3170" t="s">
        <v>17436</v>
      </c>
    </row>
    <row r="560" spans="2:82">
      <c r="B560" s="7685"/>
      <c r="C560" s="7685"/>
      <c r="D560" s="7685"/>
      <c r="E560" s="7685">
        <f>IF(H559&lt;&gt;"",E559,IF(E559="","",IFERROR(MATCH(TRUE(),INDEX(INDEX($K:$K,E559+1):$K$203&lt;&gt;"",0),0)+E559,"")))</f>
        <v>735</v>
      </c>
      <c r="F560" s="7686">
        <f t="shared" si="185"/>
        <v>0</v>
      </c>
      <c r="G560" s="7686" t="str">
        <f t="shared" si="177"/>
        <v>0</v>
      </c>
      <c r="H560" s="7687" t="str">
        <f t="shared" si="178"/>
        <v/>
      </c>
      <c r="I560" s="7685" t="str">
        <f t="shared" si="179"/>
        <v/>
      </c>
      <c r="M560" s="7622">
        <f t="shared" si="180"/>
        <v>1</v>
      </c>
      <c r="N560" s="7688">
        <f t="shared" si="181"/>
        <v>543</v>
      </c>
      <c r="O560" s="7661" t="str">
        <f t="shared" si="182"/>
        <v>0</v>
      </c>
      <c r="P560" s="7688">
        <f t="shared" si="183"/>
        <v>1</v>
      </c>
      <c r="Q560" s="7688">
        <f t="shared" si="184"/>
        <v>1</v>
      </c>
      <c r="CA560" s="3170" t="s">
        <v>16629</v>
      </c>
      <c r="CB560" s="7689" t="s">
        <v>17318</v>
      </c>
      <c r="CC560" s="3170" t="s">
        <v>17437</v>
      </c>
      <c r="CD560" s="3170" t="s">
        <v>17438</v>
      </c>
    </row>
    <row r="561" spans="2:82">
      <c r="B561" s="7685"/>
      <c r="C561" s="7685"/>
      <c r="D561" s="7685"/>
      <c r="E561" s="7685">
        <f>IF(H560&lt;&gt;"",E560,IF(E560="","",IFERROR(MATCH(TRUE(),INDEX(INDEX($K:$K,E560+1):$K$203&lt;&gt;"",0),0)+E560,"")))</f>
        <v>736</v>
      </c>
      <c r="F561" s="7686">
        <f t="shared" si="185"/>
        <v>0</v>
      </c>
      <c r="G561" s="7686" t="str">
        <f t="shared" si="177"/>
        <v>0</v>
      </c>
      <c r="H561" s="7687" t="str">
        <f t="shared" si="178"/>
        <v/>
      </c>
      <c r="I561" s="7685" t="str">
        <f t="shared" si="179"/>
        <v/>
      </c>
      <c r="M561" s="7622">
        <f t="shared" si="180"/>
        <v>1</v>
      </c>
      <c r="N561" s="7688">
        <f t="shared" si="181"/>
        <v>544</v>
      </c>
      <c r="O561" s="7661" t="str">
        <f t="shared" si="182"/>
        <v>0</v>
      </c>
      <c r="P561" s="7688">
        <f t="shared" si="183"/>
        <v>1</v>
      </c>
      <c r="Q561" s="7688">
        <f t="shared" si="184"/>
        <v>1</v>
      </c>
      <c r="CA561" s="3170" t="s">
        <v>16629</v>
      </c>
      <c r="CB561" s="7689" t="s">
        <v>17318</v>
      </c>
      <c r="CC561" s="3170" t="s">
        <v>17439</v>
      </c>
      <c r="CD561" s="3170" t="s">
        <v>17440</v>
      </c>
    </row>
    <row r="562" spans="2:82">
      <c r="B562" s="7685"/>
      <c r="C562" s="7685"/>
      <c r="D562" s="7685"/>
      <c r="E562" s="7685">
        <f>IF(H561&lt;&gt;"",E561,IF(E561="","",IFERROR(MATCH(TRUE(),INDEX(INDEX($K:$K,E561+1):$K$203&lt;&gt;"",0),0)+E561,"")))</f>
        <v>737</v>
      </c>
      <c r="F562" s="7686">
        <f t="shared" si="185"/>
        <v>0</v>
      </c>
      <c r="G562" s="7686" t="str">
        <f t="shared" si="177"/>
        <v>0</v>
      </c>
      <c r="H562" s="7687" t="str">
        <f t="shared" si="178"/>
        <v/>
      </c>
      <c r="I562" s="7685" t="str">
        <f t="shared" si="179"/>
        <v/>
      </c>
      <c r="M562" s="7622">
        <f t="shared" si="180"/>
        <v>1</v>
      </c>
      <c r="N562" s="7688">
        <f t="shared" si="181"/>
        <v>545</v>
      </c>
      <c r="O562" s="7661" t="str">
        <f t="shared" si="182"/>
        <v>0</v>
      </c>
      <c r="P562" s="7688">
        <f t="shared" si="183"/>
        <v>1</v>
      </c>
      <c r="Q562" s="7688">
        <f t="shared" si="184"/>
        <v>1</v>
      </c>
      <c r="CA562" s="3170" t="s">
        <v>16629</v>
      </c>
      <c r="CB562" s="7689" t="s">
        <v>17318</v>
      </c>
      <c r="CC562" s="3170" t="s">
        <v>17441</v>
      </c>
      <c r="CD562" s="3170" t="s">
        <v>17442</v>
      </c>
    </row>
    <row r="563" spans="2:82">
      <c r="B563" s="7685"/>
      <c r="C563" s="7685"/>
      <c r="D563" s="7685"/>
      <c r="E563" s="7685">
        <f>IF(H562&lt;&gt;"",E562,IF(E562="","",IFERROR(MATCH(TRUE(),INDEX(INDEX($K:$K,E562+1):$K$203&lt;&gt;"",0),0)+E562,"")))</f>
        <v>738</v>
      </c>
      <c r="F563" s="7686">
        <f t="shared" si="185"/>
        <v>0</v>
      </c>
      <c r="G563" s="7686" t="str">
        <f t="shared" si="177"/>
        <v>0</v>
      </c>
      <c r="H563" s="7687" t="str">
        <f t="shared" si="178"/>
        <v/>
      </c>
      <c r="I563" s="7685" t="str">
        <f t="shared" si="179"/>
        <v/>
      </c>
      <c r="M563" s="7622">
        <f t="shared" si="180"/>
        <v>1</v>
      </c>
      <c r="N563" s="7688">
        <f t="shared" si="181"/>
        <v>546</v>
      </c>
      <c r="O563" s="7661" t="str">
        <f t="shared" si="182"/>
        <v>0</v>
      </c>
      <c r="P563" s="7688">
        <f t="shared" si="183"/>
        <v>1</v>
      </c>
      <c r="Q563" s="7688">
        <f t="shared" si="184"/>
        <v>1</v>
      </c>
      <c r="CA563" s="3170" t="s">
        <v>16629</v>
      </c>
      <c r="CB563" s="7689" t="s">
        <v>17318</v>
      </c>
      <c r="CC563" s="3170" t="s">
        <v>16895</v>
      </c>
      <c r="CD563" s="3170" t="s">
        <v>17443</v>
      </c>
    </row>
    <row r="564" spans="2:82">
      <c r="B564" s="7685"/>
      <c r="C564" s="7685"/>
      <c r="D564" s="7685"/>
      <c r="E564" s="7685">
        <f>IF(H563&lt;&gt;"",E563,IF(E563="","",IFERROR(MATCH(TRUE(),INDEX(INDEX($K:$K,E563+1):$K$203&lt;&gt;"",0),0)+E563,"")))</f>
        <v>739</v>
      </c>
      <c r="F564" s="7686">
        <f t="shared" si="185"/>
        <v>0</v>
      </c>
      <c r="G564" s="7686" t="str">
        <f t="shared" si="177"/>
        <v>0</v>
      </c>
      <c r="H564" s="7687" t="str">
        <f t="shared" si="178"/>
        <v/>
      </c>
      <c r="I564" s="7685" t="str">
        <f t="shared" si="179"/>
        <v/>
      </c>
      <c r="M564" s="7622">
        <f t="shared" si="180"/>
        <v>1</v>
      </c>
      <c r="N564" s="7688">
        <f t="shared" si="181"/>
        <v>547</v>
      </c>
      <c r="O564" s="7661" t="str">
        <f t="shared" si="182"/>
        <v>0</v>
      </c>
      <c r="P564" s="7688">
        <f t="shared" si="183"/>
        <v>1</v>
      </c>
      <c r="Q564" s="7688">
        <f t="shared" si="184"/>
        <v>1</v>
      </c>
      <c r="CA564" s="3170" t="s">
        <v>16629</v>
      </c>
      <c r="CB564" s="7689" t="s">
        <v>17318</v>
      </c>
      <c r="CC564" s="3170" t="s">
        <v>17205</v>
      </c>
      <c r="CD564" s="3170" t="s">
        <v>17444</v>
      </c>
    </row>
    <row r="565" spans="2:82">
      <c r="B565" s="7685"/>
      <c r="C565" s="7685"/>
      <c r="D565" s="7685"/>
      <c r="E565" s="7685">
        <f>IF(H564&lt;&gt;"",E564,IF(E564="","",IFERROR(MATCH(TRUE(),INDEX(INDEX($K:$K,E564+1):$K$203&lt;&gt;"",0),0)+E564,"")))</f>
        <v>740</v>
      </c>
      <c r="F565" s="7686">
        <f t="shared" si="185"/>
        <v>0</v>
      </c>
      <c r="G565" s="7686" t="str">
        <f t="shared" si="177"/>
        <v>0</v>
      </c>
      <c r="H565" s="7687" t="str">
        <f t="shared" si="178"/>
        <v/>
      </c>
      <c r="I565" s="7685" t="str">
        <f t="shared" si="179"/>
        <v/>
      </c>
      <c r="M565" s="7622">
        <f t="shared" si="180"/>
        <v>1</v>
      </c>
      <c r="N565" s="7688">
        <f t="shared" si="181"/>
        <v>548</v>
      </c>
      <c r="O565" s="7661" t="str">
        <f t="shared" si="182"/>
        <v>0</v>
      </c>
      <c r="P565" s="7688">
        <f t="shared" si="183"/>
        <v>1</v>
      </c>
      <c r="Q565" s="7688">
        <f t="shared" si="184"/>
        <v>1</v>
      </c>
      <c r="CA565" s="3170" t="s">
        <v>16629</v>
      </c>
      <c r="CB565" s="7689" t="s">
        <v>17318</v>
      </c>
      <c r="CC565" s="3170" t="s">
        <v>17445</v>
      </c>
      <c r="CD565" s="3170" t="s">
        <v>17446</v>
      </c>
    </row>
    <row r="566" spans="2:82">
      <c r="B566" s="7685"/>
      <c r="C566" s="7685"/>
      <c r="D566" s="7685"/>
      <c r="E566" s="7685">
        <f>IF(H565&lt;&gt;"",E565,IF(E565="","",IFERROR(MATCH(TRUE(),INDEX(INDEX($K:$K,E565+1):$K$203&lt;&gt;"",0),0)+E565,"")))</f>
        <v>741</v>
      </c>
      <c r="F566" s="7686">
        <f t="shared" si="185"/>
        <v>0</v>
      </c>
      <c r="G566" s="7686" t="str">
        <f t="shared" si="177"/>
        <v>0</v>
      </c>
      <c r="H566" s="7687" t="str">
        <f t="shared" si="178"/>
        <v/>
      </c>
      <c r="I566" s="7685" t="str">
        <f t="shared" si="179"/>
        <v/>
      </c>
      <c r="M566" s="7622">
        <f t="shared" si="180"/>
        <v>1</v>
      </c>
      <c r="N566" s="7688">
        <f t="shared" si="181"/>
        <v>549</v>
      </c>
      <c r="O566" s="7661" t="str">
        <f t="shared" si="182"/>
        <v>0</v>
      </c>
      <c r="P566" s="7688">
        <f t="shared" si="183"/>
        <v>1</v>
      </c>
      <c r="Q566" s="7688">
        <f t="shared" si="184"/>
        <v>1</v>
      </c>
      <c r="CA566" s="3170" t="s">
        <v>16629</v>
      </c>
      <c r="CB566" s="7689" t="s">
        <v>17318</v>
      </c>
      <c r="CC566" s="3170" t="s">
        <v>17447</v>
      </c>
      <c r="CD566" s="3170" t="s">
        <v>17448</v>
      </c>
    </row>
    <row r="567" spans="2:82">
      <c r="B567" s="7685"/>
      <c r="C567" s="7685"/>
      <c r="D567" s="7685"/>
      <c r="E567" s="7685">
        <f>IF(H566&lt;&gt;"",E566,IF(E566="","",IFERROR(MATCH(TRUE(),INDEX(INDEX($K:$K,E566+1):$K$203&lt;&gt;"",0),0)+E566,"")))</f>
        <v>742</v>
      </c>
      <c r="F567" s="7686">
        <f t="shared" si="185"/>
        <v>0</v>
      </c>
      <c r="G567" s="7686" t="str">
        <f t="shared" si="177"/>
        <v>0</v>
      </c>
      <c r="H567" s="7687" t="str">
        <f t="shared" si="178"/>
        <v/>
      </c>
      <c r="I567" s="7685" t="str">
        <f t="shared" si="179"/>
        <v/>
      </c>
      <c r="M567" s="7622">
        <f t="shared" si="180"/>
        <v>1</v>
      </c>
      <c r="N567" s="7688">
        <f t="shared" si="181"/>
        <v>550</v>
      </c>
      <c r="O567" s="7661" t="str">
        <f t="shared" si="182"/>
        <v>0</v>
      </c>
      <c r="P567" s="7688">
        <f t="shared" si="183"/>
        <v>1</v>
      </c>
      <c r="Q567" s="7688">
        <f t="shared" si="184"/>
        <v>1</v>
      </c>
      <c r="CA567" s="3170" t="s">
        <v>16629</v>
      </c>
      <c r="CB567" s="7689" t="s">
        <v>17318</v>
      </c>
      <c r="CC567" s="3170" t="s">
        <v>17449</v>
      </c>
      <c r="CD567" s="3170" t="s">
        <v>17450</v>
      </c>
    </row>
    <row r="568" spans="2:82">
      <c r="B568" s="7685"/>
      <c r="C568" s="7685"/>
      <c r="D568" s="7685"/>
      <c r="E568" s="7685">
        <f>IF(H567&lt;&gt;"",E567,IF(E567="","",IFERROR(MATCH(TRUE(),INDEX(INDEX($K:$K,E567+1):$K$203&lt;&gt;"",0),0)+E567,"")))</f>
        <v>743</v>
      </c>
      <c r="F568" s="7686">
        <f t="shared" si="185"/>
        <v>0</v>
      </c>
      <c r="G568" s="7686" t="str">
        <f t="shared" si="177"/>
        <v>0</v>
      </c>
      <c r="H568" s="7687" t="str">
        <f t="shared" si="178"/>
        <v/>
      </c>
      <c r="I568" s="7685" t="str">
        <f t="shared" si="179"/>
        <v/>
      </c>
      <c r="M568" s="7622">
        <f t="shared" si="180"/>
        <v>1</v>
      </c>
      <c r="N568" s="7688">
        <f t="shared" si="181"/>
        <v>551</v>
      </c>
      <c r="O568" s="7661" t="str">
        <f t="shared" si="182"/>
        <v>0</v>
      </c>
      <c r="P568" s="7688">
        <f t="shared" si="183"/>
        <v>1</v>
      </c>
      <c r="Q568" s="7688">
        <f t="shared" si="184"/>
        <v>1</v>
      </c>
      <c r="CA568" s="3170" t="s">
        <v>16629</v>
      </c>
      <c r="CB568" s="7689" t="s">
        <v>17318</v>
      </c>
      <c r="CC568" s="3170" t="s">
        <v>17451</v>
      </c>
      <c r="CD568" s="3170" t="s">
        <v>17452</v>
      </c>
    </row>
    <row r="569" spans="2:82">
      <c r="B569" s="7685"/>
      <c r="C569" s="7685"/>
      <c r="D569" s="7685"/>
      <c r="E569" s="7685">
        <f>IF(H568&lt;&gt;"",E568,IF(E568="","",IFERROR(MATCH(TRUE(),INDEX(INDEX($K:$K,E568+1):$K$203&lt;&gt;"",0),0)+E568,"")))</f>
        <v>744</v>
      </c>
      <c r="F569" s="7686">
        <f t="shared" si="185"/>
        <v>0</v>
      </c>
      <c r="G569" s="7686" t="str">
        <f t="shared" si="177"/>
        <v>0</v>
      </c>
      <c r="H569" s="7687" t="str">
        <f t="shared" si="178"/>
        <v/>
      </c>
      <c r="I569" s="7685" t="str">
        <f t="shared" si="179"/>
        <v/>
      </c>
      <c r="M569" s="7622">
        <f t="shared" si="180"/>
        <v>1</v>
      </c>
      <c r="N569" s="7688">
        <f t="shared" si="181"/>
        <v>552</v>
      </c>
      <c r="O569" s="7661" t="str">
        <f t="shared" si="182"/>
        <v>0</v>
      </c>
      <c r="P569" s="7688">
        <f t="shared" si="183"/>
        <v>1</v>
      </c>
      <c r="Q569" s="7688">
        <f t="shared" si="184"/>
        <v>1</v>
      </c>
      <c r="CA569" s="3170" t="s">
        <v>16629</v>
      </c>
      <c r="CB569" s="7689" t="s">
        <v>17318</v>
      </c>
      <c r="CC569" s="3170" t="s">
        <v>17453</v>
      </c>
      <c r="CD569" s="3170" t="s">
        <v>17454</v>
      </c>
    </row>
    <row r="570" spans="2:82">
      <c r="B570" s="7685"/>
      <c r="C570" s="7685"/>
      <c r="D570" s="7685"/>
      <c r="E570" s="7685">
        <f>IF(H569&lt;&gt;"",E569,IF(E569="","",IFERROR(MATCH(TRUE(),INDEX(INDEX($K:$K,E569+1):$K$203&lt;&gt;"",0),0)+E569,"")))</f>
        <v>745</v>
      </c>
      <c r="F570" s="7686">
        <f t="shared" si="185"/>
        <v>0</v>
      </c>
      <c r="G570" s="7686" t="str">
        <f t="shared" si="177"/>
        <v>0</v>
      </c>
      <c r="H570" s="7687" t="str">
        <f t="shared" si="178"/>
        <v/>
      </c>
      <c r="I570" s="7685" t="str">
        <f t="shared" si="179"/>
        <v/>
      </c>
      <c r="M570" s="7622">
        <f t="shared" si="180"/>
        <v>1</v>
      </c>
      <c r="N570" s="7688">
        <f t="shared" si="181"/>
        <v>553</v>
      </c>
      <c r="O570" s="7661" t="str">
        <f t="shared" si="182"/>
        <v>0</v>
      </c>
      <c r="P570" s="7688">
        <f t="shared" si="183"/>
        <v>1</v>
      </c>
      <c r="Q570" s="7688">
        <f t="shared" si="184"/>
        <v>1</v>
      </c>
      <c r="CA570" s="3170" t="s">
        <v>16629</v>
      </c>
      <c r="CB570" s="7689" t="s">
        <v>17318</v>
      </c>
      <c r="CC570" s="3170" t="s">
        <v>16909</v>
      </c>
      <c r="CD570" s="3170" t="s">
        <v>17455</v>
      </c>
    </row>
    <row r="571" spans="2:82">
      <c r="B571" s="7685"/>
      <c r="C571" s="7685"/>
      <c r="D571" s="7685"/>
      <c r="E571" s="7685">
        <f>IF(H570&lt;&gt;"",E570,IF(E570="","",IFERROR(MATCH(TRUE(),INDEX(INDEX($K:$K,E570+1):$K$203&lt;&gt;"",0),0)+E570,"")))</f>
        <v>746</v>
      </c>
      <c r="F571" s="7686">
        <f t="shared" si="185"/>
        <v>0</v>
      </c>
      <c r="G571" s="7686" t="str">
        <f t="shared" si="177"/>
        <v>0</v>
      </c>
      <c r="H571" s="7687" t="str">
        <f t="shared" si="178"/>
        <v/>
      </c>
      <c r="I571" s="7685" t="str">
        <f t="shared" si="179"/>
        <v/>
      </c>
      <c r="M571" s="7622">
        <f t="shared" si="180"/>
        <v>1</v>
      </c>
      <c r="N571" s="7688">
        <f t="shared" si="181"/>
        <v>554</v>
      </c>
      <c r="O571" s="7661" t="str">
        <f t="shared" si="182"/>
        <v>0</v>
      </c>
      <c r="P571" s="7688">
        <f t="shared" si="183"/>
        <v>1</v>
      </c>
      <c r="Q571" s="7688">
        <f t="shared" si="184"/>
        <v>1</v>
      </c>
      <c r="CA571" s="3170" t="s">
        <v>16629</v>
      </c>
      <c r="CB571" s="7689" t="s">
        <v>17318</v>
      </c>
      <c r="CC571" s="3170" t="s">
        <v>17456</v>
      </c>
      <c r="CD571" s="3170" t="s">
        <v>17457</v>
      </c>
    </row>
    <row r="572" spans="2:82">
      <c r="B572" s="7685"/>
      <c r="C572" s="7685"/>
      <c r="D572" s="7685"/>
      <c r="E572" s="7685">
        <f>IF(H571&lt;&gt;"",E571,IF(E571="","",IFERROR(MATCH(TRUE(),INDEX(INDEX($K:$K,E571+1):$K$203&lt;&gt;"",0),0)+E571,"")))</f>
        <v>747</v>
      </c>
      <c r="F572" s="7686">
        <f t="shared" si="185"/>
        <v>0</v>
      </c>
      <c r="G572" s="7686" t="str">
        <f t="shared" si="177"/>
        <v>0</v>
      </c>
      <c r="H572" s="7687" t="str">
        <f t="shared" si="178"/>
        <v/>
      </c>
      <c r="I572" s="7685" t="str">
        <f t="shared" si="179"/>
        <v/>
      </c>
      <c r="M572" s="7622">
        <f t="shared" si="180"/>
        <v>1</v>
      </c>
      <c r="N572" s="7688">
        <f t="shared" si="181"/>
        <v>555</v>
      </c>
      <c r="O572" s="7661" t="str">
        <f t="shared" si="182"/>
        <v>0</v>
      </c>
      <c r="P572" s="7688">
        <f t="shared" si="183"/>
        <v>1</v>
      </c>
      <c r="Q572" s="7688">
        <f t="shared" si="184"/>
        <v>1</v>
      </c>
      <c r="CA572" s="3170" t="s">
        <v>16629</v>
      </c>
      <c r="CB572" s="7689" t="s">
        <v>17318</v>
      </c>
      <c r="CC572" s="3170" t="s">
        <v>17458</v>
      </c>
      <c r="CD572" s="3170" t="s">
        <v>17459</v>
      </c>
    </row>
    <row r="573" spans="2:82">
      <c r="B573" s="7685"/>
      <c r="C573" s="7685"/>
      <c r="D573" s="7685"/>
      <c r="E573" s="7685">
        <f>IF(H572&lt;&gt;"",E572,IF(E572="","",IFERROR(MATCH(TRUE(),INDEX(INDEX($K:$K,E572+1):$K$203&lt;&gt;"",0),0)+E572,"")))</f>
        <v>748</v>
      </c>
      <c r="F573" s="7686">
        <f t="shared" si="185"/>
        <v>0</v>
      </c>
      <c r="G573" s="7686" t="str">
        <f t="shared" si="177"/>
        <v>0</v>
      </c>
      <c r="H573" s="7687" t="str">
        <f t="shared" si="178"/>
        <v/>
      </c>
      <c r="I573" s="7685" t="str">
        <f t="shared" si="179"/>
        <v/>
      </c>
      <c r="M573" s="7622">
        <f t="shared" si="180"/>
        <v>1</v>
      </c>
      <c r="N573" s="7688">
        <f t="shared" si="181"/>
        <v>556</v>
      </c>
      <c r="O573" s="7661" t="str">
        <f t="shared" si="182"/>
        <v>0</v>
      </c>
      <c r="P573" s="7688">
        <f t="shared" si="183"/>
        <v>1</v>
      </c>
      <c r="Q573" s="7688">
        <f t="shared" si="184"/>
        <v>1</v>
      </c>
      <c r="CA573" s="3170" t="s">
        <v>16629</v>
      </c>
      <c r="CB573" s="7689" t="s">
        <v>17318</v>
      </c>
      <c r="CC573" s="3170" t="s">
        <v>17460</v>
      </c>
      <c r="CD573" s="3170" t="s">
        <v>17461</v>
      </c>
    </row>
    <row r="574" spans="2:82">
      <c r="B574" s="7685"/>
      <c r="C574" s="7685"/>
      <c r="D574" s="7685"/>
      <c r="E574" s="7685">
        <f>IF(H573&lt;&gt;"",E573,IF(E573="","",IFERROR(MATCH(TRUE(),INDEX(INDEX($K:$K,E573+1):$K$203&lt;&gt;"",0),0)+E573,"")))</f>
        <v>749</v>
      </c>
      <c r="F574" s="7686">
        <f t="shared" si="185"/>
        <v>0</v>
      </c>
      <c r="G574" s="7686" t="str">
        <f t="shared" si="177"/>
        <v>0</v>
      </c>
      <c r="H574" s="7687" t="str">
        <f t="shared" si="178"/>
        <v/>
      </c>
      <c r="I574" s="7685" t="str">
        <f t="shared" si="179"/>
        <v/>
      </c>
      <c r="M574" s="7622">
        <f t="shared" si="180"/>
        <v>1</v>
      </c>
      <c r="N574" s="7688">
        <f t="shared" si="181"/>
        <v>557</v>
      </c>
      <c r="O574" s="7661" t="str">
        <f t="shared" si="182"/>
        <v>0</v>
      </c>
      <c r="P574" s="7688">
        <f t="shared" si="183"/>
        <v>1</v>
      </c>
      <c r="Q574" s="7688">
        <f t="shared" si="184"/>
        <v>1</v>
      </c>
      <c r="CA574" s="3170" t="s">
        <v>16629</v>
      </c>
      <c r="CB574" s="7689" t="s">
        <v>17318</v>
      </c>
      <c r="CC574" s="3170" t="s">
        <v>17462</v>
      </c>
      <c r="CD574" s="3170" t="s">
        <v>17463</v>
      </c>
    </row>
    <row r="575" spans="2:82">
      <c r="B575" s="7685"/>
      <c r="C575" s="7685"/>
      <c r="D575" s="7685"/>
      <c r="E575" s="7685">
        <f>IF(H574&lt;&gt;"",E574,IF(E574="","",IFERROR(MATCH(TRUE(),INDEX(INDEX($K:$K,E574+1):$K$203&lt;&gt;"",0),0)+E574,"")))</f>
        <v>750</v>
      </c>
      <c r="F575" s="7686">
        <f t="shared" si="185"/>
        <v>0</v>
      </c>
      <c r="G575" s="7686" t="str">
        <f t="shared" si="177"/>
        <v>0</v>
      </c>
      <c r="H575" s="7687" t="str">
        <f t="shared" si="178"/>
        <v/>
      </c>
      <c r="I575" s="7685" t="str">
        <f t="shared" si="179"/>
        <v/>
      </c>
      <c r="M575" s="7622">
        <f t="shared" si="180"/>
        <v>1</v>
      </c>
      <c r="N575" s="7688">
        <f t="shared" si="181"/>
        <v>558</v>
      </c>
      <c r="O575" s="7661" t="str">
        <f t="shared" si="182"/>
        <v>0</v>
      </c>
      <c r="P575" s="7688">
        <f t="shared" si="183"/>
        <v>1</v>
      </c>
      <c r="Q575" s="7688">
        <f t="shared" si="184"/>
        <v>1</v>
      </c>
      <c r="CA575" s="3170" t="s">
        <v>16629</v>
      </c>
      <c r="CB575" s="7689" t="s">
        <v>17318</v>
      </c>
      <c r="CC575" s="3170" t="s">
        <v>17464</v>
      </c>
      <c r="CD575" s="3170" t="s">
        <v>17465</v>
      </c>
    </row>
    <row r="576" spans="2:82">
      <c r="B576" s="7685"/>
      <c r="C576" s="7685"/>
      <c r="D576" s="7685"/>
      <c r="E576" s="7685">
        <f>IF(H575&lt;&gt;"",E575,IF(E575="","",IFERROR(MATCH(TRUE(),INDEX(INDEX($K:$K,E575+1):$K$203&lt;&gt;"",0),0)+E575,"")))</f>
        <v>751</v>
      </c>
      <c r="F576" s="7686">
        <f t="shared" si="185"/>
        <v>0</v>
      </c>
      <c r="G576" s="7686" t="str">
        <f t="shared" si="177"/>
        <v>0</v>
      </c>
      <c r="H576" s="7687" t="str">
        <f t="shared" si="178"/>
        <v/>
      </c>
      <c r="I576" s="7685" t="str">
        <f t="shared" si="179"/>
        <v/>
      </c>
      <c r="M576" s="7622">
        <f t="shared" si="180"/>
        <v>1</v>
      </c>
      <c r="N576" s="7688">
        <f t="shared" si="181"/>
        <v>559</v>
      </c>
      <c r="O576" s="7661" t="str">
        <f t="shared" si="182"/>
        <v>0</v>
      </c>
      <c r="P576" s="7688">
        <f t="shared" si="183"/>
        <v>1</v>
      </c>
      <c r="Q576" s="7688">
        <f t="shared" si="184"/>
        <v>1</v>
      </c>
      <c r="CA576" s="3170" t="s">
        <v>16629</v>
      </c>
      <c r="CB576" s="7689" t="s">
        <v>17318</v>
      </c>
      <c r="CC576" s="3170" t="s">
        <v>17466</v>
      </c>
      <c r="CD576" s="3170" t="s">
        <v>17467</v>
      </c>
    </row>
    <row r="577" spans="2:82">
      <c r="B577" s="7685"/>
      <c r="C577" s="7685"/>
      <c r="D577" s="7685"/>
      <c r="E577" s="7685">
        <f>IF(H576&lt;&gt;"",E576,IF(E576="","",IFERROR(MATCH(TRUE(),INDEX(INDEX($K:$K,E576+1):$K$203&lt;&gt;"",0),0)+E576,"")))</f>
        <v>752</v>
      </c>
      <c r="F577" s="7686">
        <f t="shared" si="185"/>
        <v>0</v>
      </c>
      <c r="G577" s="7686" t="str">
        <f t="shared" si="177"/>
        <v>0</v>
      </c>
      <c r="H577" s="7687" t="str">
        <f t="shared" si="178"/>
        <v/>
      </c>
      <c r="I577" s="7685" t="str">
        <f t="shared" si="179"/>
        <v/>
      </c>
      <c r="M577" s="7622">
        <f t="shared" si="180"/>
        <v>1</v>
      </c>
      <c r="N577" s="7688">
        <f t="shared" si="181"/>
        <v>560</v>
      </c>
      <c r="O577" s="7661" t="str">
        <f t="shared" si="182"/>
        <v>0</v>
      </c>
      <c r="P577" s="7688">
        <f t="shared" si="183"/>
        <v>1</v>
      </c>
      <c r="Q577" s="7688">
        <f t="shared" si="184"/>
        <v>1</v>
      </c>
      <c r="CA577" s="3170" t="s">
        <v>16629</v>
      </c>
      <c r="CB577" s="7689" t="s">
        <v>17318</v>
      </c>
      <c r="CC577" s="3170" t="s">
        <v>17468</v>
      </c>
      <c r="CD577" s="3170" t="s">
        <v>17469</v>
      </c>
    </row>
    <row r="578" spans="2:82">
      <c r="B578" s="7685"/>
      <c r="C578" s="7685"/>
      <c r="D578" s="7685"/>
      <c r="E578" s="7685">
        <f>IF(H577&lt;&gt;"",E577,IF(E577="","",IFERROR(MATCH(TRUE(),INDEX(INDEX($K:$K,E577+1):$K$203&lt;&gt;"",0),0)+E577,"")))</f>
        <v>753</v>
      </c>
      <c r="F578" s="7686">
        <f t="shared" si="185"/>
        <v>0</v>
      </c>
      <c r="G578" s="7686" t="str">
        <f t="shared" si="177"/>
        <v>0</v>
      </c>
      <c r="H578" s="7687" t="str">
        <f t="shared" si="178"/>
        <v/>
      </c>
      <c r="I578" s="7685" t="str">
        <f t="shared" si="179"/>
        <v/>
      </c>
      <c r="M578" s="7622">
        <f t="shared" si="180"/>
        <v>1</v>
      </c>
      <c r="N578" s="7688">
        <f t="shared" si="181"/>
        <v>561</v>
      </c>
      <c r="O578" s="7661" t="str">
        <f t="shared" si="182"/>
        <v>0</v>
      </c>
      <c r="P578" s="7688">
        <f t="shared" si="183"/>
        <v>1</v>
      </c>
      <c r="Q578" s="7688">
        <f t="shared" si="184"/>
        <v>1</v>
      </c>
      <c r="CA578" s="3170" t="s">
        <v>16629</v>
      </c>
      <c r="CB578" s="7689" t="s">
        <v>17318</v>
      </c>
      <c r="CC578" s="3170" t="s">
        <v>17470</v>
      </c>
      <c r="CD578" s="3170" t="s">
        <v>17471</v>
      </c>
    </row>
    <row r="579" spans="2:82">
      <c r="B579" s="7685"/>
      <c r="C579" s="7685"/>
      <c r="D579" s="7685"/>
      <c r="E579" s="7685">
        <f>IF(H578&lt;&gt;"",E578,IF(E578="","",IFERROR(MATCH(TRUE(),INDEX(INDEX($K:$K,E578+1):$K$203&lt;&gt;"",0),0)+E578,"")))</f>
        <v>754</v>
      </c>
      <c r="F579" s="7686">
        <f t="shared" si="185"/>
        <v>0</v>
      </c>
      <c r="G579" s="7686" t="str">
        <f t="shared" si="177"/>
        <v>0</v>
      </c>
      <c r="H579" s="7687" t="str">
        <f t="shared" si="178"/>
        <v/>
      </c>
      <c r="I579" s="7685" t="str">
        <f t="shared" si="179"/>
        <v/>
      </c>
      <c r="M579" s="7622">
        <f t="shared" si="180"/>
        <v>1</v>
      </c>
      <c r="N579" s="7688">
        <f t="shared" si="181"/>
        <v>562</v>
      </c>
      <c r="O579" s="7661" t="str">
        <f t="shared" si="182"/>
        <v>0</v>
      </c>
      <c r="P579" s="7688">
        <f t="shared" si="183"/>
        <v>1</v>
      </c>
      <c r="Q579" s="7688">
        <f t="shared" si="184"/>
        <v>1</v>
      </c>
      <c r="CA579" s="3170" t="s">
        <v>16629</v>
      </c>
      <c r="CB579" s="7689" t="s">
        <v>17318</v>
      </c>
      <c r="CC579" s="3170" t="s">
        <v>17472</v>
      </c>
      <c r="CD579" s="3170" t="s">
        <v>17473</v>
      </c>
    </row>
    <row r="580" spans="2:82">
      <c r="B580" s="7685"/>
      <c r="C580" s="7685"/>
      <c r="D580" s="7685"/>
      <c r="E580" s="7685">
        <f>IF(H579&lt;&gt;"",E579,IF(E579="","",IFERROR(MATCH(TRUE(),INDEX(INDEX($K:$K,E579+1):$K$203&lt;&gt;"",0),0)+E579,"")))</f>
        <v>755</v>
      </c>
      <c r="F580" s="7686">
        <f t="shared" si="185"/>
        <v>0</v>
      </c>
      <c r="G580" s="7686" t="str">
        <f t="shared" si="177"/>
        <v>0</v>
      </c>
      <c r="H580" s="7687" t="str">
        <f t="shared" si="178"/>
        <v/>
      </c>
      <c r="I580" s="7685" t="str">
        <f t="shared" si="179"/>
        <v/>
      </c>
      <c r="M580" s="7622">
        <f t="shared" si="180"/>
        <v>1</v>
      </c>
      <c r="N580" s="7688">
        <f t="shared" si="181"/>
        <v>563</v>
      </c>
      <c r="O580" s="7661" t="str">
        <f t="shared" si="182"/>
        <v>0</v>
      </c>
      <c r="P580" s="7688">
        <f t="shared" si="183"/>
        <v>1</v>
      </c>
      <c r="Q580" s="7688">
        <f t="shared" si="184"/>
        <v>1</v>
      </c>
      <c r="CA580" s="3170" t="s">
        <v>966</v>
      </c>
      <c r="CB580" s="7689" t="s">
        <v>17318</v>
      </c>
      <c r="CC580" s="3170" t="s">
        <v>17474</v>
      </c>
      <c r="CD580" s="3170" t="s">
        <v>17475</v>
      </c>
    </row>
    <row r="581" spans="2:82">
      <c r="B581" s="7685"/>
      <c r="C581" s="7685"/>
      <c r="D581" s="7685"/>
      <c r="E581" s="7685">
        <f>IF(H580&lt;&gt;"",E580,IF(E580="","",IFERROR(MATCH(TRUE(),INDEX(INDEX($K:$K,E580+1):$K$203&lt;&gt;"",0),0)+E580,"")))</f>
        <v>756</v>
      </c>
      <c r="F581" s="7686">
        <f t="shared" si="185"/>
        <v>0</v>
      </c>
      <c r="G581" s="7686" t="str">
        <f t="shared" si="177"/>
        <v>0</v>
      </c>
      <c r="H581" s="7687" t="str">
        <f t="shared" si="178"/>
        <v/>
      </c>
      <c r="I581" s="7685" t="str">
        <f t="shared" si="179"/>
        <v/>
      </c>
      <c r="M581" s="7622">
        <f t="shared" si="180"/>
        <v>1</v>
      </c>
      <c r="N581" s="7688">
        <f t="shared" si="181"/>
        <v>564</v>
      </c>
      <c r="O581" s="7661" t="str">
        <f t="shared" si="182"/>
        <v>0</v>
      </c>
      <c r="P581" s="7688">
        <f t="shared" si="183"/>
        <v>1</v>
      </c>
      <c r="Q581" s="7688">
        <f t="shared" si="184"/>
        <v>1</v>
      </c>
      <c r="CA581" s="3170" t="s">
        <v>966</v>
      </c>
      <c r="CB581" s="7689" t="s">
        <v>17318</v>
      </c>
      <c r="CC581" s="3170" t="s">
        <v>17476</v>
      </c>
      <c r="CD581" s="3170" t="s">
        <v>17477</v>
      </c>
    </row>
    <row r="582" spans="2:82">
      <c r="B582" s="7685"/>
      <c r="C582" s="7685"/>
      <c r="D582" s="7685"/>
      <c r="E582" s="7685">
        <f>IF(H581&lt;&gt;"",E581,IF(E581="","",IFERROR(MATCH(TRUE(),INDEX(INDEX($K:$K,E581+1):$K$203&lt;&gt;"",0),0)+E581,"")))</f>
        <v>757</v>
      </c>
      <c r="F582" s="7686">
        <f t="shared" si="185"/>
        <v>0</v>
      </c>
      <c r="G582" s="7686" t="str">
        <f t="shared" si="177"/>
        <v>0</v>
      </c>
      <c r="H582" s="7687" t="str">
        <f t="shared" si="178"/>
        <v/>
      </c>
      <c r="I582" s="7685" t="str">
        <f t="shared" si="179"/>
        <v/>
      </c>
      <c r="M582" s="7622">
        <f t="shared" si="180"/>
        <v>1</v>
      </c>
      <c r="N582" s="7688">
        <f t="shared" si="181"/>
        <v>565</v>
      </c>
      <c r="O582" s="7661" t="str">
        <f t="shared" si="182"/>
        <v>0</v>
      </c>
      <c r="P582" s="7688">
        <f t="shared" si="183"/>
        <v>1</v>
      </c>
      <c r="Q582" s="7688">
        <f t="shared" si="184"/>
        <v>1</v>
      </c>
      <c r="CA582" s="3170" t="s">
        <v>966</v>
      </c>
      <c r="CB582" s="7689" t="s">
        <v>17318</v>
      </c>
      <c r="CC582" s="3170" t="s">
        <v>16263</v>
      </c>
      <c r="CD582" s="3170" t="s">
        <v>17478</v>
      </c>
    </row>
    <row r="583" spans="2:82">
      <c r="B583" s="7685"/>
      <c r="C583" s="7685"/>
      <c r="D583" s="7685"/>
      <c r="E583" s="7685">
        <f>IF(H582&lt;&gt;"",E582,IF(E582="","",IFERROR(MATCH(TRUE(),INDEX(INDEX($K:$K,E582+1):$K$203&lt;&gt;"",0),0)+E582,"")))</f>
        <v>758</v>
      </c>
      <c r="F583" s="7686">
        <f t="shared" si="185"/>
        <v>0</v>
      </c>
      <c r="G583" s="7686" t="str">
        <f t="shared" si="177"/>
        <v>0</v>
      </c>
      <c r="H583" s="7687" t="str">
        <f t="shared" si="178"/>
        <v/>
      </c>
      <c r="I583" s="7685" t="str">
        <f t="shared" si="179"/>
        <v/>
      </c>
      <c r="M583" s="7622">
        <f t="shared" si="180"/>
        <v>1</v>
      </c>
      <c r="N583" s="7688">
        <f t="shared" si="181"/>
        <v>566</v>
      </c>
      <c r="O583" s="7661" t="str">
        <f t="shared" si="182"/>
        <v>0</v>
      </c>
      <c r="P583" s="7688">
        <f t="shared" si="183"/>
        <v>1</v>
      </c>
      <c r="Q583" s="7688">
        <f t="shared" si="184"/>
        <v>1</v>
      </c>
      <c r="CA583" s="3170" t="s">
        <v>966</v>
      </c>
      <c r="CB583" s="7689" t="s">
        <v>17318</v>
      </c>
      <c r="CC583" s="3170" t="s">
        <v>17479</v>
      </c>
      <c r="CD583" s="3170" t="s">
        <v>17480</v>
      </c>
    </row>
    <row r="584" spans="2:82">
      <c r="B584" s="7685"/>
      <c r="C584" s="7685"/>
      <c r="D584" s="7685"/>
      <c r="E584" s="7685">
        <f>IF(H583&lt;&gt;"",E583,IF(E583="","",IFERROR(MATCH(TRUE(),INDEX(INDEX($K:$K,E583+1):$K$203&lt;&gt;"",0),0)+E583,"")))</f>
        <v>759</v>
      </c>
      <c r="F584" s="7686">
        <f t="shared" si="185"/>
        <v>0</v>
      </c>
      <c r="G584" s="7686" t="str">
        <f t="shared" si="177"/>
        <v>0</v>
      </c>
      <c r="H584" s="7687" t="str">
        <f t="shared" si="178"/>
        <v/>
      </c>
      <c r="I584" s="7685" t="str">
        <f t="shared" si="179"/>
        <v/>
      </c>
      <c r="M584" s="7622">
        <f t="shared" si="180"/>
        <v>1</v>
      </c>
      <c r="N584" s="7688">
        <f t="shared" si="181"/>
        <v>567</v>
      </c>
      <c r="O584" s="7661" t="str">
        <f t="shared" si="182"/>
        <v>0</v>
      </c>
      <c r="P584" s="7688">
        <f t="shared" si="183"/>
        <v>1</v>
      </c>
      <c r="Q584" s="7688">
        <f t="shared" si="184"/>
        <v>1</v>
      </c>
      <c r="CA584" s="3170" t="s">
        <v>966</v>
      </c>
      <c r="CB584" s="7689" t="s">
        <v>17318</v>
      </c>
      <c r="CC584" s="3170" t="s">
        <v>16267</v>
      </c>
      <c r="CD584" s="3170" t="s">
        <v>17481</v>
      </c>
    </row>
    <row r="585" spans="2:82">
      <c r="B585" s="7685"/>
      <c r="C585" s="7685"/>
      <c r="D585" s="7685"/>
      <c r="E585" s="7685">
        <f>IF(H584&lt;&gt;"",E584,IF(E584="","",IFERROR(MATCH(TRUE(),INDEX(INDEX($K:$K,E584+1):$K$203&lt;&gt;"",0),0)+E584,"")))</f>
        <v>760</v>
      </c>
      <c r="F585" s="7686">
        <f t="shared" si="185"/>
        <v>0</v>
      </c>
      <c r="G585" s="7686" t="str">
        <f t="shared" si="177"/>
        <v>0</v>
      </c>
      <c r="H585" s="7687" t="str">
        <f t="shared" si="178"/>
        <v/>
      </c>
      <c r="I585" s="7685" t="str">
        <f t="shared" si="179"/>
        <v/>
      </c>
      <c r="M585" s="7622">
        <f t="shared" si="180"/>
        <v>1</v>
      </c>
      <c r="N585" s="7688">
        <f t="shared" si="181"/>
        <v>568</v>
      </c>
      <c r="O585" s="7661" t="str">
        <f t="shared" si="182"/>
        <v>0</v>
      </c>
      <c r="P585" s="7688">
        <f t="shared" si="183"/>
        <v>1</v>
      </c>
      <c r="Q585" s="7688">
        <f t="shared" si="184"/>
        <v>1</v>
      </c>
      <c r="CA585" s="3170" t="s">
        <v>966</v>
      </c>
      <c r="CB585" s="7689" t="s">
        <v>17318</v>
      </c>
      <c r="CC585" s="3170" t="s">
        <v>16270</v>
      </c>
      <c r="CD585" s="3170" t="s">
        <v>17482</v>
      </c>
    </row>
    <row r="586" spans="2:82">
      <c r="B586" s="7685"/>
      <c r="C586" s="7685"/>
      <c r="D586" s="7685"/>
      <c r="E586" s="7685">
        <f>IF(H585&lt;&gt;"",E585,IF(E585="","",IFERROR(MATCH(TRUE(),INDEX(INDEX($K:$K,E585+1):$K$203&lt;&gt;"",0),0)+E585,"")))</f>
        <v>761</v>
      </c>
      <c r="F586" s="7686">
        <f t="shared" si="185"/>
        <v>0</v>
      </c>
      <c r="G586" s="7686" t="str">
        <f t="shared" si="177"/>
        <v>0</v>
      </c>
      <c r="H586" s="7687" t="str">
        <f t="shared" si="178"/>
        <v/>
      </c>
      <c r="I586" s="7685" t="str">
        <f t="shared" si="179"/>
        <v/>
      </c>
      <c r="M586" s="7622">
        <f t="shared" si="180"/>
        <v>1</v>
      </c>
      <c r="N586" s="7688">
        <f t="shared" si="181"/>
        <v>569</v>
      </c>
      <c r="O586" s="7661" t="str">
        <f t="shared" si="182"/>
        <v>0</v>
      </c>
      <c r="P586" s="7688">
        <f t="shared" si="183"/>
        <v>1</v>
      </c>
      <c r="Q586" s="7688">
        <f t="shared" si="184"/>
        <v>1</v>
      </c>
      <c r="CA586" s="3170" t="s">
        <v>966</v>
      </c>
      <c r="CB586" s="7689" t="s">
        <v>17318</v>
      </c>
      <c r="CC586" s="3170" t="s">
        <v>17483</v>
      </c>
      <c r="CD586" s="3170" t="s">
        <v>17484</v>
      </c>
    </row>
    <row r="587" spans="2:82">
      <c r="B587" s="7685"/>
      <c r="C587" s="7685"/>
      <c r="D587" s="7685"/>
      <c r="E587" s="7685">
        <f>IF(H586&lt;&gt;"",E586,IF(E586="","",IFERROR(MATCH(TRUE(),INDEX(INDEX($K:$K,E586+1):$K$203&lt;&gt;"",0),0)+E586,"")))</f>
        <v>762</v>
      </c>
      <c r="F587" s="7686">
        <f t="shared" si="185"/>
        <v>0</v>
      </c>
      <c r="G587" s="7686" t="str">
        <f t="shared" si="177"/>
        <v>0</v>
      </c>
      <c r="H587" s="7687" t="str">
        <f t="shared" si="178"/>
        <v/>
      </c>
      <c r="I587" s="7685" t="str">
        <f t="shared" si="179"/>
        <v/>
      </c>
      <c r="M587" s="7622">
        <f t="shared" si="180"/>
        <v>1</v>
      </c>
      <c r="N587" s="7688">
        <f t="shared" si="181"/>
        <v>570</v>
      </c>
      <c r="O587" s="7661" t="str">
        <f t="shared" si="182"/>
        <v>0</v>
      </c>
      <c r="P587" s="7688">
        <f t="shared" si="183"/>
        <v>1</v>
      </c>
      <c r="Q587" s="7688">
        <f t="shared" si="184"/>
        <v>1</v>
      </c>
      <c r="CA587" s="3170" t="s">
        <v>966</v>
      </c>
      <c r="CB587" s="7689" t="s">
        <v>17318</v>
      </c>
      <c r="CC587" s="3170" t="s">
        <v>17485</v>
      </c>
      <c r="CD587" s="3170" t="s">
        <v>17486</v>
      </c>
    </row>
    <row r="588" spans="2:82">
      <c r="B588" s="7685"/>
      <c r="C588" s="7685"/>
      <c r="D588" s="7685"/>
      <c r="E588" s="7685">
        <f>IF(H587&lt;&gt;"",E587,IF(E587="","",IFERROR(MATCH(TRUE(),INDEX(INDEX($K:$K,E587+1):$K$203&lt;&gt;"",0),0)+E587,"")))</f>
        <v>763</v>
      </c>
      <c r="F588" s="7686">
        <f t="shared" si="185"/>
        <v>0</v>
      </c>
      <c r="G588" s="7686" t="str">
        <f t="shared" si="177"/>
        <v>0</v>
      </c>
      <c r="H588" s="7687" t="str">
        <f t="shared" si="178"/>
        <v/>
      </c>
      <c r="I588" s="7685" t="str">
        <f t="shared" si="179"/>
        <v/>
      </c>
      <c r="M588" s="7622">
        <f t="shared" si="180"/>
        <v>1</v>
      </c>
      <c r="N588" s="7688">
        <f t="shared" si="181"/>
        <v>571</v>
      </c>
      <c r="O588" s="7661" t="str">
        <f t="shared" si="182"/>
        <v>0</v>
      </c>
      <c r="P588" s="7688">
        <f t="shared" si="183"/>
        <v>1</v>
      </c>
      <c r="Q588" s="7688">
        <f t="shared" si="184"/>
        <v>1</v>
      </c>
      <c r="CA588" s="3170" t="s">
        <v>966</v>
      </c>
      <c r="CB588" s="7689" t="s">
        <v>17318</v>
      </c>
      <c r="CC588" s="3170" t="s">
        <v>17487</v>
      </c>
      <c r="CD588" s="3170" t="s">
        <v>17488</v>
      </c>
    </row>
    <row r="589" spans="2:82">
      <c r="B589" s="7685"/>
      <c r="C589" s="7685"/>
      <c r="D589" s="7685"/>
      <c r="E589" s="7685">
        <f>IF(H588&lt;&gt;"",E588,IF(E588="","",IFERROR(MATCH(TRUE(),INDEX(INDEX($K:$K,E588+1):$K$203&lt;&gt;"",0),0)+E588,"")))</f>
        <v>764</v>
      </c>
      <c r="F589" s="7686">
        <f t="shared" si="185"/>
        <v>0</v>
      </c>
      <c r="G589" s="7686" t="str">
        <f t="shared" si="177"/>
        <v>0</v>
      </c>
      <c r="H589" s="7687" t="str">
        <f t="shared" si="178"/>
        <v/>
      </c>
      <c r="I589" s="7685" t="str">
        <f t="shared" si="179"/>
        <v/>
      </c>
      <c r="M589" s="7622">
        <f t="shared" si="180"/>
        <v>1</v>
      </c>
      <c r="N589" s="7688">
        <f t="shared" si="181"/>
        <v>572</v>
      </c>
      <c r="O589" s="7661" t="str">
        <f t="shared" si="182"/>
        <v>0</v>
      </c>
      <c r="P589" s="7688">
        <f t="shared" si="183"/>
        <v>1</v>
      </c>
      <c r="Q589" s="7688">
        <f t="shared" si="184"/>
        <v>1</v>
      </c>
      <c r="CA589" s="3170" t="s">
        <v>966</v>
      </c>
      <c r="CB589" s="7689" t="s">
        <v>17318</v>
      </c>
      <c r="CC589" s="3170" t="s">
        <v>17489</v>
      </c>
      <c r="CD589" s="3170" t="s">
        <v>17490</v>
      </c>
    </row>
    <row r="590" spans="2:82">
      <c r="B590" s="7685"/>
      <c r="C590" s="7685"/>
      <c r="D590" s="7685"/>
      <c r="E590" s="7685">
        <f>IF(H589&lt;&gt;"",E589,IF(E589="","",IFERROR(MATCH(TRUE(),INDEX(INDEX($K:$K,E589+1):$K$203&lt;&gt;"",0),0)+E589,"")))</f>
        <v>765</v>
      </c>
      <c r="F590" s="7686">
        <f t="shared" si="185"/>
        <v>0</v>
      </c>
      <c r="G590" s="7686" t="str">
        <f t="shared" si="177"/>
        <v>0</v>
      </c>
      <c r="H590" s="7687" t="str">
        <f t="shared" si="178"/>
        <v/>
      </c>
      <c r="I590" s="7685" t="str">
        <f t="shared" si="179"/>
        <v/>
      </c>
      <c r="M590" s="7622">
        <f t="shared" si="180"/>
        <v>1</v>
      </c>
      <c r="N590" s="7688">
        <f t="shared" si="181"/>
        <v>573</v>
      </c>
      <c r="O590" s="7661" t="str">
        <f t="shared" si="182"/>
        <v>0</v>
      </c>
      <c r="P590" s="7688">
        <f t="shared" si="183"/>
        <v>1</v>
      </c>
      <c r="Q590" s="7688">
        <f t="shared" si="184"/>
        <v>1</v>
      </c>
      <c r="CA590" s="3170" t="s">
        <v>966</v>
      </c>
      <c r="CB590" s="7689" t="s">
        <v>17318</v>
      </c>
      <c r="CC590" s="3170" t="s">
        <v>17491</v>
      </c>
      <c r="CD590" s="3170" t="s">
        <v>17492</v>
      </c>
    </row>
    <row r="591" spans="2:82">
      <c r="B591" s="7685"/>
      <c r="C591" s="7685"/>
      <c r="D591" s="7685"/>
      <c r="E591" s="7685">
        <f>IF(H590&lt;&gt;"",E590,IF(E590="","",IFERROR(MATCH(TRUE(),INDEX(INDEX($K:$K,E590+1):$K$203&lt;&gt;"",0),0)+E590,"")))</f>
        <v>766</v>
      </c>
      <c r="F591" s="7686">
        <f t="shared" si="185"/>
        <v>0</v>
      </c>
      <c r="G591" s="7686" t="str">
        <f t="shared" si="177"/>
        <v>0</v>
      </c>
      <c r="H591" s="7687" t="str">
        <f t="shared" si="178"/>
        <v/>
      </c>
      <c r="I591" s="7685" t="str">
        <f t="shared" si="179"/>
        <v/>
      </c>
      <c r="M591" s="7622">
        <f t="shared" si="180"/>
        <v>1</v>
      </c>
      <c r="N591" s="7688">
        <f t="shared" si="181"/>
        <v>574</v>
      </c>
      <c r="O591" s="7661" t="str">
        <f t="shared" si="182"/>
        <v>0</v>
      </c>
      <c r="P591" s="7688">
        <f t="shared" si="183"/>
        <v>1</v>
      </c>
      <c r="Q591" s="7688">
        <f t="shared" si="184"/>
        <v>1</v>
      </c>
      <c r="CA591" s="3170" t="s">
        <v>966</v>
      </c>
      <c r="CB591" s="7689" t="s">
        <v>17318</v>
      </c>
      <c r="CC591" s="3170" t="s">
        <v>17493</v>
      </c>
      <c r="CD591" s="3170" t="s">
        <v>17494</v>
      </c>
    </row>
    <row r="592" spans="2:82">
      <c r="B592" s="7685"/>
      <c r="C592" s="7685"/>
      <c r="D592" s="7685"/>
      <c r="E592" s="7685">
        <f>IF(H591&lt;&gt;"",E591,IF(E591="","",IFERROR(MATCH(TRUE(),INDEX(INDEX($K:$K,E591+1):$K$203&lt;&gt;"",0),0)+E591,"")))</f>
        <v>767</v>
      </c>
      <c r="F592" s="7686">
        <f t="shared" si="185"/>
        <v>0</v>
      </c>
      <c r="G592" s="7686" t="str">
        <f t="shared" si="177"/>
        <v>0</v>
      </c>
      <c r="H592" s="7687" t="str">
        <f t="shared" si="178"/>
        <v/>
      </c>
      <c r="I592" s="7685" t="str">
        <f t="shared" si="179"/>
        <v/>
      </c>
      <c r="M592" s="7622">
        <f t="shared" si="180"/>
        <v>1</v>
      </c>
      <c r="N592" s="7688">
        <f t="shared" si="181"/>
        <v>575</v>
      </c>
      <c r="O592" s="7661" t="str">
        <f t="shared" si="182"/>
        <v>0</v>
      </c>
      <c r="P592" s="7688">
        <f t="shared" si="183"/>
        <v>1</v>
      </c>
      <c r="Q592" s="7688">
        <f t="shared" si="184"/>
        <v>1</v>
      </c>
      <c r="CA592" s="3170" t="s">
        <v>966</v>
      </c>
      <c r="CB592" s="7689" t="s">
        <v>17318</v>
      </c>
      <c r="CC592" s="3170" t="s">
        <v>17495</v>
      </c>
      <c r="CD592" s="3170" t="s">
        <v>17496</v>
      </c>
    </row>
    <row r="593" spans="2:82">
      <c r="B593" s="7685"/>
      <c r="C593" s="7685"/>
      <c r="D593" s="7685"/>
      <c r="E593" s="7685">
        <f>IF(H592&lt;&gt;"",E592,IF(E592="","",IFERROR(MATCH(TRUE(),INDEX(INDEX($K:$K,E592+1):$K$203&lt;&gt;"",0),0)+E592,"")))</f>
        <v>768</v>
      </c>
      <c r="F593" s="7686">
        <f t="shared" si="185"/>
        <v>0</v>
      </c>
      <c r="G593" s="7686" t="str">
        <f t="shared" si="177"/>
        <v>0</v>
      </c>
      <c r="H593" s="7687" t="str">
        <f t="shared" si="178"/>
        <v/>
      </c>
      <c r="I593" s="7685" t="str">
        <f t="shared" si="179"/>
        <v/>
      </c>
      <c r="M593" s="7622">
        <f t="shared" si="180"/>
        <v>1</v>
      </c>
      <c r="N593" s="7688">
        <f t="shared" si="181"/>
        <v>576</v>
      </c>
      <c r="O593" s="7661" t="str">
        <f t="shared" si="182"/>
        <v>0</v>
      </c>
      <c r="P593" s="7688">
        <f t="shared" si="183"/>
        <v>1</v>
      </c>
      <c r="Q593" s="7688">
        <f t="shared" si="184"/>
        <v>1</v>
      </c>
      <c r="CA593" s="3170" t="s">
        <v>966</v>
      </c>
      <c r="CB593" s="7689" t="s">
        <v>17318</v>
      </c>
      <c r="CC593" s="3170" t="s">
        <v>17497</v>
      </c>
      <c r="CD593" s="3170" t="s">
        <v>17498</v>
      </c>
    </row>
    <row r="594" spans="2:82">
      <c r="B594" s="7685"/>
      <c r="C594" s="7685"/>
      <c r="D594" s="7685"/>
      <c r="E594" s="7685">
        <f>IF(H593&lt;&gt;"",E593,IF(E593="","",IFERROR(MATCH(TRUE(),INDEX(INDEX($K:$K,E593+1):$K$203&lt;&gt;"",0),0)+E593,"")))</f>
        <v>769</v>
      </c>
      <c r="F594" s="7686">
        <f t="shared" si="185"/>
        <v>0</v>
      </c>
      <c r="G594" s="7686" t="str">
        <f t="shared" ref="G594:G657" si="186">IF(OR(F594="",M594=""),"",LEFT(F594,M594))</f>
        <v>0</v>
      </c>
      <c r="H594" s="7687" t="str">
        <f t="shared" ref="H594:H657" si="187">IF(OR(F594="",M594=""),"",TRIM(MID(F594,M594+1,99999)))</f>
        <v/>
      </c>
      <c r="I594" s="7685" t="str">
        <f t="shared" ref="I594:I657" si="188">IF(AND(F594&lt;&gt;"",$N$10&gt;0,M594&gt;$N$10),"Mot &gt; limite","")</f>
        <v/>
      </c>
      <c r="M594" s="7622">
        <f t="shared" ref="M594:M657" si="189">IF(OR(F594="",$N$10="",$N$10&lt;=0),"",IF(LEN(F594)&lt;=$N$10,LEN(F594),IFERROR(FIND("♦",SUBSTITUTE(LEFT(F594,$N$10)," ","♦",LEN(LEFT(F594,$N$10))-LEN(SUBSTITUTE(LEFT(F594,$N$10)," ","")))),FIND(" ",F594&amp;" ",$N$10+1)-1)))</f>
        <v>1</v>
      </c>
      <c r="N594" s="7688">
        <f t="shared" ref="N594:N657" si="190">IF(O594="","",ROW()-17)</f>
        <v>577</v>
      </c>
      <c r="O594" s="7661" t="str">
        <f t="shared" ref="O594:O657" si="191">G594</f>
        <v>0</v>
      </c>
      <c r="P594" s="7688">
        <f t="shared" ref="P594:P657" si="192">IF(O594="","",LEN(TRIM(O594))-LEN(SUBSTITUTE(TRIM(O594)," ",""))+1)</f>
        <v>1</v>
      </c>
      <c r="Q594" s="7688">
        <f t="shared" ref="Q594:Q657" si="193">IF(O594="","",LEN(O594))</f>
        <v>1</v>
      </c>
      <c r="CA594" s="3170" t="s">
        <v>966</v>
      </c>
      <c r="CB594" s="7689" t="s">
        <v>17318</v>
      </c>
      <c r="CC594" s="3170" t="s">
        <v>17499</v>
      </c>
      <c r="CD594" s="3170" t="s">
        <v>17500</v>
      </c>
    </row>
    <row r="595" spans="2:82">
      <c r="B595" s="7685"/>
      <c r="C595" s="7685"/>
      <c r="D595" s="7685"/>
      <c r="E595" s="7685">
        <f>IF(H594&lt;&gt;"",E594,IF(E594="","",IFERROR(MATCH(TRUE(),INDEX(INDEX($K:$K,E594+1):$K$203&lt;&gt;"",0),0)+E594,"")))</f>
        <v>770</v>
      </c>
      <c r="F595" s="7686">
        <f t="shared" ref="F595:F658" si="194">IF(E595="","",IF(H594&lt;&gt;"",H594,INDEX($D:$D,E595)))</f>
        <v>0</v>
      </c>
      <c r="G595" s="7686" t="str">
        <f t="shared" si="186"/>
        <v>0</v>
      </c>
      <c r="H595" s="7687" t="str">
        <f t="shared" si="187"/>
        <v/>
      </c>
      <c r="I595" s="7685" t="str">
        <f t="shared" si="188"/>
        <v/>
      </c>
      <c r="M595" s="7622">
        <f t="shared" si="189"/>
        <v>1</v>
      </c>
      <c r="N595" s="7688">
        <f t="shared" si="190"/>
        <v>578</v>
      </c>
      <c r="O595" s="7661" t="str">
        <f t="shared" si="191"/>
        <v>0</v>
      </c>
      <c r="P595" s="7688">
        <f t="shared" si="192"/>
        <v>1</v>
      </c>
      <c r="Q595" s="7688">
        <f t="shared" si="193"/>
        <v>1</v>
      </c>
      <c r="CA595" s="3170" t="s">
        <v>966</v>
      </c>
      <c r="CB595" s="7689" t="s">
        <v>17318</v>
      </c>
      <c r="CC595" s="3170" t="s">
        <v>17501</v>
      </c>
      <c r="CD595" s="3170" t="s">
        <v>17502</v>
      </c>
    </row>
    <row r="596" spans="2:82">
      <c r="B596" s="7685"/>
      <c r="C596" s="7685"/>
      <c r="D596" s="7685"/>
      <c r="E596" s="7685">
        <f>IF(H595&lt;&gt;"",E595,IF(E595="","",IFERROR(MATCH(TRUE(),INDEX(INDEX($K:$K,E595+1):$K$203&lt;&gt;"",0),0)+E595,"")))</f>
        <v>771</v>
      </c>
      <c r="F596" s="7686">
        <f t="shared" si="194"/>
        <v>0</v>
      </c>
      <c r="G596" s="7686" t="str">
        <f t="shared" si="186"/>
        <v>0</v>
      </c>
      <c r="H596" s="7687" t="str">
        <f t="shared" si="187"/>
        <v/>
      </c>
      <c r="I596" s="7685" t="str">
        <f t="shared" si="188"/>
        <v/>
      </c>
      <c r="M596" s="7622">
        <f t="shared" si="189"/>
        <v>1</v>
      </c>
      <c r="N596" s="7688">
        <f t="shared" si="190"/>
        <v>579</v>
      </c>
      <c r="O596" s="7661" t="str">
        <f t="shared" si="191"/>
        <v>0</v>
      </c>
      <c r="P596" s="7688">
        <f t="shared" si="192"/>
        <v>1</v>
      </c>
      <c r="Q596" s="7688">
        <f t="shared" si="193"/>
        <v>1</v>
      </c>
      <c r="CA596" s="3170" t="s">
        <v>966</v>
      </c>
      <c r="CB596" s="7689" t="s">
        <v>17318</v>
      </c>
      <c r="CC596" s="3170" t="s">
        <v>17183</v>
      </c>
      <c r="CD596" s="3170" t="s">
        <v>17503</v>
      </c>
    </row>
    <row r="597" spans="2:82">
      <c r="B597" s="7685"/>
      <c r="C597" s="7685"/>
      <c r="D597" s="7685"/>
      <c r="E597" s="7685">
        <f>IF(H596&lt;&gt;"",E596,IF(E596="","",IFERROR(MATCH(TRUE(),INDEX(INDEX($K:$K,E596+1):$K$203&lt;&gt;"",0),0)+E596,"")))</f>
        <v>772</v>
      </c>
      <c r="F597" s="7686">
        <f t="shared" si="194"/>
        <v>0</v>
      </c>
      <c r="G597" s="7686" t="str">
        <f t="shared" si="186"/>
        <v>0</v>
      </c>
      <c r="H597" s="7687" t="str">
        <f t="shared" si="187"/>
        <v/>
      </c>
      <c r="I597" s="7685" t="str">
        <f t="shared" si="188"/>
        <v/>
      </c>
      <c r="M597" s="7622">
        <f t="shared" si="189"/>
        <v>1</v>
      </c>
      <c r="N597" s="7688">
        <f t="shared" si="190"/>
        <v>580</v>
      </c>
      <c r="O597" s="7661" t="str">
        <f t="shared" si="191"/>
        <v>0</v>
      </c>
      <c r="P597" s="7688">
        <f t="shared" si="192"/>
        <v>1</v>
      </c>
      <c r="Q597" s="7688">
        <f t="shared" si="193"/>
        <v>1</v>
      </c>
      <c r="CA597" s="3170" t="s">
        <v>966</v>
      </c>
      <c r="CB597" s="7689" t="s">
        <v>17318</v>
      </c>
      <c r="CC597" s="3170" t="s">
        <v>17504</v>
      </c>
      <c r="CD597" s="3170" t="s">
        <v>17505</v>
      </c>
    </row>
    <row r="598" spans="2:82">
      <c r="B598" s="7685"/>
      <c r="C598" s="7685"/>
      <c r="D598" s="7685"/>
      <c r="E598" s="7685">
        <f>IF(H597&lt;&gt;"",E597,IF(E597="","",IFERROR(MATCH(TRUE(),INDEX(INDEX($K:$K,E597+1):$K$203&lt;&gt;"",0),0)+E597,"")))</f>
        <v>773</v>
      </c>
      <c r="F598" s="7686">
        <f t="shared" si="194"/>
        <v>0</v>
      </c>
      <c r="G598" s="7686" t="str">
        <f t="shared" si="186"/>
        <v>0</v>
      </c>
      <c r="H598" s="7687" t="str">
        <f t="shared" si="187"/>
        <v/>
      </c>
      <c r="I598" s="7685" t="str">
        <f t="shared" si="188"/>
        <v/>
      </c>
      <c r="M598" s="7622">
        <f t="shared" si="189"/>
        <v>1</v>
      </c>
      <c r="N598" s="7688">
        <f t="shared" si="190"/>
        <v>581</v>
      </c>
      <c r="O598" s="7661" t="str">
        <f t="shared" si="191"/>
        <v>0</v>
      </c>
      <c r="P598" s="7688">
        <f t="shared" si="192"/>
        <v>1</v>
      </c>
      <c r="Q598" s="7688">
        <f t="shared" si="193"/>
        <v>1</v>
      </c>
      <c r="CA598" s="3170" t="s">
        <v>966</v>
      </c>
      <c r="CB598" s="7689" t="s">
        <v>17318</v>
      </c>
      <c r="CC598" s="3170" t="s">
        <v>16507</v>
      </c>
      <c r="CD598" s="3170" t="s">
        <v>17506</v>
      </c>
    </row>
    <row r="599" spans="2:82">
      <c r="B599" s="7685"/>
      <c r="C599" s="7685"/>
      <c r="D599" s="7685"/>
      <c r="E599" s="7685">
        <f>IF(H598&lt;&gt;"",E598,IF(E598="","",IFERROR(MATCH(TRUE(),INDEX(INDEX($K:$K,E598+1):$K$203&lt;&gt;"",0),0)+E598,"")))</f>
        <v>774</v>
      </c>
      <c r="F599" s="7686">
        <f t="shared" si="194"/>
        <v>0</v>
      </c>
      <c r="G599" s="7686" t="str">
        <f t="shared" si="186"/>
        <v>0</v>
      </c>
      <c r="H599" s="7687" t="str">
        <f t="shared" si="187"/>
        <v/>
      </c>
      <c r="I599" s="7685" t="str">
        <f t="shared" si="188"/>
        <v/>
      </c>
      <c r="M599" s="7622">
        <f t="shared" si="189"/>
        <v>1</v>
      </c>
      <c r="N599" s="7688">
        <f t="shared" si="190"/>
        <v>582</v>
      </c>
      <c r="O599" s="7661" t="str">
        <f t="shared" si="191"/>
        <v>0</v>
      </c>
      <c r="P599" s="7688">
        <f t="shared" si="192"/>
        <v>1</v>
      </c>
      <c r="Q599" s="7688">
        <f t="shared" si="193"/>
        <v>1</v>
      </c>
      <c r="CA599" s="3170" t="s">
        <v>966</v>
      </c>
      <c r="CB599" s="7689" t="s">
        <v>17318</v>
      </c>
      <c r="CC599" s="3170" t="s">
        <v>16654</v>
      </c>
      <c r="CD599" s="3170" t="s">
        <v>17507</v>
      </c>
    </row>
    <row r="600" spans="2:82">
      <c r="B600" s="7685"/>
      <c r="C600" s="7685"/>
      <c r="D600" s="7685"/>
      <c r="E600" s="7685">
        <f>IF(H599&lt;&gt;"",E599,IF(E599="","",IFERROR(MATCH(TRUE(),INDEX(INDEX($K:$K,E599+1):$K$203&lt;&gt;"",0),0)+E599,"")))</f>
        <v>775</v>
      </c>
      <c r="F600" s="7686">
        <f t="shared" si="194"/>
        <v>0</v>
      </c>
      <c r="G600" s="7686" t="str">
        <f t="shared" si="186"/>
        <v>0</v>
      </c>
      <c r="H600" s="7687" t="str">
        <f t="shared" si="187"/>
        <v/>
      </c>
      <c r="I600" s="7685" t="str">
        <f t="shared" si="188"/>
        <v/>
      </c>
      <c r="M600" s="7622">
        <f t="shared" si="189"/>
        <v>1</v>
      </c>
      <c r="N600" s="7688">
        <f t="shared" si="190"/>
        <v>583</v>
      </c>
      <c r="O600" s="7661" t="str">
        <f t="shared" si="191"/>
        <v>0</v>
      </c>
      <c r="P600" s="7688">
        <f t="shared" si="192"/>
        <v>1</v>
      </c>
      <c r="Q600" s="7688">
        <f t="shared" si="193"/>
        <v>1</v>
      </c>
      <c r="CA600" s="3170" t="s">
        <v>966</v>
      </c>
      <c r="CB600" s="7689" t="s">
        <v>17318</v>
      </c>
      <c r="CC600" s="3170" t="s">
        <v>16509</v>
      </c>
      <c r="CD600" s="3170" t="s">
        <v>17508</v>
      </c>
    </row>
    <row r="601" spans="2:82">
      <c r="B601" s="7685"/>
      <c r="C601" s="7685"/>
      <c r="D601" s="7685"/>
      <c r="E601" s="7685">
        <f>IF(H600&lt;&gt;"",E600,IF(E600="","",IFERROR(MATCH(TRUE(),INDEX(INDEX($K:$K,E600+1):$K$203&lt;&gt;"",0),0)+E600,"")))</f>
        <v>776</v>
      </c>
      <c r="F601" s="7686">
        <f t="shared" si="194"/>
        <v>0</v>
      </c>
      <c r="G601" s="7686" t="str">
        <f t="shared" si="186"/>
        <v>0</v>
      </c>
      <c r="H601" s="7687" t="str">
        <f t="shared" si="187"/>
        <v/>
      </c>
      <c r="I601" s="7685" t="str">
        <f t="shared" si="188"/>
        <v/>
      </c>
      <c r="M601" s="7622">
        <f t="shared" si="189"/>
        <v>1</v>
      </c>
      <c r="N601" s="7688">
        <f t="shared" si="190"/>
        <v>584</v>
      </c>
      <c r="O601" s="7661" t="str">
        <f t="shared" si="191"/>
        <v>0</v>
      </c>
      <c r="P601" s="7688">
        <f t="shared" si="192"/>
        <v>1</v>
      </c>
      <c r="Q601" s="7688">
        <f t="shared" si="193"/>
        <v>1</v>
      </c>
      <c r="CA601" s="3170" t="s">
        <v>966</v>
      </c>
      <c r="CB601" s="7689" t="s">
        <v>17318</v>
      </c>
      <c r="CC601" s="3170" t="s">
        <v>17509</v>
      </c>
      <c r="CD601" s="3170" t="s">
        <v>17510</v>
      </c>
    </row>
    <row r="602" spans="2:82">
      <c r="B602" s="7685"/>
      <c r="C602" s="7685"/>
      <c r="D602" s="7685"/>
      <c r="E602" s="7685">
        <f>IF(H601&lt;&gt;"",E601,IF(E601="","",IFERROR(MATCH(TRUE(),INDEX(INDEX($K:$K,E601+1):$K$203&lt;&gt;"",0),0)+E601,"")))</f>
        <v>777</v>
      </c>
      <c r="F602" s="7686">
        <f t="shared" si="194"/>
        <v>0</v>
      </c>
      <c r="G602" s="7686" t="str">
        <f t="shared" si="186"/>
        <v>0</v>
      </c>
      <c r="H602" s="7687" t="str">
        <f t="shared" si="187"/>
        <v/>
      </c>
      <c r="I602" s="7685" t="str">
        <f t="shared" si="188"/>
        <v/>
      </c>
      <c r="M602" s="7622">
        <f t="shared" si="189"/>
        <v>1</v>
      </c>
      <c r="N602" s="7688">
        <f t="shared" si="190"/>
        <v>585</v>
      </c>
      <c r="O602" s="7661" t="str">
        <f t="shared" si="191"/>
        <v>0</v>
      </c>
      <c r="P602" s="7688">
        <f t="shared" si="192"/>
        <v>1</v>
      </c>
      <c r="Q602" s="7688">
        <f t="shared" si="193"/>
        <v>1</v>
      </c>
      <c r="CA602" s="3170" t="s">
        <v>966</v>
      </c>
      <c r="CB602" s="7689" t="s">
        <v>17318</v>
      </c>
      <c r="CC602" s="3170" t="s">
        <v>17511</v>
      </c>
      <c r="CD602" s="3170" t="s">
        <v>17512</v>
      </c>
    </row>
    <row r="603" spans="2:82">
      <c r="B603" s="7685"/>
      <c r="C603" s="7685"/>
      <c r="D603" s="7685"/>
      <c r="E603" s="7685">
        <f>IF(H602&lt;&gt;"",E602,IF(E602="","",IFERROR(MATCH(TRUE(),INDEX(INDEX($K:$K,E602+1):$K$203&lt;&gt;"",0),0)+E602,"")))</f>
        <v>778</v>
      </c>
      <c r="F603" s="7686">
        <f t="shared" si="194"/>
        <v>0</v>
      </c>
      <c r="G603" s="7686" t="str">
        <f t="shared" si="186"/>
        <v>0</v>
      </c>
      <c r="H603" s="7687" t="str">
        <f t="shared" si="187"/>
        <v/>
      </c>
      <c r="I603" s="7685" t="str">
        <f t="shared" si="188"/>
        <v/>
      </c>
      <c r="M603" s="7622">
        <f t="shared" si="189"/>
        <v>1</v>
      </c>
      <c r="N603" s="7688">
        <f t="shared" si="190"/>
        <v>586</v>
      </c>
      <c r="O603" s="7661" t="str">
        <f t="shared" si="191"/>
        <v>0</v>
      </c>
      <c r="P603" s="7688">
        <f t="shared" si="192"/>
        <v>1</v>
      </c>
      <c r="Q603" s="7688">
        <f t="shared" si="193"/>
        <v>1</v>
      </c>
      <c r="CA603" s="3170" t="s">
        <v>966</v>
      </c>
      <c r="CB603" s="7689" t="s">
        <v>17318</v>
      </c>
      <c r="CC603" s="3170" t="s">
        <v>17513</v>
      </c>
      <c r="CD603" s="3170" t="s">
        <v>17514</v>
      </c>
    </row>
    <row r="604" spans="2:82">
      <c r="B604" s="7685"/>
      <c r="C604" s="7685"/>
      <c r="D604" s="7685"/>
      <c r="E604" s="7685">
        <f>IF(H603&lt;&gt;"",E603,IF(E603="","",IFERROR(MATCH(TRUE(),INDEX(INDEX($K:$K,E603+1):$K$203&lt;&gt;"",0),0)+E603,"")))</f>
        <v>779</v>
      </c>
      <c r="F604" s="7686">
        <f t="shared" si="194"/>
        <v>0</v>
      </c>
      <c r="G604" s="7686" t="str">
        <f t="shared" si="186"/>
        <v>0</v>
      </c>
      <c r="H604" s="7687" t="str">
        <f t="shared" si="187"/>
        <v/>
      </c>
      <c r="I604" s="7685" t="str">
        <f t="shared" si="188"/>
        <v/>
      </c>
      <c r="M604" s="7622">
        <f t="shared" si="189"/>
        <v>1</v>
      </c>
      <c r="N604" s="7688">
        <f t="shared" si="190"/>
        <v>587</v>
      </c>
      <c r="O604" s="7661" t="str">
        <f t="shared" si="191"/>
        <v>0</v>
      </c>
      <c r="P604" s="7688">
        <f t="shared" si="192"/>
        <v>1</v>
      </c>
      <c r="Q604" s="7688">
        <f t="shared" si="193"/>
        <v>1</v>
      </c>
      <c r="CA604" s="3170" t="s">
        <v>966</v>
      </c>
      <c r="CB604" s="7689" t="s">
        <v>17318</v>
      </c>
      <c r="CC604" s="3170" t="s">
        <v>16514</v>
      </c>
      <c r="CD604" s="3170" t="s">
        <v>17515</v>
      </c>
    </row>
    <row r="605" spans="2:82">
      <c r="B605" s="7685"/>
      <c r="C605" s="7685"/>
      <c r="D605" s="7685"/>
      <c r="E605" s="7685">
        <f>IF(H604&lt;&gt;"",E604,IF(E604="","",IFERROR(MATCH(TRUE(),INDEX(INDEX($K:$K,E604+1):$K$203&lt;&gt;"",0),0)+E604,"")))</f>
        <v>780</v>
      </c>
      <c r="F605" s="7686">
        <f t="shared" si="194"/>
        <v>0</v>
      </c>
      <c r="G605" s="7686" t="str">
        <f t="shared" si="186"/>
        <v>0</v>
      </c>
      <c r="H605" s="7687" t="str">
        <f t="shared" si="187"/>
        <v/>
      </c>
      <c r="I605" s="7685" t="str">
        <f t="shared" si="188"/>
        <v/>
      </c>
      <c r="M605" s="7622">
        <f t="shared" si="189"/>
        <v>1</v>
      </c>
      <c r="N605" s="7688">
        <f t="shared" si="190"/>
        <v>588</v>
      </c>
      <c r="O605" s="7661" t="str">
        <f t="shared" si="191"/>
        <v>0</v>
      </c>
      <c r="P605" s="7688">
        <f t="shared" si="192"/>
        <v>1</v>
      </c>
      <c r="Q605" s="7688">
        <f t="shared" si="193"/>
        <v>1</v>
      </c>
      <c r="CA605" s="3170" t="s">
        <v>966</v>
      </c>
      <c r="CB605" s="7689" t="s">
        <v>17318</v>
      </c>
      <c r="CC605" s="3170" t="s">
        <v>16516</v>
      </c>
      <c r="CD605" s="3170" t="s">
        <v>17516</v>
      </c>
    </row>
    <row r="606" spans="2:82">
      <c r="B606" s="7685"/>
      <c r="C606" s="7685"/>
      <c r="D606" s="7685"/>
      <c r="E606" s="7685">
        <f>IF(H605&lt;&gt;"",E605,IF(E605="","",IFERROR(MATCH(TRUE(),INDEX(INDEX($K:$K,E605+1):$K$203&lt;&gt;"",0),0)+E605,"")))</f>
        <v>781</v>
      </c>
      <c r="F606" s="7686">
        <f t="shared" si="194"/>
        <v>0</v>
      </c>
      <c r="G606" s="7686" t="str">
        <f t="shared" si="186"/>
        <v>0</v>
      </c>
      <c r="H606" s="7687" t="str">
        <f t="shared" si="187"/>
        <v/>
      </c>
      <c r="I606" s="7685" t="str">
        <f t="shared" si="188"/>
        <v/>
      </c>
      <c r="M606" s="7622">
        <f t="shared" si="189"/>
        <v>1</v>
      </c>
      <c r="N606" s="7688">
        <f t="shared" si="190"/>
        <v>589</v>
      </c>
      <c r="O606" s="7661" t="str">
        <f t="shared" si="191"/>
        <v>0</v>
      </c>
      <c r="P606" s="7688">
        <f t="shared" si="192"/>
        <v>1</v>
      </c>
      <c r="Q606" s="7688">
        <f t="shared" si="193"/>
        <v>1</v>
      </c>
      <c r="CA606" s="3170" t="s">
        <v>966</v>
      </c>
      <c r="CB606" s="7689" t="s">
        <v>17318</v>
      </c>
      <c r="CC606" s="3170" t="s">
        <v>17517</v>
      </c>
      <c r="CD606" s="3170" t="s">
        <v>17518</v>
      </c>
    </row>
    <row r="607" spans="2:82">
      <c r="B607" s="7685"/>
      <c r="C607" s="7685"/>
      <c r="D607" s="7685"/>
      <c r="E607" s="7685">
        <f>IF(H606&lt;&gt;"",E606,IF(E606="","",IFERROR(MATCH(TRUE(),INDEX(INDEX($K:$K,E606+1):$K$203&lt;&gt;"",0),0)+E606,"")))</f>
        <v>782</v>
      </c>
      <c r="F607" s="7686">
        <f t="shared" si="194"/>
        <v>0</v>
      </c>
      <c r="G607" s="7686" t="str">
        <f t="shared" si="186"/>
        <v>0</v>
      </c>
      <c r="H607" s="7687" t="str">
        <f t="shared" si="187"/>
        <v/>
      </c>
      <c r="I607" s="7685" t="str">
        <f t="shared" si="188"/>
        <v/>
      </c>
      <c r="M607" s="7622">
        <f t="shared" si="189"/>
        <v>1</v>
      </c>
      <c r="N607" s="7688">
        <f t="shared" si="190"/>
        <v>590</v>
      </c>
      <c r="O607" s="7661" t="str">
        <f t="shared" si="191"/>
        <v>0</v>
      </c>
      <c r="P607" s="7688">
        <f t="shared" si="192"/>
        <v>1</v>
      </c>
      <c r="Q607" s="7688">
        <f t="shared" si="193"/>
        <v>1</v>
      </c>
      <c r="CA607" s="3170" t="s">
        <v>966</v>
      </c>
      <c r="CB607" s="7689" t="s">
        <v>17318</v>
      </c>
      <c r="CC607" s="3170" t="s">
        <v>17519</v>
      </c>
      <c r="CD607" s="3170" t="s">
        <v>17520</v>
      </c>
    </row>
    <row r="608" spans="2:82">
      <c r="B608" s="7685"/>
      <c r="C608" s="7685"/>
      <c r="D608" s="7685"/>
      <c r="E608" s="7685">
        <f>IF(H607&lt;&gt;"",E607,IF(E607="","",IFERROR(MATCH(TRUE(),INDEX(INDEX($K:$K,E607+1):$K$203&lt;&gt;"",0),0)+E607,"")))</f>
        <v>783</v>
      </c>
      <c r="F608" s="7686">
        <f t="shared" si="194"/>
        <v>0</v>
      </c>
      <c r="G608" s="7686" t="str">
        <f t="shared" si="186"/>
        <v>0</v>
      </c>
      <c r="H608" s="7687" t="str">
        <f t="shared" si="187"/>
        <v/>
      </c>
      <c r="I608" s="7685" t="str">
        <f t="shared" si="188"/>
        <v/>
      </c>
      <c r="M608" s="7622">
        <f t="shared" si="189"/>
        <v>1</v>
      </c>
      <c r="N608" s="7688">
        <f t="shared" si="190"/>
        <v>591</v>
      </c>
      <c r="O608" s="7661" t="str">
        <f t="shared" si="191"/>
        <v>0</v>
      </c>
      <c r="P608" s="7688">
        <f t="shared" si="192"/>
        <v>1</v>
      </c>
      <c r="Q608" s="7688">
        <f t="shared" si="193"/>
        <v>1</v>
      </c>
      <c r="CA608" s="3170" t="s">
        <v>966</v>
      </c>
      <c r="CB608" s="7689" t="s">
        <v>17318</v>
      </c>
      <c r="CC608" s="3170" t="s">
        <v>17187</v>
      </c>
      <c r="CD608" s="3170" t="s">
        <v>17521</v>
      </c>
    </row>
    <row r="609" spans="2:82">
      <c r="B609" s="7685"/>
      <c r="C609" s="7685"/>
      <c r="D609" s="7685"/>
      <c r="E609" s="7685">
        <f>IF(H608&lt;&gt;"",E608,IF(E608="","",IFERROR(MATCH(TRUE(),INDEX(INDEX($K:$K,E608+1):$K$203&lt;&gt;"",0),0)+E608,"")))</f>
        <v>784</v>
      </c>
      <c r="F609" s="7686">
        <f t="shared" si="194"/>
        <v>0</v>
      </c>
      <c r="G609" s="7686" t="str">
        <f t="shared" si="186"/>
        <v>0</v>
      </c>
      <c r="H609" s="7687" t="str">
        <f t="shared" si="187"/>
        <v/>
      </c>
      <c r="I609" s="7685" t="str">
        <f t="shared" si="188"/>
        <v/>
      </c>
      <c r="M609" s="7622">
        <f t="shared" si="189"/>
        <v>1</v>
      </c>
      <c r="N609" s="7688">
        <f t="shared" si="190"/>
        <v>592</v>
      </c>
      <c r="O609" s="7661" t="str">
        <f t="shared" si="191"/>
        <v>0</v>
      </c>
      <c r="P609" s="7688">
        <f t="shared" si="192"/>
        <v>1</v>
      </c>
      <c r="Q609" s="7688">
        <f t="shared" si="193"/>
        <v>1</v>
      </c>
      <c r="CA609" s="3170" t="s">
        <v>966</v>
      </c>
      <c r="CB609" s="7689" t="s">
        <v>17318</v>
      </c>
      <c r="CC609" s="3170" t="s">
        <v>17189</v>
      </c>
      <c r="CD609" s="3170" t="s">
        <v>17522</v>
      </c>
    </row>
    <row r="610" spans="2:82">
      <c r="B610" s="7685"/>
      <c r="C610" s="7685"/>
      <c r="D610" s="7685"/>
      <c r="E610" s="7685">
        <f>IF(H609&lt;&gt;"",E609,IF(E609="","",IFERROR(MATCH(TRUE(),INDEX(INDEX($K:$K,E609+1):$K$203&lt;&gt;"",0),0)+E609,"")))</f>
        <v>785</v>
      </c>
      <c r="F610" s="7686">
        <f t="shared" si="194"/>
        <v>0</v>
      </c>
      <c r="G610" s="7686" t="str">
        <f t="shared" si="186"/>
        <v>0</v>
      </c>
      <c r="H610" s="7687" t="str">
        <f t="shared" si="187"/>
        <v/>
      </c>
      <c r="I610" s="7685" t="str">
        <f t="shared" si="188"/>
        <v/>
      </c>
      <c r="M610" s="7622">
        <f t="shared" si="189"/>
        <v>1</v>
      </c>
      <c r="N610" s="7688">
        <f t="shared" si="190"/>
        <v>593</v>
      </c>
      <c r="O610" s="7661" t="str">
        <f t="shared" si="191"/>
        <v>0</v>
      </c>
      <c r="P610" s="7688">
        <f t="shared" si="192"/>
        <v>1</v>
      </c>
      <c r="Q610" s="7688">
        <f t="shared" si="193"/>
        <v>1</v>
      </c>
      <c r="CA610" s="3170" t="s">
        <v>966</v>
      </c>
      <c r="CB610" s="7689" t="s">
        <v>17318</v>
      </c>
      <c r="CC610" s="3170" t="s">
        <v>17523</v>
      </c>
      <c r="CD610" s="3170" t="s">
        <v>17524</v>
      </c>
    </row>
    <row r="611" spans="2:82">
      <c r="B611" s="7685"/>
      <c r="C611" s="7685"/>
      <c r="D611" s="7685"/>
      <c r="E611" s="7685">
        <f>IF(H610&lt;&gt;"",E610,IF(E610="","",IFERROR(MATCH(TRUE(),INDEX(INDEX($K:$K,E610+1):$K$203&lt;&gt;"",0),0)+E610,"")))</f>
        <v>786</v>
      </c>
      <c r="F611" s="7686">
        <f t="shared" si="194"/>
        <v>0</v>
      </c>
      <c r="G611" s="7686" t="str">
        <f t="shared" si="186"/>
        <v>0</v>
      </c>
      <c r="H611" s="7687" t="str">
        <f t="shared" si="187"/>
        <v/>
      </c>
      <c r="I611" s="7685" t="str">
        <f t="shared" si="188"/>
        <v/>
      </c>
      <c r="M611" s="7622">
        <f t="shared" si="189"/>
        <v>1</v>
      </c>
      <c r="N611" s="7688">
        <f t="shared" si="190"/>
        <v>594</v>
      </c>
      <c r="O611" s="7661" t="str">
        <f t="shared" si="191"/>
        <v>0</v>
      </c>
      <c r="P611" s="7688">
        <f t="shared" si="192"/>
        <v>1</v>
      </c>
      <c r="Q611" s="7688">
        <f t="shared" si="193"/>
        <v>1</v>
      </c>
      <c r="CA611" s="3170" t="s">
        <v>966</v>
      </c>
      <c r="CB611" s="7689" t="s">
        <v>17318</v>
      </c>
      <c r="CC611" s="3170" t="s">
        <v>17525</v>
      </c>
      <c r="CD611" s="3170" t="s">
        <v>17526</v>
      </c>
    </row>
    <row r="612" spans="2:82">
      <c r="B612" s="7685"/>
      <c r="C612" s="7685"/>
      <c r="D612" s="7685"/>
      <c r="E612" s="7685">
        <f>IF(H611&lt;&gt;"",E611,IF(E611="","",IFERROR(MATCH(TRUE(),INDEX(INDEX($K:$K,E611+1):$K$203&lt;&gt;"",0),0)+E611,"")))</f>
        <v>787</v>
      </c>
      <c r="F612" s="7686">
        <f t="shared" si="194"/>
        <v>0</v>
      </c>
      <c r="G612" s="7686" t="str">
        <f t="shared" si="186"/>
        <v>0</v>
      </c>
      <c r="H612" s="7687" t="str">
        <f t="shared" si="187"/>
        <v/>
      </c>
      <c r="I612" s="7685" t="str">
        <f t="shared" si="188"/>
        <v/>
      </c>
      <c r="M612" s="7622">
        <f t="shared" si="189"/>
        <v>1</v>
      </c>
      <c r="N612" s="7688">
        <f t="shared" si="190"/>
        <v>595</v>
      </c>
      <c r="O612" s="7661" t="str">
        <f t="shared" si="191"/>
        <v>0</v>
      </c>
      <c r="P612" s="7688">
        <f t="shared" si="192"/>
        <v>1</v>
      </c>
      <c r="Q612" s="7688">
        <f t="shared" si="193"/>
        <v>1</v>
      </c>
      <c r="CA612" s="3170" t="s">
        <v>966</v>
      </c>
      <c r="CB612" s="7689" t="s">
        <v>17318</v>
      </c>
      <c r="CC612" s="3170" t="s">
        <v>17527</v>
      </c>
      <c r="CD612" s="3170" t="s">
        <v>17528</v>
      </c>
    </row>
    <row r="613" spans="2:82">
      <c r="B613" s="7685"/>
      <c r="C613" s="7685"/>
      <c r="D613" s="7685"/>
      <c r="E613" s="7685">
        <f>IF(H612&lt;&gt;"",E612,IF(E612="","",IFERROR(MATCH(TRUE(),INDEX(INDEX($K:$K,E612+1):$K$203&lt;&gt;"",0),0)+E612,"")))</f>
        <v>788</v>
      </c>
      <c r="F613" s="7686">
        <f t="shared" si="194"/>
        <v>0</v>
      </c>
      <c r="G613" s="7686" t="str">
        <f t="shared" si="186"/>
        <v>0</v>
      </c>
      <c r="H613" s="7687" t="str">
        <f t="shared" si="187"/>
        <v/>
      </c>
      <c r="I613" s="7685" t="str">
        <f t="shared" si="188"/>
        <v/>
      </c>
      <c r="M613" s="7622">
        <f t="shared" si="189"/>
        <v>1</v>
      </c>
      <c r="N613" s="7688">
        <f t="shared" si="190"/>
        <v>596</v>
      </c>
      <c r="O613" s="7661" t="str">
        <f t="shared" si="191"/>
        <v>0</v>
      </c>
      <c r="P613" s="7688">
        <f t="shared" si="192"/>
        <v>1</v>
      </c>
      <c r="Q613" s="7688">
        <f t="shared" si="193"/>
        <v>1</v>
      </c>
      <c r="CA613" s="3170" t="s">
        <v>966</v>
      </c>
      <c r="CB613" s="7689" t="s">
        <v>17318</v>
      </c>
      <c r="CC613" s="3170" t="s">
        <v>16522</v>
      </c>
      <c r="CD613" s="3170" t="s">
        <v>17529</v>
      </c>
    </row>
    <row r="614" spans="2:82">
      <c r="B614" s="7685"/>
      <c r="C614" s="7685"/>
      <c r="D614" s="7685"/>
      <c r="E614" s="7685">
        <f>IF(H613&lt;&gt;"",E613,IF(E613="","",IFERROR(MATCH(TRUE(),INDEX(INDEX($K:$K,E613+1):$K$203&lt;&gt;"",0),0)+E613,"")))</f>
        <v>789</v>
      </c>
      <c r="F614" s="7686">
        <f t="shared" si="194"/>
        <v>0</v>
      </c>
      <c r="G614" s="7686" t="str">
        <f t="shared" si="186"/>
        <v>0</v>
      </c>
      <c r="H614" s="7687" t="str">
        <f t="shared" si="187"/>
        <v/>
      </c>
      <c r="I614" s="7685" t="str">
        <f t="shared" si="188"/>
        <v/>
      </c>
      <c r="M614" s="7622">
        <f t="shared" si="189"/>
        <v>1</v>
      </c>
      <c r="N614" s="7688">
        <f t="shared" si="190"/>
        <v>597</v>
      </c>
      <c r="O614" s="7661" t="str">
        <f t="shared" si="191"/>
        <v>0</v>
      </c>
      <c r="P614" s="7688">
        <f t="shared" si="192"/>
        <v>1</v>
      </c>
      <c r="Q614" s="7688">
        <f t="shared" si="193"/>
        <v>1</v>
      </c>
      <c r="CA614" s="3170" t="s">
        <v>966</v>
      </c>
      <c r="CB614" s="7689" t="s">
        <v>17318</v>
      </c>
      <c r="CC614" s="3170" t="s">
        <v>16524</v>
      </c>
      <c r="CD614" s="3170" t="s">
        <v>17530</v>
      </c>
    </row>
    <row r="615" spans="2:82">
      <c r="B615" s="7685"/>
      <c r="C615" s="7685"/>
      <c r="D615" s="7685"/>
      <c r="E615" s="7685">
        <f>IF(H614&lt;&gt;"",E614,IF(E614="","",IFERROR(MATCH(TRUE(),INDEX(INDEX($K:$K,E614+1):$K$203&lt;&gt;"",0),0)+E614,"")))</f>
        <v>790</v>
      </c>
      <c r="F615" s="7686">
        <f t="shared" si="194"/>
        <v>0</v>
      </c>
      <c r="G615" s="7686" t="str">
        <f t="shared" si="186"/>
        <v>0</v>
      </c>
      <c r="H615" s="7687" t="str">
        <f t="shared" si="187"/>
        <v/>
      </c>
      <c r="I615" s="7685" t="str">
        <f t="shared" si="188"/>
        <v/>
      </c>
      <c r="M615" s="7622">
        <f t="shared" si="189"/>
        <v>1</v>
      </c>
      <c r="N615" s="7688">
        <f t="shared" si="190"/>
        <v>598</v>
      </c>
      <c r="O615" s="7661" t="str">
        <f t="shared" si="191"/>
        <v>0</v>
      </c>
      <c r="P615" s="7688">
        <f t="shared" si="192"/>
        <v>1</v>
      </c>
      <c r="Q615" s="7688">
        <f t="shared" si="193"/>
        <v>1</v>
      </c>
      <c r="CA615" s="3170" t="s">
        <v>966</v>
      </c>
      <c r="CB615" s="7689" t="s">
        <v>17318</v>
      </c>
      <c r="CC615" s="3170" t="s">
        <v>17531</v>
      </c>
      <c r="CD615" s="3170" t="s">
        <v>17532</v>
      </c>
    </row>
    <row r="616" spans="2:82">
      <c r="B616" s="7685"/>
      <c r="C616" s="7685"/>
      <c r="D616" s="7685"/>
      <c r="E616" s="7685">
        <f>IF(H615&lt;&gt;"",E615,IF(E615="","",IFERROR(MATCH(TRUE(),INDEX(INDEX($K:$K,E615+1):$K$203&lt;&gt;"",0),0)+E615,"")))</f>
        <v>791</v>
      </c>
      <c r="F616" s="7686">
        <f t="shared" si="194"/>
        <v>0</v>
      </c>
      <c r="G616" s="7686" t="str">
        <f t="shared" si="186"/>
        <v>0</v>
      </c>
      <c r="H616" s="7687" t="str">
        <f t="shared" si="187"/>
        <v/>
      </c>
      <c r="I616" s="7685" t="str">
        <f t="shared" si="188"/>
        <v/>
      </c>
      <c r="M616" s="7622">
        <f t="shared" si="189"/>
        <v>1</v>
      </c>
      <c r="N616" s="7688">
        <f t="shared" si="190"/>
        <v>599</v>
      </c>
      <c r="O616" s="7661" t="str">
        <f t="shared" si="191"/>
        <v>0</v>
      </c>
      <c r="P616" s="7688">
        <f t="shared" si="192"/>
        <v>1</v>
      </c>
      <c r="Q616" s="7688">
        <f t="shared" si="193"/>
        <v>1</v>
      </c>
      <c r="CA616" s="3170" t="s">
        <v>966</v>
      </c>
      <c r="CB616" s="7689" t="s">
        <v>17318</v>
      </c>
      <c r="CC616" s="3170" t="s">
        <v>16526</v>
      </c>
      <c r="CD616" s="3170" t="s">
        <v>17533</v>
      </c>
    </row>
    <row r="617" spans="2:82">
      <c r="B617" s="7685"/>
      <c r="C617" s="7685"/>
      <c r="D617" s="7685"/>
      <c r="E617" s="7685">
        <f>IF(H616&lt;&gt;"",E616,IF(E616="","",IFERROR(MATCH(TRUE(),INDEX(INDEX($K:$K,E616+1):$K$203&lt;&gt;"",0),0)+E616,"")))</f>
        <v>792</v>
      </c>
      <c r="F617" s="7686">
        <f t="shared" si="194"/>
        <v>0</v>
      </c>
      <c r="G617" s="7686" t="str">
        <f t="shared" si="186"/>
        <v>0</v>
      </c>
      <c r="H617" s="7687" t="str">
        <f t="shared" si="187"/>
        <v/>
      </c>
      <c r="I617" s="7685" t="str">
        <f t="shared" si="188"/>
        <v/>
      </c>
      <c r="M617" s="7622">
        <f t="shared" si="189"/>
        <v>1</v>
      </c>
      <c r="N617" s="7688">
        <f t="shared" si="190"/>
        <v>600</v>
      </c>
      <c r="O617" s="7661" t="str">
        <f t="shared" si="191"/>
        <v>0</v>
      </c>
      <c r="P617" s="7688">
        <f t="shared" si="192"/>
        <v>1</v>
      </c>
      <c r="Q617" s="7688">
        <f t="shared" si="193"/>
        <v>1</v>
      </c>
      <c r="CA617" s="3170" t="s">
        <v>966</v>
      </c>
      <c r="CB617" s="7689" t="s">
        <v>17318</v>
      </c>
      <c r="CC617" s="3170" t="s">
        <v>17534</v>
      </c>
      <c r="CD617" s="3170" t="s">
        <v>17535</v>
      </c>
    </row>
    <row r="618" spans="2:82">
      <c r="B618" s="7685"/>
      <c r="C618" s="7685"/>
      <c r="D618" s="7685"/>
      <c r="E618" s="7685">
        <f>IF(H617&lt;&gt;"",E617,IF(E617="","",IFERROR(MATCH(TRUE(),INDEX(INDEX($K:$K,E617+1):$K$203&lt;&gt;"",0),0)+E617,"")))</f>
        <v>793</v>
      </c>
      <c r="F618" s="7686">
        <f t="shared" si="194"/>
        <v>0</v>
      </c>
      <c r="G618" s="7686" t="str">
        <f t="shared" si="186"/>
        <v>0</v>
      </c>
      <c r="H618" s="7687" t="str">
        <f t="shared" si="187"/>
        <v/>
      </c>
      <c r="I618" s="7685" t="str">
        <f t="shared" si="188"/>
        <v/>
      </c>
      <c r="M618" s="7622">
        <f t="shared" si="189"/>
        <v>1</v>
      </c>
      <c r="N618" s="7688">
        <f t="shared" si="190"/>
        <v>601</v>
      </c>
      <c r="O618" s="7661" t="str">
        <f t="shared" si="191"/>
        <v>0</v>
      </c>
      <c r="P618" s="7688">
        <f t="shared" si="192"/>
        <v>1</v>
      </c>
      <c r="Q618" s="7688">
        <f t="shared" si="193"/>
        <v>1</v>
      </c>
      <c r="CA618" s="3170" t="s">
        <v>966</v>
      </c>
      <c r="CB618" s="7689" t="s">
        <v>17318</v>
      </c>
      <c r="CC618" s="3170" t="s">
        <v>17536</v>
      </c>
      <c r="CD618" s="3170" t="s">
        <v>17537</v>
      </c>
    </row>
    <row r="619" spans="2:82">
      <c r="B619" s="7685"/>
      <c r="C619" s="7685"/>
      <c r="D619" s="7685"/>
      <c r="E619" s="7685">
        <f>IF(H618&lt;&gt;"",E618,IF(E618="","",IFERROR(MATCH(TRUE(),INDEX(INDEX($K:$K,E618+1):$K$203&lt;&gt;"",0),0)+E618,"")))</f>
        <v>794</v>
      </c>
      <c r="F619" s="7686">
        <f t="shared" si="194"/>
        <v>0</v>
      </c>
      <c r="G619" s="7686" t="str">
        <f t="shared" si="186"/>
        <v>0</v>
      </c>
      <c r="H619" s="7687" t="str">
        <f t="shared" si="187"/>
        <v/>
      </c>
      <c r="I619" s="7685" t="str">
        <f t="shared" si="188"/>
        <v/>
      </c>
      <c r="M619" s="7622">
        <f t="shared" si="189"/>
        <v>1</v>
      </c>
      <c r="N619" s="7688">
        <f t="shared" si="190"/>
        <v>602</v>
      </c>
      <c r="O619" s="7661" t="str">
        <f t="shared" si="191"/>
        <v>0</v>
      </c>
      <c r="P619" s="7688">
        <f t="shared" si="192"/>
        <v>1</v>
      </c>
      <c r="Q619" s="7688">
        <f t="shared" si="193"/>
        <v>1</v>
      </c>
      <c r="CA619" s="3170" t="s">
        <v>966</v>
      </c>
      <c r="CB619" s="7689" t="s">
        <v>17318</v>
      </c>
      <c r="CC619" s="3170" t="s">
        <v>17333</v>
      </c>
      <c r="CD619" s="3170" t="s">
        <v>17538</v>
      </c>
    </row>
    <row r="620" spans="2:82">
      <c r="B620" s="7685"/>
      <c r="C620" s="7685"/>
      <c r="D620" s="7685"/>
      <c r="E620" s="7685">
        <f>IF(H619&lt;&gt;"",E619,IF(E619="","",IFERROR(MATCH(TRUE(),INDEX(INDEX($K:$K,E619+1):$K$203&lt;&gt;"",0),0)+E619,"")))</f>
        <v>795</v>
      </c>
      <c r="F620" s="7686">
        <f t="shared" si="194"/>
        <v>0</v>
      </c>
      <c r="G620" s="7686" t="str">
        <f t="shared" si="186"/>
        <v>0</v>
      </c>
      <c r="H620" s="7687" t="str">
        <f t="shared" si="187"/>
        <v/>
      </c>
      <c r="I620" s="7685" t="str">
        <f t="shared" si="188"/>
        <v/>
      </c>
      <c r="M620" s="7622">
        <f t="shared" si="189"/>
        <v>1</v>
      </c>
      <c r="N620" s="7688">
        <f t="shared" si="190"/>
        <v>603</v>
      </c>
      <c r="O620" s="7661" t="str">
        <f t="shared" si="191"/>
        <v>0</v>
      </c>
      <c r="P620" s="7688">
        <f t="shared" si="192"/>
        <v>1</v>
      </c>
      <c r="Q620" s="7688">
        <f t="shared" si="193"/>
        <v>1</v>
      </c>
      <c r="CA620" s="3170" t="s">
        <v>966</v>
      </c>
      <c r="CB620" s="7689" t="s">
        <v>17318</v>
      </c>
      <c r="CC620" s="3170" t="s">
        <v>17539</v>
      </c>
      <c r="CD620" s="3170" t="s">
        <v>17540</v>
      </c>
    </row>
    <row r="621" spans="2:82">
      <c r="B621" s="7685"/>
      <c r="C621" s="7685"/>
      <c r="D621" s="7685"/>
      <c r="E621" s="7685">
        <f>IF(H620&lt;&gt;"",E620,IF(E620="","",IFERROR(MATCH(TRUE(),INDEX(INDEX($K:$K,E620+1):$K$203&lt;&gt;"",0),0)+E620,"")))</f>
        <v>796</v>
      </c>
      <c r="F621" s="7686">
        <f t="shared" si="194"/>
        <v>0</v>
      </c>
      <c r="G621" s="7686" t="str">
        <f t="shared" si="186"/>
        <v>0</v>
      </c>
      <c r="H621" s="7687" t="str">
        <f t="shared" si="187"/>
        <v/>
      </c>
      <c r="I621" s="7685" t="str">
        <f t="shared" si="188"/>
        <v/>
      </c>
      <c r="M621" s="7622">
        <f t="shared" si="189"/>
        <v>1</v>
      </c>
      <c r="N621" s="7688">
        <f t="shared" si="190"/>
        <v>604</v>
      </c>
      <c r="O621" s="7661" t="str">
        <f t="shared" si="191"/>
        <v>0</v>
      </c>
      <c r="P621" s="7688">
        <f t="shared" si="192"/>
        <v>1</v>
      </c>
      <c r="Q621" s="7688">
        <f t="shared" si="193"/>
        <v>1</v>
      </c>
      <c r="CA621" s="3170" t="s">
        <v>966</v>
      </c>
      <c r="CB621" s="7689" t="s">
        <v>17318</v>
      </c>
      <c r="CC621" s="3170" t="s">
        <v>17541</v>
      </c>
      <c r="CD621" s="3170" t="s">
        <v>17542</v>
      </c>
    </row>
    <row r="622" spans="2:82">
      <c r="B622" s="7685"/>
      <c r="C622" s="7685"/>
      <c r="D622" s="7685"/>
      <c r="E622" s="7685">
        <f>IF(H621&lt;&gt;"",E621,IF(E621="","",IFERROR(MATCH(TRUE(),INDEX(INDEX($K:$K,E621+1):$K$203&lt;&gt;"",0),0)+E621,"")))</f>
        <v>797</v>
      </c>
      <c r="F622" s="7686">
        <f t="shared" si="194"/>
        <v>0</v>
      </c>
      <c r="G622" s="7686" t="str">
        <f t="shared" si="186"/>
        <v>0</v>
      </c>
      <c r="H622" s="7687" t="str">
        <f t="shared" si="187"/>
        <v/>
      </c>
      <c r="I622" s="7685" t="str">
        <f t="shared" si="188"/>
        <v/>
      </c>
      <c r="M622" s="7622">
        <f t="shared" si="189"/>
        <v>1</v>
      </c>
      <c r="N622" s="7688">
        <f t="shared" si="190"/>
        <v>605</v>
      </c>
      <c r="O622" s="7661" t="str">
        <f t="shared" si="191"/>
        <v>0</v>
      </c>
      <c r="P622" s="7688">
        <f t="shared" si="192"/>
        <v>1</v>
      </c>
      <c r="Q622" s="7688">
        <f t="shared" si="193"/>
        <v>1</v>
      </c>
      <c r="CA622" s="3170" t="s">
        <v>966</v>
      </c>
      <c r="CB622" s="7689" t="s">
        <v>17318</v>
      </c>
      <c r="CC622" s="3170" t="s">
        <v>17543</v>
      </c>
      <c r="CD622" s="3170" t="s">
        <v>17544</v>
      </c>
    </row>
    <row r="623" spans="2:82">
      <c r="B623" s="7685"/>
      <c r="C623" s="7685"/>
      <c r="D623" s="7685"/>
      <c r="E623" s="7685">
        <f>IF(H622&lt;&gt;"",E622,IF(E622="","",IFERROR(MATCH(TRUE(),INDEX(INDEX($K:$K,E622+1):$K$203&lt;&gt;"",0),0)+E622,"")))</f>
        <v>798</v>
      </c>
      <c r="F623" s="7686">
        <f t="shared" si="194"/>
        <v>0</v>
      </c>
      <c r="G623" s="7686" t="str">
        <f t="shared" si="186"/>
        <v>0</v>
      </c>
      <c r="H623" s="7687" t="str">
        <f t="shared" si="187"/>
        <v/>
      </c>
      <c r="I623" s="7685" t="str">
        <f t="shared" si="188"/>
        <v/>
      </c>
      <c r="M623" s="7622">
        <f t="shared" si="189"/>
        <v>1</v>
      </c>
      <c r="N623" s="7688">
        <f t="shared" si="190"/>
        <v>606</v>
      </c>
      <c r="O623" s="7661" t="str">
        <f t="shared" si="191"/>
        <v>0</v>
      </c>
      <c r="P623" s="7688">
        <f t="shared" si="192"/>
        <v>1</v>
      </c>
      <c r="Q623" s="7688">
        <f t="shared" si="193"/>
        <v>1</v>
      </c>
      <c r="CA623" s="3170" t="s">
        <v>966</v>
      </c>
      <c r="CB623" s="7689" t="s">
        <v>17318</v>
      </c>
      <c r="CC623" s="3170" t="s">
        <v>16528</v>
      </c>
      <c r="CD623" s="3170" t="s">
        <v>17545</v>
      </c>
    </row>
    <row r="624" spans="2:82">
      <c r="B624" s="7685"/>
      <c r="C624" s="7685"/>
      <c r="D624" s="7685"/>
      <c r="E624" s="7685">
        <f>IF(H623&lt;&gt;"",E623,IF(E623="","",IFERROR(MATCH(TRUE(),INDEX(INDEX($K:$K,E623+1):$K$203&lt;&gt;"",0),0)+E623,"")))</f>
        <v>799</v>
      </c>
      <c r="F624" s="7686">
        <f t="shared" si="194"/>
        <v>0</v>
      </c>
      <c r="G624" s="7686" t="str">
        <f t="shared" si="186"/>
        <v>0</v>
      </c>
      <c r="H624" s="7687" t="str">
        <f t="shared" si="187"/>
        <v/>
      </c>
      <c r="I624" s="7685" t="str">
        <f t="shared" si="188"/>
        <v/>
      </c>
      <c r="M624" s="7622">
        <f t="shared" si="189"/>
        <v>1</v>
      </c>
      <c r="N624" s="7688">
        <f t="shared" si="190"/>
        <v>607</v>
      </c>
      <c r="O624" s="7661" t="str">
        <f t="shared" si="191"/>
        <v>0</v>
      </c>
      <c r="P624" s="7688">
        <f t="shared" si="192"/>
        <v>1</v>
      </c>
      <c r="Q624" s="7688">
        <f t="shared" si="193"/>
        <v>1</v>
      </c>
      <c r="CA624" s="3170" t="s">
        <v>966</v>
      </c>
      <c r="CB624" s="7689" t="s">
        <v>17318</v>
      </c>
      <c r="CC624" s="3170" t="s">
        <v>16530</v>
      </c>
      <c r="CD624" s="3170" t="s">
        <v>17546</v>
      </c>
    </row>
    <row r="625" spans="2:82">
      <c r="B625" s="7685"/>
      <c r="C625" s="7685"/>
      <c r="D625" s="7685"/>
      <c r="E625" s="7685">
        <f>IF(H624&lt;&gt;"",E624,IF(E624="","",IFERROR(MATCH(TRUE(),INDEX(INDEX($K:$K,E624+1):$K$203&lt;&gt;"",0),0)+E624,"")))</f>
        <v>800</v>
      </c>
      <c r="F625" s="7686">
        <f t="shared" si="194"/>
        <v>0</v>
      </c>
      <c r="G625" s="7686" t="str">
        <f t="shared" si="186"/>
        <v>0</v>
      </c>
      <c r="H625" s="7687" t="str">
        <f t="shared" si="187"/>
        <v/>
      </c>
      <c r="I625" s="7685" t="str">
        <f t="shared" si="188"/>
        <v/>
      </c>
      <c r="M625" s="7622">
        <f t="shared" si="189"/>
        <v>1</v>
      </c>
      <c r="N625" s="7688">
        <f t="shared" si="190"/>
        <v>608</v>
      </c>
      <c r="O625" s="7661" t="str">
        <f t="shared" si="191"/>
        <v>0</v>
      </c>
      <c r="P625" s="7688">
        <f t="shared" si="192"/>
        <v>1</v>
      </c>
      <c r="Q625" s="7688">
        <f t="shared" si="193"/>
        <v>1</v>
      </c>
      <c r="CA625" s="3170" t="s">
        <v>966</v>
      </c>
      <c r="CB625" s="7689" t="s">
        <v>17318</v>
      </c>
      <c r="CC625" s="3170" t="s">
        <v>17547</v>
      </c>
      <c r="CD625" s="3170" t="s">
        <v>17548</v>
      </c>
    </row>
    <row r="626" spans="2:82">
      <c r="B626" s="7685"/>
      <c r="C626" s="7685"/>
      <c r="D626" s="7685"/>
      <c r="E626" s="7685">
        <f>IF(H625&lt;&gt;"",E625,IF(E625="","",IFERROR(MATCH(TRUE(),INDEX(INDEX($K:$K,E625+1):$K$203&lt;&gt;"",0),0)+E625,"")))</f>
        <v>801</v>
      </c>
      <c r="F626" s="7686">
        <f t="shared" si="194"/>
        <v>0</v>
      </c>
      <c r="G626" s="7686" t="str">
        <f t="shared" si="186"/>
        <v>0</v>
      </c>
      <c r="H626" s="7687" t="str">
        <f t="shared" si="187"/>
        <v/>
      </c>
      <c r="I626" s="7685" t="str">
        <f t="shared" si="188"/>
        <v/>
      </c>
      <c r="M626" s="7622">
        <f t="shared" si="189"/>
        <v>1</v>
      </c>
      <c r="N626" s="7688">
        <f t="shared" si="190"/>
        <v>609</v>
      </c>
      <c r="O626" s="7661" t="str">
        <f t="shared" si="191"/>
        <v>0</v>
      </c>
      <c r="P626" s="7688">
        <f t="shared" si="192"/>
        <v>1</v>
      </c>
      <c r="Q626" s="7688">
        <f t="shared" si="193"/>
        <v>1</v>
      </c>
      <c r="CA626" s="3170" t="s">
        <v>966</v>
      </c>
      <c r="CB626" s="7689" t="s">
        <v>17318</v>
      </c>
      <c r="CC626" s="3170" t="s">
        <v>17549</v>
      </c>
      <c r="CD626" s="3170" t="s">
        <v>17550</v>
      </c>
    </row>
    <row r="627" spans="2:82">
      <c r="B627" s="7685"/>
      <c r="C627" s="7685"/>
      <c r="D627" s="7685"/>
      <c r="E627" s="7685">
        <f>IF(H626&lt;&gt;"",E626,IF(E626="","",IFERROR(MATCH(TRUE(),INDEX(INDEX($K:$K,E626+1):$K$203&lt;&gt;"",0),0)+E626,"")))</f>
        <v>802</v>
      </c>
      <c r="F627" s="7686">
        <f t="shared" si="194"/>
        <v>0</v>
      </c>
      <c r="G627" s="7686" t="str">
        <f t="shared" si="186"/>
        <v>0</v>
      </c>
      <c r="H627" s="7687" t="str">
        <f t="shared" si="187"/>
        <v/>
      </c>
      <c r="I627" s="7685" t="str">
        <f t="shared" si="188"/>
        <v/>
      </c>
      <c r="M627" s="7622">
        <f t="shared" si="189"/>
        <v>1</v>
      </c>
      <c r="N627" s="7688">
        <f t="shared" si="190"/>
        <v>610</v>
      </c>
      <c r="O627" s="7661" t="str">
        <f t="shared" si="191"/>
        <v>0</v>
      </c>
      <c r="P627" s="7688">
        <f t="shared" si="192"/>
        <v>1</v>
      </c>
      <c r="Q627" s="7688">
        <f t="shared" si="193"/>
        <v>1</v>
      </c>
      <c r="CA627" s="3170" t="s">
        <v>966</v>
      </c>
      <c r="CB627" s="7689" t="s">
        <v>17318</v>
      </c>
      <c r="CC627" s="3170" t="s">
        <v>17551</v>
      </c>
      <c r="CD627" s="3170" t="s">
        <v>17552</v>
      </c>
    </row>
    <row r="628" spans="2:82">
      <c r="B628" s="7685"/>
      <c r="C628" s="7685"/>
      <c r="D628" s="7685"/>
      <c r="E628" s="7685">
        <f>IF(H627&lt;&gt;"",E627,IF(E627="","",IFERROR(MATCH(TRUE(),INDEX(INDEX($K:$K,E627+1):$K$203&lt;&gt;"",0),0)+E627,"")))</f>
        <v>803</v>
      </c>
      <c r="F628" s="7686">
        <f t="shared" si="194"/>
        <v>0</v>
      </c>
      <c r="G628" s="7686" t="str">
        <f t="shared" si="186"/>
        <v>0</v>
      </c>
      <c r="H628" s="7687" t="str">
        <f t="shared" si="187"/>
        <v/>
      </c>
      <c r="I628" s="7685" t="str">
        <f t="shared" si="188"/>
        <v/>
      </c>
      <c r="M628" s="7622">
        <f t="shared" si="189"/>
        <v>1</v>
      </c>
      <c r="N628" s="7688">
        <f t="shared" si="190"/>
        <v>611</v>
      </c>
      <c r="O628" s="7661" t="str">
        <f t="shared" si="191"/>
        <v>0</v>
      </c>
      <c r="P628" s="7688">
        <f t="shared" si="192"/>
        <v>1</v>
      </c>
      <c r="Q628" s="7688">
        <f t="shared" si="193"/>
        <v>1</v>
      </c>
      <c r="CA628" s="3170" t="s">
        <v>966</v>
      </c>
      <c r="CB628" s="7689" t="s">
        <v>17318</v>
      </c>
      <c r="CC628" s="3170" t="s">
        <v>17193</v>
      </c>
      <c r="CD628" s="3170" t="s">
        <v>17553</v>
      </c>
    </row>
    <row r="629" spans="2:82">
      <c r="B629" s="7685"/>
      <c r="C629" s="7685"/>
      <c r="D629" s="7685"/>
      <c r="E629" s="7685">
        <f>IF(H628&lt;&gt;"",E628,IF(E628="","",IFERROR(MATCH(TRUE(),INDEX(INDEX($K:$K,E628+1):$K$203&lt;&gt;"",0),0)+E628,"")))</f>
        <v>804</v>
      </c>
      <c r="F629" s="7686">
        <f t="shared" si="194"/>
        <v>0</v>
      </c>
      <c r="G629" s="7686" t="str">
        <f t="shared" si="186"/>
        <v>0</v>
      </c>
      <c r="H629" s="7687" t="str">
        <f t="shared" si="187"/>
        <v/>
      </c>
      <c r="I629" s="7685" t="str">
        <f t="shared" si="188"/>
        <v/>
      </c>
      <c r="M629" s="7622">
        <f t="shared" si="189"/>
        <v>1</v>
      </c>
      <c r="N629" s="7688">
        <f t="shared" si="190"/>
        <v>612</v>
      </c>
      <c r="O629" s="7661" t="str">
        <f t="shared" si="191"/>
        <v>0</v>
      </c>
      <c r="P629" s="7688">
        <f t="shared" si="192"/>
        <v>1</v>
      </c>
      <c r="Q629" s="7688">
        <f t="shared" si="193"/>
        <v>1</v>
      </c>
      <c r="CA629" s="3170" t="s">
        <v>966</v>
      </c>
      <c r="CB629" s="7689" t="s">
        <v>17318</v>
      </c>
      <c r="CC629" s="3170" t="s">
        <v>17195</v>
      </c>
      <c r="CD629" s="3170" t="s">
        <v>17554</v>
      </c>
    </row>
    <row r="630" spans="2:82">
      <c r="B630" s="7685"/>
      <c r="C630" s="7685"/>
      <c r="D630" s="7685"/>
      <c r="E630" s="7685">
        <f>IF(H629&lt;&gt;"",E629,IF(E629="","",IFERROR(MATCH(TRUE(),INDEX(INDEX($K:$K,E629+1):$K$203&lt;&gt;"",0),0)+E629,"")))</f>
        <v>805</v>
      </c>
      <c r="F630" s="7686">
        <f t="shared" si="194"/>
        <v>0</v>
      </c>
      <c r="G630" s="7686" t="str">
        <f t="shared" si="186"/>
        <v>0</v>
      </c>
      <c r="H630" s="7687" t="str">
        <f t="shared" si="187"/>
        <v/>
      </c>
      <c r="I630" s="7685" t="str">
        <f t="shared" si="188"/>
        <v/>
      </c>
      <c r="M630" s="7622">
        <f t="shared" si="189"/>
        <v>1</v>
      </c>
      <c r="N630" s="7688">
        <f t="shared" si="190"/>
        <v>613</v>
      </c>
      <c r="O630" s="7661" t="str">
        <f t="shared" si="191"/>
        <v>0</v>
      </c>
      <c r="P630" s="7688">
        <f t="shared" si="192"/>
        <v>1</v>
      </c>
      <c r="Q630" s="7688">
        <f t="shared" si="193"/>
        <v>1</v>
      </c>
      <c r="CA630" s="3170" t="s">
        <v>966</v>
      </c>
      <c r="CB630" s="7689" t="s">
        <v>17318</v>
      </c>
      <c r="CC630" s="3170" t="s">
        <v>17555</v>
      </c>
      <c r="CD630" s="3170" t="s">
        <v>17556</v>
      </c>
    </row>
    <row r="631" spans="2:82">
      <c r="B631" s="7685"/>
      <c r="C631" s="7685"/>
      <c r="D631" s="7685"/>
      <c r="E631" s="7685">
        <f>IF(H630&lt;&gt;"",E630,IF(E630="","",IFERROR(MATCH(TRUE(),INDEX(INDEX($K:$K,E630+1):$K$203&lt;&gt;"",0),0)+E630,"")))</f>
        <v>806</v>
      </c>
      <c r="F631" s="7686">
        <f t="shared" si="194"/>
        <v>0</v>
      </c>
      <c r="G631" s="7686" t="str">
        <f t="shared" si="186"/>
        <v>0</v>
      </c>
      <c r="H631" s="7687" t="str">
        <f t="shared" si="187"/>
        <v/>
      </c>
      <c r="I631" s="7685" t="str">
        <f t="shared" si="188"/>
        <v/>
      </c>
      <c r="M631" s="7622">
        <f t="shared" si="189"/>
        <v>1</v>
      </c>
      <c r="N631" s="7688">
        <f t="shared" si="190"/>
        <v>614</v>
      </c>
      <c r="O631" s="7661" t="str">
        <f t="shared" si="191"/>
        <v>0</v>
      </c>
      <c r="P631" s="7688">
        <f t="shared" si="192"/>
        <v>1</v>
      </c>
      <c r="Q631" s="7688">
        <f t="shared" si="193"/>
        <v>1</v>
      </c>
      <c r="CA631" s="3170" t="s">
        <v>966</v>
      </c>
      <c r="CB631" s="7689" t="s">
        <v>17318</v>
      </c>
      <c r="CC631" s="3170" t="s">
        <v>17557</v>
      </c>
      <c r="CD631" s="3170" t="s">
        <v>17558</v>
      </c>
    </row>
    <row r="632" spans="2:82">
      <c r="B632" s="7685"/>
      <c r="C632" s="7685"/>
      <c r="D632" s="7685"/>
      <c r="E632" s="7685">
        <f>IF(H631&lt;&gt;"",E631,IF(E631="","",IFERROR(MATCH(TRUE(),INDEX(INDEX($K:$K,E631+1):$K$203&lt;&gt;"",0),0)+E631,"")))</f>
        <v>807</v>
      </c>
      <c r="F632" s="7686">
        <f t="shared" si="194"/>
        <v>0</v>
      </c>
      <c r="G632" s="7686" t="str">
        <f t="shared" si="186"/>
        <v>0</v>
      </c>
      <c r="H632" s="7687" t="str">
        <f t="shared" si="187"/>
        <v/>
      </c>
      <c r="I632" s="7685" t="str">
        <f t="shared" si="188"/>
        <v/>
      </c>
      <c r="M632" s="7622">
        <f t="shared" si="189"/>
        <v>1</v>
      </c>
      <c r="N632" s="7688">
        <f t="shared" si="190"/>
        <v>615</v>
      </c>
      <c r="O632" s="7661" t="str">
        <f t="shared" si="191"/>
        <v>0</v>
      </c>
      <c r="P632" s="7688">
        <f t="shared" si="192"/>
        <v>1</v>
      </c>
      <c r="Q632" s="7688">
        <f t="shared" si="193"/>
        <v>1</v>
      </c>
      <c r="CA632" s="3170" t="s">
        <v>966</v>
      </c>
      <c r="CB632" s="7689" t="s">
        <v>17318</v>
      </c>
      <c r="CC632" s="3170" t="s">
        <v>17559</v>
      </c>
      <c r="CD632" s="3170" t="s">
        <v>17560</v>
      </c>
    </row>
    <row r="633" spans="2:82">
      <c r="B633" s="7685"/>
      <c r="C633" s="7685"/>
      <c r="D633" s="7685"/>
      <c r="E633" s="7685">
        <f>IF(H632&lt;&gt;"",E632,IF(E632="","",IFERROR(MATCH(TRUE(),INDEX(INDEX($K:$K,E632+1):$K$203&lt;&gt;"",0),0)+E632,"")))</f>
        <v>808</v>
      </c>
      <c r="F633" s="7686">
        <f t="shared" si="194"/>
        <v>0</v>
      </c>
      <c r="G633" s="7686" t="str">
        <f t="shared" si="186"/>
        <v>0</v>
      </c>
      <c r="H633" s="7687" t="str">
        <f t="shared" si="187"/>
        <v/>
      </c>
      <c r="I633" s="7685" t="str">
        <f t="shared" si="188"/>
        <v/>
      </c>
      <c r="M633" s="7622">
        <f t="shared" si="189"/>
        <v>1</v>
      </c>
      <c r="N633" s="7688">
        <f t="shared" si="190"/>
        <v>616</v>
      </c>
      <c r="O633" s="7661" t="str">
        <f t="shared" si="191"/>
        <v>0</v>
      </c>
      <c r="P633" s="7688">
        <f t="shared" si="192"/>
        <v>1</v>
      </c>
      <c r="Q633" s="7688">
        <f t="shared" si="193"/>
        <v>1</v>
      </c>
      <c r="CA633" s="3170" t="s">
        <v>966</v>
      </c>
      <c r="CB633" s="7689" t="s">
        <v>17318</v>
      </c>
      <c r="CC633" s="3170" t="s">
        <v>17561</v>
      </c>
      <c r="CD633" s="3170" t="s">
        <v>17562</v>
      </c>
    </row>
    <row r="634" spans="2:82">
      <c r="B634" s="7685"/>
      <c r="C634" s="7685"/>
      <c r="D634" s="7685"/>
      <c r="E634" s="7685">
        <f>IF(H633&lt;&gt;"",E633,IF(E633="","",IFERROR(MATCH(TRUE(),INDEX(INDEX($K:$K,E633+1):$K$203&lt;&gt;"",0),0)+E633,"")))</f>
        <v>809</v>
      </c>
      <c r="F634" s="7686">
        <f t="shared" si="194"/>
        <v>0</v>
      </c>
      <c r="G634" s="7686" t="str">
        <f t="shared" si="186"/>
        <v>0</v>
      </c>
      <c r="H634" s="7687" t="str">
        <f t="shared" si="187"/>
        <v/>
      </c>
      <c r="I634" s="7685" t="str">
        <f t="shared" si="188"/>
        <v/>
      </c>
      <c r="M634" s="7622">
        <f t="shared" si="189"/>
        <v>1</v>
      </c>
      <c r="N634" s="7688">
        <f t="shared" si="190"/>
        <v>617</v>
      </c>
      <c r="O634" s="7661" t="str">
        <f t="shared" si="191"/>
        <v>0</v>
      </c>
      <c r="P634" s="7688">
        <f t="shared" si="192"/>
        <v>1</v>
      </c>
      <c r="Q634" s="7688">
        <f t="shared" si="193"/>
        <v>1</v>
      </c>
      <c r="CA634" s="3170" t="s">
        <v>966</v>
      </c>
      <c r="CB634" s="7689" t="s">
        <v>17318</v>
      </c>
      <c r="CC634" s="3170" t="s">
        <v>17197</v>
      </c>
      <c r="CD634" s="3170" t="s">
        <v>17563</v>
      </c>
    </row>
    <row r="635" spans="2:82">
      <c r="B635" s="7685"/>
      <c r="C635" s="7685"/>
      <c r="D635" s="7685"/>
      <c r="E635" s="7685">
        <f>IF(H634&lt;&gt;"",E634,IF(E634="","",IFERROR(MATCH(TRUE(),INDEX(INDEX($K:$K,E634+1):$K$203&lt;&gt;"",0),0)+E634,"")))</f>
        <v>810</v>
      </c>
      <c r="F635" s="7686">
        <f t="shared" si="194"/>
        <v>0</v>
      </c>
      <c r="G635" s="7686" t="str">
        <f t="shared" si="186"/>
        <v>0</v>
      </c>
      <c r="H635" s="7687" t="str">
        <f t="shared" si="187"/>
        <v/>
      </c>
      <c r="I635" s="7685" t="str">
        <f t="shared" si="188"/>
        <v/>
      </c>
      <c r="M635" s="7622">
        <f t="shared" si="189"/>
        <v>1</v>
      </c>
      <c r="N635" s="7688">
        <f t="shared" si="190"/>
        <v>618</v>
      </c>
      <c r="O635" s="7661" t="str">
        <f t="shared" si="191"/>
        <v>0</v>
      </c>
      <c r="P635" s="7688">
        <f t="shared" si="192"/>
        <v>1</v>
      </c>
      <c r="Q635" s="7688">
        <f t="shared" si="193"/>
        <v>1</v>
      </c>
      <c r="CA635" s="3170" t="s">
        <v>966</v>
      </c>
      <c r="CB635" s="7689" t="s">
        <v>17318</v>
      </c>
      <c r="CC635" s="3170" t="s">
        <v>17564</v>
      </c>
      <c r="CD635" s="3170" t="s">
        <v>17565</v>
      </c>
    </row>
    <row r="636" spans="2:82">
      <c r="B636" s="7685"/>
      <c r="C636" s="7685"/>
      <c r="D636" s="7685"/>
      <c r="E636" s="7685">
        <f>IF(H635&lt;&gt;"",E635,IF(E635="","",IFERROR(MATCH(TRUE(),INDEX(INDEX($K:$K,E635+1):$K$203&lt;&gt;"",0),0)+E635,"")))</f>
        <v>811</v>
      </c>
      <c r="F636" s="7686">
        <f t="shared" si="194"/>
        <v>0</v>
      </c>
      <c r="G636" s="7686" t="str">
        <f t="shared" si="186"/>
        <v>0</v>
      </c>
      <c r="H636" s="7687" t="str">
        <f t="shared" si="187"/>
        <v/>
      </c>
      <c r="I636" s="7685" t="str">
        <f t="shared" si="188"/>
        <v/>
      </c>
      <c r="M636" s="7622">
        <f t="shared" si="189"/>
        <v>1</v>
      </c>
      <c r="N636" s="7688">
        <f t="shared" si="190"/>
        <v>619</v>
      </c>
      <c r="O636" s="7661" t="str">
        <f t="shared" si="191"/>
        <v>0</v>
      </c>
      <c r="P636" s="7688">
        <f t="shared" si="192"/>
        <v>1</v>
      </c>
      <c r="Q636" s="7688">
        <f t="shared" si="193"/>
        <v>1</v>
      </c>
      <c r="CA636" s="3170" t="s">
        <v>966</v>
      </c>
      <c r="CB636" s="7689" t="s">
        <v>17318</v>
      </c>
      <c r="CC636" s="3170" t="s">
        <v>17566</v>
      </c>
      <c r="CD636" s="3170" t="s">
        <v>17567</v>
      </c>
    </row>
    <row r="637" spans="2:82">
      <c r="B637" s="7685"/>
      <c r="C637" s="7685"/>
      <c r="D637" s="7685"/>
      <c r="E637" s="7685">
        <f>IF(H636&lt;&gt;"",E636,IF(E636="","",IFERROR(MATCH(TRUE(),INDEX(INDEX($K:$K,E636+1):$K$203&lt;&gt;"",0),0)+E636,"")))</f>
        <v>812</v>
      </c>
      <c r="F637" s="7686">
        <f t="shared" si="194"/>
        <v>0</v>
      </c>
      <c r="G637" s="7686" t="str">
        <f t="shared" si="186"/>
        <v>0</v>
      </c>
      <c r="H637" s="7687" t="str">
        <f t="shared" si="187"/>
        <v/>
      </c>
      <c r="I637" s="7685" t="str">
        <f t="shared" si="188"/>
        <v/>
      </c>
      <c r="M637" s="7622">
        <f t="shared" si="189"/>
        <v>1</v>
      </c>
      <c r="N637" s="7688">
        <f t="shared" si="190"/>
        <v>620</v>
      </c>
      <c r="O637" s="7661" t="str">
        <f t="shared" si="191"/>
        <v>0</v>
      </c>
      <c r="P637" s="7688">
        <f t="shared" si="192"/>
        <v>1</v>
      </c>
      <c r="Q637" s="7688">
        <f t="shared" si="193"/>
        <v>1</v>
      </c>
      <c r="CA637" s="3170" t="s">
        <v>966</v>
      </c>
      <c r="CB637" s="7689" t="s">
        <v>17318</v>
      </c>
      <c r="CC637" s="3170" t="s">
        <v>17568</v>
      </c>
      <c r="CD637" s="3170" t="s">
        <v>17569</v>
      </c>
    </row>
    <row r="638" spans="2:82">
      <c r="B638" s="7685"/>
      <c r="C638" s="7685"/>
      <c r="D638" s="7685"/>
      <c r="E638" s="7685">
        <f>IF(H637&lt;&gt;"",E637,IF(E637="","",IFERROR(MATCH(TRUE(),INDEX(INDEX($K:$K,E637+1):$K$203&lt;&gt;"",0),0)+E637,"")))</f>
        <v>813</v>
      </c>
      <c r="F638" s="7686">
        <f t="shared" si="194"/>
        <v>0</v>
      </c>
      <c r="G638" s="7686" t="str">
        <f t="shared" si="186"/>
        <v>0</v>
      </c>
      <c r="H638" s="7687" t="str">
        <f t="shared" si="187"/>
        <v/>
      </c>
      <c r="I638" s="7685" t="str">
        <f t="shared" si="188"/>
        <v/>
      </c>
      <c r="M638" s="7622">
        <f t="shared" si="189"/>
        <v>1</v>
      </c>
      <c r="N638" s="7688">
        <f t="shared" si="190"/>
        <v>621</v>
      </c>
      <c r="O638" s="7661" t="str">
        <f t="shared" si="191"/>
        <v>0</v>
      </c>
      <c r="P638" s="7688">
        <f t="shared" si="192"/>
        <v>1</v>
      </c>
      <c r="Q638" s="7688">
        <f t="shared" si="193"/>
        <v>1</v>
      </c>
      <c r="CA638" s="3170" t="s">
        <v>966</v>
      </c>
      <c r="CB638" s="7689" t="s">
        <v>17318</v>
      </c>
      <c r="CC638" s="3170" t="s">
        <v>17570</v>
      </c>
      <c r="CD638" s="3170" t="s">
        <v>17571</v>
      </c>
    </row>
    <row r="639" spans="2:82">
      <c r="B639" s="7685"/>
      <c r="C639" s="7685"/>
      <c r="D639" s="7685"/>
      <c r="E639" s="7685">
        <f>IF(H638&lt;&gt;"",E638,IF(E638="","",IFERROR(MATCH(TRUE(),INDEX(INDEX($K:$K,E638+1):$K$203&lt;&gt;"",0),0)+E638,"")))</f>
        <v>814</v>
      </c>
      <c r="F639" s="7686">
        <f t="shared" si="194"/>
        <v>0</v>
      </c>
      <c r="G639" s="7686" t="str">
        <f t="shared" si="186"/>
        <v>0</v>
      </c>
      <c r="H639" s="7687" t="str">
        <f t="shared" si="187"/>
        <v/>
      </c>
      <c r="I639" s="7685" t="str">
        <f t="shared" si="188"/>
        <v/>
      </c>
      <c r="M639" s="7622">
        <f t="shared" si="189"/>
        <v>1</v>
      </c>
      <c r="N639" s="7688">
        <f t="shared" si="190"/>
        <v>622</v>
      </c>
      <c r="O639" s="7661" t="str">
        <f t="shared" si="191"/>
        <v>0</v>
      </c>
      <c r="P639" s="7688">
        <f t="shared" si="192"/>
        <v>1</v>
      </c>
      <c r="Q639" s="7688">
        <f t="shared" si="193"/>
        <v>1</v>
      </c>
      <c r="CA639" s="3170" t="s">
        <v>966</v>
      </c>
      <c r="CB639" s="7689" t="s">
        <v>17318</v>
      </c>
      <c r="CC639" s="3170" t="s">
        <v>17572</v>
      </c>
      <c r="CD639" s="3170" t="s">
        <v>17573</v>
      </c>
    </row>
    <row r="640" spans="2:82">
      <c r="B640" s="7685"/>
      <c r="C640" s="7685"/>
      <c r="D640" s="7685"/>
      <c r="E640" s="7685">
        <f>IF(H639&lt;&gt;"",E639,IF(E639="","",IFERROR(MATCH(TRUE(),INDEX(INDEX($K:$K,E639+1):$K$203&lt;&gt;"",0),0)+E639,"")))</f>
        <v>815</v>
      </c>
      <c r="F640" s="7686">
        <f t="shared" si="194"/>
        <v>0</v>
      </c>
      <c r="G640" s="7686" t="str">
        <f t="shared" si="186"/>
        <v>0</v>
      </c>
      <c r="H640" s="7687" t="str">
        <f t="shared" si="187"/>
        <v/>
      </c>
      <c r="I640" s="7685" t="str">
        <f t="shared" si="188"/>
        <v/>
      </c>
      <c r="M640" s="7622">
        <f t="shared" si="189"/>
        <v>1</v>
      </c>
      <c r="N640" s="7688">
        <f t="shared" si="190"/>
        <v>623</v>
      </c>
      <c r="O640" s="7661" t="str">
        <f t="shared" si="191"/>
        <v>0</v>
      </c>
      <c r="P640" s="7688">
        <f t="shared" si="192"/>
        <v>1</v>
      </c>
      <c r="Q640" s="7688">
        <f t="shared" si="193"/>
        <v>1</v>
      </c>
      <c r="CA640" s="3170" t="s">
        <v>966</v>
      </c>
      <c r="CB640" s="7689" t="s">
        <v>17318</v>
      </c>
      <c r="CC640" s="3170" t="s">
        <v>17574</v>
      </c>
      <c r="CD640" s="3170" t="s">
        <v>17575</v>
      </c>
    </row>
    <row r="641" spans="2:82">
      <c r="B641" s="7685"/>
      <c r="C641" s="7685"/>
      <c r="D641" s="7685"/>
      <c r="E641" s="7685">
        <f>IF(H640&lt;&gt;"",E640,IF(E640="","",IFERROR(MATCH(TRUE(),INDEX(INDEX($K:$K,E640+1):$K$203&lt;&gt;"",0),0)+E640,"")))</f>
        <v>816</v>
      </c>
      <c r="F641" s="7686">
        <f t="shared" si="194"/>
        <v>0</v>
      </c>
      <c r="G641" s="7686" t="str">
        <f t="shared" si="186"/>
        <v>0</v>
      </c>
      <c r="H641" s="7687" t="str">
        <f t="shared" si="187"/>
        <v/>
      </c>
      <c r="I641" s="7685" t="str">
        <f t="shared" si="188"/>
        <v/>
      </c>
      <c r="M641" s="7622">
        <f t="shared" si="189"/>
        <v>1</v>
      </c>
      <c r="N641" s="7688">
        <f t="shared" si="190"/>
        <v>624</v>
      </c>
      <c r="O641" s="7661" t="str">
        <f t="shared" si="191"/>
        <v>0</v>
      </c>
      <c r="P641" s="7688">
        <f t="shared" si="192"/>
        <v>1</v>
      </c>
      <c r="Q641" s="7688">
        <f t="shared" si="193"/>
        <v>1</v>
      </c>
      <c r="CA641" s="3170" t="s">
        <v>966</v>
      </c>
      <c r="CB641" s="7689" t="s">
        <v>17318</v>
      </c>
      <c r="CC641" s="3170" t="s">
        <v>17576</v>
      </c>
      <c r="CD641" s="3170" t="s">
        <v>17577</v>
      </c>
    </row>
    <row r="642" spans="2:82">
      <c r="B642" s="7685"/>
      <c r="C642" s="7685"/>
      <c r="D642" s="7685"/>
      <c r="E642" s="7685">
        <f>IF(H641&lt;&gt;"",E641,IF(E641="","",IFERROR(MATCH(TRUE(),INDEX(INDEX($K:$K,E641+1):$K$203&lt;&gt;"",0),0)+E641,"")))</f>
        <v>817</v>
      </c>
      <c r="F642" s="7686">
        <f t="shared" si="194"/>
        <v>0</v>
      </c>
      <c r="G642" s="7686" t="str">
        <f t="shared" si="186"/>
        <v>0</v>
      </c>
      <c r="H642" s="7687" t="str">
        <f t="shared" si="187"/>
        <v/>
      </c>
      <c r="I642" s="7685" t="str">
        <f t="shared" si="188"/>
        <v/>
      </c>
      <c r="M642" s="7622">
        <f t="shared" si="189"/>
        <v>1</v>
      </c>
      <c r="N642" s="7688">
        <f t="shared" si="190"/>
        <v>625</v>
      </c>
      <c r="O642" s="7661" t="str">
        <f t="shared" si="191"/>
        <v>0</v>
      </c>
      <c r="P642" s="7688">
        <f t="shared" si="192"/>
        <v>1</v>
      </c>
      <c r="Q642" s="7688">
        <f t="shared" si="193"/>
        <v>1</v>
      </c>
      <c r="CA642" s="3170" t="s">
        <v>966</v>
      </c>
      <c r="CB642" s="7689" t="s">
        <v>17318</v>
      </c>
      <c r="CC642" s="3170" t="s">
        <v>17578</v>
      </c>
      <c r="CD642" s="3170" t="s">
        <v>17579</v>
      </c>
    </row>
    <row r="643" spans="2:82">
      <c r="B643" s="7685"/>
      <c r="C643" s="7685"/>
      <c r="D643" s="7685"/>
      <c r="E643" s="7685">
        <f>IF(H642&lt;&gt;"",E642,IF(E642="","",IFERROR(MATCH(TRUE(),INDEX(INDEX($K:$K,E642+1):$K$203&lt;&gt;"",0),0)+E642,"")))</f>
        <v>818</v>
      </c>
      <c r="F643" s="7686">
        <f t="shared" si="194"/>
        <v>0</v>
      </c>
      <c r="G643" s="7686" t="str">
        <f t="shared" si="186"/>
        <v>0</v>
      </c>
      <c r="H643" s="7687" t="str">
        <f t="shared" si="187"/>
        <v/>
      </c>
      <c r="I643" s="7685" t="str">
        <f t="shared" si="188"/>
        <v/>
      </c>
      <c r="M643" s="7622">
        <f t="shared" si="189"/>
        <v>1</v>
      </c>
      <c r="N643" s="7688">
        <f t="shared" si="190"/>
        <v>626</v>
      </c>
      <c r="O643" s="7661" t="str">
        <f t="shared" si="191"/>
        <v>0</v>
      </c>
      <c r="P643" s="7688">
        <f t="shared" si="192"/>
        <v>1</v>
      </c>
      <c r="Q643" s="7688">
        <f t="shared" si="193"/>
        <v>1</v>
      </c>
      <c r="CA643" s="3170" t="s">
        <v>966</v>
      </c>
      <c r="CB643" s="7689" t="s">
        <v>17318</v>
      </c>
      <c r="CC643" s="3170" t="s">
        <v>17580</v>
      </c>
      <c r="CD643" s="3170" t="s">
        <v>17581</v>
      </c>
    </row>
    <row r="644" spans="2:82">
      <c r="B644" s="7685"/>
      <c r="C644" s="7685"/>
      <c r="D644" s="7685"/>
      <c r="E644" s="7685">
        <f>IF(H643&lt;&gt;"",E643,IF(E643="","",IFERROR(MATCH(TRUE(),INDEX(INDEX($K:$K,E643+1):$K$203&lt;&gt;"",0),0)+E643,"")))</f>
        <v>819</v>
      </c>
      <c r="F644" s="7686">
        <f t="shared" si="194"/>
        <v>0</v>
      </c>
      <c r="G644" s="7686" t="str">
        <f t="shared" si="186"/>
        <v>0</v>
      </c>
      <c r="H644" s="7687" t="str">
        <f t="shared" si="187"/>
        <v/>
      </c>
      <c r="I644" s="7685" t="str">
        <f t="shared" si="188"/>
        <v/>
      </c>
      <c r="M644" s="7622">
        <f t="shared" si="189"/>
        <v>1</v>
      </c>
      <c r="N644" s="7688">
        <f t="shared" si="190"/>
        <v>627</v>
      </c>
      <c r="O644" s="7661" t="str">
        <f t="shared" si="191"/>
        <v>0</v>
      </c>
      <c r="P644" s="7688">
        <f t="shared" si="192"/>
        <v>1</v>
      </c>
      <c r="Q644" s="7688">
        <f t="shared" si="193"/>
        <v>1</v>
      </c>
      <c r="CA644" s="3170" t="s">
        <v>966</v>
      </c>
      <c r="CB644" s="7689" t="s">
        <v>17318</v>
      </c>
      <c r="CC644" s="3170" t="s">
        <v>17582</v>
      </c>
      <c r="CD644" s="3170" t="s">
        <v>17583</v>
      </c>
    </row>
    <row r="645" spans="2:82">
      <c r="B645" s="7685"/>
      <c r="C645" s="7685"/>
      <c r="D645" s="7685"/>
      <c r="E645" s="7685">
        <f>IF(H644&lt;&gt;"",E644,IF(E644="","",IFERROR(MATCH(TRUE(),INDEX(INDEX($K:$K,E644+1):$K$203&lt;&gt;"",0),0)+E644,"")))</f>
        <v>820</v>
      </c>
      <c r="F645" s="7686">
        <f t="shared" si="194"/>
        <v>0</v>
      </c>
      <c r="G645" s="7686" t="str">
        <f t="shared" si="186"/>
        <v>0</v>
      </c>
      <c r="H645" s="7687" t="str">
        <f t="shared" si="187"/>
        <v/>
      </c>
      <c r="I645" s="7685" t="str">
        <f t="shared" si="188"/>
        <v/>
      </c>
      <c r="M645" s="7622">
        <f t="shared" si="189"/>
        <v>1</v>
      </c>
      <c r="N645" s="7688">
        <f t="shared" si="190"/>
        <v>628</v>
      </c>
      <c r="O645" s="7661" t="str">
        <f t="shared" si="191"/>
        <v>0</v>
      </c>
      <c r="P645" s="7688">
        <f t="shared" si="192"/>
        <v>1</v>
      </c>
      <c r="Q645" s="7688">
        <f t="shared" si="193"/>
        <v>1</v>
      </c>
      <c r="CA645" s="3170" t="s">
        <v>966</v>
      </c>
      <c r="CB645" s="7689" t="s">
        <v>17318</v>
      </c>
      <c r="CC645" s="3170" t="s">
        <v>17584</v>
      </c>
      <c r="CD645" s="3170" t="s">
        <v>17585</v>
      </c>
    </row>
    <row r="646" spans="2:82">
      <c r="B646" s="7685"/>
      <c r="C646" s="7685"/>
      <c r="D646" s="7685"/>
      <c r="E646" s="7685">
        <f>IF(H645&lt;&gt;"",E645,IF(E645="","",IFERROR(MATCH(TRUE(),INDEX(INDEX($K:$K,E645+1):$K$203&lt;&gt;"",0),0)+E645,"")))</f>
        <v>821</v>
      </c>
      <c r="F646" s="7686">
        <f t="shared" si="194"/>
        <v>0</v>
      </c>
      <c r="G646" s="7686" t="str">
        <f t="shared" si="186"/>
        <v>0</v>
      </c>
      <c r="H646" s="7687" t="str">
        <f t="shared" si="187"/>
        <v/>
      </c>
      <c r="I646" s="7685" t="str">
        <f t="shared" si="188"/>
        <v/>
      </c>
      <c r="M646" s="7622">
        <f t="shared" si="189"/>
        <v>1</v>
      </c>
      <c r="N646" s="7688">
        <f t="shared" si="190"/>
        <v>629</v>
      </c>
      <c r="O646" s="7661" t="str">
        <f t="shared" si="191"/>
        <v>0</v>
      </c>
      <c r="P646" s="7688">
        <f t="shared" si="192"/>
        <v>1</v>
      </c>
      <c r="Q646" s="7688">
        <f t="shared" si="193"/>
        <v>1</v>
      </c>
      <c r="CA646" s="3170" t="s">
        <v>966</v>
      </c>
      <c r="CB646" s="7689" t="s">
        <v>17318</v>
      </c>
      <c r="CC646" s="3170" t="s">
        <v>17586</v>
      </c>
      <c r="CD646" s="3170" t="s">
        <v>17587</v>
      </c>
    </row>
    <row r="647" spans="2:82">
      <c r="B647" s="7685"/>
      <c r="C647" s="7685"/>
      <c r="D647" s="7685"/>
      <c r="E647" s="7685">
        <f>IF(H646&lt;&gt;"",E646,IF(E646="","",IFERROR(MATCH(TRUE(),INDEX(INDEX($K:$K,E646+1):$K$203&lt;&gt;"",0),0)+E646,"")))</f>
        <v>822</v>
      </c>
      <c r="F647" s="7686">
        <f t="shared" si="194"/>
        <v>0</v>
      </c>
      <c r="G647" s="7686" t="str">
        <f t="shared" si="186"/>
        <v>0</v>
      </c>
      <c r="H647" s="7687" t="str">
        <f t="shared" si="187"/>
        <v/>
      </c>
      <c r="I647" s="7685" t="str">
        <f t="shared" si="188"/>
        <v/>
      </c>
      <c r="M647" s="7622">
        <f t="shared" si="189"/>
        <v>1</v>
      </c>
      <c r="N647" s="7688">
        <f t="shared" si="190"/>
        <v>630</v>
      </c>
      <c r="O647" s="7661" t="str">
        <f t="shared" si="191"/>
        <v>0</v>
      </c>
      <c r="P647" s="7688">
        <f t="shared" si="192"/>
        <v>1</v>
      </c>
      <c r="Q647" s="7688">
        <f t="shared" si="193"/>
        <v>1</v>
      </c>
      <c r="CA647" s="3170" t="s">
        <v>966</v>
      </c>
      <c r="CB647" s="7689" t="s">
        <v>17318</v>
      </c>
      <c r="CC647" s="3170" t="s">
        <v>16550</v>
      </c>
      <c r="CD647" s="3170" t="s">
        <v>17588</v>
      </c>
    </row>
    <row r="648" spans="2:82">
      <c r="B648" s="7685"/>
      <c r="C648" s="7685"/>
      <c r="D648" s="7685"/>
      <c r="E648" s="7685">
        <f>IF(H647&lt;&gt;"",E647,IF(E647="","",IFERROR(MATCH(TRUE(),INDEX(INDEX($K:$K,E647+1):$K$203&lt;&gt;"",0),0)+E647,"")))</f>
        <v>823</v>
      </c>
      <c r="F648" s="7686">
        <f t="shared" si="194"/>
        <v>0</v>
      </c>
      <c r="G648" s="7686" t="str">
        <f t="shared" si="186"/>
        <v>0</v>
      </c>
      <c r="H648" s="7687" t="str">
        <f t="shared" si="187"/>
        <v/>
      </c>
      <c r="I648" s="7685" t="str">
        <f t="shared" si="188"/>
        <v/>
      </c>
      <c r="M648" s="7622">
        <f t="shared" si="189"/>
        <v>1</v>
      </c>
      <c r="N648" s="7688">
        <f t="shared" si="190"/>
        <v>631</v>
      </c>
      <c r="O648" s="7661" t="str">
        <f t="shared" si="191"/>
        <v>0</v>
      </c>
      <c r="P648" s="7688">
        <f t="shared" si="192"/>
        <v>1</v>
      </c>
      <c r="Q648" s="7688">
        <f t="shared" si="193"/>
        <v>1</v>
      </c>
      <c r="CA648" s="3170" t="s">
        <v>966</v>
      </c>
      <c r="CB648" s="7689" t="s">
        <v>17318</v>
      </c>
      <c r="CC648" s="3170" t="s">
        <v>17589</v>
      </c>
      <c r="CD648" s="3170" t="s">
        <v>17590</v>
      </c>
    </row>
    <row r="649" spans="2:82">
      <c r="B649" s="7685"/>
      <c r="C649" s="7685"/>
      <c r="D649" s="7685"/>
      <c r="E649" s="7685">
        <f>IF(H648&lt;&gt;"",E648,IF(E648="","",IFERROR(MATCH(TRUE(),INDEX(INDEX($K:$K,E648+1):$K$203&lt;&gt;"",0),0)+E648,"")))</f>
        <v>824</v>
      </c>
      <c r="F649" s="7686">
        <f t="shared" si="194"/>
        <v>0</v>
      </c>
      <c r="G649" s="7686" t="str">
        <f t="shared" si="186"/>
        <v>0</v>
      </c>
      <c r="H649" s="7687" t="str">
        <f t="shared" si="187"/>
        <v/>
      </c>
      <c r="I649" s="7685" t="str">
        <f t="shared" si="188"/>
        <v/>
      </c>
      <c r="M649" s="7622">
        <f t="shared" si="189"/>
        <v>1</v>
      </c>
      <c r="N649" s="7688">
        <f t="shared" si="190"/>
        <v>632</v>
      </c>
      <c r="O649" s="7661" t="str">
        <f t="shared" si="191"/>
        <v>0</v>
      </c>
      <c r="P649" s="7688">
        <f t="shared" si="192"/>
        <v>1</v>
      </c>
      <c r="Q649" s="7688">
        <f t="shared" si="193"/>
        <v>1</v>
      </c>
      <c r="CA649" s="3170" t="s">
        <v>966</v>
      </c>
      <c r="CB649" s="7689" t="s">
        <v>17318</v>
      </c>
      <c r="CC649" s="3170" t="s">
        <v>16705</v>
      </c>
      <c r="CD649" s="3170" t="s">
        <v>17591</v>
      </c>
    </row>
    <row r="650" spans="2:82">
      <c r="B650" s="7685"/>
      <c r="C650" s="7685"/>
      <c r="D650" s="7685"/>
      <c r="E650" s="7685">
        <f>IF(H649&lt;&gt;"",E649,IF(E649="","",IFERROR(MATCH(TRUE(),INDEX(INDEX($K:$K,E649+1):$K$203&lt;&gt;"",0),0)+E649,"")))</f>
        <v>825</v>
      </c>
      <c r="F650" s="7686">
        <f t="shared" si="194"/>
        <v>0</v>
      </c>
      <c r="G650" s="7686" t="str">
        <f t="shared" si="186"/>
        <v>0</v>
      </c>
      <c r="H650" s="7687" t="str">
        <f t="shared" si="187"/>
        <v/>
      </c>
      <c r="I650" s="7685" t="str">
        <f t="shared" si="188"/>
        <v/>
      </c>
      <c r="M650" s="7622">
        <f t="shared" si="189"/>
        <v>1</v>
      </c>
      <c r="N650" s="7688">
        <f t="shared" si="190"/>
        <v>633</v>
      </c>
      <c r="O650" s="7661" t="str">
        <f t="shared" si="191"/>
        <v>0</v>
      </c>
      <c r="P650" s="7688">
        <f t="shared" si="192"/>
        <v>1</v>
      </c>
      <c r="Q650" s="7688">
        <f t="shared" si="193"/>
        <v>1</v>
      </c>
      <c r="CA650" s="3170" t="s">
        <v>966</v>
      </c>
      <c r="CB650" s="7689" t="s">
        <v>17318</v>
      </c>
      <c r="CC650" s="3170" t="s">
        <v>16552</v>
      </c>
      <c r="CD650" s="3170" t="s">
        <v>17592</v>
      </c>
    </row>
    <row r="651" spans="2:82">
      <c r="B651" s="7685"/>
      <c r="C651" s="7685"/>
      <c r="D651" s="7685"/>
      <c r="E651" s="7685">
        <f>IF(H650&lt;&gt;"",E650,IF(E650="","",IFERROR(MATCH(TRUE(),INDEX(INDEX($K:$K,E650+1):$K$203&lt;&gt;"",0),0)+E650,"")))</f>
        <v>826</v>
      </c>
      <c r="F651" s="7686">
        <f t="shared" si="194"/>
        <v>0</v>
      </c>
      <c r="G651" s="7686" t="str">
        <f t="shared" si="186"/>
        <v>0</v>
      </c>
      <c r="H651" s="7687" t="str">
        <f t="shared" si="187"/>
        <v/>
      </c>
      <c r="I651" s="7685" t="str">
        <f t="shared" si="188"/>
        <v/>
      </c>
      <c r="M651" s="7622">
        <f t="shared" si="189"/>
        <v>1</v>
      </c>
      <c r="N651" s="7688">
        <f t="shared" si="190"/>
        <v>634</v>
      </c>
      <c r="O651" s="7661" t="str">
        <f t="shared" si="191"/>
        <v>0</v>
      </c>
      <c r="P651" s="7688">
        <f t="shared" si="192"/>
        <v>1</v>
      </c>
      <c r="Q651" s="7688">
        <f t="shared" si="193"/>
        <v>1</v>
      </c>
      <c r="CA651" s="3170" t="s">
        <v>966</v>
      </c>
      <c r="CB651" s="7689" t="s">
        <v>17318</v>
      </c>
      <c r="CC651" s="3170" t="s">
        <v>17593</v>
      </c>
      <c r="CD651" s="3170" t="s">
        <v>17594</v>
      </c>
    </row>
    <row r="652" spans="2:82">
      <c r="B652" s="7685"/>
      <c r="C652" s="7685"/>
      <c r="D652" s="7685"/>
      <c r="E652" s="7685">
        <f>IF(H651&lt;&gt;"",E651,IF(E651="","",IFERROR(MATCH(TRUE(),INDEX(INDEX($K:$K,E651+1):$K$203&lt;&gt;"",0),0)+E651,"")))</f>
        <v>827</v>
      </c>
      <c r="F652" s="7686">
        <f t="shared" si="194"/>
        <v>0</v>
      </c>
      <c r="G652" s="7686" t="str">
        <f t="shared" si="186"/>
        <v>0</v>
      </c>
      <c r="H652" s="7687" t="str">
        <f t="shared" si="187"/>
        <v/>
      </c>
      <c r="I652" s="7685" t="str">
        <f t="shared" si="188"/>
        <v/>
      </c>
      <c r="M652" s="7622">
        <f t="shared" si="189"/>
        <v>1</v>
      </c>
      <c r="N652" s="7688">
        <f t="shared" si="190"/>
        <v>635</v>
      </c>
      <c r="O652" s="7661" t="str">
        <f t="shared" si="191"/>
        <v>0</v>
      </c>
      <c r="P652" s="7688">
        <f t="shared" si="192"/>
        <v>1</v>
      </c>
      <c r="Q652" s="7688">
        <f t="shared" si="193"/>
        <v>1</v>
      </c>
      <c r="CA652" s="3170" t="s">
        <v>966</v>
      </c>
      <c r="CB652" s="7689" t="s">
        <v>17318</v>
      </c>
      <c r="CC652" s="3170" t="s">
        <v>17595</v>
      </c>
      <c r="CD652" s="3170" t="s">
        <v>17596</v>
      </c>
    </row>
    <row r="653" spans="2:82">
      <c r="B653" s="7685"/>
      <c r="C653" s="7685"/>
      <c r="D653" s="7685"/>
      <c r="E653" s="7685">
        <f>IF(H652&lt;&gt;"",E652,IF(E652="","",IFERROR(MATCH(TRUE(),INDEX(INDEX($K:$K,E652+1):$K$203&lt;&gt;"",0),0)+E652,"")))</f>
        <v>828</v>
      </c>
      <c r="F653" s="7686">
        <f t="shared" si="194"/>
        <v>0</v>
      </c>
      <c r="G653" s="7686" t="str">
        <f t="shared" si="186"/>
        <v>0</v>
      </c>
      <c r="H653" s="7687" t="str">
        <f t="shared" si="187"/>
        <v/>
      </c>
      <c r="I653" s="7685" t="str">
        <f t="shared" si="188"/>
        <v/>
      </c>
      <c r="M653" s="7622">
        <f t="shared" si="189"/>
        <v>1</v>
      </c>
      <c r="N653" s="7688">
        <f t="shared" si="190"/>
        <v>636</v>
      </c>
      <c r="O653" s="7661" t="str">
        <f t="shared" si="191"/>
        <v>0</v>
      </c>
      <c r="P653" s="7688">
        <f t="shared" si="192"/>
        <v>1</v>
      </c>
      <c r="Q653" s="7688">
        <f t="shared" si="193"/>
        <v>1</v>
      </c>
      <c r="CA653" s="3170" t="s">
        <v>966</v>
      </c>
      <c r="CB653" s="7689" t="s">
        <v>17318</v>
      </c>
      <c r="CC653" s="3170" t="s">
        <v>17597</v>
      </c>
      <c r="CD653" s="3170" t="s">
        <v>17598</v>
      </c>
    </row>
    <row r="654" spans="2:82">
      <c r="B654" s="7685"/>
      <c r="C654" s="7685"/>
      <c r="D654" s="7685"/>
      <c r="E654" s="7685">
        <f>IF(H653&lt;&gt;"",E653,IF(E653="","",IFERROR(MATCH(TRUE(),INDEX(INDEX($K:$K,E653+1):$K$203&lt;&gt;"",0),0)+E653,"")))</f>
        <v>829</v>
      </c>
      <c r="F654" s="7686">
        <f t="shared" si="194"/>
        <v>0</v>
      </c>
      <c r="G654" s="7686" t="str">
        <f t="shared" si="186"/>
        <v>0</v>
      </c>
      <c r="H654" s="7687" t="str">
        <f t="shared" si="187"/>
        <v/>
      </c>
      <c r="I654" s="7685" t="str">
        <f t="shared" si="188"/>
        <v/>
      </c>
      <c r="M654" s="7622">
        <f t="shared" si="189"/>
        <v>1</v>
      </c>
      <c r="N654" s="7688">
        <f t="shared" si="190"/>
        <v>637</v>
      </c>
      <c r="O654" s="7661" t="str">
        <f t="shared" si="191"/>
        <v>0</v>
      </c>
      <c r="P654" s="7688">
        <f t="shared" si="192"/>
        <v>1</v>
      </c>
      <c r="Q654" s="7688">
        <f t="shared" si="193"/>
        <v>1</v>
      </c>
      <c r="CA654" s="3170" t="s">
        <v>966</v>
      </c>
      <c r="CB654" s="7689" t="s">
        <v>17318</v>
      </c>
      <c r="CC654" s="3170" t="s">
        <v>17599</v>
      </c>
      <c r="CD654" s="3170" t="s">
        <v>17600</v>
      </c>
    </row>
    <row r="655" spans="2:82">
      <c r="B655" s="7685"/>
      <c r="C655" s="7685"/>
      <c r="D655" s="7685"/>
      <c r="E655" s="7685">
        <f>IF(H654&lt;&gt;"",E654,IF(E654="","",IFERROR(MATCH(TRUE(),INDEX(INDEX($K:$K,E654+1):$K$203&lt;&gt;"",0),0)+E654,"")))</f>
        <v>830</v>
      </c>
      <c r="F655" s="7686">
        <f t="shared" si="194"/>
        <v>0</v>
      </c>
      <c r="G655" s="7686" t="str">
        <f t="shared" si="186"/>
        <v>0</v>
      </c>
      <c r="H655" s="7687" t="str">
        <f t="shared" si="187"/>
        <v/>
      </c>
      <c r="I655" s="7685" t="str">
        <f t="shared" si="188"/>
        <v/>
      </c>
      <c r="M655" s="7622">
        <f t="shared" si="189"/>
        <v>1</v>
      </c>
      <c r="N655" s="7688">
        <f t="shared" si="190"/>
        <v>638</v>
      </c>
      <c r="O655" s="7661" t="str">
        <f t="shared" si="191"/>
        <v>0</v>
      </c>
      <c r="P655" s="7688">
        <f t="shared" si="192"/>
        <v>1</v>
      </c>
      <c r="Q655" s="7688">
        <f t="shared" si="193"/>
        <v>1</v>
      </c>
      <c r="CA655" s="3170" t="s">
        <v>966</v>
      </c>
      <c r="CB655" s="7689" t="s">
        <v>17318</v>
      </c>
      <c r="CC655" s="3170" t="s">
        <v>16556</v>
      </c>
      <c r="CD655" s="3170" t="s">
        <v>17601</v>
      </c>
    </row>
    <row r="656" spans="2:82">
      <c r="B656" s="7685"/>
      <c r="C656" s="7685"/>
      <c r="D656" s="7685"/>
      <c r="E656" s="7685">
        <f>IF(H655&lt;&gt;"",E655,IF(E655="","",IFERROR(MATCH(TRUE(),INDEX(INDEX($K:$K,E655+1):$K$203&lt;&gt;"",0),0)+E655,"")))</f>
        <v>831</v>
      </c>
      <c r="F656" s="7686">
        <f t="shared" si="194"/>
        <v>0</v>
      </c>
      <c r="G656" s="7686" t="str">
        <f t="shared" si="186"/>
        <v>0</v>
      </c>
      <c r="H656" s="7687" t="str">
        <f t="shared" si="187"/>
        <v/>
      </c>
      <c r="I656" s="7685" t="str">
        <f t="shared" si="188"/>
        <v/>
      </c>
      <c r="M656" s="7622">
        <f t="shared" si="189"/>
        <v>1</v>
      </c>
      <c r="N656" s="7688">
        <f t="shared" si="190"/>
        <v>639</v>
      </c>
      <c r="O656" s="7661" t="str">
        <f t="shared" si="191"/>
        <v>0</v>
      </c>
      <c r="P656" s="7688">
        <f t="shared" si="192"/>
        <v>1</v>
      </c>
      <c r="Q656" s="7688">
        <f t="shared" si="193"/>
        <v>1</v>
      </c>
      <c r="CA656" s="3170" t="s">
        <v>966</v>
      </c>
      <c r="CB656" s="7689" t="s">
        <v>17318</v>
      </c>
      <c r="CC656" s="3170" t="s">
        <v>17602</v>
      </c>
      <c r="CD656" s="3170" t="s">
        <v>17603</v>
      </c>
    </row>
    <row r="657" spans="2:82">
      <c r="B657" s="7685"/>
      <c r="C657" s="7685"/>
      <c r="D657" s="7685"/>
      <c r="E657" s="7685">
        <f>IF(H656&lt;&gt;"",E656,IF(E656="","",IFERROR(MATCH(TRUE(),INDEX(INDEX($K:$K,E656+1):$K$203&lt;&gt;"",0),0)+E656,"")))</f>
        <v>832</v>
      </c>
      <c r="F657" s="7686">
        <f t="shared" si="194"/>
        <v>0</v>
      </c>
      <c r="G657" s="7686" t="str">
        <f t="shared" si="186"/>
        <v>0</v>
      </c>
      <c r="H657" s="7687" t="str">
        <f t="shared" si="187"/>
        <v/>
      </c>
      <c r="I657" s="7685" t="str">
        <f t="shared" si="188"/>
        <v/>
      </c>
      <c r="M657" s="7622">
        <f t="shared" si="189"/>
        <v>1</v>
      </c>
      <c r="N657" s="7688">
        <f t="shared" si="190"/>
        <v>640</v>
      </c>
      <c r="O657" s="7661" t="str">
        <f t="shared" si="191"/>
        <v>0</v>
      </c>
      <c r="P657" s="7688">
        <f t="shared" si="192"/>
        <v>1</v>
      </c>
      <c r="Q657" s="7688">
        <f t="shared" si="193"/>
        <v>1</v>
      </c>
      <c r="CA657" s="3170" t="s">
        <v>966</v>
      </c>
      <c r="CB657" s="7689" t="s">
        <v>17318</v>
      </c>
      <c r="CC657" s="3170" t="s">
        <v>16558</v>
      </c>
      <c r="CD657" s="3170" t="s">
        <v>17604</v>
      </c>
    </row>
    <row r="658" spans="2:82">
      <c r="B658" s="7685"/>
      <c r="C658" s="7685"/>
      <c r="D658" s="7685"/>
      <c r="E658" s="7685">
        <f>IF(H657&lt;&gt;"",E657,IF(E657="","",IFERROR(MATCH(TRUE(),INDEX(INDEX($K:$K,E657+1):$K$203&lt;&gt;"",0),0)+E657,"")))</f>
        <v>833</v>
      </c>
      <c r="F658" s="7686">
        <f t="shared" si="194"/>
        <v>0</v>
      </c>
      <c r="G658" s="7686" t="str">
        <f t="shared" ref="G658:G721" si="195">IF(OR(F658="",M658=""),"",LEFT(F658,M658))</f>
        <v>0</v>
      </c>
      <c r="H658" s="7687" t="str">
        <f t="shared" ref="H658:H721" si="196">IF(OR(F658="",M658=""),"",TRIM(MID(F658,M658+1,99999)))</f>
        <v/>
      </c>
      <c r="I658" s="7685" t="str">
        <f t="shared" ref="I658:I721" si="197">IF(AND(F658&lt;&gt;"",$N$10&gt;0,M658&gt;$N$10),"Mot &gt; limite","")</f>
        <v/>
      </c>
      <c r="M658" s="7622">
        <f t="shared" ref="M658:M721" si="198">IF(OR(F658="",$N$10="",$N$10&lt;=0),"",IF(LEN(F658)&lt;=$N$10,LEN(F658),IFERROR(FIND("♦",SUBSTITUTE(LEFT(F658,$N$10)," ","♦",LEN(LEFT(F658,$N$10))-LEN(SUBSTITUTE(LEFT(F658,$N$10)," ","")))),FIND(" ",F658&amp;" ",$N$10+1)-1)))</f>
        <v>1</v>
      </c>
      <c r="N658" s="7688">
        <f t="shared" ref="N658:N721" si="199">IF(O658="","",ROW()-17)</f>
        <v>641</v>
      </c>
      <c r="O658" s="7661" t="str">
        <f t="shared" ref="O658:O721" si="200">G658</f>
        <v>0</v>
      </c>
      <c r="P658" s="7688">
        <f t="shared" ref="P658:P721" si="201">IF(O658="","",LEN(TRIM(O658))-LEN(SUBSTITUTE(TRIM(O658)," ",""))+1)</f>
        <v>1</v>
      </c>
      <c r="Q658" s="7688">
        <f t="shared" ref="Q658:Q721" si="202">IF(O658="","",LEN(O658))</f>
        <v>1</v>
      </c>
      <c r="CA658" s="3170" t="s">
        <v>966</v>
      </c>
      <c r="CB658" s="7689" t="s">
        <v>17318</v>
      </c>
      <c r="CC658" s="3170" t="s">
        <v>17605</v>
      </c>
      <c r="CD658" s="3170" t="s">
        <v>17606</v>
      </c>
    </row>
    <row r="659" spans="2:82">
      <c r="B659" s="7685"/>
      <c r="C659" s="7685"/>
      <c r="D659" s="7685"/>
      <c r="E659" s="7685">
        <f>IF(H658&lt;&gt;"",E658,IF(E658="","",IFERROR(MATCH(TRUE(),INDEX(INDEX($K:$K,E658+1):$K$203&lt;&gt;"",0),0)+E658,"")))</f>
        <v>834</v>
      </c>
      <c r="F659" s="7686">
        <f t="shared" ref="F659:F722" si="203">IF(E659="","",IF(H658&lt;&gt;"",H658,INDEX($D:$D,E659)))</f>
        <v>0</v>
      </c>
      <c r="G659" s="7686" t="str">
        <f t="shared" si="195"/>
        <v>0</v>
      </c>
      <c r="H659" s="7687" t="str">
        <f t="shared" si="196"/>
        <v/>
      </c>
      <c r="I659" s="7685" t="str">
        <f t="shared" si="197"/>
        <v/>
      </c>
      <c r="M659" s="7622">
        <f t="shared" si="198"/>
        <v>1</v>
      </c>
      <c r="N659" s="7688">
        <f t="shared" si="199"/>
        <v>642</v>
      </c>
      <c r="O659" s="7661" t="str">
        <f t="shared" si="200"/>
        <v>0</v>
      </c>
      <c r="P659" s="7688">
        <f t="shared" si="201"/>
        <v>1</v>
      </c>
      <c r="Q659" s="7688">
        <f t="shared" si="202"/>
        <v>1</v>
      </c>
      <c r="CA659" s="3170" t="s">
        <v>966</v>
      </c>
      <c r="CB659" s="7689" t="s">
        <v>17318</v>
      </c>
      <c r="CC659" s="3170" t="s">
        <v>17607</v>
      </c>
      <c r="CD659" s="3170" t="s">
        <v>17608</v>
      </c>
    </row>
    <row r="660" spans="2:82">
      <c r="B660" s="7685"/>
      <c r="C660" s="7685"/>
      <c r="D660" s="7685"/>
      <c r="E660" s="7685">
        <f>IF(H659&lt;&gt;"",E659,IF(E659="","",IFERROR(MATCH(TRUE(),INDEX(INDEX($K:$K,E659+1):$K$203&lt;&gt;"",0),0)+E659,"")))</f>
        <v>835</v>
      </c>
      <c r="F660" s="7686">
        <f t="shared" si="203"/>
        <v>0</v>
      </c>
      <c r="G660" s="7686" t="str">
        <f t="shared" si="195"/>
        <v>0</v>
      </c>
      <c r="H660" s="7687" t="str">
        <f t="shared" si="196"/>
        <v/>
      </c>
      <c r="I660" s="7685" t="str">
        <f t="shared" si="197"/>
        <v/>
      </c>
      <c r="M660" s="7622">
        <f t="shared" si="198"/>
        <v>1</v>
      </c>
      <c r="N660" s="7688">
        <f t="shared" si="199"/>
        <v>643</v>
      </c>
      <c r="O660" s="7661" t="str">
        <f t="shared" si="200"/>
        <v>0</v>
      </c>
      <c r="P660" s="7688">
        <f t="shared" si="201"/>
        <v>1</v>
      </c>
      <c r="Q660" s="7688">
        <f t="shared" si="202"/>
        <v>1</v>
      </c>
      <c r="CA660" s="3170" t="s">
        <v>966</v>
      </c>
      <c r="CB660" s="7689" t="s">
        <v>17318</v>
      </c>
      <c r="CC660" s="3170" t="s">
        <v>17221</v>
      </c>
      <c r="CD660" s="3170" t="s">
        <v>17609</v>
      </c>
    </row>
    <row r="661" spans="2:82">
      <c r="B661" s="7685"/>
      <c r="C661" s="7685"/>
      <c r="D661" s="7685"/>
      <c r="E661" s="7685">
        <f>IF(H660&lt;&gt;"",E660,IF(E660="","",IFERROR(MATCH(TRUE(),INDEX(INDEX($K:$K,E660+1):$K$203&lt;&gt;"",0),0)+E660,"")))</f>
        <v>836</v>
      </c>
      <c r="F661" s="7686">
        <f t="shared" si="203"/>
        <v>0</v>
      </c>
      <c r="G661" s="7686" t="str">
        <f t="shared" si="195"/>
        <v>0</v>
      </c>
      <c r="H661" s="7687" t="str">
        <f t="shared" si="196"/>
        <v/>
      </c>
      <c r="I661" s="7685" t="str">
        <f t="shared" si="197"/>
        <v/>
      </c>
      <c r="M661" s="7622">
        <f t="shared" si="198"/>
        <v>1</v>
      </c>
      <c r="N661" s="7688">
        <f t="shared" si="199"/>
        <v>644</v>
      </c>
      <c r="O661" s="7661" t="str">
        <f t="shared" si="200"/>
        <v>0</v>
      </c>
      <c r="P661" s="7688">
        <f t="shared" si="201"/>
        <v>1</v>
      </c>
      <c r="Q661" s="7688">
        <f t="shared" si="202"/>
        <v>1</v>
      </c>
      <c r="CA661" s="3170" t="s">
        <v>966</v>
      </c>
      <c r="CB661" s="7689" t="s">
        <v>17318</v>
      </c>
      <c r="CC661" s="3170" t="s">
        <v>17223</v>
      </c>
      <c r="CD661" s="3170" t="s">
        <v>17610</v>
      </c>
    </row>
    <row r="662" spans="2:82">
      <c r="B662" s="7685"/>
      <c r="C662" s="7685"/>
      <c r="D662" s="7685"/>
      <c r="E662" s="7685">
        <f>IF(H661&lt;&gt;"",E661,IF(E661="","",IFERROR(MATCH(TRUE(),INDEX(INDEX($K:$K,E661+1):$K$203&lt;&gt;"",0),0)+E661,"")))</f>
        <v>837</v>
      </c>
      <c r="F662" s="7686">
        <f t="shared" si="203"/>
        <v>0</v>
      </c>
      <c r="G662" s="7686" t="str">
        <f t="shared" si="195"/>
        <v>0</v>
      </c>
      <c r="H662" s="7687" t="str">
        <f t="shared" si="196"/>
        <v/>
      </c>
      <c r="I662" s="7685" t="str">
        <f t="shared" si="197"/>
        <v/>
      </c>
      <c r="M662" s="7622">
        <f t="shared" si="198"/>
        <v>1</v>
      </c>
      <c r="N662" s="7688">
        <f t="shared" si="199"/>
        <v>645</v>
      </c>
      <c r="O662" s="7661" t="str">
        <f t="shared" si="200"/>
        <v>0</v>
      </c>
      <c r="P662" s="7688">
        <f t="shared" si="201"/>
        <v>1</v>
      </c>
      <c r="Q662" s="7688">
        <f t="shared" si="202"/>
        <v>1</v>
      </c>
      <c r="CA662" s="3170" t="s">
        <v>966</v>
      </c>
      <c r="CB662" s="7689" t="s">
        <v>17318</v>
      </c>
      <c r="CC662" s="3170" t="s">
        <v>17611</v>
      </c>
      <c r="CD662" s="3170" t="s">
        <v>17612</v>
      </c>
    </row>
    <row r="663" spans="2:82">
      <c r="B663" s="7685"/>
      <c r="C663" s="7685"/>
      <c r="D663" s="7685"/>
      <c r="E663" s="7685">
        <f>IF(H662&lt;&gt;"",E662,IF(E662="","",IFERROR(MATCH(TRUE(),INDEX(INDEX($K:$K,E662+1):$K$203&lt;&gt;"",0),0)+E662,"")))</f>
        <v>838</v>
      </c>
      <c r="F663" s="7686">
        <f t="shared" si="203"/>
        <v>0</v>
      </c>
      <c r="G663" s="7686" t="str">
        <f t="shared" si="195"/>
        <v>0</v>
      </c>
      <c r="H663" s="7687" t="str">
        <f t="shared" si="196"/>
        <v/>
      </c>
      <c r="I663" s="7685" t="str">
        <f t="shared" si="197"/>
        <v/>
      </c>
      <c r="M663" s="7622">
        <f t="shared" si="198"/>
        <v>1</v>
      </c>
      <c r="N663" s="7688">
        <f t="shared" si="199"/>
        <v>646</v>
      </c>
      <c r="O663" s="7661" t="str">
        <f t="shared" si="200"/>
        <v>0</v>
      </c>
      <c r="P663" s="7688">
        <f t="shared" si="201"/>
        <v>1</v>
      </c>
      <c r="Q663" s="7688">
        <f t="shared" si="202"/>
        <v>1</v>
      </c>
      <c r="CA663" s="3170" t="s">
        <v>966</v>
      </c>
      <c r="CB663" s="7689" t="s">
        <v>17318</v>
      </c>
      <c r="CC663" s="3170" t="s">
        <v>17613</v>
      </c>
      <c r="CD663" s="3170" t="s">
        <v>17614</v>
      </c>
    </row>
    <row r="664" spans="2:82">
      <c r="B664" s="7685"/>
      <c r="C664" s="7685"/>
      <c r="D664" s="7685"/>
      <c r="E664" s="7685">
        <f>IF(H663&lt;&gt;"",E663,IF(E663="","",IFERROR(MATCH(TRUE(),INDEX(INDEX($K:$K,E663+1):$K$203&lt;&gt;"",0),0)+E663,"")))</f>
        <v>839</v>
      </c>
      <c r="F664" s="7686">
        <f t="shared" si="203"/>
        <v>0</v>
      </c>
      <c r="G664" s="7686" t="str">
        <f t="shared" si="195"/>
        <v>0</v>
      </c>
      <c r="H664" s="7687" t="str">
        <f t="shared" si="196"/>
        <v/>
      </c>
      <c r="I664" s="7685" t="str">
        <f t="shared" si="197"/>
        <v/>
      </c>
      <c r="M664" s="7622">
        <f t="shared" si="198"/>
        <v>1</v>
      </c>
      <c r="N664" s="7688">
        <f t="shared" si="199"/>
        <v>647</v>
      </c>
      <c r="O664" s="7661" t="str">
        <f t="shared" si="200"/>
        <v>0</v>
      </c>
      <c r="P664" s="7688">
        <f t="shared" si="201"/>
        <v>1</v>
      </c>
      <c r="Q664" s="7688">
        <f t="shared" si="202"/>
        <v>1</v>
      </c>
      <c r="CA664" s="3170" t="s">
        <v>966</v>
      </c>
      <c r="CB664" s="7689" t="s">
        <v>17318</v>
      </c>
      <c r="CC664" s="3170" t="s">
        <v>17615</v>
      </c>
      <c r="CD664" s="3170" t="s">
        <v>17616</v>
      </c>
    </row>
    <row r="665" spans="2:82">
      <c r="B665" s="7685"/>
      <c r="C665" s="7685"/>
      <c r="D665" s="7685"/>
      <c r="E665" s="7685">
        <f>IF(H664&lt;&gt;"",E664,IF(E664="","",IFERROR(MATCH(TRUE(),INDEX(INDEX($K:$K,E664+1):$K$203&lt;&gt;"",0),0)+E664,"")))</f>
        <v>840</v>
      </c>
      <c r="F665" s="7686">
        <f t="shared" si="203"/>
        <v>0</v>
      </c>
      <c r="G665" s="7686" t="str">
        <f t="shared" si="195"/>
        <v>0</v>
      </c>
      <c r="H665" s="7687" t="str">
        <f t="shared" si="196"/>
        <v/>
      </c>
      <c r="I665" s="7685" t="str">
        <f t="shared" si="197"/>
        <v/>
      </c>
      <c r="M665" s="7622">
        <f t="shared" si="198"/>
        <v>1</v>
      </c>
      <c r="N665" s="7688">
        <f t="shared" si="199"/>
        <v>648</v>
      </c>
      <c r="O665" s="7661" t="str">
        <f t="shared" si="200"/>
        <v>0</v>
      </c>
      <c r="P665" s="7688">
        <f t="shared" si="201"/>
        <v>1</v>
      </c>
      <c r="Q665" s="7688">
        <f t="shared" si="202"/>
        <v>1</v>
      </c>
      <c r="CA665" s="3170" t="s">
        <v>966</v>
      </c>
      <c r="CB665" s="7689" t="s">
        <v>17318</v>
      </c>
      <c r="CC665" s="3170" t="s">
        <v>17617</v>
      </c>
      <c r="CD665" s="3170" t="s">
        <v>17618</v>
      </c>
    </row>
    <row r="666" spans="2:82">
      <c r="B666" s="7685"/>
      <c r="C666" s="7685"/>
      <c r="D666" s="7685"/>
      <c r="E666" s="7685">
        <f>IF(H665&lt;&gt;"",E665,IF(E665="","",IFERROR(MATCH(TRUE(),INDEX(INDEX($K:$K,E665+1):$K$203&lt;&gt;"",0),0)+E665,"")))</f>
        <v>841</v>
      </c>
      <c r="F666" s="7686">
        <f t="shared" si="203"/>
        <v>0</v>
      </c>
      <c r="G666" s="7686" t="str">
        <f t="shared" si="195"/>
        <v>0</v>
      </c>
      <c r="H666" s="7687" t="str">
        <f t="shared" si="196"/>
        <v/>
      </c>
      <c r="I666" s="7685" t="str">
        <f t="shared" si="197"/>
        <v/>
      </c>
      <c r="M666" s="7622">
        <f t="shared" si="198"/>
        <v>1</v>
      </c>
      <c r="N666" s="7688">
        <f t="shared" si="199"/>
        <v>649</v>
      </c>
      <c r="O666" s="7661" t="str">
        <f t="shared" si="200"/>
        <v>0</v>
      </c>
      <c r="P666" s="7688">
        <f t="shared" si="201"/>
        <v>1</v>
      </c>
      <c r="Q666" s="7688">
        <f t="shared" si="202"/>
        <v>1</v>
      </c>
      <c r="CA666" s="3170" t="s">
        <v>966</v>
      </c>
      <c r="CB666" s="7689" t="s">
        <v>17318</v>
      </c>
      <c r="CC666" s="3170" t="s">
        <v>17619</v>
      </c>
      <c r="CD666" s="3170" t="s">
        <v>17620</v>
      </c>
    </row>
    <row r="667" spans="2:82">
      <c r="B667" s="7685"/>
      <c r="C667" s="7685"/>
      <c r="D667" s="7685"/>
      <c r="E667" s="7685">
        <f>IF(H666&lt;&gt;"",E666,IF(E666="","",IFERROR(MATCH(TRUE(),INDEX(INDEX($K:$K,E666+1):$K$203&lt;&gt;"",0),0)+E666,"")))</f>
        <v>842</v>
      </c>
      <c r="F667" s="7686">
        <f t="shared" si="203"/>
        <v>0</v>
      </c>
      <c r="G667" s="7686" t="str">
        <f t="shared" si="195"/>
        <v>0</v>
      </c>
      <c r="H667" s="7687" t="str">
        <f t="shared" si="196"/>
        <v/>
      </c>
      <c r="I667" s="7685" t="str">
        <f t="shared" si="197"/>
        <v/>
      </c>
      <c r="M667" s="7622">
        <f t="shared" si="198"/>
        <v>1</v>
      </c>
      <c r="N667" s="7688">
        <f t="shared" si="199"/>
        <v>650</v>
      </c>
      <c r="O667" s="7661" t="str">
        <f t="shared" si="200"/>
        <v>0</v>
      </c>
      <c r="P667" s="7688">
        <f t="shared" si="201"/>
        <v>1</v>
      </c>
      <c r="Q667" s="7688">
        <f t="shared" si="202"/>
        <v>1</v>
      </c>
      <c r="CA667" s="3170" t="s">
        <v>966</v>
      </c>
      <c r="CB667" s="7689" t="s">
        <v>17318</v>
      </c>
      <c r="CC667" s="3170" t="s">
        <v>17621</v>
      </c>
      <c r="CD667" s="3170" t="s">
        <v>17622</v>
      </c>
    </row>
    <row r="668" spans="2:82">
      <c r="B668" s="7685"/>
      <c r="C668" s="7685"/>
      <c r="D668" s="7685"/>
      <c r="E668" s="7685">
        <f>IF(H667&lt;&gt;"",E667,IF(E667="","",IFERROR(MATCH(TRUE(),INDEX(INDEX($K:$K,E667+1):$K$203&lt;&gt;"",0),0)+E667,"")))</f>
        <v>843</v>
      </c>
      <c r="F668" s="7686">
        <f t="shared" si="203"/>
        <v>0</v>
      </c>
      <c r="G668" s="7686" t="str">
        <f t="shared" si="195"/>
        <v>0</v>
      </c>
      <c r="H668" s="7687" t="str">
        <f t="shared" si="196"/>
        <v/>
      </c>
      <c r="I668" s="7685" t="str">
        <f t="shared" si="197"/>
        <v/>
      </c>
      <c r="M668" s="7622">
        <f t="shared" si="198"/>
        <v>1</v>
      </c>
      <c r="N668" s="7688">
        <f t="shared" si="199"/>
        <v>651</v>
      </c>
      <c r="O668" s="7661" t="str">
        <f t="shared" si="200"/>
        <v>0</v>
      </c>
      <c r="P668" s="7688">
        <f t="shared" si="201"/>
        <v>1</v>
      </c>
      <c r="Q668" s="7688">
        <f t="shared" si="202"/>
        <v>1</v>
      </c>
      <c r="CA668" s="3170" t="s">
        <v>966</v>
      </c>
      <c r="CB668" s="7689" t="s">
        <v>17318</v>
      </c>
      <c r="CC668" s="3170" t="s">
        <v>17267</v>
      </c>
      <c r="CD668" s="3170" t="s">
        <v>17623</v>
      </c>
    </row>
    <row r="669" spans="2:82">
      <c r="B669" s="7685"/>
      <c r="C669" s="7685"/>
      <c r="D669" s="7685"/>
      <c r="E669" s="7685">
        <f>IF(H668&lt;&gt;"",E668,IF(E668="","",IFERROR(MATCH(TRUE(),INDEX(INDEX($K:$K,E668+1):$K$203&lt;&gt;"",0),0)+E668,"")))</f>
        <v>844</v>
      </c>
      <c r="F669" s="7686">
        <f t="shared" si="203"/>
        <v>0</v>
      </c>
      <c r="G669" s="7686" t="str">
        <f t="shared" si="195"/>
        <v>0</v>
      </c>
      <c r="H669" s="7687" t="str">
        <f t="shared" si="196"/>
        <v/>
      </c>
      <c r="I669" s="7685" t="str">
        <f t="shared" si="197"/>
        <v/>
      </c>
      <c r="M669" s="7622">
        <f t="shared" si="198"/>
        <v>1</v>
      </c>
      <c r="N669" s="7688">
        <f t="shared" si="199"/>
        <v>652</v>
      </c>
      <c r="O669" s="7661" t="str">
        <f t="shared" si="200"/>
        <v>0</v>
      </c>
      <c r="P669" s="7688">
        <f t="shared" si="201"/>
        <v>1</v>
      </c>
      <c r="Q669" s="7688">
        <f t="shared" si="202"/>
        <v>1</v>
      </c>
      <c r="CA669" s="3170" t="s">
        <v>966</v>
      </c>
      <c r="CB669" s="7689" t="s">
        <v>17318</v>
      </c>
      <c r="CC669" s="3170" t="s">
        <v>17624</v>
      </c>
      <c r="CD669" s="3170" t="s">
        <v>17625</v>
      </c>
    </row>
    <row r="670" spans="2:82">
      <c r="B670" s="7685"/>
      <c r="C670" s="7685"/>
      <c r="D670" s="7685"/>
      <c r="E670" s="7685">
        <f>IF(H669&lt;&gt;"",E669,IF(E669="","",IFERROR(MATCH(TRUE(),INDEX(INDEX($K:$K,E669+1):$K$203&lt;&gt;"",0),0)+E669,"")))</f>
        <v>845</v>
      </c>
      <c r="F670" s="7686">
        <f t="shared" si="203"/>
        <v>0</v>
      </c>
      <c r="G670" s="7686" t="str">
        <f t="shared" si="195"/>
        <v>0</v>
      </c>
      <c r="H670" s="7687" t="str">
        <f t="shared" si="196"/>
        <v/>
      </c>
      <c r="I670" s="7685" t="str">
        <f t="shared" si="197"/>
        <v/>
      </c>
      <c r="M670" s="7622">
        <f t="shared" si="198"/>
        <v>1</v>
      </c>
      <c r="N670" s="7688">
        <f t="shared" si="199"/>
        <v>653</v>
      </c>
      <c r="O670" s="7661" t="str">
        <f t="shared" si="200"/>
        <v>0</v>
      </c>
      <c r="P670" s="7688">
        <f t="shared" si="201"/>
        <v>1</v>
      </c>
      <c r="Q670" s="7688">
        <f t="shared" si="202"/>
        <v>1</v>
      </c>
      <c r="CA670" s="3170" t="s">
        <v>966</v>
      </c>
      <c r="CB670" s="7689" t="s">
        <v>17318</v>
      </c>
      <c r="CC670" s="3170" t="s">
        <v>17626</v>
      </c>
      <c r="CD670" s="3170" t="s">
        <v>17627</v>
      </c>
    </row>
    <row r="671" spans="2:82">
      <c r="B671" s="7685"/>
      <c r="C671" s="7685"/>
      <c r="D671" s="7685"/>
      <c r="E671" s="7685">
        <f>IF(H670&lt;&gt;"",E670,IF(E670="","",IFERROR(MATCH(TRUE(),INDEX(INDEX($K:$K,E670+1):$K$203&lt;&gt;"",0),0)+E670,"")))</f>
        <v>846</v>
      </c>
      <c r="F671" s="7686">
        <f t="shared" si="203"/>
        <v>0</v>
      </c>
      <c r="G671" s="7686" t="str">
        <f t="shared" si="195"/>
        <v>0</v>
      </c>
      <c r="H671" s="7687" t="str">
        <f t="shared" si="196"/>
        <v/>
      </c>
      <c r="I671" s="7685" t="str">
        <f t="shared" si="197"/>
        <v/>
      </c>
      <c r="M671" s="7622">
        <f t="shared" si="198"/>
        <v>1</v>
      </c>
      <c r="N671" s="7688">
        <f t="shared" si="199"/>
        <v>654</v>
      </c>
      <c r="O671" s="7661" t="str">
        <f t="shared" si="200"/>
        <v>0</v>
      </c>
      <c r="P671" s="7688">
        <f t="shared" si="201"/>
        <v>1</v>
      </c>
      <c r="Q671" s="7688">
        <f t="shared" si="202"/>
        <v>1</v>
      </c>
      <c r="CA671" s="3170" t="s">
        <v>16913</v>
      </c>
      <c r="CB671" s="7689" t="s">
        <v>17318</v>
      </c>
      <c r="CC671" s="3170" t="s">
        <v>17628</v>
      </c>
      <c r="CD671" s="3170" t="s">
        <v>17629</v>
      </c>
    </row>
    <row r="672" spans="2:82">
      <c r="B672" s="7685"/>
      <c r="C672" s="7685"/>
      <c r="D672" s="7685"/>
      <c r="E672" s="7685">
        <f>IF(H671&lt;&gt;"",E671,IF(E671="","",IFERROR(MATCH(TRUE(),INDEX(INDEX($K:$K,E671+1):$K$203&lt;&gt;"",0),0)+E671,"")))</f>
        <v>847</v>
      </c>
      <c r="F672" s="7686">
        <f t="shared" si="203"/>
        <v>0</v>
      </c>
      <c r="G672" s="7686" t="str">
        <f t="shared" si="195"/>
        <v>0</v>
      </c>
      <c r="H672" s="7687" t="str">
        <f t="shared" si="196"/>
        <v/>
      </c>
      <c r="I672" s="7685" t="str">
        <f t="shared" si="197"/>
        <v/>
      </c>
      <c r="M672" s="7622">
        <f t="shared" si="198"/>
        <v>1</v>
      </c>
      <c r="N672" s="7688">
        <f t="shared" si="199"/>
        <v>655</v>
      </c>
      <c r="O672" s="7661" t="str">
        <f t="shared" si="200"/>
        <v>0</v>
      </c>
      <c r="P672" s="7688">
        <f t="shared" si="201"/>
        <v>1</v>
      </c>
      <c r="Q672" s="7688">
        <f t="shared" si="202"/>
        <v>1</v>
      </c>
      <c r="CA672" s="3170" t="s">
        <v>16913</v>
      </c>
      <c r="CB672" s="7689" t="s">
        <v>17318</v>
      </c>
      <c r="CC672" s="3170" t="s">
        <v>17630</v>
      </c>
      <c r="CD672" s="3170" t="s">
        <v>17631</v>
      </c>
    </row>
    <row r="673" spans="2:82">
      <c r="B673" s="7685"/>
      <c r="C673" s="7685"/>
      <c r="D673" s="7685"/>
      <c r="E673" s="7685">
        <f>IF(H672&lt;&gt;"",E672,IF(E672="","",IFERROR(MATCH(TRUE(),INDEX(INDEX($K:$K,E672+1):$K$203&lt;&gt;"",0),0)+E672,"")))</f>
        <v>848</v>
      </c>
      <c r="F673" s="7686">
        <f t="shared" si="203"/>
        <v>0</v>
      </c>
      <c r="G673" s="7686" t="str">
        <f t="shared" si="195"/>
        <v>0</v>
      </c>
      <c r="H673" s="7687" t="str">
        <f t="shared" si="196"/>
        <v/>
      </c>
      <c r="I673" s="7685" t="str">
        <f t="shared" si="197"/>
        <v/>
      </c>
      <c r="M673" s="7622">
        <f t="shared" si="198"/>
        <v>1</v>
      </c>
      <c r="N673" s="7688">
        <f t="shared" si="199"/>
        <v>656</v>
      </c>
      <c r="O673" s="7661" t="str">
        <f t="shared" si="200"/>
        <v>0</v>
      </c>
      <c r="P673" s="7688">
        <f t="shared" si="201"/>
        <v>1</v>
      </c>
      <c r="Q673" s="7688">
        <f t="shared" si="202"/>
        <v>1</v>
      </c>
      <c r="CA673" s="3170" t="s">
        <v>16913</v>
      </c>
      <c r="CB673" s="7689" t="s">
        <v>17318</v>
      </c>
      <c r="CC673" s="3170" t="s">
        <v>17632</v>
      </c>
      <c r="CD673" s="3170" t="s">
        <v>17633</v>
      </c>
    </row>
    <row r="674" spans="2:82">
      <c r="B674" s="7685"/>
      <c r="C674" s="7685"/>
      <c r="D674" s="7685"/>
      <c r="E674" s="7685">
        <f>IF(H673&lt;&gt;"",E673,IF(E673="","",IFERROR(MATCH(TRUE(),INDEX(INDEX($K:$K,E673+1):$K$203&lt;&gt;"",0),0)+E673,"")))</f>
        <v>849</v>
      </c>
      <c r="F674" s="7686">
        <f t="shared" si="203"/>
        <v>0</v>
      </c>
      <c r="G674" s="7686" t="str">
        <f t="shared" si="195"/>
        <v>0</v>
      </c>
      <c r="H674" s="7687" t="str">
        <f t="shared" si="196"/>
        <v/>
      </c>
      <c r="I674" s="7685" t="str">
        <f t="shared" si="197"/>
        <v/>
      </c>
      <c r="M674" s="7622">
        <f t="shared" si="198"/>
        <v>1</v>
      </c>
      <c r="N674" s="7688">
        <f t="shared" si="199"/>
        <v>657</v>
      </c>
      <c r="O674" s="7661" t="str">
        <f t="shared" si="200"/>
        <v>0</v>
      </c>
      <c r="P674" s="7688">
        <f t="shared" si="201"/>
        <v>1</v>
      </c>
      <c r="Q674" s="7688">
        <f t="shared" si="202"/>
        <v>1</v>
      </c>
      <c r="CA674" s="3170" t="s">
        <v>16913</v>
      </c>
      <c r="CB674" s="7689" t="s">
        <v>17318</v>
      </c>
      <c r="CC674" s="3170" t="s">
        <v>17634</v>
      </c>
      <c r="CD674" s="3170" t="s">
        <v>17635</v>
      </c>
    </row>
    <row r="675" spans="2:82">
      <c r="B675" s="7685"/>
      <c r="C675" s="7685"/>
      <c r="D675" s="7685"/>
      <c r="E675" s="7685">
        <f>IF(H674&lt;&gt;"",E674,IF(E674="","",IFERROR(MATCH(TRUE(),INDEX(INDEX($K:$K,E674+1):$K$203&lt;&gt;"",0),0)+E674,"")))</f>
        <v>850</v>
      </c>
      <c r="F675" s="7686">
        <f t="shared" si="203"/>
        <v>0</v>
      </c>
      <c r="G675" s="7686" t="str">
        <f t="shared" si="195"/>
        <v>0</v>
      </c>
      <c r="H675" s="7687" t="str">
        <f t="shared" si="196"/>
        <v/>
      </c>
      <c r="I675" s="7685" t="str">
        <f t="shared" si="197"/>
        <v/>
      </c>
      <c r="M675" s="7622">
        <f t="shared" si="198"/>
        <v>1</v>
      </c>
      <c r="N675" s="7688">
        <f t="shared" si="199"/>
        <v>658</v>
      </c>
      <c r="O675" s="7661" t="str">
        <f t="shared" si="200"/>
        <v>0</v>
      </c>
      <c r="P675" s="7688">
        <f t="shared" si="201"/>
        <v>1</v>
      </c>
      <c r="Q675" s="7688">
        <f t="shared" si="202"/>
        <v>1</v>
      </c>
      <c r="CA675" s="3170" t="s">
        <v>16913</v>
      </c>
      <c r="CB675" s="7689" t="s">
        <v>17318</v>
      </c>
      <c r="CC675" s="3170" t="s">
        <v>17636</v>
      </c>
      <c r="CD675" s="3170" t="s">
        <v>17637</v>
      </c>
    </row>
    <row r="676" spans="2:82">
      <c r="B676" s="7685"/>
      <c r="C676" s="7685"/>
      <c r="D676" s="7685"/>
      <c r="E676" s="7685">
        <f>IF(H675&lt;&gt;"",E675,IF(E675="","",IFERROR(MATCH(TRUE(),INDEX(INDEX($K:$K,E675+1):$K$203&lt;&gt;"",0),0)+E675,"")))</f>
        <v>851</v>
      </c>
      <c r="F676" s="7686">
        <f t="shared" si="203"/>
        <v>0</v>
      </c>
      <c r="G676" s="7686" t="str">
        <f t="shared" si="195"/>
        <v>0</v>
      </c>
      <c r="H676" s="7687" t="str">
        <f t="shared" si="196"/>
        <v/>
      </c>
      <c r="I676" s="7685" t="str">
        <f t="shared" si="197"/>
        <v/>
      </c>
      <c r="M676" s="7622">
        <f t="shared" si="198"/>
        <v>1</v>
      </c>
      <c r="N676" s="7688">
        <f t="shared" si="199"/>
        <v>659</v>
      </c>
      <c r="O676" s="7661" t="str">
        <f t="shared" si="200"/>
        <v>0</v>
      </c>
      <c r="P676" s="7688">
        <f t="shared" si="201"/>
        <v>1</v>
      </c>
      <c r="Q676" s="7688">
        <f t="shared" si="202"/>
        <v>1</v>
      </c>
      <c r="CA676" s="3170" t="s">
        <v>16913</v>
      </c>
      <c r="CB676" s="7689" t="s">
        <v>17318</v>
      </c>
      <c r="CC676" s="3170" t="s">
        <v>17638</v>
      </c>
      <c r="CD676" s="3170" t="s">
        <v>17639</v>
      </c>
    </row>
    <row r="677" spans="2:82">
      <c r="B677" s="7685"/>
      <c r="C677" s="7685"/>
      <c r="D677" s="7685"/>
      <c r="E677" s="7685">
        <f>IF(H676&lt;&gt;"",E676,IF(E676="","",IFERROR(MATCH(TRUE(),INDEX(INDEX($K:$K,E676+1):$K$203&lt;&gt;"",0),0)+E676,"")))</f>
        <v>852</v>
      </c>
      <c r="F677" s="7686">
        <f t="shared" si="203"/>
        <v>0</v>
      </c>
      <c r="G677" s="7686" t="str">
        <f t="shared" si="195"/>
        <v>0</v>
      </c>
      <c r="H677" s="7687" t="str">
        <f t="shared" si="196"/>
        <v/>
      </c>
      <c r="I677" s="7685" t="str">
        <f t="shared" si="197"/>
        <v/>
      </c>
      <c r="M677" s="7622">
        <f t="shared" si="198"/>
        <v>1</v>
      </c>
      <c r="N677" s="7688">
        <f t="shared" si="199"/>
        <v>660</v>
      </c>
      <c r="O677" s="7661" t="str">
        <f t="shared" si="200"/>
        <v>0</v>
      </c>
      <c r="P677" s="7688">
        <f t="shared" si="201"/>
        <v>1</v>
      </c>
      <c r="Q677" s="7688">
        <f t="shared" si="202"/>
        <v>1</v>
      </c>
      <c r="CA677" s="3170" t="s">
        <v>16913</v>
      </c>
      <c r="CB677" s="7689" t="s">
        <v>17318</v>
      </c>
      <c r="CC677" s="3170" t="s">
        <v>17640</v>
      </c>
      <c r="CD677" s="3170" t="s">
        <v>17641</v>
      </c>
    </row>
    <row r="678" spans="2:82">
      <c r="B678" s="7685"/>
      <c r="C678" s="7685"/>
      <c r="D678" s="7685"/>
      <c r="E678" s="7685">
        <f>IF(H677&lt;&gt;"",E677,IF(E677="","",IFERROR(MATCH(TRUE(),INDEX(INDEX($K:$K,E677+1):$K$203&lt;&gt;"",0),0)+E677,"")))</f>
        <v>853</v>
      </c>
      <c r="F678" s="7686">
        <f t="shared" si="203"/>
        <v>0</v>
      </c>
      <c r="G678" s="7686" t="str">
        <f t="shared" si="195"/>
        <v>0</v>
      </c>
      <c r="H678" s="7687" t="str">
        <f t="shared" si="196"/>
        <v/>
      </c>
      <c r="I678" s="7685" t="str">
        <f t="shared" si="197"/>
        <v/>
      </c>
      <c r="M678" s="7622">
        <f t="shared" si="198"/>
        <v>1</v>
      </c>
      <c r="N678" s="7688">
        <f t="shared" si="199"/>
        <v>661</v>
      </c>
      <c r="O678" s="7661" t="str">
        <f t="shared" si="200"/>
        <v>0</v>
      </c>
      <c r="P678" s="7688">
        <f t="shared" si="201"/>
        <v>1</v>
      </c>
      <c r="Q678" s="7688">
        <f t="shared" si="202"/>
        <v>1</v>
      </c>
      <c r="CA678" s="3170" t="s">
        <v>16913</v>
      </c>
      <c r="CB678" s="7689" t="s">
        <v>17318</v>
      </c>
      <c r="CC678" s="3170" t="s">
        <v>17642</v>
      </c>
      <c r="CD678" s="3170" t="s">
        <v>17643</v>
      </c>
    </row>
    <row r="679" spans="2:82">
      <c r="B679" s="7685"/>
      <c r="C679" s="7685"/>
      <c r="D679" s="7685"/>
      <c r="E679" s="7685">
        <f>IF(H678&lt;&gt;"",E678,IF(E678="","",IFERROR(MATCH(TRUE(),INDEX(INDEX($K:$K,E678+1):$K$203&lt;&gt;"",0),0)+E678,"")))</f>
        <v>854</v>
      </c>
      <c r="F679" s="7686">
        <f t="shared" si="203"/>
        <v>0</v>
      </c>
      <c r="G679" s="7686" t="str">
        <f t="shared" si="195"/>
        <v>0</v>
      </c>
      <c r="H679" s="7687" t="str">
        <f t="shared" si="196"/>
        <v/>
      </c>
      <c r="I679" s="7685" t="str">
        <f t="shared" si="197"/>
        <v/>
      </c>
      <c r="M679" s="7622">
        <f t="shared" si="198"/>
        <v>1</v>
      </c>
      <c r="N679" s="7688">
        <f t="shared" si="199"/>
        <v>662</v>
      </c>
      <c r="O679" s="7661" t="str">
        <f t="shared" si="200"/>
        <v>0</v>
      </c>
      <c r="P679" s="7688">
        <f t="shared" si="201"/>
        <v>1</v>
      </c>
      <c r="Q679" s="7688">
        <f t="shared" si="202"/>
        <v>1</v>
      </c>
      <c r="CA679" s="3170" t="s">
        <v>16913</v>
      </c>
      <c r="CB679" s="7689" t="s">
        <v>17318</v>
      </c>
      <c r="CC679" s="3170" t="s">
        <v>17644</v>
      </c>
      <c r="CD679" s="3170" t="s">
        <v>17645</v>
      </c>
    </row>
    <row r="680" spans="2:82">
      <c r="B680" s="7685"/>
      <c r="C680" s="7685"/>
      <c r="D680" s="7685"/>
      <c r="E680" s="7685">
        <f>IF(H679&lt;&gt;"",E679,IF(E679="","",IFERROR(MATCH(TRUE(),INDEX(INDEX($K:$K,E679+1):$K$203&lt;&gt;"",0),0)+E679,"")))</f>
        <v>855</v>
      </c>
      <c r="F680" s="7686">
        <f t="shared" si="203"/>
        <v>0</v>
      </c>
      <c r="G680" s="7686" t="str">
        <f t="shared" si="195"/>
        <v>0</v>
      </c>
      <c r="H680" s="7687" t="str">
        <f t="shared" si="196"/>
        <v/>
      </c>
      <c r="I680" s="7685" t="str">
        <f t="shared" si="197"/>
        <v/>
      </c>
      <c r="M680" s="7622">
        <f t="shared" si="198"/>
        <v>1</v>
      </c>
      <c r="N680" s="7688">
        <f t="shared" si="199"/>
        <v>663</v>
      </c>
      <c r="O680" s="7661" t="str">
        <f t="shared" si="200"/>
        <v>0</v>
      </c>
      <c r="P680" s="7688">
        <f t="shared" si="201"/>
        <v>1</v>
      </c>
      <c r="Q680" s="7688">
        <f t="shared" si="202"/>
        <v>1</v>
      </c>
      <c r="CA680" s="3170" t="s">
        <v>16913</v>
      </c>
      <c r="CB680" s="7689" t="s">
        <v>17318</v>
      </c>
      <c r="CC680" s="3170" t="s">
        <v>17646</v>
      </c>
      <c r="CD680" s="3170" t="s">
        <v>17647</v>
      </c>
    </row>
    <row r="681" spans="2:82">
      <c r="B681" s="7685"/>
      <c r="C681" s="7685"/>
      <c r="D681" s="7685"/>
      <c r="E681" s="7685">
        <f>IF(H680&lt;&gt;"",E680,IF(E680="","",IFERROR(MATCH(TRUE(),INDEX(INDEX($K:$K,E680+1):$K$203&lt;&gt;"",0),0)+E680,"")))</f>
        <v>856</v>
      </c>
      <c r="F681" s="7686">
        <f t="shared" si="203"/>
        <v>0</v>
      </c>
      <c r="G681" s="7686" t="str">
        <f t="shared" si="195"/>
        <v>0</v>
      </c>
      <c r="H681" s="7687" t="str">
        <f t="shared" si="196"/>
        <v/>
      </c>
      <c r="I681" s="7685" t="str">
        <f t="shared" si="197"/>
        <v/>
      </c>
      <c r="M681" s="7622">
        <f t="shared" si="198"/>
        <v>1</v>
      </c>
      <c r="N681" s="7688">
        <f t="shared" si="199"/>
        <v>664</v>
      </c>
      <c r="O681" s="7661" t="str">
        <f t="shared" si="200"/>
        <v>0</v>
      </c>
      <c r="P681" s="7688">
        <f t="shared" si="201"/>
        <v>1</v>
      </c>
      <c r="Q681" s="7688">
        <f t="shared" si="202"/>
        <v>1</v>
      </c>
      <c r="CA681" s="3170" t="s">
        <v>16913</v>
      </c>
      <c r="CB681" s="7689" t="s">
        <v>17318</v>
      </c>
      <c r="CC681" s="3170" t="s">
        <v>17648</v>
      </c>
      <c r="CD681" s="3170" t="s">
        <v>17649</v>
      </c>
    </row>
    <row r="682" spans="2:82">
      <c r="B682" s="7685"/>
      <c r="C682" s="7685"/>
      <c r="D682" s="7685"/>
      <c r="E682" s="7685">
        <f>IF(H681&lt;&gt;"",E681,IF(E681="","",IFERROR(MATCH(TRUE(),INDEX(INDEX($K:$K,E681+1):$K$203&lt;&gt;"",0),0)+E681,"")))</f>
        <v>857</v>
      </c>
      <c r="F682" s="7686">
        <f t="shared" si="203"/>
        <v>0</v>
      </c>
      <c r="G682" s="7686" t="str">
        <f t="shared" si="195"/>
        <v>0</v>
      </c>
      <c r="H682" s="7687" t="str">
        <f t="shared" si="196"/>
        <v/>
      </c>
      <c r="I682" s="7685" t="str">
        <f t="shared" si="197"/>
        <v/>
      </c>
      <c r="M682" s="7622">
        <f t="shared" si="198"/>
        <v>1</v>
      </c>
      <c r="N682" s="7688">
        <f t="shared" si="199"/>
        <v>665</v>
      </c>
      <c r="O682" s="7661" t="str">
        <f t="shared" si="200"/>
        <v>0</v>
      </c>
      <c r="P682" s="7688">
        <f t="shared" si="201"/>
        <v>1</v>
      </c>
      <c r="Q682" s="7688">
        <f t="shared" si="202"/>
        <v>1</v>
      </c>
      <c r="CA682" s="3170" t="s">
        <v>16913</v>
      </c>
      <c r="CB682" s="7689" t="s">
        <v>17318</v>
      </c>
      <c r="CC682" s="3170" t="s">
        <v>17650</v>
      </c>
      <c r="CD682" s="3170" t="s">
        <v>17651</v>
      </c>
    </row>
    <row r="683" spans="2:82">
      <c r="B683" s="7685"/>
      <c r="C683" s="7685"/>
      <c r="D683" s="7685"/>
      <c r="E683" s="7685">
        <f>IF(H682&lt;&gt;"",E682,IF(E682="","",IFERROR(MATCH(TRUE(),INDEX(INDEX($K:$K,E682+1):$K$203&lt;&gt;"",0),0)+E682,"")))</f>
        <v>858</v>
      </c>
      <c r="F683" s="7686">
        <f t="shared" si="203"/>
        <v>0</v>
      </c>
      <c r="G683" s="7686" t="str">
        <f t="shared" si="195"/>
        <v>0</v>
      </c>
      <c r="H683" s="7687" t="str">
        <f t="shared" si="196"/>
        <v/>
      </c>
      <c r="I683" s="7685" t="str">
        <f t="shared" si="197"/>
        <v/>
      </c>
      <c r="M683" s="7622">
        <f t="shared" si="198"/>
        <v>1</v>
      </c>
      <c r="N683" s="7688">
        <f t="shared" si="199"/>
        <v>666</v>
      </c>
      <c r="O683" s="7661" t="str">
        <f t="shared" si="200"/>
        <v>0</v>
      </c>
      <c r="P683" s="7688">
        <f t="shared" si="201"/>
        <v>1</v>
      </c>
      <c r="Q683" s="7688">
        <f t="shared" si="202"/>
        <v>1</v>
      </c>
      <c r="CA683" s="3170" t="s">
        <v>16913</v>
      </c>
      <c r="CB683" s="7689" t="s">
        <v>17318</v>
      </c>
      <c r="CC683" s="3170" t="s">
        <v>17652</v>
      </c>
      <c r="CD683" s="3170" t="s">
        <v>17653</v>
      </c>
    </row>
    <row r="684" spans="2:82">
      <c r="B684" s="7685"/>
      <c r="C684" s="7685"/>
      <c r="D684" s="7685"/>
      <c r="E684" s="7685">
        <f>IF(H683&lt;&gt;"",E683,IF(E683="","",IFERROR(MATCH(TRUE(),INDEX(INDEX($K:$K,E683+1):$K$203&lt;&gt;"",0),0)+E683,"")))</f>
        <v>859</v>
      </c>
      <c r="F684" s="7686">
        <f t="shared" si="203"/>
        <v>0</v>
      </c>
      <c r="G684" s="7686" t="str">
        <f t="shared" si="195"/>
        <v>0</v>
      </c>
      <c r="H684" s="7687" t="str">
        <f t="shared" si="196"/>
        <v/>
      </c>
      <c r="I684" s="7685" t="str">
        <f t="shared" si="197"/>
        <v/>
      </c>
      <c r="M684" s="7622">
        <f t="shared" si="198"/>
        <v>1</v>
      </c>
      <c r="N684" s="7688">
        <f t="shared" si="199"/>
        <v>667</v>
      </c>
      <c r="O684" s="7661" t="str">
        <f t="shared" si="200"/>
        <v>0</v>
      </c>
      <c r="P684" s="7688">
        <f t="shared" si="201"/>
        <v>1</v>
      </c>
      <c r="Q684" s="7688">
        <f t="shared" si="202"/>
        <v>1</v>
      </c>
      <c r="CA684" s="3170" t="s">
        <v>16913</v>
      </c>
      <c r="CB684" s="7689" t="s">
        <v>17318</v>
      </c>
      <c r="CC684" s="3170" t="s">
        <v>17654</v>
      </c>
      <c r="CD684" s="3170" t="s">
        <v>17655</v>
      </c>
    </row>
    <row r="685" spans="2:82">
      <c r="B685" s="7685"/>
      <c r="C685" s="7685"/>
      <c r="D685" s="7685"/>
      <c r="E685" s="7685">
        <f>IF(H684&lt;&gt;"",E684,IF(E684="","",IFERROR(MATCH(TRUE(),INDEX(INDEX($K:$K,E684+1):$K$203&lt;&gt;"",0),0)+E684,"")))</f>
        <v>860</v>
      </c>
      <c r="F685" s="7686">
        <f t="shared" si="203"/>
        <v>0</v>
      </c>
      <c r="G685" s="7686" t="str">
        <f t="shared" si="195"/>
        <v>0</v>
      </c>
      <c r="H685" s="7687" t="str">
        <f t="shared" si="196"/>
        <v/>
      </c>
      <c r="I685" s="7685" t="str">
        <f t="shared" si="197"/>
        <v/>
      </c>
      <c r="M685" s="7622">
        <f t="shared" si="198"/>
        <v>1</v>
      </c>
      <c r="N685" s="7688">
        <f t="shared" si="199"/>
        <v>668</v>
      </c>
      <c r="O685" s="7661" t="str">
        <f t="shared" si="200"/>
        <v>0</v>
      </c>
      <c r="P685" s="7688">
        <f t="shared" si="201"/>
        <v>1</v>
      </c>
      <c r="Q685" s="7688">
        <f t="shared" si="202"/>
        <v>1</v>
      </c>
      <c r="CA685" s="3170" t="s">
        <v>16913</v>
      </c>
      <c r="CB685" s="7689" t="s">
        <v>17318</v>
      </c>
      <c r="CC685" s="3170" t="s">
        <v>17656</v>
      </c>
      <c r="CD685" s="3170" t="s">
        <v>17657</v>
      </c>
    </row>
    <row r="686" spans="2:82">
      <c r="B686" s="7685"/>
      <c r="C686" s="7685"/>
      <c r="D686" s="7685"/>
      <c r="E686" s="7685">
        <f>IF(H685&lt;&gt;"",E685,IF(E685="","",IFERROR(MATCH(TRUE(),INDEX(INDEX($K:$K,E685+1):$K$203&lt;&gt;"",0),0)+E685,"")))</f>
        <v>861</v>
      </c>
      <c r="F686" s="7686">
        <f t="shared" si="203"/>
        <v>0</v>
      </c>
      <c r="G686" s="7686" t="str">
        <f t="shared" si="195"/>
        <v>0</v>
      </c>
      <c r="H686" s="7687" t="str">
        <f t="shared" si="196"/>
        <v/>
      </c>
      <c r="I686" s="7685" t="str">
        <f t="shared" si="197"/>
        <v/>
      </c>
      <c r="M686" s="7622">
        <f t="shared" si="198"/>
        <v>1</v>
      </c>
      <c r="N686" s="7688">
        <f t="shared" si="199"/>
        <v>669</v>
      </c>
      <c r="O686" s="7661" t="str">
        <f t="shared" si="200"/>
        <v>0</v>
      </c>
      <c r="P686" s="7688">
        <f t="shared" si="201"/>
        <v>1</v>
      </c>
      <c r="Q686" s="7688">
        <f t="shared" si="202"/>
        <v>1</v>
      </c>
      <c r="CA686" s="3170" t="s">
        <v>16913</v>
      </c>
      <c r="CB686" s="7689" t="s">
        <v>17318</v>
      </c>
      <c r="CC686" s="3170" t="s">
        <v>17658</v>
      </c>
      <c r="CD686" s="3170" t="s">
        <v>17659</v>
      </c>
    </row>
    <row r="687" spans="2:82">
      <c r="B687" s="7685"/>
      <c r="C687" s="7685"/>
      <c r="D687" s="7685"/>
      <c r="E687" s="7685">
        <f>IF(H686&lt;&gt;"",E686,IF(E686="","",IFERROR(MATCH(TRUE(),INDEX(INDEX($K:$K,E686+1):$K$203&lt;&gt;"",0),0)+E686,"")))</f>
        <v>862</v>
      </c>
      <c r="F687" s="7686">
        <f t="shared" si="203"/>
        <v>0</v>
      </c>
      <c r="G687" s="7686" t="str">
        <f t="shared" si="195"/>
        <v>0</v>
      </c>
      <c r="H687" s="7687" t="str">
        <f t="shared" si="196"/>
        <v/>
      </c>
      <c r="I687" s="7685" t="str">
        <f t="shared" si="197"/>
        <v/>
      </c>
      <c r="M687" s="7622">
        <f t="shared" si="198"/>
        <v>1</v>
      </c>
      <c r="N687" s="7688">
        <f t="shared" si="199"/>
        <v>670</v>
      </c>
      <c r="O687" s="7661" t="str">
        <f t="shared" si="200"/>
        <v>0</v>
      </c>
      <c r="P687" s="7688">
        <f t="shared" si="201"/>
        <v>1</v>
      </c>
      <c r="Q687" s="7688">
        <f t="shared" si="202"/>
        <v>1</v>
      </c>
      <c r="CA687" s="3170" t="s">
        <v>16913</v>
      </c>
      <c r="CB687" s="7689" t="s">
        <v>17318</v>
      </c>
      <c r="CC687" s="3170" t="s">
        <v>17660</v>
      </c>
      <c r="CD687" s="3170" t="s">
        <v>17661</v>
      </c>
    </row>
    <row r="688" spans="2:82">
      <c r="B688" s="7685"/>
      <c r="C688" s="7685"/>
      <c r="D688" s="7685"/>
      <c r="E688" s="7685">
        <f>IF(H687&lt;&gt;"",E687,IF(E687="","",IFERROR(MATCH(TRUE(),INDEX(INDEX($K:$K,E687+1):$K$203&lt;&gt;"",0),0)+E687,"")))</f>
        <v>863</v>
      </c>
      <c r="F688" s="7686">
        <f t="shared" si="203"/>
        <v>0</v>
      </c>
      <c r="G688" s="7686" t="str">
        <f t="shared" si="195"/>
        <v>0</v>
      </c>
      <c r="H688" s="7687" t="str">
        <f t="shared" si="196"/>
        <v/>
      </c>
      <c r="I688" s="7685" t="str">
        <f t="shared" si="197"/>
        <v/>
      </c>
      <c r="M688" s="7622">
        <f t="shared" si="198"/>
        <v>1</v>
      </c>
      <c r="N688" s="7688">
        <f t="shared" si="199"/>
        <v>671</v>
      </c>
      <c r="O688" s="7661" t="str">
        <f t="shared" si="200"/>
        <v>0</v>
      </c>
      <c r="P688" s="7688">
        <f t="shared" si="201"/>
        <v>1</v>
      </c>
      <c r="Q688" s="7688">
        <f t="shared" si="202"/>
        <v>1</v>
      </c>
      <c r="CA688" s="3170" t="s">
        <v>16913</v>
      </c>
      <c r="CB688" s="7689" t="s">
        <v>17318</v>
      </c>
      <c r="CC688" s="3170" t="s">
        <v>17662</v>
      </c>
      <c r="CD688" s="3170" t="s">
        <v>17663</v>
      </c>
    </row>
    <row r="689" spans="2:82">
      <c r="B689" s="7685"/>
      <c r="C689" s="7685"/>
      <c r="D689" s="7685"/>
      <c r="E689" s="7685">
        <f>IF(H688&lt;&gt;"",E688,IF(E688="","",IFERROR(MATCH(TRUE(),INDEX(INDEX($K:$K,E688+1):$K$203&lt;&gt;"",0),0)+E688,"")))</f>
        <v>864</v>
      </c>
      <c r="F689" s="7686">
        <f t="shared" si="203"/>
        <v>0</v>
      </c>
      <c r="G689" s="7686" t="str">
        <f t="shared" si="195"/>
        <v>0</v>
      </c>
      <c r="H689" s="7687" t="str">
        <f t="shared" si="196"/>
        <v/>
      </c>
      <c r="I689" s="7685" t="str">
        <f t="shared" si="197"/>
        <v/>
      </c>
      <c r="M689" s="7622">
        <f t="shared" si="198"/>
        <v>1</v>
      </c>
      <c r="N689" s="7688">
        <f t="shared" si="199"/>
        <v>672</v>
      </c>
      <c r="O689" s="7661" t="str">
        <f t="shared" si="200"/>
        <v>0</v>
      </c>
      <c r="P689" s="7688">
        <f t="shared" si="201"/>
        <v>1</v>
      </c>
      <c r="Q689" s="7688">
        <f t="shared" si="202"/>
        <v>1</v>
      </c>
      <c r="CA689" s="3170" t="s">
        <v>16913</v>
      </c>
      <c r="CB689" s="7689" t="s">
        <v>17318</v>
      </c>
      <c r="CC689" s="3170" t="s">
        <v>17664</v>
      </c>
      <c r="CD689" s="3170" t="s">
        <v>17665</v>
      </c>
    </row>
    <row r="690" spans="2:82">
      <c r="B690" s="7685"/>
      <c r="C690" s="7685"/>
      <c r="D690" s="7685"/>
      <c r="E690" s="7685">
        <f>IF(H689&lt;&gt;"",E689,IF(E689="","",IFERROR(MATCH(TRUE(),INDEX(INDEX($K:$K,E689+1):$K$203&lt;&gt;"",0),0)+E689,"")))</f>
        <v>865</v>
      </c>
      <c r="F690" s="7686">
        <f t="shared" si="203"/>
        <v>0</v>
      </c>
      <c r="G690" s="7686" t="str">
        <f t="shared" si="195"/>
        <v>0</v>
      </c>
      <c r="H690" s="7687" t="str">
        <f t="shared" si="196"/>
        <v/>
      </c>
      <c r="I690" s="7685" t="str">
        <f t="shared" si="197"/>
        <v/>
      </c>
      <c r="M690" s="7622">
        <f t="shared" si="198"/>
        <v>1</v>
      </c>
      <c r="N690" s="7688">
        <f t="shared" si="199"/>
        <v>673</v>
      </c>
      <c r="O690" s="7661" t="str">
        <f t="shared" si="200"/>
        <v>0</v>
      </c>
      <c r="P690" s="7688">
        <f t="shared" si="201"/>
        <v>1</v>
      </c>
      <c r="Q690" s="7688">
        <f t="shared" si="202"/>
        <v>1</v>
      </c>
      <c r="CA690" s="3170" t="s">
        <v>16913</v>
      </c>
      <c r="CB690" s="7689" t="s">
        <v>17318</v>
      </c>
      <c r="CC690" s="3170" t="s">
        <v>17666</v>
      </c>
      <c r="CD690" s="3170" t="s">
        <v>17667</v>
      </c>
    </row>
    <row r="691" spans="2:82">
      <c r="B691" s="7685"/>
      <c r="C691" s="7685"/>
      <c r="D691" s="7685"/>
      <c r="E691" s="7685">
        <f>IF(H690&lt;&gt;"",E690,IF(E690="","",IFERROR(MATCH(TRUE(),INDEX(INDEX($K:$K,E690+1):$K$203&lt;&gt;"",0),0)+E690,"")))</f>
        <v>866</v>
      </c>
      <c r="F691" s="7686">
        <f t="shared" si="203"/>
        <v>0</v>
      </c>
      <c r="G691" s="7686" t="str">
        <f t="shared" si="195"/>
        <v>0</v>
      </c>
      <c r="H691" s="7687" t="str">
        <f t="shared" si="196"/>
        <v/>
      </c>
      <c r="I691" s="7685" t="str">
        <f t="shared" si="197"/>
        <v/>
      </c>
      <c r="M691" s="7622">
        <f t="shared" si="198"/>
        <v>1</v>
      </c>
      <c r="N691" s="7688">
        <f t="shared" si="199"/>
        <v>674</v>
      </c>
      <c r="O691" s="7661" t="str">
        <f t="shared" si="200"/>
        <v>0</v>
      </c>
      <c r="P691" s="7688">
        <f t="shared" si="201"/>
        <v>1</v>
      </c>
      <c r="Q691" s="7688">
        <f t="shared" si="202"/>
        <v>1</v>
      </c>
      <c r="CA691" s="3170" t="s">
        <v>16913</v>
      </c>
      <c r="CB691" s="7689" t="s">
        <v>17318</v>
      </c>
      <c r="CC691" s="3170" t="s">
        <v>17668</v>
      </c>
      <c r="CD691" s="3170" t="s">
        <v>17669</v>
      </c>
    </row>
    <row r="692" spans="2:82">
      <c r="B692" s="7685"/>
      <c r="C692" s="7685"/>
      <c r="D692" s="7685"/>
      <c r="E692" s="7685">
        <f>IF(H691&lt;&gt;"",E691,IF(E691="","",IFERROR(MATCH(TRUE(),INDEX(INDEX($K:$K,E691+1):$K$203&lt;&gt;"",0),0)+E691,"")))</f>
        <v>867</v>
      </c>
      <c r="F692" s="7686">
        <f t="shared" si="203"/>
        <v>0</v>
      </c>
      <c r="G692" s="7686" t="str">
        <f t="shared" si="195"/>
        <v>0</v>
      </c>
      <c r="H692" s="7687" t="str">
        <f t="shared" si="196"/>
        <v/>
      </c>
      <c r="I692" s="7685" t="str">
        <f t="shared" si="197"/>
        <v/>
      </c>
      <c r="M692" s="7622">
        <f t="shared" si="198"/>
        <v>1</v>
      </c>
      <c r="N692" s="7688">
        <f t="shared" si="199"/>
        <v>675</v>
      </c>
      <c r="O692" s="7661" t="str">
        <f t="shared" si="200"/>
        <v>0</v>
      </c>
      <c r="P692" s="7688">
        <f t="shared" si="201"/>
        <v>1</v>
      </c>
      <c r="Q692" s="7688">
        <f t="shared" si="202"/>
        <v>1</v>
      </c>
      <c r="CA692" s="3170" t="s">
        <v>16913</v>
      </c>
      <c r="CB692" s="7689" t="s">
        <v>17318</v>
      </c>
      <c r="CC692" s="3170" t="s">
        <v>17670</v>
      </c>
      <c r="CD692" s="3170" t="s">
        <v>17671</v>
      </c>
    </row>
    <row r="693" spans="2:82">
      <c r="B693" s="7685"/>
      <c r="C693" s="7685"/>
      <c r="D693" s="7685"/>
      <c r="E693" s="7685">
        <f>IF(H692&lt;&gt;"",E692,IF(E692="","",IFERROR(MATCH(TRUE(),INDEX(INDEX($K:$K,E692+1):$K$203&lt;&gt;"",0),0)+E692,"")))</f>
        <v>868</v>
      </c>
      <c r="F693" s="7686">
        <f t="shared" si="203"/>
        <v>0</v>
      </c>
      <c r="G693" s="7686" t="str">
        <f t="shared" si="195"/>
        <v>0</v>
      </c>
      <c r="H693" s="7687" t="str">
        <f t="shared" si="196"/>
        <v/>
      </c>
      <c r="I693" s="7685" t="str">
        <f t="shared" si="197"/>
        <v/>
      </c>
      <c r="M693" s="7622">
        <f t="shared" si="198"/>
        <v>1</v>
      </c>
      <c r="N693" s="7688">
        <f t="shared" si="199"/>
        <v>676</v>
      </c>
      <c r="O693" s="7661" t="str">
        <f t="shared" si="200"/>
        <v>0</v>
      </c>
      <c r="P693" s="7688">
        <f t="shared" si="201"/>
        <v>1</v>
      </c>
      <c r="Q693" s="7688">
        <f t="shared" si="202"/>
        <v>1</v>
      </c>
      <c r="CA693" s="3170" t="s">
        <v>16913</v>
      </c>
      <c r="CB693" s="7689" t="s">
        <v>17318</v>
      </c>
      <c r="CC693" s="3170" t="s">
        <v>17672</v>
      </c>
      <c r="CD693" s="3170" t="s">
        <v>17673</v>
      </c>
    </row>
    <row r="694" spans="2:82">
      <c r="B694" s="7685"/>
      <c r="C694" s="7685"/>
      <c r="D694" s="7685"/>
      <c r="E694" s="7685">
        <f>IF(H693&lt;&gt;"",E693,IF(E693="","",IFERROR(MATCH(TRUE(),INDEX(INDEX($K:$K,E693+1):$K$203&lt;&gt;"",0),0)+E693,"")))</f>
        <v>869</v>
      </c>
      <c r="F694" s="7686">
        <f t="shared" si="203"/>
        <v>0</v>
      </c>
      <c r="G694" s="7686" t="str">
        <f t="shared" si="195"/>
        <v>0</v>
      </c>
      <c r="H694" s="7687" t="str">
        <f t="shared" si="196"/>
        <v/>
      </c>
      <c r="I694" s="7685" t="str">
        <f t="shared" si="197"/>
        <v/>
      </c>
      <c r="M694" s="7622">
        <f t="shared" si="198"/>
        <v>1</v>
      </c>
      <c r="N694" s="7688">
        <f t="shared" si="199"/>
        <v>677</v>
      </c>
      <c r="O694" s="7661" t="str">
        <f t="shared" si="200"/>
        <v>0</v>
      </c>
      <c r="P694" s="7688">
        <f t="shared" si="201"/>
        <v>1</v>
      </c>
      <c r="Q694" s="7688">
        <f t="shared" si="202"/>
        <v>1</v>
      </c>
      <c r="CA694" s="3170" t="s">
        <v>16913</v>
      </c>
      <c r="CB694" s="7689" t="s">
        <v>17318</v>
      </c>
      <c r="CC694" s="3170" t="s">
        <v>17674</v>
      </c>
      <c r="CD694" s="3170" t="s">
        <v>17675</v>
      </c>
    </row>
    <row r="695" spans="2:82">
      <c r="B695" s="7685"/>
      <c r="C695" s="7685"/>
      <c r="D695" s="7685"/>
      <c r="E695" s="7685">
        <f>IF(H694&lt;&gt;"",E694,IF(E694="","",IFERROR(MATCH(TRUE(),INDEX(INDEX($K:$K,E694+1):$K$203&lt;&gt;"",0),0)+E694,"")))</f>
        <v>870</v>
      </c>
      <c r="F695" s="7686">
        <f t="shared" si="203"/>
        <v>0</v>
      </c>
      <c r="G695" s="7686" t="str">
        <f t="shared" si="195"/>
        <v>0</v>
      </c>
      <c r="H695" s="7687" t="str">
        <f t="shared" si="196"/>
        <v/>
      </c>
      <c r="I695" s="7685" t="str">
        <f t="shared" si="197"/>
        <v/>
      </c>
      <c r="M695" s="7622">
        <f t="shared" si="198"/>
        <v>1</v>
      </c>
      <c r="N695" s="7688">
        <f t="shared" si="199"/>
        <v>678</v>
      </c>
      <c r="O695" s="7661" t="str">
        <f t="shared" si="200"/>
        <v>0</v>
      </c>
      <c r="P695" s="7688">
        <f t="shared" si="201"/>
        <v>1</v>
      </c>
      <c r="Q695" s="7688">
        <f t="shared" si="202"/>
        <v>1</v>
      </c>
      <c r="CA695" s="3170" t="s">
        <v>16913</v>
      </c>
      <c r="CB695" s="7689" t="s">
        <v>17318</v>
      </c>
      <c r="CC695" s="3170" t="s">
        <v>17676</v>
      </c>
      <c r="CD695" s="3170" t="s">
        <v>17677</v>
      </c>
    </row>
    <row r="696" spans="2:82">
      <c r="B696" s="7685"/>
      <c r="C696" s="7685"/>
      <c r="D696" s="7685"/>
      <c r="E696" s="7685">
        <f>IF(H695&lt;&gt;"",E695,IF(E695="","",IFERROR(MATCH(TRUE(),INDEX(INDEX($K:$K,E695+1):$K$203&lt;&gt;"",0),0)+E695,"")))</f>
        <v>871</v>
      </c>
      <c r="F696" s="7686">
        <f t="shared" si="203"/>
        <v>0</v>
      </c>
      <c r="G696" s="7686" t="str">
        <f t="shared" si="195"/>
        <v>0</v>
      </c>
      <c r="H696" s="7687" t="str">
        <f t="shared" si="196"/>
        <v/>
      </c>
      <c r="I696" s="7685" t="str">
        <f t="shared" si="197"/>
        <v/>
      </c>
      <c r="M696" s="7622">
        <f t="shared" si="198"/>
        <v>1</v>
      </c>
      <c r="N696" s="7688">
        <f t="shared" si="199"/>
        <v>679</v>
      </c>
      <c r="O696" s="7661" t="str">
        <f t="shared" si="200"/>
        <v>0</v>
      </c>
      <c r="P696" s="7688">
        <f t="shared" si="201"/>
        <v>1</v>
      </c>
      <c r="Q696" s="7688">
        <f t="shared" si="202"/>
        <v>1</v>
      </c>
      <c r="CA696" s="3170" t="s">
        <v>16913</v>
      </c>
      <c r="CB696" s="7689" t="s">
        <v>17318</v>
      </c>
      <c r="CC696" s="3170" t="s">
        <v>17678</v>
      </c>
      <c r="CD696" s="3170" t="s">
        <v>17679</v>
      </c>
    </row>
    <row r="697" spans="2:82">
      <c r="B697" s="7685"/>
      <c r="C697" s="7685"/>
      <c r="D697" s="7685"/>
      <c r="E697" s="7685">
        <f>IF(H696&lt;&gt;"",E696,IF(E696="","",IFERROR(MATCH(TRUE(),INDEX(INDEX($K:$K,E696+1):$K$203&lt;&gt;"",0),0)+E696,"")))</f>
        <v>872</v>
      </c>
      <c r="F697" s="7686">
        <f t="shared" si="203"/>
        <v>0</v>
      </c>
      <c r="G697" s="7686" t="str">
        <f t="shared" si="195"/>
        <v>0</v>
      </c>
      <c r="H697" s="7687" t="str">
        <f t="shared" si="196"/>
        <v/>
      </c>
      <c r="I697" s="7685" t="str">
        <f t="shared" si="197"/>
        <v/>
      </c>
      <c r="M697" s="7622">
        <f t="shared" si="198"/>
        <v>1</v>
      </c>
      <c r="N697" s="7688">
        <f t="shared" si="199"/>
        <v>680</v>
      </c>
      <c r="O697" s="7661" t="str">
        <f t="shared" si="200"/>
        <v>0</v>
      </c>
      <c r="P697" s="7688">
        <f t="shared" si="201"/>
        <v>1</v>
      </c>
      <c r="Q697" s="7688">
        <f t="shared" si="202"/>
        <v>1</v>
      </c>
      <c r="CA697" s="3170" t="s">
        <v>16913</v>
      </c>
      <c r="CB697" s="7689" t="s">
        <v>17318</v>
      </c>
      <c r="CC697" s="3170" t="s">
        <v>17680</v>
      </c>
      <c r="CD697" s="3170" t="s">
        <v>17681</v>
      </c>
    </row>
    <row r="698" spans="2:82">
      <c r="B698" s="7685"/>
      <c r="C698" s="7685"/>
      <c r="D698" s="7685"/>
      <c r="E698" s="7685">
        <f>IF(H697&lt;&gt;"",E697,IF(E697="","",IFERROR(MATCH(TRUE(),INDEX(INDEX($K:$K,E697+1):$K$203&lt;&gt;"",0),0)+E697,"")))</f>
        <v>873</v>
      </c>
      <c r="F698" s="7686">
        <f t="shared" si="203"/>
        <v>0</v>
      </c>
      <c r="G698" s="7686" t="str">
        <f t="shared" si="195"/>
        <v>0</v>
      </c>
      <c r="H698" s="7687" t="str">
        <f t="shared" si="196"/>
        <v/>
      </c>
      <c r="I698" s="7685" t="str">
        <f t="shared" si="197"/>
        <v/>
      </c>
      <c r="M698" s="7622">
        <f t="shared" si="198"/>
        <v>1</v>
      </c>
      <c r="N698" s="7688">
        <f t="shared" si="199"/>
        <v>681</v>
      </c>
      <c r="O698" s="7661" t="str">
        <f t="shared" si="200"/>
        <v>0</v>
      </c>
      <c r="P698" s="7688">
        <f t="shared" si="201"/>
        <v>1</v>
      </c>
      <c r="Q698" s="7688">
        <f t="shared" si="202"/>
        <v>1</v>
      </c>
      <c r="CA698" s="3170" t="s">
        <v>16913</v>
      </c>
      <c r="CB698" s="7689" t="s">
        <v>17318</v>
      </c>
      <c r="CC698" s="3170" t="s">
        <v>17682</v>
      </c>
      <c r="CD698" s="3170" t="s">
        <v>17683</v>
      </c>
    </row>
    <row r="699" spans="2:82">
      <c r="B699" s="7685"/>
      <c r="C699" s="7685"/>
      <c r="D699" s="7685"/>
      <c r="E699" s="7685">
        <f>IF(H698&lt;&gt;"",E698,IF(E698="","",IFERROR(MATCH(TRUE(),INDEX(INDEX($K:$K,E698+1):$K$203&lt;&gt;"",0),0)+E698,"")))</f>
        <v>874</v>
      </c>
      <c r="F699" s="7686">
        <f t="shared" si="203"/>
        <v>0</v>
      </c>
      <c r="G699" s="7686" t="str">
        <f t="shared" si="195"/>
        <v>0</v>
      </c>
      <c r="H699" s="7687" t="str">
        <f t="shared" si="196"/>
        <v/>
      </c>
      <c r="I699" s="7685" t="str">
        <f t="shared" si="197"/>
        <v/>
      </c>
      <c r="M699" s="7622">
        <f t="shared" si="198"/>
        <v>1</v>
      </c>
      <c r="N699" s="7688">
        <f t="shared" si="199"/>
        <v>682</v>
      </c>
      <c r="O699" s="7661" t="str">
        <f t="shared" si="200"/>
        <v>0</v>
      </c>
      <c r="P699" s="7688">
        <f t="shared" si="201"/>
        <v>1</v>
      </c>
      <c r="Q699" s="7688">
        <f t="shared" si="202"/>
        <v>1</v>
      </c>
      <c r="CA699" s="3170" t="s">
        <v>16913</v>
      </c>
      <c r="CB699" s="7689" t="s">
        <v>17318</v>
      </c>
      <c r="CC699" s="3170" t="s">
        <v>17684</v>
      </c>
      <c r="CD699" s="3170" t="s">
        <v>17685</v>
      </c>
    </row>
    <row r="700" spans="2:82">
      <c r="B700" s="7685"/>
      <c r="C700" s="7685"/>
      <c r="D700" s="7685"/>
      <c r="E700" s="7685">
        <f>IF(H699&lt;&gt;"",E699,IF(E699="","",IFERROR(MATCH(TRUE(),INDEX(INDEX($K:$K,E699+1):$K$203&lt;&gt;"",0),0)+E699,"")))</f>
        <v>875</v>
      </c>
      <c r="F700" s="7686">
        <f t="shared" si="203"/>
        <v>0</v>
      </c>
      <c r="G700" s="7686" t="str">
        <f t="shared" si="195"/>
        <v>0</v>
      </c>
      <c r="H700" s="7687" t="str">
        <f t="shared" si="196"/>
        <v/>
      </c>
      <c r="I700" s="7685" t="str">
        <f t="shared" si="197"/>
        <v/>
      </c>
      <c r="M700" s="7622">
        <f t="shared" si="198"/>
        <v>1</v>
      </c>
      <c r="N700" s="7688">
        <f t="shared" si="199"/>
        <v>683</v>
      </c>
      <c r="O700" s="7661" t="str">
        <f t="shared" si="200"/>
        <v>0</v>
      </c>
      <c r="P700" s="7688">
        <f t="shared" si="201"/>
        <v>1</v>
      </c>
      <c r="Q700" s="7688">
        <f t="shared" si="202"/>
        <v>1</v>
      </c>
      <c r="CA700" s="3170" t="s">
        <v>16913</v>
      </c>
      <c r="CB700" s="7689" t="s">
        <v>17318</v>
      </c>
      <c r="CC700" s="3170" t="s">
        <v>17686</v>
      </c>
      <c r="CD700" s="3170" t="s">
        <v>17687</v>
      </c>
    </row>
    <row r="701" spans="2:82">
      <c r="B701" s="7685"/>
      <c r="C701" s="7685"/>
      <c r="D701" s="7685"/>
      <c r="E701" s="7685">
        <f>IF(H700&lt;&gt;"",E700,IF(E700="","",IFERROR(MATCH(TRUE(),INDEX(INDEX($K:$K,E700+1):$K$203&lt;&gt;"",0),0)+E700,"")))</f>
        <v>876</v>
      </c>
      <c r="F701" s="7686">
        <f t="shared" si="203"/>
        <v>0</v>
      </c>
      <c r="G701" s="7686" t="str">
        <f t="shared" si="195"/>
        <v>0</v>
      </c>
      <c r="H701" s="7687" t="str">
        <f t="shared" si="196"/>
        <v/>
      </c>
      <c r="I701" s="7685" t="str">
        <f t="shared" si="197"/>
        <v/>
      </c>
      <c r="M701" s="7622">
        <f t="shared" si="198"/>
        <v>1</v>
      </c>
      <c r="N701" s="7688">
        <f t="shared" si="199"/>
        <v>684</v>
      </c>
      <c r="O701" s="7661" t="str">
        <f t="shared" si="200"/>
        <v>0</v>
      </c>
      <c r="P701" s="7688">
        <f t="shared" si="201"/>
        <v>1</v>
      </c>
      <c r="Q701" s="7688">
        <f t="shared" si="202"/>
        <v>1</v>
      </c>
      <c r="CA701" s="3170" t="s">
        <v>16913</v>
      </c>
      <c r="CB701" s="7689" t="s">
        <v>17318</v>
      </c>
      <c r="CC701" s="3170" t="s">
        <v>17688</v>
      </c>
      <c r="CD701" s="3170" t="s">
        <v>17689</v>
      </c>
    </row>
    <row r="702" spans="2:82">
      <c r="B702" s="7685"/>
      <c r="C702" s="7685"/>
      <c r="D702" s="7685"/>
      <c r="E702" s="7685">
        <f>IF(H701&lt;&gt;"",E701,IF(E701="","",IFERROR(MATCH(TRUE(),INDEX(INDEX($K:$K,E701+1):$K$203&lt;&gt;"",0),0)+E701,"")))</f>
        <v>877</v>
      </c>
      <c r="F702" s="7686">
        <f t="shared" si="203"/>
        <v>0</v>
      </c>
      <c r="G702" s="7686" t="str">
        <f t="shared" si="195"/>
        <v>0</v>
      </c>
      <c r="H702" s="7687" t="str">
        <f t="shared" si="196"/>
        <v/>
      </c>
      <c r="I702" s="7685" t="str">
        <f t="shared" si="197"/>
        <v/>
      </c>
      <c r="M702" s="7622">
        <f t="shared" si="198"/>
        <v>1</v>
      </c>
      <c r="N702" s="7688">
        <f t="shared" si="199"/>
        <v>685</v>
      </c>
      <c r="O702" s="7661" t="str">
        <f t="shared" si="200"/>
        <v>0</v>
      </c>
      <c r="P702" s="7688">
        <f t="shared" si="201"/>
        <v>1</v>
      </c>
      <c r="Q702" s="7688">
        <f t="shared" si="202"/>
        <v>1</v>
      </c>
      <c r="CA702" s="3170" t="s">
        <v>4036</v>
      </c>
      <c r="CB702" s="7689" t="s">
        <v>17318</v>
      </c>
      <c r="CC702" s="3170" t="s">
        <v>17690</v>
      </c>
      <c r="CD702" s="3170" t="s">
        <v>17691</v>
      </c>
    </row>
    <row r="703" spans="2:82">
      <c r="B703" s="7685"/>
      <c r="C703" s="7685"/>
      <c r="D703" s="7685"/>
      <c r="E703" s="7685">
        <f>IF(H702&lt;&gt;"",E702,IF(E702="","",IFERROR(MATCH(TRUE(),INDEX(INDEX($K:$K,E702+1):$K$203&lt;&gt;"",0),0)+E702,"")))</f>
        <v>878</v>
      </c>
      <c r="F703" s="7686">
        <f t="shared" si="203"/>
        <v>0</v>
      </c>
      <c r="G703" s="7686" t="str">
        <f t="shared" si="195"/>
        <v>0</v>
      </c>
      <c r="H703" s="7687" t="str">
        <f t="shared" si="196"/>
        <v/>
      </c>
      <c r="I703" s="7685" t="str">
        <f t="shared" si="197"/>
        <v/>
      </c>
      <c r="M703" s="7622">
        <f t="shared" si="198"/>
        <v>1</v>
      </c>
      <c r="N703" s="7688">
        <f t="shared" si="199"/>
        <v>686</v>
      </c>
      <c r="O703" s="7661" t="str">
        <f t="shared" si="200"/>
        <v>0</v>
      </c>
      <c r="P703" s="7688">
        <f t="shared" si="201"/>
        <v>1</v>
      </c>
      <c r="Q703" s="7688">
        <f t="shared" si="202"/>
        <v>1</v>
      </c>
      <c r="CA703" s="3170" t="s">
        <v>4036</v>
      </c>
      <c r="CB703" s="7689" t="s">
        <v>17318</v>
      </c>
      <c r="CC703" s="3170" t="s">
        <v>17692</v>
      </c>
      <c r="CD703" s="3170" t="s">
        <v>17693</v>
      </c>
    </row>
    <row r="704" spans="2:82">
      <c r="B704" s="7685"/>
      <c r="C704" s="7685"/>
      <c r="D704" s="7685"/>
      <c r="E704" s="7685">
        <f>IF(H703&lt;&gt;"",E703,IF(E703="","",IFERROR(MATCH(TRUE(),INDEX(INDEX($K:$K,E703+1):$K$203&lt;&gt;"",0),0)+E703,"")))</f>
        <v>879</v>
      </c>
      <c r="F704" s="7686">
        <f t="shared" si="203"/>
        <v>0</v>
      </c>
      <c r="G704" s="7686" t="str">
        <f t="shared" si="195"/>
        <v>0</v>
      </c>
      <c r="H704" s="7687" t="str">
        <f t="shared" si="196"/>
        <v/>
      </c>
      <c r="I704" s="7685" t="str">
        <f t="shared" si="197"/>
        <v/>
      </c>
      <c r="M704" s="7622">
        <f t="shared" si="198"/>
        <v>1</v>
      </c>
      <c r="N704" s="7688">
        <f t="shared" si="199"/>
        <v>687</v>
      </c>
      <c r="O704" s="7661" t="str">
        <f t="shared" si="200"/>
        <v>0</v>
      </c>
      <c r="P704" s="7688">
        <f t="shared" si="201"/>
        <v>1</v>
      </c>
      <c r="Q704" s="7688">
        <f t="shared" si="202"/>
        <v>1</v>
      </c>
      <c r="CA704" s="3170" t="s">
        <v>4036</v>
      </c>
      <c r="CB704" s="7689" t="s">
        <v>17318</v>
      </c>
      <c r="CC704" s="3170" t="s">
        <v>17694</v>
      </c>
      <c r="CD704" s="3170" t="s">
        <v>17695</v>
      </c>
    </row>
    <row r="705" spans="2:82">
      <c r="B705" s="7685"/>
      <c r="C705" s="7685"/>
      <c r="D705" s="7685"/>
      <c r="E705" s="7685">
        <f>IF(H704&lt;&gt;"",E704,IF(E704="","",IFERROR(MATCH(TRUE(),INDEX(INDEX($K:$K,E704+1):$K$203&lt;&gt;"",0),0)+E704,"")))</f>
        <v>880</v>
      </c>
      <c r="F705" s="7686">
        <f t="shared" si="203"/>
        <v>0</v>
      </c>
      <c r="G705" s="7686" t="str">
        <f t="shared" si="195"/>
        <v>0</v>
      </c>
      <c r="H705" s="7687" t="str">
        <f t="shared" si="196"/>
        <v/>
      </c>
      <c r="I705" s="7685" t="str">
        <f t="shared" si="197"/>
        <v/>
      </c>
      <c r="M705" s="7622">
        <f t="shared" si="198"/>
        <v>1</v>
      </c>
      <c r="N705" s="7688">
        <f t="shared" si="199"/>
        <v>688</v>
      </c>
      <c r="O705" s="7661" t="str">
        <f t="shared" si="200"/>
        <v>0</v>
      </c>
      <c r="P705" s="7688">
        <f t="shared" si="201"/>
        <v>1</v>
      </c>
      <c r="Q705" s="7688">
        <f t="shared" si="202"/>
        <v>1</v>
      </c>
      <c r="CA705" s="3170" t="s">
        <v>4036</v>
      </c>
      <c r="CB705" s="7689" t="s">
        <v>17318</v>
      </c>
      <c r="CC705" s="3170" t="s">
        <v>17696</v>
      </c>
      <c r="CD705" s="3170" t="s">
        <v>17697</v>
      </c>
    </row>
    <row r="706" spans="2:82">
      <c r="B706" s="7685"/>
      <c r="C706" s="7685"/>
      <c r="D706" s="7685"/>
      <c r="E706" s="7685">
        <f>IF(H705&lt;&gt;"",E705,IF(E705="","",IFERROR(MATCH(TRUE(),INDEX(INDEX($K:$K,E705+1):$K$203&lt;&gt;"",0),0)+E705,"")))</f>
        <v>881</v>
      </c>
      <c r="F706" s="7686">
        <f t="shared" si="203"/>
        <v>0</v>
      </c>
      <c r="G706" s="7686" t="str">
        <f t="shared" si="195"/>
        <v>0</v>
      </c>
      <c r="H706" s="7687" t="str">
        <f t="shared" si="196"/>
        <v/>
      </c>
      <c r="I706" s="7685" t="str">
        <f t="shared" si="197"/>
        <v/>
      </c>
      <c r="M706" s="7622">
        <f t="shared" si="198"/>
        <v>1</v>
      </c>
      <c r="N706" s="7688">
        <f t="shared" si="199"/>
        <v>689</v>
      </c>
      <c r="O706" s="7661" t="str">
        <f t="shared" si="200"/>
        <v>0</v>
      </c>
      <c r="P706" s="7688">
        <f t="shared" si="201"/>
        <v>1</v>
      </c>
      <c r="Q706" s="7688">
        <f t="shared" si="202"/>
        <v>1</v>
      </c>
      <c r="CA706" s="3170" t="s">
        <v>4036</v>
      </c>
      <c r="CB706" s="7689" t="s">
        <v>17318</v>
      </c>
      <c r="CC706" s="3170" t="s">
        <v>17698</v>
      </c>
      <c r="CD706" s="3170" t="s">
        <v>17699</v>
      </c>
    </row>
    <row r="707" spans="2:82">
      <c r="B707" s="7685"/>
      <c r="C707" s="7685"/>
      <c r="D707" s="7685"/>
      <c r="E707" s="7685">
        <f>IF(H706&lt;&gt;"",E706,IF(E706="","",IFERROR(MATCH(TRUE(),INDEX(INDEX($K:$K,E706+1):$K$203&lt;&gt;"",0),0)+E706,"")))</f>
        <v>882</v>
      </c>
      <c r="F707" s="7686">
        <f t="shared" si="203"/>
        <v>0</v>
      </c>
      <c r="G707" s="7686" t="str">
        <f t="shared" si="195"/>
        <v>0</v>
      </c>
      <c r="H707" s="7687" t="str">
        <f t="shared" si="196"/>
        <v/>
      </c>
      <c r="I707" s="7685" t="str">
        <f t="shared" si="197"/>
        <v/>
      </c>
      <c r="M707" s="7622">
        <f t="shared" si="198"/>
        <v>1</v>
      </c>
      <c r="N707" s="7688">
        <f t="shared" si="199"/>
        <v>690</v>
      </c>
      <c r="O707" s="7661" t="str">
        <f t="shared" si="200"/>
        <v>0</v>
      </c>
      <c r="P707" s="7688">
        <f t="shared" si="201"/>
        <v>1</v>
      </c>
      <c r="Q707" s="7688">
        <f t="shared" si="202"/>
        <v>1</v>
      </c>
      <c r="CA707" s="3170" t="s">
        <v>4036</v>
      </c>
      <c r="CB707" s="7689" t="s">
        <v>17318</v>
      </c>
      <c r="CC707" s="3170" t="s">
        <v>17700</v>
      </c>
      <c r="CD707" s="3170" t="s">
        <v>17701</v>
      </c>
    </row>
    <row r="708" spans="2:82">
      <c r="B708" s="7685"/>
      <c r="C708" s="7685"/>
      <c r="D708" s="7685"/>
      <c r="E708" s="7685">
        <f>IF(H707&lt;&gt;"",E707,IF(E707="","",IFERROR(MATCH(TRUE(),INDEX(INDEX($K:$K,E707+1):$K$203&lt;&gt;"",0),0)+E707,"")))</f>
        <v>883</v>
      </c>
      <c r="F708" s="7686">
        <f t="shared" si="203"/>
        <v>0</v>
      </c>
      <c r="G708" s="7686" t="str">
        <f t="shared" si="195"/>
        <v>0</v>
      </c>
      <c r="H708" s="7687" t="str">
        <f t="shared" si="196"/>
        <v/>
      </c>
      <c r="I708" s="7685" t="str">
        <f t="shared" si="197"/>
        <v/>
      </c>
      <c r="M708" s="7622">
        <f t="shared" si="198"/>
        <v>1</v>
      </c>
      <c r="N708" s="7688">
        <f t="shared" si="199"/>
        <v>691</v>
      </c>
      <c r="O708" s="7661" t="str">
        <f t="shared" si="200"/>
        <v>0</v>
      </c>
      <c r="P708" s="7688">
        <f t="shared" si="201"/>
        <v>1</v>
      </c>
      <c r="Q708" s="7688">
        <f t="shared" si="202"/>
        <v>1</v>
      </c>
      <c r="CA708" s="3170" t="s">
        <v>4036</v>
      </c>
      <c r="CB708" s="7689" t="s">
        <v>17318</v>
      </c>
      <c r="CC708" s="3170" t="s">
        <v>17702</v>
      </c>
      <c r="CD708" s="3170" t="s">
        <v>17703</v>
      </c>
    </row>
    <row r="709" spans="2:82">
      <c r="B709" s="7685"/>
      <c r="C709" s="7685"/>
      <c r="D709" s="7685"/>
      <c r="E709" s="7685">
        <f>IF(H708&lt;&gt;"",E708,IF(E708="","",IFERROR(MATCH(TRUE(),INDEX(INDEX($K:$K,E708+1):$K$203&lt;&gt;"",0),0)+E708,"")))</f>
        <v>884</v>
      </c>
      <c r="F709" s="7686">
        <f t="shared" si="203"/>
        <v>0</v>
      </c>
      <c r="G709" s="7686" t="str">
        <f t="shared" si="195"/>
        <v>0</v>
      </c>
      <c r="H709" s="7687" t="str">
        <f t="shared" si="196"/>
        <v/>
      </c>
      <c r="I709" s="7685" t="str">
        <f t="shared" si="197"/>
        <v/>
      </c>
      <c r="M709" s="7622">
        <f t="shared" si="198"/>
        <v>1</v>
      </c>
      <c r="N709" s="7688">
        <f t="shared" si="199"/>
        <v>692</v>
      </c>
      <c r="O709" s="7661" t="str">
        <f t="shared" si="200"/>
        <v>0</v>
      </c>
      <c r="P709" s="7688">
        <f t="shared" si="201"/>
        <v>1</v>
      </c>
      <c r="Q709" s="7688">
        <f t="shared" si="202"/>
        <v>1</v>
      </c>
      <c r="CA709" s="3170" t="s">
        <v>4036</v>
      </c>
      <c r="CB709" s="7689" t="s">
        <v>17318</v>
      </c>
      <c r="CC709" s="3170" t="s">
        <v>17704</v>
      </c>
      <c r="CD709" s="3170" t="s">
        <v>17705</v>
      </c>
    </row>
    <row r="710" spans="2:82">
      <c r="B710" s="7685"/>
      <c r="C710" s="7685"/>
      <c r="D710" s="7685"/>
      <c r="E710" s="7685">
        <f>IF(H709&lt;&gt;"",E709,IF(E709="","",IFERROR(MATCH(TRUE(),INDEX(INDEX($K:$K,E709+1):$K$203&lt;&gt;"",0),0)+E709,"")))</f>
        <v>885</v>
      </c>
      <c r="F710" s="7686">
        <f t="shared" si="203"/>
        <v>0</v>
      </c>
      <c r="G710" s="7686" t="str">
        <f t="shared" si="195"/>
        <v>0</v>
      </c>
      <c r="H710" s="7687" t="str">
        <f t="shared" si="196"/>
        <v/>
      </c>
      <c r="I710" s="7685" t="str">
        <f t="shared" si="197"/>
        <v/>
      </c>
      <c r="M710" s="7622">
        <f t="shared" si="198"/>
        <v>1</v>
      </c>
      <c r="N710" s="7688">
        <f t="shared" si="199"/>
        <v>693</v>
      </c>
      <c r="O710" s="7661" t="str">
        <f t="shared" si="200"/>
        <v>0</v>
      </c>
      <c r="P710" s="7688">
        <f t="shared" si="201"/>
        <v>1</v>
      </c>
      <c r="Q710" s="7688">
        <f t="shared" si="202"/>
        <v>1</v>
      </c>
      <c r="CA710" s="3170" t="s">
        <v>4036</v>
      </c>
      <c r="CB710" s="7689" t="s">
        <v>17318</v>
      </c>
      <c r="CC710" s="3170" t="s">
        <v>17706</v>
      </c>
      <c r="CD710" s="3170" t="s">
        <v>17707</v>
      </c>
    </row>
    <row r="711" spans="2:82">
      <c r="B711" s="7685"/>
      <c r="C711" s="7685"/>
      <c r="D711" s="7685"/>
      <c r="E711" s="7685">
        <f>IF(H710&lt;&gt;"",E710,IF(E710="","",IFERROR(MATCH(TRUE(),INDEX(INDEX($K:$K,E710+1):$K$203&lt;&gt;"",0),0)+E710,"")))</f>
        <v>886</v>
      </c>
      <c r="F711" s="7686">
        <f t="shared" si="203"/>
        <v>0</v>
      </c>
      <c r="G711" s="7686" t="str">
        <f t="shared" si="195"/>
        <v>0</v>
      </c>
      <c r="H711" s="7687" t="str">
        <f t="shared" si="196"/>
        <v/>
      </c>
      <c r="I711" s="7685" t="str">
        <f t="shared" si="197"/>
        <v/>
      </c>
      <c r="M711" s="7622">
        <f t="shared" si="198"/>
        <v>1</v>
      </c>
      <c r="N711" s="7688">
        <f t="shared" si="199"/>
        <v>694</v>
      </c>
      <c r="O711" s="7661" t="str">
        <f t="shared" si="200"/>
        <v>0</v>
      </c>
      <c r="P711" s="7688">
        <f t="shared" si="201"/>
        <v>1</v>
      </c>
      <c r="Q711" s="7688">
        <f t="shared" si="202"/>
        <v>1</v>
      </c>
      <c r="CA711" s="3170" t="s">
        <v>4036</v>
      </c>
      <c r="CB711" s="7689" t="s">
        <v>17318</v>
      </c>
      <c r="CC711" s="3170" t="s">
        <v>17708</v>
      </c>
      <c r="CD711" s="3170" t="s">
        <v>17709</v>
      </c>
    </row>
    <row r="712" spans="2:82">
      <c r="B712" s="7685"/>
      <c r="C712" s="7685"/>
      <c r="D712" s="7685"/>
      <c r="E712" s="7685">
        <f>IF(H711&lt;&gt;"",E711,IF(E711="","",IFERROR(MATCH(TRUE(),INDEX(INDEX($K:$K,E711+1):$K$203&lt;&gt;"",0),0)+E711,"")))</f>
        <v>887</v>
      </c>
      <c r="F712" s="7686">
        <f t="shared" si="203"/>
        <v>0</v>
      </c>
      <c r="G712" s="7686" t="str">
        <f t="shared" si="195"/>
        <v>0</v>
      </c>
      <c r="H712" s="7687" t="str">
        <f t="shared" si="196"/>
        <v/>
      </c>
      <c r="I712" s="7685" t="str">
        <f t="shared" si="197"/>
        <v/>
      </c>
      <c r="M712" s="7622">
        <f t="shared" si="198"/>
        <v>1</v>
      </c>
      <c r="N712" s="7688">
        <f t="shared" si="199"/>
        <v>695</v>
      </c>
      <c r="O712" s="7661" t="str">
        <f t="shared" si="200"/>
        <v>0</v>
      </c>
      <c r="P712" s="7688">
        <f t="shared" si="201"/>
        <v>1</v>
      </c>
      <c r="Q712" s="7688">
        <f t="shared" si="202"/>
        <v>1</v>
      </c>
      <c r="CA712" s="3170" t="s">
        <v>4036</v>
      </c>
      <c r="CB712" s="7689" t="s">
        <v>17318</v>
      </c>
      <c r="CC712" s="3170" t="s">
        <v>17710</v>
      </c>
      <c r="CD712" s="3170" t="s">
        <v>17711</v>
      </c>
    </row>
    <row r="713" spans="2:82">
      <c r="B713" s="7685"/>
      <c r="C713" s="7685"/>
      <c r="D713" s="7685"/>
      <c r="E713" s="7685">
        <f>IF(H712&lt;&gt;"",E712,IF(E712="","",IFERROR(MATCH(TRUE(),INDEX(INDEX($K:$K,E712+1):$K$203&lt;&gt;"",0),0)+E712,"")))</f>
        <v>888</v>
      </c>
      <c r="F713" s="7686">
        <f t="shared" si="203"/>
        <v>0</v>
      </c>
      <c r="G713" s="7686" t="str">
        <f t="shared" si="195"/>
        <v>0</v>
      </c>
      <c r="H713" s="7687" t="str">
        <f t="shared" si="196"/>
        <v/>
      </c>
      <c r="I713" s="7685" t="str">
        <f t="shared" si="197"/>
        <v/>
      </c>
      <c r="M713" s="7622">
        <f t="shared" si="198"/>
        <v>1</v>
      </c>
      <c r="N713" s="7688">
        <f t="shared" si="199"/>
        <v>696</v>
      </c>
      <c r="O713" s="7661" t="str">
        <f t="shared" si="200"/>
        <v>0</v>
      </c>
      <c r="P713" s="7688">
        <f t="shared" si="201"/>
        <v>1</v>
      </c>
      <c r="Q713" s="7688">
        <f t="shared" si="202"/>
        <v>1</v>
      </c>
      <c r="CA713" s="3170" t="s">
        <v>4036</v>
      </c>
      <c r="CB713" s="7689" t="s">
        <v>17318</v>
      </c>
      <c r="CC713" s="3170" t="s">
        <v>17712</v>
      </c>
      <c r="CD713" s="3170" t="s">
        <v>17713</v>
      </c>
    </row>
    <row r="714" spans="2:82">
      <c r="B714" s="7685"/>
      <c r="C714" s="7685"/>
      <c r="D714" s="7685"/>
      <c r="E714" s="7685">
        <f>IF(H713&lt;&gt;"",E713,IF(E713="","",IFERROR(MATCH(TRUE(),INDEX(INDEX($K:$K,E713+1):$K$203&lt;&gt;"",0),0)+E713,"")))</f>
        <v>889</v>
      </c>
      <c r="F714" s="7686">
        <f t="shared" si="203"/>
        <v>0</v>
      </c>
      <c r="G714" s="7686" t="str">
        <f t="shared" si="195"/>
        <v>0</v>
      </c>
      <c r="H714" s="7687" t="str">
        <f t="shared" si="196"/>
        <v/>
      </c>
      <c r="I714" s="7685" t="str">
        <f t="shared" si="197"/>
        <v/>
      </c>
      <c r="M714" s="7622">
        <f t="shared" si="198"/>
        <v>1</v>
      </c>
      <c r="N714" s="7688">
        <f t="shared" si="199"/>
        <v>697</v>
      </c>
      <c r="O714" s="7661" t="str">
        <f t="shared" si="200"/>
        <v>0</v>
      </c>
      <c r="P714" s="7688">
        <f t="shared" si="201"/>
        <v>1</v>
      </c>
      <c r="Q714" s="7688">
        <f t="shared" si="202"/>
        <v>1</v>
      </c>
      <c r="CA714" s="3170" t="s">
        <v>4036</v>
      </c>
      <c r="CB714" s="7689" t="s">
        <v>17318</v>
      </c>
      <c r="CC714" s="3170" t="s">
        <v>17714</v>
      </c>
      <c r="CD714" s="3170" t="s">
        <v>17715</v>
      </c>
    </row>
    <row r="715" spans="2:82">
      <c r="B715" s="7685"/>
      <c r="C715" s="7685"/>
      <c r="D715" s="7685"/>
      <c r="E715" s="7685">
        <f>IF(H714&lt;&gt;"",E714,IF(E714="","",IFERROR(MATCH(TRUE(),INDEX(INDEX($K:$K,E714+1):$K$203&lt;&gt;"",0),0)+E714,"")))</f>
        <v>890</v>
      </c>
      <c r="F715" s="7686">
        <f t="shared" si="203"/>
        <v>0</v>
      </c>
      <c r="G715" s="7686" t="str">
        <f t="shared" si="195"/>
        <v>0</v>
      </c>
      <c r="H715" s="7687" t="str">
        <f t="shared" si="196"/>
        <v/>
      </c>
      <c r="I715" s="7685" t="str">
        <f t="shared" si="197"/>
        <v/>
      </c>
      <c r="M715" s="7622">
        <f t="shared" si="198"/>
        <v>1</v>
      </c>
      <c r="N715" s="7688">
        <f t="shared" si="199"/>
        <v>698</v>
      </c>
      <c r="O715" s="7661" t="str">
        <f t="shared" si="200"/>
        <v>0</v>
      </c>
      <c r="P715" s="7688">
        <f t="shared" si="201"/>
        <v>1</v>
      </c>
      <c r="Q715" s="7688">
        <f t="shared" si="202"/>
        <v>1</v>
      </c>
      <c r="CA715" s="3170" t="s">
        <v>4036</v>
      </c>
      <c r="CB715" s="7689" t="s">
        <v>17318</v>
      </c>
      <c r="CC715" s="3170" t="s">
        <v>17716</v>
      </c>
      <c r="CD715" s="3170" t="s">
        <v>17717</v>
      </c>
    </row>
    <row r="716" spans="2:82">
      <c r="B716" s="7685"/>
      <c r="C716" s="7685"/>
      <c r="D716" s="7685"/>
      <c r="E716" s="7685">
        <f>IF(H715&lt;&gt;"",E715,IF(E715="","",IFERROR(MATCH(TRUE(),INDEX(INDEX($K:$K,E715+1):$K$203&lt;&gt;"",0),0)+E715,"")))</f>
        <v>891</v>
      </c>
      <c r="F716" s="7686">
        <f t="shared" si="203"/>
        <v>0</v>
      </c>
      <c r="G716" s="7686" t="str">
        <f t="shared" si="195"/>
        <v>0</v>
      </c>
      <c r="H716" s="7687" t="str">
        <f t="shared" si="196"/>
        <v/>
      </c>
      <c r="I716" s="7685" t="str">
        <f t="shared" si="197"/>
        <v/>
      </c>
      <c r="M716" s="7622">
        <f t="shared" si="198"/>
        <v>1</v>
      </c>
      <c r="N716" s="7688">
        <f t="shared" si="199"/>
        <v>699</v>
      </c>
      <c r="O716" s="7661" t="str">
        <f t="shared" si="200"/>
        <v>0</v>
      </c>
      <c r="P716" s="7688">
        <f t="shared" si="201"/>
        <v>1</v>
      </c>
      <c r="Q716" s="7688">
        <f t="shared" si="202"/>
        <v>1</v>
      </c>
      <c r="CA716" s="3170" t="s">
        <v>4036</v>
      </c>
      <c r="CB716" s="7689" t="s">
        <v>17318</v>
      </c>
      <c r="CC716" s="3170" t="s">
        <v>17718</v>
      </c>
      <c r="CD716" s="3170" t="s">
        <v>17719</v>
      </c>
    </row>
    <row r="717" spans="2:82">
      <c r="B717" s="7685"/>
      <c r="C717" s="7685"/>
      <c r="D717" s="7685"/>
      <c r="E717" s="7685">
        <f>IF(H716&lt;&gt;"",E716,IF(E716="","",IFERROR(MATCH(TRUE(),INDEX(INDEX($K:$K,E716+1):$K$203&lt;&gt;"",0),0)+E716,"")))</f>
        <v>892</v>
      </c>
      <c r="F717" s="7686">
        <f t="shared" si="203"/>
        <v>0</v>
      </c>
      <c r="G717" s="7686" t="str">
        <f t="shared" si="195"/>
        <v>0</v>
      </c>
      <c r="H717" s="7687" t="str">
        <f t="shared" si="196"/>
        <v/>
      </c>
      <c r="I717" s="7685" t="str">
        <f t="shared" si="197"/>
        <v/>
      </c>
      <c r="M717" s="7622">
        <f t="shared" si="198"/>
        <v>1</v>
      </c>
      <c r="N717" s="7688">
        <f t="shared" si="199"/>
        <v>700</v>
      </c>
      <c r="O717" s="7661" t="str">
        <f t="shared" si="200"/>
        <v>0</v>
      </c>
      <c r="P717" s="7688">
        <f t="shared" si="201"/>
        <v>1</v>
      </c>
      <c r="Q717" s="7688">
        <f t="shared" si="202"/>
        <v>1</v>
      </c>
      <c r="CA717" s="3170" t="s">
        <v>16501</v>
      </c>
      <c r="CB717" s="7690" t="s">
        <v>17720</v>
      </c>
      <c r="CC717" s="3170" t="s">
        <v>17721</v>
      </c>
      <c r="CD717" s="3170" t="s">
        <v>17722</v>
      </c>
    </row>
    <row r="718" spans="2:82">
      <c r="B718" s="7685"/>
      <c r="C718" s="7685"/>
      <c r="D718" s="7685"/>
      <c r="E718" s="7685">
        <f>IF(H717&lt;&gt;"",E717,IF(E717="","",IFERROR(MATCH(TRUE(),INDEX(INDEX($K:$K,E717+1):$K$203&lt;&gt;"",0),0)+E717,"")))</f>
        <v>893</v>
      </c>
      <c r="F718" s="7686">
        <f t="shared" si="203"/>
        <v>0</v>
      </c>
      <c r="G718" s="7686" t="str">
        <f t="shared" si="195"/>
        <v>0</v>
      </c>
      <c r="H718" s="7687" t="str">
        <f t="shared" si="196"/>
        <v/>
      </c>
      <c r="I718" s="7685" t="str">
        <f t="shared" si="197"/>
        <v/>
      </c>
      <c r="M718" s="7622">
        <f t="shared" si="198"/>
        <v>1</v>
      </c>
      <c r="N718" s="7688">
        <f t="shared" si="199"/>
        <v>701</v>
      </c>
      <c r="O718" s="7661" t="str">
        <f t="shared" si="200"/>
        <v>0</v>
      </c>
      <c r="P718" s="7688">
        <f t="shared" si="201"/>
        <v>1</v>
      </c>
      <c r="Q718" s="7688">
        <f t="shared" si="202"/>
        <v>1</v>
      </c>
      <c r="CA718" s="3170" t="s">
        <v>16501</v>
      </c>
      <c r="CB718" s="7690" t="s">
        <v>17720</v>
      </c>
      <c r="CC718" s="3170" t="s">
        <v>17723</v>
      </c>
      <c r="CD718" s="3170" t="s">
        <v>17724</v>
      </c>
    </row>
    <row r="719" spans="2:82">
      <c r="B719" s="7685"/>
      <c r="C719" s="7685"/>
      <c r="D719" s="7685"/>
      <c r="E719" s="7685">
        <f>IF(H718&lt;&gt;"",E718,IF(E718="","",IFERROR(MATCH(TRUE(),INDEX(INDEX($K:$K,E718+1):$K$203&lt;&gt;"",0),0)+E718,"")))</f>
        <v>894</v>
      </c>
      <c r="F719" s="7686">
        <f t="shared" si="203"/>
        <v>0</v>
      </c>
      <c r="G719" s="7686" t="str">
        <f t="shared" si="195"/>
        <v>0</v>
      </c>
      <c r="H719" s="7687" t="str">
        <f t="shared" si="196"/>
        <v/>
      </c>
      <c r="I719" s="7685" t="str">
        <f t="shared" si="197"/>
        <v/>
      </c>
      <c r="M719" s="7622">
        <f t="shared" si="198"/>
        <v>1</v>
      </c>
      <c r="N719" s="7688">
        <f t="shared" si="199"/>
        <v>702</v>
      </c>
      <c r="O719" s="7661" t="str">
        <f t="shared" si="200"/>
        <v>0</v>
      </c>
      <c r="P719" s="7688">
        <f t="shared" si="201"/>
        <v>1</v>
      </c>
      <c r="Q719" s="7688">
        <f t="shared" si="202"/>
        <v>1</v>
      </c>
      <c r="CA719" s="3170" t="s">
        <v>16501</v>
      </c>
      <c r="CB719" s="7690" t="s">
        <v>17720</v>
      </c>
      <c r="CC719" s="3170" t="s">
        <v>17725</v>
      </c>
      <c r="CD719" s="3170" t="s">
        <v>17726</v>
      </c>
    </row>
    <row r="720" spans="2:82">
      <c r="B720" s="7685"/>
      <c r="C720" s="7685"/>
      <c r="D720" s="7685"/>
      <c r="E720" s="7685">
        <f>IF(H719&lt;&gt;"",E719,IF(E719="","",IFERROR(MATCH(TRUE(),INDEX(INDEX($K:$K,E719+1):$K$203&lt;&gt;"",0),0)+E719,"")))</f>
        <v>895</v>
      </c>
      <c r="F720" s="7686">
        <f t="shared" si="203"/>
        <v>0</v>
      </c>
      <c r="G720" s="7686" t="str">
        <f t="shared" si="195"/>
        <v>0</v>
      </c>
      <c r="H720" s="7687" t="str">
        <f t="shared" si="196"/>
        <v/>
      </c>
      <c r="I720" s="7685" t="str">
        <f t="shared" si="197"/>
        <v/>
      </c>
      <c r="M720" s="7622">
        <f t="shared" si="198"/>
        <v>1</v>
      </c>
      <c r="N720" s="7688">
        <f t="shared" si="199"/>
        <v>703</v>
      </c>
      <c r="O720" s="7661" t="str">
        <f t="shared" si="200"/>
        <v>0</v>
      </c>
      <c r="P720" s="7688">
        <f t="shared" si="201"/>
        <v>1</v>
      </c>
      <c r="Q720" s="7688">
        <f t="shared" si="202"/>
        <v>1</v>
      </c>
      <c r="CA720" s="3170" t="s">
        <v>16501</v>
      </c>
      <c r="CB720" s="7690" t="s">
        <v>17720</v>
      </c>
      <c r="CC720" s="3170" t="s">
        <v>17727</v>
      </c>
      <c r="CD720" s="3170" t="s">
        <v>17728</v>
      </c>
    </row>
    <row r="721" spans="2:82">
      <c r="B721" s="7685"/>
      <c r="C721" s="7685"/>
      <c r="D721" s="7685"/>
      <c r="E721" s="7685">
        <f>IF(H720&lt;&gt;"",E720,IF(E720="","",IFERROR(MATCH(TRUE(),INDEX(INDEX($K:$K,E720+1):$K$203&lt;&gt;"",0),0)+E720,"")))</f>
        <v>896</v>
      </c>
      <c r="F721" s="7686">
        <f t="shared" si="203"/>
        <v>0</v>
      </c>
      <c r="G721" s="7686" t="str">
        <f t="shared" si="195"/>
        <v>0</v>
      </c>
      <c r="H721" s="7687" t="str">
        <f t="shared" si="196"/>
        <v/>
      </c>
      <c r="I721" s="7685" t="str">
        <f t="shared" si="197"/>
        <v/>
      </c>
      <c r="M721" s="7622">
        <f t="shared" si="198"/>
        <v>1</v>
      </c>
      <c r="N721" s="7688">
        <f t="shared" si="199"/>
        <v>704</v>
      </c>
      <c r="O721" s="7661" t="str">
        <f t="shared" si="200"/>
        <v>0</v>
      </c>
      <c r="P721" s="7688">
        <f t="shared" si="201"/>
        <v>1</v>
      </c>
      <c r="Q721" s="7688">
        <f t="shared" si="202"/>
        <v>1</v>
      </c>
      <c r="CA721" s="3170" t="s">
        <v>16501</v>
      </c>
      <c r="CB721" s="7690" t="s">
        <v>17720</v>
      </c>
      <c r="CC721" s="3170" t="s">
        <v>17729</v>
      </c>
      <c r="CD721" s="3170" t="s">
        <v>17730</v>
      </c>
    </row>
    <row r="722" spans="2:82">
      <c r="B722" s="7685"/>
      <c r="C722" s="7685"/>
      <c r="D722" s="7685"/>
      <c r="E722" s="7685">
        <f>IF(H721&lt;&gt;"",E721,IF(E721="","",IFERROR(MATCH(TRUE(),INDEX(INDEX($K:$K,E721+1):$K$203&lt;&gt;"",0),0)+E721,"")))</f>
        <v>897</v>
      </c>
      <c r="F722" s="7686">
        <f t="shared" si="203"/>
        <v>0</v>
      </c>
      <c r="G722" s="7686" t="str">
        <f t="shared" ref="G722:G785" si="204">IF(OR(F722="",M722=""),"",LEFT(F722,M722))</f>
        <v>0</v>
      </c>
      <c r="H722" s="7687" t="str">
        <f t="shared" ref="H722:H785" si="205">IF(OR(F722="",M722=""),"",TRIM(MID(F722,M722+1,99999)))</f>
        <v/>
      </c>
      <c r="I722" s="7685" t="str">
        <f t="shared" ref="I722:I785" si="206">IF(AND(F722&lt;&gt;"",$N$10&gt;0,M722&gt;$N$10),"Mot &gt; limite","")</f>
        <v/>
      </c>
      <c r="M722" s="7622">
        <f t="shared" ref="M722:M785" si="207">IF(OR(F722="",$N$10="",$N$10&lt;=0),"",IF(LEN(F722)&lt;=$N$10,LEN(F722),IFERROR(FIND("♦",SUBSTITUTE(LEFT(F722,$N$10)," ","♦",LEN(LEFT(F722,$N$10))-LEN(SUBSTITUTE(LEFT(F722,$N$10)," ","")))),FIND(" ",F722&amp;" ",$N$10+1)-1)))</f>
        <v>1</v>
      </c>
      <c r="N722" s="7688">
        <f t="shared" ref="N722:N785" si="208">IF(O722="","",ROW()-17)</f>
        <v>705</v>
      </c>
      <c r="O722" s="7661" t="str">
        <f t="shared" ref="O722:O785" si="209">G722</f>
        <v>0</v>
      </c>
      <c r="P722" s="7688">
        <f t="shared" ref="P722:P785" si="210">IF(O722="","",LEN(TRIM(O722))-LEN(SUBSTITUTE(TRIM(O722)," ",""))+1)</f>
        <v>1</v>
      </c>
      <c r="Q722" s="7688">
        <f t="shared" ref="Q722:Q785" si="211">IF(O722="","",LEN(O722))</f>
        <v>1</v>
      </c>
      <c r="CA722" s="3170" t="s">
        <v>16501</v>
      </c>
      <c r="CB722" s="7690" t="s">
        <v>17720</v>
      </c>
      <c r="CC722" s="3170" t="s">
        <v>17731</v>
      </c>
      <c r="CD722" s="3170" t="s">
        <v>17732</v>
      </c>
    </row>
    <row r="723" spans="2:82">
      <c r="B723" s="7685"/>
      <c r="C723" s="7685"/>
      <c r="D723" s="7685"/>
      <c r="E723" s="7685">
        <f>IF(H722&lt;&gt;"",E722,IF(E722="","",IFERROR(MATCH(TRUE(),INDEX(INDEX($K:$K,E722+1):$K$203&lt;&gt;"",0),0)+E722,"")))</f>
        <v>898</v>
      </c>
      <c r="F723" s="7686">
        <f t="shared" ref="F723:F786" si="212">IF(E723="","",IF(H722&lt;&gt;"",H722,INDEX($D:$D,E723)))</f>
        <v>0</v>
      </c>
      <c r="G723" s="7686" t="str">
        <f t="shared" si="204"/>
        <v>0</v>
      </c>
      <c r="H723" s="7687" t="str">
        <f t="shared" si="205"/>
        <v/>
      </c>
      <c r="I723" s="7685" t="str">
        <f t="shared" si="206"/>
        <v/>
      </c>
      <c r="M723" s="7622">
        <f t="shared" si="207"/>
        <v>1</v>
      </c>
      <c r="N723" s="7688">
        <f t="shared" si="208"/>
        <v>706</v>
      </c>
      <c r="O723" s="7661" t="str">
        <f t="shared" si="209"/>
        <v>0</v>
      </c>
      <c r="P723" s="7688">
        <f t="shared" si="210"/>
        <v>1</v>
      </c>
      <c r="Q723" s="7688">
        <f t="shared" si="211"/>
        <v>1</v>
      </c>
      <c r="CA723" s="3170" t="s">
        <v>16501</v>
      </c>
      <c r="CB723" s="7690" t="s">
        <v>17720</v>
      </c>
      <c r="CC723" s="3170" t="s">
        <v>17733</v>
      </c>
      <c r="CD723" s="3170" t="s">
        <v>17734</v>
      </c>
    </row>
    <row r="724" spans="2:82">
      <c r="B724" s="7685"/>
      <c r="C724" s="7685"/>
      <c r="D724" s="7685"/>
      <c r="E724" s="7685">
        <f>IF(H723&lt;&gt;"",E723,IF(E723="","",IFERROR(MATCH(TRUE(),INDEX(INDEX($K:$K,E723+1):$K$203&lt;&gt;"",0),0)+E723,"")))</f>
        <v>899</v>
      </c>
      <c r="F724" s="7686">
        <f t="shared" si="212"/>
        <v>0</v>
      </c>
      <c r="G724" s="7686" t="str">
        <f t="shared" si="204"/>
        <v>0</v>
      </c>
      <c r="H724" s="7687" t="str">
        <f t="shared" si="205"/>
        <v/>
      </c>
      <c r="I724" s="7685" t="str">
        <f t="shared" si="206"/>
        <v/>
      </c>
      <c r="M724" s="7622">
        <f t="shared" si="207"/>
        <v>1</v>
      </c>
      <c r="N724" s="7688">
        <f t="shared" si="208"/>
        <v>707</v>
      </c>
      <c r="O724" s="7661" t="str">
        <f t="shared" si="209"/>
        <v>0</v>
      </c>
      <c r="P724" s="7688">
        <f t="shared" si="210"/>
        <v>1</v>
      </c>
      <c r="Q724" s="7688">
        <f t="shared" si="211"/>
        <v>1</v>
      </c>
      <c r="CA724" s="3170" t="s">
        <v>16501</v>
      </c>
      <c r="CB724" s="7690" t="s">
        <v>17720</v>
      </c>
      <c r="CC724" s="3170" t="s">
        <v>17735</v>
      </c>
      <c r="CD724" s="3170" t="s">
        <v>17736</v>
      </c>
    </row>
    <row r="725" spans="2:82">
      <c r="B725" s="7685"/>
      <c r="C725" s="7685"/>
      <c r="D725" s="7685"/>
      <c r="E725" s="7685">
        <f>IF(H724&lt;&gt;"",E724,IF(E724="","",IFERROR(MATCH(TRUE(),INDEX(INDEX($K:$K,E724+1):$K$203&lt;&gt;"",0),0)+E724,"")))</f>
        <v>900</v>
      </c>
      <c r="F725" s="7686">
        <f t="shared" si="212"/>
        <v>0</v>
      </c>
      <c r="G725" s="7686" t="str">
        <f t="shared" si="204"/>
        <v>0</v>
      </c>
      <c r="H725" s="7687" t="str">
        <f t="shared" si="205"/>
        <v/>
      </c>
      <c r="I725" s="7685" t="str">
        <f t="shared" si="206"/>
        <v/>
      </c>
      <c r="M725" s="7622">
        <f t="shared" si="207"/>
        <v>1</v>
      </c>
      <c r="N725" s="7688">
        <f t="shared" si="208"/>
        <v>708</v>
      </c>
      <c r="O725" s="7661" t="str">
        <f t="shared" si="209"/>
        <v>0</v>
      </c>
      <c r="P725" s="7688">
        <f t="shared" si="210"/>
        <v>1</v>
      </c>
      <c r="Q725" s="7688">
        <f t="shared" si="211"/>
        <v>1</v>
      </c>
      <c r="CA725" s="3170" t="s">
        <v>16501</v>
      </c>
      <c r="CB725" s="7690" t="s">
        <v>17720</v>
      </c>
      <c r="CC725" s="3170" t="s">
        <v>17737</v>
      </c>
      <c r="CD725" s="3170" t="s">
        <v>17738</v>
      </c>
    </row>
    <row r="726" spans="2:82">
      <c r="B726" s="7685"/>
      <c r="C726" s="7685"/>
      <c r="D726" s="7685"/>
      <c r="E726" s="7685">
        <f>IF(H725&lt;&gt;"",E725,IF(E725="","",IFERROR(MATCH(TRUE(),INDEX(INDEX($K:$K,E725+1):$K$203&lt;&gt;"",0),0)+E725,"")))</f>
        <v>901</v>
      </c>
      <c r="F726" s="7686">
        <f t="shared" si="212"/>
        <v>0</v>
      </c>
      <c r="G726" s="7686" t="str">
        <f t="shared" si="204"/>
        <v>0</v>
      </c>
      <c r="H726" s="7687" t="str">
        <f t="shared" si="205"/>
        <v/>
      </c>
      <c r="I726" s="7685" t="str">
        <f t="shared" si="206"/>
        <v/>
      </c>
      <c r="M726" s="7622">
        <f t="shared" si="207"/>
        <v>1</v>
      </c>
      <c r="N726" s="7688">
        <f t="shared" si="208"/>
        <v>709</v>
      </c>
      <c r="O726" s="7661" t="str">
        <f t="shared" si="209"/>
        <v>0</v>
      </c>
      <c r="P726" s="7688">
        <f t="shared" si="210"/>
        <v>1</v>
      </c>
      <c r="Q726" s="7688">
        <f t="shared" si="211"/>
        <v>1</v>
      </c>
      <c r="CA726" s="3170" t="s">
        <v>16629</v>
      </c>
      <c r="CB726" s="7690" t="s">
        <v>17720</v>
      </c>
      <c r="CC726" s="3170" t="s">
        <v>17739</v>
      </c>
      <c r="CD726" s="3170" t="s">
        <v>17740</v>
      </c>
    </row>
    <row r="727" spans="2:82">
      <c r="B727" s="7685"/>
      <c r="C727" s="7685"/>
      <c r="D727" s="7685"/>
      <c r="E727" s="7685">
        <f>IF(H726&lt;&gt;"",E726,IF(E726="","",IFERROR(MATCH(TRUE(),INDEX(INDEX($K:$K,E726+1):$K$203&lt;&gt;"",0),0)+E726,"")))</f>
        <v>902</v>
      </c>
      <c r="F727" s="7686">
        <f t="shared" si="212"/>
        <v>0</v>
      </c>
      <c r="G727" s="7686" t="str">
        <f t="shared" si="204"/>
        <v>0</v>
      </c>
      <c r="H727" s="7687" t="str">
        <f t="shared" si="205"/>
        <v/>
      </c>
      <c r="I727" s="7685" t="str">
        <f t="shared" si="206"/>
        <v/>
      </c>
      <c r="M727" s="7622">
        <f t="shared" si="207"/>
        <v>1</v>
      </c>
      <c r="N727" s="7688">
        <f t="shared" si="208"/>
        <v>710</v>
      </c>
      <c r="O727" s="7661" t="str">
        <f t="shared" si="209"/>
        <v>0</v>
      </c>
      <c r="P727" s="7688">
        <f t="shared" si="210"/>
        <v>1</v>
      </c>
      <c r="Q727" s="7688">
        <f t="shared" si="211"/>
        <v>1</v>
      </c>
      <c r="CA727" s="3170" t="s">
        <v>16629</v>
      </c>
      <c r="CB727" s="7690" t="s">
        <v>17720</v>
      </c>
      <c r="CC727" s="3170" t="s">
        <v>17741</v>
      </c>
      <c r="CD727" s="3170" t="s">
        <v>17742</v>
      </c>
    </row>
    <row r="728" spans="2:82">
      <c r="B728" s="7685"/>
      <c r="C728" s="7685"/>
      <c r="D728" s="7685"/>
      <c r="E728" s="7685">
        <f>IF(H727&lt;&gt;"",E727,IF(E727="","",IFERROR(MATCH(TRUE(),INDEX(INDEX($K:$K,E727+1):$K$203&lt;&gt;"",0),0)+E727,"")))</f>
        <v>903</v>
      </c>
      <c r="F728" s="7686">
        <f t="shared" si="212"/>
        <v>0</v>
      </c>
      <c r="G728" s="7686" t="str">
        <f t="shared" si="204"/>
        <v>0</v>
      </c>
      <c r="H728" s="7687" t="str">
        <f t="shared" si="205"/>
        <v/>
      </c>
      <c r="I728" s="7685" t="str">
        <f t="shared" si="206"/>
        <v/>
      </c>
      <c r="M728" s="7622">
        <f t="shared" si="207"/>
        <v>1</v>
      </c>
      <c r="N728" s="7688">
        <f t="shared" si="208"/>
        <v>711</v>
      </c>
      <c r="O728" s="7661" t="str">
        <f t="shared" si="209"/>
        <v>0</v>
      </c>
      <c r="P728" s="7688">
        <f t="shared" si="210"/>
        <v>1</v>
      </c>
      <c r="Q728" s="7688">
        <f t="shared" si="211"/>
        <v>1</v>
      </c>
      <c r="CA728" s="3170" t="s">
        <v>16629</v>
      </c>
      <c r="CB728" s="7690" t="s">
        <v>17720</v>
      </c>
      <c r="CC728" s="3170" t="s">
        <v>17743</v>
      </c>
      <c r="CD728" s="3170" t="s">
        <v>17744</v>
      </c>
    </row>
    <row r="729" spans="2:82">
      <c r="B729" s="7685"/>
      <c r="C729" s="7685"/>
      <c r="D729" s="7685"/>
      <c r="E729" s="7685">
        <f>IF(H728&lt;&gt;"",E728,IF(E728="","",IFERROR(MATCH(TRUE(),INDEX(INDEX($K:$K,E728+1):$K$203&lt;&gt;"",0),0)+E728,"")))</f>
        <v>904</v>
      </c>
      <c r="F729" s="7686">
        <f t="shared" si="212"/>
        <v>0</v>
      </c>
      <c r="G729" s="7686" t="str">
        <f t="shared" si="204"/>
        <v>0</v>
      </c>
      <c r="H729" s="7687" t="str">
        <f t="shared" si="205"/>
        <v/>
      </c>
      <c r="I729" s="7685" t="str">
        <f t="shared" si="206"/>
        <v/>
      </c>
      <c r="M729" s="7622">
        <f t="shared" si="207"/>
        <v>1</v>
      </c>
      <c r="N729" s="7688">
        <f t="shared" si="208"/>
        <v>712</v>
      </c>
      <c r="O729" s="7661" t="str">
        <f t="shared" si="209"/>
        <v>0</v>
      </c>
      <c r="P729" s="7688">
        <f t="shared" si="210"/>
        <v>1</v>
      </c>
      <c r="Q729" s="7688">
        <f t="shared" si="211"/>
        <v>1</v>
      </c>
      <c r="CA729" s="3170" t="s">
        <v>16629</v>
      </c>
      <c r="CB729" s="7690" t="s">
        <v>17720</v>
      </c>
      <c r="CC729" s="3170" t="s">
        <v>17745</v>
      </c>
      <c r="CD729" s="3170" t="s">
        <v>17746</v>
      </c>
    </row>
    <row r="730" spans="2:82">
      <c r="B730" s="7685"/>
      <c r="C730" s="7685"/>
      <c r="D730" s="7685"/>
      <c r="E730" s="7685">
        <f>IF(H729&lt;&gt;"",E729,IF(E729="","",IFERROR(MATCH(TRUE(),INDEX(INDEX($K:$K,E729+1):$K$203&lt;&gt;"",0),0)+E729,"")))</f>
        <v>905</v>
      </c>
      <c r="F730" s="7686">
        <f t="shared" si="212"/>
        <v>0</v>
      </c>
      <c r="G730" s="7686" t="str">
        <f t="shared" si="204"/>
        <v>0</v>
      </c>
      <c r="H730" s="7687" t="str">
        <f t="shared" si="205"/>
        <v/>
      </c>
      <c r="I730" s="7685" t="str">
        <f t="shared" si="206"/>
        <v/>
      </c>
      <c r="M730" s="7622">
        <f t="shared" si="207"/>
        <v>1</v>
      </c>
      <c r="N730" s="7688">
        <f t="shared" si="208"/>
        <v>713</v>
      </c>
      <c r="O730" s="7661" t="str">
        <f t="shared" si="209"/>
        <v>0</v>
      </c>
      <c r="P730" s="7688">
        <f t="shared" si="210"/>
        <v>1</v>
      </c>
      <c r="Q730" s="7688">
        <f t="shared" si="211"/>
        <v>1</v>
      </c>
      <c r="CA730" s="3170" t="s">
        <v>16629</v>
      </c>
      <c r="CB730" s="7690" t="s">
        <v>17720</v>
      </c>
      <c r="CC730" s="3170" t="s">
        <v>17747</v>
      </c>
      <c r="CD730" s="3170" t="s">
        <v>17748</v>
      </c>
    </row>
    <row r="731" spans="2:82">
      <c r="B731" s="7685"/>
      <c r="C731" s="7685"/>
      <c r="D731" s="7685"/>
      <c r="E731" s="7685">
        <f>IF(H730&lt;&gt;"",E730,IF(E730="","",IFERROR(MATCH(TRUE(),INDEX(INDEX($K:$K,E730+1):$K$203&lt;&gt;"",0),0)+E730,"")))</f>
        <v>906</v>
      </c>
      <c r="F731" s="7686">
        <f t="shared" si="212"/>
        <v>0</v>
      </c>
      <c r="G731" s="7686" t="str">
        <f t="shared" si="204"/>
        <v>0</v>
      </c>
      <c r="H731" s="7687" t="str">
        <f t="shared" si="205"/>
        <v/>
      </c>
      <c r="I731" s="7685" t="str">
        <f t="shared" si="206"/>
        <v/>
      </c>
      <c r="M731" s="7622">
        <f t="shared" si="207"/>
        <v>1</v>
      </c>
      <c r="N731" s="7688">
        <f t="shared" si="208"/>
        <v>714</v>
      </c>
      <c r="O731" s="7661" t="str">
        <f t="shared" si="209"/>
        <v>0</v>
      </c>
      <c r="P731" s="7688">
        <f t="shared" si="210"/>
        <v>1</v>
      </c>
      <c r="Q731" s="7688">
        <f t="shared" si="211"/>
        <v>1</v>
      </c>
      <c r="CA731" s="3170" t="s">
        <v>16629</v>
      </c>
      <c r="CB731" s="7690" t="s">
        <v>17720</v>
      </c>
      <c r="CC731" s="3170" t="s">
        <v>17749</v>
      </c>
      <c r="CD731" s="3170" t="s">
        <v>17750</v>
      </c>
    </row>
    <row r="732" spans="2:82">
      <c r="B732" s="7685"/>
      <c r="C732" s="7685"/>
      <c r="D732" s="7685"/>
      <c r="E732" s="7685">
        <f>IF(H731&lt;&gt;"",E731,IF(E731="","",IFERROR(MATCH(TRUE(),INDEX(INDEX($K:$K,E731+1):$K$203&lt;&gt;"",0),0)+E731,"")))</f>
        <v>907</v>
      </c>
      <c r="F732" s="7686">
        <f t="shared" si="212"/>
        <v>0</v>
      </c>
      <c r="G732" s="7686" t="str">
        <f t="shared" si="204"/>
        <v>0</v>
      </c>
      <c r="H732" s="7687" t="str">
        <f t="shared" si="205"/>
        <v/>
      </c>
      <c r="I732" s="7685" t="str">
        <f t="shared" si="206"/>
        <v/>
      </c>
      <c r="M732" s="7622">
        <f t="shared" si="207"/>
        <v>1</v>
      </c>
      <c r="N732" s="7688">
        <f t="shared" si="208"/>
        <v>715</v>
      </c>
      <c r="O732" s="7661" t="str">
        <f t="shared" si="209"/>
        <v>0</v>
      </c>
      <c r="P732" s="7688">
        <f t="shared" si="210"/>
        <v>1</v>
      </c>
      <c r="Q732" s="7688">
        <f t="shared" si="211"/>
        <v>1</v>
      </c>
      <c r="CA732" s="3170" t="s">
        <v>16629</v>
      </c>
      <c r="CB732" s="7690" t="s">
        <v>17720</v>
      </c>
      <c r="CC732" s="3170" t="s">
        <v>17751</v>
      </c>
      <c r="CD732" s="3170" t="s">
        <v>17752</v>
      </c>
    </row>
    <row r="733" spans="2:82">
      <c r="B733" s="7685"/>
      <c r="C733" s="7685"/>
      <c r="D733" s="7685"/>
      <c r="E733" s="7685">
        <f>IF(H732&lt;&gt;"",E732,IF(E732="","",IFERROR(MATCH(TRUE(),INDEX(INDEX($K:$K,E732+1):$K$203&lt;&gt;"",0),0)+E732,"")))</f>
        <v>908</v>
      </c>
      <c r="F733" s="7686">
        <f t="shared" si="212"/>
        <v>0</v>
      </c>
      <c r="G733" s="7686" t="str">
        <f t="shared" si="204"/>
        <v>0</v>
      </c>
      <c r="H733" s="7687" t="str">
        <f t="shared" si="205"/>
        <v/>
      </c>
      <c r="I733" s="7685" t="str">
        <f t="shared" si="206"/>
        <v/>
      </c>
      <c r="M733" s="7622">
        <f t="shared" si="207"/>
        <v>1</v>
      </c>
      <c r="N733" s="7688">
        <f t="shared" si="208"/>
        <v>716</v>
      </c>
      <c r="O733" s="7661" t="str">
        <f t="shared" si="209"/>
        <v>0</v>
      </c>
      <c r="P733" s="7688">
        <f t="shared" si="210"/>
        <v>1</v>
      </c>
      <c r="Q733" s="7688">
        <f t="shared" si="211"/>
        <v>1</v>
      </c>
      <c r="CA733" s="3170" t="s">
        <v>16629</v>
      </c>
      <c r="CB733" s="7690" t="s">
        <v>17720</v>
      </c>
      <c r="CC733" s="3170" t="s">
        <v>17753</v>
      </c>
      <c r="CD733" s="3170" t="s">
        <v>17754</v>
      </c>
    </row>
    <row r="734" spans="2:82">
      <c r="B734" s="7685"/>
      <c r="C734" s="7685"/>
      <c r="D734" s="7685"/>
      <c r="E734" s="7685">
        <f>IF(H733&lt;&gt;"",E733,IF(E733="","",IFERROR(MATCH(TRUE(),INDEX(INDEX($K:$K,E733+1):$K$203&lt;&gt;"",0),0)+E733,"")))</f>
        <v>909</v>
      </c>
      <c r="F734" s="7686">
        <f t="shared" si="212"/>
        <v>0</v>
      </c>
      <c r="G734" s="7686" t="str">
        <f t="shared" si="204"/>
        <v>0</v>
      </c>
      <c r="H734" s="7687" t="str">
        <f t="shared" si="205"/>
        <v/>
      </c>
      <c r="I734" s="7685" t="str">
        <f t="shared" si="206"/>
        <v/>
      </c>
      <c r="M734" s="7622">
        <f t="shared" si="207"/>
        <v>1</v>
      </c>
      <c r="N734" s="7688">
        <f t="shared" si="208"/>
        <v>717</v>
      </c>
      <c r="O734" s="7661" t="str">
        <f t="shared" si="209"/>
        <v>0</v>
      </c>
      <c r="P734" s="7688">
        <f t="shared" si="210"/>
        <v>1</v>
      </c>
      <c r="Q734" s="7688">
        <f t="shared" si="211"/>
        <v>1</v>
      </c>
      <c r="CA734" s="3170" t="s">
        <v>966</v>
      </c>
      <c r="CB734" s="7690" t="s">
        <v>17720</v>
      </c>
      <c r="CC734" s="3170" t="s">
        <v>17755</v>
      </c>
      <c r="CD734" s="3170" t="s">
        <v>17756</v>
      </c>
    </row>
    <row r="735" spans="2:82">
      <c r="B735" s="7685"/>
      <c r="C735" s="7685"/>
      <c r="D735" s="7685"/>
      <c r="E735" s="7685">
        <f>IF(H734&lt;&gt;"",E734,IF(E734="","",IFERROR(MATCH(TRUE(),INDEX(INDEX($K:$K,E734+1):$K$203&lt;&gt;"",0),0)+E734,"")))</f>
        <v>910</v>
      </c>
      <c r="F735" s="7686">
        <f t="shared" si="212"/>
        <v>0</v>
      </c>
      <c r="G735" s="7686" t="str">
        <f t="shared" si="204"/>
        <v>0</v>
      </c>
      <c r="H735" s="7687" t="str">
        <f t="shared" si="205"/>
        <v/>
      </c>
      <c r="I735" s="7685" t="str">
        <f t="shared" si="206"/>
        <v/>
      </c>
      <c r="M735" s="7622">
        <f t="shared" si="207"/>
        <v>1</v>
      </c>
      <c r="N735" s="7688">
        <f t="shared" si="208"/>
        <v>718</v>
      </c>
      <c r="O735" s="7661" t="str">
        <f t="shared" si="209"/>
        <v>0</v>
      </c>
      <c r="P735" s="7688">
        <f t="shared" si="210"/>
        <v>1</v>
      </c>
      <c r="Q735" s="7688">
        <f t="shared" si="211"/>
        <v>1</v>
      </c>
      <c r="CA735" s="3170" t="s">
        <v>966</v>
      </c>
      <c r="CB735" s="7690" t="s">
        <v>17720</v>
      </c>
      <c r="CC735" s="3170" t="s">
        <v>17757</v>
      </c>
      <c r="CD735" s="3170" t="s">
        <v>17758</v>
      </c>
    </row>
    <row r="736" spans="2:82">
      <c r="B736" s="7685"/>
      <c r="C736" s="7685"/>
      <c r="D736" s="7685"/>
      <c r="E736" s="7685">
        <f>IF(H735&lt;&gt;"",E735,IF(E735="","",IFERROR(MATCH(TRUE(),INDEX(INDEX($K:$K,E735+1):$K$203&lt;&gt;"",0),0)+E735,"")))</f>
        <v>911</v>
      </c>
      <c r="F736" s="7686">
        <f t="shared" si="212"/>
        <v>0</v>
      </c>
      <c r="G736" s="7686" t="str">
        <f t="shared" si="204"/>
        <v>0</v>
      </c>
      <c r="H736" s="7687" t="str">
        <f t="shared" si="205"/>
        <v/>
      </c>
      <c r="I736" s="7685" t="str">
        <f t="shared" si="206"/>
        <v/>
      </c>
      <c r="M736" s="7622">
        <f t="shared" si="207"/>
        <v>1</v>
      </c>
      <c r="N736" s="7688">
        <f t="shared" si="208"/>
        <v>719</v>
      </c>
      <c r="O736" s="7661" t="str">
        <f t="shared" si="209"/>
        <v>0</v>
      </c>
      <c r="P736" s="7688">
        <f t="shared" si="210"/>
        <v>1</v>
      </c>
      <c r="Q736" s="7688">
        <f t="shared" si="211"/>
        <v>1</v>
      </c>
      <c r="CA736" s="3170" t="s">
        <v>966</v>
      </c>
      <c r="CB736" s="7690" t="s">
        <v>17720</v>
      </c>
      <c r="CC736" s="3170" t="s">
        <v>17759</v>
      </c>
      <c r="CD736" s="3170" t="s">
        <v>17760</v>
      </c>
    </row>
    <row r="737" spans="2:82">
      <c r="B737" s="7685"/>
      <c r="C737" s="7685"/>
      <c r="D737" s="7685"/>
      <c r="E737" s="7685">
        <f>IF(H736&lt;&gt;"",E736,IF(E736="","",IFERROR(MATCH(TRUE(),INDEX(INDEX($K:$K,E736+1):$K$203&lt;&gt;"",0),0)+E736,"")))</f>
        <v>912</v>
      </c>
      <c r="F737" s="7686">
        <f t="shared" si="212"/>
        <v>0</v>
      </c>
      <c r="G737" s="7686" t="str">
        <f t="shared" si="204"/>
        <v>0</v>
      </c>
      <c r="H737" s="7687" t="str">
        <f t="shared" si="205"/>
        <v/>
      </c>
      <c r="I737" s="7685" t="str">
        <f t="shared" si="206"/>
        <v/>
      </c>
      <c r="M737" s="7622">
        <f t="shared" si="207"/>
        <v>1</v>
      </c>
      <c r="N737" s="7688">
        <f t="shared" si="208"/>
        <v>720</v>
      </c>
      <c r="O737" s="7661" t="str">
        <f t="shared" si="209"/>
        <v>0</v>
      </c>
      <c r="P737" s="7688">
        <f t="shared" si="210"/>
        <v>1</v>
      </c>
      <c r="Q737" s="7688">
        <f t="shared" si="211"/>
        <v>1</v>
      </c>
      <c r="CA737" s="3170" t="s">
        <v>966</v>
      </c>
      <c r="CB737" s="7690" t="s">
        <v>17720</v>
      </c>
      <c r="CC737" s="3170" t="s">
        <v>17761</v>
      </c>
      <c r="CD737" s="3170" t="s">
        <v>17762</v>
      </c>
    </row>
    <row r="738" spans="2:82">
      <c r="B738" s="7685"/>
      <c r="C738" s="7685"/>
      <c r="D738" s="7685"/>
      <c r="E738" s="7685">
        <f>IF(H737&lt;&gt;"",E737,IF(E737="","",IFERROR(MATCH(TRUE(),INDEX(INDEX($K:$K,E737+1):$K$203&lt;&gt;"",0),0)+E737,"")))</f>
        <v>913</v>
      </c>
      <c r="F738" s="7686">
        <f t="shared" si="212"/>
        <v>0</v>
      </c>
      <c r="G738" s="7686" t="str">
        <f t="shared" si="204"/>
        <v>0</v>
      </c>
      <c r="H738" s="7687" t="str">
        <f t="shared" si="205"/>
        <v/>
      </c>
      <c r="I738" s="7685" t="str">
        <f t="shared" si="206"/>
        <v/>
      </c>
      <c r="M738" s="7622">
        <f t="shared" si="207"/>
        <v>1</v>
      </c>
      <c r="N738" s="7688">
        <f t="shared" si="208"/>
        <v>721</v>
      </c>
      <c r="O738" s="7661" t="str">
        <f t="shared" si="209"/>
        <v>0</v>
      </c>
      <c r="P738" s="7688">
        <f t="shared" si="210"/>
        <v>1</v>
      </c>
      <c r="Q738" s="7688">
        <f t="shared" si="211"/>
        <v>1</v>
      </c>
      <c r="CA738" s="3170" t="s">
        <v>966</v>
      </c>
      <c r="CB738" s="7690" t="s">
        <v>17720</v>
      </c>
      <c r="CC738" s="3170" t="s">
        <v>17763</v>
      </c>
      <c r="CD738" s="3170" t="s">
        <v>17764</v>
      </c>
    </row>
    <row r="739" spans="2:82">
      <c r="B739" s="7685"/>
      <c r="C739" s="7685"/>
      <c r="D739" s="7685"/>
      <c r="E739" s="7685">
        <f>IF(H738&lt;&gt;"",E738,IF(E738="","",IFERROR(MATCH(TRUE(),INDEX(INDEX($K:$K,E738+1):$K$203&lt;&gt;"",0),0)+E738,"")))</f>
        <v>914</v>
      </c>
      <c r="F739" s="7686">
        <f t="shared" si="212"/>
        <v>0</v>
      </c>
      <c r="G739" s="7686" t="str">
        <f t="shared" si="204"/>
        <v>0</v>
      </c>
      <c r="H739" s="7687" t="str">
        <f t="shared" si="205"/>
        <v/>
      </c>
      <c r="I739" s="7685" t="str">
        <f t="shared" si="206"/>
        <v/>
      </c>
      <c r="M739" s="7622">
        <f t="shared" si="207"/>
        <v>1</v>
      </c>
      <c r="N739" s="7688">
        <f t="shared" si="208"/>
        <v>722</v>
      </c>
      <c r="O739" s="7661" t="str">
        <f t="shared" si="209"/>
        <v>0</v>
      </c>
      <c r="P739" s="7688">
        <f t="shared" si="210"/>
        <v>1</v>
      </c>
      <c r="Q739" s="7688">
        <f t="shared" si="211"/>
        <v>1</v>
      </c>
      <c r="CA739" s="3170" t="s">
        <v>966</v>
      </c>
      <c r="CB739" s="7690" t="s">
        <v>17720</v>
      </c>
      <c r="CC739" s="3170" t="s">
        <v>17765</v>
      </c>
      <c r="CD739" s="3170" t="s">
        <v>17766</v>
      </c>
    </row>
    <row r="740" spans="2:82">
      <c r="B740" s="7685"/>
      <c r="C740" s="7685"/>
      <c r="D740" s="7685"/>
      <c r="E740" s="7685">
        <f>IF(H739&lt;&gt;"",E739,IF(E739="","",IFERROR(MATCH(TRUE(),INDEX(INDEX($K:$K,E739+1):$K$203&lt;&gt;"",0),0)+E739,"")))</f>
        <v>915</v>
      </c>
      <c r="F740" s="7686">
        <f t="shared" si="212"/>
        <v>0</v>
      </c>
      <c r="G740" s="7686" t="str">
        <f t="shared" si="204"/>
        <v>0</v>
      </c>
      <c r="H740" s="7687" t="str">
        <f t="shared" si="205"/>
        <v/>
      </c>
      <c r="I740" s="7685" t="str">
        <f t="shared" si="206"/>
        <v/>
      </c>
      <c r="M740" s="7622">
        <f t="shared" si="207"/>
        <v>1</v>
      </c>
      <c r="N740" s="7688">
        <f t="shared" si="208"/>
        <v>723</v>
      </c>
      <c r="O740" s="7661" t="str">
        <f t="shared" si="209"/>
        <v>0</v>
      </c>
      <c r="P740" s="7688">
        <f t="shared" si="210"/>
        <v>1</v>
      </c>
      <c r="Q740" s="7688">
        <f t="shared" si="211"/>
        <v>1</v>
      </c>
      <c r="CA740" s="3170" t="s">
        <v>966</v>
      </c>
      <c r="CB740" s="7690" t="s">
        <v>17720</v>
      </c>
      <c r="CC740" s="3170" t="s">
        <v>17767</v>
      </c>
      <c r="CD740" s="3170" t="s">
        <v>17768</v>
      </c>
    </row>
    <row r="741" spans="2:82">
      <c r="B741" s="7685"/>
      <c r="C741" s="7685"/>
      <c r="D741" s="7685"/>
      <c r="E741" s="7685">
        <f>IF(H740&lt;&gt;"",E740,IF(E740="","",IFERROR(MATCH(TRUE(),INDEX(INDEX($K:$K,E740+1):$K$203&lt;&gt;"",0),0)+E740,"")))</f>
        <v>916</v>
      </c>
      <c r="F741" s="7686">
        <f t="shared" si="212"/>
        <v>0</v>
      </c>
      <c r="G741" s="7686" t="str">
        <f t="shared" si="204"/>
        <v>0</v>
      </c>
      <c r="H741" s="7687" t="str">
        <f t="shared" si="205"/>
        <v/>
      </c>
      <c r="I741" s="7685" t="str">
        <f t="shared" si="206"/>
        <v/>
      </c>
      <c r="M741" s="7622">
        <f t="shared" si="207"/>
        <v>1</v>
      </c>
      <c r="N741" s="7688">
        <f t="shared" si="208"/>
        <v>724</v>
      </c>
      <c r="O741" s="7661" t="str">
        <f t="shared" si="209"/>
        <v>0</v>
      </c>
      <c r="P741" s="7688">
        <f t="shared" si="210"/>
        <v>1</v>
      </c>
      <c r="Q741" s="7688">
        <f t="shared" si="211"/>
        <v>1</v>
      </c>
      <c r="CA741" s="3170" t="s">
        <v>966</v>
      </c>
      <c r="CB741" s="7690" t="s">
        <v>17720</v>
      </c>
      <c r="CC741" s="3170" t="s">
        <v>17769</v>
      </c>
      <c r="CD741" s="3170" t="s">
        <v>17770</v>
      </c>
    </row>
    <row r="742" spans="2:82">
      <c r="B742" s="7685"/>
      <c r="C742" s="7685"/>
      <c r="D742" s="7685"/>
      <c r="E742" s="7685">
        <f>IF(H741&lt;&gt;"",E741,IF(E741="","",IFERROR(MATCH(TRUE(),INDEX(INDEX($K:$K,E741+1):$K$203&lt;&gt;"",0),0)+E741,"")))</f>
        <v>917</v>
      </c>
      <c r="F742" s="7686">
        <f t="shared" si="212"/>
        <v>0</v>
      </c>
      <c r="G742" s="7686" t="str">
        <f t="shared" si="204"/>
        <v>0</v>
      </c>
      <c r="H742" s="7687" t="str">
        <f t="shared" si="205"/>
        <v/>
      </c>
      <c r="I742" s="7685" t="str">
        <f t="shared" si="206"/>
        <v/>
      </c>
      <c r="M742" s="7622">
        <f t="shared" si="207"/>
        <v>1</v>
      </c>
      <c r="N742" s="7688">
        <f t="shared" si="208"/>
        <v>725</v>
      </c>
      <c r="O742" s="7661" t="str">
        <f t="shared" si="209"/>
        <v>0</v>
      </c>
      <c r="P742" s="7688">
        <f t="shared" si="210"/>
        <v>1</v>
      </c>
      <c r="Q742" s="7688">
        <f t="shared" si="211"/>
        <v>1</v>
      </c>
      <c r="CA742" s="3170" t="s">
        <v>966</v>
      </c>
      <c r="CB742" s="7690" t="s">
        <v>17720</v>
      </c>
      <c r="CC742" s="3170" t="s">
        <v>17771</v>
      </c>
      <c r="CD742" s="3170" t="s">
        <v>17772</v>
      </c>
    </row>
    <row r="743" spans="2:82">
      <c r="B743" s="7685"/>
      <c r="C743" s="7685"/>
      <c r="D743" s="7685"/>
      <c r="E743" s="7685">
        <f>IF(H742&lt;&gt;"",E742,IF(E742="","",IFERROR(MATCH(TRUE(),INDEX(INDEX($K:$K,E742+1):$K$203&lt;&gt;"",0),0)+E742,"")))</f>
        <v>918</v>
      </c>
      <c r="F743" s="7686">
        <f t="shared" si="212"/>
        <v>0</v>
      </c>
      <c r="G743" s="7686" t="str">
        <f t="shared" si="204"/>
        <v>0</v>
      </c>
      <c r="H743" s="7687" t="str">
        <f t="shared" si="205"/>
        <v/>
      </c>
      <c r="I743" s="7685" t="str">
        <f t="shared" si="206"/>
        <v/>
      </c>
      <c r="M743" s="7622">
        <f t="shared" si="207"/>
        <v>1</v>
      </c>
      <c r="N743" s="7688">
        <f t="shared" si="208"/>
        <v>726</v>
      </c>
      <c r="O743" s="7661" t="str">
        <f t="shared" si="209"/>
        <v>0</v>
      </c>
      <c r="P743" s="7688">
        <f t="shared" si="210"/>
        <v>1</v>
      </c>
      <c r="Q743" s="7688">
        <f t="shared" si="211"/>
        <v>1</v>
      </c>
      <c r="CA743" s="3170" t="s">
        <v>966</v>
      </c>
      <c r="CB743" s="7690" t="s">
        <v>17720</v>
      </c>
      <c r="CC743" s="3170" t="s">
        <v>17773</v>
      </c>
      <c r="CD743" s="3170" t="s">
        <v>17774</v>
      </c>
    </row>
    <row r="744" spans="2:82">
      <c r="B744" s="7685"/>
      <c r="C744" s="7685"/>
      <c r="D744" s="7685"/>
      <c r="E744" s="7685">
        <f>IF(H743&lt;&gt;"",E743,IF(E743="","",IFERROR(MATCH(TRUE(),INDEX(INDEX($K:$K,E743+1):$K$203&lt;&gt;"",0),0)+E743,"")))</f>
        <v>919</v>
      </c>
      <c r="F744" s="7686">
        <f t="shared" si="212"/>
        <v>0</v>
      </c>
      <c r="G744" s="7686" t="str">
        <f t="shared" si="204"/>
        <v>0</v>
      </c>
      <c r="H744" s="7687" t="str">
        <f t="shared" si="205"/>
        <v/>
      </c>
      <c r="I744" s="7685" t="str">
        <f t="shared" si="206"/>
        <v/>
      </c>
      <c r="M744" s="7622">
        <f t="shared" si="207"/>
        <v>1</v>
      </c>
      <c r="N744" s="7688">
        <f t="shared" si="208"/>
        <v>727</v>
      </c>
      <c r="O744" s="7661" t="str">
        <f t="shared" si="209"/>
        <v>0</v>
      </c>
      <c r="P744" s="7688">
        <f t="shared" si="210"/>
        <v>1</v>
      </c>
      <c r="Q744" s="7688">
        <f t="shared" si="211"/>
        <v>1</v>
      </c>
      <c r="CA744" s="3170" t="s">
        <v>966</v>
      </c>
      <c r="CB744" s="7690" t="s">
        <v>17720</v>
      </c>
      <c r="CC744" s="3170" t="s">
        <v>17775</v>
      </c>
      <c r="CD744" s="3170" t="s">
        <v>17776</v>
      </c>
    </row>
    <row r="745" spans="2:82">
      <c r="B745" s="7685"/>
      <c r="C745" s="7685"/>
      <c r="D745" s="7685"/>
      <c r="E745" s="7685">
        <f>IF(H744&lt;&gt;"",E744,IF(E744="","",IFERROR(MATCH(TRUE(),INDEX(INDEX($K:$K,E744+1):$K$203&lt;&gt;"",0),0)+E744,"")))</f>
        <v>920</v>
      </c>
      <c r="F745" s="7686">
        <f t="shared" si="212"/>
        <v>0</v>
      </c>
      <c r="G745" s="7686" t="str">
        <f t="shared" si="204"/>
        <v>0</v>
      </c>
      <c r="H745" s="7687" t="str">
        <f t="shared" si="205"/>
        <v/>
      </c>
      <c r="I745" s="7685" t="str">
        <f t="shared" si="206"/>
        <v/>
      </c>
      <c r="M745" s="7622">
        <f t="shared" si="207"/>
        <v>1</v>
      </c>
      <c r="N745" s="7688">
        <f t="shared" si="208"/>
        <v>728</v>
      </c>
      <c r="O745" s="7661" t="str">
        <f t="shared" si="209"/>
        <v>0</v>
      </c>
      <c r="P745" s="7688">
        <f t="shared" si="210"/>
        <v>1</v>
      </c>
      <c r="Q745" s="7688">
        <f t="shared" si="211"/>
        <v>1</v>
      </c>
      <c r="CA745" s="3170" t="s">
        <v>4036</v>
      </c>
      <c r="CB745" s="7690" t="s">
        <v>17720</v>
      </c>
      <c r="CC745" s="3170" t="s">
        <v>17777</v>
      </c>
      <c r="CD745" s="3170" t="s">
        <v>17778</v>
      </c>
    </row>
    <row r="746" spans="2:82">
      <c r="B746" s="7685"/>
      <c r="C746" s="7685"/>
      <c r="D746" s="7685"/>
      <c r="E746" s="7685">
        <f>IF(H745&lt;&gt;"",E745,IF(E745="","",IFERROR(MATCH(TRUE(),INDEX(INDEX($K:$K,E745+1):$K$203&lt;&gt;"",0),0)+E745,"")))</f>
        <v>921</v>
      </c>
      <c r="F746" s="7686">
        <f t="shared" si="212"/>
        <v>0</v>
      </c>
      <c r="G746" s="7686" t="str">
        <f t="shared" si="204"/>
        <v>0</v>
      </c>
      <c r="H746" s="7687" t="str">
        <f t="shared" si="205"/>
        <v/>
      </c>
      <c r="I746" s="7685" t="str">
        <f t="shared" si="206"/>
        <v/>
      </c>
      <c r="M746" s="7622">
        <f t="shared" si="207"/>
        <v>1</v>
      </c>
      <c r="N746" s="7688">
        <f t="shared" si="208"/>
        <v>729</v>
      </c>
      <c r="O746" s="7661" t="str">
        <f t="shared" si="209"/>
        <v>0</v>
      </c>
      <c r="P746" s="7688">
        <f t="shared" si="210"/>
        <v>1</v>
      </c>
      <c r="Q746" s="7688">
        <f t="shared" si="211"/>
        <v>1</v>
      </c>
      <c r="CA746" s="3170" t="s">
        <v>4036</v>
      </c>
      <c r="CB746" s="7690" t="s">
        <v>17720</v>
      </c>
      <c r="CC746" s="3170" t="s">
        <v>17779</v>
      </c>
      <c r="CD746" s="3170" t="s">
        <v>17780</v>
      </c>
    </row>
    <row r="747" spans="2:82">
      <c r="B747" s="7685"/>
      <c r="C747" s="7685"/>
      <c r="D747" s="7685"/>
      <c r="E747" s="7685">
        <f>IF(H746&lt;&gt;"",E746,IF(E746="","",IFERROR(MATCH(TRUE(),INDEX(INDEX($K:$K,E746+1):$K$203&lt;&gt;"",0),0)+E746,"")))</f>
        <v>922</v>
      </c>
      <c r="F747" s="7686">
        <f t="shared" si="212"/>
        <v>0</v>
      </c>
      <c r="G747" s="7686" t="str">
        <f t="shared" si="204"/>
        <v>0</v>
      </c>
      <c r="H747" s="7687" t="str">
        <f t="shared" si="205"/>
        <v/>
      </c>
      <c r="I747" s="7685" t="str">
        <f t="shared" si="206"/>
        <v/>
      </c>
      <c r="M747" s="7622">
        <f t="shared" si="207"/>
        <v>1</v>
      </c>
      <c r="N747" s="7688">
        <f t="shared" si="208"/>
        <v>730</v>
      </c>
      <c r="O747" s="7661" t="str">
        <f t="shared" si="209"/>
        <v>0</v>
      </c>
      <c r="P747" s="7688">
        <f t="shared" si="210"/>
        <v>1</v>
      </c>
      <c r="Q747" s="7688">
        <f t="shared" si="211"/>
        <v>1</v>
      </c>
      <c r="CA747" s="3170" t="s">
        <v>4036</v>
      </c>
      <c r="CB747" s="7690" t="s">
        <v>17720</v>
      </c>
      <c r="CC747" s="3170" t="s">
        <v>17781</v>
      </c>
      <c r="CD747" s="3170" t="s">
        <v>17782</v>
      </c>
    </row>
    <row r="748" spans="2:82">
      <c r="B748" s="7685"/>
      <c r="C748" s="7685"/>
      <c r="D748" s="7685"/>
      <c r="E748" s="7685">
        <f>IF(H747&lt;&gt;"",E747,IF(E747="","",IFERROR(MATCH(TRUE(),INDEX(INDEX($K:$K,E747+1):$K$203&lt;&gt;"",0),0)+E747,"")))</f>
        <v>923</v>
      </c>
      <c r="F748" s="7686">
        <f t="shared" si="212"/>
        <v>0</v>
      </c>
      <c r="G748" s="7686" t="str">
        <f t="shared" si="204"/>
        <v>0</v>
      </c>
      <c r="H748" s="7687" t="str">
        <f t="shared" si="205"/>
        <v/>
      </c>
      <c r="I748" s="7685" t="str">
        <f t="shared" si="206"/>
        <v/>
      </c>
      <c r="M748" s="7622">
        <f t="shared" si="207"/>
        <v>1</v>
      </c>
      <c r="N748" s="7688">
        <f t="shared" si="208"/>
        <v>731</v>
      </c>
      <c r="O748" s="7661" t="str">
        <f t="shared" si="209"/>
        <v>0</v>
      </c>
      <c r="P748" s="7688">
        <f t="shared" si="210"/>
        <v>1</v>
      </c>
      <c r="Q748" s="7688">
        <f t="shared" si="211"/>
        <v>1</v>
      </c>
      <c r="CA748" s="3170" t="s">
        <v>4036</v>
      </c>
      <c r="CB748" s="7690" t="s">
        <v>17720</v>
      </c>
      <c r="CC748" s="3170" t="s">
        <v>17783</v>
      </c>
      <c r="CD748" s="3170" t="s">
        <v>17784</v>
      </c>
    </row>
    <row r="749" spans="2:82">
      <c r="B749" s="7685"/>
      <c r="C749" s="7685"/>
      <c r="D749" s="7685"/>
      <c r="E749" s="7685">
        <f>IF(H748&lt;&gt;"",E748,IF(E748="","",IFERROR(MATCH(TRUE(),INDEX(INDEX($K:$K,E748+1):$K$203&lt;&gt;"",0),0)+E748,"")))</f>
        <v>924</v>
      </c>
      <c r="F749" s="7686">
        <f t="shared" si="212"/>
        <v>0</v>
      </c>
      <c r="G749" s="7686" t="str">
        <f t="shared" si="204"/>
        <v>0</v>
      </c>
      <c r="H749" s="7687" t="str">
        <f t="shared" si="205"/>
        <v/>
      </c>
      <c r="I749" s="7685" t="str">
        <f t="shared" si="206"/>
        <v/>
      </c>
      <c r="M749" s="7622">
        <f t="shared" si="207"/>
        <v>1</v>
      </c>
      <c r="N749" s="7688">
        <f t="shared" si="208"/>
        <v>732</v>
      </c>
      <c r="O749" s="7661" t="str">
        <f t="shared" si="209"/>
        <v>0</v>
      </c>
      <c r="P749" s="7688">
        <f t="shared" si="210"/>
        <v>1</v>
      </c>
      <c r="Q749" s="7688">
        <f t="shared" si="211"/>
        <v>1</v>
      </c>
      <c r="CA749" s="3170" t="s">
        <v>4036</v>
      </c>
      <c r="CB749" s="7690" t="s">
        <v>17720</v>
      </c>
      <c r="CC749" s="3170" t="s">
        <v>17785</v>
      </c>
      <c r="CD749" s="3170" t="s">
        <v>17786</v>
      </c>
    </row>
    <row r="750" spans="2:82">
      <c r="B750" s="7685"/>
      <c r="C750" s="7685"/>
      <c r="D750" s="7685"/>
      <c r="E750" s="7685">
        <f>IF(H749&lt;&gt;"",E749,IF(E749="","",IFERROR(MATCH(TRUE(),INDEX(INDEX($K:$K,E749+1):$K$203&lt;&gt;"",0),0)+E749,"")))</f>
        <v>925</v>
      </c>
      <c r="F750" s="7686">
        <f t="shared" si="212"/>
        <v>0</v>
      </c>
      <c r="G750" s="7686" t="str">
        <f t="shared" si="204"/>
        <v>0</v>
      </c>
      <c r="H750" s="7687" t="str">
        <f t="shared" si="205"/>
        <v/>
      </c>
      <c r="I750" s="7685" t="str">
        <f t="shared" si="206"/>
        <v/>
      </c>
      <c r="M750" s="7622">
        <f t="shared" si="207"/>
        <v>1</v>
      </c>
      <c r="N750" s="7688">
        <f t="shared" si="208"/>
        <v>733</v>
      </c>
      <c r="O750" s="7661" t="str">
        <f t="shared" si="209"/>
        <v>0</v>
      </c>
      <c r="P750" s="7688">
        <f t="shared" si="210"/>
        <v>1</v>
      </c>
      <c r="Q750" s="7688">
        <f t="shared" si="211"/>
        <v>1</v>
      </c>
      <c r="CA750" s="3170" t="s">
        <v>4036</v>
      </c>
      <c r="CB750" s="7690" t="s">
        <v>17720</v>
      </c>
      <c r="CC750" s="3170" t="s">
        <v>17787</v>
      </c>
      <c r="CD750" s="3170" t="s">
        <v>17788</v>
      </c>
    </row>
    <row r="751" spans="2:82">
      <c r="B751" s="7685"/>
      <c r="C751" s="7685"/>
      <c r="D751" s="7685"/>
      <c r="E751" s="7685">
        <f>IF(H750&lt;&gt;"",E750,IF(E750="","",IFERROR(MATCH(TRUE(),INDEX(INDEX($K:$K,E750+1):$K$203&lt;&gt;"",0),0)+E750,"")))</f>
        <v>926</v>
      </c>
      <c r="F751" s="7686">
        <f t="shared" si="212"/>
        <v>0</v>
      </c>
      <c r="G751" s="7686" t="str">
        <f t="shared" si="204"/>
        <v>0</v>
      </c>
      <c r="H751" s="7687" t="str">
        <f t="shared" si="205"/>
        <v/>
      </c>
      <c r="I751" s="7685" t="str">
        <f t="shared" si="206"/>
        <v/>
      </c>
      <c r="M751" s="7622">
        <f t="shared" si="207"/>
        <v>1</v>
      </c>
      <c r="N751" s="7688">
        <f t="shared" si="208"/>
        <v>734</v>
      </c>
      <c r="O751" s="7661" t="str">
        <f t="shared" si="209"/>
        <v>0</v>
      </c>
      <c r="P751" s="7688">
        <f t="shared" si="210"/>
        <v>1</v>
      </c>
      <c r="Q751" s="7688">
        <f t="shared" si="211"/>
        <v>1</v>
      </c>
      <c r="CA751" s="3170" t="s">
        <v>4036</v>
      </c>
      <c r="CB751" s="7690" t="s">
        <v>17720</v>
      </c>
      <c r="CC751" s="3170" t="s">
        <v>17789</v>
      </c>
      <c r="CD751" s="3170" t="s">
        <v>17790</v>
      </c>
    </row>
    <row r="752" spans="2:82">
      <c r="B752" s="7685"/>
      <c r="C752" s="7685"/>
      <c r="D752" s="7685"/>
      <c r="E752" s="7685">
        <f>IF(H751&lt;&gt;"",E751,IF(E751="","",IFERROR(MATCH(TRUE(),INDEX(INDEX($K:$K,E751+1):$K$203&lt;&gt;"",0),0)+E751,"")))</f>
        <v>927</v>
      </c>
      <c r="F752" s="7686">
        <f t="shared" si="212"/>
        <v>0</v>
      </c>
      <c r="G752" s="7686" t="str">
        <f t="shared" si="204"/>
        <v>0</v>
      </c>
      <c r="H752" s="7687" t="str">
        <f t="shared" si="205"/>
        <v/>
      </c>
      <c r="I752" s="7685" t="str">
        <f t="shared" si="206"/>
        <v/>
      </c>
      <c r="M752" s="7622">
        <f t="shared" si="207"/>
        <v>1</v>
      </c>
      <c r="N752" s="7688">
        <f t="shared" si="208"/>
        <v>735</v>
      </c>
      <c r="O752" s="7661" t="str">
        <f t="shared" si="209"/>
        <v>0</v>
      </c>
      <c r="P752" s="7688">
        <f t="shared" si="210"/>
        <v>1</v>
      </c>
      <c r="Q752" s="7688">
        <f t="shared" si="211"/>
        <v>1</v>
      </c>
      <c r="CA752" s="3170" t="s">
        <v>4036</v>
      </c>
      <c r="CB752" s="7690" t="s">
        <v>17720</v>
      </c>
      <c r="CC752" s="3170" t="s">
        <v>17791</v>
      </c>
      <c r="CD752" s="3170" t="s">
        <v>17792</v>
      </c>
    </row>
    <row r="753" spans="2:82">
      <c r="B753" s="7685"/>
      <c r="C753" s="7685"/>
      <c r="D753" s="7685"/>
      <c r="E753" s="7685">
        <f>IF(H752&lt;&gt;"",E752,IF(E752="","",IFERROR(MATCH(TRUE(),INDEX(INDEX($K:$K,E752+1):$K$203&lt;&gt;"",0),0)+E752,"")))</f>
        <v>928</v>
      </c>
      <c r="F753" s="7686">
        <f t="shared" si="212"/>
        <v>0</v>
      </c>
      <c r="G753" s="7686" t="str">
        <f t="shared" si="204"/>
        <v>0</v>
      </c>
      <c r="H753" s="7687" t="str">
        <f t="shared" si="205"/>
        <v/>
      </c>
      <c r="I753" s="7685" t="str">
        <f t="shared" si="206"/>
        <v/>
      </c>
      <c r="M753" s="7622">
        <f t="shared" si="207"/>
        <v>1</v>
      </c>
      <c r="N753" s="7688">
        <f t="shared" si="208"/>
        <v>736</v>
      </c>
      <c r="O753" s="7661" t="str">
        <f t="shared" si="209"/>
        <v>0</v>
      </c>
      <c r="P753" s="7688">
        <f t="shared" si="210"/>
        <v>1</v>
      </c>
      <c r="Q753" s="7688">
        <f t="shared" si="211"/>
        <v>1</v>
      </c>
      <c r="CA753" s="3170" t="s">
        <v>4036</v>
      </c>
      <c r="CB753" s="7690" t="s">
        <v>17720</v>
      </c>
      <c r="CC753" s="3170" t="s">
        <v>17793</v>
      </c>
      <c r="CD753" s="3170" t="s">
        <v>17794</v>
      </c>
    </row>
    <row r="754" spans="2:82">
      <c r="B754" s="7685"/>
      <c r="C754" s="7685"/>
      <c r="D754" s="7685"/>
      <c r="E754" s="7685">
        <f>IF(H753&lt;&gt;"",E753,IF(E753="","",IFERROR(MATCH(TRUE(),INDEX(INDEX($K:$K,E753+1):$K$203&lt;&gt;"",0),0)+E753,"")))</f>
        <v>929</v>
      </c>
      <c r="F754" s="7686">
        <f t="shared" si="212"/>
        <v>0</v>
      </c>
      <c r="G754" s="7686" t="str">
        <f t="shared" si="204"/>
        <v>0</v>
      </c>
      <c r="H754" s="7687" t="str">
        <f t="shared" si="205"/>
        <v/>
      </c>
      <c r="I754" s="7685" t="str">
        <f t="shared" si="206"/>
        <v/>
      </c>
      <c r="M754" s="7622">
        <f t="shared" si="207"/>
        <v>1</v>
      </c>
      <c r="N754" s="7688">
        <f t="shared" si="208"/>
        <v>737</v>
      </c>
      <c r="O754" s="7661" t="str">
        <f t="shared" si="209"/>
        <v>0</v>
      </c>
      <c r="P754" s="7688">
        <f t="shared" si="210"/>
        <v>1</v>
      </c>
      <c r="Q754" s="7688">
        <f t="shared" si="211"/>
        <v>1</v>
      </c>
      <c r="CA754" s="3170" t="s">
        <v>4036</v>
      </c>
      <c r="CB754" s="7690" t="s">
        <v>17720</v>
      </c>
      <c r="CC754" s="3170" t="s">
        <v>17795</v>
      </c>
      <c r="CD754" s="3170" t="s">
        <v>17796</v>
      </c>
    </row>
    <row r="755" spans="2:82">
      <c r="B755" s="7685"/>
      <c r="C755" s="7685"/>
      <c r="D755" s="7685"/>
      <c r="E755" s="7685">
        <f>IF(H754&lt;&gt;"",E754,IF(E754="","",IFERROR(MATCH(TRUE(),INDEX(INDEX($K:$K,E754+1):$K$203&lt;&gt;"",0),0)+E754,"")))</f>
        <v>930</v>
      </c>
      <c r="F755" s="7686">
        <f t="shared" si="212"/>
        <v>0</v>
      </c>
      <c r="G755" s="7686" t="str">
        <f t="shared" si="204"/>
        <v>0</v>
      </c>
      <c r="H755" s="7687" t="str">
        <f t="shared" si="205"/>
        <v/>
      </c>
      <c r="I755" s="7685" t="str">
        <f t="shared" si="206"/>
        <v/>
      </c>
      <c r="M755" s="7622">
        <f t="shared" si="207"/>
        <v>1</v>
      </c>
      <c r="N755" s="7688">
        <f t="shared" si="208"/>
        <v>738</v>
      </c>
      <c r="O755" s="7661" t="str">
        <f t="shared" si="209"/>
        <v>0</v>
      </c>
      <c r="P755" s="7688">
        <f t="shared" si="210"/>
        <v>1</v>
      </c>
      <c r="Q755" s="7688">
        <f t="shared" si="211"/>
        <v>1</v>
      </c>
      <c r="CA755" s="3170" t="s">
        <v>4036</v>
      </c>
      <c r="CB755" s="7690" t="s">
        <v>17720</v>
      </c>
      <c r="CC755" s="3170" t="s">
        <v>17797</v>
      </c>
      <c r="CD755" s="3170" t="s">
        <v>17798</v>
      </c>
    </row>
    <row r="756" spans="2:82">
      <c r="B756" s="7685"/>
      <c r="C756" s="7685"/>
      <c r="D756" s="7685"/>
      <c r="E756" s="7685">
        <f>IF(H755&lt;&gt;"",E755,IF(E755="","",IFERROR(MATCH(TRUE(),INDEX(INDEX($K:$K,E755+1):$K$203&lt;&gt;"",0),0)+E755,"")))</f>
        <v>931</v>
      </c>
      <c r="F756" s="7686">
        <f t="shared" si="212"/>
        <v>0</v>
      </c>
      <c r="G756" s="7686" t="str">
        <f t="shared" si="204"/>
        <v>0</v>
      </c>
      <c r="H756" s="7687" t="str">
        <f t="shared" si="205"/>
        <v/>
      </c>
      <c r="I756" s="7685" t="str">
        <f t="shared" si="206"/>
        <v/>
      </c>
      <c r="M756" s="7622">
        <f t="shared" si="207"/>
        <v>1</v>
      </c>
      <c r="N756" s="7688">
        <f t="shared" si="208"/>
        <v>739</v>
      </c>
      <c r="O756" s="7661" t="str">
        <f t="shared" si="209"/>
        <v>0</v>
      </c>
      <c r="P756" s="7688">
        <f t="shared" si="210"/>
        <v>1</v>
      </c>
      <c r="Q756" s="7688">
        <f t="shared" si="211"/>
        <v>1</v>
      </c>
      <c r="CA756" s="3170" t="s">
        <v>4036</v>
      </c>
      <c r="CB756" s="7690" t="s">
        <v>17720</v>
      </c>
      <c r="CC756" s="3170" t="s">
        <v>17799</v>
      </c>
      <c r="CD756" s="3170" t="s">
        <v>17800</v>
      </c>
    </row>
    <row r="757" spans="2:82">
      <c r="B757" s="7685"/>
      <c r="C757" s="7685"/>
      <c r="D757" s="7685"/>
      <c r="E757" s="7685">
        <f>IF(H756&lt;&gt;"",E756,IF(E756="","",IFERROR(MATCH(TRUE(),INDEX(INDEX($K:$K,E756+1):$K$203&lt;&gt;"",0),0)+E756,"")))</f>
        <v>932</v>
      </c>
      <c r="F757" s="7686">
        <f t="shared" si="212"/>
        <v>0</v>
      </c>
      <c r="G757" s="7686" t="str">
        <f t="shared" si="204"/>
        <v>0</v>
      </c>
      <c r="H757" s="7687" t="str">
        <f t="shared" si="205"/>
        <v/>
      </c>
      <c r="I757" s="7685" t="str">
        <f t="shared" si="206"/>
        <v/>
      </c>
      <c r="M757" s="7622">
        <f t="shared" si="207"/>
        <v>1</v>
      </c>
      <c r="N757" s="7688">
        <f t="shared" si="208"/>
        <v>740</v>
      </c>
      <c r="O757" s="7661" t="str">
        <f t="shared" si="209"/>
        <v>0</v>
      </c>
      <c r="P757" s="7688">
        <f t="shared" si="210"/>
        <v>1</v>
      </c>
      <c r="Q757" s="7688">
        <f t="shared" si="211"/>
        <v>1</v>
      </c>
      <c r="CA757" s="3170" t="s">
        <v>4036</v>
      </c>
      <c r="CB757" s="7690" t="s">
        <v>17720</v>
      </c>
      <c r="CC757" s="3170" t="s">
        <v>17801</v>
      </c>
      <c r="CD757" s="3170" t="s">
        <v>17802</v>
      </c>
    </row>
    <row r="758" spans="2:82">
      <c r="B758" s="7685"/>
      <c r="C758" s="7685"/>
      <c r="D758" s="7685"/>
      <c r="E758" s="7685">
        <f>IF(H757&lt;&gt;"",E757,IF(E757="","",IFERROR(MATCH(TRUE(),INDEX(INDEX($K:$K,E757+1):$K$203&lt;&gt;"",0),0)+E757,"")))</f>
        <v>933</v>
      </c>
      <c r="F758" s="7686">
        <f t="shared" si="212"/>
        <v>0</v>
      </c>
      <c r="G758" s="7686" t="str">
        <f t="shared" si="204"/>
        <v>0</v>
      </c>
      <c r="H758" s="7687" t="str">
        <f t="shared" si="205"/>
        <v/>
      </c>
      <c r="I758" s="7685" t="str">
        <f t="shared" si="206"/>
        <v/>
      </c>
      <c r="M758" s="7622">
        <f t="shared" si="207"/>
        <v>1</v>
      </c>
      <c r="N758" s="7688">
        <f t="shared" si="208"/>
        <v>741</v>
      </c>
      <c r="O758" s="7661" t="str">
        <f t="shared" si="209"/>
        <v>0</v>
      </c>
      <c r="P758" s="7688">
        <f t="shared" si="210"/>
        <v>1</v>
      </c>
      <c r="Q758" s="7688">
        <f t="shared" si="211"/>
        <v>1</v>
      </c>
      <c r="CA758" s="3170" t="s">
        <v>17182</v>
      </c>
      <c r="CB758" s="7690" t="s">
        <v>17720</v>
      </c>
      <c r="CC758" s="3170" t="s">
        <v>17803</v>
      </c>
      <c r="CD758" s="3170" t="s">
        <v>17804</v>
      </c>
    </row>
    <row r="759" spans="2:82">
      <c r="B759" s="7685"/>
      <c r="C759" s="7685"/>
      <c r="D759" s="7685"/>
      <c r="E759" s="7685">
        <f>IF(H758&lt;&gt;"",E758,IF(E758="","",IFERROR(MATCH(TRUE(),INDEX(INDEX($K:$K,E758+1):$K$203&lt;&gt;"",0),0)+E758,"")))</f>
        <v>934</v>
      </c>
      <c r="F759" s="7686">
        <f t="shared" si="212"/>
        <v>0</v>
      </c>
      <c r="G759" s="7686" t="str">
        <f t="shared" si="204"/>
        <v>0</v>
      </c>
      <c r="H759" s="7687" t="str">
        <f t="shared" si="205"/>
        <v/>
      </c>
      <c r="I759" s="7685" t="str">
        <f t="shared" si="206"/>
        <v/>
      </c>
      <c r="M759" s="7622">
        <f t="shared" si="207"/>
        <v>1</v>
      </c>
      <c r="N759" s="7688">
        <f t="shared" si="208"/>
        <v>742</v>
      </c>
      <c r="O759" s="7661" t="str">
        <f t="shared" si="209"/>
        <v>0</v>
      </c>
      <c r="P759" s="7688">
        <f t="shared" si="210"/>
        <v>1</v>
      </c>
      <c r="Q759" s="7688">
        <f t="shared" si="211"/>
        <v>1</v>
      </c>
      <c r="CA759" s="3170" t="s">
        <v>17182</v>
      </c>
      <c r="CB759" s="7690" t="s">
        <v>17720</v>
      </c>
      <c r="CC759" s="3170" t="s">
        <v>17805</v>
      </c>
      <c r="CD759" s="3170" t="s">
        <v>17806</v>
      </c>
    </row>
    <row r="760" spans="2:82">
      <c r="B760" s="7685"/>
      <c r="C760" s="7685"/>
      <c r="D760" s="7685"/>
      <c r="E760" s="7685">
        <f>IF(H759&lt;&gt;"",E759,IF(E759="","",IFERROR(MATCH(TRUE(),INDEX(INDEX($K:$K,E759+1):$K$203&lt;&gt;"",0),0)+E759,"")))</f>
        <v>935</v>
      </c>
      <c r="F760" s="7686">
        <f t="shared" si="212"/>
        <v>0</v>
      </c>
      <c r="G760" s="7686" t="str">
        <f t="shared" si="204"/>
        <v>0</v>
      </c>
      <c r="H760" s="7687" t="str">
        <f t="shared" si="205"/>
        <v/>
      </c>
      <c r="I760" s="7685" t="str">
        <f t="shared" si="206"/>
        <v/>
      </c>
      <c r="M760" s="7622">
        <f t="shared" si="207"/>
        <v>1</v>
      </c>
      <c r="N760" s="7688">
        <f t="shared" si="208"/>
        <v>743</v>
      </c>
      <c r="O760" s="7661" t="str">
        <f t="shared" si="209"/>
        <v>0</v>
      </c>
      <c r="P760" s="7688">
        <f t="shared" si="210"/>
        <v>1</v>
      </c>
      <c r="Q760" s="7688">
        <f t="shared" si="211"/>
        <v>1</v>
      </c>
      <c r="CA760" s="3170" t="s">
        <v>17182</v>
      </c>
      <c r="CB760" s="7690" t="s">
        <v>17720</v>
      </c>
      <c r="CC760" s="3170" t="s">
        <v>17807</v>
      </c>
      <c r="CD760" s="3170" t="s">
        <v>17808</v>
      </c>
    </row>
    <row r="761" spans="2:82">
      <c r="B761" s="7685"/>
      <c r="C761" s="7685"/>
      <c r="D761" s="7685"/>
      <c r="E761" s="7685">
        <f>IF(H760&lt;&gt;"",E760,IF(E760="","",IFERROR(MATCH(TRUE(),INDEX(INDEX($K:$K,E760+1):$K$203&lt;&gt;"",0),0)+E760,"")))</f>
        <v>936</v>
      </c>
      <c r="F761" s="7686">
        <f t="shared" si="212"/>
        <v>0</v>
      </c>
      <c r="G761" s="7686" t="str">
        <f t="shared" si="204"/>
        <v>0</v>
      </c>
      <c r="H761" s="7687" t="str">
        <f t="shared" si="205"/>
        <v/>
      </c>
      <c r="I761" s="7685" t="str">
        <f t="shared" si="206"/>
        <v/>
      </c>
      <c r="M761" s="7622">
        <f t="shared" si="207"/>
        <v>1</v>
      </c>
      <c r="N761" s="7688">
        <f t="shared" si="208"/>
        <v>744</v>
      </c>
      <c r="O761" s="7661" t="str">
        <f t="shared" si="209"/>
        <v>0</v>
      </c>
      <c r="P761" s="7688">
        <f t="shared" si="210"/>
        <v>1</v>
      </c>
      <c r="Q761" s="7688">
        <f t="shared" si="211"/>
        <v>1</v>
      </c>
      <c r="CA761" s="3170" t="s">
        <v>17182</v>
      </c>
      <c r="CB761" s="7690" t="s">
        <v>17720</v>
      </c>
      <c r="CC761" s="3170" t="s">
        <v>17809</v>
      </c>
      <c r="CD761" s="3170" t="s">
        <v>17810</v>
      </c>
    </row>
    <row r="762" spans="2:82">
      <c r="B762" s="7685"/>
      <c r="C762" s="7685"/>
      <c r="D762" s="7685"/>
      <c r="E762" s="7685">
        <f>IF(H761&lt;&gt;"",E761,IF(E761="","",IFERROR(MATCH(TRUE(),INDEX(INDEX($K:$K,E761+1):$K$203&lt;&gt;"",0),0)+E761,"")))</f>
        <v>937</v>
      </c>
      <c r="F762" s="7686">
        <f t="shared" si="212"/>
        <v>0</v>
      </c>
      <c r="G762" s="7686" t="str">
        <f t="shared" si="204"/>
        <v>0</v>
      </c>
      <c r="H762" s="7687" t="str">
        <f t="shared" si="205"/>
        <v/>
      </c>
      <c r="I762" s="7685" t="str">
        <f t="shared" si="206"/>
        <v/>
      </c>
      <c r="M762" s="7622">
        <f t="shared" si="207"/>
        <v>1</v>
      </c>
      <c r="N762" s="7688">
        <f t="shared" si="208"/>
        <v>745</v>
      </c>
      <c r="O762" s="7661" t="str">
        <f t="shared" si="209"/>
        <v>0</v>
      </c>
      <c r="P762" s="7688">
        <f t="shared" si="210"/>
        <v>1</v>
      </c>
      <c r="Q762" s="7688">
        <f t="shared" si="211"/>
        <v>1</v>
      </c>
      <c r="CA762" s="3170" t="s">
        <v>17182</v>
      </c>
      <c r="CB762" s="7690" t="s">
        <v>17720</v>
      </c>
      <c r="CC762" s="3170" t="s">
        <v>17811</v>
      </c>
      <c r="CD762" s="3170" t="s">
        <v>17812</v>
      </c>
    </row>
    <row r="763" spans="2:82">
      <c r="B763" s="7685"/>
      <c r="C763" s="7685"/>
      <c r="D763" s="7685"/>
      <c r="E763" s="7685">
        <f>IF(H762&lt;&gt;"",E762,IF(E762="","",IFERROR(MATCH(TRUE(),INDEX(INDEX($K:$K,E762+1):$K$203&lt;&gt;"",0),0)+E762,"")))</f>
        <v>938</v>
      </c>
      <c r="F763" s="7686">
        <f t="shared" si="212"/>
        <v>0</v>
      </c>
      <c r="G763" s="7686" t="str">
        <f t="shared" si="204"/>
        <v>0</v>
      </c>
      <c r="H763" s="7687" t="str">
        <f t="shared" si="205"/>
        <v/>
      </c>
      <c r="I763" s="7685" t="str">
        <f t="shared" si="206"/>
        <v/>
      </c>
      <c r="M763" s="7622">
        <f t="shared" si="207"/>
        <v>1</v>
      </c>
      <c r="N763" s="7688">
        <f t="shared" si="208"/>
        <v>746</v>
      </c>
      <c r="O763" s="7661" t="str">
        <f t="shared" si="209"/>
        <v>0</v>
      </c>
      <c r="P763" s="7688">
        <f t="shared" si="210"/>
        <v>1</v>
      </c>
      <c r="Q763" s="7688">
        <f t="shared" si="211"/>
        <v>1</v>
      </c>
      <c r="CA763" s="3170" t="s">
        <v>17182</v>
      </c>
      <c r="CB763" s="7690" t="s">
        <v>17720</v>
      </c>
      <c r="CC763" s="3170" t="s">
        <v>17813</v>
      </c>
      <c r="CD763" s="3170" t="s">
        <v>17814</v>
      </c>
    </row>
    <row r="764" spans="2:82">
      <c r="B764" s="7685"/>
      <c r="C764" s="7685"/>
      <c r="D764" s="7685"/>
      <c r="E764" s="7685">
        <f>IF(H763&lt;&gt;"",E763,IF(E763="","",IFERROR(MATCH(TRUE(),INDEX(INDEX($K:$K,E763+1):$K$203&lt;&gt;"",0),0)+E763,"")))</f>
        <v>939</v>
      </c>
      <c r="F764" s="7686">
        <f t="shared" si="212"/>
        <v>0</v>
      </c>
      <c r="G764" s="7686" t="str">
        <f t="shared" si="204"/>
        <v>0</v>
      </c>
      <c r="H764" s="7687" t="str">
        <f t="shared" si="205"/>
        <v/>
      </c>
      <c r="I764" s="7685" t="str">
        <f t="shared" si="206"/>
        <v/>
      </c>
      <c r="M764" s="7622">
        <f t="shared" si="207"/>
        <v>1</v>
      </c>
      <c r="N764" s="7688">
        <f t="shared" si="208"/>
        <v>747</v>
      </c>
      <c r="O764" s="7661" t="str">
        <f t="shared" si="209"/>
        <v>0</v>
      </c>
      <c r="P764" s="7688">
        <f t="shared" si="210"/>
        <v>1</v>
      </c>
      <c r="Q764" s="7688">
        <f t="shared" si="211"/>
        <v>1</v>
      </c>
      <c r="CA764" s="3170" t="s">
        <v>17182</v>
      </c>
      <c r="CB764" s="7690" t="s">
        <v>17720</v>
      </c>
      <c r="CC764" s="3170" t="s">
        <v>17815</v>
      </c>
      <c r="CD764" s="3170" t="s">
        <v>17816</v>
      </c>
    </row>
    <row r="765" spans="2:82">
      <c r="B765" s="7685"/>
      <c r="C765" s="7685"/>
      <c r="D765" s="7685"/>
      <c r="E765" s="7685">
        <f>IF(H764&lt;&gt;"",E764,IF(E764="","",IFERROR(MATCH(TRUE(),INDEX(INDEX($K:$K,E764+1):$K$203&lt;&gt;"",0),0)+E764,"")))</f>
        <v>940</v>
      </c>
      <c r="F765" s="7686">
        <f t="shared" si="212"/>
        <v>0</v>
      </c>
      <c r="G765" s="7686" t="str">
        <f t="shared" si="204"/>
        <v>0</v>
      </c>
      <c r="H765" s="7687" t="str">
        <f t="shared" si="205"/>
        <v/>
      </c>
      <c r="I765" s="7685" t="str">
        <f t="shared" si="206"/>
        <v/>
      </c>
      <c r="M765" s="7622">
        <f t="shared" si="207"/>
        <v>1</v>
      </c>
      <c r="N765" s="7688">
        <f t="shared" si="208"/>
        <v>748</v>
      </c>
      <c r="O765" s="7661" t="str">
        <f t="shared" si="209"/>
        <v>0</v>
      </c>
      <c r="P765" s="7688">
        <f t="shared" si="210"/>
        <v>1</v>
      </c>
      <c r="Q765" s="7688">
        <f t="shared" si="211"/>
        <v>1</v>
      </c>
      <c r="CA765" s="3170" t="s">
        <v>17182</v>
      </c>
      <c r="CB765" s="7690" t="s">
        <v>17720</v>
      </c>
      <c r="CC765" s="3170" t="s">
        <v>17817</v>
      </c>
      <c r="CD765" s="3170" t="s">
        <v>17818</v>
      </c>
    </row>
    <row r="766" spans="2:82">
      <c r="B766" s="7685"/>
      <c r="C766" s="7685"/>
      <c r="D766" s="7685"/>
      <c r="E766" s="7685">
        <f>IF(H765&lt;&gt;"",E765,IF(E765="","",IFERROR(MATCH(TRUE(),INDEX(INDEX($K:$K,E765+1):$K$203&lt;&gt;"",0),0)+E765,"")))</f>
        <v>941</v>
      </c>
      <c r="F766" s="7686">
        <f t="shared" si="212"/>
        <v>0</v>
      </c>
      <c r="G766" s="7686" t="str">
        <f t="shared" si="204"/>
        <v>0</v>
      </c>
      <c r="H766" s="7687" t="str">
        <f t="shared" si="205"/>
        <v/>
      </c>
      <c r="I766" s="7685" t="str">
        <f t="shared" si="206"/>
        <v/>
      </c>
      <c r="M766" s="7622">
        <f t="shared" si="207"/>
        <v>1</v>
      </c>
      <c r="N766" s="7688">
        <f t="shared" si="208"/>
        <v>749</v>
      </c>
      <c r="O766" s="7661" t="str">
        <f t="shared" si="209"/>
        <v>0</v>
      </c>
      <c r="P766" s="7688">
        <f t="shared" si="210"/>
        <v>1</v>
      </c>
      <c r="Q766" s="7688">
        <f t="shared" si="211"/>
        <v>1</v>
      </c>
      <c r="CA766" s="3170" t="s">
        <v>17182</v>
      </c>
      <c r="CB766" s="7690" t="s">
        <v>17720</v>
      </c>
      <c r="CC766" s="3170" t="s">
        <v>17819</v>
      </c>
      <c r="CD766" s="3170" t="s">
        <v>17820</v>
      </c>
    </row>
    <row r="767" spans="2:82">
      <c r="B767" s="7685"/>
      <c r="C767" s="7685"/>
      <c r="D767" s="7685"/>
      <c r="E767" s="7685">
        <f>IF(H766&lt;&gt;"",E766,IF(E766="","",IFERROR(MATCH(TRUE(),INDEX(INDEX($K:$K,E766+1):$K$203&lt;&gt;"",0),0)+E766,"")))</f>
        <v>942</v>
      </c>
      <c r="F767" s="7686">
        <f t="shared" si="212"/>
        <v>0</v>
      </c>
      <c r="G767" s="7686" t="str">
        <f t="shared" si="204"/>
        <v>0</v>
      </c>
      <c r="H767" s="7687" t="str">
        <f t="shared" si="205"/>
        <v/>
      </c>
      <c r="I767" s="7685" t="str">
        <f t="shared" si="206"/>
        <v/>
      </c>
      <c r="M767" s="7622">
        <f t="shared" si="207"/>
        <v>1</v>
      </c>
      <c r="N767" s="7688">
        <f t="shared" si="208"/>
        <v>750</v>
      </c>
      <c r="O767" s="7661" t="str">
        <f t="shared" si="209"/>
        <v>0</v>
      </c>
      <c r="P767" s="7688">
        <f t="shared" si="210"/>
        <v>1</v>
      </c>
      <c r="Q767" s="7688">
        <f t="shared" si="211"/>
        <v>1</v>
      </c>
      <c r="CA767" s="3170" t="s">
        <v>17182</v>
      </c>
      <c r="CB767" s="7690" t="s">
        <v>17720</v>
      </c>
      <c r="CC767" s="3170" t="s">
        <v>17821</v>
      </c>
      <c r="CD767" s="3170" t="s">
        <v>17822</v>
      </c>
    </row>
    <row r="768" spans="2:82">
      <c r="B768" s="7685"/>
      <c r="C768" s="7685"/>
      <c r="D768" s="7685"/>
      <c r="E768" s="7685">
        <f>IF(H767&lt;&gt;"",E767,IF(E767="","",IFERROR(MATCH(TRUE(),INDEX(INDEX($K:$K,E767+1):$K$203&lt;&gt;"",0),0)+E767,"")))</f>
        <v>943</v>
      </c>
      <c r="F768" s="7686">
        <f t="shared" si="212"/>
        <v>0</v>
      </c>
      <c r="G768" s="7686" t="str">
        <f t="shared" si="204"/>
        <v>0</v>
      </c>
      <c r="H768" s="7687" t="str">
        <f t="shared" si="205"/>
        <v/>
      </c>
      <c r="I768" s="7685" t="str">
        <f t="shared" si="206"/>
        <v/>
      </c>
      <c r="M768" s="7622">
        <f t="shared" si="207"/>
        <v>1</v>
      </c>
      <c r="N768" s="7688">
        <f t="shared" si="208"/>
        <v>751</v>
      </c>
      <c r="O768" s="7661" t="str">
        <f t="shared" si="209"/>
        <v>0</v>
      </c>
      <c r="P768" s="7688">
        <f t="shared" si="210"/>
        <v>1</v>
      </c>
      <c r="Q768" s="7688">
        <f t="shared" si="211"/>
        <v>1</v>
      </c>
      <c r="CA768" s="3170" t="s">
        <v>17182</v>
      </c>
      <c r="CB768" s="7690" t="s">
        <v>17720</v>
      </c>
      <c r="CC768" s="3170" t="s">
        <v>17823</v>
      </c>
      <c r="CD768" s="3170" t="s">
        <v>17824</v>
      </c>
    </row>
    <row r="769" spans="2:82">
      <c r="B769" s="7685"/>
      <c r="C769" s="7685"/>
      <c r="D769" s="7685"/>
      <c r="E769" s="7685">
        <f>IF(H768&lt;&gt;"",E768,IF(E768="","",IFERROR(MATCH(TRUE(),INDEX(INDEX($K:$K,E768+1):$K$203&lt;&gt;"",0),0)+E768,"")))</f>
        <v>944</v>
      </c>
      <c r="F769" s="7686">
        <f t="shared" si="212"/>
        <v>0</v>
      </c>
      <c r="G769" s="7686" t="str">
        <f t="shared" si="204"/>
        <v>0</v>
      </c>
      <c r="H769" s="7687" t="str">
        <f t="shared" si="205"/>
        <v/>
      </c>
      <c r="I769" s="7685" t="str">
        <f t="shared" si="206"/>
        <v/>
      </c>
      <c r="M769" s="7622">
        <f t="shared" si="207"/>
        <v>1</v>
      </c>
      <c r="N769" s="7688">
        <f t="shared" si="208"/>
        <v>752</v>
      </c>
      <c r="O769" s="7661" t="str">
        <f t="shared" si="209"/>
        <v>0</v>
      </c>
      <c r="P769" s="7688">
        <f t="shared" si="210"/>
        <v>1</v>
      </c>
      <c r="Q769" s="7688">
        <f t="shared" si="211"/>
        <v>1</v>
      </c>
      <c r="CA769" s="3170" t="s">
        <v>17182</v>
      </c>
      <c r="CB769" s="7690" t="s">
        <v>17720</v>
      </c>
      <c r="CC769" s="3170" t="s">
        <v>17825</v>
      </c>
      <c r="CD769" s="3170" t="s">
        <v>17826</v>
      </c>
    </row>
    <row r="770" spans="2:82">
      <c r="B770" s="7685"/>
      <c r="C770" s="7685"/>
      <c r="D770" s="7685"/>
      <c r="E770" s="7685">
        <f>IF(H769&lt;&gt;"",E769,IF(E769="","",IFERROR(MATCH(TRUE(),INDEX(INDEX($K:$K,E769+1):$K$203&lt;&gt;"",0),0)+E769,"")))</f>
        <v>945</v>
      </c>
      <c r="F770" s="7686">
        <f t="shared" si="212"/>
        <v>0</v>
      </c>
      <c r="G770" s="7686" t="str">
        <f t="shared" si="204"/>
        <v>0</v>
      </c>
      <c r="H770" s="7687" t="str">
        <f t="shared" si="205"/>
        <v/>
      </c>
      <c r="I770" s="7685" t="str">
        <f t="shared" si="206"/>
        <v/>
      </c>
      <c r="M770" s="7622">
        <f t="shared" si="207"/>
        <v>1</v>
      </c>
      <c r="N770" s="7688">
        <f t="shared" si="208"/>
        <v>753</v>
      </c>
      <c r="O770" s="7661" t="str">
        <f t="shared" si="209"/>
        <v>0</v>
      </c>
      <c r="P770" s="7688">
        <f t="shared" si="210"/>
        <v>1</v>
      </c>
      <c r="Q770" s="7688">
        <f t="shared" si="211"/>
        <v>1</v>
      </c>
      <c r="CA770" s="3170" t="s">
        <v>17182</v>
      </c>
      <c r="CB770" s="7690" t="s">
        <v>17720</v>
      </c>
      <c r="CC770" s="3170" t="s">
        <v>17827</v>
      </c>
      <c r="CD770" s="3170" t="s">
        <v>17828</v>
      </c>
    </row>
    <row r="771" spans="2:82">
      <c r="B771" s="7685"/>
      <c r="C771" s="7685"/>
      <c r="D771" s="7685"/>
      <c r="E771" s="7685">
        <f>IF(H770&lt;&gt;"",E770,IF(E770="","",IFERROR(MATCH(TRUE(),INDEX(INDEX($K:$K,E770+1):$K$203&lt;&gt;"",0),0)+E770,"")))</f>
        <v>946</v>
      </c>
      <c r="F771" s="7686">
        <f t="shared" si="212"/>
        <v>0</v>
      </c>
      <c r="G771" s="7686" t="str">
        <f t="shared" si="204"/>
        <v>0</v>
      </c>
      <c r="H771" s="7687" t="str">
        <f t="shared" si="205"/>
        <v/>
      </c>
      <c r="I771" s="7685" t="str">
        <f t="shared" si="206"/>
        <v/>
      </c>
      <c r="M771" s="7622">
        <f t="shared" si="207"/>
        <v>1</v>
      </c>
      <c r="N771" s="7688">
        <f t="shared" si="208"/>
        <v>754</v>
      </c>
      <c r="O771" s="7661" t="str">
        <f t="shared" si="209"/>
        <v>0</v>
      </c>
      <c r="P771" s="7688">
        <f t="shared" si="210"/>
        <v>1</v>
      </c>
      <c r="Q771" s="7688">
        <f t="shared" si="211"/>
        <v>1</v>
      </c>
      <c r="CA771" s="3170" t="s">
        <v>17182</v>
      </c>
      <c r="CB771" s="7690" t="s">
        <v>17720</v>
      </c>
      <c r="CC771" s="3170" t="s">
        <v>17829</v>
      </c>
      <c r="CD771" s="3170" t="s">
        <v>17830</v>
      </c>
    </row>
    <row r="772" spans="2:82">
      <c r="B772" s="7685"/>
      <c r="C772" s="7685"/>
      <c r="D772" s="7685"/>
      <c r="E772" s="7685">
        <f>IF(H771&lt;&gt;"",E771,IF(E771="","",IFERROR(MATCH(TRUE(),INDEX(INDEX($K:$K,E771+1):$K$203&lt;&gt;"",0),0)+E771,"")))</f>
        <v>947</v>
      </c>
      <c r="F772" s="7686">
        <f t="shared" si="212"/>
        <v>0</v>
      </c>
      <c r="G772" s="7686" t="str">
        <f t="shared" si="204"/>
        <v>0</v>
      </c>
      <c r="H772" s="7687" t="str">
        <f t="shared" si="205"/>
        <v/>
      </c>
      <c r="I772" s="7685" t="str">
        <f t="shared" si="206"/>
        <v/>
      </c>
      <c r="M772" s="7622">
        <f t="shared" si="207"/>
        <v>1</v>
      </c>
      <c r="N772" s="7688">
        <f t="shared" si="208"/>
        <v>755</v>
      </c>
      <c r="O772" s="7661" t="str">
        <f t="shared" si="209"/>
        <v>0</v>
      </c>
      <c r="P772" s="7688">
        <f t="shared" si="210"/>
        <v>1</v>
      </c>
      <c r="Q772" s="7688">
        <f t="shared" si="211"/>
        <v>1</v>
      </c>
      <c r="CA772" s="3170" t="s">
        <v>17269</v>
      </c>
      <c r="CB772" s="7690" t="s">
        <v>17720</v>
      </c>
      <c r="CC772" s="3170" t="s">
        <v>17831</v>
      </c>
      <c r="CD772" s="3170" t="s">
        <v>17832</v>
      </c>
    </row>
    <row r="773" spans="2:82">
      <c r="B773" s="7685"/>
      <c r="C773" s="7685"/>
      <c r="D773" s="7685"/>
      <c r="E773" s="7685">
        <f>IF(H772&lt;&gt;"",E772,IF(E772="","",IFERROR(MATCH(TRUE(),INDEX(INDEX($K:$K,E772+1):$K$203&lt;&gt;"",0),0)+E772,"")))</f>
        <v>948</v>
      </c>
      <c r="F773" s="7686">
        <f t="shared" si="212"/>
        <v>0</v>
      </c>
      <c r="G773" s="7686" t="str">
        <f t="shared" si="204"/>
        <v>0</v>
      </c>
      <c r="H773" s="7687" t="str">
        <f t="shared" si="205"/>
        <v/>
      </c>
      <c r="I773" s="7685" t="str">
        <f t="shared" si="206"/>
        <v/>
      </c>
      <c r="M773" s="7622">
        <f t="shared" si="207"/>
        <v>1</v>
      </c>
      <c r="N773" s="7688">
        <f t="shared" si="208"/>
        <v>756</v>
      </c>
      <c r="O773" s="7661" t="str">
        <f t="shared" si="209"/>
        <v>0</v>
      </c>
      <c r="P773" s="7688">
        <f t="shared" si="210"/>
        <v>1</v>
      </c>
      <c r="Q773" s="7688">
        <f t="shared" si="211"/>
        <v>1</v>
      </c>
      <c r="CA773" s="3170" t="s">
        <v>17269</v>
      </c>
      <c r="CB773" s="7690" t="s">
        <v>17720</v>
      </c>
      <c r="CC773" s="3170" t="s">
        <v>17833</v>
      </c>
      <c r="CD773" s="3170" t="s">
        <v>17834</v>
      </c>
    </row>
    <row r="774" spans="2:82">
      <c r="B774" s="7685"/>
      <c r="C774" s="7685"/>
      <c r="D774" s="7685"/>
      <c r="E774" s="7685">
        <f>IF(H773&lt;&gt;"",E773,IF(E773="","",IFERROR(MATCH(TRUE(),INDEX(INDEX($K:$K,E773+1):$K$203&lt;&gt;"",0),0)+E773,"")))</f>
        <v>949</v>
      </c>
      <c r="F774" s="7686">
        <f t="shared" si="212"/>
        <v>0</v>
      </c>
      <c r="G774" s="7686" t="str">
        <f t="shared" si="204"/>
        <v>0</v>
      </c>
      <c r="H774" s="7687" t="str">
        <f t="shared" si="205"/>
        <v/>
      </c>
      <c r="I774" s="7685" t="str">
        <f t="shared" si="206"/>
        <v/>
      </c>
      <c r="M774" s="7622">
        <f t="shared" si="207"/>
        <v>1</v>
      </c>
      <c r="N774" s="7688">
        <f t="shared" si="208"/>
        <v>757</v>
      </c>
      <c r="O774" s="7661" t="str">
        <f t="shared" si="209"/>
        <v>0</v>
      </c>
      <c r="P774" s="7688">
        <f t="shared" si="210"/>
        <v>1</v>
      </c>
      <c r="Q774" s="7688">
        <f t="shared" si="211"/>
        <v>1</v>
      </c>
      <c r="CA774" s="3170" t="s">
        <v>17269</v>
      </c>
      <c r="CB774" s="7690" t="s">
        <v>17720</v>
      </c>
      <c r="CC774" s="3170" t="s">
        <v>17835</v>
      </c>
      <c r="CD774" s="3170" t="s">
        <v>17836</v>
      </c>
    </row>
    <row r="775" spans="2:82">
      <c r="B775" s="7685"/>
      <c r="C775" s="7685"/>
      <c r="D775" s="7685"/>
      <c r="E775" s="7685">
        <f>IF(H774&lt;&gt;"",E774,IF(E774="","",IFERROR(MATCH(TRUE(),INDEX(INDEX($K:$K,E774+1):$K$203&lt;&gt;"",0),0)+E774,"")))</f>
        <v>950</v>
      </c>
      <c r="F775" s="7686">
        <f t="shared" si="212"/>
        <v>0</v>
      </c>
      <c r="G775" s="7686" t="str">
        <f t="shared" si="204"/>
        <v>0</v>
      </c>
      <c r="H775" s="7687" t="str">
        <f t="shared" si="205"/>
        <v/>
      </c>
      <c r="I775" s="7685" t="str">
        <f t="shared" si="206"/>
        <v/>
      </c>
      <c r="M775" s="7622">
        <f t="shared" si="207"/>
        <v>1</v>
      </c>
      <c r="N775" s="7688">
        <f t="shared" si="208"/>
        <v>758</v>
      </c>
      <c r="O775" s="7661" t="str">
        <f t="shared" si="209"/>
        <v>0</v>
      </c>
      <c r="P775" s="7688">
        <f t="shared" si="210"/>
        <v>1</v>
      </c>
      <c r="Q775" s="7688">
        <f t="shared" si="211"/>
        <v>1</v>
      </c>
      <c r="CA775" s="3170" t="s">
        <v>17269</v>
      </c>
      <c r="CB775" s="7690" t="s">
        <v>17720</v>
      </c>
      <c r="CC775" s="3170" t="s">
        <v>17837</v>
      </c>
      <c r="CD775" s="3170" t="s">
        <v>17838</v>
      </c>
    </row>
    <row r="776" spans="2:82">
      <c r="B776" s="7685"/>
      <c r="C776" s="7685"/>
      <c r="D776" s="7685"/>
      <c r="E776" s="7685">
        <f>IF(H775&lt;&gt;"",E775,IF(E775="","",IFERROR(MATCH(TRUE(),INDEX(INDEX($K:$K,E775+1):$K$203&lt;&gt;"",0),0)+E775,"")))</f>
        <v>951</v>
      </c>
      <c r="F776" s="7686">
        <f t="shared" si="212"/>
        <v>0</v>
      </c>
      <c r="G776" s="7686" t="str">
        <f t="shared" si="204"/>
        <v>0</v>
      </c>
      <c r="H776" s="7687" t="str">
        <f t="shared" si="205"/>
        <v/>
      </c>
      <c r="I776" s="7685" t="str">
        <f t="shared" si="206"/>
        <v/>
      </c>
      <c r="M776" s="7622">
        <f t="shared" si="207"/>
        <v>1</v>
      </c>
      <c r="N776" s="7688">
        <f t="shared" si="208"/>
        <v>759</v>
      </c>
      <c r="O776" s="7661" t="str">
        <f t="shared" si="209"/>
        <v>0</v>
      </c>
      <c r="P776" s="7688">
        <f t="shared" si="210"/>
        <v>1</v>
      </c>
      <c r="Q776" s="7688">
        <f t="shared" si="211"/>
        <v>1</v>
      </c>
      <c r="CA776" s="3170" t="s">
        <v>17269</v>
      </c>
      <c r="CB776" s="7690" t="s">
        <v>17720</v>
      </c>
      <c r="CC776" s="3170" t="s">
        <v>17839</v>
      </c>
      <c r="CD776" s="3170" t="s">
        <v>17840</v>
      </c>
    </row>
    <row r="777" spans="2:82">
      <c r="B777" s="7685"/>
      <c r="C777" s="7685"/>
      <c r="D777" s="7685"/>
      <c r="E777" s="7685">
        <f>IF(H776&lt;&gt;"",E776,IF(E776="","",IFERROR(MATCH(TRUE(),INDEX(INDEX($K:$K,E776+1):$K$203&lt;&gt;"",0),0)+E776,"")))</f>
        <v>952</v>
      </c>
      <c r="F777" s="7686">
        <f t="shared" si="212"/>
        <v>0</v>
      </c>
      <c r="G777" s="7686" t="str">
        <f t="shared" si="204"/>
        <v>0</v>
      </c>
      <c r="H777" s="7687" t="str">
        <f t="shared" si="205"/>
        <v/>
      </c>
      <c r="I777" s="7685" t="str">
        <f t="shared" si="206"/>
        <v/>
      </c>
      <c r="M777" s="7622">
        <f t="shared" si="207"/>
        <v>1</v>
      </c>
      <c r="N777" s="7688">
        <f t="shared" si="208"/>
        <v>760</v>
      </c>
      <c r="O777" s="7661" t="str">
        <f t="shared" si="209"/>
        <v>0</v>
      </c>
      <c r="P777" s="7688">
        <f t="shared" si="210"/>
        <v>1</v>
      </c>
      <c r="Q777" s="7688">
        <f t="shared" si="211"/>
        <v>1</v>
      </c>
      <c r="CA777" s="3170" t="s">
        <v>17269</v>
      </c>
      <c r="CB777" s="7690" t="s">
        <v>17720</v>
      </c>
      <c r="CC777" s="3170" t="s">
        <v>17841</v>
      </c>
      <c r="CD777" s="3170" t="s">
        <v>17842</v>
      </c>
    </row>
    <row r="778" spans="2:82">
      <c r="B778" s="7685"/>
      <c r="C778" s="7685"/>
      <c r="D778" s="7685"/>
      <c r="E778" s="7685">
        <f>IF(H777&lt;&gt;"",E777,IF(E777="","",IFERROR(MATCH(TRUE(),INDEX(INDEX($K:$K,E777+1):$K$203&lt;&gt;"",0),0)+E777,"")))</f>
        <v>953</v>
      </c>
      <c r="F778" s="7686">
        <f t="shared" si="212"/>
        <v>0</v>
      </c>
      <c r="G778" s="7686" t="str">
        <f t="shared" si="204"/>
        <v>0</v>
      </c>
      <c r="H778" s="7687" t="str">
        <f t="shared" si="205"/>
        <v/>
      </c>
      <c r="I778" s="7685" t="str">
        <f t="shared" si="206"/>
        <v/>
      </c>
      <c r="M778" s="7622">
        <f t="shared" si="207"/>
        <v>1</v>
      </c>
      <c r="N778" s="7688">
        <f t="shared" si="208"/>
        <v>761</v>
      </c>
      <c r="O778" s="7661" t="str">
        <f t="shared" si="209"/>
        <v>0</v>
      </c>
      <c r="P778" s="7688">
        <f t="shared" si="210"/>
        <v>1</v>
      </c>
      <c r="Q778" s="7688">
        <f t="shared" si="211"/>
        <v>1</v>
      </c>
      <c r="CA778" s="3170" t="s">
        <v>17269</v>
      </c>
      <c r="CB778" s="7690" t="s">
        <v>17720</v>
      </c>
      <c r="CC778" s="3170" t="s">
        <v>17843</v>
      </c>
      <c r="CD778" s="3170" t="s">
        <v>17844</v>
      </c>
    </row>
    <row r="779" spans="2:82">
      <c r="B779" s="7685"/>
      <c r="C779" s="7685"/>
      <c r="D779" s="7685"/>
      <c r="E779" s="7685">
        <f>IF(H778&lt;&gt;"",E778,IF(E778="","",IFERROR(MATCH(TRUE(),INDEX(INDEX($K:$K,E778+1):$K$203&lt;&gt;"",0),0)+E778,"")))</f>
        <v>954</v>
      </c>
      <c r="F779" s="7686">
        <f t="shared" si="212"/>
        <v>0</v>
      </c>
      <c r="G779" s="7686" t="str">
        <f t="shared" si="204"/>
        <v>0</v>
      </c>
      <c r="H779" s="7687" t="str">
        <f t="shared" si="205"/>
        <v/>
      </c>
      <c r="I779" s="7685" t="str">
        <f t="shared" si="206"/>
        <v/>
      </c>
      <c r="M779" s="7622">
        <f t="shared" si="207"/>
        <v>1</v>
      </c>
      <c r="N779" s="7688">
        <f t="shared" si="208"/>
        <v>762</v>
      </c>
      <c r="O779" s="7661" t="str">
        <f t="shared" si="209"/>
        <v>0</v>
      </c>
      <c r="P779" s="7688">
        <f t="shared" si="210"/>
        <v>1</v>
      </c>
      <c r="Q779" s="7688">
        <f t="shared" si="211"/>
        <v>1</v>
      </c>
      <c r="CA779" s="3170" t="s">
        <v>17269</v>
      </c>
      <c r="CB779" s="7690" t="s">
        <v>17720</v>
      </c>
      <c r="CC779" s="3170" t="s">
        <v>17845</v>
      </c>
      <c r="CD779" s="3170" t="s">
        <v>17846</v>
      </c>
    </row>
    <row r="780" spans="2:82">
      <c r="B780" s="7685"/>
      <c r="C780" s="7685"/>
      <c r="D780" s="7685"/>
      <c r="E780" s="7685">
        <f>IF(H779&lt;&gt;"",E779,IF(E779="","",IFERROR(MATCH(TRUE(),INDEX(INDEX($K:$K,E779+1):$K$203&lt;&gt;"",0),0)+E779,"")))</f>
        <v>955</v>
      </c>
      <c r="F780" s="7686">
        <f t="shared" si="212"/>
        <v>0</v>
      </c>
      <c r="G780" s="7686" t="str">
        <f t="shared" si="204"/>
        <v>0</v>
      </c>
      <c r="H780" s="7687" t="str">
        <f t="shared" si="205"/>
        <v/>
      </c>
      <c r="I780" s="7685" t="str">
        <f t="shared" si="206"/>
        <v/>
      </c>
      <c r="M780" s="7622">
        <f t="shared" si="207"/>
        <v>1</v>
      </c>
      <c r="N780" s="7688">
        <f t="shared" si="208"/>
        <v>763</v>
      </c>
      <c r="O780" s="7661" t="str">
        <f t="shared" si="209"/>
        <v>0</v>
      </c>
      <c r="P780" s="7688">
        <f t="shared" si="210"/>
        <v>1</v>
      </c>
      <c r="Q780" s="7688">
        <f t="shared" si="211"/>
        <v>1</v>
      </c>
      <c r="CA780" s="3170" t="s">
        <v>17269</v>
      </c>
      <c r="CB780" s="7690" t="s">
        <v>17720</v>
      </c>
      <c r="CC780" s="3170" t="s">
        <v>17847</v>
      </c>
      <c r="CD780" s="3170" t="s">
        <v>17848</v>
      </c>
    </row>
    <row r="781" spans="2:82">
      <c r="B781" s="7685"/>
      <c r="C781" s="7685"/>
      <c r="D781" s="7685"/>
      <c r="E781" s="7685">
        <f>IF(H780&lt;&gt;"",E780,IF(E780="","",IFERROR(MATCH(TRUE(),INDEX(INDEX($K:$K,E780+1):$K$203&lt;&gt;"",0),0)+E780,"")))</f>
        <v>956</v>
      </c>
      <c r="F781" s="7686">
        <f t="shared" si="212"/>
        <v>0</v>
      </c>
      <c r="G781" s="7686" t="str">
        <f t="shared" si="204"/>
        <v>0</v>
      </c>
      <c r="H781" s="7687" t="str">
        <f t="shared" si="205"/>
        <v/>
      </c>
      <c r="I781" s="7685" t="str">
        <f t="shared" si="206"/>
        <v/>
      </c>
      <c r="M781" s="7622">
        <f t="shared" si="207"/>
        <v>1</v>
      </c>
      <c r="N781" s="7688">
        <f t="shared" si="208"/>
        <v>764</v>
      </c>
      <c r="O781" s="7661" t="str">
        <f t="shared" si="209"/>
        <v>0</v>
      </c>
      <c r="P781" s="7688">
        <f t="shared" si="210"/>
        <v>1</v>
      </c>
      <c r="Q781" s="7688">
        <f t="shared" si="211"/>
        <v>1</v>
      </c>
      <c r="CA781" s="3170" t="s">
        <v>16629</v>
      </c>
      <c r="CB781" s="7691" t="s">
        <v>17849</v>
      </c>
      <c r="CC781" s="3170" t="s">
        <v>16640</v>
      </c>
      <c r="CD781" s="3170" t="s">
        <v>17850</v>
      </c>
    </row>
    <row r="782" spans="2:82">
      <c r="B782" s="7685"/>
      <c r="C782" s="7685"/>
      <c r="D782" s="7685"/>
      <c r="E782" s="7685">
        <f>IF(H781&lt;&gt;"",E781,IF(E781="","",IFERROR(MATCH(TRUE(),INDEX(INDEX($K:$K,E781+1):$K$203&lt;&gt;"",0),0)+E781,"")))</f>
        <v>957</v>
      </c>
      <c r="F782" s="7686">
        <f t="shared" si="212"/>
        <v>0</v>
      </c>
      <c r="G782" s="7686" t="str">
        <f t="shared" si="204"/>
        <v>0</v>
      </c>
      <c r="H782" s="7687" t="str">
        <f t="shared" si="205"/>
        <v/>
      </c>
      <c r="I782" s="7685" t="str">
        <f t="shared" si="206"/>
        <v/>
      </c>
      <c r="M782" s="7622">
        <f t="shared" si="207"/>
        <v>1</v>
      </c>
      <c r="N782" s="7688">
        <f t="shared" si="208"/>
        <v>765</v>
      </c>
      <c r="O782" s="7661" t="str">
        <f t="shared" si="209"/>
        <v>0</v>
      </c>
      <c r="P782" s="7688">
        <f t="shared" si="210"/>
        <v>1</v>
      </c>
      <c r="Q782" s="7688">
        <f t="shared" si="211"/>
        <v>1</v>
      </c>
      <c r="CA782" s="3170" t="s">
        <v>16629</v>
      </c>
      <c r="CB782" s="7691" t="s">
        <v>17849</v>
      </c>
      <c r="CC782" s="3170" t="s">
        <v>6634</v>
      </c>
      <c r="CD782" s="3170" t="s">
        <v>17851</v>
      </c>
    </row>
    <row r="783" spans="2:82">
      <c r="B783" s="7685"/>
      <c r="C783" s="7685"/>
      <c r="D783" s="7685"/>
      <c r="E783" s="7685">
        <f>IF(H782&lt;&gt;"",E782,IF(E782="","",IFERROR(MATCH(TRUE(),INDEX(INDEX($K:$K,E782+1):$K$203&lt;&gt;"",0),0)+E782,"")))</f>
        <v>958</v>
      </c>
      <c r="F783" s="7686">
        <f t="shared" si="212"/>
        <v>0</v>
      </c>
      <c r="G783" s="7686" t="str">
        <f t="shared" si="204"/>
        <v>0</v>
      </c>
      <c r="H783" s="7687" t="str">
        <f t="shared" si="205"/>
        <v/>
      </c>
      <c r="I783" s="7685" t="str">
        <f t="shared" si="206"/>
        <v/>
      </c>
      <c r="M783" s="7622">
        <f t="shared" si="207"/>
        <v>1</v>
      </c>
      <c r="N783" s="7688">
        <f t="shared" si="208"/>
        <v>766</v>
      </c>
      <c r="O783" s="7661" t="str">
        <f t="shared" si="209"/>
        <v>0</v>
      </c>
      <c r="P783" s="7688">
        <f t="shared" si="210"/>
        <v>1</v>
      </c>
      <c r="Q783" s="7688">
        <f t="shared" si="211"/>
        <v>1</v>
      </c>
      <c r="CA783" s="3170" t="s">
        <v>16629</v>
      </c>
      <c r="CB783" s="7691" t="s">
        <v>17849</v>
      </c>
      <c r="CC783" s="3170" t="s">
        <v>17852</v>
      </c>
      <c r="CD783" s="3170" t="s">
        <v>17853</v>
      </c>
    </row>
    <row r="784" spans="2:82">
      <c r="B784" s="7685"/>
      <c r="C784" s="7685"/>
      <c r="D784" s="7685"/>
      <c r="E784" s="7685">
        <f>IF(H783&lt;&gt;"",E783,IF(E783="","",IFERROR(MATCH(TRUE(),INDEX(INDEX($K:$K,E783+1):$K$203&lt;&gt;"",0),0)+E783,"")))</f>
        <v>959</v>
      </c>
      <c r="F784" s="7686">
        <f t="shared" si="212"/>
        <v>0</v>
      </c>
      <c r="G784" s="7686" t="str">
        <f t="shared" si="204"/>
        <v>0</v>
      </c>
      <c r="H784" s="7687" t="str">
        <f t="shared" si="205"/>
        <v/>
      </c>
      <c r="I784" s="7685" t="str">
        <f t="shared" si="206"/>
        <v/>
      </c>
      <c r="M784" s="7622">
        <f t="shared" si="207"/>
        <v>1</v>
      </c>
      <c r="N784" s="7688">
        <f t="shared" si="208"/>
        <v>767</v>
      </c>
      <c r="O784" s="7661" t="str">
        <f t="shared" si="209"/>
        <v>0</v>
      </c>
      <c r="P784" s="7688">
        <f t="shared" si="210"/>
        <v>1</v>
      </c>
      <c r="Q784" s="7688">
        <f t="shared" si="211"/>
        <v>1</v>
      </c>
      <c r="CA784" s="3170" t="s">
        <v>16629</v>
      </c>
      <c r="CB784" s="7691" t="s">
        <v>17849</v>
      </c>
      <c r="CC784" s="3170" t="s">
        <v>15099</v>
      </c>
      <c r="CD784" s="3170" t="s">
        <v>17854</v>
      </c>
    </row>
    <row r="785" spans="2:82">
      <c r="B785" s="7685"/>
      <c r="C785" s="7685"/>
      <c r="D785" s="7685"/>
      <c r="E785" s="7685">
        <f>IF(H784&lt;&gt;"",E784,IF(E784="","",IFERROR(MATCH(TRUE(),INDEX(INDEX($K:$K,E784+1):$K$203&lt;&gt;"",0),0)+E784,"")))</f>
        <v>960</v>
      </c>
      <c r="F785" s="7686">
        <f t="shared" si="212"/>
        <v>0</v>
      </c>
      <c r="G785" s="7686" t="str">
        <f t="shared" si="204"/>
        <v>0</v>
      </c>
      <c r="H785" s="7687" t="str">
        <f t="shared" si="205"/>
        <v/>
      </c>
      <c r="I785" s="7685" t="str">
        <f t="shared" si="206"/>
        <v/>
      </c>
      <c r="M785" s="7622">
        <f t="shared" si="207"/>
        <v>1</v>
      </c>
      <c r="N785" s="7688">
        <f t="shared" si="208"/>
        <v>768</v>
      </c>
      <c r="O785" s="7661" t="str">
        <f t="shared" si="209"/>
        <v>0</v>
      </c>
      <c r="P785" s="7688">
        <f t="shared" si="210"/>
        <v>1</v>
      </c>
      <c r="Q785" s="7688">
        <f t="shared" si="211"/>
        <v>1</v>
      </c>
      <c r="CA785" s="3170" t="s">
        <v>16629</v>
      </c>
      <c r="CB785" s="7691" t="s">
        <v>17849</v>
      </c>
      <c r="CC785" s="3170" t="s">
        <v>17855</v>
      </c>
      <c r="CD785" s="3170" t="s">
        <v>17856</v>
      </c>
    </row>
    <row r="786" spans="2:82">
      <c r="B786" s="7685"/>
      <c r="C786" s="7685"/>
      <c r="D786" s="7685"/>
      <c r="E786" s="7685">
        <f>IF(H785&lt;&gt;"",E785,IF(E785="","",IFERROR(MATCH(TRUE(),INDEX(INDEX($K:$K,E785+1):$K$203&lt;&gt;"",0),0)+E785,"")))</f>
        <v>961</v>
      </c>
      <c r="F786" s="7686">
        <f t="shared" si="212"/>
        <v>0</v>
      </c>
      <c r="G786" s="7686" t="str">
        <f t="shared" ref="G786:G849" si="213">IF(OR(F786="",M786=""),"",LEFT(F786,M786))</f>
        <v>0</v>
      </c>
      <c r="H786" s="7687" t="str">
        <f t="shared" ref="H786:H849" si="214">IF(OR(F786="",M786=""),"",TRIM(MID(F786,M786+1,99999)))</f>
        <v/>
      </c>
      <c r="I786" s="7685" t="str">
        <f t="shared" ref="I786:I849" si="215">IF(AND(F786&lt;&gt;"",$N$10&gt;0,M786&gt;$N$10),"Mot &gt; limite","")</f>
        <v/>
      </c>
      <c r="M786" s="7622">
        <f t="shared" ref="M786:M849" si="216">IF(OR(F786="",$N$10="",$N$10&lt;=0),"",IF(LEN(F786)&lt;=$N$10,LEN(F786),IFERROR(FIND("♦",SUBSTITUTE(LEFT(F786,$N$10)," ","♦",LEN(LEFT(F786,$N$10))-LEN(SUBSTITUTE(LEFT(F786,$N$10)," ","")))),FIND(" ",F786&amp;" ",$N$10+1)-1)))</f>
        <v>1</v>
      </c>
      <c r="N786" s="7688">
        <f t="shared" ref="N786:N849" si="217">IF(O786="","",ROW()-17)</f>
        <v>769</v>
      </c>
      <c r="O786" s="7661" t="str">
        <f t="shared" ref="O786:O849" si="218">G786</f>
        <v>0</v>
      </c>
      <c r="P786" s="7688">
        <f t="shared" ref="P786:P849" si="219">IF(O786="","",LEN(TRIM(O786))-LEN(SUBSTITUTE(TRIM(O786)," ",""))+1)</f>
        <v>1</v>
      </c>
      <c r="Q786" s="7688">
        <f t="shared" ref="Q786:Q849" si="220">IF(O786="","",LEN(O786))</f>
        <v>1</v>
      </c>
      <c r="CA786" s="3170" t="s">
        <v>16629</v>
      </c>
      <c r="CB786" s="7691" t="s">
        <v>17849</v>
      </c>
      <c r="CC786" s="3170" t="s">
        <v>1699</v>
      </c>
      <c r="CD786" s="3170" t="s">
        <v>17857</v>
      </c>
    </row>
    <row r="787" spans="2:82">
      <c r="B787" s="7685"/>
      <c r="C787" s="7685"/>
      <c r="D787" s="7685"/>
      <c r="E787" s="7685">
        <f>IF(H786&lt;&gt;"",E786,IF(E786="","",IFERROR(MATCH(TRUE(),INDEX(INDEX($K:$K,E786+1):$K$203&lt;&gt;"",0),0)+E786,"")))</f>
        <v>962</v>
      </c>
      <c r="F787" s="7686">
        <f t="shared" ref="F787:F850" si="221">IF(E787="","",IF(H786&lt;&gt;"",H786,INDEX($D:$D,E787)))</f>
        <v>0</v>
      </c>
      <c r="G787" s="7686" t="str">
        <f t="shared" si="213"/>
        <v>0</v>
      </c>
      <c r="H787" s="7687" t="str">
        <f t="shared" si="214"/>
        <v/>
      </c>
      <c r="I787" s="7685" t="str">
        <f t="shared" si="215"/>
        <v/>
      </c>
      <c r="M787" s="7622">
        <f t="shared" si="216"/>
        <v>1</v>
      </c>
      <c r="N787" s="7688">
        <f t="shared" si="217"/>
        <v>770</v>
      </c>
      <c r="O787" s="7661" t="str">
        <f t="shared" si="218"/>
        <v>0</v>
      </c>
      <c r="P787" s="7688">
        <f t="shared" si="219"/>
        <v>1</v>
      </c>
      <c r="Q787" s="7688">
        <f t="shared" si="220"/>
        <v>1</v>
      </c>
      <c r="CA787" s="3170" t="s">
        <v>16629</v>
      </c>
      <c r="CB787" s="7691" t="s">
        <v>17849</v>
      </c>
      <c r="CC787" s="3170" t="s">
        <v>17858</v>
      </c>
      <c r="CD787" s="3170" t="s">
        <v>17859</v>
      </c>
    </row>
    <row r="788" spans="2:82">
      <c r="B788" s="7685"/>
      <c r="C788" s="7685"/>
      <c r="D788" s="7685"/>
      <c r="E788" s="7685">
        <f>IF(H787&lt;&gt;"",E787,IF(E787="","",IFERROR(MATCH(TRUE(),INDEX(INDEX($K:$K,E787+1):$K$203&lt;&gt;"",0),0)+E787,"")))</f>
        <v>963</v>
      </c>
      <c r="F788" s="7686">
        <f t="shared" si="221"/>
        <v>0</v>
      </c>
      <c r="G788" s="7686" t="str">
        <f t="shared" si="213"/>
        <v>0</v>
      </c>
      <c r="H788" s="7687" t="str">
        <f t="shared" si="214"/>
        <v/>
      </c>
      <c r="I788" s="7685" t="str">
        <f t="shared" si="215"/>
        <v/>
      </c>
      <c r="M788" s="7622">
        <f t="shared" si="216"/>
        <v>1</v>
      </c>
      <c r="N788" s="7688">
        <f t="shared" si="217"/>
        <v>771</v>
      </c>
      <c r="O788" s="7661" t="str">
        <f t="shared" si="218"/>
        <v>0</v>
      </c>
      <c r="P788" s="7688">
        <f t="shared" si="219"/>
        <v>1</v>
      </c>
      <c r="Q788" s="7688">
        <f t="shared" si="220"/>
        <v>1</v>
      </c>
      <c r="CA788" s="3170" t="s">
        <v>16629</v>
      </c>
      <c r="CB788" s="7691" t="s">
        <v>17849</v>
      </c>
      <c r="CC788" s="3170" t="s">
        <v>16713</v>
      </c>
      <c r="CD788" s="3170" t="s">
        <v>17860</v>
      </c>
    </row>
    <row r="789" spans="2:82">
      <c r="B789" s="7685"/>
      <c r="C789" s="7685"/>
      <c r="D789" s="7685"/>
      <c r="E789" s="7685">
        <f>IF(H788&lt;&gt;"",E788,IF(E788="","",IFERROR(MATCH(TRUE(),INDEX(INDEX($K:$K,E788+1):$K$203&lt;&gt;"",0),0)+E788,"")))</f>
        <v>964</v>
      </c>
      <c r="F789" s="7686">
        <f t="shared" si="221"/>
        <v>0</v>
      </c>
      <c r="G789" s="7686" t="str">
        <f t="shared" si="213"/>
        <v>0</v>
      </c>
      <c r="H789" s="7687" t="str">
        <f t="shared" si="214"/>
        <v/>
      </c>
      <c r="I789" s="7685" t="str">
        <f t="shared" si="215"/>
        <v/>
      </c>
      <c r="M789" s="7622">
        <f t="shared" si="216"/>
        <v>1</v>
      </c>
      <c r="N789" s="7688">
        <f t="shared" si="217"/>
        <v>772</v>
      </c>
      <c r="O789" s="7661" t="str">
        <f t="shared" si="218"/>
        <v>0</v>
      </c>
      <c r="P789" s="7688">
        <f t="shared" si="219"/>
        <v>1</v>
      </c>
      <c r="Q789" s="7688">
        <f t="shared" si="220"/>
        <v>1</v>
      </c>
      <c r="CA789" s="3170" t="s">
        <v>16629</v>
      </c>
      <c r="CB789" s="7691" t="s">
        <v>17849</v>
      </c>
      <c r="CC789" s="3170" t="s">
        <v>16723</v>
      </c>
      <c r="CD789" s="3170" t="s">
        <v>17861</v>
      </c>
    </row>
    <row r="790" spans="2:82">
      <c r="B790" s="7685"/>
      <c r="C790" s="7685"/>
      <c r="D790" s="7685"/>
      <c r="E790" s="7685">
        <f>IF(H789&lt;&gt;"",E789,IF(E789="","",IFERROR(MATCH(TRUE(),INDEX(INDEX($K:$K,E789+1):$K$203&lt;&gt;"",0),0)+E789,"")))</f>
        <v>965</v>
      </c>
      <c r="F790" s="7686">
        <f t="shared" si="221"/>
        <v>0</v>
      </c>
      <c r="G790" s="7686" t="str">
        <f t="shared" si="213"/>
        <v>0</v>
      </c>
      <c r="H790" s="7687" t="str">
        <f t="shared" si="214"/>
        <v/>
      </c>
      <c r="I790" s="7685" t="str">
        <f t="shared" si="215"/>
        <v/>
      </c>
      <c r="M790" s="7622">
        <f t="shared" si="216"/>
        <v>1</v>
      </c>
      <c r="N790" s="7688">
        <f t="shared" si="217"/>
        <v>773</v>
      </c>
      <c r="O790" s="7661" t="str">
        <f t="shared" si="218"/>
        <v>0</v>
      </c>
      <c r="P790" s="7688">
        <f t="shared" si="219"/>
        <v>1</v>
      </c>
      <c r="Q790" s="7688">
        <f t="shared" si="220"/>
        <v>1</v>
      </c>
      <c r="CA790" s="3170" t="s">
        <v>16629</v>
      </c>
      <c r="CB790" s="7691" t="s">
        <v>17849</v>
      </c>
      <c r="CC790" s="3170" t="s">
        <v>16734</v>
      </c>
      <c r="CD790" s="3170" t="s">
        <v>17862</v>
      </c>
    </row>
    <row r="791" spans="2:82">
      <c r="B791" s="7685"/>
      <c r="C791" s="7685"/>
      <c r="D791" s="7685"/>
      <c r="E791" s="7685">
        <f>IF(H790&lt;&gt;"",E790,IF(E790="","",IFERROR(MATCH(TRUE(),INDEX(INDEX($K:$K,E790+1):$K$203&lt;&gt;"",0),0)+E790,"")))</f>
        <v>966</v>
      </c>
      <c r="F791" s="7686">
        <f t="shared" si="221"/>
        <v>0</v>
      </c>
      <c r="G791" s="7686" t="str">
        <f t="shared" si="213"/>
        <v>0</v>
      </c>
      <c r="H791" s="7687" t="str">
        <f t="shared" si="214"/>
        <v/>
      </c>
      <c r="I791" s="7685" t="str">
        <f t="shared" si="215"/>
        <v/>
      </c>
      <c r="M791" s="7622">
        <f t="shared" si="216"/>
        <v>1</v>
      </c>
      <c r="N791" s="7688">
        <f t="shared" si="217"/>
        <v>774</v>
      </c>
      <c r="O791" s="7661" t="str">
        <f t="shared" si="218"/>
        <v>0</v>
      </c>
      <c r="P791" s="7688">
        <f t="shared" si="219"/>
        <v>1</v>
      </c>
      <c r="Q791" s="7688">
        <f t="shared" si="220"/>
        <v>1</v>
      </c>
      <c r="CA791" s="3170" t="s">
        <v>16629</v>
      </c>
      <c r="CB791" s="7691" t="s">
        <v>17849</v>
      </c>
      <c r="CC791" s="3170" t="s">
        <v>17863</v>
      </c>
      <c r="CD791" s="3170" t="s">
        <v>17864</v>
      </c>
    </row>
    <row r="792" spans="2:82">
      <c r="B792" s="7685"/>
      <c r="C792" s="7685"/>
      <c r="D792" s="7685"/>
      <c r="E792" s="7685">
        <f>IF(H791&lt;&gt;"",E791,IF(E791="","",IFERROR(MATCH(TRUE(),INDEX(INDEX($K:$K,E791+1):$K$203&lt;&gt;"",0),0)+E791,"")))</f>
        <v>967</v>
      </c>
      <c r="F792" s="7686">
        <f t="shared" si="221"/>
        <v>0</v>
      </c>
      <c r="G792" s="7686" t="str">
        <f t="shared" si="213"/>
        <v>0</v>
      </c>
      <c r="H792" s="7687" t="str">
        <f t="shared" si="214"/>
        <v/>
      </c>
      <c r="I792" s="7685" t="str">
        <f t="shared" si="215"/>
        <v/>
      </c>
      <c r="M792" s="7622">
        <f t="shared" si="216"/>
        <v>1</v>
      </c>
      <c r="N792" s="7688">
        <f t="shared" si="217"/>
        <v>775</v>
      </c>
      <c r="O792" s="7661" t="str">
        <f t="shared" si="218"/>
        <v>0</v>
      </c>
      <c r="P792" s="7688">
        <f t="shared" si="219"/>
        <v>1</v>
      </c>
      <c r="Q792" s="7688">
        <f t="shared" si="220"/>
        <v>1</v>
      </c>
      <c r="CA792" s="3170" t="s">
        <v>16629</v>
      </c>
      <c r="CB792" s="7691" t="s">
        <v>17849</v>
      </c>
      <c r="CC792" s="3170" t="s">
        <v>16764</v>
      </c>
      <c r="CD792" s="3170" t="s">
        <v>17865</v>
      </c>
    </row>
    <row r="793" spans="2:82">
      <c r="B793" s="7685"/>
      <c r="C793" s="7685"/>
      <c r="D793" s="7685"/>
      <c r="E793" s="7685">
        <f>IF(H792&lt;&gt;"",E792,IF(E792="","",IFERROR(MATCH(TRUE(),INDEX(INDEX($K:$K,E792+1):$K$203&lt;&gt;"",0),0)+E792,"")))</f>
        <v>968</v>
      </c>
      <c r="F793" s="7686">
        <f t="shared" si="221"/>
        <v>0</v>
      </c>
      <c r="G793" s="7686" t="str">
        <f t="shared" si="213"/>
        <v>0</v>
      </c>
      <c r="H793" s="7687" t="str">
        <f t="shared" si="214"/>
        <v/>
      </c>
      <c r="I793" s="7685" t="str">
        <f t="shared" si="215"/>
        <v/>
      </c>
      <c r="M793" s="7622">
        <f t="shared" si="216"/>
        <v>1</v>
      </c>
      <c r="N793" s="7688">
        <f t="shared" si="217"/>
        <v>776</v>
      </c>
      <c r="O793" s="7661" t="str">
        <f t="shared" si="218"/>
        <v>0</v>
      </c>
      <c r="P793" s="7688">
        <f t="shared" si="219"/>
        <v>1</v>
      </c>
      <c r="Q793" s="7688">
        <f t="shared" si="220"/>
        <v>1</v>
      </c>
      <c r="CA793" s="3170" t="s">
        <v>966</v>
      </c>
      <c r="CB793" s="7691" t="s">
        <v>17849</v>
      </c>
      <c r="CC793" s="3170" t="s">
        <v>1701</v>
      </c>
      <c r="CD793" s="3170" t="s">
        <v>17866</v>
      </c>
    </row>
    <row r="794" spans="2:82">
      <c r="B794" s="7685"/>
      <c r="C794" s="7685"/>
      <c r="D794" s="7685"/>
      <c r="E794" s="7685">
        <f>IF(H793&lt;&gt;"",E793,IF(E793="","",IFERROR(MATCH(TRUE(),INDEX(INDEX($K:$K,E793+1):$K$203&lt;&gt;"",0),0)+E793,"")))</f>
        <v>969</v>
      </c>
      <c r="F794" s="7686">
        <f t="shared" si="221"/>
        <v>0</v>
      </c>
      <c r="G794" s="7686" t="str">
        <f t="shared" si="213"/>
        <v>0</v>
      </c>
      <c r="H794" s="7687" t="str">
        <f t="shared" si="214"/>
        <v/>
      </c>
      <c r="I794" s="7685" t="str">
        <f t="shared" si="215"/>
        <v/>
      </c>
      <c r="M794" s="7622">
        <f t="shared" si="216"/>
        <v>1</v>
      </c>
      <c r="N794" s="7688">
        <f t="shared" si="217"/>
        <v>777</v>
      </c>
      <c r="O794" s="7661" t="str">
        <f t="shared" si="218"/>
        <v>0</v>
      </c>
      <c r="P794" s="7688">
        <f t="shared" si="219"/>
        <v>1</v>
      </c>
      <c r="Q794" s="7688">
        <f t="shared" si="220"/>
        <v>1</v>
      </c>
      <c r="CA794" s="3170" t="s">
        <v>966</v>
      </c>
      <c r="CB794" s="7691" t="s">
        <v>17849</v>
      </c>
      <c r="CC794" s="3170" t="s">
        <v>17867</v>
      </c>
      <c r="CD794" s="3170" t="s">
        <v>17868</v>
      </c>
    </row>
    <row r="795" spans="2:82">
      <c r="B795" s="7685"/>
      <c r="C795" s="7685"/>
      <c r="D795" s="7685"/>
      <c r="E795" s="7685">
        <f>IF(H794&lt;&gt;"",E794,IF(E794="","",IFERROR(MATCH(TRUE(),INDEX(INDEX($K:$K,E794+1):$K$203&lt;&gt;"",0),0)+E794,"")))</f>
        <v>970</v>
      </c>
      <c r="F795" s="7686">
        <f t="shared" si="221"/>
        <v>0</v>
      </c>
      <c r="G795" s="7686" t="str">
        <f t="shared" si="213"/>
        <v>0</v>
      </c>
      <c r="H795" s="7687" t="str">
        <f t="shared" si="214"/>
        <v/>
      </c>
      <c r="I795" s="7685" t="str">
        <f t="shared" si="215"/>
        <v/>
      </c>
      <c r="M795" s="7622">
        <f t="shared" si="216"/>
        <v>1</v>
      </c>
      <c r="N795" s="7688">
        <f t="shared" si="217"/>
        <v>778</v>
      </c>
      <c r="O795" s="7661" t="str">
        <f t="shared" si="218"/>
        <v>0</v>
      </c>
      <c r="P795" s="7688">
        <f t="shared" si="219"/>
        <v>1</v>
      </c>
      <c r="Q795" s="7688">
        <f t="shared" si="220"/>
        <v>1</v>
      </c>
      <c r="CA795" s="3170" t="s">
        <v>966</v>
      </c>
      <c r="CB795" s="7691" t="s">
        <v>17849</v>
      </c>
      <c r="CC795" s="3170" t="s">
        <v>17869</v>
      </c>
      <c r="CD795" s="3170" t="s">
        <v>17870</v>
      </c>
    </row>
    <row r="796" spans="2:82">
      <c r="B796" s="7685"/>
      <c r="C796" s="7685"/>
      <c r="D796" s="7685"/>
      <c r="E796" s="7685">
        <f>IF(H795&lt;&gt;"",E795,IF(E795="","",IFERROR(MATCH(TRUE(),INDEX(INDEX($K:$K,E795+1):$K$203&lt;&gt;"",0),0)+E795,"")))</f>
        <v>971</v>
      </c>
      <c r="F796" s="7686">
        <f t="shared" si="221"/>
        <v>0</v>
      </c>
      <c r="G796" s="7686" t="str">
        <f t="shared" si="213"/>
        <v>0</v>
      </c>
      <c r="H796" s="7687" t="str">
        <f t="shared" si="214"/>
        <v/>
      </c>
      <c r="I796" s="7685" t="str">
        <f t="shared" si="215"/>
        <v/>
      </c>
      <c r="M796" s="7622">
        <f t="shared" si="216"/>
        <v>1</v>
      </c>
      <c r="N796" s="7688">
        <f t="shared" si="217"/>
        <v>779</v>
      </c>
      <c r="O796" s="7661" t="str">
        <f t="shared" si="218"/>
        <v>0</v>
      </c>
      <c r="P796" s="7688">
        <f t="shared" si="219"/>
        <v>1</v>
      </c>
      <c r="Q796" s="7688">
        <f t="shared" si="220"/>
        <v>1</v>
      </c>
    </row>
    <row r="797" spans="2:82">
      <c r="B797" s="7685"/>
      <c r="C797" s="7685"/>
      <c r="D797" s="7685"/>
      <c r="E797" s="7685">
        <f>IF(H796&lt;&gt;"",E796,IF(E796="","",IFERROR(MATCH(TRUE(),INDEX(INDEX($K:$K,E796+1):$K$203&lt;&gt;"",0),0)+E796,"")))</f>
        <v>972</v>
      </c>
      <c r="F797" s="7686">
        <f t="shared" si="221"/>
        <v>0</v>
      </c>
      <c r="G797" s="7686" t="str">
        <f t="shared" si="213"/>
        <v>0</v>
      </c>
      <c r="H797" s="7687" t="str">
        <f t="shared" si="214"/>
        <v/>
      </c>
      <c r="I797" s="7685" t="str">
        <f t="shared" si="215"/>
        <v/>
      </c>
      <c r="M797" s="7622">
        <f t="shared" si="216"/>
        <v>1</v>
      </c>
      <c r="N797" s="7688">
        <f t="shared" si="217"/>
        <v>780</v>
      </c>
      <c r="O797" s="7661" t="str">
        <f t="shared" si="218"/>
        <v>0</v>
      </c>
      <c r="P797" s="7688">
        <f t="shared" si="219"/>
        <v>1</v>
      </c>
      <c r="Q797" s="7688">
        <f t="shared" si="220"/>
        <v>1</v>
      </c>
    </row>
    <row r="798" spans="2:82">
      <c r="B798" s="7685"/>
      <c r="C798" s="7685"/>
      <c r="D798" s="7685"/>
      <c r="E798" s="7685">
        <f>IF(H797&lt;&gt;"",E797,IF(E797="","",IFERROR(MATCH(TRUE(),INDEX(INDEX($K:$K,E797+1):$K$203&lt;&gt;"",0),0)+E797,"")))</f>
        <v>973</v>
      </c>
      <c r="F798" s="7686">
        <f t="shared" si="221"/>
        <v>0</v>
      </c>
      <c r="G798" s="7686" t="str">
        <f t="shared" si="213"/>
        <v>0</v>
      </c>
      <c r="H798" s="7687" t="str">
        <f t="shared" si="214"/>
        <v/>
      </c>
      <c r="I798" s="7685" t="str">
        <f t="shared" si="215"/>
        <v/>
      </c>
      <c r="M798" s="7622">
        <f t="shared" si="216"/>
        <v>1</v>
      </c>
      <c r="N798" s="7688">
        <f t="shared" si="217"/>
        <v>781</v>
      </c>
      <c r="O798" s="7661" t="str">
        <f t="shared" si="218"/>
        <v>0</v>
      </c>
      <c r="P798" s="7688">
        <f t="shared" si="219"/>
        <v>1</v>
      </c>
      <c r="Q798" s="7688">
        <f t="shared" si="220"/>
        <v>1</v>
      </c>
    </row>
    <row r="799" spans="2:82">
      <c r="B799" s="7685"/>
      <c r="C799" s="7685"/>
      <c r="D799" s="7685"/>
      <c r="E799" s="7685">
        <f>IF(H798&lt;&gt;"",E798,IF(E798="","",IFERROR(MATCH(TRUE(),INDEX(INDEX($K:$K,E798+1):$K$203&lt;&gt;"",0),0)+E798,"")))</f>
        <v>974</v>
      </c>
      <c r="F799" s="7686">
        <f t="shared" si="221"/>
        <v>0</v>
      </c>
      <c r="G799" s="7686" t="str">
        <f t="shared" si="213"/>
        <v>0</v>
      </c>
      <c r="H799" s="7687" t="str">
        <f t="shared" si="214"/>
        <v/>
      </c>
      <c r="I799" s="7685" t="str">
        <f t="shared" si="215"/>
        <v/>
      </c>
      <c r="M799" s="7622">
        <f t="shared" si="216"/>
        <v>1</v>
      </c>
      <c r="N799" s="7688">
        <f t="shared" si="217"/>
        <v>782</v>
      </c>
      <c r="O799" s="7661" t="str">
        <f t="shared" si="218"/>
        <v>0</v>
      </c>
      <c r="P799" s="7688">
        <f t="shared" si="219"/>
        <v>1</v>
      </c>
      <c r="Q799" s="7688">
        <f t="shared" si="220"/>
        <v>1</v>
      </c>
    </row>
    <row r="800" spans="2:82">
      <c r="B800" s="7685"/>
      <c r="C800" s="7685"/>
      <c r="D800" s="7685"/>
      <c r="E800" s="7685">
        <f>IF(H799&lt;&gt;"",E799,IF(E799="","",IFERROR(MATCH(TRUE(),INDEX(INDEX($K:$K,E799+1):$K$203&lt;&gt;"",0),0)+E799,"")))</f>
        <v>975</v>
      </c>
      <c r="F800" s="7686">
        <f t="shared" si="221"/>
        <v>0</v>
      </c>
      <c r="G800" s="7686" t="str">
        <f t="shared" si="213"/>
        <v>0</v>
      </c>
      <c r="H800" s="7687" t="str">
        <f t="shared" si="214"/>
        <v/>
      </c>
      <c r="I800" s="7685" t="str">
        <f t="shared" si="215"/>
        <v/>
      </c>
      <c r="M800" s="7622">
        <f t="shared" si="216"/>
        <v>1</v>
      </c>
      <c r="N800" s="7688">
        <f t="shared" si="217"/>
        <v>783</v>
      </c>
      <c r="O800" s="7661" t="str">
        <f t="shared" si="218"/>
        <v>0</v>
      </c>
      <c r="P800" s="7688">
        <f t="shared" si="219"/>
        <v>1</v>
      </c>
      <c r="Q800" s="7688">
        <f t="shared" si="220"/>
        <v>1</v>
      </c>
    </row>
    <row r="801" spans="2:17">
      <c r="B801" s="7685"/>
      <c r="C801" s="7685"/>
      <c r="D801" s="7685"/>
      <c r="E801" s="7685">
        <f>IF(H800&lt;&gt;"",E800,IF(E800="","",IFERROR(MATCH(TRUE(),INDEX(INDEX($K:$K,E800+1):$K$203&lt;&gt;"",0),0)+E800,"")))</f>
        <v>976</v>
      </c>
      <c r="F801" s="7686">
        <f t="shared" si="221"/>
        <v>0</v>
      </c>
      <c r="G801" s="7686" t="str">
        <f t="shared" si="213"/>
        <v>0</v>
      </c>
      <c r="H801" s="7687" t="str">
        <f t="shared" si="214"/>
        <v/>
      </c>
      <c r="I801" s="7685" t="str">
        <f t="shared" si="215"/>
        <v/>
      </c>
      <c r="M801" s="7622">
        <f t="shared" si="216"/>
        <v>1</v>
      </c>
      <c r="N801" s="7688">
        <f t="shared" si="217"/>
        <v>784</v>
      </c>
      <c r="O801" s="7661" t="str">
        <f t="shared" si="218"/>
        <v>0</v>
      </c>
      <c r="P801" s="7688">
        <f t="shared" si="219"/>
        <v>1</v>
      </c>
      <c r="Q801" s="7688">
        <f t="shared" si="220"/>
        <v>1</v>
      </c>
    </row>
    <row r="802" spans="2:17">
      <c r="B802" s="7685"/>
      <c r="C802" s="7685"/>
      <c r="D802" s="7685"/>
      <c r="E802" s="7685">
        <f>IF(H801&lt;&gt;"",E801,IF(E801="","",IFERROR(MATCH(TRUE(),INDEX(INDEX($K:$K,E801+1):$K$203&lt;&gt;"",0),0)+E801,"")))</f>
        <v>977</v>
      </c>
      <c r="F802" s="7686">
        <f t="shared" si="221"/>
        <v>0</v>
      </c>
      <c r="G802" s="7686" t="str">
        <f t="shared" si="213"/>
        <v>0</v>
      </c>
      <c r="H802" s="7687" t="str">
        <f t="shared" si="214"/>
        <v/>
      </c>
      <c r="I802" s="7685" t="str">
        <f t="shared" si="215"/>
        <v/>
      </c>
      <c r="M802" s="7622">
        <f t="shared" si="216"/>
        <v>1</v>
      </c>
      <c r="N802" s="7688">
        <f t="shared" si="217"/>
        <v>785</v>
      </c>
      <c r="O802" s="7661" t="str">
        <f t="shared" si="218"/>
        <v>0</v>
      </c>
      <c r="P802" s="7688">
        <f t="shared" si="219"/>
        <v>1</v>
      </c>
      <c r="Q802" s="7688">
        <f t="shared" si="220"/>
        <v>1</v>
      </c>
    </row>
    <row r="803" spans="2:17">
      <c r="B803" s="7685"/>
      <c r="C803" s="7685"/>
      <c r="D803" s="7685"/>
      <c r="E803" s="7685">
        <f>IF(H802&lt;&gt;"",E802,IF(E802="","",IFERROR(MATCH(TRUE(),INDEX(INDEX($K:$K,E802+1):$K$203&lt;&gt;"",0),0)+E802,"")))</f>
        <v>978</v>
      </c>
      <c r="F803" s="7686">
        <f t="shared" si="221"/>
        <v>0</v>
      </c>
      <c r="G803" s="7686" t="str">
        <f t="shared" si="213"/>
        <v>0</v>
      </c>
      <c r="H803" s="7687" t="str">
        <f t="shared" si="214"/>
        <v/>
      </c>
      <c r="I803" s="7685" t="str">
        <f t="shared" si="215"/>
        <v/>
      </c>
      <c r="M803" s="7622">
        <f t="shared" si="216"/>
        <v>1</v>
      </c>
      <c r="N803" s="7688">
        <f t="shared" si="217"/>
        <v>786</v>
      </c>
      <c r="O803" s="7661" t="str">
        <f t="shared" si="218"/>
        <v>0</v>
      </c>
      <c r="P803" s="7688">
        <f t="shared" si="219"/>
        <v>1</v>
      </c>
      <c r="Q803" s="7688">
        <f t="shared" si="220"/>
        <v>1</v>
      </c>
    </row>
    <row r="804" spans="2:17">
      <c r="B804" s="7685"/>
      <c r="C804" s="7685"/>
      <c r="D804" s="7685"/>
      <c r="E804" s="7685">
        <f>IF(H803&lt;&gt;"",E803,IF(E803="","",IFERROR(MATCH(TRUE(),INDEX(INDEX($K:$K,E803+1):$K$203&lt;&gt;"",0),0)+E803,"")))</f>
        <v>979</v>
      </c>
      <c r="F804" s="7686">
        <f t="shared" si="221"/>
        <v>0</v>
      </c>
      <c r="G804" s="7686" t="str">
        <f t="shared" si="213"/>
        <v>0</v>
      </c>
      <c r="H804" s="7687" t="str">
        <f t="shared" si="214"/>
        <v/>
      </c>
      <c r="I804" s="7685" t="str">
        <f t="shared" si="215"/>
        <v/>
      </c>
      <c r="M804" s="7622">
        <f t="shared" si="216"/>
        <v>1</v>
      </c>
      <c r="N804" s="7688">
        <f t="shared" si="217"/>
        <v>787</v>
      </c>
      <c r="O804" s="7661" t="str">
        <f t="shared" si="218"/>
        <v>0</v>
      </c>
      <c r="P804" s="7688">
        <f t="shared" si="219"/>
        <v>1</v>
      </c>
      <c r="Q804" s="7688">
        <f t="shared" si="220"/>
        <v>1</v>
      </c>
    </row>
    <row r="805" spans="2:17">
      <c r="B805" s="7685"/>
      <c r="C805" s="7685"/>
      <c r="D805" s="7685"/>
      <c r="E805" s="7685">
        <f>IF(H804&lt;&gt;"",E804,IF(E804="","",IFERROR(MATCH(TRUE(),INDEX(INDEX($K:$K,E804+1):$K$203&lt;&gt;"",0),0)+E804,"")))</f>
        <v>980</v>
      </c>
      <c r="F805" s="7686">
        <f t="shared" si="221"/>
        <v>0</v>
      </c>
      <c r="G805" s="7686" t="str">
        <f t="shared" si="213"/>
        <v>0</v>
      </c>
      <c r="H805" s="7687" t="str">
        <f t="shared" si="214"/>
        <v/>
      </c>
      <c r="I805" s="7685" t="str">
        <f t="shared" si="215"/>
        <v/>
      </c>
      <c r="M805" s="7622">
        <f t="shared" si="216"/>
        <v>1</v>
      </c>
      <c r="N805" s="7688">
        <f t="shared" si="217"/>
        <v>788</v>
      </c>
      <c r="O805" s="7661" t="str">
        <f t="shared" si="218"/>
        <v>0</v>
      </c>
      <c r="P805" s="7688">
        <f t="shared" si="219"/>
        <v>1</v>
      </c>
      <c r="Q805" s="7688">
        <f t="shared" si="220"/>
        <v>1</v>
      </c>
    </row>
    <row r="806" spans="2:17">
      <c r="B806" s="7685"/>
      <c r="C806" s="7685"/>
      <c r="D806" s="7685"/>
      <c r="E806" s="7685">
        <f>IF(H805&lt;&gt;"",E805,IF(E805="","",IFERROR(MATCH(TRUE(),INDEX(INDEX($K:$K,E805+1):$K$203&lt;&gt;"",0),0)+E805,"")))</f>
        <v>981</v>
      </c>
      <c r="F806" s="7686">
        <f t="shared" si="221"/>
        <v>0</v>
      </c>
      <c r="G806" s="7686" t="str">
        <f t="shared" si="213"/>
        <v>0</v>
      </c>
      <c r="H806" s="7687" t="str">
        <f t="shared" si="214"/>
        <v/>
      </c>
      <c r="I806" s="7685" t="str">
        <f t="shared" si="215"/>
        <v/>
      </c>
      <c r="M806" s="7622">
        <f t="shared" si="216"/>
        <v>1</v>
      </c>
      <c r="N806" s="7688">
        <f t="shared" si="217"/>
        <v>789</v>
      </c>
      <c r="O806" s="7661" t="str">
        <f t="shared" si="218"/>
        <v>0</v>
      </c>
      <c r="P806" s="7688">
        <f t="shared" si="219"/>
        <v>1</v>
      </c>
      <c r="Q806" s="7688">
        <f t="shared" si="220"/>
        <v>1</v>
      </c>
    </row>
    <row r="807" spans="2:17">
      <c r="B807" s="7685"/>
      <c r="C807" s="7685"/>
      <c r="D807" s="7685"/>
      <c r="E807" s="7685">
        <f>IF(H806&lt;&gt;"",E806,IF(E806="","",IFERROR(MATCH(TRUE(),INDEX(INDEX($K:$K,E806+1):$K$203&lt;&gt;"",0),0)+E806,"")))</f>
        <v>982</v>
      </c>
      <c r="F807" s="7686">
        <f t="shared" si="221"/>
        <v>0</v>
      </c>
      <c r="G807" s="7686" t="str">
        <f t="shared" si="213"/>
        <v>0</v>
      </c>
      <c r="H807" s="7687" t="str">
        <f t="shared" si="214"/>
        <v/>
      </c>
      <c r="I807" s="7685" t="str">
        <f t="shared" si="215"/>
        <v/>
      </c>
      <c r="M807" s="7622">
        <f t="shared" si="216"/>
        <v>1</v>
      </c>
      <c r="N807" s="7688">
        <f t="shared" si="217"/>
        <v>790</v>
      </c>
      <c r="O807" s="7661" t="str">
        <f t="shared" si="218"/>
        <v>0</v>
      </c>
      <c r="P807" s="7688">
        <f t="shared" si="219"/>
        <v>1</v>
      </c>
      <c r="Q807" s="7688">
        <f t="shared" si="220"/>
        <v>1</v>
      </c>
    </row>
    <row r="808" spans="2:17">
      <c r="B808" s="7685"/>
      <c r="C808" s="7685"/>
      <c r="D808" s="7685"/>
      <c r="E808" s="7685">
        <f>IF(H807&lt;&gt;"",E807,IF(E807="","",IFERROR(MATCH(TRUE(),INDEX(INDEX($K:$K,E807+1):$K$203&lt;&gt;"",0),0)+E807,"")))</f>
        <v>983</v>
      </c>
      <c r="F808" s="7686">
        <f t="shared" si="221"/>
        <v>0</v>
      </c>
      <c r="G808" s="7686" t="str">
        <f t="shared" si="213"/>
        <v>0</v>
      </c>
      <c r="H808" s="7687" t="str">
        <f t="shared" si="214"/>
        <v/>
      </c>
      <c r="I808" s="7685" t="str">
        <f t="shared" si="215"/>
        <v/>
      </c>
      <c r="M808" s="7622">
        <f t="shared" si="216"/>
        <v>1</v>
      </c>
      <c r="N808" s="7688">
        <f t="shared" si="217"/>
        <v>791</v>
      </c>
      <c r="O808" s="7661" t="str">
        <f t="shared" si="218"/>
        <v>0</v>
      </c>
      <c r="P808" s="7688">
        <f t="shared" si="219"/>
        <v>1</v>
      </c>
      <c r="Q808" s="7688">
        <f t="shared" si="220"/>
        <v>1</v>
      </c>
    </row>
    <row r="809" spans="2:17">
      <c r="B809" s="7685"/>
      <c r="C809" s="7685"/>
      <c r="D809" s="7685"/>
      <c r="E809" s="7685">
        <f>IF(H808&lt;&gt;"",E808,IF(E808="","",IFERROR(MATCH(TRUE(),INDEX(INDEX($K:$K,E808+1):$K$203&lt;&gt;"",0),0)+E808,"")))</f>
        <v>984</v>
      </c>
      <c r="F809" s="7686">
        <f t="shared" si="221"/>
        <v>0</v>
      </c>
      <c r="G809" s="7686" t="str">
        <f t="shared" si="213"/>
        <v>0</v>
      </c>
      <c r="H809" s="7687" t="str">
        <f t="shared" si="214"/>
        <v/>
      </c>
      <c r="I809" s="7685" t="str">
        <f t="shared" si="215"/>
        <v/>
      </c>
      <c r="M809" s="7622">
        <f t="shared" si="216"/>
        <v>1</v>
      </c>
      <c r="N809" s="7688">
        <f t="shared" si="217"/>
        <v>792</v>
      </c>
      <c r="O809" s="7661" t="str">
        <f t="shared" si="218"/>
        <v>0</v>
      </c>
      <c r="P809" s="7688">
        <f t="shared" si="219"/>
        <v>1</v>
      </c>
      <c r="Q809" s="7688">
        <f t="shared" si="220"/>
        <v>1</v>
      </c>
    </row>
    <row r="810" spans="2:17">
      <c r="B810" s="7685"/>
      <c r="C810" s="7685"/>
      <c r="D810" s="7685"/>
      <c r="E810" s="7685">
        <f>IF(H809&lt;&gt;"",E809,IF(E809="","",IFERROR(MATCH(TRUE(),INDEX(INDEX($K:$K,E809+1):$K$203&lt;&gt;"",0),0)+E809,"")))</f>
        <v>985</v>
      </c>
      <c r="F810" s="7686">
        <f t="shared" si="221"/>
        <v>0</v>
      </c>
      <c r="G810" s="7686" t="str">
        <f t="shared" si="213"/>
        <v>0</v>
      </c>
      <c r="H810" s="7687" t="str">
        <f t="shared" si="214"/>
        <v/>
      </c>
      <c r="I810" s="7685" t="str">
        <f t="shared" si="215"/>
        <v/>
      </c>
      <c r="M810" s="7622">
        <f t="shared" si="216"/>
        <v>1</v>
      </c>
      <c r="N810" s="7688">
        <f t="shared" si="217"/>
        <v>793</v>
      </c>
      <c r="O810" s="7661" t="str">
        <f t="shared" si="218"/>
        <v>0</v>
      </c>
      <c r="P810" s="7688">
        <f t="shared" si="219"/>
        <v>1</v>
      </c>
      <c r="Q810" s="7688">
        <f t="shared" si="220"/>
        <v>1</v>
      </c>
    </row>
    <row r="811" spans="2:17">
      <c r="B811" s="7685"/>
      <c r="C811" s="7685"/>
      <c r="D811" s="7685"/>
      <c r="E811" s="7685">
        <f>IF(H810&lt;&gt;"",E810,IF(E810="","",IFERROR(MATCH(TRUE(),INDEX(INDEX($K:$K,E810+1):$K$203&lt;&gt;"",0),0)+E810,"")))</f>
        <v>986</v>
      </c>
      <c r="F811" s="7686">
        <f t="shared" si="221"/>
        <v>0</v>
      </c>
      <c r="G811" s="7686" t="str">
        <f t="shared" si="213"/>
        <v>0</v>
      </c>
      <c r="H811" s="7687" t="str">
        <f t="shared" si="214"/>
        <v/>
      </c>
      <c r="I811" s="7685" t="str">
        <f t="shared" si="215"/>
        <v/>
      </c>
      <c r="M811" s="7622">
        <f t="shared" si="216"/>
        <v>1</v>
      </c>
      <c r="N811" s="7688">
        <f t="shared" si="217"/>
        <v>794</v>
      </c>
      <c r="O811" s="7661" t="str">
        <f t="shared" si="218"/>
        <v>0</v>
      </c>
      <c r="P811" s="7688">
        <f t="shared" si="219"/>
        <v>1</v>
      </c>
      <c r="Q811" s="7688">
        <f t="shared" si="220"/>
        <v>1</v>
      </c>
    </row>
    <row r="812" spans="2:17">
      <c r="B812" s="7685"/>
      <c r="C812" s="7685"/>
      <c r="D812" s="7685"/>
      <c r="E812" s="7685">
        <f>IF(H811&lt;&gt;"",E811,IF(E811="","",IFERROR(MATCH(TRUE(),INDEX(INDEX($K:$K,E811+1):$K$203&lt;&gt;"",0),0)+E811,"")))</f>
        <v>987</v>
      </c>
      <c r="F812" s="7686">
        <f t="shared" si="221"/>
        <v>0</v>
      </c>
      <c r="G812" s="7686" t="str">
        <f t="shared" si="213"/>
        <v>0</v>
      </c>
      <c r="H812" s="7687" t="str">
        <f t="shared" si="214"/>
        <v/>
      </c>
      <c r="I812" s="7685" t="str">
        <f t="shared" si="215"/>
        <v/>
      </c>
      <c r="M812" s="7622">
        <f t="shared" si="216"/>
        <v>1</v>
      </c>
      <c r="N812" s="7688">
        <f t="shared" si="217"/>
        <v>795</v>
      </c>
      <c r="O812" s="7661" t="str">
        <f t="shared" si="218"/>
        <v>0</v>
      </c>
      <c r="P812" s="7688">
        <f t="shared" si="219"/>
        <v>1</v>
      </c>
      <c r="Q812" s="7688">
        <f t="shared" si="220"/>
        <v>1</v>
      </c>
    </row>
    <row r="813" spans="2:17">
      <c r="B813" s="7685"/>
      <c r="C813" s="7685"/>
      <c r="D813" s="7685"/>
      <c r="E813" s="7685">
        <f>IF(H812&lt;&gt;"",E812,IF(E812="","",IFERROR(MATCH(TRUE(),INDEX(INDEX($K:$K,E812+1):$K$203&lt;&gt;"",0),0)+E812,"")))</f>
        <v>988</v>
      </c>
      <c r="F813" s="7686">
        <f t="shared" si="221"/>
        <v>0</v>
      </c>
      <c r="G813" s="7686" t="str">
        <f t="shared" si="213"/>
        <v>0</v>
      </c>
      <c r="H813" s="7687" t="str">
        <f t="shared" si="214"/>
        <v/>
      </c>
      <c r="I813" s="7685" t="str">
        <f t="shared" si="215"/>
        <v/>
      </c>
      <c r="M813" s="7622">
        <f t="shared" si="216"/>
        <v>1</v>
      </c>
      <c r="N813" s="7688">
        <f t="shared" si="217"/>
        <v>796</v>
      </c>
      <c r="O813" s="7661" t="str">
        <f t="shared" si="218"/>
        <v>0</v>
      </c>
      <c r="P813" s="7688">
        <f t="shared" si="219"/>
        <v>1</v>
      </c>
      <c r="Q813" s="7688">
        <f t="shared" si="220"/>
        <v>1</v>
      </c>
    </row>
    <row r="814" spans="2:17">
      <c r="B814" s="7685"/>
      <c r="C814" s="7685"/>
      <c r="D814" s="7685"/>
      <c r="E814" s="7685">
        <f>IF(H813&lt;&gt;"",E813,IF(E813="","",IFERROR(MATCH(TRUE(),INDEX(INDEX($K:$K,E813+1):$K$203&lt;&gt;"",0),0)+E813,"")))</f>
        <v>989</v>
      </c>
      <c r="F814" s="7686">
        <f t="shared" si="221"/>
        <v>0</v>
      </c>
      <c r="G814" s="7686" t="str">
        <f t="shared" si="213"/>
        <v>0</v>
      </c>
      <c r="H814" s="7687" t="str">
        <f t="shared" si="214"/>
        <v/>
      </c>
      <c r="I814" s="7685" t="str">
        <f t="shared" si="215"/>
        <v/>
      </c>
      <c r="M814" s="7622">
        <f t="shared" si="216"/>
        <v>1</v>
      </c>
      <c r="N814" s="7688">
        <f t="shared" si="217"/>
        <v>797</v>
      </c>
      <c r="O814" s="7661" t="str">
        <f t="shared" si="218"/>
        <v>0</v>
      </c>
      <c r="P814" s="7688">
        <f t="shared" si="219"/>
        <v>1</v>
      </c>
      <c r="Q814" s="7688">
        <f t="shared" si="220"/>
        <v>1</v>
      </c>
    </row>
    <row r="815" spans="2:17">
      <c r="B815" s="7685"/>
      <c r="C815" s="7685"/>
      <c r="D815" s="7685"/>
      <c r="E815" s="7685">
        <f>IF(H814&lt;&gt;"",E814,IF(E814="","",IFERROR(MATCH(TRUE(),INDEX(INDEX($K:$K,E814+1):$K$203&lt;&gt;"",0),0)+E814,"")))</f>
        <v>990</v>
      </c>
      <c r="F815" s="7686">
        <f t="shared" si="221"/>
        <v>0</v>
      </c>
      <c r="G815" s="7686" t="str">
        <f t="shared" si="213"/>
        <v>0</v>
      </c>
      <c r="H815" s="7687" t="str">
        <f t="shared" si="214"/>
        <v/>
      </c>
      <c r="I815" s="7685" t="str">
        <f t="shared" si="215"/>
        <v/>
      </c>
      <c r="M815" s="7622">
        <f t="shared" si="216"/>
        <v>1</v>
      </c>
      <c r="N815" s="7688">
        <f t="shared" si="217"/>
        <v>798</v>
      </c>
      <c r="O815" s="7661" t="str">
        <f t="shared" si="218"/>
        <v>0</v>
      </c>
      <c r="P815" s="7688">
        <f t="shared" si="219"/>
        <v>1</v>
      </c>
      <c r="Q815" s="7688">
        <f t="shared" si="220"/>
        <v>1</v>
      </c>
    </row>
    <row r="816" spans="2:17">
      <c r="B816" s="7685"/>
      <c r="C816" s="7685"/>
      <c r="D816" s="7685"/>
      <c r="E816" s="7685">
        <f>IF(H815&lt;&gt;"",E815,IF(E815="","",IFERROR(MATCH(TRUE(),INDEX(INDEX($K:$K,E815+1):$K$203&lt;&gt;"",0),0)+E815,"")))</f>
        <v>991</v>
      </c>
      <c r="F816" s="7686">
        <f t="shared" si="221"/>
        <v>0</v>
      </c>
      <c r="G816" s="7686" t="str">
        <f t="shared" si="213"/>
        <v>0</v>
      </c>
      <c r="H816" s="7687" t="str">
        <f t="shared" si="214"/>
        <v/>
      </c>
      <c r="I816" s="7685" t="str">
        <f t="shared" si="215"/>
        <v/>
      </c>
      <c r="M816" s="7622">
        <f t="shared" si="216"/>
        <v>1</v>
      </c>
      <c r="N816" s="7688">
        <f t="shared" si="217"/>
        <v>799</v>
      </c>
      <c r="O816" s="7661" t="str">
        <f t="shared" si="218"/>
        <v>0</v>
      </c>
      <c r="P816" s="7688">
        <f t="shared" si="219"/>
        <v>1</v>
      </c>
      <c r="Q816" s="7688">
        <f t="shared" si="220"/>
        <v>1</v>
      </c>
    </row>
    <row r="817" spans="2:17">
      <c r="B817" s="7685"/>
      <c r="C817" s="7685"/>
      <c r="D817" s="7685"/>
      <c r="E817" s="7685">
        <f>IF(H816&lt;&gt;"",E816,IF(E816="","",IFERROR(MATCH(TRUE(),INDEX(INDEX($K:$K,E816+1):$K$203&lt;&gt;"",0),0)+E816,"")))</f>
        <v>992</v>
      </c>
      <c r="F817" s="7686">
        <f t="shared" si="221"/>
        <v>0</v>
      </c>
      <c r="G817" s="7686" t="str">
        <f t="shared" si="213"/>
        <v>0</v>
      </c>
      <c r="H817" s="7687" t="str">
        <f t="shared" si="214"/>
        <v/>
      </c>
      <c r="I817" s="7685" t="str">
        <f t="shared" si="215"/>
        <v/>
      </c>
      <c r="M817" s="7622">
        <f t="shared" si="216"/>
        <v>1</v>
      </c>
      <c r="N817" s="7688">
        <f t="shared" si="217"/>
        <v>800</v>
      </c>
      <c r="O817" s="7661" t="str">
        <f t="shared" si="218"/>
        <v>0</v>
      </c>
      <c r="P817" s="7688">
        <f t="shared" si="219"/>
        <v>1</v>
      </c>
      <c r="Q817" s="7688">
        <f t="shared" si="220"/>
        <v>1</v>
      </c>
    </row>
    <row r="818" spans="2:17">
      <c r="B818" s="7685"/>
      <c r="C818" s="7685"/>
      <c r="D818" s="7685"/>
      <c r="E818" s="7685">
        <f>IF(H817&lt;&gt;"",E817,IF(E817="","",IFERROR(MATCH(TRUE(),INDEX(INDEX($K:$K,E817+1):$K$203&lt;&gt;"",0),0)+E817,"")))</f>
        <v>993</v>
      </c>
      <c r="F818" s="7686">
        <f t="shared" si="221"/>
        <v>0</v>
      </c>
      <c r="G818" s="7686" t="str">
        <f t="shared" si="213"/>
        <v>0</v>
      </c>
      <c r="H818" s="7687" t="str">
        <f t="shared" si="214"/>
        <v/>
      </c>
      <c r="I818" s="7685" t="str">
        <f t="shared" si="215"/>
        <v/>
      </c>
      <c r="M818" s="7622">
        <f t="shared" si="216"/>
        <v>1</v>
      </c>
      <c r="N818" s="7688">
        <f t="shared" si="217"/>
        <v>801</v>
      </c>
      <c r="O818" s="7661" t="str">
        <f t="shared" si="218"/>
        <v>0</v>
      </c>
      <c r="P818" s="7688">
        <f t="shared" si="219"/>
        <v>1</v>
      </c>
      <c r="Q818" s="7688">
        <f t="shared" si="220"/>
        <v>1</v>
      </c>
    </row>
    <row r="819" spans="2:17">
      <c r="B819" s="7685"/>
      <c r="C819" s="7685"/>
      <c r="D819" s="7685"/>
      <c r="E819" s="7685">
        <f>IF(H818&lt;&gt;"",E818,IF(E818="","",IFERROR(MATCH(TRUE(),INDEX(INDEX($K:$K,E818+1):$K$203&lt;&gt;"",0),0)+E818,"")))</f>
        <v>994</v>
      </c>
      <c r="F819" s="7686">
        <f t="shared" si="221"/>
        <v>0</v>
      </c>
      <c r="G819" s="7686" t="str">
        <f t="shared" si="213"/>
        <v>0</v>
      </c>
      <c r="H819" s="7687" t="str">
        <f t="shared" si="214"/>
        <v/>
      </c>
      <c r="I819" s="7685" t="str">
        <f t="shared" si="215"/>
        <v/>
      </c>
      <c r="M819" s="7622">
        <f t="shared" si="216"/>
        <v>1</v>
      </c>
      <c r="N819" s="7688">
        <f t="shared" si="217"/>
        <v>802</v>
      </c>
      <c r="O819" s="7661" t="str">
        <f t="shared" si="218"/>
        <v>0</v>
      </c>
      <c r="P819" s="7688">
        <f t="shared" si="219"/>
        <v>1</v>
      </c>
      <c r="Q819" s="7688">
        <f t="shared" si="220"/>
        <v>1</v>
      </c>
    </row>
    <row r="820" spans="2:17">
      <c r="B820" s="7685"/>
      <c r="C820" s="7685"/>
      <c r="D820" s="7685"/>
      <c r="E820" s="7685">
        <f>IF(H819&lt;&gt;"",E819,IF(E819="","",IFERROR(MATCH(TRUE(),INDEX(INDEX($K:$K,E819+1):$K$203&lt;&gt;"",0),0)+E819,"")))</f>
        <v>995</v>
      </c>
      <c r="F820" s="7686">
        <f t="shared" si="221"/>
        <v>0</v>
      </c>
      <c r="G820" s="7686" t="str">
        <f t="shared" si="213"/>
        <v>0</v>
      </c>
      <c r="H820" s="7687" t="str">
        <f t="shared" si="214"/>
        <v/>
      </c>
      <c r="I820" s="7685" t="str">
        <f t="shared" si="215"/>
        <v/>
      </c>
      <c r="M820" s="7622">
        <f t="shared" si="216"/>
        <v>1</v>
      </c>
      <c r="N820" s="7688">
        <f t="shared" si="217"/>
        <v>803</v>
      </c>
      <c r="O820" s="7661" t="str">
        <f t="shared" si="218"/>
        <v>0</v>
      </c>
      <c r="P820" s="7688">
        <f t="shared" si="219"/>
        <v>1</v>
      </c>
      <c r="Q820" s="7688">
        <f t="shared" si="220"/>
        <v>1</v>
      </c>
    </row>
    <row r="821" spans="2:17">
      <c r="B821" s="7685"/>
      <c r="C821" s="7685"/>
      <c r="D821" s="7685"/>
      <c r="E821" s="7685">
        <f>IF(H820&lt;&gt;"",E820,IF(E820="","",IFERROR(MATCH(TRUE(),INDEX(INDEX($K:$K,E820+1):$K$203&lt;&gt;"",0),0)+E820,"")))</f>
        <v>996</v>
      </c>
      <c r="F821" s="7686">
        <f t="shared" si="221"/>
        <v>0</v>
      </c>
      <c r="G821" s="7686" t="str">
        <f t="shared" si="213"/>
        <v>0</v>
      </c>
      <c r="H821" s="7687" t="str">
        <f t="shared" si="214"/>
        <v/>
      </c>
      <c r="I821" s="7685" t="str">
        <f t="shared" si="215"/>
        <v/>
      </c>
      <c r="M821" s="7622">
        <f t="shared" si="216"/>
        <v>1</v>
      </c>
      <c r="N821" s="7688">
        <f t="shared" si="217"/>
        <v>804</v>
      </c>
      <c r="O821" s="7661" t="str">
        <f t="shared" si="218"/>
        <v>0</v>
      </c>
      <c r="P821" s="7688">
        <f t="shared" si="219"/>
        <v>1</v>
      </c>
      <c r="Q821" s="7688">
        <f t="shared" si="220"/>
        <v>1</v>
      </c>
    </row>
    <row r="822" spans="2:17">
      <c r="B822" s="7685"/>
      <c r="C822" s="7685"/>
      <c r="D822" s="7685"/>
      <c r="E822" s="7685">
        <f>IF(H821&lt;&gt;"",E821,IF(E821="","",IFERROR(MATCH(TRUE(),INDEX(INDEX($K:$K,E821+1):$K$203&lt;&gt;"",0),0)+E821,"")))</f>
        <v>997</v>
      </c>
      <c r="F822" s="7686">
        <f t="shared" si="221"/>
        <v>0</v>
      </c>
      <c r="G822" s="7686" t="str">
        <f t="shared" si="213"/>
        <v>0</v>
      </c>
      <c r="H822" s="7687" t="str">
        <f t="shared" si="214"/>
        <v/>
      </c>
      <c r="I822" s="7685" t="str">
        <f t="shared" si="215"/>
        <v/>
      </c>
      <c r="M822" s="7622">
        <f t="shared" si="216"/>
        <v>1</v>
      </c>
      <c r="N822" s="7688">
        <f t="shared" si="217"/>
        <v>805</v>
      </c>
      <c r="O822" s="7661" t="str">
        <f t="shared" si="218"/>
        <v>0</v>
      </c>
      <c r="P822" s="7688">
        <f t="shared" si="219"/>
        <v>1</v>
      </c>
      <c r="Q822" s="7688">
        <f t="shared" si="220"/>
        <v>1</v>
      </c>
    </row>
    <row r="823" spans="2:17">
      <c r="B823" s="7685"/>
      <c r="C823" s="7685"/>
      <c r="D823" s="7685"/>
      <c r="E823" s="7685">
        <f>IF(H822&lt;&gt;"",E822,IF(E822="","",IFERROR(MATCH(TRUE(),INDEX(INDEX($K:$K,E822+1):$K$203&lt;&gt;"",0),0)+E822,"")))</f>
        <v>998</v>
      </c>
      <c r="F823" s="7686">
        <f t="shared" si="221"/>
        <v>0</v>
      </c>
      <c r="G823" s="7686" t="str">
        <f t="shared" si="213"/>
        <v>0</v>
      </c>
      <c r="H823" s="7687" t="str">
        <f t="shared" si="214"/>
        <v/>
      </c>
      <c r="I823" s="7685" t="str">
        <f t="shared" si="215"/>
        <v/>
      </c>
      <c r="M823" s="7622">
        <f t="shared" si="216"/>
        <v>1</v>
      </c>
      <c r="N823" s="7688">
        <f t="shared" si="217"/>
        <v>806</v>
      </c>
      <c r="O823" s="7661" t="str">
        <f t="shared" si="218"/>
        <v>0</v>
      </c>
      <c r="P823" s="7688">
        <f t="shared" si="219"/>
        <v>1</v>
      </c>
      <c r="Q823" s="7688">
        <f t="shared" si="220"/>
        <v>1</v>
      </c>
    </row>
    <row r="824" spans="2:17">
      <c r="B824" s="7685"/>
      <c r="C824" s="7685"/>
      <c r="D824" s="7685"/>
      <c r="E824" s="7685">
        <f>IF(H823&lt;&gt;"",E823,IF(E823="","",IFERROR(MATCH(TRUE(),INDEX(INDEX($K:$K,E823+1):$K$203&lt;&gt;"",0),0)+E823,"")))</f>
        <v>999</v>
      </c>
      <c r="F824" s="7686">
        <f t="shared" si="221"/>
        <v>0</v>
      </c>
      <c r="G824" s="7686" t="str">
        <f t="shared" si="213"/>
        <v>0</v>
      </c>
      <c r="H824" s="7687" t="str">
        <f t="shared" si="214"/>
        <v/>
      </c>
      <c r="I824" s="7685" t="str">
        <f t="shared" si="215"/>
        <v/>
      </c>
      <c r="M824" s="7622">
        <f t="shared" si="216"/>
        <v>1</v>
      </c>
      <c r="N824" s="7688">
        <f t="shared" si="217"/>
        <v>807</v>
      </c>
      <c r="O824" s="7661" t="str">
        <f t="shared" si="218"/>
        <v>0</v>
      </c>
      <c r="P824" s="7688">
        <f t="shared" si="219"/>
        <v>1</v>
      </c>
      <c r="Q824" s="7688">
        <f t="shared" si="220"/>
        <v>1</v>
      </c>
    </row>
    <row r="825" spans="2:17">
      <c r="B825" s="7685"/>
      <c r="C825" s="7685"/>
      <c r="D825" s="7685"/>
      <c r="E825" s="7685">
        <f>IF(H824&lt;&gt;"",E824,IF(E824="","",IFERROR(MATCH(TRUE(),INDEX(INDEX($K:$K,E824+1):$K$203&lt;&gt;"",0),0)+E824,"")))</f>
        <v>1000</v>
      </c>
      <c r="F825" s="7686">
        <f t="shared" si="221"/>
        <v>0</v>
      </c>
      <c r="G825" s="7686" t="str">
        <f t="shared" si="213"/>
        <v>0</v>
      </c>
      <c r="H825" s="7687" t="str">
        <f t="shared" si="214"/>
        <v/>
      </c>
      <c r="I825" s="7685" t="str">
        <f t="shared" si="215"/>
        <v/>
      </c>
      <c r="M825" s="7622">
        <f t="shared" si="216"/>
        <v>1</v>
      </c>
      <c r="N825" s="7688">
        <f t="shared" si="217"/>
        <v>808</v>
      </c>
      <c r="O825" s="7661" t="str">
        <f t="shared" si="218"/>
        <v>0</v>
      </c>
      <c r="P825" s="7688">
        <f t="shared" si="219"/>
        <v>1</v>
      </c>
      <c r="Q825" s="7688">
        <f t="shared" si="220"/>
        <v>1</v>
      </c>
    </row>
    <row r="826" spans="2:17">
      <c r="B826" s="7685"/>
      <c r="C826" s="7685"/>
      <c r="D826" s="7685"/>
      <c r="E826" s="7685">
        <f>IF(H825&lt;&gt;"",E825,IF(E825="","",IFERROR(MATCH(TRUE(),INDEX(INDEX($K:$K,E825+1):$K$203&lt;&gt;"",0),0)+E825,"")))</f>
        <v>1001</v>
      </c>
      <c r="F826" s="7686">
        <f t="shared" si="221"/>
        <v>0</v>
      </c>
      <c r="G826" s="7686" t="str">
        <f t="shared" si="213"/>
        <v>0</v>
      </c>
      <c r="H826" s="7687" t="str">
        <f t="shared" si="214"/>
        <v/>
      </c>
      <c r="I826" s="7685" t="str">
        <f t="shared" si="215"/>
        <v/>
      </c>
      <c r="M826" s="7622">
        <f t="shared" si="216"/>
        <v>1</v>
      </c>
      <c r="N826" s="7688">
        <f t="shared" si="217"/>
        <v>809</v>
      </c>
      <c r="O826" s="7661" t="str">
        <f t="shared" si="218"/>
        <v>0</v>
      </c>
      <c r="P826" s="7688">
        <f t="shared" si="219"/>
        <v>1</v>
      </c>
      <c r="Q826" s="7688">
        <f t="shared" si="220"/>
        <v>1</v>
      </c>
    </row>
    <row r="827" spans="2:17">
      <c r="B827" s="7685"/>
      <c r="C827" s="7685"/>
      <c r="D827" s="7685"/>
      <c r="E827" s="7685">
        <f>IF(H826&lt;&gt;"",E826,IF(E826="","",IFERROR(MATCH(TRUE(),INDEX(INDEX($K:$K,E826+1):$K$203&lt;&gt;"",0),0)+E826,"")))</f>
        <v>1002</v>
      </c>
      <c r="F827" s="7686">
        <f t="shared" si="221"/>
        <v>0</v>
      </c>
      <c r="G827" s="7686" t="str">
        <f t="shared" si="213"/>
        <v>0</v>
      </c>
      <c r="H827" s="7687" t="str">
        <f t="shared" si="214"/>
        <v/>
      </c>
      <c r="I827" s="7685" t="str">
        <f t="shared" si="215"/>
        <v/>
      </c>
      <c r="M827" s="7622">
        <f t="shared" si="216"/>
        <v>1</v>
      </c>
      <c r="N827" s="7688">
        <f t="shared" si="217"/>
        <v>810</v>
      </c>
      <c r="O827" s="7661" t="str">
        <f t="shared" si="218"/>
        <v>0</v>
      </c>
      <c r="P827" s="7688">
        <f t="shared" si="219"/>
        <v>1</v>
      </c>
      <c r="Q827" s="7688">
        <f t="shared" si="220"/>
        <v>1</v>
      </c>
    </row>
    <row r="828" spans="2:17">
      <c r="B828" s="7685"/>
      <c r="C828" s="7685"/>
      <c r="D828" s="7685"/>
      <c r="E828" s="7685">
        <f>IF(H827&lt;&gt;"",E827,IF(E827="","",IFERROR(MATCH(TRUE(),INDEX(INDEX($K:$K,E827+1):$K$203&lt;&gt;"",0),0)+E827,"")))</f>
        <v>1003</v>
      </c>
      <c r="F828" s="7686">
        <f t="shared" si="221"/>
        <v>0</v>
      </c>
      <c r="G828" s="7686" t="str">
        <f t="shared" si="213"/>
        <v>0</v>
      </c>
      <c r="H828" s="7687" t="str">
        <f t="shared" si="214"/>
        <v/>
      </c>
      <c r="I828" s="7685" t="str">
        <f t="shared" si="215"/>
        <v/>
      </c>
      <c r="M828" s="7622">
        <f t="shared" si="216"/>
        <v>1</v>
      </c>
      <c r="N828" s="7688">
        <f t="shared" si="217"/>
        <v>811</v>
      </c>
      <c r="O828" s="7661" t="str">
        <f t="shared" si="218"/>
        <v>0</v>
      </c>
      <c r="P828" s="7688">
        <f t="shared" si="219"/>
        <v>1</v>
      </c>
      <c r="Q828" s="7688">
        <f t="shared" si="220"/>
        <v>1</v>
      </c>
    </row>
    <row r="829" spans="2:17">
      <c r="B829" s="7685"/>
      <c r="C829" s="7685"/>
      <c r="D829" s="7685"/>
      <c r="E829" s="7685">
        <f>IF(H828&lt;&gt;"",E828,IF(E828="","",IFERROR(MATCH(TRUE(),INDEX(INDEX($K:$K,E828+1):$K$203&lt;&gt;"",0),0)+E828,"")))</f>
        <v>1004</v>
      </c>
      <c r="F829" s="7686">
        <f t="shared" si="221"/>
        <v>0</v>
      </c>
      <c r="G829" s="7686" t="str">
        <f t="shared" si="213"/>
        <v>0</v>
      </c>
      <c r="H829" s="7687" t="str">
        <f t="shared" si="214"/>
        <v/>
      </c>
      <c r="I829" s="7685" t="str">
        <f t="shared" si="215"/>
        <v/>
      </c>
      <c r="M829" s="7622">
        <f t="shared" si="216"/>
        <v>1</v>
      </c>
      <c r="N829" s="7688">
        <f t="shared" si="217"/>
        <v>812</v>
      </c>
      <c r="O829" s="7661" t="str">
        <f t="shared" si="218"/>
        <v>0</v>
      </c>
      <c r="P829" s="7688">
        <f t="shared" si="219"/>
        <v>1</v>
      </c>
      <c r="Q829" s="7688">
        <f t="shared" si="220"/>
        <v>1</v>
      </c>
    </row>
    <row r="830" spans="2:17">
      <c r="B830" s="7685"/>
      <c r="C830" s="7685"/>
      <c r="D830" s="7685"/>
      <c r="E830" s="7685">
        <f>IF(H829&lt;&gt;"",E829,IF(E829="","",IFERROR(MATCH(TRUE(),INDEX(INDEX($K:$K,E829+1):$K$203&lt;&gt;"",0),0)+E829,"")))</f>
        <v>1005</v>
      </c>
      <c r="F830" s="7686">
        <f t="shared" si="221"/>
        <v>0</v>
      </c>
      <c r="G830" s="7686" t="str">
        <f t="shared" si="213"/>
        <v>0</v>
      </c>
      <c r="H830" s="7687" t="str">
        <f t="shared" si="214"/>
        <v/>
      </c>
      <c r="I830" s="7685" t="str">
        <f t="shared" si="215"/>
        <v/>
      </c>
      <c r="M830" s="7622">
        <f t="shared" si="216"/>
        <v>1</v>
      </c>
      <c r="N830" s="7688">
        <f t="shared" si="217"/>
        <v>813</v>
      </c>
      <c r="O830" s="7661" t="str">
        <f t="shared" si="218"/>
        <v>0</v>
      </c>
      <c r="P830" s="7688">
        <f t="shared" si="219"/>
        <v>1</v>
      </c>
      <c r="Q830" s="7688">
        <f t="shared" si="220"/>
        <v>1</v>
      </c>
    </row>
    <row r="831" spans="2:17">
      <c r="B831" s="7685"/>
      <c r="C831" s="7685"/>
      <c r="D831" s="7685"/>
      <c r="E831" s="7685">
        <f>IF(H830&lt;&gt;"",E830,IF(E830="","",IFERROR(MATCH(TRUE(),INDEX(INDEX($K:$K,E830+1):$K$203&lt;&gt;"",0),0)+E830,"")))</f>
        <v>1006</v>
      </c>
      <c r="F831" s="7686">
        <f t="shared" si="221"/>
        <v>0</v>
      </c>
      <c r="G831" s="7686" t="str">
        <f t="shared" si="213"/>
        <v>0</v>
      </c>
      <c r="H831" s="7687" t="str">
        <f t="shared" si="214"/>
        <v/>
      </c>
      <c r="I831" s="7685" t="str">
        <f t="shared" si="215"/>
        <v/>
      </c>
      <c r="M831" s="7622">
        <f t="shared" si="216"/>
        <v>1</v>
      </c>
      <c r="N831" s="7688">
        <f t="shared" si="217"/>
        <v>814</v>
      </c>
      <c r="O831" s="7661" t="str">
        <f t="shared" si="218"/>
        <v>0</v>
      </c>
      <c r="P831" s="7688">
        <f t="shared" si="219"/>
        <v>1</v>
      </c>
      <c r="Q831" s="7688">
        <f t="shared" si="220"/>
        <v>1</v>
      </c>
    </row>
    <row r="832" spans="2:17">
      <c r="B832" s="7685"/>
      <c r="C832" s="7685"/>
      <c r="D832" s="7685"/>
      <c r="E832" s="7685">
        <f>IF(H831&lt;&gt;"",E831,IF(E831="","",IFERROR(MATCH(TRUE(),INDEX(INDEX($K:$K,E831+1):$K$203&lt;&gt;"",0),0)+E831,"")))</f>
        <v>1007</v>
      </c>
      <c r="F832" s="7686">
        <f t="shared" si="221"/>
        <v>0</v>
      </c>
      <c r="G832" s="7686" t="str">
        <f t="shared" si="213"/>
        <v>0</v>
      </c>
      <c r="H832" s="7687" t="str">
        <f t="shared" si="214"/>
        <v/>
      </c>
      <c r="I832" s="7685" t="str">
        <f t="shared" si="215"/>
        <v/>
      </c>
      <c r="M832" s="7622">
        <f t="shared" si="216"/>
        <v>1</v>
      </c>
      <c r="N832" s="7688">
        <f t="shared" si="217"/>
        <v>815</v>
      </c>
      <c r="O832" s="7661" t="str">
        <f t="shared" si="218"/>
        <v>0</v>
      </c>
      <c r="P832" s="7688">
        <f t="shared" si="219"/>
        <v>1</v>
      </c>
      <c r="Q832" s="7688">
        <f t="shared" si="220"/>
        <v>1</v>
      </c>
    </row>
    <row r="833" spans="2:17">
      <c r="B833" s="7685"/>
      <c r="C833" s="7685"/>
      <c r="D833" s="7685"/>
      <c r="E833" s="7685">
        <f>IF(H832&lt;&gt;"",E832,IF(E832="","",IFERROR(MATCH(TRUE(),INDEX(INDEX($K:$K,E832+1):$K$203&lt;&gt;"",0),0)+E832,"")))</f>
        <v>1008</v>
      </c>
      <c r="F833" s="7686">
        <f t="shared" si="221"/>
        <v>0</v>
      </c>
      <c r="G833" s="7686" t="str">
        <f t="shared" si="213"/>
        <v>0</v>
      </c>
      <c r="H833" s="7687" t="str">
        <f t="shared" si="214"/>
        <v/>
      </c>
      <c r="I833" s="7685" t="str">
        <f t="shared" si="215"/>
        <v/>
      </c>
      <c r="M833" s="7622">
        <f t="shared" si="216"/>
        <v>1</v>
      </c>
      <c r="N833" s="7688">
        <f t="shared" si="217"/>
        <v>816</v>
      </c>
      <c r="O833" s="7661" t="str">
        <f t="shared" si="218"/>
        <v>0</v>
      </c>
      <c r="P833" s="7688">
        <f t="shared" si="219"/>
        <v>1</v>
      </c>
      <c r="Q833" s="7688">
        <f t="shared" si="220"/>
        <v>1</v>
      </c>
    </row>
    <row r="834" spans="2:17">
      <c r="B834" s="7685"/>
      <c r="C834" s="7685"/>
      <c r="D834" s="7685"/>
      <c r="E834" s="7685">
        <f>IF(H833&lt;&gt;"",E833,IF(E833="","",IFERROR(MATCH(TRUE(),INDEX(INDEX($K:$K,E833+1):$K$203&lt;&gt;"",0),0)+E833,"")))</f>
        <v>1009</v>
      </c>
      <c r="F834" s="7686">
        <f t="shared" si="221"/>
        <v>0</v>
      </c>
      <c r="G834" s="7686" t="str">
        <f t="shared" si="213"/>
        <v>0</v>
      </c>
      <c r="H834" s="7687" t="str">
        <f t="shared" si="214"/>
        <v/>
      </c>
      <c r="I834" s="7685" t="str">
        <f t="shared" si="215"/>
        <v/>
      </c>
      <c r="M834" s="7622">
        <f t="shared" si="216"/>
        <v>1</v>
      </c>
      <c r="N834" s="7688">
        <f t="shared" si="217"/>
        <v>817</v>
      </c>
      <c r="O834" s="7661" t="str">
        <f t="shared" si="218"/>
        <v>0</v>
      </c>
      <c r="P834" s="7688">
        <f t="shared" si="219"/>
        <v>1</v>
      </c>
      <c r="Q834" s="7688">
        <f t="shared" si="220"/>
        <v>1</v>
      </c>
    </row>
    <row r="835" spans="2:17">
      <c r="B835" s="7685"/>
      <c r="C835" s="7685"/>
      <c r="D835" s="7685"/>
      <c r="E835" s="7685">
        <f>IF(H834&lt;&gt;"",E834,IF(E834="","",IFERROR(MATCH(TRUE(),INDEX(INDEX($K:$K,E834+1):$K$203&lt;&gt;"",0),0)+E834,"")))</f>
        <v>1010</v>
      </c>
      <c r="F835" s="7686">
        <f t="shared" si="221"/>
        <v>0</v>
      </c>
      <c r="G835" s="7686" t="str">
        <f t="shared" si="213"/>
        <v>0</v>
      </c>
      <c r="H835" s="7687" t="str">
        <f t="shared" si="214"/>
        <v/>
      </c>
      <c r="I835" s="7685" t="str">
        <f t="shared" si="215"/>
        <v/>
      </c>
      <c r="M835" s="7622">
        <f t="shared" si="216"/>
        <v>1</v>
      </c>
      <c r="N835" s="7688">
        <f t="shared" si="217"/>
        <v>818</v>
      </c>
      <c r="O835" s="7661" t="str">
        <f t="shared" si="218"/>
        <v>0</v>
      </c>
      <c r="P835" s="7688">
        <f t="shared" si="219"/>
        <v>1</v>
      </c>
      <c r="Q835" s="7688">
        <f t="shared" si="220"/>
        <v>1</v>
      </c>
    </row>
    <row r="836" spans="2:17">
      <c r="B836" s="7685"/>
      <c r="C836" s="7685"/>
      <c r="D836" s="7685"/>
      <c r="E836" s="7685">
        <f>IF(H835&lt;&gt;"",E835,IF(E835="","",IFERROR(MATCH(TRUE(),INDEX(INDEX($K:$K,E835+1):$K$203&lt;&gt;"",0),0)+E835,"")))</f>
        <v>1011</v>
      </c>
      <c r="F836" s="7686">
        <f t="shared" si="221"/>
        <v>0</v>
      </c>
      <c r="G836" s="7686" t="str">
        <f t="shared" si="213"/>
        <v>0</v>
      </c>
      <c r="H836" s="7687" t="str">
        <f t="shared" si="214"/>
        <v/>
      </c>
      <c r="I836" s="7685" t="str">
        <f t="shared" si="215"/>
        <v/>
      </c>
      <c r="M836" s="7622">
        <f t="shared" si="216"/>
        <v>1</v>
      </c>
      <c r="N836" s="7688">
        <f t="shared" si="217"/>
        <v>819</v>
      </c>
      <c r="O836" s="7661" t="str">
        <f t="shared" si="218"/>
        <v>0</v>
      </c>
      <c r="P836" s="7688">
        <f t="shared" si="219"/>
        <v>1</v>
      </c>
      <c r="Q836" s="7688">
        <f t="shared" si="220"/>
        <v>1</v>
      </c>
    </row>
    <row r="837" spans="2:17">
      <c r="B837" s="7685"/>
      <c r="C837" s="7685"/>
      <c r="D837" s="7685"/>
      <c r="E837" s="7685">
        <f>IF(H836&lt;&gt;"",E836,IF(E836="","",IFERROR(MATCH(TRUE(),INDEX(INDEX($K:$K,E836+1):$K$203&lt;&gt;"",0),0)+E836,"")))</f>
        <v>1012</v>
      </c>
      <c r="F837" s="7686">
        <f t="shared" si="221"/>
        <v>0</v>
      </c>
      <c r="G837" s="7686" t="str">
        <f t="shared" si="213"/>
        <v>0</v>
      </c>
      <c r="H837" s="7687" t="str">
        <f t="shared" si="214"/>
        <v/>
      </c>
      <c r="I837" s="7685" t="str">
        <f t="shared" si="215"/>
        <v/>
      </c>
      <c r="M837" s="7622">
        <f t="shared" si="216"/>
        <v>1</v>
      </c>
      <c r="N837" s="7688">
        <f t="shared" si="217"/>
        <v>820</v>
      </c>
      <c r="O837" s="7661" t="str">
        <f t="shared" si="218"/>
        <v>0</v>
      </c>
      <c r="P837" s="7688">
        <f t="shared" si="219"/>
        <v>1</v>
      </c>
      <c r="Q837" s="7688">
        <f t="shared" si="220"/>
        <v>1</v>
      </c>
    </row>
    <row r="838" spans="2:17">
      <c r="B838" s="7685"/>
      <c r="C838" s="7685"/>
      <c r="D838" s="7685"/>
      <c r="E838" s="7685">
        <f>IF(H837&lt;&gt;"",E837,IF(E837="","",IFERROR(MATCH(TRUE(),INDEX(INDEX($K:$K,E837+1):$K$203&lt;&gt;"",0),0)+E837,"")))</f>
        <v>1013</v>
      </c>
      <c r="F838" s="7686">
        <f t="shared" si="221"/>
        <v>0</v>
      </c>
      <c r="G838" s="7686" t="str">
        <f t="shared" si="213"/>
        <v>0</v>
      </c>
      <c r="H838" s="7687" t="str">
        <f t="shared" si="214"/>
        <v/>
      </c>
      <c r="I838" s="7685" t="str">
        <f t="shared" si="215"/>
        <v/>
      </c>
      <c r="M838" s="7622">
        <f t="shared" si="216"/>
        <v>1</v>
      </c>
      <c r="N838" s="7688">
        <f t="shared" si="217"/>
        <v>821</v>
      </c>
      <c r="O838" s="7661" t="str">
        <f t="shared" si="218"/>
        <v>0</v>
      </c>
      <c r="P838" s="7688">
        <f t="shared" si="219"/>
        <v>1</v>
      </c>
      <c r="Q838" s="7688">
        <f t="shared" si="220"/>
        <v>1</v>
      </c>
    </row>
    <row r="839" spans="2:17">
      <c r="B839" s="7685"/>
      <c r="C839" s="7685"/>
      <c r="D839" s="7685"/>
      <c r="E839" s="7685">
        <f>IF(H838&lt;&gt;"",E838,IF(E838="","",IFERROR(MATCH(TRUE(),INDEX(INDEX($K:$K,E838+1):$K$203&lt;&gt;"",0),0)+E838,"")))</f>
        <v>1014</v>
      </c>
      <c r="F839" s="7686">
        <f t="shared" si="221"/>
        <v>0</v>
      </c>
      <c r="G839" s="7686" t="str">
        <f t="shared" si="213"/>
        <v>0</v>
      </c>
      <c r="H839" s="7687" t="str">
        <f t="shared" si="214"/>
        <v/>
      </c>
      <c r="I839" s="7685" t="str">
        <f t="shared" si="215"/>
        <v/>
      </c>
      <c r="M839" s="7622">
        <f t="shared" si="216"/>
        <v>1</v>
      </c>
      <c r="N839" s="7688">
        <f t="shared" si="217"/>
        <v>822</v>
      </c>
      <c r="O839" s="7661" t="str">
        <f t="shared" si="218"/>
        <v>0</v>
      </c>
      <c r="P839" s="7688">
        <f t="shared" si="219"/>
        <v>1</v>
      </c>
      <c r="Q839" s="7688">
        <f t="shared" si="220"/>
        <v>1</v>
      </c>
    </row>
    <row r="840" spans="2:17">
      <c r="B840" s="7685"/>
      <c r="C840" s="7685"/>
      <c r="D840" s="7685"/>
      <c r="E840" s="7685">
        <f>IF(H839&lt;&gt;"",E839,IF(E839="","",IFERROR(MATCH(TRUE(),INDEX(INDEX($K:$K,E839+1):$K$203&lt;&gt;"",0),0)+E839,"")))</f>
        <v>1015</v>
      </c>
      <c r="F840" s="7686">
        <f t="shared" si="221"/>
        <v>0</v>
      </c>
      <c r="G840" s="7686" t="str">
        <f t="shared" si="213"/>
        <v>0</v>
      </c>
      <c r="H840" s="7687" t="str">
        <f t="shared" si="214"/>
        <v/>
      </c>
      <c r="I840" s="7685" t="str">
        <f t="shared" si="215"/>
        <v/>
      </c>
      <c r="M840" s="7622">
        <f t="shared" si="216"/>
        <v>1</v>
      </c>
      <c r="N840" s="7688">
        <f t="shared" si="217"/>
        <v>823</v>
      </c>
      <c r="O840" s="7661" t="str">
        <f t="shared" si="218"/>
        <v>0</v>
      </c>
      <c r="P840" s="7688">
        <f t="shared" si="219"/>
        <v>1</v>
      </c>
      <c r="Q840" s="7688">
        <f t="shared" si="220"/>
        <v>1</v>
      </c>
    </row>
    <row r="841" spans="2:17">
      <c r="B841" s="7685"/>
      <c r="C841" s="7685"/>
      <c r="D841" s="7685"/>
      <c r="E841" s="7685">
        <f>IF(H840&lt;&gt;"",E840,IF(E840="","",IFERROR(MATCH(TRUE(),INDEX(INDEX($K:$K,E840+1):$K$203&lt;&gt;"",0),0)+E840,"")))</f>
        <v>1016</v>
      </c>
      <c r="F841" s="7686">
        <f t="shared" si="221"/>
        <v>0</v>
      </c>
      <c r="G841" s="7686" t="str">
        <f t="shared" si="213"/>
        <v>0</v>
      </c>
      <c r="H841" s="7687" t="str">
        <f t="shared" si="214"/>
        <v/>
      </c>
      <c r="I841" s="7685" t="str">
        <f t="shared" si="215"/>
        <v/>
      </c>
      <c r="M841" s="7622">
        <f t="shared" si="216"/>
        <v>1</v>
      </c>
      <c r="N841" s="7688">
        <f t="shared" si="217"/>
        <v>824</v>
      </c>
      <c r="O841" s="7661" t="str">
        <f t="shared" si="218"/>
        <v>0</v>
      </c>
      <c r="P841" s="7688">
        <f t="shared" si="219"/>
        <v>1</v>
      </c>
      <c r="Q841" s="7688">
        <f t="shared" si="220"/>
        <v>1</v>
      </c>
    </row>
    <row r="842" spans="2:17">
      <c r="B842" s="7685"/>
      <c r="C842" s="7685"/>
      <c r="D842" s="7685"/>
      <c r="E842" s="7685">
        <f>IF(H841&lt;&gt;"",E841,IF(E841="","",IFERROR(MATCH(TRUE(),INDEX(INDEX($K:$K,E841+1):$K$203&lt;&gt;"",0),0)+E841,"")))</f>
        <v>1017</v>
      </c>
      <c r="F842" s="7686">
        <f t="shared" si="221"/>
        <v>0</v>
      </c>
      <c r="G842" s="7686" t="str">
        <f t="shared" si="213"/>
        <v>0</v>
      </c>
      <c r="H842" s="7687" t="str">
        <f t="shared" si="214"/>
        <v/>
      </c>
      <c r="I842" s="7685" t="str">
        <f t="shared" si="215"/>
        <v/>
      </c>
      <c r="M842" s="7622">
        <f t="shared" si="216"/>
        <v>1</v>
      </c>
      <c r="N842" s="7688">
        <f t="shared" si="217"/>
        <v>825</v>
      </c>
      <c r="O842" s="7661" t="str">
        <f t="shared" si="218"/>
        <v>0</v>
      </c>
      <c r="P842" s="7688">
        <f t="shared" si="219"/>
        <v>1</v>
      </c>
      <c r="Q842" s="7688">
        <f t="shared" si="220"/>
        <v>1</v>
      </c>
    </row>
    <row r="843" spans="2:17">
      <c r="B843" s="7685"/>
      <c r="C843" s="7685"/>
      <c r="D843" s="7685"/>
      <c r="E843" s="7685">
        <f>IF(H842&lt;&gt;"",E842,IF(E842="","",IFERROR(MATCH(TRUE(),INDEX(INDEX($K:$K,E842+1):$K$203&lt;&gt;"",0),0)+E842,"")))</f>
        <v>1018</v>
      </c>
      <c r="F843" s="7686">
        <f t="shared" si="221"/>
        <v>0</v>
      </c>
      <c r="G843" s="7686" t="str">
        <f t="shared" si="213"/>
        <v>0</v>
      </c>
      <c r="H843" s="7687" t="str">
        <f t="shared" si="214"/>
        <v/>
      </c>
      <c r="I843" s="7685" t="str">
        <f t="shared" si="215"/>
        <v/>
      </c>
      <c r="M843" s="7622">
        <f t="shared" si="216"/>
        <v>1</v>
      </c>
      <c r="N843" s="7688">
        <f t="shared" si="217"/>
        <v>826</v>
      </c>
      <c r="O843" s="7661" t="str">
        <f t="shared" si="218"/>
        <v>0</v>
      </c>
      <c r="P843" s="7688">
        <f t="shared" si="219"/>
        <v>1</v>
      </c>
      <c r="Q843" s="7688">
        <f t="shared" si="220"/>
        <v>1</v>
      </c>
    </row>
    <row r="844" spans="2:17">
      <c r="B844" s="7685"/>
      <c r="C844" s="7685"/>
      <c r="D844" s="7685"/>
      <c r="E844" s="7685">
        <f>IF(H843&lt;&gt;"",E843,IF(E843="","",IFERROR(MATCH(TRUE(),INDEX(INDEX($K:$K,E843+1):$K$203&lt;&gt;"",0),0)+E843,"")))</f>
        <v>1019</v>
      </c>
      <c r="F844" s="7686">
        <f t="shared" si="221"/>
        <v>0</v>
      </c>
      <c r="G844" s="7686" t="str">
        <f t="shared" si="213"/>
        <v>0</v>
      </c>
      <c r="H844" s="7687" t="str">
        <f t="shared" si="214"/>
        <v/>
      </c>
      <c r="I844" s="7685" t="str">
        <f t="shared" si="215"/>
        <v/>
      </c>
      <c r="M844" s="7622">
        <f t="shared" si="216"/>
        <v>1</v>
      </c>
      <c r="N844" s="7688">
        <f t="shared" si="217"/>
        <v>827</v>
      </c>
      <c r="O844" s="7661" t="str">
        <f t="shared" si="218"/>
        <v>0</v>
      </c>
      <c r="P844" s="7688">
        <f t="shared" si="219"/>
        <v>1</v>
      </c>
      <c r="Q844" s="7688">
        <f t="shared" si="220"/>
        <v>1</v>
      </c>
    </row>
    <row r="845" spans="2:17">
      <c r="B845" s="7685"/>
      <c r="C845" s="7685"/>
      <c r="D845" s="7685"/>
      <c r="E845" s="7685">
        <f>IF(H844&lt;&gt;"",E844,IF(E844="","",IFERROR(MATCH(TRUE(),INDEX(INDEX($K:$K,E844+1):$K$203&lt;&gt;"",0),0)+E844,"")))</f>
        <v>1020</v>
      </c>
      <c r="F845" s="7686">
        <f t="shared" si="221"/>
        <v>0</v>
      </c>
      <c r="G845" s="7686" t="str">
        <f t="shared" si="213"/>
        <v>0</v>
      </c>
      <c r="H845" s="7687" t="str">
        <f t="shared" si="214"/>
        <v/>
      </c>
      <c r="I845" s="7685" t="str">
        <f t="shared" si="215"/>
        <v/>
      </c>
      <c r="M845" s="7622">
        <f t="shared" si="216"/>
        <v>1</v>
      </c>
      <c r="N845" s="7688">
        <f t="shared" si="217"/>
        <v>828</v>
      </c>
      <c r="O845" s="7661" t="str">
        <f t="shared" si="218"/>
        <v>0</v>
      </c>
      <c r="P845" s="7688">
        <f t="shared" si="219"/>
        <v>1</v>
      </c>
      <c r="Q845" s="7688">
        <f t="shared" si="220"/>
        <v>1</v>
      </c>
    </row>
    <row r="846" spans="2:17">
      <c r="B846" s="7685"/>
      <c r="C846" s="7685"/>
      <c r="D846" s="7685"/>
      <c r="E846" s="7685">
        <f>IF(H845&lt;&gt;"",E845,IF(E845="","",IFERROR(MATCH(TRUE(),INDEX(INDEX($K:$K,E845+1):$K$203&lt;&gt;"",0),0)+E845,"")))</f>
        <v>1021</v>
      </c>
      <c r="F846" s="7686">
        <f t="shared" si="221"/>
        <v>0</v>
      </c>
      <c r="G846" s="7686" t="str">
        <f t="shared" si="213"/>
        <v>0</v>
      </c>
      <c r="H846" s="7687" t="str">
        <f t="shared" si="214"/>
        <v/>
      </c>
      <c r="I846" s="7685" t="str">
        <f t="shared" si="215"/>
        <v/>
      </c>
      <c r="M846" s="7622">
        <f t="shared" si="216"/>
        <v>1</v>
      </c>
      <c r="N846" s="7688">
        <f t="shared" si="217"/>
        <v>829</v>
      </c>
      <c r="O846" s="7661" t="str">
        <f t="shared" si="218"/>
        <v>0</v>
      </c>
      <c r="P846" s="7688">
        <f t="shared" si="219"/>
        <v>1</v>
      </c>
      <c r="Q846" s="7688">
        <f t="shared" si="220"/>
        <v>1</v>
      </c>
    </row>
    <row r="847" spans="2:17">
      <c r="B847" s="7685"/>
      <c r="C847" s="7685"/>
      <c r="D847" s="7685"/>
      <c r="E847" s="7685">
        <f>IF(H846&lt;&gt;"",E846,IF(E846="","",IFERROR(MATCH(TRUE(),INDEX(INDEX($K:$K,E846+1):$K$203&lt;&gt;"",0),0)+E846,"")))</f>
        <v>1022</v>
      </c>
      <c r="F847" s="7686">
        <f t="shared" si="221"/>
        <v>0</v>
      </c>
      <c r="G847" s="7686" t="str">
        <f t="shared" si="213"/>
        <v>0</v>
      </c>
      <c r="H847" s="7687" t="str">
        <f t="shared" si="214"/>
        <v/>
      </c>
      <c r="I847" s="7685" t="str">
        <f t="shared" si="215"/>
        <v/>
      </c>
      <c r="M847" s="7622">
        <f t="shared" si="216"/>
        <v>1</v>
      </c>
      <c r="N847" s="7688">
        <f t="shared" si="217"/>
        <v>830</v>
      </c>
      <c r="O847" s="7661" t="str">
        <f t="shared" si="218"/>
        <v>0</v>
      </c>
      <c r="P847" s="7688">
        <f t="shared" si="219"/>
        <v>1</v>
      </c>
      <c r="Q847" s="7688">
        <f t="shared" si="220"/>
        <v>1</v>
      </c>
    </row>
    <row r="848" spans="2:17">
      <c r="B848" s="7685"/>
      <c r="C848" s="7685"/>
      <c r="D848" s="7685"/>
      <c r="E848" s="7685">
        <f>IF(H847&lt;&gt;"",E847,IF(E847="","",IFERROR(MATCH(TRUE(),INDEX(INDEX($K:$K,E847+1):$K$203&lt;&gt;"",0),0)+E847,"")))</f>
        <v>1023</v>
      </c>
      <c r="F848" s="7686">
        <f t="shared" si="221"/>
        <v>0</v>
      </c>
      <c r="G848" s="7686" t="str">
        <f t="shared" si="213"/>
        <v>0</v>
      </c>
      <c r="H848" s="7687" t="str">
        <f t="shared" si="214"/>
        <v/>
      </c>
      <c r="I848" s="7685" t="str">
        <f t="shared" si="215"/>
        <v/>
      </c>
      <c r="M848" s="7622">
        <f t="shared" si="216"/>
        <v>1</v>
      </c>
      <c r="N848" s="7688">
        <f t="shared" si="217"/>
        <v>831</v>
      </c>
      <c r="O848" s="7661" t="str">
        <f t="shared" si="218"/>
        <v>0</v>
      </c>
      <c r="P848" s="7688">
        <f t="shared" si="219"/>
        <v>1</v>
      </c>
      <c r="Q848" s="7688">
        <f t="shared" si="220"/>
        <v>1</v>
      </c>
    </row>
    <row r="849" spans="2:17">
      <c r="B849" s="7685"/>
      <c r="C849" s="7685"/>
      <c r="D849" s="7685"/>
      <c r="E849" s="7685">
        <f>IF(H848&lt;&gt;"",E848,IF(E848="","",IFERROR(MATCH(TRUE(),INDEX(INDEX($K:$K,E848+1):$K$203&lt;&gt;"",0),0)+E848,"")))</f>
        <v>1024</v>
      </c>
      <c r="F849" s="7686">
        <f t="shared" si="221"/>
        <v>0</v>
      </c>
      <c r="G849" s="7686" t="str">
        <f t="shared" si="213"/>
        <v>0</v>
      </c>
      <c r="H849" s="7687" t="str">
        <f t="shared" si="214"/>
        <v/>
      </c>
      <c r="I849" s="7685" t="str">
        <f t="shared" si="215"/>
        <v/>
      </c>
      <c r="M849" s="7622">
        <f t="shared" si="216"/>
        <v>1</v>
      </c>
      <c r="N849" s="7688">
        <f t="shared" si="217"/>
        <v>832</v>
      </c>
      <c r="O849" s="7661" t="str">
        <f t="shared" si="218"/>
        <v>0</v>
      </c>
      <c r="P849" s="7688">
        <f t="shared" si="219"/>
        <v>1</v>
      </c>
      <c r="Q849" s="7688">
        <f t="shared" si="220"/>
        <v>1</v>
      </c>
    </row>
    <row r="850" spans="2:17">
      <c r="B850" s="7685"/>
      <c r="C850" s="7685"/>
      <c r="D850" s="7685"/>
      <c r="E850" s="7685">
        <f>IF(H849&lt;&gt;"",E849,IF(E849="","",IFERROR(MATCH(TRUE(),INDEX(INDEX($K:$K,E849+1):$K$203&lt;&gt;"",0),0)+E849,"")))</f>
        <v>1025</v>
      </c>
      <c r="F850" s="7686">
        <f t="shared" si="221"/>
        <v>0</v>
      </c>
      <c r="G850" s="7686" t="str">
        <f t="shared" ref="G850:G913" si="222">IF(OR(F850="",M850=""),"",LEFT(F850,M850))</f>
        <v>0</v>
      </c>
      <c r="H850" s="7687" t="str">
        <f t="shared" ref="H850:H913" si="223">IF(OR(F850="",M850=""),"",TRIM(MID(F850,M850+1,99999)))</f>
        <v/>
      </c>
      <c r="I850" s="7685" t="str">
        <f t="shared" ref="I850:I913" si="224">IF(AND(F850&lt;&gt;"",$N$10&gt;0,M850&gt;$N$10),"Mot &gt; limite","")</f>
        <v/>
      </c>
      <c r="M850" s="7622">
        <f t="shared" ref="M850:M913" si="225">IF(OR(F850="",$N$10="",$N$10&lt;=0),"",IF(LEN(F850)&lt;=$N$10,LEN(F850),IFERROR(FIND("♦",SUBSTITUTE(LEFT(F850,$N$10)," ","♦",LEN(LEFT(F850,$N$10))-LEN(SUBSTITUTE(LEFT(F850,$N$10)," ","")))),FIND(" ",F850&amp;" ",$N$10+1)-1)))</f>
        <v>1</v>
      </c>
      <c r="N850" s="7688">
        <f t="shared" ref="N850:N913" si="226">IF(O850="","",ROW()-17)</f>
        <v>833</v>
      </c>
      <c r="O850" s="7661" t="str">
        <f t="shared" ref="O850:O913" si="227">G850</f>
        <v>0</v>
      </c>
      <c r="P850" s="7688">
        <f t="shared" ref="P850:P913" si="228">IF(O850="","",LEN(TRIM(O850))-LEN(SUBSTITUTE(TRIM(O850)," ",""))+1)</f>
        <v>1</v>
      </c>
      <c r="Q850" s="7688">
        <f t="shared" ref="Q850:Q913" si="229">IF(O850="","",LEN(O850))</f>
        <v>1</v>
      </c>
    </row>
    <row r="851" spans="2:17">
      <c r="B851" s="7685"/>
      <c r="C851" s="7685"/>
      <c r="D851" s="7685"/>
      <c r="E851" s="7685">
        <f>IF(H850&lt;&gt;"",E850,IF(E850="","",IFERROR(MATCH(TRUE(),INDEX(INDEX($K:$K,E850+1):$K$203&lt;&gt;"",0),0)+E850,"")))</f>
        <v>1026</v>
      </c>
      <c r="F851" s="7686">
        <f t="shared" ref="F851:F914" si="230">IF(E851="","",IF(H850&lt;&gt;"",H850,INDEX($D:$D,E851)))</f>
        <v>0</v>
      </c>
      <c r="G851" s="7686" t="str">
        <f t="shared" si="222"/>
        <v>0</v>
      </c>
      <c r="H851" s="7687" t="str">
        <f t="shared" si="223"/>
        <v/>
      </c>
      <c r="I851" s="7685" t="str">
        <f t="shared" si="224"/>
        <v/>
      </c>
      <c r="M851" s="7622">
        <f t="shared" si="225"/>
        <v>1</v>
      </c>
      <c r="N851" s="7688">
        <f t="shared" si="226"/>
        <v>834</v>
      </c>
      <c r="O851" s="7661" t="str">
        <f t="shared" si="227"/>
        <v>0</v>
      </c>
      <c r="P851" s="7688">
        <f t="shared" si="228"/>
        <v>1</v>
      </c>
      <c r="Q851" s="7688">
        <f t="shared" si="229"/>
        <v>1</v>
      </c>
    </row>
    <row r="852" spans="2:17">
      <c r="B852" s="7685"/>
      <c r="C852" s="7685"/>
      <c r="D852" s="7685"/>
      <c r="E852" s="7685">
        <f>IF(H851&lt;&gt;"",E851,IF(E851="","",IFERROR(MATCH(TRUE(),INDEX(INDEX($K:$K,E851+1):$K$203&lt;&gt;"",0),0)+E851,"")))</f>
        <v>1027</v>
      </c>
      <c r="F852" s="7686">
        <f t="shared" si="230"/>
        <v>0</v>
      </c>
      <c r="G852" s="7686" t="str">
        <f t="shared" si="222"/>
        <v>0</v>
      </c>
      <c r="H852" s="7687" t="str">
        <f t="shared" si="223"/>
        <v/>
      </c>
      <c r="I852" s="7685" t="str">
        <f t="shared" si="224"/>
        <v/>
      </c>
      <c r="M852" s="7622">
        <f t="shared" si="225"/>
        <v>1</v>
      </c>
      <c r="N852" s="7688">
        <f t="shared" si="226"/>
        <v>835</v>
      </c>
      <c r="O852" s="7661" t="str">
        <f t="shared" si="227"/>
        <v>0</v>
      </c>
      <c r="P852" s="7688">
        <f t="shared" si="228"/>
        <v>1</v>
      </c>
      <c r="Q852" s="7688">
        <f t="shared" si="229"/>
        <v>1</v>
      </c>
    </row>
    <row r="853" spans="2:17">
      <c r="B853" s="7685"/>
      <c r="C853" s="7685"/>
      <c r="D853" s="7685"/>
      <c r="E853" s="7685">
        <f>IF(H852&lt;&gt;"",E852,IF(E852="","",IFERROR(MATCH(TRUE(),INDEX(INDEX($K:$K,E852+1):$K$203&lt;&gt;"",0),0)+E852,"")))</f>
        <v>1028</v>
      </c>
      <c r="F853" s="7686">
        <f t="shared" si="230"/>
        <v>0</v>
      </c>
      <c r="G853" s="7686" t="str">
        <f t="shared" si="222"/>
        <v>0</v>
      </c>
      <c r="H853" s="7687" t="str">
        <f t="shared" si="223"/>
        <v/>
      </c>
      <c r="I853" s="7685" t="str">
        <f t="shared" si="224"/>
        <v/>
      </c>
      <c r="M853" s="7622">
        <f t="shared" si="225"/>
        <v>1</v>
      </c>
      <c r="N853" s="7688">
        <f t="shared" si="226"/>
        <v>836</v>
      </c>
      <c r="O853" s="7661" t="str">
        <f t="shared" si="227"/>
        <v>0</v>
      </c>
      <c r="P853" s="7688">
        <f t="shared" si="228"/>
        <v>1</v>
      </c>
      <c r="Q853" s="7688">
        <f t="shared" si="229"/>
        <v>1</v>
      </c>
    </row>
    <row r="854" spans="2:17">
      <c r="B854" s="7685"/>
      <c r="C854" s="7685"/>
      <c r="D854" s="7685"/>
      <c r="E854" s="7685">
        <f>IF(H853&lt;&gt;"",E853,IF(E853="","",IFERROR(MATCH(TRUE(),INDEX(INDEX($K:$K,E853+1):$K$203&lt;&gt;"",0),0)+E853,"")))</f>
        <v>1029</v>
      </c>
      <c r="F854" s="7686">
        <f t="shared" si="230"/>
        <v>0</v>
      </c>
      <c r="G854" s="7686" t="str">
        <f t="shared" si="222"/>
        <v>0</v>
      </c>
      <c r="H854" s="7687" t="str">
        <f t="shared" si="223"/>
        <v/>
      </c>
      <c r="I854" s="7685" t="str">
        <f t="shared" si="224"/>
        <v/>
      </c>
      <c r="M854" s="7622">
        <f t="shared" si="225"/>
        <v>1</v>
      </c>
      <c r="N854" s="7688">
        <f t="shared" si="226"/>
        <v>837</v>
      </c>
      <c r="O854" s="7661" t="str">
        <f t="shared" si="227"/>
        <v>0</v>
      </c>
      <c r="P854" s="7688">
        <f t="shared" si="228"/>
        <v>1</v>
      </c>
      <c r="Q854" s="7688">
        <f t="shared" si="229"/>
        <v>1</v>
      </c>
    </row>
    <row r="855" spans="2:17">
      <c r="B855" s="7685"/>
      <c r="C855" s="7685"/>
      <c r="D855" s="7685"/>
      <c r="E855" s="7685">
        <f>IF(H854&lt;&gt;"",E854,IF(E854="","",IFERROR(MATCH(TRUE(),INDEX(INDEX($K:$K,E854+1):$K$203&lt;&gt;"",0),0)+E854,"")))</f>
        <v>1030</v>
      </c>
      <c r="F855" s="7686">
        <f t="shared" si="230"/>
        <v>0</v>
      </c>
      <c r="G855" s="7686" t="str">
        <f t="shared" si="222"/>
        <v>0</v>
      </c>
      <c r="H855" s="7687" t="str">
        <f t="shared" si="223"/>
        <v/>
      </c>
      <c r="I855" s="7685" t="str">
        <f t="shared" si="224"/>
        <v/>
      </c>
      <c r="M855" s="7622">
        <f t="shared" si="225"/>
        <v>1</v>
      </c>
      <c r="N855" s="7688">
        <f t="shared" si="226"/>
        <v>838</v>
      </c>
      <c r="O855" s="7661" t="str">
        <f t="shared" si="227"/>
        <v>0</v>
      </c>
      <c r="P855" s="7688">
        <f t="shared" si="228"/>
        <v>1</v>
      </c>
      <c r="Q855" s="7688">
        <f t="shared" si="229"/>
        <v>1</v>
      </c>
    </row>
    <row r="856" spans="2:17">
      <c r="B856" s="7685"/>
      <c r="C856" s="7685"/>
      <c r="D856" s="7685"/>
      <c r="E856" s="7685">
        <f>IF(H855&lt;&gt;"",E855,IF(E855="","",IFERROR(MATCH(TRUE(),INDEX(INDEX($K:$K,E855+1):$K$203&lt;&gt;"",0),0)+E855,"")))</f>
        <v>1031</v>
      </c>
      <c r="F856" s="7686">
        <f t="shared" si="230"/>
        <v>0</v>
      </c>
      <c r="G856" s="7686" t="str">
        <f t="shared" si="222"/>
        <v>0</v>
      </c>
      <c r="H856" s="7687" t="str">
        <f t="shared" si="223"/>
        <v/>
      </c>
      <c r="I856" s="7685" t="str">
        <f t="shared" si="224"/>
        <v/>
      </c>
      <c r="M856" s="7622">
        <f t="shared" si="225"/>
        <v>1</v>
      </c>
      <c r="N856" s="7688">
        <f t="shared" si="226"/>
        <v>839</v>
      </c>
      <c r="O856" s="7661" t="str">
        <f t="shared" si="227"/>
        <v>0</v>
      </c>
      <c r="P856" s="7688">
        <f t="shared" si="228"/>
        <v>1</v>
      </c>
      <c r="Q856" s="7688">
        <f t="shared" si="229"/>
        <v>1</v>
      </c>
    </row>
    <row r="857" spans="2:17">
      <c r="B857" s="7685"/>
      <c r="C857" s="7685"/>
      <c r="D857" s="7685"/>
      <c r="E857" s="7685">
        <f>IF(H856&lt;&gt;"",E856,IF(E856="","",IFERROR(MATCH(TRUE(),INDEX(INDEX($K:$K,E856+1):$K$203&lt;&gt;"",0),0)+E856,"")))</f>
        <v>1032</v>
      </c>
      <c r="F857" s="7686">
        <f t="shared" si="230"/>
        <v>0</v>
      </c>
      <c r="G857" s="7686" t="str">
        <f t="shared" si="222"/>
        <v>0</v>
      </c>
      <c r="H857" s="7687" t="str">
        <f t="shared" si="223"/>
        <v/>
      </c>
      <c r="I857" s="7685" t="str">
        <f t="shared" si="224"/>
        <v/>
      </c>
      <c r="M857" s="7622">
        <f t="shared" si="225"/>
        <v>1</v>
      </c>
      <c r="N857" s="7688">
        <f t="shared" si="226"/>
        <v>840</v>
      </c>
      <c r="O857" s="7661" t="str">
        <f t="shared" si="227"/>
        <v>0</v>
      </c>
      <c r="P857" s="7688">
        <f t="shared" si="228"/>
        <v>1</v>
      </c>
      <c r="Q857" s="7688">
        <f t="shared" si="229"/>
        <v>1</v>
      </c>
    </row>
    <row r="858" spans="2:17">
      <c r="B858" s="7685"/>
      <c r="C858" s="7685"/>
      <c r="D858" s="7685"/>
      <c r="E858" s="7685">
        <f>IF(H857&lt;&gt;"",E857,IF(E857="","",IFERROR(MATCH(TRUE(),INDEX(INDEX($K:$K,E857+1):$K$203&lt;&gt;"",0),0)+E857,"")))</f>
        <v>1033</v>
      </c>
      <c r="F858" s="7686">
        <f t="shared" si="230"/>
        <v>0</v>
      </c>
      <c r="G858" s="7686" t="str">
        <f t="shared" si="222"/>
        <v>0</v>
      </c>
      <c r="H858" s="7687" t="str">
        <f t="shared" si="223"/>
        <v/>
      </c>
      <c r="I858" s="7685" t="str">
        <f t="shared" si="224"/>
        <v/>
      </c>
      <c r="M858" s="7622">
        <f t="shared" si="225"/>
        <v>1</v>
      </c>
      <c r="N858" s="7688">
        <f t="shared" si="226"/>
        <v>841</v>
      </c>
      <c r="O858" s="7661" t="str">
        <f t="shared" si="227"/>
        <v>0</v>
      </c>
      <c r="P858" s="7688">
        <f t="shared" si="228"/>
        <v>1</v>
      </c>
      <c r="Q858" s="7688">
        <f t="shared" si="229"/>
        <v>1</v>
      </c>
    </row>
    <row r="859" spans="2:17">
      <c r="B859" s="7685"/>
      <c r="C859" s="7685"/>
      <c r="D859" s="7685"/>
      <c r="E859" s="7685">
        <f>IF(H858&lt;&gt;"",E858,IF(E858="","",IFERROR(MATCH(TRUE(),INDEX(INDEX($K:$K,E858+1):$K$203&lt;&gt;"",0),0)+E858,"")))</f>
        <v>1034</v>
      </c>
      <c r="F859" s="7686">
        <f t="shared" si="230"/>
        <v>0</v>
      </c>
      <c r="G859" s="7686" t="str">
        <f t="shared" si="222"/>
        <v>0</v>
      </c>
      <c r="H859" s="7687" t="str">
        <f t="shared" si="223"/>
        <v/>
      </c>
      <c r="I859" s="7685" t="str">
        <f t="shared" si="224"/>
        <v/>
      </c>
      <c r="M859" s="7622">
        <f t="shared" si="225"/>
        <v>1</v>
      </c>
      <c r="N859" s="7688">
        <f t="shared" si="226"/>
        <v>842</v>
      </c>
      <c r="O859" s="7661" t="str">
        <f t="shared" si="227"/>
        <v>0</v>
      </c>
      <c r="P859" s="7688">
        <f t="shared" si="228"/>
        <v>1</v>
      </c>
      <c r="Q859" s="7688">
        <f t="shared" si="229"/>
        <v>1</v>
      </c>
    </row>
    <row r="860" spans="2:17">
      <c r="B860" s="7685"/>
      <c r="C860" s="7685"/>
      <c r="D860" s="7685"/>
      <c r="E860" s="7685">
        <f>IF(H859&lt;&gt;"",E859,IF(E859="","",IFERROR(MATCH(TRUE(),INDEX(INDEX($K:$K,E859+1):$K$203&lt;&gt;"",0),0)+E859,"")))</f>
        <v>1035</v>
      </c>
      <c r="F860" s="7686">
        <f t="shared" si="230"/>
        <v>0</v>
      </c>
      <c r="G860" s="7686" t="str">
        <f t="shared" si="222"/>
        <v>0</v>
      </c>
      <c r="H860" s="7687" t="str">
        <f t="shared" si="223"/>
        <v/>
      </c>
      <c r="I860" s="7685" t="str">
        <f t="shared" si="224"/>
        <v/>
      </c>
      <c r="M860" s="7622">
        <f t="shared" si="225"/>
        <v>1</v>
      </c>
      <c r="N860" s="7688">
        <f t="shared" si="226"/>
        <v>843</v>
      </c>
      <c r="O860" s="7661" t="str">
        <f t="shared" si="227"/>
        <v>0</v>
      </c>
      <c r="P860" s="7688">
        <f t="shared" si="228"/>
        <v>1</v>
      </c>
      <c r="Q860" s="7688">
        <f t="shared" si="229"/>
        <v>1</v>
      </c>
    </row>
    <row r="861" spans="2:17">
      <c r="B861" s="7685"/>
      <c r="C861" s="7685"/>
      <c r="D861" s="7685"/>
      <c r="E861" s="7685">
        <f>IF(H860&lt;&gt;"",E860,IF(E860="","",IFERROR(MATCH(TRUE(),INDEX(INDEX($K:$K,E860+1):$K$203&lt;&gt;"",0),0)+E860,"")))</f>
        <v>1036</v>
      </c>
      <c r="F861" s="7686">
        <f t="shared" si="230"/>
        <v>0</v>
      </c>
      <c r="G861" s="7686" t="str">
        <f t="shared" si="222"/>
        <v>0</v>
      </c>
      <c r="H861" s="7687" t="str">
        <f t="shared" si="223"/>
        <v/>
      </c>
      <c r="I861" s="7685" t="str">
        <f t="shared" si="224"/>
        <v/>
      </c>
      <c r="M861" s="7622">
        <f t="shared" si="225"/>
        <v>1</v>
      </c>
      <c r="N861" s="7688">
        <f t="shared" si="226"/>
        <v>844</v>
      </c>
      <c r="O861" s="7661" t="str">
        <f t="shared" si="227"/>
        <v>0</v>
      </c>
      <c r="P861" s="7688">
        <f t="shared" si="228"/>
        <v>1</v>
      </c>
      <c r="Q861" s="7688">
        <f t="shared" si="229"/>
        <v>1</v>
      </c>
    </row>
    <row r="862" spans="2:17">
      <c r="B862" s="7685"/>
      <c r="C862" s="7685"/>
      <c r="D862" s="7685"/>
      <c r="E862" s="7685">
        <f>IF(H861&lt;&gt;"",E861,IF(E861="","",IFERROR(MATCH(TRUE(),INDEX(INDEX($K:$K,E861+1):$K$203&lt;&gt;"",0),0)+E861,"")))</f>
        <v>1037</v>
      </c>
      <c r="F862" s="7686">
        <f t="shared" si="230"/>
        <v>0</v>
      </c>
      <c r="G862" s="7686" t="str">
        <f t="shared" si="222"/>
        <v>0</v>
      </c>
      <c r="H862" s="7687" t="str">
        <f t="shared" si="223"/>
        <v/>
      </c>
      <c r="I862" s="7685" t="str">
        <f t="shared" si="224"/>
        <v/>
      </c>
      <c r="M862" s="7622">
        <f t="shared" si="225"/>
        <v>1</v>
      </c>
      <c r="N862" s="7688">
        <f t="shared" si="226"/>
        <v>845</v>
      </c>
      <c r="O862" s="7661" t="str">
        <f t="shared" si="227"/>
        <v>0</v>
      </c>
      <c r="P862" s="7688">
        <f t="shared" si="228"/>
        <v>1</v>
      </c>
      <c r="Q862" s="7688">
        <f t="shared" si="229"/>
        <v>1</v>
      </c>
    </row>
    <row r="863" spans="2:17">
      <c r="B863" s="7685"/>
      <c r="C863" s="7685"/>
      <c r="D863" s="7685"/>
      <c r="E863" s="7685">
        <f>IF(H862&lt;&gt;"",E862,IF(E862="","",IFERROR(MATCH(TRUE(),INDEX(INDEX($K:$K,E862+1):$K$203&lt;&gt;"",0),0)+E862,"")))</f>
        <v>1038</v>
      </c>
      <c r="F863" s="7686">
        <f t="shared" si="230"/>
        <v>0</v>
      </c>
      <c r="G863" s="7686" t="str">
        <f t="shared" si="222"/>
        <v>0</v>
      </c>
      <c r="H863" s="7687" t="str">
        <f t="shared" si="223"/>
        <v/>
      </c>
      <c r="I863" s="7685" t="str">
        <f t="shared" si="224"/>
        <v/>
      </c>
      <c r="M863" s="7622">
        <f t="shared" si="225"/>
        <v>1</v>
      </c>
      <c r="N863" s="7688">
        <f t="shared" si="226"/>
        <v>846</v>
      </c>
      <c r="O863" s="7661" t="str">
        <f t="shared" si="227"/>
        <v>0</v>
      </c>
      <c r="P863" s="7688">
        <f t="shared" si="228"/>
        <v>1</v>
      </c>
      <c r="Q863" s="7688">
        <f t="shared" si="229"/>
        <v>1</v>
      </c>
    </row>
    <row r="864" spans="2:17">
      <c r="B864" s="7685"/>
      <c r="C864" s="7685"/>
      <c r="D864" s="7685"/>
      <c r="E864" s="7685">
        <f>IF(H863&lt;&gt;"",E863,IF(E863="","",IFERROR(MATCH(TRUE(),INDEX(INDEX($K:$K,E863+1):$K$203&lt;&gt;"",0),0)+E863,"")))</f>
        <v>1039</v>
      </c>
      <c r="F864" s="7686">
        <f t="shared" si="230"/>
        <v>0</v>
      </c>
      <c r="G864" s="7686" t="str">
        <f t="shared" si="222"/>
        <v>0</v>
      </c>
      <c r="H864" s="7687" t="str">
        <f t="shared" si="223"/>
        <v/>
      </c>
      <c r="I864" s="7685" t="str">
        <f t="shared" si="224"/>
        <v/>
      </c>
      <c r="M864" s="7622">
        <f t="shared" si="225"/>
        <v>1</v>
      </c>
      <c r="N864" s="7688">
        <f t="shared" si="226"/>
        <v>847</v>
      </c>
      <c r="O864" s="7661" t="str">
        <f t="shared" si="227"/>
        <v>0</v>
      </c>
      <c r="P864" s="7688">
        <f t="shared" si="228"/>
        <v>1</v>
      </c>
      <c r="Q864" s="7688">
        <f t="shared" si="229"/>
        <v>1</v>
      </c>
    </row>
    <row r="865" spans="2:17">
      <c r="B865" s="7685"/>
      <c r="C865" s="7685"/>
      <c r="D865" s="7685"/>
      <c r="E865" s="7685">
        <f>IF(H864&lt;&gt;"",E864,IF(E864="","",IFERROR(MATCH(TRUE(),INDEX(INDEX($K:$K,E864+1):$K$203&lt;&gt;"",0),0)+E864,"")))</f>
        <v>1040</v>
      </c>
      <c r="F865" s="7686">
        <f t="shared" si="230"/>
        <v>0</v>
      </c>
      <c r="G865" s="7686" t="str">
        <f t="shared" si="222"/>
        <v>0</v>
      </c>
      <c r="H865" s="7687" t="str">
        <f t="shared" si="223"/>
        <v/>
      </c>
      <c r="I865" s="7685" t="str">
        <f t="shared" si="224"/>
        <v/>
      </c>
      <c r="M865" s="7622">
        <f t="shared" si="225"/>
        <v>1</v>
      </c>
      <c r="N865" s="7688">
        <f t="shared" si="226"/>
        <v>848</v>
      </c>
      <c r="O865" s="7661" t="str">
        <f t="shared" si="227"/>
        <v>0</v>
      </c>
      <c r="P865" s="7688">
        <f t="shared" si="228"/>
        <v>1</v>
      </c>
      <c r="Q865" s="7688">
        <f t="shared" si="229"/>
        <v>1</v>
      </c>
    </row>
    <row r="866" spans="2:17">
      <c r="B866" s="7685"/>
      <c r="C866" s="7685"/>
      <c r="D866" s="7685"/>
      <c r="E866" s="7685">
        <f>IF(H865&lt;&gt;"",E865,IF(E865="","",IFERROR(MATCH(TRUE(),INDEX(INDEX($K:$K,E865+1):$K$203&lt;&gt;"",0),0)+E865,"")))</f>
        <v>1041</v>
      </c>
      <c r="F866" s="7686">
        <f t="shared" si="230"/>
        <v>0</v>
      </c>
      <c r="G866" s="7686" t="str">
        <f t="shared" si="222"/>
        <v>0</v>
      </c>
      <c r="H866" s="7687" t="str">
        <f t="shared" si="223"/>
        <v/>
      </c>
      <c r="I866" s="7685" t="str">
        <f t="shared" si="224"/>
        <v/>
      </c>
      <c r="M866" s="7622">
        <f t="shared" si="225"/>
        <v>1</v>
      </c>
      <c r="N866" s="7688">
        <f t="shared" si="226"/>
        <v>849</v>
      </c>
      <c r="O866" s="7661" t="str">
        <f t="shared" si="227"/>
        <v>0</v>
      </c>
      <c r="P866" s="7688">
        <f t="shared" si="228"/>
        <v>1</v>
      </c>
      <c r="Q866" s="7688">
        <f t="shared" si="229"/>
        <v>1</v>
      </c>
    </row>
    <row r="867" spans="2:17">
      <c r="B867" s="7685"/>
      <c r="C867" s="7685"/>
      <c r="D867" s="7685"/>
      <c r="E867" s="7685">
        <f>IF(H866&lt;&gt;"",E866,IF(E866="","",IFERROR(MATCH(TRUE(),INDEX(INDEX($K:$K,E866+1):$K$203&lt;&gt;"",0),0)+E866,"")))</f>
        <v>1042</v>
      </c>
      <c r="F867" s="7686">
        <f t="shared" si="230"/>
        <v>0</v>
      </c>
      <c r="G867" s="7686" t="str">
        <f t="shared" si="222"/>
        <v>0</v>
      </c>
      <c r="H867" s="7687" t="str">
        <f t="shared" si="223"/>
        <v/>
      </c>
      <c r="I867" s="7685" t="str">
        <f t="shared" si="224"/>
        <v/>
      </c>
      <c r="M867" s="7622">
        <f t="shared" si="225"/>
        <v>1</v>
      </c>
      <c r="N867" s="7688">
        <f t="shared" si="226"/>
        <v>850</v>
      </c>
      <c r="O867" s="7661" t="str">
        <f t="shared" si="227"/>
        <v>0</v>
      </c>
      <c r="P867" s="7688">
        <f t="shared" si="228"/>
        <v>1</v>
      </c>
      <c r="Q867" s="7688">
        <f t="shared" si="229"/>
        <v>1</v>
      </c>
    </row>
    <row r="868" spans="2:17">
      <c r="B868" s="7685"/>
      <c r="C868" s="7685"/>
      <c r="D868" s="7685"/>
      <c r="E868" s="7685">
        <f>IF(H867&lt;&gt;"",E867,IF(E867="","",IFERROR(MATCH(TRUE(),INDEX(INDEX($K:$K,E867+1):$K$203&lt;&gt;"",0),0)+E867,"")))</f>
        <v>1043</v>
      </c>
      <c r="F868" s="7686">
        <f t="shared" si="230"/>
        <v>0</v>
      </c>
      <c r="G868" s="7686" t="str">
        <f t="shared" si="222"/>
        <v>0</v>
      </c>
      <c r="H868" s="7687" t="str">
        <f t="shared" si="223"/>
        <v/>
      </c>
      <c r="I868" s="7685" t="str">
        <f t="shared" si="224"/>
        <v/>
      </c>
      <c r="M868" s="7622">
        <f t="shared" si="225"/>
        <v>1</v>
      </c>
      <c r="N868" s="7688">
        <f t="shared" si="226"/>
        <v>851</v>
      </c>
      <c r="O868" s="7661" t="str">
        <f t="shared" si="227"/>
        <v>0</v>
      </c>
      <c r="P868" s="7688">
        <f t="shared" si="228"/>
        <v>1</v>
      </c>
      <c r="Q868" s="7688">
        <f t="shared" si="229"/>
        <v>1</v>
      </c>
    </row>
    <row r="869" spans="2:17">
      <c r="B869" s="7685"/>
      <c r="C869" s="7685"/>
      <c r="D869" s="7685"/>
      <c r="E869" s="7685">
        <f>IF(H868&lt;&gt;"",E868,IF(E868="","",IFERROR(MATCH(TRUE(),INDEX(INDEX($K:$K,E868+1):$K$203&lt;&gt;"",0),0)+E868,"")))</f>
        <v>1044</v>
      </c>
      <c r="F869" s="7686">
        <f t="shared" si="230"/>
        <v>0</v>
      </c>
      <c r="G869" s="7686" t="str">
        <f t="shared" si="222"/>
        <v>0</v>
      </c>
      <c r="H869" s="7687" t="str">
        <f t="shared" si="223"/>
        <v/>
      </c>
      <c r="I869" s="7685" t="str">
        <f t="shared" si="224"/>
        <v/>
      </c>
      <c r="M869" s="7622">
        <f t="shared" si="225"/>
        <v>1</v>
      </c>
      <c r="N869" s="7688">
        <f t="shared" si="226"/>
        <v>852</v>
      </c>
      <c r="O869" s="7661" t="str">
        <f t="shared" si="227"/>
        <v>0</v>
      </c>
      <c r="P869" s="7688">
        <f t="shared" si="228"/>
        <v>1</v>
      </c>
      <c r="Q869" s="7688">
        <f t="shared" si="229"/>
        <v>1</v>
      </c>
    </row>
    <row r="870" spans="2:17">
      <c r="B870" s="7685"/>
      <c r="C870" s="7685"/>
      <c r="D870" s="7685"/>
      <c r="E870" s="7685">
        <f>IF(H869&lt;&gt;"",E869,IF(E869="","",IFERROR(MATCH(TRUE(),INDEX(INDEX($K:$K,E869+1):$K$203&lt;&gt;"",0),0)+E869,"")))</f>
        <v>1045</v>
      </c>
      <c r="F870" s="7686">
        <f t="shared" si="230"/>
        <v>0</v>
      </c>
      <c r="G870" s="7686" t="str">
        <f t="shared" si="222"/>
        <v>0</v>
      </c>
      <c r="H870" s="7687" t="str">
        <f t="shared" si="223"/>
        <v/>
      </c>
      <c r="I870" s="7685" t="str">
        <f t="shared" si="224"/>
        <v/>
      </c>
      <c r="M870" s="7622">
        <f t="shared" si="225"/>
        <v>1</v>
      </c>
      <c r="N870" s="7688">
        <f t="shared" si="226"/>
        <v>853</v>
      </c>
      <c r="O870" s="7661" t="str">
        <f t="shared" si="227"/>
        <v>0</v>
      </c>
      <c r="P870" s="7688">
        <f t="shared" si="228"/>
        <v>1</v>
      </c>
      <c r="Q870" s="7688">
        <f t="shared" si="229"/>
        <v>1</v>
      </c>
    </row>
    <row r="871" spans="2:17">
      <c r="B871" s="7685"/>
      <c r="C871" s="7685"/>
      <c r="D871" s="7685"/>
      <c r="E871" s="7685">
        <f>IF(H870&lt;&gt;"",E870,IF(E870="","",IFERROR(MATCH(TRUE(),INDEX(INDEX($K:$K,E870+1):$K$203&lt;&gt;"",0),0)+E870,"")))</f>
        <v>1046</v>
      </c>
      <c r="F871" s="7686">
        <f t="shared" si="230"/>
        <v>0</v>
      </c>
      <c r="G871" s="7686" t="str">
        <f t="shared" si="222"/>
        <v>0</v>
      </c>
      <c r="H871" s="7687" t="str">
        <f t="shared" si="223"/>
        <v/>
      </c>
      <c r="I871" s="7685" t="str">
        <f t="shared" si="224"/>
        <v/>
      </c>
      <c r="M871" s="7622">
        <f t="shared" si="225"/>
        <v>1</v>
      </c>
      <c r="N871" s="7688">
        <f t="shared" si="226"/>
        <v>854</v>
      </c>
      <c r="O871" s="7661" t="str">
        <f t="shared" si="227"/>
        <v>0</v>
      </c>
      <c r="P871" s="7688">
        <f t="shared" si="228"/>
        <v>1</v>
      </c>
      <c r="Q871" s="7688">
        <f t="shared" si="229"/>
        <v>1</v>
      </c>
    </row>
    <row r="872" spans="2:17">
      <c r="B872" s="7685"/>
      <c r="C872" s="7685"/>
      <c r="D872" s="7685"/>
      <c r="E872" s="7685">
        <f>IF(H871&lt;&gt;"",E871,IF(E871="","",IFERROR(MATCH(TRUE(),INDEX(INDEX($K:$K,E871+1):$K$203&lt;&gt;"",0),0)+E871,"")))</f>
        <v>1047</v>
      </c>
      <c r="F872" s="7686">
        <f t="shared" si="230"/>
        <v>0</v>
      </c>
      <c r="G872" s="7686" t="str">
        <f t="shared" si="222"/>
        <v>0</v>
      </c>
      <c r="H872" s="7687" t="str">
        <f t="shared" si="223"/>
        <v/>
      </c>
      <c r="I872" s="7685" t="str">
        <f t="shared" si="224"/>
        <v/>
      </c>
      <c r="M872" s="7622">
        <f t="shared" si="225"/>
        <v>1</v>
      </c>
      <c r="N872" s="7688">
        <f t="shared" si="226"/>
        <v>855</v>
      </c>
      <c r="O872" s="7661" t="str">
        <f t="shared" si="227"/>
        <v>0</v>
      </c>
      <c r="P872" s="7688">
        <f t="shared" si="228"/>
        <v>1</v>
      </c>
      <c r="Q872" s="7688">
        <f t="shared" si="229"/>
        <v>1</v>
      </c>
    </row>
    <row r="873" spans="2:17">
      <c r="B873" s="7685"/>
      <c r="C873" s="7685"/>
      <c r="D873" s="7685"/>
      <c r="E873" s="7685">
        <f>IF(H872&lt;&gt;"",E872,IF(E872="","",IFERROR(MATCH(TRUE(),INDEX(INDEX($K:$K,E872+1):$K$203&lt;&gt;"",0),0)+E872,"")))</f>
        <v>1048</v>
      </c>
      <c r="F873" s="7686">
        <f t="shared" si="230"/>
        <v>0</v>
      </c>
      <c r="G873" s="7686" t="str">
        <f t="shared" si="222"/>
        <v>0</v>
      </c>
      <c r="H873" s="7687" t="str">
        <f t="shared" si="223"/>
        <v/>
      </c>
      <c r="I873" s="7685" t="str">
        <f t="shared" si="224"/>
        <v/>
      </c>
      <c r="M873" s="7622">
        <f t="shared" si="225"/>
        <v>1</v>
      </c>
      <c r="N873" s="7688">
        <f t="shared" si="226"/>
        <v>856</v>
      </c>
      <c r="O873" s="7661" t="str">
        <f t="shared" si="227"/>
        <v>0</v>
      </c>
      <c r="P873" s="7688">
        <f t="shared" si="228"/>
        <v>1</v>
      </c>
      <c r="Q873" s="7688">
        <f t="shared" si="229"/>
        <v>1</v>
      </c>
    </row>
    <row r="874" spans="2:17">
      <c r="B874" s="7685"/>
      <c r="C874" s="7685"/>
      <c r="D874" s="7685"/>
      <c r="E874" s="7685">
        <f>IF(H873&lt;&gt;"",E873,IF(E873="","",IFERROR(MATCH(TRUE(),INDEX(INDEX($K:$K,E873+1):$K$203&lt;&gt;"",0),0)+E873,"")))</f>
        <v>1049</v>
      </c>
      <c r="F874" s="7686">
        <f t="shared" si="230"/>
        <v>0</v>
      </c>
      <c r="G874" s="7686" t="str">
        <f t="shared" si="222"/>
        <v>0</v>
      </c>
      <c r="H874" s="7687" t="str">
        <f t="shared" si="223"/>
        <v/>
      </c>
      <c r="I874" s="7685" t="str">
        <f t="shared" si="224"/>
        <v/>
      </c>
      <c r="M874" s="7622">
        <f t="shared" si="225"/>
        <v>1</v>
      </c>
      <c r="N874" s="7688">
        <f t="shared" si="226"/>
        <v>857</v>
      </c>
      <c r="O874" s="7661" t="str">
        <f t="shared" si="227"/>
        <v>0</v>
      </c>
      <c r="P874" s="7688">
        <f t="shared" si="228"/>
        <v>1</v>
      </c>
      <c r="Q874" s="7688">
        <f t="shared" si="229"/>
        <v>1</v>
      </c>
    </row>
    <row r="875" spans="2:17">
      <c r="B875" s="7685"/>
      <c r="C875" s="7685"/>
      <c r="D875" s="7685"/>
      <c r="E875" s="7685">
        <f>IF(H874&lt;&gt;"",E874,IF(E874="","",IFERROR(MATCH(TRUE(),INDEX(INDEX($K:$K,E874+1):$K$203&lt;&gt;"",0),0)+E874,"")))</f>
        <v>1050</v>
      </c>
      <c r="F875" s="7686">
        <f t="shared" si="230"/>
        <v>0</v>
      </c>
      <c r="G875" s="7686" t="str">
        <f t="shared" si="222"/>
        <v>0</v>
      </c>
      <c r="H875" s="7687" t="str">
        <f t="shared" si="223"/>
        <v/>
      </c>
      <c r="I875" s="7685" t="str">
        <f t="shared" si="224"/>
        <v/>
      </c>
      <c r="M875" s="7622">
        <f t="shared" si="225"/>
        <v>1</v>
      </c>
      <c r="N875" s="7688">
        <f t="shared" si="226"/>
        <v>858</v>
      </c>
      <c r="O875" s="7661" t="str">
        <f t="shared" si="227"/>
        <v>0</v>
      </c>
      <c r="P875" s="7688">
        <f t="shared" si="228"/>
        <v>1</v>
      </c>
      <c r="Q875" s="7688">
        <f t="shared" si="229"/>
        <v>1</v>
      </c>
    </row>
    <row r="876" spans="2:17">
      <c r="B876" s="7685"/>
      <c r="C876" s="7685"/>
      <c r="D876" s="7685"/>
      <c r="E876" s="7685">
        <f>IF(H875&lt;&gt;"",E875,IF(E875="","",IFERROR(MATCH(TRUE(),INDEX(INDEX($K:$K,E875+1):$K$203&lt;&gt;"",0),0)+E875,"")))</f>
        <v>1051</v>
      </c>
      <c r="F876" s="7686">
        <f t="shared" si="230"/>
        <v>0</v>
      </c>
      <c r="G876" s="7686" t="str">
        <f t="shared" si="222"/>
        <v>0</v>
      </c>
      <c r="H876" s="7687" t="str">
        <f t="shared" si="223"/>
        <v/>
      </c>
      <c r="I876" s="7685" t="str">
        <f t="shared" si="224"/>
        <v/>
      </c>
      <c r="M876" s="7622">
        <f t="shared" si="225"/>
        <v>1</v>
      </c>
      <c r="N876" s="7688">
        <f t="shared" si="226"/>
        <v>859</v>
      </c>
      <c r="O876" s="7661" t="str">
        <f t="shared" si="227"/>
        <v>0</v>
      </c>
      <c r="P876" s="7688">
        <f t="shared" si="228"/>
        <v>1</v>
      </c>
      <c r="Q876" s="7688">
        <f t="shared" si="229"/>
        <v>1</v>
      </c>
    </row>
    <row r="877" spans="2:17">
      <c r="B877" s="7685"/>
      <c r="C877" s="7685"/>
      <c r="D877" s="7685"/>
      <c r="E877" s="7685">
        <f>IF(H876&lt;&gt;"",E876,IF(E876="","",IFERROR(MATCH(TRUE(),INDEX(INDEX($K:$K,E876+1):$K$203&lt;&gt;"",0),0)+E876,"")))</f>
        <v>1052</v>
      </c>
      <c r="F877" s="7686">
        <f t="shared" si="230"/>
        <v>0</v>
      </c>
      <c r="G877" s="7686" t="str">
        <f t="shared" si="222"/>
        <v>0</v>
      </c>
      <c r="H877" s="7687" t="str">
        <f t="shared" si="223"/>
        <v/>
      </c>
      <c r="I877" s="7685" t="str">
        <f t="shared" si="224"/>
        <v/>
      </c>
      <c r="M877" s="7622">
        <f t="shared" si="225"/>
        <v>1</v>
      </c>
      <c r="N877" s="7688">
        <f t="shared" si="226"/>
        <v>860</v>
      </c>
      <c r="O877" s="7661" t="str">
        <f t="shared" si="227"/>
        <v>0</v>
      </c>
      <c r="P877" s="7688">
        <f t="shared" si="228"/>
        <v>1</v>
      </c>
      <c r="Q877" s="7688">
        <f t="shared" si="229"/>
        <v>1</v>
      </c>
    </row>
    <row r="878" spans="2:17">
      <c r="B878" s="7685"/>
      <c r="C878" s="7685"/>
      <c r="D878" s="7685"/>
      <c r="E878" s="7685">
        <f>IF(H877&lt;&gt;"",E877,IF(E877="","",IFERROR(MATCH(TRUE(),INDEX(INDEX($K:$K,E877+1):$K$203&lt;&gt;"",0),0)+E877,"")))</f>
        <v>1053</v>
      </c>
      <c r="F878" s="7686">
        <f t="shared" si="230"/>
        <v>0</v>
      </c>
      <c r="G878" s="7686" t="str">
        <f t="shared" si="222"/>
        <v>0</v>
      </c>
      <c r="H878" s="7687" t="str">
        <f t="shared" si="223"/>
        <v/>
      </c>
      <c r="I878" s="7685" t="str">
        <f t="shared" si="224"/>
        <v/>
      </c>
      <c r="M878" s="7622">
        <f t="shared" si="225"/>
        <v>1</v>
      </c>
      <c r="N878" s="7688">
        <f t="shared" si="226"/>
        <v>861</v>
      </c>
      <c r="O878" s="7661" t="str">
        <f t="shared" si="227"/>
        <v>0</v>
      </c>
      <c r="P878" s="7688">
        <f t="shared" si="228"/>
        <v>1</v>
      </c>
      <c r="Q878" s="7688">
        <f t="shared" si="229"/>
        <v>1</v>
      </c>
    </row>
    <row r="879" spans="2:17">
      <c r="B879" s="7685"/>
      <c r="C879" s="7685"/>
      <c r="D879" s="7685"/>
      <c r="E879" s="7685">
        <f>IF(H878&lt;&gt;"",E878,IF(E878="","",IFERROR(MATCH(TRUE(),INDEX(INDEX($K:$K,E878+1):$K$203&lt;&gt;"",0),0)+E878,"")))</f>
        <v>1054</v>
      </c>
      <c r="F879" s="7686">
        <f t="shared" si="230"/>
        <v>0</v>
      </c>
      <c r="G879" s="7686" t="str">
        <f t="shared" si="222"/>
        <v>0</v>
      </c>
      <c r="H879" s="7687" t="str">
        <f t="shared" si="223"/>
        <v/>
      </c>
      <c r="I879" s="7685" t="str">
        <f t="shared" si="224"/>
        <v/>
      </c>
      <c r="M879" s="7622">
        <f t="shared" si="225"/>
        <v>1</v>
      </c>
      <c r="N879" s="7688">
        <f t="shared" si="226"/>
        <v>862</v>
      </c>
      <c r="O879" s="7661" t="str">
        <f t="shared" si="227"/>
        <v>0</v>
      </c>
      <c r="P879" s="7688">
        <f t="shared" si="228"/>
        <v>1</v>
      </c>
      <c r="Q879" s="7688">
        <f t="shared" si="229"/>
        <v>1</v>
      </c>
    </row>
    <row r="880" spans="2:17">
      <c r="B880" s="7685"/>
      <c r="C880" s="7685"/>
      <c r="D880" s="7685"/>
      <c r="E880" s="7685">
        <f>IF(H879&lt;&gt;"",E879,IF(E879="","",IFERROR(MATCH(TRUE(),INDEX(INDEX($K:$K,E879+1):$K$203&lt;&gt;"",0),0)+E879,"")))</f>
        <v>1055</v>
      </c>
      <c r="F880" s="7686">
        <f t="shared" si="230"/>
        <v>0</v>
      </c>
      <c r="G880" s="7686" t="str">
        <f t="shared" si="222"/>
        <v>0</v>
      </c>
      <c r="H880" s="7687" t="str">
        <f t="shared" si="223"/>
        <v/>
      </c>
      <c r="I880" s="7685" t="str">
        <f t="shared" si="224"/>
        <v/>
      </c>
      <c r="M880" s="7622">
        <f t="shared" si="225"/>
        <v>1</v>
      </c>
      <c r="N880" s="7688">
        <f t="shared" si="226"/>
        <v>863</v>
      </c>
      <c r="O880" s="7661" t="str">
        <f t="shared" si="227"/>
        <v>0</v>
      </c>
      <c r="P880" s="7688">
        <f t="shared" si="228"/>
        <v>1</v>
      </c>
      <c r="Q880" s="7688">
        <f t="shared" si="229"/>
        <v>1</v>
      </c>
    </row>
    <row r="881" spans="2:17">
      <c r="B881" s="7685"/>
      <c r="C881" s="7685"/>
      <c r="D881" s="7685"/>
      <c r="E881" s="7685">
        <f>IF(H880&lt;&gt;"",E880,IF(E880="","",IFERROR(MATCH(TRUE(),INDEX(INDEX($K:$K,E880+1):$K$203&lt;&gt;"",0),0)+E880,"")))</f>
        <v>1056</v>
      </c>
      <c r="F881" s="7686">
        <f t="shared" si="230"/>
        <v>0</v>
      </c>
      <c r="G881" s="7686" t="str">
        <f t="shared" si="222"/>
        <v>0</v>
      </c>
      <c r="H881" s="7687" t="str">
        <f t="shared" si="223"/>
        <v/>
      </c>
      <c r="I881" s="7685" t="str">
        <f t="shared" si="224"/>
        <v/>
      </c>
      <c r="M881" s="7622">
        <f t="shared" si="225"/>
        <v>1</v>
      </c>
      <c r="N881" s="7688">
        <f t="shared" si="226"/>
        <v>864</v>
      </c>
      <c r="O881" s="7661" t="str">
        <f t="shared" si="227"/>
        <v>0</v>
      </c>
      <c r="P881" s="7688">
        <f t="shared" si="228"/>
        <v>1</v>
      </c>
      <c r="Q881" s="7688">
        <f t="shared" si="229"/>
        <v>1</v>
      </c>
    </row>
    <row r="882" spans="2:17">
      <c r="B882" s="7685"/>
      <c r="C882" s="7685"/>
      <c r="D882" s="7685"/>
      <c r="E882" s="7685">
        <f>IF(H881&lt;&gt;"",E881,IF(E881="","",IFERROR(MATCH(TRUE(),INDEX(INDEX($K:$K,E881+1):$K$203&lt;&gt;"",0),0)+E881,"")))</f>
        <v>1057</v>
      </c>
      <c r="F882" s="7686">
        <f t="shared" si="230"/>
        <v>0</v>
      </c>
      <c r="G882" s="7686" t="str">
        <f t="shared" si="222"/>
        <v>0</v>
      </c>
      <c r="H882" s="7687" t="str">
        <f t="shared" si="223"/>
        <v/>
      </c>
      <c r="I882" s="7685" t="str">
        <f t="shared" si="224"/>
        <v/>
      </c>
      <c r="M882" s="7622">
        <f t="shared" si="225"/>
        <v>1</v>
      </c>
      <c r="N882" s="7688">
        <f t="shared" si="226"/>
        <v>865</v>
      </c>
      <c r="O882" s="7661" t="str">
        <f t="shared" si="227"/>
        <v>0</v>
      </c>
      <c r="P882" s="7688">
        <f t="shared" si="228"/>
        <v>1</v>
      </c>
      <c r="Q882" s="7688">
        <f t="shared" si="229"/>
        <v>1</v>
      </c>
    </row>
    <row r="883" spans="2:17">
      <c r="B883" s="7685"/>
      <c r="C883" s="7685"/>
      <c r="D883" s="7685"/>
      <c r="E883" s="7685">
        <f>IF(H882&lt;&gt;"",E882,IF(E882="","",IFERROR(MATCH(TRUE(),INDEX(INDEX($K:$K,E882+1):$K$203&lt;&gt;"",0),0)+E882,"")))</f>
        <v>1058</v>
      </c>
      <c r="F883" s="7686">
        <f t="shared" si="230"/>
        <v>0</v>
      </c>
      <c r="G883" s="7686" t="str">
        <f t="shared" si="222"/>
        <v>0</v>
      </c>
      <c r="H883" s="7687" t="str">
        <f t="shared" si="223"/>
        <v/>
      </c>
      <c r="I883" s="7685" t="str">
        <f t="shared" si="224"/>
        <v/>
      </c>
      <c r="M883" s="7622">
        <f t="shared" si="225"/>
        <v>1</v>
      </c>
      <c r="N883" s="7688">
        <f t="shared" si="226"/>
        <v>866</v>
      </c>
      <c r="O883" s="7661" t="str">
        <f t="shared" si="227"/>
        <v>0</v>
      </c>
      <c r="P883" s="7688">
        <f t="shared" si="228"/>
        <v>1</v>
      </c>
      <c r="Q883" s="7688">
        <f t="shared" si="229"/>
        <v>1</v>
      </c>
    </row>
    <row r="884" spans="2:17">
      <c r="B884" s="7685"/>
      <c r="C884" s="7685"/>
      <c r="D884" s="7685"/>
      <c r="E884" s="7685">
        <f>IF(H883&lt;&gt;"",E883,IF(E883="","",IFERROR(MATCH(TRUE(),INDEX(INDEX($K:$K,E883+1):$K$203&lt;&gt;"",0),0)+E883,"")))</f>
        <v>1059</v>
      </c>
      <c r="F884" s="7686">
        <f t="shared" si="230"/>
        <v>0</v>
      </c>
      <c r="G884" s="7686" t="str">
        <f t="shared" si="222"/>
        <v>0</v>
      </c>
      <c r="H884" s="7687" t="str">
        <f t="shared" si="223"/>
        <v/>
      </c>
      <c r="I884" s="7685" t="str">
        <f t="shared" si="224"/>
        <v/>
      </c>
      <c r="M884" s="7622">
        <f t="shared" si="225"/>
        <v>1</v>
      </c>
      <c r="N884" s="7688">
        <f t="shared" si="226"/>
        <v>867</v>
      </c>
      <c r="O884" s="7661" t="str">
        <f t="shared" si="227"/>
        <v>0</v>
      </c>
      <c r="P884" s="7688">
        <f t="shared" si="228"/>
        <v>1</v>
      </c>
      <c r="Q884" s="7688">
        <f t="shared" si="229"/>
        <v>1</v>
      </c>
    </row>
    <row r="885" spans="2:17">
      <c r="B885" s="7685"/>
      <c r="C885" s="7685"/>
      <c r="D885" s="7685"/>
      <c r="E885" s="7685">
        <f>IF(H884&lt;&gt;"",E884,IF(E884="","",IFERROR(MATCH(TRUE(),INDEX(INDEX($K:$K,E884+1):$K$203&lt;&gt;"",0),0)+E884,"")))</f>
        <v>1060</v>
      </c>
      <c r="F885" s="7686">
        <f t="shared" si="230"/>
        <v>0</v>
      </c>
      <c r="G885" s="7686" t="str">
        <f t="shared" si="222"/>
        <v>0</v>
      </c>
      <c r="H885" s="7687" t="str">
        <f t="shared" si="223"/>
        <v/>
      </c>
      <c r="I885" s="7685" t="str">
        <f t="shared" si="224"/>
        <v/>
      </c>
      <c r="M885" s="7622">
        <f t="shared" si="225"/>
        <v>1</v>
      </c>
      <c r="N885" s="7688">
        <f t="shared" si="226"/>
        <v>868</v>
      </c>
      <c r="O885" s="7661" t="str">
        <f t="shared" si="227"/>
        <v>0</v>
      </c>
      <c r="P885" s="7688">
        <f t="shared" si="228"/>
        <v>1</v>
      </c>
      <c r="Q885" s="7688">
        <f t="shared" si="229"/>
        <v>1</v>
      </c>
    </row>
    <row r="886" spans="2:17">
      <c r="B886" s="7685"/>
      <c r="C886" s="7685"/>
      <c r="D886" s="7685"/>
      <c r="E886" s="7685">
        <f>IF(H885&lt;&gt;"",E885,IF(E885="","",IFERROR(MATCH(TRUE(),INDEX(INDEX($K:$K,E885+1):$K$203&lt;&gt;"",0),0)+E885,"")))</f>
        <v>1061</v>
      </c>
      <c r="F886" s="7686">
        <f t="shared" si="230"/>
        <v>0</v>
      </c>
      <c r="G886" s="7686" t="str">
        <f t="shared" si="222"/>
        <v>0</v>
      </c>
      <c r="H886" s="7687" t="str">
        <f t="shared" si="223"/>
        <v/>
      </c>
      <c r="I886" s="7685" t="str">
        <f t="shared" si="224"/>
        <v/>
      </c>
      <c r="M886" s="7622">
        <f t="shared" si="225"/>
        <v>1</v>
      </c>
      <c r="N886" s="7688">
        <f t="shared" si="226"/>
        <v>869</v>
      </c>
      <c r="O886" s="7661" t="str">
        <f t="shared" si="227"/>
        <v>0</v>
      </c>
      <c r="P886" s="7688">
        <f t="shared" si="228"/>
        <v>1</v>
      </c>
      <c r="Q886" s="7688">
        <f t="shared" si="229"/>
        <v>1</v>
      </c>
    </row>
    <row r="887" spans="2:17">
      <c r="B887" s="7685"/>
      <c r="C887" s="7685"/>
      <c r="D887" s="7685"/>
      <c r="E887" s="7685">
        <f>IF(H886&lt;&gt;"",E886,IF(E886="","",IFERROR(MATCH(TRUE(),INDEX(INDEX($K:$K,E886+1):$K$203&lt;&gt;"",0),0)+E886,"")))</f>
        <v>1062</v>
      </c>
      <c r="F887" s="7686">
        <f t="shared" si="230"/>
        <v>0</v>
      </c>
      <c r="G887" s="7686" t="str">
        <f t="shared" si="222"/>
        <v>0</v>
      </c>
      <c r="H887" s="7687" t="str">
        <f t="shared" si="223"/>
        <v/>
      </c>
      <c r="I887" s="7685" t="str">
        <f t="shared" si="224"/>
        <v/>
      </c>
      <c r="M887" s="7622">
        <f t="shared" si="225"/>
        <v>1</v>
      </c>
      <c r="N887" s="7688">
        <f t="shared" si="226"/>
        <v>870</v>
      </c>
      <c r="O887" s="7661" t="str">
        <f t="shared" si="227"/>
        <v>0</v>
      </c>
      <c r="P887" s="7688">
        <f t="shared" si="228"/>
        <v>1</v>
      </c>
      <c r="Q887" s="7688">
        <f t="shared" si="229"/>
        <v>1</v>
      </c>
    </row>
    <row r="888" spans="2:17">
      <c r="B888" s="7685"/>
      <c r="C888" s="7685"/>
      <c r="D888" s="7685"/>
      <c r="E888" s="7685">
        <f>IF(H887&lt;&gt;"",E887,IF(E887="","",IFERROR(MATCH(TRUE(),INDEX(INDEX($K:$K,E887+1):$K$203&lt;&gt;"",0),0)+E887,"")))</f>
        <v>1063</v>
      </c>
      <c r="F888" s="7686">
        <f t="shared" si="230"/>
        <v>0</v>
      </c>
      <c r="G888" s="7686" t="str">
        <f t="shared" si="222"/>
        <v>0</v>
      </c>
      <c r="H888" s="7687" t="str">
        <f t="shared" si="223"/>
        <v/>
      </c>
      <c r="I888" s="7685" t="str">
        <f t="shared" si="224"/>
        <v/>
      </c>
      <c r="M888" s="7622">
        <f t="shared" si="225"/>
        <v>1</v>
      </c>
      <c r="N888" s="7688">
        <f t="shared" si="226"/>
        <v>871</v>
      </c>
      <c r="O888" s="7661" t="str">
        <f t="shared" si="227"/>
        <v>0</v>
      </c>
      <c r="P888" s="7688">
        <f t="shared" si="228"/>
        <v>1</v>
      </c>
      <c r="Q888" s="7688">
        <f t="shared" si="229"/>
        <v>1</v>
      </c>
    </row>
    <row r="889" spans="2:17">
      <c r="B889" s="7685"/>
      <c r="C889" s="7685"/>
      <c r="D889" s="7685"/>
      <c r="E889" s="7685">
        <f>IF(H888&lt;&gt;"",E888,IF(E888="","",IFERROR(MATCH(TRUE(),INDEX(INDEX($K:$K,E888+1):$K$203&lt;&gt;"",0),0)+E888,"")))</f>
        <v>1064</v>
      </c>
      <c r="F889" s="7686">
        <f t="shared" si="230"/>
        <v>0</v>
      </c>
      <c r="G889" s="7686" t="str">
        <f t="shared" si="222"/>
        <v>0</v>
      </c>
      <c r="H889" s="7687" t="str">
        <f t="shared" si="223"/>
        <v/>
      </c>
      <c r="I889" s="7685" t="str">
        <f t="shared" si="224"/>
        <v/>
      </c>
      <c r="M889" s="7622">
        <f t="shared" si="225"/>
        <v>1</v>
      </c>
      <c r="N889" s="7688">
        <f t="shared" si="226"/>
        <v>872</v>
      </c>
      <c r="O889" s="7661" t="str">
        <f t="shared" si="227"/>
        <v>0</v>
      </c>
      <c r="P889" s="7688">
        <f t="shared" si="228"/>
        <v>1</v>
      </c>
      <c r="Q889" s="7688">
        <f t="shared" si="229"/>
        <v>1</v>
      </c>
    </row>
    <row r="890" spans="2:17">
      <c r="B890" s="7685"/>
      <c r="C890" s="7685"/>
      <c r="D890" s="7685"/>
      <c r="E890" s="7685">
        <f>IF(H889&lt;&gt;"",E889,IF(E889="","",IFERROR(MATCH(TRUE(),INDEX(INDEX($K:$K,E889+1):$K$203&lt;&gt;"",0),0)+E889,"")))</f>
        <v>1065</v>
      </c>
      <c r="F890" s="7686">
        <f t="shared" si="230"/>
        <v>0</v>
      </c>
      <c r="G890" s="7686" t="str">
        <f t="shared" si="222"/>
        <v>0</v>
      </c>
      <c r="H890" s="7687" t="str">
        <f t="shared" si="223"/>
        <v/>
      </c>
      <c r="I890" s="7685" t="str">
        <f t="shared" si="224"/>
        <v/>
      </c>
      <c r="M890" s="7622">
        <f t="shared" si="225"/>
        <v>1</v>
      </c>
      <c r="N890" s="7688">
        <f t="shared" si="226"/>
        <v>873</v>
      </c>
      <c r="O890" s="7661" t="str">
        <f t="shared" si="227"/>
        <v>0</v>
      </c>
      <c r="P890" s="7688">
        <f t="shared" si="228"/>
        <v>1</v>
      </c>
      <c r="Q890" s="7688">
        <f t="shared" si="229"/>
        <v>1</v>
      </c>
    </row>
    <row r="891" spans="2:17">
      <c r="B891" s="7685"/>
      <c r="C891" s="7685"/>
      <c r="D891" s="7685"/>
      <c r="E891" s="7685">
        <f>IF(H890&lt;&gt;"",E890,IF(E890="","",IFERROR(MATCH(TRUE(),INDEX(INDEX($K:$K,E890+1):$K$203&lt;&gt;"",0),0)+E890,"")))</f>
        <v>1066</v>
      </c>
      <c r="F891" s="7686">
        <f t="shared" si="230"/>
        <v>0</v>
      </c>
      <c r="G891" s="7686" t="str">
        <f t="shared" si="222"/>
        <v>0</v>
      </c>
      <c r="H891" s="7687" t="str">
        <f t="shared" si="223"/>
        <v/>
      </c>
      <c r="I891" s="7685" t="str">
        <f t="shared" si="224"/>
        <v/>
      </c>
      <c r="M891" s="7622">
        <f t="shared" si="225"/>
        <v>1</v>
      </c>
      <c r="N891" s="7688">
        <f t="shared" si="226"/>
        <v>874</v>
      </c>
      <c r="O891" s="7661" t="str">
        <f t="shared" si="227"/>
        <v>0</v>
      </c>
      <c r="P891" s="7688">
        <f t="shared" si="228"/>
        <v>1</v>
      </c>
      <c r="Q891" s="7688">
        <f t="shared" si="229"/>
        <v>1</v>
      </c>
    </row>
    <row r="892" spans="2:17">
      <c r="B892" s="7685"/>
      <c r="C892" s="7685"/>
      <c r="D892" s="7685"/>
      <c r="E892" s="7685">
        <f>IF(H891&lt;&gt;"",E891,IF(E891="","",IFERROR(MATCH(TRUE(),INDEX(INDEX($K:$K,E891+1):$K$203&lt;&gt;"",0),0)+E891,"")))</f>
        <v>1067</v>
      </c>
      <c r="F892" s="7686">
        <f t="shared" si="230"/>
        <v>0</v>
      </c>
      <c r="G892" s="7686" t="str">
        <f t="shared" si="222"/>
        <v>0</v>
      </c>
      <c r="H892" s="7687" t="str">
        <f t="shared" si="223"/>
        <v/>
      </c>
      <c r="I892" s="7685" t="str">
        <f t="shared" si="224"/>
        <v/>
      </c>
      <c r="M892" s="7622">
        <f t="shared" si="225"/>
        <v>1</v>
      </c>
      <c r="N892" s="7688">
        <f t="shared" si="226"/>
        <v>875</v>
      </c>
      <c r="O892" s="7661" t="str">
        <f t="shared" si="227"/>
        <v>0</v>
      </c>
      <c r="P892" s="7688">
        <f t="shared" si="228"/>
        <v>1</v>
      </c>
      <c r="Q892" s="7688">
        <f t="shared" si="229"/>
        <v>1</v>
      </c>
    </row>
    <row r="893" spans="2:17">
      <c r="B893" s="7685"/>
      <c r="C893" s="7685"/>
      <c r="D893" s="7685"/>
      <c r="E893" s="7685">
        <f>IF(H892&lt;&gt;"",E892,IF(E892="","",IFERROR(MATCH(TRUE(),INDEX(INDEX($K:$K,E892+1):$K$203&lt;&gt;"",0),0)+E892,"")))</f>
        <v>1068</v>
      </c>
      <c r="F893" s="7686">
        <f t="shared" si="230"/>
        <v>0</v>
      </c>
      <c r="G893" s="7686" t="str">
        <f t="shared" si="222"/>
        <v>0</v>
      </c>
      <c r="H893" s="7687" t="str">
        <f t="shared" si="223"/>
        <v/>
      </c>
      <c r="I893" s="7685" t="str">
        <f t="shared" si="224"/>
        <v/>
      </c>
      <c r="M893" s="7622">
        <f t="shared" si="225"/>
        <v>1</v>
      </c>
      <c r="N893" s="7688">
        <f t="shared" si="226"/>
        <v>876</v>
      </c>
      <c r="O893" s="7661" t="str">
        <f t="shared" si="227"/>
        <v>0</v>
      </c>
      <c r="P893" s="7688">
        <f t="shared" si="228"/>
        <v>1</v>
      </c>
      <c r="Q893" s="7688">
        <f t="shared" si="229"/>
        <v>1</v>
      </c>
    </row>
    <row r="894" spans="2:17">
      <c r="B894" s="7685"/>
      <c r="C894" s="7685"/>
      <c r="D894" s="7685"/>
      <c r="E894" s="7685">
        <f>IF(H893&lt;&gt;"",E893,IF(E893="","",IFERROR(MATCH(TRUE(),INDEX(INDEX($K:$K,E893+1):$K$203&lt;&gt;"",0),0)+E893,"")))</f>
        <v>1069</v>
      </c>
      <c r="F894" s="7686">
        <f t="shared" si="230"/>
        <v>0</v>
      </c>
      <c r="G894" s="7686" t="str">
        <f t="shared" si="222"/>
        <v>0</v>
      </c>
      <c r="H894" s="7687" t="str">
        <f t="shared" si="223"/>
        <v/>
      </c>
      <c r="I894" s="7685" t="str">
        <f t="shared" si="224"/>
        <v/>
      </c>
      <c r="M894" s="7622">
        <f t="shared" si="225"/>
        <v>1</v>
      </c>
      <c r="N894" s="7688">
        <f t="shared" si="226"/>
        <v>877</v>
      </c>
      <c r="O894" s="7661" t="str">
        <f t="shared" si="227"/>
        <v>0</v>
      </c>
      <c r="P894" s="7688">
        <f t="shared" si="228"/>
        <v>1</v>
      </c>
      <c r="Q894" s="7688">
        <f t="shared" si="229"/>
        <v>1</v>
      </c>
    </row>
    <row r="895" spans="2:17">
      <c r="B895" s="7685"/>
      <c r="C895" s="7685"/>
      <c r="D895" s="7685"/>
      <c r="E895" s="7685">
        <f>IF(H894&lt;&gt;"",E894,IF(E894="","",IFERROR(MATCH(TRUE(),INDEX(INDEX($K:$K,E894+1):$K$203&lt;&gt;"",0),0)+E894,"")))</f>
        <v>1070</v>
      </c>
      <c r="F895" s="7686">
        <f t="shared" si="230"/>
        <v>0</v>
      </c>
      <c r="G895" s="7686" t="str">
        <f t="shared" si="222"/>
        <v>0</v>
      </c>
      <c r="H895" s="7687" t="str">
        <f t="shared" si="223"/>
        <v/>
      </c>
      <c r="I895" s="7685" t="str">
        <f t="shared" si="224"/>
        <v/>
      </c>
      <c r="M895" s="7622">
        <f t="shared" si="225"/>
        <v>1</v>
      </c>
      <c r="N895" s="7688">
        <f t="shared" si="226"/>
        <v>878</v>
      </c>
      <c r="O895" s="7661" t="str">
        <f t="shared" si="227"/>
        <v>0</v>
      </c>
      <c r="P895" s="7688">
        <f t="shared" si="228"/>
        <v>1</v>
      </c>
      <c r="Q895" s="7688">
        <f t="shared" si="229"/>
        <v>1</v>
      </c>
    </row>
    <row r="896" spans="2:17">
      <c r="B896" s="7685"/>
      <c r="C896" s="7685"/>
      <c r="D896" s="7685"/>
      <c r="E896" s="7685">
        <f>IF(H895&lt;&gt;"",E895,IF(E895="","",IFERROR(MATCH(TRUE(),INDEX(INDEX($K:$K,E895+1):$K$203&lt;&gt;"",0),0)+E895,"")))</f>
        <v>1071</v>
      </c>
      <c r="F896" s="7686">
        <f t="shared" si="230"/>
        <v>0</v>
      </c>
      <c r="G896" s="7686" t="str">
        <f t="shared" si="222"/>
        <v>0</v>
      </c>
      <c r="H896" s="7687" t="str">
        <f t="shared" si="223"/>
        <v/>
      </c>
      <c r="I896" s="7685" t="str">
        <f t="shared" si="224"/>
        <v/>
      </c>
      <c r="M896" s="7622">
        <f t="shared" si="225"/>
        <v>1</v>
      </c>
      <c r="N896" s="7688">
        <f t="shared" si="226"/>
        <v>879</v>
      </c>
      <c r="O896" s="7661" t="str">
        <f t="shared" si="227"/>
        <v>0</v>
      </c>
      <c r="P896" s="7688">
        <f t="shared" si="228"/>
        <v>1</v>
      </c>
      <c r="Q896" s="7688">
        <f t="shared" si="229"/>
        <v>1</v>
      </c>
    </row>
    <row r="897" spans="2:17">
      <c r="B897" s="7685"/>
      <c r="C897" s="7685"/>
      <c r="D897" s="7685"/>
      <c r="E897" s="7685">
        <f>IF(H896&lt;&gt;"",E896,IF(E896="","",IFERROR(MATCH(TRUE(),INDEX(INDEX($K:$K,E896+1):$K$203&lt;&gt;"",0),0)+E896,"")))</f>
        <v>1072</v>
      </c>
      <c r="F897" s="7686">
        <f t="shared" si="230"/>
        <v>0</v>
      </c>
      <c r="G897" s="7686" t="str">
        <f t="shared" si="222"/>
        <v>0</v>
      </c>
      <c r="H897" s="7687" t="str">
        <f t="shared" si="223"/>
        <v/>
      </c>
      <c r="I897" s="7685" t="str">
        <f t="shared" si="224"/>
        <v/>
      </c>
      <c r="M897" s="7622">
        <f t="shared" si="225"/>
        <v>1</v>
      </c>
      <c r="N897" s="7688">
        <f t="shared" si="226"/>
        <v>880</v>
      </c>
      <c r="O897" s="7661" t="str">
        <f t="shared" si="227"/>
        <v>0</v>
      </c>
      <c r="P897" s="7688">
        <f t="shared" si="228"/>
        <v>1</v>
      </c>
      <c r="Q897" s="7688">
        <f t="shared" si="229"/>
        <v>1</v>
      </c>
    </row>
    <row r="898" spans="2:17">
      <c r="B898" s="7685"/>
      <c r="C898" s="7685"/>
      <c r="D898" s="7685"/>
      <c r="E898" s="7685">
        <f>IF(H897&lt;&gt;"",E897,IF(E897="","",IFERROR(MATCH(TRUE(),INDEX(INDEX($K:$K,E897+1):$K$203&lt;&gt;"",0),0)+E897,"")))</f>
        <v>1073</v>
      </c>
      <c r="F898" s="7686">
        <f t="shared" si="230"/>
        <v>0</v>
      </c>
      <c r="G898" s="7686" t="str">
        <f t="shared" si="222"/>
        <v>0</v>
      </c>
      <c r="H898" s="7687" t="str">
        <f t="shared" si="223"/>
        <v/>
      </c>
      <c r="I898" s="7685" t="str">
        <f t="shared" si="224"/>
        <v/>
      </c>
      <c r="M898" s="7622">
        <f t="shared" si="225"/>
        <v>1</v>
      </c>
      <c r="N898" s="7688">
        <f t="shared" si="226"/>
        <v>881</v>
      </c>
      <c r="O898" s="7661" t="str">
        <f t="shared" si="227"/>
        <v>0</v>
      </c>
      <c r="P898" s="7688">
        <f t="shared" si="228"/>
        <v>1</v>
      </c>
      <c r="Q898" s="7688">
        <f t="shared" si="229"/>
        <v>1</v>
      </c>
    </row>
    <row r="899" spans="2:17">
      <c r="B899" s="7685"/>
      <c r="C899" s="7685"/>
      <c r="D899" s="7685"/>
      <c r="E899" s="7685">
        <f>IF(H898&lt;&gt;"",E898,IF(E898="","",IFERROR(MATCH(TRUE(),INDEX(INDEX($K:$K,E898+1):$K$203&lt;&gt;"",0),0)+E898,"")))</f>
        <v>1074</v>
      </c>
      <c r="F899" s="7686">
        <f t="shared" si="230"/>
        <v>0</v>
      </c>
      <c r="G899" s="7686" t="str">
        <f t="shared" si="222"/>
        <v>0</v>
      </c>
      <c r="H899" s="7687" t="str">
        <f t="shared" si="223"/>
        <v/>
      </c>
      <c r="I899" s="7685" t="str">
        <f t="shared" si="224"/>
        <v/>
      </c>
      <c r="M899" s="7622">
        <f t="shared" si="225"/>
        <v>1</v>
      </c>
      <c r="N899" s="7688">
        <f t="shared" si="226"/>
        <v>882</v>
      </c>
      <c r="O899" s="7661" t="str">
        <f t="shared" si="227"/>
        <v>0</v>
      </c>
      <c r="P899" s="7688">
        <f t="shared" si="228"/>
        <v>1</v>
      </c>
      <c r="Q899" s="7688">
        <f t="shared" si="229"/>
        <v>1</v>
      </c>
    </row>
    <row r="900" spans="2:17">
      <c r="B900" s="7685"/>
      <c r="C900" s="7685"/>
      <c r="D900" s="7685"/>
      <c r="E900" s="7685">
        <f>IF(H899&lt;&gt;"",E899,IF(E899="","",IFERROR(MATCH(TRUE(),INDEX(INDEX($K:$K,E899+1):$K$203&lt;&gt;"",0),0)+E899,"")))</f>
        <v>1075</v>
      </c>
      <c r="F900" s="7686">
        <f t="shared" si="230"/>
        <v>0</v>
      </c>
      <c r="G900" s="7686" t="str">
        <f t="shared" si="222"/>
        <v>0</v>
      </c>
      <c r="H900" s="7687" t="str">
        <f t="shared" si="223"/>
        <v/>
      </c>
      <c r="I900" s="7685" t="str">
        <f t="shared" si="224"/>
        <v/>
      </c>
      <c r="M900" s="7622">
        <f t="shared" si="225"/>
        <v>1</v>
      </c>
      <c r="N900" s="7688">
        <f t="shared" si="226"/>
        <v>883</v>
      </c>
      <c r="O900" s="7661" t="str">
        <f t="shared" si="227"/>
        <v>0</v>
      </c>
      <c r="P900" s="7688">
        <f t="shared" si="228"/>
        <v>1</v>
      </c>
      <c r="Q900" s="7688">
        <f t="shared" si="229"/>
        <v>1</v>
      </c>
    </row>
    <row r="901" spans="2:17">
      <c r="B901" s="7685"/>
      <c r="C901" s="7685"/>
      <c r="D901" s="7685"/>
      <c r="E901" s="7685">
        <f>IF(H900&lt;&gt;"",E900,IF(E900="","",IFERROR(MATCH(TRUE(),INDEX(INDEX($K:$K,E900+1):$K$203&lt;&gt;"",0),0)+E900,"")))</f>
        <v>1076</v>
      </c>
      <c r="F901" s="7686">
        <f t="shared" si="230"/>
        <v>0</v>
      </c>
      <c r="G901" s="7686" t="str">
        <f t="shared" si="222"/>
        <v>0</v>
      </c>
      <c r="H901" s="7687" t="str">
        <f t="shared" si="223"/>
        <v/>
      </c>
      <c r="I901" s="7685" t="str">
        <f t="shared" si="224"/>
        <v/>
      </c>
      <c r="M901" s="7622">
        <f t="shared" si="225"/>
        <v>1</v>
      </c>
      <c r="N901" s="7688">
        <f t="shared" si="226"/>
        <v>884</v>
      </c>
      <c r="O901" s="7661" t="str">
        <f t="shared" si="227"/>
        <v>0</v>
      </c>
      <c r="P901" s="7688">
        <f t="shared" si="228"/>
        <v>1</v>
      </c>
      <c r="Q901" s="7688">
        <f t="shared" si="229"/>
        <v>1</v>
      </c>
    </row>
    <row r="902" spans="2:17">
      <c r="B902" s="7685"/>
      <c r="C902" s="7685"/>
      <c r="D902" s="7685"/>
      <c r="E902" s="7685">
        <f>IF(H901&lt;&gt;"",E901,IF(E901="","",IFERROR(MATCH(TRUE(),INDEX(INDEX($K:$K,E901+1):$K$203&lt;&gt;"",0),0)+E901,"")))</f>
        <v>1077</v>
      </c>
      <c r="F902" s="7686">
        <f t="shared" si="230"/>
        <v>0</v>
      </c>
      <c r="G902" s="7686" t="str">
        <f t="shared" si="222"/>
        <v>0</v>
      </c>
      <c r="H902" s="7687" t="str">
        <f t="shared" si="223"/>
        <v/>
      </c>
      <c r="I902" s="7685" t="str">
        <f t="shared" si="224"/>
        <v/>
      </c>
      <c r="M902" s="7622">
        <f t="shared" si="225"/>
        <v>1</v>
      </c>
      <c r="N902" s="7688">
        <f t="shared" si="226"/>
        <v>885</v>
      </c>
      <c r="O902" s="7661" t="str">
        <f t="shared" si="227"/>
        <v>0</v>
      </c>
      <c r="P902" s="7688">
        <f t="shared" si="228"/>
        <v>1</v>
      </c>
      <c r="Q902" s="7688">
        <f t="shared" si="229"/>
        <v>1</v>
      </c>
    </row>
    <row r="903" spans="2:17">
      <c r="B903" s="7685"/>
      <c r="C903" s="7685"/>
      <c r="D903" s="7685"/>
      <c r="E903" s="7685">
        <f>IF(H902&lt;&gt;"",E902,IF(E902="","",IFERROR(MATCH(TRUE(),INDEX(INDEX($K:$K,E902+1):$K$203&lt;&gt;"",0),0)+E902,"")))</f>
        <v>1078</v>
      </c>
      <c r="F903" s="7686">
        <f t="shared" si="230"/>
        <v>0</v>
      </c>
      <c r="G903" s="7686" t="str">
        <f t="shared" si="222"/>
        <v>0</v>
      </c>
      <c r="H903" s="7687" t="str">
        <f t="shared" si="223"/>
        <v/>
      </c>
      <c r="I903" s="7685" t="str">
        <f t="shared" si="224"/>
        <v/>
      </c>
      <c r="M903" s="7622">
        <f t="shared" si="225"/>
        <v>1</v>
      </c>
      <c r="N903" s="7688">
        <f t="shared" si="226"/>
        <v>886</v>
      </c>
      <c r="O903" s="7661" t="str">
        <f t="shared" si="227"/>
        <v>0</v>
      </c>
      <c r="P903" s="7688">
        <f t="shared" si="228"/>
        <v>1</v>
      </c>
      <c r="Q903" s="7688">
        <f t="shared" si="229"/>
        <v>1</v>
      </c>
    </row>
    <row r="904" spans="2:17">
      <c r="B904" s="7685"/>
      <c r="C904" s="7685"/>
      <c r="D904" s="7685"/>
      <c r="E904" s="7685">
        <f>IF(H903&lt;&gt;"",E903,IF(E903="","",IFERROR(MATCH(TRUE(),INDEX(INDEX($K:$K,E903+1):$K$203&lt;&gt;"",0),0)+E903,"")))</f>
        <v>1079</v>
      </c>
      <c r="F904" s="7686">
        <f t="shared" si="230"/>
        <v>0</v>
      </c>
      <c r="G904" s="7686" t="str">
        <f t="shared" si="222"/>
        <v>0</v>
      </c>
      <c r="H904" s="7687" t="str">
        <f t="shared" si="223"/>
        <v/>
      </c>
      <c r="I904" s="7685" t="str">
        <f t="shared" si="224"/>
        <v/>
      </c>
      <c r="M904" s="7622">
        <f t="shared" si="225"/>
        <v>1</v>
      </c>
      <c r="N904" s="7688">
        <f t="shared" si="226"/>
        <v>887</v>
      </c>
      <c r="O904" s="7661" t="str">
        <f t="shared" si="227"/>
        <v>0</v>
      </c>
      <c r="P904" s="7688">
        <f t="shared" si="228"/>
        <v>1</v>
      </c>
      <c r="Q904" s="7688">
        <f t="shared" si="229"/>
        <v>1</v>
      </c>
    </row>
    <row r="905" spans="2:17">
      <c r="B905" s="7685"/>
      <c r="C905" s="7685"/>
      <c r="D905" s="7685"/>
      <c r="E905" s="7685">
        <f>IF(H904&lt;&gt;"",E904,IF(E904="","",IFERROR(MATCH(TRUE(),INDEX(INDEX($K:$K,E904+1):$K$203&lt;&gt;"",0),0)+E904,"")))</f>
        <v>1080</v>
      </c>
      <c r="F905" s="7686">
        <f t="shared" si="230"/>
        <v>0</v>
      </c>
      <c r="G905" s="7686" t="str">
        <f t="shared" si="222"/>
        <v>0</v>
      </c>
      <c r="H905" s="7687" t="str">
        <f t="shared" si="223"/>
        <v/>
      </c>
      <c r="I905" s="7685" t="str">
        <f t="shared" si="224"/>
        <v/>
      </c>
      <c r="M905" s="7622">
        <f t="shared" si="225"/>
        <v>1</v>
      </c>
      <c r="N905" s="7688">
        <f t="shared" si="226"/>
        <v>888</v>
      </c>
      <c r="O905" s="7661" t="str">
        <f t="shared" si="227"/>
        <v>0</v>
      </c>
      <c r="P905" s="7688">
        <f t="shared" si="228"/>
        <v>1</v>
      </c>
      <c r="Q905" s="7688">
        <f t="shared" si="229"/>
        <v>1</v>
      </c>
    </row>
    <row r="906" spans="2:17">
      <c r="B906" s="7685"/>
      <c r="C906" s="7685"/>
      <c r="D906" s="7685"/>
      <c r="E906" s="7685">
        <f>IF(H905&lt;&gt;"",E905,IF(E905="","",IFERROR(MATCH(TRUE(),INDEX(INDEX($K:$K,E905+1):$K$203&lt;&gt;"",0),0)+E905,"")))</f>
        <v>1081</v>
      </c>
      <c r="F906" s="7686">
        <f t="shared" si="230"/>
        <v>0</v>
      </c>
      <c r="G906" s="7686" t="str">
        <f t="shared" si="222"/>
        <v>0</v>
      </c>
      <c r="H906" s="7687" t="str">
        <f t="shared" si="223"/>
        <v/>
      </c>
      <c r="I906" s="7685" t="str">
        <f t="shared" si="224"/>
        <v/>
      </c>
      <c r="M906" s="7622">
        <f t="shared" si="225"/>
        <v>1</v>
      </c>
      <c r="N906" s="7688">
        <f t="shared" si="226"/>
        <v>889</v>
      </c>
      <c r="O906" s="7661" t="str">
        <f t="shared" si="227"/>
        <v>0</v>
      </c>
      <c r="P906" s="7688">
        <f t="shared" si="228"/>
        <v>1</v>
      </c>
      <c r="Q906" s="7688">
        <f t="shared" si="229"/>
        <v>1</v>
      </c>
    </row>
    <row r="907" spans="2:17">
      <c r="B907" s="7685"/>
      <c r="C907" s="7685"/>
      <c r="D907" s="7685"/>
      <c r="E907" s="7685">
        <f>IF(H906&lt;&gt;"",E906,IF(E906="","",IFERROR(MATCH(TRUE(),INDEX(INDEX($K:$K,E906+1):$K$203&lt;&gt;"",0),0)+E906,"")))</f>
        <v>1082</v>
      </c>
      <c r="F907" s="7686">
        <f t="shared" si="230"/>
        <v>0</v>
      </c>
      <c r="G907" s="7686" t="str">
        <f t="shared" si="222"/>
        <v>0</v>
      </c>
      <c r="H907" s="7687" t="str">
        <f t="shared" si="223"/>
        <v/>
      </c>
      <c r="I907" s="7685" t="str">
        <f t="shared" si="224"/>
        <v/>
      </c>
      <c r="M907" s="7622">
        <f t="shared" si="225"/>
        <v>1</v>
      </c>
      <c r="N907" s="7688">
        <f t="shared" si="226"/>
        <v>890</v>
      </c>
      <c r="O907" s="7661" t="str">
        <f t="shared" si="227"/>
        <v>0</v>
      </c>
      <c r="P907" s="7688">
        <f t="shared" si="228"/>
        <v>1</v>
      </c>
      <c r="Q907" s="7688">
        <f t="shared" si="229"/>
        <v>1</v>
      </c>
    </row>
    <row r="908" spans="2:17">
      <c r="B908" s="7685"/>
      <c r="C908" s="7685"/>
      <c r="D908" s="7685"/>
      <c r="E908" s="7685">
        <f>IF(H907&lt;&gt;"",E907,IF(E907="","",IFERROR(MATCH(TRUE(),INDEX(INDEX($K:$K,E907+1):$K$203&lt;&gt;"",0),0)+E907,"")))</f>
        <v>1083</v>
      </c>
      <c r="F908" s="7686">
        <f t="shared" si="230"/>
        <v>0</v>
      </c>
      <c r="G908" s="7686" t="str">
        <f t="shared" si="222"/>
        <v>0</v>
      </c>
      <c r="H908" s="7687" t="str">
        <f t="shared" si="223"/>
        <v/>
      </c>
      <c r="I908" s="7685" t="str">
        <f t="shared" si="224"/>
        <v/>
      </c>
      <c r="M908" s="7622">
        <f t="shared" si="225"/>
        <v>1</v>
      </c>
      <c r="N908" s="7688">
        <f t="shared" si="226"/>
        <v>891</v>
      </c>
      <c r="O908" s="7661" t="str">
        <f t="shared" si="227"/>
        <v>0</v>
      </c>
      <c r="P908" s="7688">
        <f t="shared" si="228"/>
        <v>1</v>
      </c>
      <c r="Q908" s="7688">
        <f t="shared" si="229"/>
        <v>1</v>
      </c>
    </row>
    <row r="909" spans="2:17">
      <c r="B909" s="7685"/>
      <c r="C909" s="7685"/>
      <c r="D909" s="7685"/>
      <c r="E909" s="7685">
        <f>IF(H908&lt;&gt;"",E908,IF(E908="","",IFERROR(MATCH(TRUE(),INDEX(INDEX($K:$K,E908+1):$K$203&lt;&gt;"",0),0)+E908,"")))</f>
        <v>1084</v>
      </c>
      <c r="F909" s="7686">
        <f t="shared" si="230"/>
        <v>0</v>
      </c>
      <c r="G909" s="7686" t="str">
        <f t="shared" si="222"/>
        <v>0</v>
      </c>
      <c r="H909" s="7687" t="str">
        <f t="shared" si="223"/>
        <v/>
      </c>
      <c r="I909" s="7685" t="str">
        <f t="shared" si="224"/>
        <v/>
      </c>
      <c r="M909" s="7622">
        <f t="shared" si="225"/>
        <v>1</v>
      </c>
      <c r="N909" s="7688">
        <f t="shared" si="226"/>
        <v>892</v>
      </c>
      <c r="O909" s="7661" t="str">
        <f t="shared" si="227"/>
        <v>0</v>
      </c>
      <c r="P909" s="7688">
        <f t="shared" si="228"/>
        <v>1</v>
      </c>
      <c r="Q909" s="7688">
        <f t="shared" si="229"/>
        <v>1</v>
      </c>
    </row>
    <row r="910" spans="2:17">
      <c r="B910" s="7685"/>
      <c r="C910" s="7685"/>
      <c r="D910" s="7685"/>
      <c r="E910" s="7685">
        <f>IF(H909&lt;&gt;"",E909,IF(E909="","",IFERROR(MATCH(TRUE(),INDEX(INDEX($K:$K,E909+1):$K$203&lt;&gt;"",0),0)+E909,"")))</f>
        <v>1085</v>
      </c>
      <c r="F910" s="7686">
        <f t="shared" si="230"/>
        <v>0</v>
      </c>
      <c r="G910" s="7686" t="str">
        <f t="shared" si="222"/>
        <v>0</v>
      </c>
      <c r="H910" s="7687" t="str">
        <f t="shared" si="223"/>
        <v/>
      </c>
      <c r="I910" s="7685" t="str">
        <f t="shared" si="224"/>
        <v/>
      </c>
      <c r="M910" s="7622">
        <f t="shared" si="225"/>
        <v>1</v>
      </c>
      <c r="N910" s="7688">
        <f t="shared" si="226"/>
        <v>893</v>
      </c>
      <c r="O910" s="7661" t="str">
        <f t="shared" si="227"/>
        <v>0</v>
      </c>
      <c r="P910" s="7688">
        <f t="shared" si="228"/>
        <v>1</v>
      </c>
      <c r="Q910" s="7688">
        <f t="shared" si="229"/>
        <v>1</v>
      </c>
    </row>
    <row r="911" spans="2:17">
      <c r="B911" s="7685"/>
      <c r="C911" s="7685"/>
      <c r="D911" s="7685"/>
      <c r="E911" s="7685">
        <f>IF(H910&lt;&gt;"",E910,IF(E910="","",IFERROR(MATCH(TRUE(),INDEX(INDEX($K:$K,E910+1):$K$203&lt;&gt;"",0),0)+E910,"")))</f>
        <v>1086</v>
      </c>
      <c r="F911" s="7686">
        <f t="shared" si="230"/>
        <v>0</v>
      </c>
      <c r="G911" s="7686" t="str">
        <f t="shared" si="222"/>
        <v>0</v>
      </c>
      <c r="H911" s="7687" t="str">
        <f t="shared" si="223"/>
        <v/>
      </c>
      <c r="I911" s="7685" t="str">
        <f t="shared" si="224"/>
        <v/>
      </c>
      <c r="M911" s="7622">
        <f t="shared" si="225"/>
        <v>1</v>
      </c>
      <c r="N911" s="7688">
        <f t="shared" si="226"/>
        <v>894</v>
      </c>
      <c r="O911" s="7661" t="str">
        <f t="shared" si="227"/>
        <v>0</v>
      </c>
      <c r="P911" s="7688">
        <f t="shared" si="228"/>
        <v>1</v>
      </c>
      <c r="Q911" s="7688">
        <f t="shared" si="229"/>
        <v>1</v>
      </c>
    </row>
    <row r="912" spans="2:17">
      <c r="B912" s="7685"/>
      <c r="C912" s="7685"/>
      <c r="D912" s="7685"/>
      <c r="E912" s="7685">
        <f>IF(H911&lt;&gt;"",E911,IF(E911="","",IFERROR(MATCH(TRUE(),INDEX(INDEX($K:$K,E911+1):$K$203&lt;&gt;"",0),0)+E911,"")))</f>
        <v>1087</v>
      </c>
      <c r="F912" s="7686">
        <f t="shared" si="230"/>
        <v>0</v>
      </c>
      <c r="G912" s="7686" t="str">
        <f t="shared" si="222"/>
        <v>0</v>
      </c>
      <c r="H912" s="7687" t="str">
        <f t="shared" si="223"/>
        <v/>
      </c>
      <c r="I912" s="7685" t="str">
        <f t="shared" si="224"/>
        <v/>
      </c>
      <c r="M912" s="7622">
        <f t="shared" si="225"/>
        <v>1</v>
      </c>
      <c r="N912" s="7688">
        <f t="shared" si="226"/>
        <v>895</v>
      </c>
      <c r="O912" s="7661" t="str">
        <f t="shared" si="227"/>
        <v>0</v>
      </c>
      <c r="P912" s="7688">
        <f t="shared" si="228"/>
        <v>1</v>
      </c>
      <c r="Q912" s="7688">
        <f t="shared" si="229"/>
        <v>1</v>
      </c>
    </row>
    <row r="913" spans="2:17">
      <c r="B913" s="7685"/>
      <c r="C913" s="7685"/>
      <c r="D913" s="7685"/>
      <c r="E913" s="7685">
        <f>IF(H912&lt;&gt;"",E912,IF(E912="","",IFERROR(MATCH(TRUE(),INDEX(INDEX($K:$K,E912+1):$K$203&lt;&gt;"",0),0)+E912,"")))</f>
        <v>1088</v>
      </c>
      <c r="F913" s="7686">
        <f t="shared" si="230"/>
        <v>0</v>
      </c>
      <c r="G913" s="7686" t="str">
        <f t="shared" si="222"/>
        <v>0</v>
      </c>
      <c r="H913" s="7687" t="str">
        <f t="shared" si="223"/>
        <v/>
      </c>
      <c r="I913" s="7685" t="str">
        <f t="shared" si="224"/>
        <v/>
      </c>
      <c r="M913" s="7622">
        <f t="shared" si="225"/>
        <v>1</v>
      </c>
      <c r="N913" s="7688">
        <f t="shared" si="226"/>
        <v>896</v>
      </c>
      <c r="O913" s="7661" t="str">
        <f t="shared" si="227"/>
        <v>0</v>
      </c>
      <c r="P913" s="7688">
        <f t="shared" si="228"/>
        <v>1</v>
      </c>
      <c r="Q913" s="7688">
        <f t="shared" si="229"/>
        <v>1</v>
      </c>
    </row>
    <row r="914" spans="2:17">
      <c r="B914" s="7685"/>
      <c r="C914" s="7685"/>
      <c r="D914" s="7685"/>
      <c r="E914" s="7685">
        <f>IF(H913&lt;&gt;"",E913,IF(E913="","",IFERROR(MATCH(TRUE(),INDEX(INDEX($K:$K,E913+1):$K$203&lt;&gt;"",0),0)+E913,"")))</f>
        <v>1089</v>
      </c>
      <c r="F914" s="7686">
        <f t="shared" si="230"/>
        <v>0</v>
      </c>
      <c r="G914" s="7686" t="str">
        <f t="shared" ref="G914:G977" si="231">IF(OR(F914="",M914=""),"",LEFT(F914,M914))</f>
        <v>0</v>
      </c>
      <c r="H914" s="7687" t="str">
        <f t="shared" ref="H914:H977" si="232">IF(OR(F914="",M914=""),"",TRIM(MID(F914,M914+1,99999)))</f>
        <v/>
      </c>
      <c r="I914" s="7685" t="str">
        <f t="shared" ref="I914:I977" si="233">IF(AND(F914&lt;&gt;"",$N$10&gt;0,M914&gt;$N$10),"Mot &gt; limite","")</f>
        <v/>
      </c>
      <c r="M914" s="7622">
        <f t="shared" ref="M914:M977" si="234">IF(OR(F914="",$N$10="",$N$10&lt;=0),"",IF(LEN(F914)&lt;=$N$10,LEN(F914),IFERROR(FIND("♦",SUBSTITUTE(LEFT(F914,$N$10)," ","♦",LEN(LEFT(F914,$N$10))-LEN(SUBSTITUTE(LEFT(F914,$N$10)," ","")))),FIND(" ",F914&amp;" ",$N$10+1)-1)))</f>
        <v>1</v>
      </c>
      <c r="N914" s="7688">
        <f t="shared" ref="N914:N977" si="235">IF(O914="","",ROW()-17)</f>
        <v>897</v>
      </c>
      <c r="O914" s="7661" t="str">
        <f t="shared" ref="O914:O977" si="236">G914</f>
        <v>0</v>
      </c>
      <c r="P914" s="7688">
        <f t="shared" ref="P914:P977" si="237">IF(O914="","",LEN(TRIM(O914))-LEN(SUBSTITUTE(TRIM(O914)," ",""))+1)</f>
        <v>1</v>
      </c>
      <c r="Q914" s="7688">
        <f t="shared" ref="Q914:Q977" si="238">IF(O914="","",LEN(O914))</f>
        <v>1</v>
      </c>
    </row>
    <row r="915" spans="2:17">
      <c r="B915" s="7685"/>
      <c r="C915" s="7685"/>
      <c r="D915" s="7685"/>
      <c r="E915" s="7685">
        <f>IF(H914&lt;&gt;"",E914,IF(E914="","",IFERROR(MATCH(TRUE(),INDEX(INDEX($K:$K,E914+1):$K$203&lt;&gt;"",0),0)+E914,"")))</f>
        <v>1090</v>
      </c>
      <c r="F915" s="7686">
        <f t="shared" ref="F915:F978" si="239">IF(E915="","",IF(H914&lt;&gt;"",H914,INDEX($D:$D,E915)))</f>
        <v>0</v>
      </c>
      <c r="G915" s="7686" t="str">
        <f t="shared" si="231"/>
        <v>0</v>
      </c>
      <c r="H915" s="7687" t="str">
        <f t="shared" si="232"/>
        <v/>
      </c>
      <c r="I915" s="7685" t="str">
        <f t="shared" si="233"/>
        <v/>
      </c>
      <c r="M915" s="7622">
        <f t="shared" si="234"/>
        <v>1</v>
      </c>
      <c r="N915" s="7688">
        <f t="shared" si="235"/>
        <v>898</v>
      </c>
      <c r="O915" s="7661" t="str">
        <f t="shared" si="236"/>
        <v>0</v>
      </c>
      <c r="P915" s="7688">
        <f t="shared" si="237"/>
        <v>1</v>
      </c>
      <c r="Q915" s="7688">
        <f t="shared" si="238"/>
        <v>1</v>
      </c>
    </row>
    <row r="916" spans="2:17">
      <c r="B916" s="7685"/>
      <c r="C916" s="7685"/>
      <c r="D916" s="7685"/>
      <c r="E916" s="7685">
        <f>IF(H915&lt;&gt;"",E915,IF(E915="","",IFERROR(MATCH(TRUE(),INDEX(INDEX($K:$K,E915+1):$K$203&lt;&gt;"",0),0)+E915,"")))</f>
        <v>1091</v>
      </c>
      <c r="F916" s="7686">
        <f t="shared" si="239"/>
        <v>0</v>
      </c>
      <c r="G916" s="7686" t="str">
        <f t="shared" si="231"/>
        <v>0</v>
      </c>
      <c r="H916" s="7687" t="str">
        <f t="shared" si="232"/>
        <v/>
      </c>
      <c r="I916" s="7685" t="str">
        <f t="shared" si="233"/>
        <v/>
      </c>
      <c r="M916" s="7622">
        <f t="shared" si="234"/>
        <v>1</v>
      </c>
      <c r="N916" s="7688">
        <f t="shared" si="235"/>
        <v>899</v>
      </c>
      <c r="O916" s="7661" t="str">
        <f t="shared" si="236"/>
        <v>0</v>
      </c>
      <c r="P916" s="7688">
        <f t="shared" si="237"/>
        <v>1</v>
      </c>
      <c r="Q916" s="7688">
        <f t="shared" si="238"/>
        <v>1</v>
      </c>
    </row>
    <row r="917" spans="2:17">
      <c r="B917" s="7685"/>
      <c r="C917" s="7685"/>
      <c r="D917" s="7685"/>
      <c r="E917" s="7685">
        <f>IF(H916&lt;&gt;"",E916,IF(E916="","",IFERROR(MATCH(TRUE(),INDEX(INDEX($K:$K,E916+1):$K$203&lt;&gt;"",0),0)+E916,"")))</f>
        <v>1092</v>
      </c>
      <c r="F917" s="7686">
        <f t="shared" si="239"/>
        <v>0</v>
      </c>
      <c r="G917" s="7686" t="str">
        <f t="shared" si="231"/>
        <v>0</v>
      </c>
      <c r="H917" s="7687" t="str">
        <f t="shared" si="232"/>
        <v/>
      </c>
      <c r="I917" s="7685" t="str">
        <f t="shared" si="233"/>
        <v/>
      </c>
      <c r="M917" s="7622">
        <f t="shared" si="234"/>
        <v>1</v>
      </c>
      <c r="N917" s="7688">
        <f t="shared" si="235"/>
        <v>900</v>
      </c>
      <c r="O917" s="7661" t="str">
        <f t="shared" si="236"/>
        <v>0</v>
      </c>
      <c r="P917" s="7688">
        <f t="shared" si="237"/>
        <v>1</v>
      </c>
      <c r="Q917" s="7688">
        <f t="shared" si="238"/>
        <v>1</v>
      </c>
    </row>
    <row r="918" spans="2:17">
      <c r="B918" s="7685"/>
      <c r="C918" s="7685"/>
      <c r="D918" s="7685"/>
      <c r="E918" s="7685">
        <f>IF(H917&lt;&gt;"",E917,IF(E917="","",IFERROR(MATCH(TRUE(),INDEX(INDEX($K:$K,E917+1):$K$203&lt;&gt;"",0),0)+E917,"")))</f>
        <v>1093</v>
      </c>
      <c r="F918" s="7686">
        <f t="shared" si="239"/>
        <v>0</v>
      </c>
      <c r="G918" s="7686" t="str">
        <f t="shared" si="231"/>
        <v>0</v>
      </c>
      <c r="H918" s="7687" t="str">
        <f t="shared" si="232"/>
        <v/>
      </c>
      <c r="I918" s="7685" t="str">
        <f t="shared" si="233"/>
        <v/>
      </c>
      <c r="M918" s="7622">
        <f t="shared" si="234"/>
        <v>1</v>
      </c>
      <c r="N918" s="7688">
        <f t="shared" si="235"/>
        <v>901</v>
      </c>
      <c r="O918" s="7661" t="str">
        <f t="shared" si="236"/>
        <v>0</v>
      </c>
      <c r="P918" s="7688">
        <f t="shared" si="237"/>
        <v>1</v>
      </c>
      <c r="Q918" s="7688">
        <f t="shared" si="238"/>
        <v>1</v>
      </c>
    </row>
    <row r="919" spans="2:17">
      <c r="B919" s="7685"/>
      <c r="C919" s="7685"/>
      <c r="D919" s="7685"/>
      <c r="E919" s="7685">
        <f>IF(H918&lt;&gt;"",E918,IF(E918="","",IFERROR(MATCH(TRUE(),INDEX(INDEX($K:$K,E918+1):$K$203&lt;&gt;"",0),0)+E918,"")))</f>
        <v>1094</v>
      </c>
      <c r="F919" s="7686">
        <f t="shared" si="239"/>
        <v>0</v>
      </c>
      <c r="G919" s="7686" t="str">
        <f t="shared" si="231"/>
        <v>0</v>
      </c>
      <c r="H919" s="7687" t="str">
        <f t="shared" si="232"/>
        <v/>
      </c>
      <c r="I919" s="7685" t="str">
        <f t="shared" si="233"/>
        <v/>
      </c>
      <c r="M919" s="7622">
        <f t="shared" si="234"/>
        <v>1</v>
      </c>
      <c r="N919" s="7688">
        <f t="shared" si="235"/>
        <v>902</v>
      </c>
      <c r="O919" s="7661" t="str">
        <f t="shared" si="236"/>
        <v>0</v>
      </c>
      <c r="P919" s="7688">
        <f t="shared" si="237"/>
        <v>1</v>
      </c>
      <c r="Q919" s="7688">
        <f t="shared" si="238"/>
        <v>1</v>
      </c>
    </row>
    <row r="920" spans="2:17">
      <c r="B920" s="7685"/>
      <c r="C920" s="7685"/>
      <c r="D920" s="7685"/>
      <c r="E920" s="7685">
        <f>IF(H919&lt;&gt;"",E919,IF(E919="","",IFERROR(MATCH(TRUE(),INDEX(INDEX($K:$K,E919+1):$K$203&lt;&gt;"",0),0)+E919,"")))</f>
        <v>1095</v>
      </c>
      <c r="F920" s="7686">
        <f t="shared" si="239"/>
        <v>0</v>
      </c>
      <c r="G920" s="7686" t="str">
        <f t="shared" si="231"/>
        <v>0</v>
      </c>
      <c r="H920" s="7687" t="str">
        <f t="shared" si="232"/>
        <v/>
      </c>
      <c r="I920" s="7685" t="str">
        <f t="shared" si="233"/>
        <v/>
      </c>
      <c r="M920" s="7622">
        <f t="shared" si="234"/>
        <v>1</v>
      </c>
      <c r="N920" s="7688">
        <f t="shared" si="235"/>
        <v>903</v>
      </c>
      <c r="O920" s="7661" t="str">
        <f t="shared" si="236"/>
        <v>0</v>
      </c>
      <c r="P920" s="7688">
        <f t="shared" si="237"/>
        <v>1</v>
      </c>
      <c r="Q920" s="7688">
        <f t="shared" si="238"/>
        <v>1</v>
      </c>
    </row>
    <row r="921" spans="2:17">
      <c r="B921" s="7685"/>
      <c r="C921" s="7685"/>
      <c r="D921" s="7685"/>
      <c r="E921" s="7685">
        <f>IF(H920&lt;&gt;"",E920,IF(E920="","",IFERROR(MATCH(TRUE(),INDEX(INDEX($K:$K,E920+1):$K$203&lt;&gt;"",0),0)+E920,"")))</f>
        <v>1096</v>
      </c>
      <c r="F921" s="7686">
        <f t="shared" si="239"/>
        <v>0</v>
      </c>
      <c r="G921" s="7686" t="str">
        <f t="shared" si="231"/>
        <v>0</v>
      </c>
      <c r="H921" s="7687" t="str">
        <f t="shared" si="232"/>
        <v/>
      </c>
      <c r="I921" s="7685" t="str">
        <f t="shared" si="233"/>
        <v/>
      </c>
      <c r="M921" s="7622">
        <f t="shared" si="234"/>
        <v>1</v>
      </c>
      <c r="N921" s="7688">
        <f t="shared" si="235"/>
        <v>904</v>
      </c>
      <c r="O921" s="7661" t="str">
        <f t="shared" si="236"/>
        <v>0</v>
      </c>
      <c r="P921" s="7688">
        <f t="shared" si="237"/>
        <v>1</v>
      </c>
      <c r="Q921" s="7688">
        <f t="shared" si="238"/>
        <v>1</v>
      </c>
    </row>
    <row r="922" spans="2:17">
      <c r="B922" s="7685"/>
      <c r="C922" s="7685"/>
      <c r="D922" s="7685"/>
      <c r="E922" s="7685">
        <f>IF(H921&lt;&gt;"",E921,IF(E921="","",IFERROR(MATCH(TRUE(),INDEX(INDEX($K:$K,E921+1):$K$203&lt;&gt;"",0),0)+E921,"")))</f>
        <v>1097</v>
      </c>
      <c r="F922" s="7686">
        <f t="shared" si="239"/>
        <v>0</v>
      </c>
      <c r="G922" s="7686" t="str">
        <f t="shared" si="231"/>
        <v>0</v>
      </c>
      <c r="H922" s="7687" t="str">
        <f t="shared" si="232"/>
        <v/>
      </c>
      <c r="I922" s="7685" t="str">
        <f t="shared" si="233"/>
        <v/>
      </c>
      <c r="M922" s="7622">
        <f t="shared" si="234"/>
        <v>1</v>
      </c>
      <c r="N922" s="7688">
        <f t="shared" si="235"/>
        <v>905</v>
      </c>
      <c r="O922" s="7661" t="str">
        <f t="shared" si="236"/>
        <v>0</v>
      </c>
      <c r="P922" s="7688">
        <f t="shared" si="237"/>
        <v>1</v>
      </c>
      <c r="Q922" s="7688">
        <f t="shared" si="238"/>
        <v>1</v>
      </c>
    </row>
    <row r="923" spans="2:17">
      <c r="B923" s="7685"/>
      <c r="C923" s="7685"/>
      <c r="D923" s="7685"/>
      <c r="E923" s="7685">
        <f>IF(H922&lt;&gt;"",E922,IF(E922="","",IFERROR(MATCH(TRUE(),INDEX(INDEX($K:$K,E922+1):$K$203&lt;&gt;"",0),0)+E922,"")))</f>
        <v>1098</v>
      </c>
      <c r="F923" s="7686">
        <f t="shared" si="239"/>
        <v>0</v>
      </c>
      <c r="G923" s="7686" t="str">
        <f t="shared" si="231"/>
        <v>0</v>
      </c>
      <c r="H923" s="7687" t="str">
        <f t="shared" si="232"/>
        <v/>
      </c>
      <c r="I923" s="7685" t="str">
        <f t="shared" si="233"/>
        <v/>
      </c>
      <c r="M923" s="7622">
        <f t="shared" si="234"/>
        <v>1</v>
      </c>
      <c r="N923" s="7688">
        <f t="shared" si="235"/>
        <v>906</v>
      </c>
      <c r="O923" s="7661" t="str">
        <f t="shared" si="236"/>
        <v>0</v>
      </c>
      <c r="P923" s="7688">
        <f t="shared" si="237"/>
        <v>1</v>
      </c>
      <c r="Q923" s="7688">
        <f t="shared" si="238"/>
        <v>1</v>
      </c>
    </row>
    <row r="924" spans="2:17">
      <c r="B924" s="7685"/>
      <c r="C924" s="7685"/>
      <c r="D924" s="7685"/>
      <c r="E924" s="7685">
        <f>IF(H923&lt;&gt;"",E923,IF(E923="","",IFERROR(MATCH(TRUE(),INDEX(INDEX($K:$K,E923+1):$K$203&lt;&gt;"",0),0)+E923,"")))</f>
        <v>1099</v>
      </c>
      <c r="F924" s="7686">
        <f t="shared" si="239"/>
        <v>0</v>
      </c>
      <c r="G924" s="7686" t="str">
        <f t="shared" si="231"/>
        <v>0</v>
      </c>
      <c r="H924" s="7687" t="str">
        <f t="shared" si="232"/>
        <v/>
      </c>
      <c r="I924" s="7685" t="str">
        <f t="shared" si="233"/>
        <v/>
      </c>
      <c r="M924" s="7622">
        <f t="shared" si="234"/>
        <v>1</v>
      </c>
      <c r="N924" s="7688">
        <f t="shared" si="235"/>
        <v>907</v>
      </c>
      <c r="O924" s="7661" t="str">
        <f t="shared" si="236"/>
        <v>0</v>
      </c>
      <c r="P924" s="7688">
        <f t="shared" si="237"/>
        <v>1</v>
      </c>
      <c r="Q924" s="7688">
        <f t="shared" si="238"/>
        <v>1</v>
      </c>
    </row>
    <row r="925" spans="2:17">
      <c r="B925" s="7685"/>
      <c r="C925" s="7685"/>
      <c r="D925" s="7685"/>
      <c r="E925" s="7685">
        <f>IF(H924&lt;&gt;"",E924,IF(E924="","",IFERROR(MATCH(TRUE(),INDEX(INDEX($K:$K,E924+1):$K$203&lt;&gt;"",0),0)+E924,"")))</f>
        <v>1100</v>
      </c>
      <c r="F925" s="7686">
        <f t="shared" si="239"/>
        <v>0</v>
      </c>
      <c r="G925" s="7686" t="str">
        <f t="shared" si="231"/>
        <v>0</v>
      </c>
      <c r="H925" s="7687" t="str">
        <f t="shared" si="232"/>
        <v/>
      </c>
      <c r="I925" s="7685" t="str">
        <f t="shared" si="233"/>
        <v/>
      </c>
      <c r="M925" s="7622">
        <f t="shared" si="234"/>
        <v>1</v>
      </c>
      <c r="N925" s="7688">
        <f t="shared" si="235"/>
        <v>908</v>
      </c>
      <c r="O925" s="7661" t="str">
        <f t="shared" si="236"/>
        <v>0</v>
      </c>
      <c r="P925" s="7688">
        <f t="shared" si="237"/>
        <v>1</v>
      </c>
      <c r="Q925" s="7688">
        <f t="shared" si="238"/>
        <v>1</v>
      </c>
    </row>
    <row r="926" spans="2:17">
      <c r="B926" s="7685"/>
      <c r="C926" s="7685"/>
      <c r="D926" s="7685"/>
      <c r="E926" s="7685">
        <f>IF(H925&lt;&gt;"",E925,IF(E925="","",IFERROR(MATCH(TRUE(),INDEX(INDEX($K:$K,E925+1):$K$203&lt;&gt;"",0),0)+E925,"")))</f>
        <v>1101</v>
      </c>
      <c r="F926" s="7686">
        <f t="shared" si="239"/>
        <v>0</v>
      </c>
      <c r="G926" s="7686" t="str">
        <f t="shared" si="231"/>
        <v>0</v>
      </c>
      <c r="H926" s="7687" t="str">
        <f t="shared" si="232"/>
        <v/>
      </c>
      <c r="I926" s="7685" t="str">
        <f t="shared" si="233"/>
        <v/>
      </c>
      <c r="M926" s="7622">
        <f t="shared" si="234"/>
        <v>1</v>
      </c>
      <c r="N926" s="7688">
        <f t="shared" si="235"/>
        <v>909</v>
      </c>
      <c r="O926" s="7661" t="str">
        <f t="shared" si="236"/>
        <v>0</v>
      </c>
      <c r="P926" s="7688">
        <f t="shared" si="237"/>
        <v>1</v>
      </c>
      <c r="Q926" s="7688">
        <f t="shared" si="238"/>
        <v>1</v>
      </c>
    </row>
    <row r="927" spans="2:17">
      <c r="B927" s="7685"/>
      <c r="C927" s="7685"/>
      <c r="D927" s="7685"/>
      <c r="E927" s="7685">
        <f>IF(H926&lt;&gt;"",E926,IF(E926="","",IFERROR(MATCH(TRUE(),INDEX(INDEX($K:$K,E926+1):$K$203&lt;&gt;"",0),0)+E926,"")))</f>
        <v>1102</v>
      </c>
      <c r="F927" s="7686">
        <f t="shared" si="239"/>
        <v>0</v>
      </c>
      <c r="G927" s="7686" t="str">
        <f t="shared" si="231"/>
        <v>0</v>
      </c>
      <c r="H927" s="7687" t="str">
        <f t="shared" si="232"/>
        <v/>
      </c>
      <c r="I927" s="7685" t="str">
        <f t="shared" si="233"/>
        <v/>
      </c>
      <c r="M927" s="7622">
        <f t="shared" si="234"/>
        <v>1</v>
      </c>
      <c r="N927" s="7688">
        <f t="shared" si="235"/>
        <v>910</v>
      </c>
      <c r="O927" s="7661" t="str">
        <f t="shared" si="236"/>
        <v>0</v>
      </c>
      <c r="P927" s="7688">
        <f t="shared" si="237"/>
        <v>1</v>
      </c>
      <c r="Q927" s="7688">
        <f t="shared" si="238"/>
        <v>1</v>
      </c>
    </row>
    <row r="928" spans="2:17">
      <c r="B928" s="7685"/>
      <c r="C928" s="7685"/>
      <c r="D928" s="7685"/>
      <c r="E928" s="7685">
        <f>IF(H927&lt;&gt;"",E927,IF(E927="","",IFERROR(MATCH(TRUE(),INDEX(INDEX($K:$K,E927+1):$K$203&lt;&gt;"",0),0)+E927,"")))</f>
        <v>1103</v>
      </c>
      <c r="F928" s="7686">
        <f t="shared" si="239"/>
        <v>0</v>
      </c>
      <c r="G928" s="7686" t="str">
        <f t="shared" si="231"/>
        <v>0</v>
      </c>
      <c r="H928" s="7687" t="str">
        <f t="shared" si="232"/>
        <v/>
      </c>
      <c r="I928" s="7685" t="str">
        <f t="shared" si="233"/>
        <v/>
      </c>
      <c r="M928" s="7622">
        <f t="shared" si="234"/>
        <v>1</v>
      </c>
      <c r="N928" s="7688">
        <f t="shared" si="235"/>
        <v>911</v>
      </c>
      <c r="O928" s="7661" t="str">
        <f t="shared" si="236"/>
        <v>0</v>
      </c>
      <c r="P928" s="7688">
        <f t="shared" si="237"/>
        <v>1</v>
      </c>
      <c r="Q928" s="7688">
        <f t="shared" si="238"/>
        <v>1</v>
      </c>
    </row>
    <row r="929" spans="2:17">
      <c r="B929" s="7685"/>
      <c r="C929" s="7685"/>
      <c r="D929" s="7685"/>
      <c r="E929" s="7685">
        <f>IF(H928&lt;&gt;"",E928,IF(E928="","",IFERROR(MATCH(TRUE(),INDEX(INDEX($K:$K,E928+1):$K$203&lt;&gt;"",0),0)+E928,"")))</f>
        <v>1104</v>
      </c>
      <c r="F929" s="7686">
        <f t="shared" si="239"/>
        <v>0</v>
      </c>
      <c r="G929" s="7686" t="str">
        <f t="shared" si="231"/>
        <v>0</v>
      </c>
      <c r="H929" s="7687" t="str">
        <f t="shared" si="232"/>
        <v/>
      </c>
      <c r="I929" s="7685" t="str">
        <f t="shared" si="233"/>
        <v/>
      </c>
      <c r="M929" s="7622">
        <f t="shared" si="234"/>
        <v>1</v>
      </c>
      <c r="N929" s="7688">
        <f t="shared" si="235"/>
        <v>912</v>
      </c>
      <c r="O929" s="7661" t="str">
        <f t="shared" si="236"/>
        <v>0</v>
      </c>
      <c r="P929" s="7688">
        <f t="shared" si="237"/>
        <v>1</v>
      </c>
      <c r="Q929" s="7688">
        <f t="shared" si="238"/>
        <v>1</v>
      </c>
    </row>
    <row r="930" spans="2:17">
      <c r="B930" s="7685"/>
      <c r="C930" s="7685"/>
      <c r="D930" s="7685"/>
      <c r="E930" s="7685">
        <f>IF(H929&lt;&gt;"",E929,IF(E929="","",IFERROR(MATCH(TRUE(),INDEX(INDEX($K:$K,E929+1):$K$203&lt;&gt;"",0),0)+E929,"")))</f>
        <v>1105</v>
      </c>
      <c r="F930" s="7686">
        <f t="shared" si="239"/>
        <v>0</v>
      </c>
      <c r="G930" s="7686" t="str">
        <f t="shared" si="231"/>
        <v>0</v>
      </c>
      <c r="H930" s="7687" t="str">
        <f t="shared" si="232"/>
        <v/>
      </c>
      <c r="I930" s="7685" t="str">
        <f t="shared" si="233"/>
        <v/>
      </c>
      <c r="M930" s="7622">
        <f t="shared" si="234"/>
        <v>1</v>
      </c>
      <c r="N930" s="7688">
        <f t="shared" si="235"/>
        <v>913</v>
      </c>
      <c r="O930" s="7661" t="str">
        <f t="shared" si="236"/>
        <v>0</v>
      </c>
      <c r="P930" s="7688">
        <f t="shared" si="237"/>
        <v>1</v>
      </c>
      <c r="Q930" s="7688">
        <f t="shared" si="238"/>
        <v>1</v>
      </c>
    </row>
    <row r="931" spans="2:17">
      <c r="B931" s="7685"/>
      <c r="C931" s="7685"/>
      <c r="D931" s="7685"/>
      <c r="E931" s="7685">
        <f>IF(H930&lt;&gt;"",E930,IF(E930="","",IFERROR(MATCH(TRUE(),INDEX(INDEX($K:$K,E930+1):$K$203&lt;&gt;"",0),0)+E930,"")))</f>
        <v>1106</v>
      </c>
      <c r="F931" s="7686">
        <f t="shared" si="239"/>
        <v>0</v>
      </c>
      <c r="G931" s="7686" t="str">
        <f t="shared" si="231"/>
        <v>0</v>
      </c>
      <c r="H931" s="7687" t="str">
        <f t="shared" si="232"/>
        <v/>
      </c>
      <c r="I931" s="7685" t="str">
        <f t="shared" si="233"/>
        <v/>
      </c>
      <c r="M931" s="7622">
        <f t="shared" si="234"/>
        <v>1</v>
      </c>
      <c r="N931" s="7688">
        <f t="shared" si="235"/>
        <v>914</v>
      </c>
      <c r="O931" s="7661" t="str">
        <f t="shared" si="236"/>
        <v>0</v>
      </c>
      <c r="P931" s="7688">
        <f t="shared" si="237"/>
        <v>1</v>
      </c>
      <c r="Q931" s="7688">
        <f t="shared" si="238"/>
        <v>1</v>
      </c>
    </row>
    <row r="932" spans="2:17">
      <c r="B932" s="7685"/>
      <c r="C932" s="7685"/>
      <c r="D932" s="7685"/>
      <c r="E932" s="7685">
        <f>IF(H931&lt;&gt;"",E931,IF(E931="","",IFERROR(MATCH(TRUE(),INDEX(INDEX($K:$K,E931+1):$K$203&lt;&gt;"",0),0)+E931,"")))</f>
        <v>1107</v>
      </c>
      <c r="F932" s="7686">
        <f t="shared" si="239"/>
        <v>0</v>
      </c>
      <c r="G932" s="7686" t="str">
        <f t="shared" si="231"/>
        <v>0</v>
      </c>
      <c r="H932" s="7687" t="str">
        <f t="shared" si="232"/>
        <v/>
      </c>
      <c r="I932" s="7685" t="str">
        <f t="shared" si="233"/>
        <v/>
      </c>
      <c r="M932" s="7622">
        <f t="shared" si="234"/>
        <v>1</v>
      </c>
      <c r="N932" s="7688">
        <f t="shared" si="235"/>
        <v>915</v>
      </c>
      <c r="O932" s="7661" t="str">
        <f t="shared" si="236"/>
        <v>0</v>
      </c>
      <c r="P932" s="7688">
        <f t="shared" si="237"/>
        <v>1</v>
      </c>
      <c r="Q932" s="7688">
        <f t="shared" si="238"/>
        <v>1</v>
      </c>
    </row>
    <row r="933" spans="2:17">
      <c r="B933" s="7685"/>
      <c r="C933" s="7685"/>
      <c r="D933" s="7685"/>
      <c r="E933" s="7685">
        <f>IF(H932&lt;&gt;"",E932,IF(E932="","",IFERROR(MATCH(TRUE(),INDEX(INDEX($K:$K,E932+1):$K$203&lt;&gt;"",0),0)+E932,"")))</f>
        <v>1108</v>
      </c>
      <c r="F933" s="7686">
        <f t="shared" si="239"/>
        <v>0</v>
      </c>
      <c r="G933" s="7686" t="str">
        <f t="shared" si="231"/>
        <v>0</v>
      </c>
      <c r="H933" s="7687" t="str">
        <f t="shared" si="232"/>
        <v/>
      </c>
      <c r="I933" s="7685" t="str">
        <f t="shared" si="233"/>
        <v/>
      </c>
      <c r="M933" s="7622">
        <f t="shared" si="234"/>
        <v>1</v>
      </c>
      <c r="N933" s="7688">
        <f t="shared" si="235"/>
        <v>916</v>
      </c>
      <c r="O933" s="7661" t="str">
        <f t="shared" si="236"/>
        <v>0</v>
      </c>
      <c r="P933" s="7688">
        <f t="shared" si="237"/>
        <v>1</v>
      </c>
      <c r="Q933" s="7688">
        <f t="shared" si="238"/>
        <v>1</v>
      </c>
    </row>
    <row r="934" spans="2:17">
      <c r="B934" s="7685"/>
      <c r="C934" s="7685"/>
      <c r="D934" s="7685"/>
      <c r="E934" s="7685">
        <f>IF(H933&lt;&gt;"",E933,IF(E933="","",IFERROR(MATCH(TRUE(),INDEX(INDEX($K:$K,E933+1):$K$203&lt;&gt;"",0),0)+E933,"")))</f>
        <v>1109</v>
      </c>
      <c r="F934" s="7686">
        <f t="shared" si="239"/>
        <v>0</v>
      </c>
      <c r="G934" s="7686" t="str">
        <f t="shared" si="231"/>
        <v>0</v>
      </c>
      <c r="H934" s="7687" t="str">
        <f t="shared" si="232"/>
        <v/>
      </c>
      <c r="I934" s="7685" t="str">
        <f t="shared" si="233"/>
        <v/>
      </c>
      <c r="M934" s="7622">
        <f t="shared" si="234"/>
        <v>1</v>
      </c>
      <c r="N934" s="7688">
        <f t="shared" si="235"/>
        <v>917</v>
      </c>
      <c r="O934" s="7661" t="str">
        <f t="shared" si="236"/>
        <v>0</v>
      </c>
      <c r="P934" s="7688">
        <f t="shared" si="237"/>
        <v>1</v>
      </c>
      <c r="Q934" s="7688">
        <f t="shared" si="238"/>
        <v>1</v>
      </c>
    </row>
    <row r="935" spans="2:17">
      <c r="B935" s="7685"/>
      <c r="C935" s="7685"/>
      <c r="D935" s="7685"/>
      <c r="E935" s="7685">
        <f>IF(H934&lt;&gt;"",E934,IF(E934="","",IFERROR(MATCH(TRUE(),INDEX(INDEX($K:$K,E934+1):$K$203&lt;&gt;"",0),0)+E934,"")))</f>
        <v>1110</v>
      </c>
      <c r="F935" s="7686">
        <f t="shared" si="239"/>
        <v>0</v>
      </c>
      <c r="G935" s="7686" t="str">
        <f t="shared" si="231"/>
        <v>0</v>
      </c>
      <c r="H935" s="7687" t="str">
        <f t="shared" si="232"/>
        <v/>
      </c>
      <c r="I935" s="7685" t="str">
        <f t="shared" si="233"/>
        <v/>
      </c>
      <c r="M935" s="7622">
        <f t="shared" si="234"/>
        <v>1</v>
      </c>
      <c r="N935" s="7688">
        <f t="shared" si="235"/>
        <v>918</v>
      </c>
      <c r="O935" s="7661" t="str">
        <f t="shared" si="236"/>
        <v>0</v>
      </c>
      <c r="P935" s="7688">
        <f t="shared" si="237"/>
        <v>1</v>
      </c>
      <c r="Q935" s="7688">
        <f t="shared" si="238"/>
        <v>1</v>
      </c>
    </row>
    <row r="936" spans="2:17">
      <c r="B936" s="7685"/>
      <c r="C936" s="7685"/>
      <c r="D936" s="7685"/>
      <c r="E936" s="7685">
        <f>IF(H935&lt;&gt;"",E935,IF(E935="","",IFERROR(MATCH(TRUE(),INDEX(INDEX($K:$K,E935+1):$K$203&lt;&gt;"",0),0)+E935,"")))</f>
        <v>1111</v>
      </c>
      <c r="F936" s="7686">
        <f t="shared" si="239"/>
        <v>0</v>
      </c>
      <c r="G936" s="7686" t="str">
        <f t="shared" si="231"/>
        <v>0</v>
      </c>
      <c r="H936" s="7687" t="str">
        <f t="shared" si="232"/>
        <v/>
      </c>
      <c r="I936" s="7685" t="str">
        <f t="shared" si="233"/>
        <v/>
      </c>
      <c r="M936" s="7622">
        <f t="shared" si="234"/>
        <v>1</v>
      </c>
      <c r="N936" s="7688">
        <f t="shared" si="235"/>
        <v>919</v>
      </c>
      <c r="O936" s="7661" t="str">
        <f t="shared" si="236"/>
        <v>0</v>
      </c>
      <c r="P936" s="7688">
        <f t="shared" si="237"/>
        <v>1</v>
      </c>
      <c r="Q936" s="7688">
        <f t="shared" si="238"/>
        <v>1</v>
      </c>
    </row>
    <row r="937" spans="2:17">
      <c r="B937" s="7685"/>
      <c r="C937" s="7685"/>
      <c r="D937" s="7685"/>
      <c r="E937" s="7685">
        <f>IF(H936&lt;&gt;"",E936,IF(E936="","",IFERROR(MATCH(TRUE(),INDEX(INDEX($K:$K,E936+1):$K$203&lt;&gt;"",0),0)+E936,"")))</f>
        <v>1112</v>
      </c>
      <c r="F937" s="7686">
        <f t="shared" si="239"/>
        <v>0</v>
      </c>
      <c r="G937" s="7686" t="str">
        <f t="shared" si="231"/>
        <v>0</v>
      </c>
      <c r="H937" s="7687" t="str">
        <f t="shared" si="232"/>
        <v/>
      </c>
      <c r="I937" s="7685" t="str">
        <f t="shared" si="233"/>
        <v/>
      </c>
      <c r="M937" s="7622">
        <f t="shared" si="234"/>
        <v>1</v>
      </c>
      <c r="N937" s="7688">
        <f t="shared" si="235"/>
        <v>920</v>
      </c>
      <c r="O937" s="7661" t="str">
        <f t="shared" si="236"/>
        <v>0</v>
      </c>
      <c r="P937" s="7688">
        <f t="shared" si="237"/>
        <v>1</v>
      </c>
      <c r="Q937" s="7688">
        <f t="shared" si="238"/>
        <v>1</v>
      </c>
    </row>
    <row r="938" spans="2:17">
      <c r="B938" s="7685"/>
      <c r="C938" s="7685"/>
      <c r="D938" s="7685"/>
      <c r="E938" s="7685">
        <f>IF(H937&lt;&gt;"",E937,IF(E937="","",IFERROR(MATCH(TRUE(),INDEX(INDEX($K:$K,E937+1):$K$203&lt;&gt;"",0),0)+E937,"")))</f>
        <v>1113</v>
      </c>
      <c r="F938" s="7686">
        <f t="shared" si="239"/>
        <v>0</v>
      </c>
      <c r="G938" s="7686" t="str">
        <f t="shared" si="231"/>
        <v>0</v>
      </c>
      <c r="H938" s="7687" t="str">
        <f t="shared" si="232"/>
        <v/>
      </c>
      <c r="I938" s="7685" t="str">
        <f t="shared" si="233"/>
        <v/>
      </c>
      <c r="M938" s="7622">
        <f t="shared" si="234"/>
        <v>1</v>
      </c>
      <c r="N938" s="7688">
        <f t="shared" si="235"/>
        <v>921</v>
      </c>
      <c r="O938" s="7661" t="str">
        <f t="shared" si="236"/>
        <v>0</v>
      </c>
      <c r="P938" s="7688">
        <f t="shared" si="237"/>
        <v>1</v>
      </c>
      <c r="Q938" s="7688">
        <f t="shared" si="238"/>
        <v>1</v>
      </c>
    </row>
    <row r="939" spans="2:17">
      <c r="B939" s="7685"/>
      <c r="C939" s="7685"/>
      <c r="D939" s="7685"/>
      <c r="E939" s="7685">
        <f>IF(H938&lt;&gt;"",E938,IF(E938="","",IFERROR(MATCH(TRUE(),INDEX(INDEX($K:$K,E938+1):$K$203&lt;&gt;"",0),0)+E938,"")))</f>
        <v>1114</v>
      </c>
      <c r="F939" s="7686">
        <f t="shared" si="239"/>
        <v>0</v>
      </c>
      <c r="G939" s="7686" t="str">
        <f t="shared" si="231"/>
        <v>0</v>
      </c>
      <c r="H939" s="7687" t="str">
        <f t="shared" si="232"/>
        <v/>
      </c>
      <c r="I939" s="7685" t="str">
        <f t="shared" si="233"/>
        <v/>
      </c>
      <c r="M939" s="7622">
        <f t="shared" si="234"/>
        <v>1</v>
      </c>
      <c r="N939" s="7688">
        <f t="shared" si="235"/>
        <v>922</v>
      </c>
      <c r="O939" s="7661" t="str">
        <f t="shared" si="236"/>
        <v>0</v>
      </c>
      <c r="P939" s="7688">
        <f t="shared" si="237"/>
        <v>1</v>
      </c>
      <c r="Q939" s="7688">
        <f t="shared" si="238"/>
        <v>1</v>
      </c>
    </row>
    <row r="940" spans="2:17">
      <c r="B940" s="7685"/>
      <c r="C940" s="7685"/>
      <c r="D940" s="7685"/>
      <c r="E940" s="7685">
        <f>IF(H939&lt;&gt;"",E939,IF(E939="","",IFERROR(MATCH(TRUE(),INDEX(INDEX($K:$K,E939+1):$K$203&lt;&gt;"",0),0)+E939,"")))</f>
        <v>1115</v>
      </c>
      <c r="F940" s="7686">
        <f t="shared" si="239"/>
        <v>0</v>
      </c>
      <c r="G940" s="7686" t="str">
        <f t="shared" si="231"/>
        <v>0</v>
      </c>
      <c r="H940" s="7687" t="str">
        <f t="shared" si="232"/>
        <v/>
      </c>
      <c r="I940" s="7685" t="str">
        <f t="shared" si="233"/>
        <v/>
      </c>
      <c r="M940" s="7622">
        <f t="shared" si="234"/>
        <v>1</v>
      </c>
      <c r="N940" s="7688">
        <f t="shared" si="235"/>
        <v>923</v>
      </c>
      <c r="O940" s="7661" t="str">
        <f t="shared" si="236"/>
        <v>0</v>
      </c>
      <c r="P940" s="7688">
        <f t="shared" si="237"/>
        <v>1</v>
      </c>
      <c r="Q940" s="7688">
        <f t="shared" si="238"/>
        <v>1</v>
      </c>
    </row>
    <row r="941" spans="2:17">
      <c r="B941" s="7685"/>
      <c r="C941" s="7685"/>
      <c r="D941" s="7685"/>
      <c r="E941" s="7685">
        <f>IF(H940&lt;&gt;"",E940,IF(E940="","",IFERROR(MATCH(TRUE(),INDEX(INDEX($K:$K,E940+1):$K$203&lt;&gt;"",0),0)+E940,"")))</f>
        <v>1116</v>
      </c>
      <c r="F941" s="7686">
        <f t="shared" si="239"/>
        <v>0</v>
      </c>
      <c r="G941" s="7686" t="str">
        <f t="shared" si="231"/>
        <v>0</v>
      </c>
      <c r="H941" s="7687" t="str">
        <f t="shared" si="232"/>
        <v/>
      </c>
      <c r="I941" s="7685" t="str">
        <f t="shared" si="233"/>
        <v/>
      </c>
      <c r="M941" s="7622">
        <f t="shared" si="234"/>
        <v>1</v>
      </c>
      <c r="N941" s="7688">
        <f t="shared" si="235"/>
        <v>924</v>
      </c>
      <c r="O941" s="7661" t="str">
        <f t="shared" si="236"/>
        <v>0</v>
      </c>
      <c r="P941" s="7688">
        <f t="shared" si="237"/>
        <v>1</v>
      </c>
      <c r="Q941" s="7688">
        <f t="shared" si="238"/>
        <v>1</v>
      </c>
    </row>
    <row r="942" spans="2:17">
      <c r="B942" s="7685"/>
      <c r="C942" s="7685"/>
      <c r="D942" s="7685"/>
      <c r="E942" s="7685">
        <f>IF(H941&lt;&gt;"",E941,IF(E941="","",IFERROR(MATCH(TRUE(),INDEX(INDEX($K:$K,E941+1):$K$203&lt;&gt;"",0),0)+E941,"")))</f>
        <v>1117</v>
      </c>
      <c r="F942" s="7686">
        <f t="shared" si="239"/>
        <v>0</v>
      </c>
      <c r="G942" s="7686" t="str">
        <f t="shared" si="231"/>
        <v>0</v>
      </c>
      <c r="H942" s="7687" t="str">
        <f t="shared" si="232"/>
        <v/>
      </c>
      <c r="I942" s="7685" t="str">
        <f t="shared" si="233"/>
        <v/>
      </c>
      <c r="M942" s="7622">
        <f t="shared" si="234"/>
        <v>1</v>
      </c>
      <c r="N942" s="7688">
        <f t="shared" si="235"/>
        <v>925</v>
      </c>
      <c r="O942" s="7661" t="str">
        <f t="shared" si="236"/>
        <v>0</v>
      </c>
      <c r="P942" s="7688">
        <f t="shared" si="237"/>
        <v>1</v>
      </c>
      <c r="Q942" s="7688">
        <f t="shared" si="238"/>
        <v>1</v>
      </c>
    </row>
    <row r="943" spans="2:17">
      <c r="B943" s="7685"/>
      <c r="C943" s="7685"/>
      <c r="D943" s="7685"/>
      <c r="E943" s="7685">
        <f>IF(H942&lt;&gt;"",E942,IF(E942="","",IFERROR(MATCH(TRUE(),INDEX(INDEX($K:$K,E942+1):$K$203&lt;&gt;"",0),0)+E942,"")))</f>
        <v>1118</v>
      </c>
      <c r="F943" s="7686">
        <f t="shared" si="239"/>
        <v>0</v>
      </c>
      <c r="G943" s="7686" t="str">
        <f t="shared" si="231"/>
        <v>0</v>
      </c>
      <c r="H943" s="7687" t="str">
        <f t="shared" si="232"/>
        <v/>
      </c>
      <c r="I943" s="7685" t="str">
        <f t="shared" si="233"/>
        <v/>
      </c>
      <c r="M943" s="7622">
        <f t="shared" si="234"/>
        <v>1</v>
      </c>
      <c r="N943" s="7688">
        <f t="shared" si="235"/>
        <v>926</v>
      </c>
      <c r="O943" s="7661" t="str">
        <f t="shared" si="236"/>
        <v>0</v>
      </c>
      <c r="P943" s="7688">
        <f t="shared" si="237"/>
        <v>1</v>
      </c>
      <c r="Q943" s="7688">
        <f t="shared" si="238"/>
        <v>1</v>
      </c>
    </row>
    <row r="944" spans="2:17">
      <c r="B944" s="7685"/>
      <c r="C944" s="7685"/>
      <c r="D944" s="7685"/>
      <c r="E944" s="7685">
        <f>IF(H943&lt;&gt;"",E943,IF(E943="","",IFERROR(MATCH(TRUE(),INDEX(INDEX($K:$K,E943+1):$K$203&lt;&gt;"",0),0)+E943,"")))</f>
        <v>1119</v>
      </c>
      <c r="F944" s="7686">
        <f t="shared" si="239"/>
        <v>0</v>
      </c>
      <c r="G944" s="7686" t="str">
        <f t="shared" si="231"/>
        <v>0</v>
      </c>
      <c r="H944" s="7687" t="str">
        <f t="shared" si="232"/>
        <v/>
      </c>
      <c r="I944" s="7685" t="str">
        <f t="shared" si="233"/>
        <v/>
      </c>
      <c r="M944" s="7622">
        <f t="shared" si="234"/>
        <v>1</v>
      </c>
      <c r="N944" s="7688">
        <f t="shared" si="235"/>
        <v>927</v>
      </c>
      <c r="O944" s="7661" t="str">
        <f t="shared" si="236"/>
        <v>0</v>
      </c>
      <c r="P944" s="7688">
        <f t="shared" si="237"/>
        <v>1</v>
      </c>
      <c r="Q944" s="7688">
        <f t="shared" si="238"/>
        <v>1</v>
      </c>
    </row>
    <row r="945" spans="2:17">
      <c r="B945" s="7685"/>
      <c r="C945" s="7685"/>
      <c r="D945" s="7685"/>
      <c r="E945" s="7685">
        <f>IF(H944&lt;&gt;"",E944,IF(E944="","",IFERROR(MATCH(TRUE(),INDEX(INDEX($K:$K,E944+1):$K$203&lt;&gt;"",0),0)+E944,"")))</f>
        <v>1120</v>
      </c>
      <c r="F945" s="7686">
        <f t="shared" si="239"/>
        <v>0</v>
      </c>
      <c r="G945" s="7686" t="str">
        <f t="shared" si="231"/>
        <v>0</v>
      </c>
      <c r="H945" s="7687" t="str">
        <f t="shared" si="232"/>
        <v/>
      </c>
      <c r="I945" s="7685" t="str">
        <f t="shared" si="233"/>
        <v/>
      </c>
      <c r="M945" s="7622">
        <f t="shared" si="234"/>
        <v>1</v>
      </c>
      <c r="N945" s="7688">
        <f t="shared" si="235"/>
        <v>928</v>
      </c>
      <c r="O945" s="7661" t="str">
        <f t="shared" si="236"/>
        <v>0</v>
      </c>
      <c r="P945" s="7688">
        <f t="shared" si="237"/>
        <v>1</v>
      </c>
      <c r="Q945" s="7688">
        <f t="shared" si="238"/>
        <v>1</v>
      </c>
    </row>
    <row r="946" spans="2:17">
      <c r="B946" s="7685"/>
      <c r="C946" s="7685"/>
      <c r="D946" s="7685"/>
      <c r="E946" s="7685">
        <f>IF(H945&lt;&gt;"",E945,IF(E945="","",IFERROR(MATCH(TRUE(),INDEX(INDEX($K:$K,E945+1):$K$203&lt;&gt;"",0),0)+E945,"")))</f>
        <v>1121</v>
      </c>
      <c r="F946" s="7686">
        <f t="shared" si="239"/>
        <v>0</v>
      </c>
      <c r="G946" s="7686" t="str">
        <f t="shared" si="231"/>
        <v>0</v>
      </c>
      <c r="H946" s="7687" t="str">
        <f t="shared" si="232"/>
        <v/>
      </c>
      <c r="I946" s="7685" t="str">
        <f t="shared" si="233"/>
        <v/>
      </c>
      <c r="M946" s="7622">
        <f t="shared" si="234"/>
        <v>1</v>
      </c>
      <c r="N946" s="7688">
        <f t="shared" si="235"/>
        <v>929</v>
      </c>
      <c r="O946" s="7661" t="str">
        <f t="shared" si="236"/>
        <v>0</v>
      </c>
      <c r="P946" s="7688">
        <f t="shared" si="237"/>
        <v>1</v>
      </c>
      <c r="Q946" s="7688">
        <f t="shared" si="238"/>
        <v>1</v>
      </c>
    </row>
    <row r="947" spans="2:17">
      <c r="B947" s="7685"/>
      <c r="C947" s="7685"/>
      <c r="D947" s="7685"/>
      <c r="E947" s="7685">
        <f>IF(H946&lt;&gt;"",E946,IF(E946="","",IFERROR(MATCH(TRUE(),INDEX(INDEX($K:$K,E946+1):$K$203&lt;&gt;"",0),0)+E946,"")))</f>
        <v>1122</v>
      </c>
      <c r="F947" s="7686">
        <f t="shared" si="239"/>
        <v>0</v>
      </c>
      <c r="G947" s="7686" t="str">
        <f t="shared" si="231"/>
        <v>0</v>
      </c>
      <c r="H947" s="7687" t="str">
        <f t="shared" si="232"/>
        <v/>
      </c>
      <c r="I947" s="7685" t="str">
        <f t="shared" si="233"/>
        <v/>
      </c>
      <c r="M947" s="7622">
        <f t="shared" si="234"/>
        <v>1</v>
      </c>
      <c r="N947" s="7688">
        <f t="shared" si="235"/>
        <v>930</v>
      </c>
      <c r="O947" s="7661" t="str">
        <f t="shared" si="236"/>
        <v>0</v>
      </c>
      <c r="P947" s="7688">
        <f t="shared" si="237"/>
        <v>1</v>
      </c>
      <c r="Q947" s="7688">
        <f t="shared" si="238"/>
        <v>1</v>
      </c>
    </row>
    <row r="948" spans="2:17">
      <c r="B948" s="7685"/>
      <c r="C948" s="7685"/>
      <c r="D948" s="7685"/>
      <c r="E948" s="7685">
        <f>IF(H947&lt;&gt;"",E947,IF(E947="","",IFERROR(MATCH(TRUE(),INDEX(INDEX($K:$K,E947+1):$K$203&lt;&gt;"",0),0)+E947,"")))</f>
        <v>1123</v>
      </c>
      <c r="F948" s="7686">
        <f t="shared" si="239"/>
        <v>0</v>
      </c>
      <c r="G948" s="7686" t="str">
        <f t="shared" si="231"/>
        <v>0</v>
      </c>
      <c r="H948" s="7687" t="str">
        <f t="shared" si="232"/>
        <v/>
      </c>
      <c r="I948" s="7685" t="str">
        <f t="shared" si="233"/>
        <v/>
      </c>
      <c r="M948" s="7622">
        <f t="shared" si="234"/>
        <v>1</v>
      </c>
      <c r="N948" s="7688">
        <f t="shared" si="235"/>
        <v>931</v>
      </c>
      <c r="O948" s="7661" t="str">
        <f t="shared" si="236"/>
        <v>0</v>
      </c>
      <c r="P948" s="7688">
        <f t="shared" si="237"/>
        <v>1</v>
      </c>
      <c r="Q948" s="7688">
        <f t="shared" si="238"/>
        <v>1</v>
      </c>
    </row>
    <row r="949" spans="2:17">
      <c r="B949" s="7685"/>
      <c r="C949" s="7685"/>
      <c r="D949" s="7685"/>
      <c r="E949" s="7685">
        <f>IF(H948&lt;&gt;"",E948,IF(E948="","",IFERROR(MATCH(TRUE(),INDEX(INDEX($K:$K,E948+1):$K$203&lt;&gt;"",0),0)+E948,"")))</f>
        <v>1124</v>
      </c>
      <c r="F949" s="7686">
        <f t="shared" si="239"/>
        <v>0</v>
      </c>
      <c r="G949" s="7686" t="str">
        <f t="shared" si="231"/>
        <v>0</v>
      </c>
      <c r="H949" s="7687" t="str">
        <f t="shared" si="232"/>
        <v/>
      </c>
      <c r="I949" s="7685" t="str">
        <f t="shared" si="233"/>
        <v/>
      </c>
      <c r="M949" s="7622">
        <f t="shared" si="234"/>
        <v>1</v>
      </c>
      <c r="N949" s="7688">
        <f t="shared" si="235"/>
        <v>932</v>
      </c>
      <c r="O949" s="7661" t="str">
        <f t="shared" si="236"/>
        <v>0</v>
      </c>
      <c r="P949" s="7688">
        <f t="shared" si="237"/>
        <v>1</v>
      </c>
      <c r="Q949" s="7688">
        <f t="shared" si="238"/>
        <v>1</v>
      </c>
    </row>
    <row r="950" spans="2:17">
      <c r="B950" s="7685"/>
      <c r="C950" s="7685"/>
      <c r="D950" s="7685"/>
      <c r="E950" s="7685">
        <f>IF(H949&lt;&gt;"",E949,IF(E949="","",IFERROR(MATCH(TRUE(),INDEX(INDEX($K:$K,E949+1):$K$203&lt;&gt;"",0),0)+E949,"")))</f>
        <v>1125</v>
      </c>
      <c r="F950" s="7686">
        <f t="shared" si="239"/>
        <v>0</v>
      </c>
      <c r="G950" s="7686" t="str">
        <f t="shared" si="231"/>
        <v>0</v>
      </c>
      <c r="H950" s="7687" t="str">
        <f t="shared" si="232"/>
        <v/>
      </c>
      <c r="I950" s="7685" t="str">
        <f t="shared" si="233"/>
        <v/>
      </c>
      <c r="M950" s="7622">
        <f t="shared" si="234"/>
        <v>1</v>
      </c>
      <c r="N950" s="7688">
        <f t="shared" si="235"/>
        <v>933</v>
      </c>
      <c r="O950" s="7661" t="str">
        <f t="shared" si="236"/>
        <v>0</v>
      </c>
      <c r="P950" s="7688">
        <f t="shared" si="237"/>
        <v>1</v>
      </c>
      <c r="Q950" s="7688">
        <f t="shared" si="238"/>
        <v>1</v>
      </c>
    </row>
    <row r="951" spans="2:17">
      <c r="B951" s="7685"/>
      <c r="C951" s="7685"/>
      <c r="D951" s="7685"/>
      <c r="E951" s="7685">
        <f>IF(H950&lt;&gt;"",E950,IF(E950="","",IFERROR(MATCH(TRUE(),INDEX(INDEX($K:$K,E950+1):$K$203&lt;&gt;"",0),0)+E950,"")))</f>
        <v>1126</v>
      </c>
      <c r="F951" s="7686">
        <f t="shared" si="239"/>
        <v>0</v>
      </c>
      <c r="G951" s="7686" t="str">
        <f t="shared" si="231"/>
        <v>0</v>
      </c>
      <c r="H951" s="7687" t="str">
        <f t="shared" si="232"/>
        <v/>
      </c>
      <c r="I951" s="7685" t="str">
        <f t="shared" si="233"/>
        <v/>
      </c>
      <c r="M951" s="7622">
        <f t="shared" si="234"/>
        <v>1</v>
      </c>
      <c r="N951" s="7688">
        <f t="shared" si="235"/>
        <v>934</v>
      </c>
      <c r="O951" s="7661" t="str">
        <f t="shared" si="236"/>
        <v>0</v>
      </c>
      <c r="P951" s="7688">
        <f t="shared" si="237"/>
        <v>1</v>
      </c>
      <c r="Q951" s="7688">
        <f t="shared" si="238"/>
        <v>1</v>
      </c>
    </row>
    <row r="952" spans="2:17">
      <c r="B952" s="7685"/>
      <c r="C952" s="7685"/>
      <c r="D952" s="7685"/>
      <c r="E952" s="7685">
        <f>IF(H951&lt;&gt;"",E951,IF(E951="","",IFERROR(MATCH(TRUE(),INDEX(INDEX($K:$K,E951+1):$K$203&lt;&gt;"",0),0)+E951,"")))</f>
        <v>1127</v>
      </c>
      <c r="F952" s="7686">
        <f t="shared" si="239"/>
        <v>0</v>
      </c>
      <c r="G952" s="7686" t="str">
        <f t="shared" si="231"/>
        <v>0</v>
      </c>
      <c r="H952" s="7687" t="str">
        <f t="shared" si="232"/>
        <v/>
      </c>
      <c r="I952" s="7685" t="str">
        <f t="shared" si="233"/>
        <v/>
      </c>
      <c r="M952" s="7622">
        <f t="shared" si="234"/>
        <v>1</v>
      </c>
      <c r="N952" s="7688">
        <f t="shared" si="235"/>
        <v>935</v>
      </c>
      <c r="O952" s="7661" t="str">
        <f t="shared" si="236"/>
        <v>0</v>
      </c>
      <c r="P952" s="7688">
        <f t="shared" si="237"/>
        <v>1</v>
      </c>
      <c r="Q952" s="7688">
        <f t="shared" si="238"/>
        <v>1</v>
      </c>
    </row>
    <row r="953" spans="2:17">
      <c r="B953" s="7685"/>
      <c r="C953" s="7685"/>
      <c r="D953" s="7685"/>
      <c r="E953" s="7685">
        <f>IF(H952&lt;&gt;"",E952,IF(E952="","",IFERROR(MATCH(TRUE(),INDEX(INDEX($K:$K,E952+1):$K$203&lt;&gt;"",0),0)+E952,"")))</f>
        <v>1128</v>
      </c>
      <c r="F953" s="7686">
        <f t="shared" si="239"/>
        <v>0</v>
      </c>
      <c r="G953" s="7686" t="str">
        <f t="shared" si="231"/>
        <v>0</v>
      </c>
      <c r="H953" s="7687" t="str">
        <f t="shared" si="232"/>
        <v/>
      </c>
      <c r="I953" s="7685" t="str">
        <f t="shared" si="233"/>
        <v/>
      </c>
      <c r="M953" s="7622">
        <f t="shared" si="234"/>
        <v>1</v>
      </c>
      <c r="N953" s="7688">
        <f t="shared" si="235"/>
        <v>936</v>
      </c>
      <c r="O953" s="7661" t="str">
        <f t="shared" si="236"/>
        <v>0</v>
      </c>
      <c r="P953" s="7688">
        <f t="shared" si="237"/>
        <v>1</v>
      </c>
      <c r="Q953" s="7688">
        <f t="shared" si="238"/>
        <v>1</v>
      </c>
    </row>
    <row r="954" spans="2:17">
      <c r="B954" s="7685"/>
      <c r="C954" s="7685"/>
      <c r="D954" s="7685"/>
      <c r="E954" s="7685">
        <f>IF(H953&lt;&gt;"",E953,IF(E953="","",IFERROR(MATCH(TRUE(),INDEX(INDEX($K:$K,E953+1):$K$203&lt;&gt;"",0),0)+E953,"")))</f>
        <v>1129</v>
      </c>
      <c r="F954" s="7686">
        <f t="shared" si="239"/>
        <v>0</v>
      </c>
      <c r="G954" s="7686" t="str">
        <f t="shared" si="231"/>
        <v>0</v>
      </c>
      <c r="H954" s="7687" t="str">
        <f t="shared" si="232"/>
        <v/>
      </c>
      <c r="I954" s="7685" t="str">
        <f t="shared" si="233"/>
        <v/>
      </c>
      <c r="M954" s="7622">
        <f t="shared" si="234"/>
        <v>1</v>
      </c>
      <c r="N954" s="7688">
        <f t="shared" si="235"/>
        <v>937</v>
      </c>
      <c r="O954" s="7661" t="str">
        <f t="shared" si="236"/>
        <v>0</v>
      </c>
      <c r="P954" s="7688">
        <f t="shared" si="237"/>
        <v>1</v>
      </c>
      <c r="Q954" s="7688">
        <f t="shared" si="238"/>
        <v>1</v>
      </c>
    </row>
    <row r="955" spans="2:17">
      <c r="B955" s="7685"/>
      <c r="C955" s="7685"/>
      <c r="D955" s="7685"/>
      <c r="E955" s="7685">
        <f>IF(H954&lt;&gt;"",E954,IF(E954="","",IFERROR(MATCH(TRUE(),INDEX(INDEX($K:$K,E954+1):$K$203&lt;&gt;"",0),0)+E954,"")))</f>
        <v>1130</v>
      </c>
      <c r="F955" s="7686">
        <f t="shared" si="239"/>
        <v>0</v>
      </c>
      <c r="G955" s="7686" t="str">
        <f t="shared" si="231"/>
        <v>0</v>
      </c>
      <c r="H955" s="7687" t="str">
        <f t="shared" si="232"/>
        <v/>
      </c>
      <c r="I955" s="7685" t="str">
        <f t="shared" si="233"/>
        <v/>
      </c>
      <c r="M955" s="7622">
        <f t="shared" si="234"/>
        <v>1</v>
      </c>
      <c r="N955" s="7688">
        <f t="shared" si="235"/>
        <v>938</v>
      </c>
      <c r="O955" s="7661" t="str">
        <f t="shared" si="236"/>
        <v>0</v>
      </c>
      <c r="P955" s="7688">
        <f t="shared" si="237"/>
        <v>1</v>
      </c>
      <c r="Q955" s="7688">
        <f t="shared" si="238"/>
        <v>1</v>
      </c>
    </row>
    <row r="956" spans="2:17">
      <c r="B956" s="7685"/>
      <c r="C956" s="7685"/>
      <c r="D956" s="7685"/>
      <c r="E956" s="7685">
        <f>IF(H955&lt;&gt;"",E955,IF(E955="","",IFERROR(MATCH(TRUE(),INDEX(INDEX($K:$K,E955+1):$K$203&lt;&gt;"",0),0)+E955,"")))</f>
        <v>1131</v>
      </c>
      <c r="F956" s="7686">
        <f t="shared" si="239"/>
        <v>0</v>
      </c>
      <c r="G956" s="7686" t="str">
        <f t="shared" si="231"/>
        <v>0</v>
      </c>
      <c r="H956" s="7687" t="str">
        <f t="shared" si="232"/>
        <v/>
      </c>
      <c r="I956" s="7685" t="str">
        <f t="shared" si="233"/>
        <v/>
      </c>
      <c r="M956" s="7622">
        <f t="shared" si="234"/>
        <v>1</v>
      </c>
      <c r="N956" s="7688">
        <f t="shared" si="235"/>
        <v>939</v>
      </c>
      <c r="O956" s="7661" t="str">
        <f t="shared" si="236"/>
        <v>0</v>
      </c>
      <c r="P956" s="7688">
        <f t="shared" si="237"/>
        <v>1</v>
      </c>
      <c r="Q956" s="7688">
        <f t="shared" si="238"/>
        <v>1</v>
      </c>
    </row>
    <row r="957" spans="2:17">
      <c r="B957" s="7685"/>
      <c r="C957" s="7685"/>
      <c r="D957" s="7685"/>
      <c r="E957" s="7685">
        <f>IF(H956&lt;&gt;"",E956,IF(E956="","",IFERROR(MATCH(TRUE(),INDEX(INDEX($K:$K,E956+1):$K$203&lt;&gt;"",0),0)+E956,"")))</f>
        <v>1132</v>
      </c>
      <c r="F957" s="7686">
        <f t="shared" si="239"/>
        <v>0</v>
      </c>
      <c r="G957" s="7686" t="str">
        <f t="shared" si="231"/>
        <v>0</v>
      </c>
      <c r="H957" s="7687" t="str">
        <f t="shared" si="232"/>
        <v/>
      </c>
      <c r="I957" s="7685" t="str">
        <f t="shared" si="233"/>
        <v/>
      </c>
      <c r="M957" s="7622">
        <f t="shared" si="234"/>
        <v>1</v>
      </c>
      <c r="N957" s="7688">
        <f t="shared" si="235"/>
        <v>940</v>
      </c>
      <c r="O957" s="7661" t="str">
        <f t="shared" si="236"/>
        <v>0</v>
      </c>
      <c r="P957" s="7688">
        <f t="shared" si="237"/>
        <v>1</v>
      </c>
      <c r="Q957" s="7688">
        <f t="shared" si="238"/>
        <v>1</v>
      </c>
    </row>
    <row r="958" spans="2:17">
      <c r="B958" s="7685"/>
      <c r="C958" s="7685"/>
      <c r="D958" s="7685"/>
      <c r="E958" s="7685">
        <f>IF(H957&lt;&gt;"",E957,IF(E957="","",IFERROR(MATCH(TRUE(),INDEX(INDEX($K:$K,E957+1):$K$203&lt;&gt;"",0),0)+E957,"")))</f>
        <v>1133</v>
      </c>
      <c r="F958" s="7686">
        <f t="shared" si="239"/>
        <v>0</v>
      </c>
      <c r="G958" s="7686" t="str">
        <f t="shared" si="231"/>
        <v>0</v>
      </c>
      <c r="H958" s="7687" t="str">
        <f t="shared" si="232"/>
        <v/>
      </c>
      <c r="I958" s="7685" t="str">
        <f t="shared" si="233"/>
        <v/>
      </c>
      <c r="M958" s="7622">
        <f t="shared" si="234"/>
        <v>1</v>
      </c>
      <c r="N958" s="7688">
        <f t="shared" si="235"/>
        <v>941</v>
      </c>
      <c r="O958" s="7661" t="str">
        <f t="shared" si="236"/>
        <v>0</v>
      </c>
      <c r="P958" s="7688">
        <f t="shared" si="237"/>
        <v>1</v>
      </c>
      <c r="Q958" s="7688">
        <f t="shared" si="238"/>
        <v>1</v>
      </c>
    </row>
    <row r="959" spans="2:17">
      <c r="B959" s="7685"/>
      <c r="C959" s="7685"/>
      <c r="D959" s="7685"/>
      <c r="E959" s="7685">
        <f>IF(H958&lt;&gt;"",E958,IF(E958="","",IFERROR(MATCH(TRUE(),INDEX(INDEX($K:$K,E958+1):$K$203&lt;&gt;"",0),0)+E958,"")))</f>
        <v>1134</v>
      </c>
      <c r="F959" s="7686">
        <f t="shared" si="239"/>
        <v>0</v>
      </c>
      <c r="G959" s="7686" t="str">
        <f t="shared" si="231"/>
        <v>0</v>
      </c>
      <c r="H959" s="7687" t="str">
        <f t="shared" si="232"/>
        <v/>
      </c>
      <c r="I959" s="7685" t="str">
        <f t="shared" si="233"/>
        <v/>
      </c>
      <c r="M959" s="7622">
        <f t="shared" si="234"/>
        <v>1</v>
      </c>
      <c r="N959" s="7688">
        <f t="shared" si="235"/>
        <v>942</v>
      </c>
      <c r="O959" s="7661" t="str">
        <f t="shared" si="236"/>
        <v>0</v>
      </c>
      <c r="P959" s="7688">
        <f t="shared" si="237"/>
        <v>1</v>
      </c>
      <c r="Q959" s="7688">
        <f t="shared" si="238"/>
        <v>1</v>
      </c>
    </row>
    <row r="960" spans="2:17">
      <c r="B960" s="7685"/>
      <c r="C960" s="7685"/>
      <c r="D960" s="7685"/>
      <c r="E960" s="7685">
        <f>IF(H959&lt;&gt;"",E959,IF(E959="","",IFERROR(MATCH(TRUE(),INDEX(INDEX($K:$K,E959+1):$K$203&lt;&gt;"",0),0)+E959,"")))</f>
        <v>1135</v>
      </c>
      <c r="F960" s="7686">
        <f t="shared" si="239"/>
        <v>0</v>
      </c>
      <c r="G960" s="7686" t="str">
        <f t="shared" si="231"/>
        <v>0</v>
      </c>
      <c r="H960" s="7687" t="str">
        <f t="shared" si="232"/>
        <v/>
      </c>
      <c r="I960" s="7685" t="str">
        <f t="shared" si="233"/>
        <v/>
      </c>
      <c r="M960" s="7622">
        <f t="shared" si="234"/>
        <v>1</v>
      </c>
      <c r="N960" s="7688">
        <f t="shared" si="235"/>
        <v>943</v>
      </c>
      <c r="O960" s="7661" t="str">
        <f t="shared" si="236"/>
        <v>0</v>
      </c>
      <c r="P960" s="7688">
        <f t="shared" si="237"/>
        <v>1</v>
      </c>
      <c r="Q960" s="7688">
        <f t="shared" si="238"/>
        <v>1</v>
      </c>
    </row>
    <row r="961" spans="2:17">
      <c r="B961" s="7685"/>
      <c r="C961" s="7685"/>
      <c r="D961" s="7685"/>
      <c r="E961" s="7685">
        <f>IF(H960&lt;&gt;"",E960,IF(E960="","",IFERROR(MATCH(TRUE(),INDEX(INDEX($K:$K,E960+1):$K$203&lt;&gt;"",0),0)+E960,"")))</f>
        <v>1136</v>
      </c>
      <c r="F961" s="7686">
        <f t="shared" si="239"/>
        <v>0</v>
      </c>
      <c r="G961" s="7686" t="str">
        <f t="shared" si="231"/>
        <v>0</v>
      </c>
      <c r="H961" s="7687" t="str">
        <f t="shared" si="232"/>
        <v/>
      </c>
      <c r="I961" s="7685" t="str">
        <f t="shared" si="233"/>
        <v/>
      </c>
      <c r="M961" s="7622">
        <f t="shared" si="234"/>
        <v>1</v>
      </c>
      <c r="N961" s="7688">
        <f t="shared" si="235"/>
        <v>944</v>
      </c>
      <c r="O961" s="7661" t="str">
        <f t="shared" si="236"/>
        <v>0</v>
      </c>
      <c r="P961" s="7688">
        <f t="shared" si="237"/>
        <v>1</v>
      </c>
      <c r="Q961" s="7688">
        <f t="shared" si="238"/>
        <v>1</v>
      </c>
    </row>
    <row r="962" spans="2:17">
      <c r="B962" s="7685"/>
      <c r="C962" s="7685"/>
      <c r="D962" s="7685"/>
      <c r="E962" s="7685">
        <f>IF(H961&lt;&gt;"",E961,IF(E961="","",IFERROR(MATCH(TRUE(),INDEX(INDEX($K:$K,E961+1):$K$203&lt;&gt;"",0),0)+E961,"")))</f>
        <v>1137</v>
      </c>
      <c r="F962" s="7686">
        <f t="shared" si="239"/>
        <v>0</v>
      </c>
      <c r="G962" s="7686" t="str">
        <f t="shared" si="231"/>
        <v>0</v>
      </c>
      <c r="H962" s="7687" t="str">
        <f t="shared" si="232"/>
        <v/>
      </c>
      <c r="I962" s="7685" t="str">
        <f t="shared" si="233"/>
        <v/>
      </c>
      <c r="M962" s="7622">
        <f t="shared" si="234"/>
        <v>1</v>
      </c>
      <c r="N962" s="7688">
        <f t="shared" si="235"/>
        <v>945</v>
      </c>
      <c r="O962" s="7661" t="str">
        <f t="shared" si="236"/>
        <v>0</v>
      </c>
      <c r="P962" s="7688">
        <f t="shared" si="237"/>
        <v>1</v>
      </c>
      <c r="Q962" s="7688">
        <f t="shared" si="238"/>
        <v>1</v>
      </c>
    </row>
    <row r="963" spans="2:17">
      <c r="B963" s="7685"/>
      <c r="C963" s="7685"/>
      <c r="D963" s="7685"/>
      <c r="E963" s="7685">
        <f>IF(H962&lt;&gt;"",E962,IF(E962="","",IFERROR(MATCH(TRUE(),INDEX(INDEX($K:$K,E962+1):$K$203&lt;&gt;"",0),0)+E962,"")))</f>
        <v>1138</v>
      </c>
      <c r="F963" s="7686">
        <f t="shared" si="239"/>
        <v>0</v>
      </c>
      <c r="G963" s="7686" t="str">
        <f t="shared" si="231"/>
        <v>0</v>
      </c>
      <c r="H963" s="7687" t="str">
        <f t="shared" si="232"/>
        <v/>
      </c>
      <c r="I963" s="7685" t="str">
        <f t="shared" si="233"/>
        <v/>
      </c>
      <c r="M963" s="7622">
        <f t="shared" si="234"/>
        <v>1</v>
      </c>
      <c r="N963" s="7688">
        <f t="shared" si="235"/>
        <v>946</v>
      </c>
      <c r="O963" s="7661" t="str">
        <f t="shared" si="236"/>
        <v>0</v>
      </c>
      <c r="P963" s="7688">
        <f t="shared" si="237"/>
        <v>1</v>
      </c>
      <c r="Q963" s="7688">
        <f t="shared" si="238"/>
        <v>1</v>
      </c>
    </row>
    <row r="964" spans="2:17">
      <c r="B964" s="7685"/>
      <c r="C964" s="7685"/>
      <c r="D964" s="7685"/>
      <c r="E964" s="7685">
        <f>IF(H963&lt;&gt;"",E963,IF(E963="","",IFERROR(MATCH(TRUE(),INDEX(INDEX($K:$K,E963+1):$K$203&lt;&gt;"",0),0)+E963,"")))</f>
        <v>1139</v>
      </c>
      <c r="F964" s="7686">
        <f t="shared" si="239"/>
        <v>0</v>
      </c>
      <c r="G964" s="7686" t="str">
        <f t="shared" si="231"/>
        <v>0</v>
      </c>
      <c r="H964" s="7687" t="str">
        <f t="shared" si="232"/>
        <v/>
      </c>
      <c r="I964" s="7685" t="str">
        <f t="shared" si="233"/>
        <v/>
      </c>
      <c r="M964" s="7622">
        <f t="shared" si="234"/>
        <v>1</v>
      </c>
      <c r="N964" s="7688">
        <f t="shared" si="235"/>
        <v>947</v>
      </c>
      <c r="O964" s="7661" t="str">
        <f t="shared" si="236"/>
        <v>0</v>
      </c>
      <c r="P964" s="7688">
        <f t="shared" si="237"/>
        <v>1</v>
      </c>
      <c r="Q964" s="7688">
        <f t="shared" si="238"/>
        <v>1</v>
      </c>
    </row>
    <row r="965" spans="2:17">
      <c r="B965" s="7685"/>
      <c r="C965" s="7685"/>
      <c r="D965" s="7685"/>
      <c r="E965" s="7685">
        <f>IF(H964&lt;&gt;"",E964,IF(E964="","",IFERROR(MATCH(TRUE(),INDEX(INDEX($K:$K,E964+1):$K$203&lt;&gt;"",0),0)+E964,"")))</f>
        <v>1140</v>
      </c>
      <c r="F965" s="7686">
        <f t="shared" si="239"/>
        <v>0</v>
      </c>
      <c r="G965" s="7686" t="str">
        <f t="shared" si="231"/>
        <v>0</v>
      </c>
      <c r="H965" s="7687" t="str">
        <f t="shared" si="232"/>
        <v/>
      </c>
      <c r="I965" s="7685" t="str">
        <f t="shared" si="233"/>
        <v/>
      </c>
      <c r="M965" s="7622">
        <f t="shared" si="234"/>
        <v>1</v>
      </c>
      <c r="N965" s="7688">
        <f t="shared" si="235"/>
        <v>948</v>
      </c>
      <c r="O965" s="7661" t="str">
        <f t="shared" si="236"/>
        <v>0</v>
      </c>
      <c r="P965" s="7688">
        <f t="shared" si="237"/>
        <v>1</v>
      </c>
      <c r="Q965" s="7688">
        <f t="shared" si="238"/>
        <v>1</v>
      </c>
    </row>
    <row r="966" spans="2:17">
      <c r="B966" s="7685"/>
      <c r="C966" s="7685"/>
      <c r="D966" s="7685"/>
      <c r="E966" s="7685">
        <f>IF(H965&lt;&gt;"",E965,IF(E965="","",IFERROR(MATCH(TRUE(),INDEX(INDEX($K:$K,E965+1):$K$203&lt;&gt;"",0),0)+E965,"")))</f>
        <v>1141</v>
      </c>
      <c r="F966" s="7686">
        <f t="shared" si="239"/>
        <v>0</v>
      </c>
      <c r="G966" s="7686" t="str">
        <f t="shared" si="231"/>
        <v>0</v>
      </c>
      <c r="H966" s="7687" t="str">
        <f t="shared" si="232"/>
        <v/>
      </c>
      <c r="I966" s="7685" t="str">
        <f t="shared" si="233"/>
        <v/>
      </c>
      <c r="M966" s="7622">
        <f t="shared" si="234"/>
        <v>1</v>
      </c>
      <c r="N966" s="7688">
        <f t="shared" si="235"/>
        <v>949</v>
      </c>
      <c r="O966" s="7661" t="str">
        <f t="shared" si="236"/>
        <v>0</v>
      </c>
      <c r="P966" s="7688">
        <f t="shared" si="237"/>
        <v>1</v>
      </c>
      <c r="Q966" s="7688">
        <f t="shared" si="238"/>
        <v>1</v>
      </c>
    </row>
    <row r="967" spans="2:17">
      <c r="B967" s="7685"/>
      <c r="C967" s="7685"/>
      <c r="D967" s="7685"/>
      <c r="E967" s="7685">
        <f>IF(H966&lt;&gt;"",E966,IF(E966="","",IFERROR(MATCH(TRUE(),INDEX(INDEX($K:$K,E966+1):$K$203&lt;&gt;"",0),0)+E966,"")))</f>
        <v>1142</v>
      </c>
      <c r="F967" s="7686">
        <f t="shared" si="239"/>
        <v>0</v>
      </c>
      <c r="G967" s="7686" t="str">
        <f t="shared" si="231"/>
        <v>0</v>
      </c>
      <c r="H967" s="7687" t="str">
        <f t="shared" si="232"/>
        <v/>
      </c>
      <c r="I967" s="7685" t="str">
        <f t="shared" si="233"/>
        <v/>
      </c>
      <c r="M967" s="7622">
        <f t="shared" si="234"/>
        <v>1</v>
      </c>
      <c r="N967" s="7688">
        <f t="shared" si="235"/>
        <v>950</v>
      </c>
      <c r="O967" s="7661" t="str">
        <f t="shared" si="236"/>
        <v>0</v>
      </c>
      <c r="P967" s="7688">
        <f t="shared" si="237"/>
        <v>1</v>
      </c>
      <c r="Q967" s="7688">
        <f t="shared" si="238"/>
        <v>1</v>
      </c>
    </row>
    <row r="968" spans="2:17">
      <c r="B968" s="7685"/>
      <c r="C968" s="7685"/>
      <c r="D968" s="7685"/>
      <c r="E968" s="7685">
        <f>IF(H967&lt;&gt;"",E967,IF(E967="","",IFERROR(MATCH(TRUE(),INDEX(INDEX($K:$K,E967+1):$K$203&lt;&gt;"",0),0)+E967,"")))</f>
        <v>1143</v>
      </c>
      <c r="F968" s="7686">
        <f t="shared" si="239"/>
        <v>0</v>
      </c>
      <c r="G968" s="7686" t="str">
        <f t="shared" si="231"/>
        <v>0</v>
      </c>
      <c r="H968" s="7687" t="str">
        <f t="shared" si="232"/>
        <v/>
      </c>
      <c r="I968" s="7685" t="str">
        <f t="shared" si="233"/>
        <v/>
      </c>
      <c r="M968" s="7622">
        <f t="shared" si="234"/>
        <v>1</v>
      </c>
      <c r="N968" s="7688">
        <f t="shared" si="235"/>
        <v>951</v>
      </c>
      <c r="O968" s="7661" t="str">
        <f t="shared" si="236"/>
        <v>0</v>
      </c>
      <c r="P968" s="7688">
        <f t="shared" si="237"/>
        <v>1</v>
      </c>
      <c r="Q968" s="7688">
        <f t="shared" si="238"/>
        <v>1</v>
      </c>
    </row>
    <row r="969" spans="2:17">
      <c r="B969" s="7685"/>
      <c r="C969" s="7685"/>
      <c r="D969" s="7685"/>
      <c r="E969" s="7685">
        <f>IF(H968&lt;&gt;"",E968,IF(E968="","",IFERROR(MATCH(TRUE(),INDEX(INDEX($K:$K,E968+1):$K$203&lt;&gt;"",0),0)+E968,"")))</f>
        <v>1144</v>
      </c>
      <c r="F969" s="7686">
        <f t="shared" si="239"/>
        <v>0</v>
      </c>
      <c r="G969" s="7686" t="str">
        <f t="shared" si="231"/>
        <v>0</v>
      </c>
      <c r="H969" s="7687" t="str">
        <f t="shared" si="232"/>
        <v/>
      </c>
      <c r="I969" s="7685" t="str">
        <f t="shared" si="233"/>
        <v/>
      </c>
      <c r="M969" s="7622">
        <f t="shared" si="234"/>
        <v>1</v>
      </c>
      <c r="N969" s="7688">
        <f t="shared" si="235"/>
        <v>952</v>
      </c>
      <c r="O969" s="7661" t="str">
        <f t="shared" si="236"/>
        <v>0</v>
      </c>
      <c r="P969" s="7688">
        <f t="shared" si="237"/>
        <v>1</v>
      </c>
      <c r="Q969" s="7688">
        <f t="shared" si="238"/>
        <v>1</v>
      </c>
    </row>
    <row r="970" spans="2:17">
      <c r="B970" s="7685"/>
      <c r="C970" s="7685"/>
      <c r="D970" s="7685"/>
      <c r="E970" s="7685">
        <f>IF(H969&lt;&gt;"",E969,IF(E969="","",IFERROR(MATCH(TRUE(),INDEX(INDEX($K:$K,E969+1):$K$203&lt;&gt;"",0),0)+E969,"")))</f>
        <v>1145</v>
      </c>
      <c r="F970" s="7686">
        <f t="shared" si="239"/>
        <v>0</v>
      </c>
      <c r="G970" s="7686" t="str">
        <f t="shared" si="231"/>
        <v>0</v>
      </c>
      <c r="H970" s="7687" t="str">
        <f t="shared" si="232"/>
        <v/>
      </c>
      <c r="I970" s="7685" t="str">
        <f t="shared" si="233"/>
        <v/>
      </c>
      <c r="M970" s="7622">
        <f t="shared" si="234"/>
        <v>1</v>
      </c>
      <c r="N970" s="7688">
        <f t="shared" si="235"/>
        <v>953</v>
      </c>
      <c r="O970" s="7661" t="str">
        <f t="shared" si="236"/>
        <v>0</v>
      </c>
      <c r="P970" s="7688">
        <f t="shared" si="237"/>
        <v>1</v>
      </c>
      <c r="Q970" s="7688">
        <f t="shared" si="238"/>
        <v>1</v>
      </c>
    </row>
    <row r="971" spans="2:17">
      <c r="B971" s="7685"/>
      <c r="C971" s="7685"/>
      <c r="D971" s="7685"/>
      <c r="E971" s="7685">
        <f>IF(H970&lt;&gt;"",E970,IF(E970="","",IFERROR(MATCH(TRUE(),INDEX(INDEX($K:$K,E970+1):$K$203&lt;&gt;"",0),0)+E970,"")))</f>
        <v>1146</v>
      </c>
      <c r="F971" s="7686">
        <f t="shared" si="239"/>
        <v>0</v>
      </c>
      <c r="G971" s="7686" t="str">
        <f t="shared" si="231"/>
        <v>0</v>
      </c>
      <c r="H971" s="7687" t="str">
        <f t="shared" si="232"/>
        <v/>
      </c>
      <c r="I971" s="7685" t="str">
        <f t="shared" si="233"/>
        <v/>
      </c>
      <c r="M971" s="7622">
        <f t="shared" si="234"/>
        <v>1</v>
      </c>
      <c r="N971" s="7688">
        <f t="shared" si="235"/>
        <v>954</v>
      </c>
      <c r="O971" s="7661" t="str">
        <f t="shared" si="236"/>
        <v>0</v>
      </c>
      <c r="P971" s="7688">
        <f t="shared" si="237"/>
        <v>1</v>
      </c>
      <c r="Q971" s="7688">
        <f t="shared" si="238"/>
        <v>1</v>
      </c>
    </row>
    <row r="972" spans="2:17">
      <c r="B972" s="7685"/>
      <c r="C972" s="7685"/>
      <c r="D972" s="7685"/>
      <c r="E972" s="7685">
        <f>IF(H971&lt;&gt;"",E971,IF(E971="","",IFERROR(MATCH(TRUE(),INDEX(INDEX($K:$K,E971+1):$K$203&lt;&gt;"",0),0)+E971,"")))</f>
        <v>1147</v>
      </c>
      <c r="F972" s="7686">
        <f t="shared" si="239"/>
        <v>0</v>
      </c>
      <c r="G972" s="7686" t="str">
        <f t="shared" si="231"/>
        <v>0</v>
      </c>
      <c r="H972" s="7687" t="str">
        <f t="shared" si="232"/>
        <v/>
      </c>
      <c r="I972" s="7685" t="str">
        <f t="shared" si="233"/>
        <v/>
      </c>
      <c r="M972" s="7622">
        <f t="shared" si="234"/>
        <v>1</v>
      </c>
      <c r="N972" s="7688">
        <f t="shared" si="235"/>
        <v>955</v>
      </c>
      <c r="O972" s="7661" t="str">
        <f t="shared" si="236"/>
        <v>0</v>
      </c>
      <c r="P972" s="7688">
        <f t="shared" si="237"/>
        <v>1</v>
      </c>
      <c r="Q972" s="7688">
        <f t="shared" si="238"/>
        <v>1</v>
      </c>
    </row>
    <row r="973" spans="2:17">
      <c r="B973" s="7685"/>
      <c r="C973" s="7685"/>
      <c r="D973" s="7685"/>
      <c r="E973" s="7685">
        <f>IF(H972&lt;&gt;"",E972,IF(E972="","",IFERROR(MATCH(TRUE(),INDEX(INDEX($K:$K,E972+1):$K$203&lt;&gt;"",0),0)+E972,"")))</f>
        <v>1148</v>
      </c>
      <c r="F973" s="7686">
        <f t="shared" si="239"/>
        <v>0</v>
      </c>
      <c r="G973" s="7686" t="str">
        <f t="shared" si="231"/>
        <v>0</v>
      </c>
      <c r="H973" s="7687" t="str">
        <f t="shared" si="232"/>
        <v/>
      </c>
      <c r="I973" s="7685" t="str">
        <f t="shared" si="233"/>
        <v/>
      </c>
      <c r="M973" s="7622">
        <f t="shared" si="234"/>
        <v>1</v>
      </c>
      <c r="N973" s="7688">
        <f t="shared" si="235"/>
        <v>956</v>
      </c>
      <c r="O973" s="7661" t="str">
        <f t="shared" si="236"/>
        <v>0</v>
      </c>
      <c r="P973" s="7688">
        <f t="shared" si="237"/>
        <v>1</v>
      </c>
      <c r="Q973" s="7688">
        <f t="shared" si="238"/>
        <v>1</v>
      </c>
    </row>
    <row r="974" spans="2:17">
      <c r="B974" s="7685"/>
      <c r="C974" s="7685"/>
      <c r="D974" s="7685"/>
      <c r="E974" s="7685">
        <f>IF(H973&lt;&gt;"",E973,IF(E973="","",IFERROR(MATCH(TRUE(),INDEX(INDEX($K:$K,E973+1):$K$203&lt;&gt;"",0),0)+E973,"")))</f>
        <v>1149</v>
      </c>
      <c r="F974" s="7686">
        <f t="shared" si="239"/>
        <v>0</v>
      </c>
      <c r="G974" s="7686" t="str">
        <f t="shared" si="231"/>
        <v>0</v>
      </c>
      <c r="H974" s="7687" t="str">
        <f t="shared" si="232"/>
        <v/>
      </c>
      <c r="I974" s="7685" t="str">
        <f t="shared" si="233"/>
        <v/>
      </c>
      <c r="M974" s="7622">
        <f t="shared" si="234"/>
        <v>1</v>
      </c>
      <c r="N974" s="7688">
        <f t="shared" si="235"/>
        <v>957</v>
      </c>
      <c r="O974" s="7661" t="str">
        <f t="shared" si="236"/>
        <v>0</v>
      </c>
      <c r="P974" s="7688">
        <f t="shared" si="237"/>
        <v>1</v>
      </c>
      <c r="Q974" s="7688">
        <f t="shared" si="238"/>
        <v>1</v>
      </c>
    </row>
    <row r="975" spans="2:17">
      <c r="B975" s="7685"/>
      <c r="C975" s="7685"/>
      <c r="D975" s="7685"/>
      <c r="E975" s="7685">
        <f>IF(H974&lt;&gt;"",E974,IF(E974="","",IFERROR(MATCH(TRUE(),INDEX(INDEX($K:$K,E974+1):$K$203&lt;&gt;"",0),0)+E974,"")))</f>
        <v>1150</v>
      </c>
      <c r="F975" s="7686">
        <f t="shared" si="239"/>
        <v>0</v>
      </c>
      <c r="G975" s="7686" t="str">
        <f t="shared" si="231"/>
        <v>0</v>
      </c>
      <c r="H975" s="7687" t="str">
        <f t="shared" si="232"/>
        <v/>
      </c>
      <c r="I975" s="7685" t="str">
        <f t="shared" si="233"/>
        <v/>
      </c>
      <c r="M975" s="7622">
        <f t="shared" si="234"/>
        <v>1</v>
      </c>
      <c r="N975" s="7688">
        <f t="shared" si="235"/>
        <v>958</v>
      </c>
      <c r="O975" s="7661" t="str">
        <f t="shared" si="236"/>
        <v>0</v>
      </c>
      <c r="P975" s="7688">
        <f t="shared" si="237"/>
        <v>1</v>
      </c>
      <c r="Q975" s="7688">
        <f t="shared" si="238"/>
        <v>1</v>
      </c>
    </row>
    <row r="976" spans="2:17">
      <c r="B976" s="7685"/>
      <c r="C976" s="7685"/>
      <c r="D976" s="7685"/>
      <c r="E976" s="7685">
        <f>IF(H975&lt;&gt;"",E975,IF(E975="","",IFERROR(MATCH(TRUE(),INDEX(INDEX($K:$K,E975+1):$K$203&lt;&gt;"",0),0)+E975,"")))</f>
        <v>1151</v>
      </c>
      <c r="F976" s="7686">
        <f t="shared" si="239"/>
        <v>0</v>
      </c>
      <c r="G976" s="7686" t="str">
        <f t="shared" si="231"/>
        <v>0</v>
      </c>
      <c r="H976" s="7687" t="str">
        <f t="shared" si="232"/>
        <v/>
      </c>
      <c r="I976" s="7685" t="str">
        <f t="shared" si="233"/>
        <v/>
      </c>
      <c r="M976" s="7622">
        <f t="shared" si="234"/>
        <v>1</v>
      </c>
      <c r="N976" s="7688">
        <f t="shared" si="235"/>
        <v>959</v>
      </c>
      <c r="O976" s="7661" t="str">
        <f t="shared" si="236"/>
        <v>0</v>
      </c>
      <c r="P976" s="7688">
        <f t="shared" si="237"/>
        <v>1</v>
      </c>
      <c r="Q976" s="7688">
        <f t="shared" si="238"/>
        <v>1</v>
      </c>
    </row>
    <row r="977" spans="2:17">
      <c r="B977" s="7685"/>
      <c r="C977" s="7685"/>
      <c r="D977" s="7685"/>
      <c r="E977" s="7685">
        <f>IF(H976&lt;&gt;"",E976,IF(E976="","",IFERROR(MATCH(TRUE(),INDEX(INDEX($K:$K,E976+1):$K$203&lt;&gt;"",0),0)+E976,"")))</f>
        <v>1152</v>
      </c>
      <c r="F977" s="7686">
        <f t="shared" si="239"/>
        <v>0</v>
      </c>
      <c r="G977" s="7686" t="str">
        <f t="shared" si="231"/>
        <v>0</v>
      </c>
      <c r="H977" s="7687" t="str">
        <f t="shared" si="232"/>
        <v/>
      </c>
      <c r="I977" s="7685" t="str">
        <f t="shared" si="233"/>
        <v/>
      </c>
      <c r="M977" s="7622">
        <f t="shared" si="234"/>
        <v>1</v>
      </c>
      <c r="N977" s="7688">
        <f t="shared" si="235"/>
        <v>960</v>
      </c>
      <c r="O977" s="7661" t="str">
        <f t="shared" si="236"/>
        <v>0</v>
      </c>
      <c r="P977" s="7688">
        <f t="shared" si="237"/>
        <v>1</v>
      </c>
      <c r="Q977" s="7688">
        <f t="shared" si="238"/>
        <v>1</v>
      </c>
    </row>
    <row r="978" spans="2:17">
      <c r="B978" s="7685"/>
      <c r="C978" s="7685"/>
      <c r="D978" s="7685"/>
      <c r="E978" s="7685">
        <f>IF(H977&lt;&gt;"",E977,IF(E977="","",IFERROR(MATCH(TRUE(),INDEX(INDEX($K:$K,E977+1):$K$203&lt;&gt;"",0),0)+E977,"")))</f>
        <v>1153</v>
      </c>
      <c r="F978" s="7686">
        <f t="shared" si="239"/>
        <v>0</v>
      </c>
      <c r="G978" s="7686" t="str">
        <f t="shared" ref="G978:G1017" si="240">IF(OR(F978="",M978=""),"",LEFT(F978,M978))</f>
        <v>0</v>
      </c>
      <c r="H978" s="7687" t="str">
        <f t="shared" ref="H978:H1017" si="241">IF(OR(F978="",M978=""),"",TRIM(MID(F978,M978+1,99999)))</f>
        <v/>
      </c>
      <c r="I978" s="7685" t="str">
        <f t="shared" ref="I978:I1017" si="242">IF(AND(F978&lt;&gt;"",$N$10&gt;0,M978&gt;$N$10),"Mot &gt; limite","")</f>
        <v/>
      </c>
      <c r="M978" s="7622">
        <f t="shared" ref="M978:M1017" si="243">IF(OR(F978="",$N$10="",$N$10&lt;=0),"",IF(LEN(F978)&lt;=$N$10,LEN(F978),IFERROR(FIND("♦",SUBSTITUTE(LEFT(F978,$N$10)," ","♦",LEN(LEFT(F978,$N$10))-LEN(SUBSTITUTE(LEFT(F978,$N$10)," ","")))),FIND(" ",F978&amp;" ",$N$10+1)-1)))</f>
        <v>1</v>
      </c>
      <c r="N978" s="7688">
        <f t="shared" ref="N978:N1017" si="244">IF(O978="","",ROW()-17)</f>
        <v>961</v>
      </c>
      <c r="O978" s="7661" t="str">
        <f t="shared" ref="O978:O1017" si="245">G978</f>
        <v>0</v>
      </c>
      <c r="P978" s="7688">
        <f t="shared" ref="P978:P1017" si="246">IF(O978="","",LEN(TRIM(O978))-LEN(SUBSTITUTE(TRIM(O978)," ",""))+1)</f>
        <v>1</v>
      </c>
      <c r="Q978" s="7688">
        <f t="shared" ref="Q978:Q1017" si="247">IF(O978="","",LEN(O978))</f>
        <v>1</v>
      </c>
    </row>
    <row r="979" spans="2:17">
      <c r="B979" s="7685"/>
      <c r="C979" s="7685"/>
      <c r="D979" s="7685"/>
      <c r="E979" s="7685">
        <f>IF(H978&lt;&gt;"",E978,IF(E978="","",IFERROR(MATCH(TRUE(),INDEX(INDEX($K:$K,E978+1):$K$203&lt;&gt;"",0),0)+E978,"")))</f>
        <v>1154</v>
      </c>
      <c r="F979" s="7686">
        <f t="shared" ref="F979:F1017" si="248">IF(E979="","",IF(H978&lt;&gt;"",H978,INDEX($D:$D,E979)))</f>
        <v>0</v>
      </c>
      <c r="G979" s="7686" t="str">
        <f t="shared" si="240"/>
        <v>0</v>
      </c>
      <c r="H979" s="7687" t="str">
        <f t="shared" si="241"/>
        <v/>
      </c>
      <c r="I979" s="7685" t="str">
        <f t="shared" si="242"/>
        <v/>
      </c>
      <c r="M979" s="7622">
        <f t="shared" si="243"/>
        <v>1</v>
      </c>
      <c r="N979" s="7688">
        <f t="shared" si="244"/>
        <v>962</v>
      </c>
      <c r="O979" s="7661" t="str">
        <f t="shared" si="245"/>
        <v>0</v>
      </c>
      <c r="P979" s="7688">
        <f t="shared" si="246"/>
        <v>1</v>
      </c>
      <c r="Q979" s="7688">
        <f t="shared" si="247"/>
        <v>1</v>
      </c>
    </row>
    <row r="980" spans="2:17">
      <c r="B980" s="7685"/>
      <c r="C980" s="7685"/>
      <c r="D980" s="7685"/>
      <c r="E980" s="7685">
        <f>IF(H979&lt;&gt;"",E979,IF(E979="","",IFERROR(MATCH(TRUE(),INDEX(INDEX($K:$K,E979+1):$K$203&lt;&gt;"",0),0)+E979,"")))</f>
        <v>1155</v>
      </c>
      <c r="F980" s="7686">
        <f t="shared" si="248"/>
        <v>0</v>
      </c>
      <c r="G980" s="7686" t="str">
        <f t="shared" si="240"/>
        <v>0</v>
      </c>
      <c r="H980" s="7687" t="str">
        <f t="shared" si="241"/>
        <v/>
      </c>
      <c r="I980" s="7685" t="str">
        <f t="shared" si="242"/>
        <v/>
      </c>
      <c r="M980" s="7622">
        <f t="shared" si="243"/>
        <v>1</v>
      </c>
      <c r="N980" s="7688">
        <f t="shared" si="244"/>
        <v>963</v>
      </c>
      <c r="O980" s="7661" t="str">
        <f t="shared" si="245"/>
        <v>0</v>
      </c>
      <c r="P980" s="7688">
        <f t="shared" si="246"/>
        <v>1</v>
      </c>
      <c r="Q980" s="7688">
        <f t="shared" si="247"/>
        <v>1</v>
      </c>
    </row>
    <row r="981" spans="2:17">
      <c r="B981" s="7685"/>
      <c r="C981" s="7685"/>
      <c r="D981" s="7685"/>
      <c r="E981" s="7685">
        <f>IF(H980&lt;&gt;"",E980,IF(E980="","",IFERROR(MATCH(TRUE(),INDEX(INDEX($K:$K,E980+1):$K$203&lt;&gt;"",0),0)+E980,"")))</f>
        <v>1156</v>
      </c>
      <c r="F981" s="7686">
        <f t="shared" si="248"/>
        <v>0</v>
      </c>
      <c r="G981" s="7686" t="str">
        <f t="shared" si="240"/>
        <v>0</v>
      </c>
      <c r="H981" s="7687" t="str">
        <f t="shared" si="241"/>
        <v/>
      </c>
      <c r="I981" s="7685" t="str">
        <f t="shared" si="242"/>
        <v/>
      </c>
      <c r="M981" s="7622">
        <f t="shared" si="243"/>
        <v>1</v>
      </c>
      <c r="N981" s="7688">
        <f t="shared" si="244"/>
        <v>964</v>
      </c>
      <c r="O981" s="7661" t="str">
        <f t="shared" si="245"/>
        <v>0</v>
      </c>
      <c r="P981" s="7688">
        <f t="shared" si="246"/>
        <v>1</v>
      </c>
      <c r="Q981" s="7688">
        <f t="shared" si="247"/>
        <v>1</v>
      </c>
    </row>
    <row r="982" spans="2:17">
      <c r="B982" s="7685"/>
      <c r="C982" s="7685"/>
      <c r="D982" s="7685"/>
      <c r="E982" s="7685">
        <f>IF(H981&lt;&gt;"",E981,IF(E981="","",IFERROR(MATCH(TRUE(),INDEX(INDEX($K:$K,E981+1):$K$203&lt;&gt;"",0),0)+E981,"")))</f>
        <v>1157</v>
      </c>
      <c r="F982" s="7686">
        <f t="shared" si="248"/>
        <v>0</v>
      </c>
      <c r="G982" s="7686" t="str">
        <f t="shared" si="240"/>
        <v>0</v>
      </c>
      <c r="H982" s="7687" t="str">
        <f t="shared" si="241"/>
        <v/>
      </c>
      <c r="I982" s="7685" t="str">
        <f t="shared" si="242"/>
        <v/>
      </c>
      <c r="M982" s="7622">
        <f t="shared" si="243"/>
        <v>1</v>
      </c>
      <c r="N982" s="7688">
        <f t="shared" si="244"/>
        <v>965</v>
      </c>
      <c r="O982" s="7661" t="str">
        <f t="shared" si="245"/>
        <v>0</v>
      </c>
      <c r="P982" s="7688">
        <f t="shared" si="246"/>
        <v>1</v>
      </c>
      <c r="Q982" s="7688">
        <f t="shared" si="247"/>
        <v>1</v>
      </c>
    </row>
    <row r="983" spans="2:17">
      <c r="B983" s="7685"/>
      <c r="C983" s="7685"/>
      <c r="D983" s="7685"/>
      <c r="E983" s="7685">
        <f>IF(H982&lt;&gt;"",E982,IF(E982="","",IFERROR(MATCH(TRUE(),INDEX(INDEX($K:$K,E982+1):$K$203&lt;&gt;"",0),0)+E982,"")))</f>
        <v>1158</v>
      </c>
      <c r="F983" s="7686">
        <f t="shared" si="248"/>
        <v>0</v>
      </c>
      <c r="G983" s="7686" t="str">
        <f t="shared" si="240"/>
        <v>0</v>
      </c>
      <c r="H983" s="7687" t="str">
        <f t="shared" si="241"/>
        <v/>
      </c>
      <c r="I983" s="7685" t="str">
        <f t="shared" si="242"/>
        <v/>
      </c>
      <c r="M983" s="7622">
        <f t="shared" si="243"/>
        <v>1</v>
      </c>
      <c r="N983" s="7688">
        <f t="shared" si="244"/>
        <v>966</v>
      </c>
      <c r="O983" s="7661" t="str">
        <f t="shared" si="245"/>
        <v>0</v>
      </c>
      <c r="P983" s="7688">
        <f t="shared" si="246"/>
        <v>1</v>
      </c>
      <c r="Q983" s="7688">
        <f t="shared" si="247"/>
        <v>1</v>
      </c>
    </row>
    <row r="984" spans="2:17">
      <c r="B984" s="7685"/>
      <c r="C984" s="7685"/>
      <c r="D984" s="7685"/>
      <c r="E984" s="7685">
        <f>IF(H983&lt;&gt;"",E983,IF(E983="","",IFERROR(MATCH(TRUE(),INDEX(INDEX($K:$K,E983+1):$K$203&lt;&gt;"",0),0)+E983,"")))</f>
        <v>1159</v>
      </c>
      <c r="F984" s="7686">
        <f t="shared" si="248"/>
        <v>0</v>
      </c>
      <c r="G984" s="7686" t="str">
        <f t="shared" si="240"/>
        <v>0</v>
      </c>
      <c r="H984" s="7687" t="str">
        <f t="shared" si="241"/>
        <v/>
      </c>
      <c r="I984" s="7685" t="str">
        <f t="shared" si="242"/>
        <v/>
      </c>
      <c r="M984" s="7622">
        <f t="shared" si="243"/>
        <v>1</v>
      </c>
      <c r="N984" s="7688">
        <f t="shared" si="244"/>
        <v>967</v>
      </c>
      <c r="O984" s="7661" t="str">
        <f t="shared" si="245"/>
        <v>0</v>
      </c>
      <c r="P984" s="7688">
        <f t="shared" si="246"/>
        <v>1</v>
      </c>
      <c r="Q984" s="7688">
        <f t="shared" si="247"/>
        <v>1</v>
      </c>
    </row>
    <row r="985" spans="2:17">
      <c r="B985" s="7685"/>
      <c r="C985" s="7685"/>
      <c r="D985" s="7685"/>
      <c r="E985" s="7685">
        <f>IF(H984&lt;&gt;"",E984,IF(E984="","",IFERROR(MATCH(TRUE(),INDEX(INDEX($K:$K,E984+1):$K$203&lt;&gt;"",0),0)+E984,"")))</f>
        <v>1160</v>
      </c>
      <c r="F985" s="7686">
        <f t="shared" si="248"/>
        <v>0</v>
      </c>
      <c r="G985" s="7686" t="str">
        <f t="shared" si="240"/>
        <v>0</v>
      </c>
      <c r="H985" s="7687" t="str">
        <f t="shared" si="241"/>
        <v/>
      </c>
      <c r="I985" s="7685" t="str">
        <f t="shared" si="242"/>
        <v/>
      </c>
      <c r="M985" s="7622">
        <f t="shared" si="243"/>
        <v>1</v>
      </c>
      <c r="N985" s="7688">
        <f t="shared" si="244"/>
        <v>968</v>
      </c>
      <c r="O985" s="7661" t="str">
        <f t="shared" si="245"/>
        <v>0</v>
      </c>
      <c r="P985" s="7688">
        <f t="shared" si="246"/>
        <v>1</v>
      </c>
      <c r="Q985" s="7688">
        <f t="shared" si="247"/>
        <v>1</v>
      </c>
    </row>
    <row r="986" spans="2:17">
      <c r="B986" s="7685"/>
      <c r="C986" s="7685"/>
      <c r="D986" s="7685"/>
      <c r="E986" s="7685">
        <f>IF(H985&lt;&gt;"",E985,IF(E985="","",IFERROR(MATCH(TRUE(),INDEX(INDEX($K:$K,E985+1):$K$203&lt;&gt;"",0),0)+E985,"")))</f>
        <v>1161</v>
      </c>
      <c r="F986" s="7686">
        <f t="shared" si="248"/>
        <v>0</v>
      </c>
      <c r="G986" s="7686" t="str">
        <f t="shared" si="240"/>
        <v>0</v>
      </c>
      <c r="H986" s="7687" t="str">
        <f t="shared" si="241"/>
        <v/>
      </c>
      <c r="I986" s="7685" t="str">
        <f t="shared" si="242"/>
        <v/>
      </c>
      <c r="M986" s="7622">
        <f t="shared" si="243"/>
        <v>1</v>
      </c>
      <c r="N986" s="7688">
        <f t="shared" si="244"/>
        <v>969</v>
      </c>
      <c r="O986" s="7661" t="str">
        <f t="shared" si="245"/>
        <v>0</v>
      </c>
      <c r="P986" s="7688">
        <f t="shared" si="246"/>
        <v>1</v>
      </c>
      <c r="Q986" s="7688">
        <f t="shared" si="247"/>
        <v>1</v>
      </c>
    </row>
    <row r="987" spans="2:17">
      <c r="B987" s="7685"/>
      <c r="C987" s="7685"/>
      <c r="D987" s="7685"/>
      <c r="E987" s="7685">
        <f>IF(H986&lt;&gt;"",E986,IF(E986="","",IFERROR(MATCH(TRUE(),INDEX(INDEX($K:$K,E986+1):$K$203&lt;&gt;"",0),0)+E986,"")))</f>
        <v>1162</v>
      </c>
      <c r="F987" s="7686">
        <f t="shared" si="248"/>
        <v>0</v>
      </c>
      <c r="G987" s="7686" t="str">
        <f t="shared" si="240"/>
        <v>0</v>
      </c>
      <c r="H987" s="7687" t="str">
        <f t="shared" si="241"/>
        <v/>
      </c>
      <c r="I987" s="7685" t="str">
        <f t="shared" si="242"/>
        <v/>
      </c>
      <c r="M987" s="7622">
        <f t="shared" si="243"/>
        <v>1</v>
      </c>
      <c r="N987" s="7688">
        <f t="shared" si="244"/>
        <v>970</v>
      </c>
      <c r="O987" s="7661" t="str">
        <f t="shared" si="245"/>
        <v>0</v>
      </c>
      <c r="P987" s="7688">
        <f t="shared" si="246"/>
        <v>1</v>
      </c>
      <c r="Q987" s="7688">
        <f t="shared" si="247"/>
        <v>1</v>
      </c>
    </row>
    <row r="988" spans="2:17">
      <c r="B988" s="7685"/>
      <c r="C988" s="7685"/>
      <c r="D988" s="7685"/>
      <c r="E988" s="7685">
        <f>IF(H987&lt;&gt;"",E987,IF(E987="","",IFERROR(MATCH(TRUE(),INDEX(INDEX($K:$K,E987+1):$K$203&lt;&gt;"",0),0)+E987,"")))</f>
        <v>1163</v>
      </c>
      <c r="F988" s="7686">
        <f t="shared" si="248"/>
        <v>0</v>
      </c>
      <c r="G988" s="7686" t="str">
        <f t="shared" si="240"/>
        <v>0</v>
      </c>
      <c r="H988" s="7687" t="str">
        <f t="shared" si="241"/>
        <v/>
      </c>
      <c r="I988" s="7685" t="str">
        <f t="shared" si="242"/>
        <v/>
      </c>
      <c r="M988" s="7622">
        <f t="shared" si="243"/>
        <v>1</v>
      </c>
      <c r="N988" s="7688">
        <f t="shared" si="244"/>
        <v>971</v>
      </c>
      <c r="O988" s="7661" t="str">
        <f t="shared" si="245"/>
        <v>0</v>
      </c>
      <c r="P988" s="7688">
        <f t="shared" si="246"/>
        <v>1</v>
      </c>
      <c r="Q988" s="7688">
        <f t="shared" si="247"/>
        <v>1</v>
      </c>
    </row>
    <row r="989" spans="2:17">
      <c r="B989" s="7685"/>
      <c r="C989" s="7685"/>
      <c r="D989" s="7685"/>
      <c r="E989" s="7685">
        <f>IF(H988&lt;&gt;"",E988,IF(E988="","",IFERROR(MATCH(TRUE(),INDEX(INDEX($K:$K,E988+1):$K$203&lt;&gt;"",0),0)+E988,"")))</f>
        <v>1164</v>
      </c>
      <c r="F989" s="7686">
        <f t="shared" si="248"/>
        <v>0</v>
      </c>
      <c r="G989" s="7686" t="str">
        <f t="shared" si="240"/>
        <v>0</v>
      </c>
      <c r="H989" s="7687" t="str">
        <f t="shared" si="241"/>
        <v/>
      </c>
      <c r="I989" s="7685" t="str">
        <f t="shared" si="242"/>
        <v/>
      </c>
      <c r="M989" s="7622">
        <f t="shared" si="243"/>
        <v>1</v>
      </c>
      <c r="N989" s="7688">
        <f t="shared" si="244"/>
        <v>972</v>
      </c>
      <c r="O989" s="7661" t="str">
        <f t="shared" si="245"/>
        <v>0</v>
      </c>
      <c r="P989" s="7688">
        <f t="shared" si="246"/>
        <v>1</v>
      </c>
      <c r="Q989" s="7688">
        <f t="shared" si="247"/>
        <v>1</v>
      </c>
    </row>
    <row r="990" spans="2:17">
      <c r="B990" s="7685"/>
      <c r="C990" s="7685"/>
      <c r="D990" s="7685"/>
      <c r="E990" s="7685">
        <f>IF(H989&lt;&gt;"",E989,IF(E989="","",IFERROR(MATCH(TRUE(),INDEX(INDEX($K:$K,E989+1):$K$203&lt;&gt;"",0),0)+E989,"")))</f>
        <v>1165</v>
      </c>
      <c r="F990" s="7686">
        <f t="shared" si="248"/>
        <v>0</v>
      </c>
      <c r="G990" s="7686" t="str">
        <f t="shared" si="240"/>
        <v>0</v>
      </c>
      <c r="H990" s="7687" t="str">
        <f t="shared" si="241"/>
        <v/>
      </c>
      <c r="I990" s="7685" t="str">
        <f t="shared" si="242"/>
        <v/>
      </c>
      <c r="M990" s="7622">
        <f t="shared" si="243"/>
        <v>1</v>
      </c>
      <c r="N990" s="7688">
        <f t="shared" si="244"/>
        <v>973</v>
      </c>
      <c r="O990" s="7661" t="str">
        <f t="shared" si="245"/>
        <v>0</v>
      </c>
      <c r="P990" s="7688">
        <f t="shared" si="246"/>
        <v>1</v>
      </c>
      <c r="Q990" s="7688">
        <f t="shared" si="247"/>
        <v>1</v>
      </c>
    </row>
    <row r="991" spans="2:17">
      <c r="B991" s="7685"/>
      <c r="C991" s="7685"/>
      <c r="D991" s="7685"/>
      <c r="E991" s="7685">
        <f>IF(H990&lt;&gt;"",E990,IF(E990="","",IFERROR(MATCH(TRUE(),INDEX(INDEX($K:$K,E990+1):$K$203&lt;&gt;"",0),0)+E990,"")))</f>
        <v>1166</v>
      </c>
      <c r="F991" s="7686">
        <f t="shared" si="248"/>
        <v>0</v>
      </c>
      <c r="G991" s="7686" t="str">
        <f t="shared" si="240"/>
        <v>0</v>
      </c>
      <c r="H991" s="7687" t="str">
        <f t="shared" si="241"/>
        <v/>
      </c>
      <c r="I991" s="7685" t="str">
        <f t="shared" si="242"/>
        <v/>
      </c>
      <c r="M991" s="7622">
        <f t="shared" si="243"/>
        <v>1</v>
      </c>
      <c r="N991" s="7688">
        <f t="shared" si="244"/>
        <v>974</v>
      </c>
      <c r="O991" s="7661" t="str">
        <f t="shared" si="245"/>
        <v>0</v>
      </c>
      <c r="P991" s="7688">
        <f t="shared" si="246"/>
        <v>1</v>
      </c>
      <c r="Q991" s="7688">
        <f t="shared" si="247"/>
        <v>1</v>
      </c>
    </row>
    <row r="992" spans="2:17">
      <c r="B992" s="7685"/>
      <c r="C992" s="7685"/>
      <c r="D992" s="7685"/>
      <c r="E992" s="7685">
        <f>IF(H991&lt;&gt;"",E991,IF(E991="","",IFERROR(MATCH(TRUE(),INDEX(INDEX($K:$K,E991+1):$K$203&lt;&gt;"",0),0)+E991,"")))</f>
        <v>1167</v>
      </c>
      <c r="F992" s="7686">
        <f t="shared" si="248"/>
        <v>0</v>
      </c>
      <c r="G992" s="7686" t="str">
        <f t="shared" si="240"/>
        <v>0</v>
      </c>
      <c r="H992" s="7687" t="str">
        <f t="shared" si="241"/>
        <v/>
      </c>
      <c r="I992" s="7685" t="str">
        <f t="shared" si="242"/>
        <v/>
      </c>
      <c r="M992" s="7622">
        <f t="shared" si="243"/>
        <v>1</v>
      </c>
      <c r="N992" s="7688">
        <f t="shared" si="244"/>
        <v>975</v>
      </c>
      <c r="O992" s="7661" t="str">
        <f t="shared" si="245"/>
        <v>0</v>
      </c>
      <c r="P992" s="7688">
        <f t="shared" si="246"/>
        <v>1</v>
      </c>
      <c r="Q992" s="7688">
        <f t="shared" si="247"/>
        <v>1</v>
      </c>
    </row>
    <row r="993" spans="2:17">
      <c r="B993" s="7685"/>
      <c r="C993" s="7685"/>
      <c r="D993" s="7685"/>
      <c r="E993" s="7685">
        <f>IF(H992&lt;&gt;"",E992,IF(E992="","",IFERROR(MATCH(TRUE(),INDEX(INDEX($K:$K,E992+1):$K$203&lt;&gt;"",0),0)+E992,"")))</f>
        <v>1168</v>
      </c>
      <c r="F993" s="7686">
        <f t="shared" si="248"/>
        <v>0</v>
      </c>
      <c r="G993" s="7686" t="str">
        <f t="shared" si="240"/>
        <v>0</v>
      </c>
      <c r="H993" s="7687" t="str">
        <f t="shared" si="241"/>
        <v/>
      </c>
      <c r="I993" s="7685" t="str">
        <f t="shared" si="242"/>
        <v/>
      </c>
      <c r="M993" s="7622">
        <f t="shared" si="243"/>
        <v>1</v>
      </c>
      <c r="N993" s="7688">
        <f t="shared" si="244"/>
        <v>976</v>
      </c>
      <c r="O993" s="7661" t="str">
        <f t="shared" si="245"/>
        <v>0</v>
      </c>
      <c r="P993" s="7688">
        <f t="shared" si="246"/>
        <v>1</v>
      </c>
      <c r="Q993" s="7688">
        <f t="shared" si="247"/>
        <v>1</v>
      </c>
    </row>
    <row r="994" spans="2:17">
      <c r="B994" s="7685"/>
      <c r="C994" s="7685"/>
      <c r="D994" s="7685"/>
      <c r="E994" s="7685">
        <f>IF(H993&lt;&gt;"",E993,IF(E993="","",IFERROR(MATCH(TRUE(),INDEX(INDEX($K:$K,E993+1):$K$203&lt;&gt;"",0),0)+E993,"")))</f>
        <v>1169</v>
      </c>
      <c r="F994" s="7686">
        <f t="shared" si="248"/>
        <v>0</v>
      </c>
      <c r="G994" s="7686" t="str">
        <f t="shared" si="240"/>
        <v>0</v>
      </c>
      <c r="H994" s="7687" t="str">
        <f t="shared" si="241"/>
        <v/>
      </c>
      <c r="I994" s="7685" t="str">
        <f t="shared" si="242"/>
        <v/>
      </c>
      <c r="M994" s="7622">
        <f t="shared" si="243"/>
        <v>1</v>
      </c>
      <c r="N994" s="7688">
        <f t="shared" si="244"/>
        <v>977</v>
      </c>
      <c r="O994" s="7661" t="str">
        <f t="shared" si="245"/>
        <v>0</v>
      </c>
      <c r="P994" s="7688">
        <f t="shared" si="246"/>
        <v>1</v>
      </c>
      <c r="Q994" s="7688">
        <f t="shared" si="247"/>
        <v>1</v>
      </c>
    </row>
    <row r="995" spans="2:17">
      <c r="B995" s="7685"/>
      <c r="C995" s="7685"/>
      <c r="D995" s="7685"/>
      <c r="E995" s="7685">
        <f>IF(H994&lt;&gt;"",E994,IF(E994="","",IFERROR(MATCH(TRUE(),INDEX(INDEX($K:$K,E994+1):$K$203&lt;&gt;"",0),0)+E994,"")))</f>
        <v>1170</v>
      </c>
      <c r="F995" s="7686">
        <f t="shared" si="248"/>
        <v>0</v>
      </c>
      <c r="G995" s="7686" t="str">
        <f t="shared" si="240"/>
        <v>0</v>
      </c>
      <c r="H995" s="7687" t="str">
        <f t="shared" si="241"/>
        <v/>
      </c>
      <c r="I995" s="7685" t="str">
        <f t="shared" si="242"/>
        <v/>
      </c>
      <c r="M995" s="7622">
        <f t="shared" si="243"/>
        <v>1</v>
      </c>
      <c r="N995" s="7688">
        <f t="shared" si="244"/>
        <v>978</v>
      </c>
      <c r="O995" s="7661" t="str">
        <f t="shared" si="245"/>
        <v>0</v>
      </c>
      <c r="P995" s="7688">
        <f t="shared" si="246"/>
        <v>1</v>
      </c>
      <c r="Q995" s="7688">
        <f t="shared" si="247"/>
        <v>1</v>
      </c>
    </row>
    <row r="996" spans="2:17">
      <c r="B996" s="7685"/>
      <c r="C996" s="7685"/>
      <c r="D996" s="7685"/>
      <c r="E996" s="7685">
        <f>IF(H995&lt;&gt;"",E995,IF(E995="","",IFERROR(MATCH(TRUE(),INDEX(INDEX($K:$K,E995+1):$K$203&lt;&gt;"",0),0)+E995,"")))</f>
        <v>1171</v>
      </c>
      <c r="F996" s="7686">
        <f t="shared" si="248"/>
        <v>0</v>
      </c>
      <c r="G996" s="7686" t="str">
        <f t="shared" si="240"/>
        <v>0</v>
      </c>
      <c r="H996" s="7687" t="str">
        <f t="shared" si="241"/>
        <v/>
      </c>
      <c r="I996" s="7685" t="str">
        <f t="shared" si="242"/>
        <v/>
      </c>
      <c r="M996" s="7622">
        <f t="shared" si="243"/>
        <v>1</v>
      </c>
      <c r="N996" s="7688">
        <f t="shared" si="244"/>
        <v>979</v>
      </c>
      <c r="O996" s="7661" t="str">
        <f t="shared" si="245"/>
        <v>0</v>
      </c>
      <c r="P996" s="7688">
        <f t="shared" si="246"/>
        <v>1</v>
      </c>
      <c r="Q996" s="7688">
        <f t="shared" si="247"/>
        <v>1</v>
      </c>
    </row>
    <row r="997" spans="2:17">
      <c r="B997" s="7685"/>
      <c r="C997" s="7685"/>
      <c r="D997" s="7685"/>
      <c r="E997" s="7685">
        <f>IF(H996&lt;&gt;"",E996,IF(E996="","",IFERROR(MATCH(TRUE(),INDEX(INDEX($K:$K,E996+1):$K$203&lt;&gt;"",0),0)+E996,"")))</f>
        <v>1172</v>
      </c>
      <c r="F997" s="7686">
        <f t="shared" si="248"/>
        <v>0</v>
      </c>
      <c r="G997" s="7686" t="str">
        <f t="shared" si="240"/>
        <v>0</v>
      </c>
      <c r="H997" s="7687" t="str">
        <f t="shared" si="241"/>
        <v/>
      </c>
      <c r="I997" s="7685" t="str">
        <f t="shared" si="242"/>
        <v/>
      </c>
      <c r="M997" s="7622">
        <f t="shared" si="243"/>
        <v>1</v>
      </c>
      <c r="N997" s="7688">
        <f t="shared" si="244"/>
        <v>980</v>
      </c>
      <c r="O997" s="7661" t="str">
        <f t="shared" si="245"/>
        <v>0</v>
      </c>
      <c r="P997" s="7688">
        <f t="shared" si="246"/>
        <v>1</v>
      </c>
      <c r="Q997" s="7688">
        <f t="shared" si="247"/>
        <v>1</v>
      </c>
    </row>
    <row r="998" spans="2:17">
      <c r="B998" s="7685"/>
      <c r="C998" s="7685"/>
      <c r="D998" s="7685"/>
      <c r="E998" s="7685">
        <f>IF(H997&lt;&gt;"",E997,IF(E997="","",IFERROR(MATCH(TRUE(),INDEX(INDEX($K:$K,E997+1):$K$203&lt;&gt;"",0),0)+E997,"")))</f>
        <v>1173</v>
      </c>
      <c r="F998" s="7686">
        <f t="shared" si="248"/>
        <v>0</v>
      </c>
      <c r="G998" s="7686" t="str">
        <f t="shared" si="240"/>
        <v>0</v>
      </c>
      <c r="H998" s="7687" t="str">
        <f t="shared" si="241"/>
        <v/>
      </c>
      <c r="I998" s="7685" t="str">
        <f t="shared" si="242"/>
        <v/>
      </c>
      <c r="M998" s="7622">
        <f t="shared" si="243"/>
        <v>1</v>
      </c>
      <c r="N998" s="7688">
        <f t="shared" si="244"/>
        <v>981</v>
      </c>
      <c r="O998" s="7661" t="str">
        <f t="shared" si="245"/>
        <v>0</v>
      </c>
      <c r="P998" s="7688">
        <f t="shared" si="246"/>
        <v>1</v>
      </c>
      <c r="Q998" s="7688">
        <f t="shared" si="247"/>
        <v>1</v>
      </c>
    </row>
    <row r="999" spans="2:17">
      <c r="B999" s="7685"/>
      <c r="C999" s="7685"/>
      <c r="D999" s="7685"/>
      <c r="E999" s="7685">
        <f>IF(H998&lt;&gt;"",E998,IF(E998="","",IFERROR(MATCH(TRUE(),INDEX(INDEX($K:$K,E998+1):$K$203&lt;&gt;"",0),0)+E998,"")))</f>
        <v>1174</v>
      </c>
      <c r="F999" s="7686">
        <f t="shared" si="248"/>
        <v>0</v>
      </c>
      <c r="G999" s="7686" t="str">
        <f t="shared" si="240"/>
        <v>0</v>
      </c>
      <c r="H999" s="7687" t="str">
        <f t="shared" si="241"/>
        <v/>
      </c>
      <c r="I999" s="7685" t="str">
        <f t="shared" si="242"/>
        <v/>
      </c>
      <c r="M999" s="7622">
        <f t="shared" si="243"/>
        <v>1</v>
      </c>
      <c r="N999" s="7688">
        <f t="shared" si="244"/>
        <v>982</v>
      </c>
      <c r="O999" s="7661" t="str">
        <f t="shared" si="245"/>
        <v>0</v>
      </c>
      <c r="P999" s="7688">
        <f t="shared" si="246"/>
        <v>1</v>
      </c>
      <c r="Q999" s="7688">
        <f t="shared" si="247"/>
        <v>1</v>
      </c>
    </row>
    <row r="1000" spans="2:17">
      <c r="B1000" s="7685"/>
      <c r="C1000" s="7685"/>
      <c r="D1000" s="7685"/>
      <c r="E1000" s="7685">
        <f>IF(H999&lt;&gt;"",E999,IF(E999="","",IFERROR(MATCH(TRUE(),INDEX(INDEX($K:$K,E999+1):$K$203&lt;&gt;"",0),0)+E999,"")))</f>
        <v>1175</v>
      </c>
      <c r="F1000" s="7686">
        <f t="shared" si="248"/>
        <v>0</v>
      </c>
      <c r="G1000" s="7686" t="str">
        <f t="shared" si="240"/>
        <v>0</v>
      </c>
      <c r="H1000" s="7687" t="str">
        <f t="shared" si="241"/>
        <v/>
      </c>
      <c r="I1000" s="7685" t="str">
        <f t="shared" si="242"/>
        <v/>
      </c>
      <c r="M1000" s="7622">
        <f t="shared" si="243"/>
        <v>1</v>
      </c>
      <c r="N1000" s="7688">
        <f t="shared" si="244"/>
        <v>983</v>
      </c>
      <c r="O1000" s="7661" t="str">
        <f t="shared" si="245"/>
        <v>0</v>
      </c>
      <c r="P1000" s="7688">
        <f t="shared" si="246"/>
        <v>1</v>
      </c>
      <c r="Q1000" s="7688">
        <f t="shared" si="247"/>
        <v>1</v>
      </c>
    </row>
    <row r="1001" spans="2:17">
      <c r="B1001" s="7685"/>
      <c r="C1001" s="7685"/>
      <c r="D1001" s="7685"/>
      <c r="E1001" s="7685">
        <f>IF(H1000&lt;&gt;"",E1000,IF(E1000="","",IFERROR(MATCH(TRUE(),INDEX(INDEX($K:$K,E1000+1):$K$203&lt;&gt;"",0),0)+E1000,"")))</f>
        <v>1176</v>
      </c>
      <c r="F1001" s="7686">
        <f t="shared" si="248"/>
        <v>0</v>
      </c>
      <c r="G1001" s="7686" t="str">
        <f t="shared" si="240"/>
        <v>0</v>
      </c>
      <c r="H1001" s="7687" t="str">
        <f t="shared" si="241"/>
        <v/>
      </c>
      <c r="I1001" s="7685" t="str">
        <f t="shared" si="242"/>
        <v/>
      </c>
      <c r="M1001" s="7622">
        <f t="shared" si="243"/>
        <v>1</v>
      </c>
      <c r="N1001" s="7688">
        <f t="shared" si="244"/>
        <v>984</v>
      </c>
      <c r="O1001" s="7661" t="str">
        <f t="shared" si="245"/>
        <v>0</v>
      </c>
      <c r="P1001" s="7688">
        <f t="shared" si="246"/>
        <v>1</v>
      </c>
      <c r="Q1001" s="7688">
        <f t="shared" si="247"/>
        <v>1</v>
      </c>
    </row>
    <row r="1002" spans="2:17">
      <c r="B1002" s="7685"/>
      <c r="C1002" s="7685"/>
      <c r="D1002" s="7685"/>
      <c r="E1002" s="7685">
        <f>IF(H1001&lt;&gt;"",E1001,IF(E1001="","",IFERROR(MATCH(TRUE(),INDEX(INDEX($K:$K,E1001+1):$K$203&lt;&gt;"",0),0)+E1001,"")))</f>
        <v>1177</v>
      </c>
      <c r="F1002" s="7686">
        <f t="shared" si="248"/>
        <v>0</v>
      </c>
      <c r="G1002" s="7686" t="str">
        <f t="shared" si="240"/>
        <v>0</v>
      </c>
      <c r="H1002" s="7687" t="str">
        <f t="shared" si="241"/>
        <v/>
      </c>
      <c r="I1002" s="7685" t="str">
        <f t="shared" si="242"/>
        <v/>
      </c>
      <c r="M1002" s="7622">
        <f t="shared" si="243"/>
        <v>1</v>
      </c>
      <c r="N1002" s="7688">
        <f t="shared" si="244"/>
        <v>985</v>
      </c>
      <c r="O1002" s="7661" t="str">
        <f t="shared" si="245"/>
        <v>0</v>
      </c>
      <c r="P1002" s="7688">
        <f t="shared" si="246"/>
        <v>1</v>
      </c>
      <c r="Q1002" s="7688">
        <f t="shared" si="247"/>
        <v>1</v>
      </c>
    </row>
    <row r="1003" spans="2:17">
      <c r="B1003" s="7685"/>
      <c r="C1003" s="7685"/>
      <c r="D1003" s="7685"/>
      <c r="E1003" s="7685">
        <f>IF(H1002&lt;&gt;"",E1002,IF(E1002="","",IFERROR(MATCH(TRUE(),INDEX(INDEX($K:$K,E1002+1):$K$203&lt;&gt;"",0),0)+E1002,"")))</f>
        <v>1178</v>
      </c>
      <c r="F1003" s="7686">
        <f t="shared" si="248"/>
        <v>0</v>
      </c>
      <c r="G1003" s="7686" t="str">
        <f t="shared" si="240"/>
        <v>0</v>
      </c>
      <c r="H1003" s="7687" t="str">
        <f t="shared" si="241"/>
        <v/>
      </c>
      <c r="I1003" s="7685" t="str">
        <f t="shared" si="242"/>
        <v/>
      </c>
      <c r="M1003" s="7622">
        <f t="shared" si="243"/>
        <v>1</v>
      </c>
      <c r="N1003" s="7688">
        <f t="shared" si="244"/>
        <v>986</v>
      </c>
      <c r="O1003" s="7661" t="str">
        <f t="shared" si="245"/>
        <v>0</v>
      </c>
      <c r="P1003" s="7688">
        <f t="shared" si="246"/>
        <v>1</v>
      </c>
      <c r="Q1003" s="7688">
        <f t="shared" si="247"/>
        <v>1</v>
      </c>
    </row>
    <row r="1004" spans="2:17">
      <c r="B1004" s="7685"/>
      <c r="C1004" s="7685"/>
      <c r="D1004" s="7685"/>
      <c r="E1004" s="7685">
        <f>IF(H1003&lt;&gt;"",E1003,IF(E1003="","",IFERROR(MATCH(TRUE(),INDEX(INDEX($K:$K,E1003+1):$K$203&lt;&gt;"",0),0)+E1003,"")))</f>
        <v>1179</v>
      </c>
      <c r="F1004" s="7686">
        <f t="shared" si="248"/>
        <v>0</v>
      </c>
      <c r="G1004" s="7686" t="str">
        <f t="shared" si="240"/>
        <v>0</v>
      </c>
      <c r="H1004" s="7687" t="str">
        <f t="shared" si="241"/>
        <v/>
      </c>
      <c r="I1004" s="7685" t="str">
        <f t="shared" si="242"/>
        <v/>
      </c>
      <c r="M1004" s="7622">
        <f t="shared" si="243"/>
        <v>1</v>
      </c>
      <c r="N1004" s="7688">
        <f t="shared" si="244"/>
        <v>987</v>
      </c>
      <c r="O1004" s="7661" t="str">
        <f t="shared" si="245"/>
        <v>0</v>
      </c>
      <c r="P1004" s="7688">
        <f t="shared" si="246"/>
        <v>1</v>
      </c>
      <c r="Q1004" s="7688">
        <f t="shared" si="247"/>
        <v>1</v>
      </c>
    </row>
    <row r="1005" spans="2:17">
      <c r="B1005" s="7685"/>
      <c r="C1005" s="7685"/>
      <c r="D1005" s="7685"/>
      <c r="E1005" s="7685">
        <f>IF(H1004&lt;&gt;"",E1004,IF(E1004="","",IFERROR(MATCH(TRUE(),INDEX(INDEX($K:$K,E1004+1):$K$203&lt;&gt;"",0),0)+E1004,"")))</f>
        <v>1180</v>
      </c>
      <c r="F1005" s="7686">
        <f t="shared" si="248"/>
        <v>0</v>
      </c>
      <c r="G1005" s="7686" t="str">
        <f t="shared" si="240"/>
        <v>0</v>
      </c>
      <c r="H1005" s="7687" t="str">
        <f t="shared" si="241"/>
        <v/>
      </c>
      <c r="I1005" s="7685" t="str">
        <f t="shared" si="242"/>
        <v/>
      </c>
      <c r="M1005" s="7622">
        <f t="shared" si="243"/>
        <v>1</v>
      </c>
      <c r="N1005" s="7688">
        <f t="shared" si="244"/>
        <v>988</v>
      </c>
      <c r="O1005" s="7661" t="str">
        <f t="shared" si="245"/>
        <v>0</v>
      </c>
      <c r="P1005" s="7688">
        <f t="shared" si="246"/>
        <v>1</v>
      </c>
      <c r="Q1005" s="7688">
        <f t="shared" si="247"/>
        <v>1</v>
      </c>
    </row>
    <row r="1006" spans="2:17">
      <c r="B1006" s="7685"/>
      <c r="C1006" s="7685"/>
      <c r="D1006" s="7685"/>
      <c r="E1006" s="7685">
        <f>IF(H1005&lt;&gt;"",E1005,IF(E1005="","",IFERROR(MATCH(TRUE(),INDEX(INDEX($K:$K,E1005+1):$K$203&lt;&gt;"",0),0)+E1005,"")))</f>
        <v>1181</v>
      </c>
      <c r="F1006" s="7686">
        <f t="shared" si="248"/>
        <v>0</v>
      </c>
      <c r="G1006" s="7686" t="str">
        <f t="shared" si="240"/>
        <v>0</v>
      </c>
      <c r="H1006" s="7687" t="str">
        <f t="shared" si="241"/>
        <v/>
      </c>
      <c r="I1006" s="7685" t="str">
        <f t="shared" si="242"/>
        <v/>
      </c>
      <c r="M1006" s="7622">
        <f t="shared" si="243"/>
        <v>1</v>
      </c>
      <c r="N1006" s="7688">
        <f t="shared" si="244"/>
        <v>989</v>
      </c>
      <c r="O1006" s="7661" t="str">
        <f t="shared" si="245"/>
        <v>0</v>
      </c>
      <c r="P1006" s="7688">
        <f t="shared" si="246"/>
        <v>1</v>
      </c>
      <c r="Q1006" s="7688">
        <f t="shared" si="247"/>
        <v>1</v>
      </c>
    </row>
    <row r="1007" spans="2:17">
      <c r="B1007" s="7685"/>
      <c r="C1007" s="7685"/>
      <c r="D1007" s="7685"/>
      <c r="E1007" s="7685">
        <f>IF(H1006&lt;&gt;"",E1006,IF(E1006="","",IFERROR(MATCH(TRUE(),INDEX(INDEX($K:$K,E1006+1):$K$203&lt;&gt;"",0),0)+E1006,"")))</f>
        <v>1182</v>
      </c>
      <c r="F1007" s="7686">
        <f t="shared" si="248"/>
        <v>0</v>
      </c>
      <c r="G1007" s="7686" t="str">
        <f t="shared" si="240"/>
        <v>0</v>
      </c>
      <c r="H1007" s="7687" t="str">
        <f t="shared" si="241"/>
        <v/>
      </c>
      <c r="I1007" s="7685" t="str">
        <f t="shared" si="242"/>
        <v/>
      </c>
      <c r="M1007" s="7622">
        <f t="shared" si="243"/>
        <v>1</v>
      </c>
      <c r="N1007" s="7688">
        <f t="shared" si="244"/>
        <v>990</v>
      </c>
      <c r="O1007" s="7661" t="str">
        <f t="shared" si="245"/>
        <v>0</v>
      </c>
      <c r="P1007" s="7688">
        <f t="shared" si="246"/>
        <v>1</v>
      </c>
      <c r="Q1007" s="7688">
        <f t="shared" si="247"/>
        <v>1</v>
      </c>
    </row>
    <row r="1008" spans="2:17">
      <c r="B1008" s="7685"/>
      <c r="C1008" s="7685"/>
      <c r="D1008" s="7685"/>
      <c r="E1008" s="7685">
        <f>IF(H1007&lt;&gt;"",E1007,IF(E1007="","",IFERROR(MATCH(TRUE(),INDEX(INDEX($K:$K,E1007+1):$K$203&lt;&gt;"",0),0)+E1007,"")))</f>
        <v>1183</v>
      </c>
      <c r="F1008" s="7686">
        <f t="shared" si="248"/>
        <v>0</v>
      </c>
      <c r="G1008" s="7686" t="str">
        <f t="shared" si="240"/>
        <v>0</v>
      </c>
      <c r="H1008" s="7687" t="str">
        <f t="shared" si="241"/>
        <v/>
      </c>
      <c r="I1008" s="7685" t="str">
        <f t="shared" si="242"/>
        <v/>
      </c>
      <c r="M1008" s="7622">
        <f t="shared" si="243"/>
        <v>1</v>
      </c>
      <c r="N1008" s="7688">
        <f t="shared" si="244"/>
        <v>991</v>
      </c>
      <c r="O1008" s="7661" t="str">
        <f t="shared" si="245"/>
        <v>0</v>
      </c>
      <c r="P1008" s="7688">
        <f t="shared" si="246"/>
        <v>1</v>
      </c>
      <c r="Q1008" s="7688">
        <f t="shared" si="247"/>
        <v>1</v>
      </c>
    </row>
    <row r="1009" spans="2:17">
      <c r="B1009" s="7685"/>
      <c r="C1009" s="7685"/>
      <c r="D1009" s="7685"/>
      <c r="E1009" s="7685">
        <f>IF(H1008&lt;&gt;"",E1008,IF(E1008="","",IFERROR(MATCH(TRUE(),INDEX(INDEX($K:$K,E1008+1):$K$203&lt;&gt;"",0),0)+E1008,"")))</f>
        <v>1184</v>
      </c>
      <c r="F1009" s="7686">
        <f t="shared" si="248"/>
        <v>0</v>
      </c>
      <c r="G1009" s="7686" t="str">
        <f t="shared" si="240"/>
        <v>0</v>
      </c>
      <c r="H1009" s="7687" t="str">
        <f t="shared" si="241"/>
        <v/>
      </c>
      <c r="I1009" s="7685" t="str">
        <f t="shared" si="242"/>
        <v/>
      </c>
      <c r="M1009" s="7622">
        <f t="shared" si="243"/>
        <v>1</v>
      </c>
      <c r="N1009" s="7688">
        <f t="shared" si="244"/>
        <v>992</v>
      </c>
      <c r="O1009" s="7661" t="str">
        <f t="shared" si="245"/>
        <v>0</v>
      </c>
      <c r="P1009" s="7688">
        <f t="shared" si="246"/>
        <v>1</v>
      </c>
      <c r="Q1009" s="7688">
        <f t="shared" si="247"/>
        <v>1</v>
      </c>
    </row>
    <row r="1010" spans="2:17">
      <c r="B1010" s="7685"/>
      <c r="C1010" s="7685"/>
      <c r="D1010" s="7685"/>
      <c r="E1010" s="7685">
        <f>IF(H1009&lt;&gt;"",E1009,IF(E1009="","",IFERROR(MATCH(TRUE(),INDEX(INDEX($K:$K,E1009+1):$K$203&lt;&gt;"",0),0)+E1009,"")))</f>
        <v>1185</v>
      </c>
      <c r="F1010" s="7686">
        <f t="shared" si="248"/>
        <v>0</v>
      </c>
      <c r="G1010" s="7686" t="str">
        <f t="shared" si="240"/>
        <v>0</v>
      </c>
      <c r="H1010" s="7687" t="str">
        <f t="shared" si="241"/>
        <v/>
      </c>
      <c r="I1010" s="7685" t="str">
        <f t="shared" si="242"/>
        <v/>
      </c>
      <c r="M1010" s="7622">
        <f t="shared" si="243"/>
        <v>1</v>
      </c>
      <c r="N1010" s="7688">
        <f t="shared" si="244"/>
        <v>993</v>
      </c>
      <c r="O1010" s="7661" t="str">
        <f t="shared" si="245"/>
        <v>0</v>
      </c>
      <c r="P1010" s="7688">
        <f t="shared" si="246"/>
        <v>1</v>
      </c>
      <c r="Q1010" s="7688">
        <f t="shared" si="247"/>
        <v>1</v>
      </c>
    </row>
    <row r="1011" spans="2:17">
      <c r="B1011" s="7685"/>
      <c r="C1011" s="7685"/>
      <c r="D1011" s="7685"/>
      <c r="E1011" s="7685">
        <f>IF(H1010&lt;&gt;"",E1010,IF(E1010="","",IFERROR(MATCH(TRUE(),INDEX(INDEX($K:$K,E1010+1):$K$203&lt;&gt;"",0),0)+E1010,"")))</f>
        <v>1186</v>
      </c>
      <c r="F1011" s="7686">
        <f t="shared" si="248"/>
        <v>0</v>
      </c>
      <c r="G1011" s="7686" t="str">
        <f t="shared" si="240"/>
        <v>0</v>
      </c>
      <c r="H1011" s="7687" t="str">
        <f t="shared" si="241"/>
        <v/>
      </c>
      <c r="I1011" s="7685" t="str">
        <f t="shared" si="242"/>
        <v/>
      </c>
      <c r="M1011" s="7622">
        <f t="shared" si="243"/>
        <v>1</v>
      </c>
      <c r="N1011" s="7688">
        <f t="shared" si="244"/>
        <v>994</v>
      </c>
      <c r="O1011" s="7661" t="str">
        <f t="shared" si="245"/>
        <v>0</v>
      </c>
      <c r="P1011" s="7688">
        <f t="shared" si="246"/>
        <v>1</v>
      </c>
      <c r="Q1011" s="7688">
        <f t="shared" si="247"/>
        <v>1</v>
      </c>
    </row>
    <row r="1012" spans="2:17">
      <c r="B1012" s="7685"/>
      <c r="C1012" s="7685"/>
      <c r="D1012" s="7685"/>
      <c r="E1012" s="7685">
        <f>IF(H1011&lt;&gt;"",E1011,IF(E1011="","",IFERROR(MATCH(TRUE(),INDEX(INDEX($K:$K,E1011+1):$K$203&lt;&gt;"",0),0)+E1011,"")))</f>
        <v>1187</v>
      </c>
      <c r="F1012" s="7686">
        <f t="shared" si="248"/>
        <v>0</v>
      </c>
      <c r="G1012" s="7686" t="str">
        <f t="shared" si="240"/>
        <v>0</v>
      </c>
      <c r="H1012" s="7687" t="str">
        <f t="shared" si="241"/>
        <v/>
      </c>
      <c r="I1012" s="7685" t="str">
        <f t="shared" si="242"/>
        <v/>
      </c>
      <c r="M1012" s="7622">
        <f t="shared" si="243"/>
        <v>1</v>
      </c>
      <c r="N1012" s="7688">
        <f t="shared" si="244"/>
        <v>995</v>
      </c>
      <c r="O1012" s="7661" t="str">
        <f t="shared" si="245"/>
        <v>0</v>
      </c>
      <c r="P1012" s="7688">
        <f t="shared" si="246"/>
        <v>1</v>
      </c>
      <c r="Q1012" s="7688">
        <f t="shared" si="247"/>
        <v>1</v>
      </c>
    </row>
    <row r="1013" spans="2:17">
      <c r="B1013" s="7685"/>
      <c r="C1013" s="7685"/>
      <c r="D1013" s="7685"/>
      <c r="E1013" s="7685">
        <f>IF(H1012&lt;&gt;"",E1012,IF(E1012="","",IFERROR(MATCH(TRUE(),INDEX(INDEX($K:$K,E1012+1):$K$203&lt;&gt;"",0),0)+E1012,"")))</f>
        <v>1188</v>
      </c>
      <c r="F1013" s="7686">
        <f t="shared" si="248"/>
        <v>0</v>
      </c>
      <c r="G1013" s="7686" t="str">
        <f t="shared" si="240"/>
        <v>0</v>
      </c>
      <c r="H1013" s="7687" t="str">
        <f t="shared" si="241"/>
        <v/>
      </c>
      <c r="I1013" s="7685" t="str">
        <f t="shared" si="242"/>
        <v/>
      </c>
      <c r="M1013" s="7622">
        <f t="shared" si="243"/>
        <v>1</v>
      </c>
      <c r="N1013" s="7688">
        <f t="shared" si="244"/>
        <v>996</v>
      </c>
      <c r="O1013" s="7661" t="str">
        <f t="shared" si="245"/>
        <v>0</v>
      </c>
      <c r="P1013" s="7688">
        <f t="shared" si="246"/>
        <v>1</v>
      </c>
      <c r="Q1013" s="7688">
        <f t="shared" si="247"/>
        <v>1</v>
      </c>
    </row>
    <row r="1014" spans="2:17">
      <c r="B1014" s="7685"/>
      <c r="C1014" s="7685"/>
      <c r="D1014" s="7685"/>
      <c r="E1014" s="7685">
        <f>IF(H1013&lt;&gt;"",E1013,IF(E1013="","",IFERROR(MATCH(TRUE(),INDEX(INDEX($K:$K,E1013+1):$K$203&lt;&gt;"",0),0)+E1013,"")))</f>
        <v>1189</v>
      </c>
      <c r="F1014" s="7686">
        <f t="shared" si="248"/>
        <v>0</v>
      </c>
      <c r="G1014" s="7686" t="str">
        <f t="shared" si="240"/>
        <v>0</v>
      </c>
      <c r="H1014" s="7687" t="str">
        <f t="shared" si="241"/>
        <v/>
      </c>
      <c r="I1014" s="7685" t="str">
        <f t="shared" si="242"/>
        <v/>
      </c>
      <c r="M1014" s="7622">
        <f t="shared" si="243"/>
        <v>1</v>
      </c>
      <c r="N1014" s="7688">
        <f t="shared" si="244"/>
        <v>997</v>
      </c>
      <c r="O1014" s="7661" t="str">
        <f t="shared" si="245"/>
        <v>0</v>
      </c>
      <c r="P1014" s="7688">
        <f t="shared" si="246"/>
        <v>1</v>
      </c>
      <c r="Q1014" s="7688">
        <f t="shared" si="247"/>
        <v>1</v>
      </c>
    </row>
    <row r="1015" spans="2:17">
      <c r="B1015" s="7685"/>
      <c r="C1015" s="7685"/>
      <c r="D1015" s="7685"/>
      <c r="E1015" s="7685">
        <f>IF(H1014&lt;&gt;"",E1014,IF(E1014="","",IFERROR(MATCH(TRUE(),INDEX(INDEX($K:$K,E1014+1):$K$203&lt;&gt;"",0),0)+E1014,"")))</f>
        <v>1190</v>
      </c>
      <c r="F1015" s="7686">
        <f t="shared" si="248"/>
        <v>0</v>
      </c>
      <c r="G1015" s="7686" t="str">
        <f t="shared" si="240"/>
        <v>0</v>
      </c>
      <c r="H1015" s="7687" t="str">
        <f t="shared" si="241"/>
        <v/>
      </c>
      <c r="I1015" s="7685" t="str">
        <f t="shared" si="242"/>
        <v/>
      </c>
      <c r="M1015" s="7622">
        <f t="shared" si="243"/>
        <v>1</v>
      </c>
      <c r="N1015" s="7688">
        <f t="shared" si="244"/>
        <v>998</v>
      </c>
      <c r="O1015" s="7661" t="str">
        <f t="shared" si="245"/>
        <v>0</v>
      </c>
      <c r="P1015" s="7688">
        <f t="shared" si="246"/>
        <v>1</v>
      </c>
      <c r="Q1015" s="7688">
        <f t="shared" si="247"/>
        <v>1</v>
      </c>
    </row>
    <row r="1016" spans="2:17">
      <c r="B1016" s="7685"/>
      <c r="C1016" s="7685"/>
      <c r="D1016" s="7685"/>
      <c r="E1016" s="7685">
        <f>IF(H1015&lt;&gt;"",E1015,IF(E1015="","",IFERROR(MATCH(TRUE(),INDEX(INDEX($K:$K,E1015+1):$K$203&lt;&gt;"",0),0)+E1015,"")))</f>
        <v>1191</v>
      </c>
      <c r="F1016" s="7686">
        <f t="shared" si="248"/>
        <v>0</v>
      </c>
      <c r="G1016" s="7686" t="str">
        <f t="shared" si="240"/>
        <v>0</v>
      </c>
      <c r="H1016" s="7687" t="str">
        <f t="shared" si="241"/>
        <v/>
      </c>
      <c r="I1016" s="7685" t="str">
        <f t="shared" si="242"/>
        <v/>
      </c>
      <c r="M1016" s="7622">
        <f t="shared" si="243"/>
        <v>1</v>
      </c>
      <c r="N1016" s="7688">
        <f t="shared" si="244"/>
        <v>999</v>
      </c>
      <c r="O1016" s="7661" t="str">
        <f t="shared" si="245"/>
        <v>0</v>
      </c>
      <c r="P1016" s="7688">
        <f t="shared" si="246"/>
        <v>1</v>
      </c>
      <c r="Q1016" s="7688">
        <f t="shared" si="247"/>
        <v>1</v>
      </c>
    </row>
    <row r="1017" spans="2:17">
      <c r="B1017" s="7685"/>
      <c r="C1017" s="7685"/>
      <c r="D1017" s="7685"/>
      <c r="E1017" s="7685">
        <f>IF(H1016&lt;&gt;"",E1016,IF(E1016="","",IFERROR(MATCH(TRUE(),INDEX(INDEX($K:$K,E1016+1):$K$203&lt;&gt;"",0),0)+E1016,"")))</f>
        <v>1192</v>
      </c>
      <c r="F1017" s="7686">
        <f t="shared" si="248"/>
        <v>0</v>
      </c>
      <c r="G1017" s="7686" t="str">
        <f t="shared" si="240"/>
        <v>0</v>
      </c>
      <c r="H1017" s="7687" t="str">
        <f t="shared" si="241"/>
        <v/>
      </c>
      <c r="I1017" s="7685" t="str">
        <f t="shared" si="242"/>
        <v/>
      </c>
      <c r="M1017" s="7622">
        <f t="shared" si="243"/>
        <v>1</v>
      </c>
      <c r="N1017" s="7688">
        <f t="shared" si="244"/>
        <v>1000</v>
      </c>
      <c r="O1017" s="7661" t="str">
        <f t="shared" si="245"/>
        <v>0</v>
      </c>
      <c r="P1017" s="7688">
        <f t="shared" si="246"/>
        <v>1</v>
      </c>
      <c r="Q1017" s="7688">
        <f t="shared" si="247"/>
        <v>1</v>
      </c>
    </row>
  </sheetData>
  <mergeCells count="11">
    <mergeCell ref="K16:K17"/>
    <mergeCell ref="O16:O17"/>
    <mergeCell ref="S16:S17"/>
    <mergeCell ref="J1:Q2"/>
    <mergeCell ref="A2:A3"/>
    <mergeCell ref="J4:Q4"/>
    <mergeCell ref="N7:Q7"/>
    <mergeCell ref="N12:Q13"/>
    <mergeCell ref="B14:I14"/>
    <mergeCell ref="J14:L14"/>
    <mergeCell ref="N14:Q14"/>
  </mergeCells>
  <conditionalFormatting sqref="S18:S202">
    <cfRule type="expression" dxfId="102" priority="1">
      <formula>LEFT(S18,1)="⚠"</formula>
    </cfRule>
    <cfRule type="expression" dxfId="101" priority="2">
      <formula>LEFT(S18,4)="info"</formula>
    </cfRule>
  </conditionalFormatting>
  <conditionalFormatting sqref="Y18:Y202">
    <cfRule type="expression" dxfId="100" priority="3">
      <formula>LEFT(Y18,1)="⚠"</formula>
    </cfRule>
    <cfRule type="expression" dxfId="99" priority="4">
      <formula>LEFT(Y18,4)="info"</formula>
    </cfRule>
  </conditionalFormatting>
  <conditionalFormatting sqref="AB18:AB202">
    <cfRule type="expression" dxfId="98" priority="5">
      <formula>ISNUMBER(SEARCH("suspicion",AB18))</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22EE5-9210-4FE2-98C3-4A7373FA6E0E}">
  <dimension ref="A1:AF521"/>
  <sheetViews>
    <sheetView showZeros="0" zoomScaleNormal="100" workbookViewId="0">
      <selection activeCell="O16" sqref="O16"/>
    </sheetView>
  </sheetViews>
  <sheetFormatPr baseColWidth="10" defaultRowHeight="15"/>
  <cols>
    <col min="1" max="1" width="5.7109375" customWidth="1"/>
    <col min="2" max="5" width="3.7109375" style="6866" customWidth="1"/>
    <col min="6" max="6" width="5.28515625" style="6866" customWidth="1"/>
    <col min="7" max="8" width="12.7109375" style="6866" customWidth="1"/>
    <col min="9" max="9" width="4" style="6866" customWidth="1"/>
    <col min="10" max="10" width="9.7109375" style="6866" customWidth="1"/>
    <col min="11" max="11" width="12.85546875" style="6866" customWidth="1"/>
    <col min="12" max="12" width="13.42578125" style="6866" customWidth="1"/>
    <col min="13" max="13" width="7" style="6866" customWidth="1"/>
    <col min="14" max="14" width="40.7109375" style="6866" customWidth="1"/>
    <col min="15" max="15" width="10.7109375" style="6866" customWidth="1"/>
    <col min="16" max="16" width="10.5703125" style="6866" customWidth="1"/>
    <col min="17" max="17" width="9.28515625" style="6866" customWidth="1"/>
    <col min="18" max="18" width="11.140625" style="6866" customWidth="1"/>
    <col min="19" max="21" width="13.7109375" style="6866" customWidth="1"/>
    <col min="22" max="22" width="17.7109375" style="6866" customWidth="1"/>
    <col min="23" max="23" width="21.140625" customWidth="1"/>
    <col min="24" max="24" width="19.7109375" customWidth="1"/>
    <col min="25" max="25" width="18.7109375" customWidth="1"/>
    <col min="26" max="26" width="25.7109375" customWidth="1"/>
    <col min="27" max="27" width="18.28515625" customWidth="1"/>
    <col min="28" max="28" width="16.7109375" customWidth="1"/>
    <col min="29" max="29" width="31.7109375" customWidth="1"/>
    <col min="30" max="30" width="47.140625" customWidth="1"/>
    <col min="31" max="31" width="32.28515625" customWidth="1"/>
    <col min="32" max="32" width="8.7109375" customWidth="1"/>
  </cols>
  <sheetData>
    <row r="1" spans="1:32" ht="15.75" customHeight="1" thickTop="1">
      <c r="A1" s="2732" t="str">
        <f>ADDRESS(ROW(),COLUMN(),4)</f>
        <v>A1</v>
      </c>
      <c r="B1" s="2952" t="str">
        <f t="shared" ref="B1:V1" si="0">SUBSTITUTE(ADDRESS(1,COLUMN(),4),"1","")</f>
        <v>B</v>
      </c>
      <c r="C1" s="2952" t="str">
        <f t="shared" si="0"/>
        <v>C</v>
      </c>
      <c r="D1" s="2952" t="str">
        <f t="shared" si="0"/>
        <v>D</v>
      </c>
      <c r="E1" s="2952" t="str">
        <f t="shared" si="0"/>
        <v>E</v>
      </c>
      <c r="F1" s="2952" t="str">
        <f t="shared" si="0"/>
        <v>F</v>
      </c>
      <c r="G1" s="2952" t="str">
        <f t="shared" si="0"/>
        <v>G</v>
      </c>
      <c r="H1" s="2952" t="str">
        <f t="shared" si="0"/>
        <v>H</v>
      </c>
      <c r="I1" s="2952" t="str">
        <f t="shared" si="0"/>
        <v>I</v>
      </c>
      <c r="J1" s="2952" t="str">
        <f t="shared" si="0"/>
        <v>J</v>
      </c>
      <c r="K1" s="2952" t="str">
        <f t="shared" si="0"/>
        <v>K</v>
      </c>
      <c r="L1" s="2952" t="str">
        <f t="shared" si="0"/>
        <v>L</v>
      </c>
      <c r="M1" s="2952" t="str">
        <f t="shared" si="0"/>
        <v>M</v>
      </c>
      <c r="N1" s="2952" t="str">
        <f t="shared" si="0"/>
        <v>N</v>
      </c>
      <c r="O1" s="2952" t="str">
        <f t="shared" si="0"/>
        <v>O</v>
      </c>
      <c r="P1" s="2952" t="str">
        <f t="shared" si="0"/>
        <v>P</v>
      </c>
      <c r="Q1" s="2952" t="str">
        <f t="shared" si="0"/>
        <v>Q</v>
      </c>
      <c r="R1" s="2952" t="str">
        <f t="shared" si="0"/>
        <v>R</v>
      </c>
      <c r="S1" s="2952" t="str">
        <f t="shared" si="0"/>
        <v>S</v>
      </c>
      <c r="T1" s="2952" t="str">
        <f t="shared" si="0"/>
        <v>T</v>
      </c>
      <c r="U1" s="2952" t="str">
        <f t="shared" si="0"/>
        <v>U</v>
      </c>
      <c r="V1" s="2952" t="str">
        <f t="shared" si="0"/>
        <v>V</v>
      </c>
      <c r="W1" s="8054" t="s">
        <v>15711</v>
      </c>
      <c r="X1" s="2952" t="str">
        <f t="shared" ref="X1:AD1" si="1">SUBSTITUTE(ADDRESS(1,COLUMN(),4),"1","")</f>
        <v>X</v>
      </c>
      <c r="Y1" s="2952" t="str">
        <f t="shared" si="1"/>
        <v>Y</v>
      </c>
      <c r="Z1" s="2952" t="str">
        <f t="shared" si="1"/>
        <v>Z</v>
      </c>
      <c r="AA1" s="2952" t="str">
        <f t="shared" si="1"/>
        <v>AA</v>
      </c>
      <c r="AB1" s="2952" t="str">
        <f t="shared" si="1"/>
        <v>AB</v>
      </c>
      <c r="AC1" s="2952" t="str">
        <f t="shared" si="1"/>
        <v>AC</v>
      </c>
      <c r="AD1" s="2952" t="str">
        <f t="shared" si="1"/>
        <v>AD</v>
      </c>
      <c r="AE1" s="2952"/>
      <c r="AF1" s="2730">
        <v>1</v>
      </c>
    </row>
    <row r="2" spans="1:32">
      <c r="B2" s="2727">
        <f t="shared" ref="B2:V2" ca="1" si="2">CELL("largeur",B2)</f>
        <v>3</v>
      </c>
      <c r="C2" s="2727">
        <f t="shared" ca="1" si="2"/>
        <v>3</v>
      </c>
      <c r="D2" s="2727">
        <f t="shared" ca="1" si="2"/>
        <v>3</v>
      </c>
      <c r="E2" s="2727">
        <f t="shared" ca="1" si="2"/>
        <v>3</v>
      </c>
      <c r="F2" s="2727">
        <f t="shared" ca="1" si="2"/>
        <v>5</v>
      </c>
      <c r="G2" s="2727">
        <f t="shared" ca="1" si="2"/>
        <v>12</v>
      </c>
      <c r="H2" s="2727">
        <f t="shared" ca="1" si="2"/>
        <v>12</v>
      </c>
      <c r="I2" s="2727">
        <f t="shared" ca="1" si="2"/>
        <v>3</v>
      </c>
      <c r="J2" s="2727">
        <f t="shared" ca="1" si="2"/>
        <v>9</v>
      </c>
      <c r="K2" s="2727">
        <f t="shared" ca="1" si="2"/>
        <v>12</v>
      </c>
      <c r="L2" s="2727">
        <f t="shared" ca="1" si="2"/>
        <v>13</v>
      </c>
      <c r="M2" s="2727">
        <f t="shared" ca="1" si="2"/>
        <v>6</v>
      </c>
      <c r="N2" s="2727">
        <f t="shared" ca="1" si="2"/>
        <v>40</v>
      </c>
      <c r="O2" s="2727">
        <f t="shared" ca="1" si="2"/>
        <v>10</v>
      </c>
      <c r="P2" s="2727">
        <f t="shared" ca="1" si="2"/>
        <v>10</v>
      </c>
      <c r="Q2" s="2727">
        <f t="shared" ca="1" si="2"/>
        <v>9</v>
      </c>
      <c r="R2" s="2727">
        <f t="shared" ca="1" si="2"/>
        <v>10</v>
      </c>
      <c r="S2" s="2727">
        <f t="shared" ca="1" si="2"/>
        <v>13</v>
      </c>
      <c r="T2" s="2727">
        <f t="shared" ca="1" si="2"/>
        <v>13</v>
      </c>
      <c r="U2" s="2727">
        <f t="shared" ca="1" si="2"/>
        <v>13</v>
      </c>
      <c r="V2" s="2727">
        <f t="shared" ca="1" si="2"/>
        <v>17</v>
      </c>
      <c r="W2" s="8054"/>
      <c r="X2" s="2727">
        <f t="shared" ref="X2:AD2" ca="1" si="3">CELL("largeur",X2)</f>
        <v>19</v>
      </c>
      <c r="Y2" s="2727">
        <f t="shared" ca="1" si="3"/>
        <v>18</v>
      </c>
      <c r="Z2" s="2727">
        <f t="shared" ca="1" si="3"/>
        <v>25</v>
      </c>
      <c r="AA2" s="2727">
        <f t="shared" ca="1" si="3"/>
        <v>18</v>
      </c>
      <c r="AB2" s="2727">
        <f t="shared" ca="1" si="3"/>
        <v>16</v>
      </c>
      <c r="AC2" s="2727">
        <f t="shared" ca="1" si="3"/>
        <v>31</v>
      </c>
      <c r="AD2" s="2727">
        <f t="shared" ca="1" si="3"/>
        <v>46</v>
      </c>
      <c r="AE2" s="7595" t="s">
        <v>7035</v>
      </c>
      <c r="AF2" s="2730">
        <v>1</v>
      </c>
    </row>
    <row r="3" spans="1:32" ht="21" customHeight="1" thickBot="1">
      <c r="B3" s="6637">
        <v>3</v>
      </c>
      <c r="C3" s="6637">
        <v>3</v>
      </c>
      <c r="D3" s="6637">
        <v>3</v>
      </c>
      <c r="E3" s="6637">
        <v>3</v>
      </c>
      <c r="F3" s="6637">
        <v>5</v>
      </c>
      <c r="G3" s="6637">
        <v>12</v>
      </c>
      <c r="H3" s="6637">
        <v>12</v>
      </c>
      <c r="I3" s="6637">
        <v>3</v>
      </c>
      <c r="J3" s="6637">
        <v>9</v>
      </c>
      <c r="K3" s="6637">
        <v>12</v>
      </c>
      <c r="L3" s="6637">
        <v>13</v>
      </c>
      <c r="M3" s="6637">
        <v>6</v>
      </c>
      <c r="N3" s="6637">
        <v>40</v>
      </c>
      <c r="O3" s="6637">
        <v>10</v>
      </c>
      <c r="P3" s="6637">
        <v>10</v>
      </c>
      <c r="Q3" s="6637">
        <v>9</v>
      </c>
      <c r="R3" s="6637">
        <v>10</v>
      </c>
      <c r="S3" s="6637">
        <v>13</v>
      </c>
      <c r="T3" s="6637">
        <v>13</v>
      </c>
      <c r="U3" s="6637">
        <v>13</v>
      </c>
      <c r="V3" s="6637">
        <v>17</v>
      </c>
      <c r="W3" s="6533" t="s">
        <v>15712</v>
      </c>
      <c r="X3" s="2728">
        <v>19</v>
      </c>
      <c r="Y3" s="2728">
        <v>18</v>
      </c>
      <c r="Z3" s="2728">
        <v>25</v>
      </c>
      <c r="AA3" s="2728">
        <v>18</v>
      </c>
      <c r="AB3" s="2728">
        <v>16</v>
      </c>
      <c r="AC3" s="2728">
        <v>31</v>
      </c>
      <c r="AD3" s="2728">
        <v>46</v>
      </c>
      <c r="AE3" s="7596" t="s">
        <v>7036</v>
      </c>
      <c r="AF3" s="2730">
        <v>1</v>
      </c>
    </row>
    <row r="4" spans="1:32" ht="21" customHeight="1">
      <c r="B4" s="6638" t="s">
        <v>15713</v>
      </c>
      <c r="C4" s="6638" t="s">
        <v>15714</v>
      </c>
      <c r="D4" s="6639" t="s">
        <v>15715</v>
      </c>
      <c r="E4" s="6639" t="s">
        <v>15716</v>
      </c>
      <c r="F4" s="6639" t="s">
        <v>15717</v>
      </c>
      <c r="G4" s="6640"/>
      <c r="H4" s="6640"/>
      <c r="I4" s="6640"/>
      <c r="J4" s="6640"/>
      <c r="K4" s="6640"/>
      <c r="L4" s="6640"/>
      <c r="M4" s="6640"/>
      <c r="N4" s="6641"/>
      <c r="O4" s="6641"/>
      <c r="P4" s="6642" t="s">
        <v>15718</v>
      </c>
      <c r="Q4" s="6640"/>
      <c r="R4" s="6640"/>
      <c r="S4" s="6640"/>
      <c r="T4" s="6640"/>
      <c r="U4" s="6640"/>
      <c r="V4" s="6640"/>
      <c r="AF4" s="2730">
        <v>1</v>
      </c>
    </row>
    <row r="5" spans="1:32" ht="21" customHeight="1">
      <c r="B5" s="6534" t="s">
        <v>337</v>
      </c>
      <c r="C5" s="6643" t="s">
        <v>15719</v>
      </c>
      <c r="D5" s="6644"/>
      <c r="E5" s="6644"/>
      <c r="F5" s="6644"/>
      <c r="G5" s="6645"/>
      <c r="H5" s="6645"/>
      <c r="I5" s="6645"/>
      <c r="J5" s="6645"/>
      <c r="K5" s="6645"/>
      <c r="L5" s="6645"/>
      <c r="M5" s="6645"/>
      <c r="N5" s="6646"/>
      <c r="O5" s="6646"/>
      <c r="P5" s="8055" t="s">
        <v>15720</v>
      </c>
      <c r="Q5" s="8055"/>
      <c r="R5" s="8055"/>
      <c r="S5" s="8055"/>
      <c r="T5" s="8055"/>
      <c r="U5" s="8055"/>
      <c r="V5" s="8055"/>
      <c r="AD5" s="7597" t="s">
        <v>7044</v>
      </c>
      <c r="AE5" s="7598" t="str">
        <f>$AF$521</f>
        <v>AF521</v>
      </c>
      <c r="AF5" s="2730">
        <v>1</v>
      </c>
    </row>
    <row r="6" spans="1:32" ht="21" customHeight="1" thickBot="1">
      <c r="B6" s="6534" t="s">
        <v>337</v>
      </c>
      <c r="C6" s="6647" t="str">
        <f>IF(ISNUMBER(IFERROR(VALUE("0,5"),"")),"ATTENTION : sur cet ordinateur, le séparateur décimal est la VIRGULE",IF(ISNUMBER(IFERROR(VALUE("0.5"),"")),"  OK. TOUT VA BIEN : sur cet ordinateur. le séparateur décimal est le POINT","Impossible de déterminer le séparateur décimal"))</f>
        <v xml:space="preserve">  OK. TOUT VA BIEN : sur cet ordinateur. le séparateur décimal est le POINT</v>
      </c>
      <c r="D6" s="6644"/>
      <c r="E6" s="6644"/>
      <c r="F6" s="6644"/>
      <c r="G6" s="6640"/>
      <c r="H6" s="6640"/>
      <c r="I6" s="6640"/>
      <c r="J6" s="6640"/>
      <c r="K6" s="6640"/>
      <c r="L6" s="6640"/>
      <c r="M6" s="6640"/>
      <c r="N6" s="6646"/>
      <c r="O6" s="6646"/>
      <c r="P6" s="8055"/>
      <c r="Q6" s="8055"/>
      <c r="R6" s="8055"/>
      <c r="S6" s="8055"/>
      <c r="T6" s="8055"/>
      <c r="U6" s="8055"/>
      <c r="V6" s="8055"/>
      <c r="AF6" s="2730">
        <v>1</v>
      </c>
    </row>
    <row r="7" spans="1:32" ht="21" customHeight="1" thickBot="1">
      <c r="B7" s="6849" t="s">
        <v>337</v>
      </c>
      <c r="C7" s="6850" t="s">
        <v>337</v>
      </c>
      <c r="D7" s="6850" t="s">
        <v>337</v>
      </c>
      <c r="E7" s="6850" t="s">
        <v>337</v>
      </c>
      <c r="F7" s="6850" t="s">
        <v>337</v>
      </c>
      <c r="G7" s="6851" t="s">
        <v>15802</v>
      </c>
      <c r="H7" s="6852"/>
      <c r="I7" s="6853"/>
      <c r="J7" s="6854"/>
      <c r="K7" s="6855"/>
      <c r="L7" s="6856"/>
      <c r="M7" s="6856"/>
      <c r="N7" s="6854"/>
      <c r="O7" s="6854"/>
      <c r="P7" s="6854"/>
      <c r="Q7" s="6852"/>
      <c r="R7" s="6852"/>
      <c r="S7" s="6852"/>
      <c r="T7" s="6852"/>
      <c r="U7" s="6852"/>
      <c r="V7" s="6857" t="s">
        <v>2371</v>
      </c>
      <c r="AF7" s="2730">
        <v>1</v>
      </c>
    </row>
    <row r="8" spans="1:32" ht="21" customHeight="1">
      <c r="B8" s="6650" t="s">
        <v>337</v>
      </c>
      <c r="C8" s="6651" t="str">
        <f>C14</f>
        <v>B BOUDIN BLANC MAISON sans boyau AUX MORILLES | charcuterie-BOUDIN-BLANC| Auteur &gt; Blog MAMINA et si c'était bon</v>
      </c>
      <c r="D8" s="6652">
        <f>D14</f>
        <v>6</v>
      </c>
      <c r="E8" s="6652" t="str">
        <f>E14</f>
        <v>portions</v>
      </c>
      <c r="F8" s="6653" t="str">
        <f>F14</f>
        <v>Recette mère ► Boudin blanc</v>
      </c>
      <c r="G8" s="6654" t="s">
        <v>2</v>
      </c>
      <c r="H8" s="6655" t="s">
        <v>15721</v>
      </c>
      <c r="I8" s="6655"/>
      <c r="J8" s="8031" t="s">
        <v>15982</v>
      </c>
      <c r="K8" s="8031"/>
      <c r="L8" s="8031"/>
      <c r="M8" s="8031"/>
      <c r="N8" s="8031"/>
      <c r="O8" s="8031"/>
      <c r="P8" s="8031"/>
      <c r="Q8" s="8031"/>
      <c r="R8" s="8031"/>
      <c r="S8" s="8031"/>
      <c r="T8" s="8033" t="s">
        <v>16025</v>
      </c>
      <c r="U8" s="8033"/>
      <c r="V8" s="8035" t="str">
        <f>UPPER(LEFT(J8,1))</f>
        <v>B</v>
      </c>
      <c r="X8" s="7899" t="s">
        <v>7045</v>
      </c>
      <c r="Y8" s="7900"/>
      <c r="Z8" s="7900"/>
      <c r="AA8" s="7900"/>
      <c r="AB8" s="7900"/>
      <c r="AC8" s="7900"/>
      <c r="AD8" s="7901"/>
      <c r="AF8" s="2730">
        <v>1</v>
      </c>
    </row>
    <row r="9" spans="1:32" ht="21" customHeight="1">
      <c r="B9" s="6656" t="s">
        <v>337</v>
      </c>
      <c r="C9" s="6657" t="str">
        <f>C14</f>
        <v>B BOUDIN BLANC MAISON sans boyau AUX MORILLES | charcuterie-BOUDIN-BLANC| Auteur &gt; Blog MAMINA et si c'était bon</v>
      </c>
      <c r="D9" s="6658">
        <f>D14</f>
        <v>6</v>
      </c>
      <c r="E9" s="6658" t="str">
        <f>E14</f>
        <v>portions</v>
      </c>
      <c r="F9" s="6659" t="str">
        <f>F14</f>
        <v>Recette mère ► Boudin blanc</v>
      </c>
      <c r="G9" s="6660" t="s">
        <v>15722</v>
      </c>
      <c r="H9" s="6661" t="s">
        <v>15723</v>
      </c>
      <c r="I9" s="6661"/>
      <c r="J9" s="8032"/>
      <c r="K9" s="8032"/>
      <c r="L9" s="8032"/>
      <c r="M9" s="8032"/>
      <c r="N9" s="8032"/>
      <c r="O9" s="8032"/>
      <c r="P9" s="8032"/>
      <c r="Q9" s="8032"/>
      <c r="R9" s="8032"/>
      <c r="S9" s="8032"/>
      <c r="T9" s="8034"/>
      <c r="U9" s="8034"/>
      <c r="V9" s="8036"/>
      <c r="X9" s="7902"/>
      <c r="Y9" s="7903"/>
      <c r="Z9" s="7903"/>
      <c r="AA9" s="7903"/>
      <c r="AB9" s="7903"/>
      <c r="AC9" s="7903"/>
      <c r="AD9" s="7904"/>
      <c r="AF9" s="2730">
        <v>1</v>
      </c>
    </row>
    <row r="10" spans="1:32" ht="21" customHeight="1">
      <c r="B10" s="6656" t="s">
        <v>337</v>
      </c>
      <c r="C10" s="6662" t="str">
        <f>C14</f>
        <v>B BOUDIN BLANC MAISON sans boyau AUX MORILLES | charcuterie-BOUDIN-BLANC| Auteur &gt; Blog MAMINA et si c'était bon</v>
      </c>
      <c r="D10" s="6663">
        <f>D14</f>
        <v>6</v>
      </c>
      <c r="E10" s="6663" t="str">
        <f>E14</f>
        <v>portions</v>
      </c>
      <c r="F10" s="6664" t="str">
        <f>F14</f>
        <v>Recette mère ► Boudin blanc</v>
      </c>
      <c r="G10" s="6665"/>
      <c r="H10" s="6666" t="s">
        <v>15724</v>
      </c>
      <c r="I10" s="6667"/>
      <c r="J10" s="6668" t="s">
        <v>15725</v>
      </c>
      <c r="K10" s="6669" t="s">
        <v>15981</v>
      </c>
      <c r="L10" s="1"/>
      <c r="M10" s="1"/>
      <c r="N10" s="6669"/>
      <c r="O10" s="6669"/>
      <c r="P10" s="6669"/>
      <c r="Q10" s="6669"/>
      <c r="R10" s="6670"/>
      <c r="S10" s="1"/>
      <c r="T10" s="1"/>
      <c r="U10" s="1"/>
      <c r="V10" s="6671" t="str" cm="1">
        <f t="array" aca="1" ref="V10" ca="1">IF(COUNTIF(C39:V39,"&lt;0.5")=0,"Aucune colonne masquée ",COUNTIF(C39:V39,"&lt;0.5") &amp; " " &amp; IF(COUNTIF(C39:V39,"&lt;0.5")&gt;1,"colonnes masquées","colonne masquée") &amp; " " &amp; _xlfn.TEXTJOIN(" ", TRUE, IF(C39:V39&lt;0.5,C38:V38,"")))&amp;" "</f>
        <v xml:space="preserve">Aucune colonne masquée  </v>
      </c>
      <c r="X10" s="7902"/>
      <c r="Y10" s="7903"/>
      <c r="Z10" s="7903"/>
      <c r="AA10" s="7903"/>
      <c r="AB10" s="7903"/>
      <c r="AC10" s="7903"/>
      <c r="AD10" s="7904"/>
      <c r="AF10" s="2730">
        <v>1</v>
      </c>
    </row>
    <row r="11" spans="1:32" ht="21" customHeight="1">
      <c r="B11" s="6656" t="s">
        <v>337</v>
      </c>
      <c r="C11" s="6662" t="str">
        <f>C14</f>
        <v>B BOUDIN BLANC MAISON sans boyau AUX MORILLES | charcuterie-BOUDIN-BLANC| Auteur &gt; Blog MAMINA et si c'était bon</v>
      </c>
      <c r="D11" s="6663">
        <f>D14</f>
        <v>6</v>
      </c>
      <c r="E11" s="6663" t="str">
        <f>E14</f>
        <v>portions</v>
      </c>
      <c r="F11" s="6664" t="str">
        <f>F14</f>
        <v>Recette mère ► Boudin blanc</v>
      </c>
      <c r="G11" s="6672" t="s">
        <v>15727</v>
      </c>
      <c r="H11" s="6673"/>
      <c r="I11" s="6673"/>
      <c r="J11" s="6674" t="s">
        <v>15728</v>
      </c>
      <c r="K11" s="8022" t="str">
        <f>M14&amp;" "&amp;N14&amp;" ► Famille = "&amp;T8&amp;" ► "&amp;J8&amp;" "&amp;R11&amp;" "&amp;T11&amp;" "&amp;U11&amp;" "&amp;V11</f>
        <v>Recette mère ► Boudin blanc ► Famille = charcuterie-BOUDIN-BLANC ► BOUDIN BLANC MAISON sans boyau AUX MORILLES  ⓫  Dupliquée pour 25 portions</v>
      </c>
      <c r="L11" s="8022"/>
      <c r="M11" s="8022"/>
      <c r="N11" s="8022"/>
      <c r="O11" s="8022"/>
      <c r="P11" s="8022"/>
      <c r="Q11" s="8022"/>
      <c r="R11" s="8022"/>
      <c r="S11" s="6675"/>
      <c r="T11" s="6675" t="s">
        <v>15729</v>
      </c>
      <c r="U11" s="6676">
        <v>25</v>
      </c>
      <c r="V11" s="6677" t="str">
        <f>V13</f>
        <v>portions</v>
      </c>
      <c r="X11" s="2770" t="s">
        <v>7046</v>
      </c>
      <c r="Y11" s="2771"/>
      <c r="Z11" s="2771"/>
      <c r="AA11" s="2771"/>
      <c r="AB11" s="2771"/>
      <c r="AC11" s="2771"/>
      <c r="AD11" s="2772"/>
      <c r="AF11" s="2730">
        <v>1</v>
      </c>
    </row>
    <row r="12" spans="1:32" ht="21" customHeight="1">
      <c r="B12" s="6656" t="s">
        <v>337</v>
      </c>
      <c r="C12" s="6662" t="str">
        <f>C14</f>
        <v>B BOUDIN BLANC MAISON sans boyau AUX MORILLES | charcuterie-BOUDIN-BLANC| Auteur &gt; Blog MAMINA et si c'était bon</v>
      </c>
      <c r="D12" s="6663">
        <f>D14</f>
        <v>6</v>
      </c>
      <c r="E12" s="6663" t="str">
        <f>E14</f>
        <v>portions</v>
      </c>
      <c r="F12" s="6664" t="str">
        <f>F14</f>
        <v>Recette mère ► Boudin blanc</v>
      </c>
      <c r="G12" s="6678">
        <v>6</v>
      </c>
      <c r="H12" s="6679" t="s">
        <v>365</v>
      </c>
      <c r="I12" s="6672"/>
      <c r="J12" s="6672"/>
      <c r="K12" s="8022"/>
      <c r="L12" s="8022"/>
      <c r="M12" s="8022"/>
      <c r="N12" s="8022"/>
      <c r="O12" s="8022"/>
      <c r="P12" s="8022"/>
      <c r="Q12" s="8022"/>
      <c r="R12" s="8022"/>
      <c r="S12" s="2267"/>
      <c r="T12" s="2267"/>
      <c r="U12" s="6680" t="s">
        <v>15731</v>
      </c>
      <c r="V12" s="6681" t="s">
        <v>15732</v>
      </c>
      <c r="X12" s="7301"/>
      <c r="Y12" s="2774"/>
      <c r="Z12" s="2775"/>
      <c r="AA12" s="2775"/>
      <c r="AB12" s="2775"/>
      <c r="AC12" s="2775"/>
      <c r="AD12" s="7302"/>
      <c r="AF12" s="2730">
        <v>1</v>
      </c>
    </row>
    <row r="13" spans="1:32" ht="21" customHeight="1">
      <c r="B13" s="6656" t="s">
        <v>337</v>
      </c>
      <c r="C13" s="6662" t="str">
        <f>C14</f>
        <v>B BOUDIN BLANC MAISON sans boyau AUX MORILLES | charcuterie-BOUDIN-BLANC| Auteur &gt; Blog MAMINA et si c'était bon</v>
      </c>
      <c r="D13" s="6663">
        <f>D14</f>
        <v>6</v>
      </c>
      <c r="E13" s="6663" t="str">
        <f>E14</f>
        <v>portions</v>
      </c>
      <c r="F13" s="6664" t="str">
        <f>F14</f>
        <v>Recette mère ► Boudin blanc</v>
      </c>
      <c r="G13" s="6682"/>
      <c r="H13" s="6683" t="s">
        <v>15733</v>
      </c>
      <c r="I13" s="8023">
        <f>R33</f>
        <v>0.96500000000000008</v>
      </c>
      <c r="J13" s="8023"/>
      <c r="K13" s="6684" t="str" cm="1">
        <f t="array" ref="K13">"1= "&amp;IF(OR(G12&lt;=0,I13=""),"",_xlfn.LET(_xlpm.kg,IF(ISNUMBER(I13),I13,VALEUR(SUBSTITUTE(SUBSTITUTE(SUBSTITUTE(LOWER(I13),"kg",""),",",".")," ",""))),TEXT(ROUND(_xlpm.kg*1000/G12,2),"0.##")&amp;" g"))</f>
        <v>1= 160.83 g</v>
      </c>
      <c r="L13" s="6685">
        <f>IFERROR(U11/U13,0)</f>
        <v>4.166666666666667</v>
      </c>
      <c r="M13" s="6686" t="s">
        <v>15535</v>
      </c>
      <c r="N13" s="2789"/>
      <c r="O13" s="2789"/>
      <c r="P13" s="6687"/>
      <c r="Q13" s="6687"/>
      <c r="R13"/>
      <c r="S13" s="6688"/>
      <c r="T13" s="6688" t="s">
        <v>15734</v>
      </c>
      <c r="U13" s="6689">
        <v>6</v>
      </c>
      <c r="V13" s="6690" t="s">
        <v>365</v>
      </c>
      <c r="X13" s="2777" t="s">
        <v>7047</v>
      </c>
      <c r="Y13" s="2778"/>
      <c r="Z13" s="2779"/>
      <c r="AA13" s="1"/>
      <c r="AB13" s="1"/>
      <c r="AC13" s="2780" t="s">
        <v>7048</v>
      </c>
      <c r="AD13" s="2781"/>
      <c r="AF13" s="2730">
        <v>1</v>
      </c>
    </row>
    <row r="14" spans="1:32" ht="21" customHeight="1">
      <c r="B14" s="6656" t="s">
        <v>337</v>
      </c>
      <c r="C14" s="6691" t="str">
        <f>G14</f>
        <v>B BOUDIN BLANC MAISON sans boyau AUX MORILLES | charcuterie-BOUDIN-BLANC| Auteur &gt; Blog MAMINA et si c'était bon</v>
      </c>
      <c r="D14" s="6692">
        <f>G12</f>
        <v>6</v>
      </c>
      <c r="E14" s="6691" t="str">
        <f>H12</f>
        <v>portions</v>
      </c>
      <c r="F14" s="6693" t="str">
        <f>M14&amp;" "&amp;N14</f>
        <v>Recette mère ► Boudin blanc</v>
      </c>
      <c r="G14" s="6694" t="str">
        <f>UPPER(LEFT(J8,1))&amp;" "&amp;J8&amp;" | "&amp;T8&amp;"| "&amp;J10&amp;" "&amp;K10</f>
        <v>B BOUDIN BLANC MAISON sans boyau AUX MORILLES | charcuterie-BOUDIN-BLANC| Auteur &gt; Blog MAMINA et si c'était bon</v>
      </c>
      <c r="H14" s="6695" t="s">
        <v>15735</v>
      </c>
      <c r="I14" s="8024" t="s">
        <v>15736</v>
      </c>
      <c r="J14" s="8024"/>
      <c r="K14" s="8024"/>
      <c r="L14" s="6696"/>
      <c r="M14" s="6696" t="str">
        <f>IF(ISTEXT(N14),"Recette mère ►",H14)</f>
        <v>Recette mère ►</v>
      </c>
      <c r="N14" s="6697" t="s">
        <v>747</v>
      </c>
      <c r="O14" s="6697"/>
      <c r="P14" s="6697"/>
      <c r="Q14" s="6697"/>
      <c r="R14" s="6698"/>
      <c r="S14" s="6699"/>
      <c r="T14" s="6699"/>
      <c r="U14" s="6699"/>
      <c r="V14" s="6700" t="str">
        <f>IF(ISNUMBER(IFERROR(VALUE("0,5"),"")),"ATTENTION : sur cet ordinateur, le séparateur décimal est la VIRGULE",IF(ISNUMBER(IFERROR(VALUE("0.5"),"")),"  OK. TOUT VA BIEN : sur cet ordinateur. le séparateur décimal est le POINT","Impossible de déterminer le séparateur décimal"))</f>
        <v xml:space="preserve">  OK. TOUT VA BIEN : sur cet ordinateur. le séparateur décimal est le POINT</v>
      </c>
      <c r="X14" s="2782" t="s">
        <v>7049</v>
      </c>
      <c r="Y14" s="2778"/>
      <c r="Z14" s="2779"/>
      <c r="AA14" s="1"/>
      <c r="AB14" s="1"/>
      <c r="AC14" s="2783" t="s">
        <v>7050</v>
      </c>
      <c r="AD14" s="2781"/>
      <c r="AF14" s="2730">
        <v>1</v>
      </c>
    </row>
    <row r="15" spans="1:32" ht="21" customHeight="1">
      <c r="B15" s="6656" t="s">
        <v>337</v>
      </c>
      <c r="C15" s="6701" t="str">
        <f>C14</f>
        <v>B BOUDIN BLANC MAISON sans boyau AUX MORILLES | charcuterie-BOUDIN-BLANC| Auteur &gt; Blog MAMINA et si c'était bon</v>
      </c>
      <c r="D15" s="6701">
        <f>D14</f>
        <v>6</v>
      </c>
      <c r="E15" s="6701" t="str">
        <f>E14</f>
        <v>portions</v>
      </c>
      <c r="F15" s="6702" t="str">
        <f>F14</f>
        <v>Recette mère ► Boudin blanc</v>
      </c>
      <c r="G15" s="6638" t="s">
        <v>15737</v>
      </c>
      <c r="H15" s="6638" t="s">
        <v>15738</v>
      </c>
      <c r="I15" s="6638" t="s">
        <v>15739</v>
      </c>
      <c r="J15" s="6638" t="s">
        <v>15740</v>
      </c>
      <c r="K15" s="6703" t="s">
        <v>15741</v>
      </c>
      <c r="L15" s="6704" t="s">
        <v>15742</v>
      </c>
      <c r="M15" s="6638" t="s">
        <v>15743</v>
      </c>
      <c r="N15" s="6638" t="s">
        <v>15744</v>
      </c>
      <c r="O15" s="6638"/>
      <c r="P15" s="6638" t="s">
        <v>15745</v>
      </c>
      <c r="Q15" s="6638" t="s">
        <v>15746</v>
      </c>
      <c r="R15" s="6638" t="s">
        <v>15747</v>
      </c>
      <c r="S15" s="6638" t="s">
        <v>15748</v>
      </c>
      <c r="T15" s="6638" t="s">
        <v>15749</v>
      </c>
      <c r="U15" s="6638" t="s">
        <v>15750</v>
      </c>
      <c r="V15" s="6705" t="s">
        <v>15751</v>
      </c>
      <c r="X15" s="2782"/>
      <c r="Y15" s="2784" t="s">
        <v>7051</v>
      </c>
      <c r="Z15" s="2779"/>
      <c r="AA15" s="1"/>
      <c r="AB15" s="1"/>
      <c r="AC15" s="716" t="s">
        <v>7052</v>
      </c>
      <c r="AD15" s="2241"/>
      <c r="AF15" s="2730">
        <v>1</v>
      </c>
    </row>
    <row r="16" spans="1:32" ht="21" customHeight="1">
      <c r="B16" s="6656" t="s">
        <v>337</v>
      </c>
      <c r="C16" s="6662" t="str">
        <f>C14</f>
        <v>B BOUDIN BLANC MAISON sans boyau AUX MORILLES | charcuterie-BOUDIN-BLANC| Auteur &gt; Blog MAMINA et si c'était bon</v>
      </c>
      <c r="D16" s="6663">
        <f>D14</f>
        <v>6</v>
      </c>
      <c r="E16" s="6662" t="str">
        <f>E14</f>
        <v>portions</v>
      </c>
      <c r="F16" s="6664" t="str">
        <f>F14</f>
        <v>Recette mère ► Boudin blanc</v>
      </c>
      <c r="G16" s="6706" t="s">
        <v>2091</v>
      </c>
      <c r="H16" s="6707" t="s">
        <v>2102</v>
      </c>
      <c r="I16" s="6708"/>
      <c r="J16" s="8011" t="s">
        <v>15752</v>
      </c>
      <c r="K16" s="8025" t="s">
        <v>15753</v>
      </c>
      <c r="L16" s="8053" t="s">
        <v>15754</v>
      </c>
      <c r="M16" s="8027" t="s">
        <v>7176</v>
      </c>
      <c r="N16" s="7708" t="s">
        <v>2077</v>
      </c>
      <c r="O16" s="7712" t="s">
        <v>16246</v>
      </c>
      <c r="P16" s="6710" t="s">
        <v>61</v>
      </c>
      <c r="Q16" s="6711" t="s">
        <v>59</v>
      </c>
      <c r="R16" s="8029" t="s">
        <v>15755</v>
      </c>
      <c r="S16" s="7967" t="s">
        <v>59</v>
      </c>
      <c r="T16" s="8016" t="s">
        <v>15756</v>
      </c>
      <c r="U16" s="7969" t="s">
        <v>15757</v>
      </c>
      <c r="V16" s="8017" t="s">
        <v>15758</v>
      </c>
      <c r="X16" s="2782" t="s">
        <v>7053</v>
      </c>
      <c r="Y16" s="2778"/>
      <c r="Z16" s="2779"/>
      <c r="AA16" s="1"/>
      <c r="AB16" s="1"/>
      <c r="AC16" s="423" t="s">
        <v>7054</v>
      </c>
      <c r="AD16" s="2241"/>
      <c r="AF16" s="2730">
        <v>1</v>
      </c>
    </row>
    <row r="17" spans="2:32" ht="21" customHeight="1">
      <c r="B17" s="6656" t="s">
        <v>337</v>
      </c>
      <c r="C17" s="6662" t="str">
        <f>C14</f>
        <v>B BOUDIN BLANC MAISON sans boyau AUX MORILLES | charcuterie-BOUDIN-BLANC| Auteur &gt; Blog MAMINA et si c'était bon</v>
      </c>
      <c r="D17" s="6663">
        <f>D14</f>
        <v>6</v>
      </c>
      <c r="E17" s="6662" t="str">
        <f>E14</f>
        <v>portions</v>
      </c>
      <c r="F17" s="6664" t="str">
        <f>F14</f>
        <v>Recette mère ► Boudin blanc</v>
      </c>
      <c r="G17" s="6712" t="s">
        <v>2484</v>
      </c>
      <c r="H17" s="6713" t="s">
        <v>58</v>
      </c>
      <c r="I17" s="6714" t="s">
        <v>14840</v>
      </c>
      <c r="J17" s="7960"/>
      <c r="K17" s="7962"/>
      <c r="L17" s="7964"/>
      <c r="M17" s="8028"/>
      <c r="N17" s="7709" t="s">
        <v>15759</v>
      </c>
      <c r="O17" s="7713" t="s">
        <v>2373</v>
      </c>
      <c r="P17" s="6716" t="s">
        <v>15760</v>
      </c>
      <c r="Q17" s="6717">
        <v>1</v>
      </c>
      <c r="R17" s="8030"/>
      <c r="S17" s="7968"/>
      <c r="T17" s="7968"/>
      <c r="U17" s="7970"/>
      <c r="V17" s="8018"/>
      <c r="X17" s="2785"/>
      <c r="Y17" s="7303" t="s">
        <v>2370</v>
      </c>
      <c r="Z17" s="2784" t="s">
        <v>16026</v>
      </c>
      <c r="AA17" s="1"/>
      <c r="AB17" s="1"/>
      <c r="AC17" s="423" t="s">
        <v>7055</v>
      </c>
      <c r="AD17" s="2241"/>
      <c r="AF17" s="2730">
        <v>1</v>
      </c>
    </row>
    <row r="18" spans="2:32" ht="15.75">
      <c r="B18" s="6656" t="s">
        <v>337</v>
      </c>
      <c r="C18" s="6662" t="str">
        <f>C14</f>
        <v>B BOUDIN BLANC MAISON sans boyau AUX MORILLES | charcuterie-BOUDIN-BLANC| Auteur &gt; Blog MAMINA et si c'était bon</v>
      </c>
      <c r="D18" s="6663">
        <f>D14</f>
        <v>6</v>
      </c>
      <c r="E18" s="6662" t="str">
        <f>E14</f>
        <v>portions</v>
      </c>
      <c r="F18" s="6664" t="str">
        <f>F14</f>
        <v>Recette mère ► Boudin blanc</v>
      </c>
      <c r="G18" s="6718"/>
      <c r="H18" s="6719"/>
      <c r="I18" s="6720" t="str">
        <f t="shared" ref="I18:I32" si="4">IF(OR(ISTEXT(G18), G18&lt;=0, J18&lt;=0), "", "de")</f>
        <v/>
      </c>
      <c r="J18" s="6721">
        <v>600</v>
      </c>
      <c r="K18" s="6755" t="s">
        <v>1172</v>
      </c>
      <c r="L18" s="6723">
        <v>1</v>
      </c>
      <c r="M18" s="6724" t="str">
        <f>ROWS(M18:M18)&amp;" ►"</f>
        <v>1 ►</v>
      </c>
      <c r="N18" s="6725" t="s">
        <v>17880</v>
      </c>
      <c r="O18" s="7704" t="s">
        <v>10486</v>
      </c>
      <c r="P18" s="6726">
        <f>IF(R33=0,0,(R18/R33)*Q17*1000)</f>
        <v>621.7616580310879</v>
      </c>
      <c r="Q18" s="6727">
        <f>IF(R33=0, 0, (G18*L18)/(R33*Q17))</f>
        <v>0</v>
      </c>
      <c r="R18" s="6728" cm="1">
        <f t="array" ref="R18">IFERROR(_xlfn.XLOOKUP(UPPER(TRIM(K18)),UPPER(TRIM(G34:V34)),G35:V35,_xlfn.XLOOKUP(UPPER(TRIM(K18)),UPPER(TRIM(G36:V36)),G37:V37,0))*J18*IF(G18&gt;0,G18,1),0)</f>
        <v>0.6</v>
      </c>
      <c r="S18" s="6729">
        <f>IF(U13&lt;&gt;0,G18*L18*L13,0)</f>
        <v>0</v>
      </c>
      <c r="T18" s="6730">
        <f>H18</f>
        <v>0</v>
      </c>
      <c r="U18" s="6731">
        <f>IF(OR(ISBLANK(U13),U13=0),0,R18*L18*L13)</f>
        <v>2.5</v>
      </c>
      <c r="V18" s="6732" t="str">
        <f>IF(K18="","",IF(COUNTIF(N34:V34,SUBSTITUTE(TRIM(K18)," (s)",""))+COUNTIF(N36:V36,SUBSTITUTE(TRIM(K18)," (s)",""))&gt;0,IF(ROUND(U18,3)&gt;=1,ROUND(U18,3)&amp;" L",MAX(1,ROUND(U18*100,0))&amp;" cl"),IF(COUNTIF(G34:L34,SUBSTITUTE(TRIM(K18)," (s)",""))+COUNTIF(G36:L36,SUBSTITUTE(TRIM(K18)," (s)",""))&gt;0,IF(ROUND(U18,3)&gt;=1,ROUND(U18,3)&amp;" Kg",MAX(1,ROUND(U18*1000,0))&amp;" g"),"")))</f>
        <v>2.5 Kg</v>
      </c>
      <c r="X18" s="2785"/>
      <c r="Y18" s="2786" t="s">
        <v>2370</v>
      </c>
      <c r="Z18" s="2784" t="s">
        <v>7056</v>
      </c>
      <c r="AA18" s="1"/>
      <c r="AB18" s="1"/>
      <c r="AC18" s="1"/>
      <c r="AD18" s="2781"/>
      <c r="AF18" s="2730">
        <v>1</v>
      </c>
    </row>
    <row r="19" spans="2:32" ht="21" customHeight="1">
      <c r="B19" s="6589" t="str">
        <f>IF(N19&lt;&gt;"","A","►")</f>
        <v>A</v>
      </c>
      <c r="C19" s="6662" t="str">
        <f>C14</f>
        <v>B BOUDIN BLANC MAISON sans boyau AUX MORILLES | charcuterie-BOUDIN-BLANC| Auteur &gt; Blog MAMINA et si c'était bon</v>
      </c>
      <c r="D19" s="6663">
        <f>D14</f>
        <v>6</v>
      </c>
      <c r="E19" s="6662" t="str">
        <f>E14</f>
        <v>portions</v>
      </c>
      <c r="F19" s="6664" t="str">
        <f>F14</f>
        <v>Recette mère ► Boudin blanc</v>
      </c>
      <c r="G19" s="6718">
        <v>2</v>
      </c>
      <c r="H19" s="6733"/>
      <c r="I19" s="6720" t="str">
        <f t="shared" si="4"/>
        <v>de</v>
      </c>
      <c r="J19" s="6721">
        <v>25</v>
      </c>
      <c r="K19" s="6755" t="s">
        <v>1172</v>
      </c>
      <c r="L19" s="6723">
        <v>1</v>
      </c>
      <c r="M19" s="6734" t="str">
        <f>ROWS(M18:M19)&amp;" ►"</f>
        <v>2 ►</v>
      </c>
      <c r="N19" s="6725" t="s">
        <v>17881</v>
      </c>
      <c r="O19" s="7704" t="s">
        <v>10486</v>
      </c>
      <c r="P19" s="6726">
        <f>IF(R33=0,0,(R19/R33)*Q17*1000)</f>
        <v>51.813471502590673</v>
      </c>
      <c r="Q19" s="6735">
        <f>IF(R33=0, 0, (G19*L19)/(R33*Q17))</f>
        <v>2.0725388601036268</v>
      </c>
      <c r="R19" s="6728" cm="1">
        <f t="array" ref="R19">IFERROR(_xlfn.XLOOKUP(UPPER(TRIM(K19)),UPPER(TRIM(G34:V34)),G35:V35,_xlfn.XLOOKUP(UPPER(TRIM(K19)),UPPER(TRIM(G36:V36)),G37:V37,0))*J19*IF(G19&gt;0,G19,1),0)</f>
        <v>0.05</v>
      </c>
      <c r="S19" s="6736">
        <f>IF(U13&lt;&gt;0,G19*L19*L13,0)</f>
        <v>8.3333333333333339</v>
      </c>
      <c r="T19" s="6737">
        <f t="shared" ref="T19:T32" si="5">H19</f>
        <v>0</v>
      </c>
      <c r="U19" s="6731">
        <f>IF(OR(ISBLANK(U13),U13=0),0,R19*L19*L13)</f>
        <v>0.20833333333333337</v>
      </c>
      <c r="V19" s="6738" t="str">
        <f>IF(K19="","",IF(COUNTIF(N34:V34,SUBSTITUTE(TRIM(K19)," (s)",""))+COUNTIF(N36:V36,SUBSTITUTE(TRIM(K19)," (s)",""))&gt;0,IF(ROUND(U19,3)&gt;=1,ROUND(U19,3)&amp;" L",MAX(1,ROUND(U19*100,0))&amp;" cl"),IF(COUNTIF(G34:L34,SUBSTITUTE(TRIM(K19)," (s)",""))+COUNTIF(G36:L36,SUBSTITUTE(TRIM(K19)," (s)",""))&gt;0,IF(ROUND(U19,3)&gt;=1,ROUND(U19,3)&amp;" Kg",MAX(1,ROUND(U19*1000,0))&amp;" g"),"")))</f>
        <v>208 g</v>
      </c>
      <c r="X19" s="2782"/>
      <c r="Y19" s="6648" t="s">
        <v>16027</v>
      </c>
      <c r="Z19" s="2784"/>
      <c r="AA19" s="1"/>
      <c r="AB19" s="1"/>
      <c r="AC19" s="2783" t="s">
        <v>7057</v>
      </c>
      <c r="AD19" s="2241"/>
      <c r="AF19" s="2730">
        <v>1</v>
      </c>
    </row>
    <row r="20" spans="2:32" ht="21" customHeight="1">
      <c r="B20" s="6589" t="str">
        <f t="shared" ref="B20:B31" si="6">IF(N20&lt;&gt;"","A","►")</f>
        <v>A</v>
      </c>
      <c r="C20" s="6662" t="str">
        <f>C14</f>
        <v>B BOUDIN BLANC MAISON sans boyau AUX MORILLES | charcuterie-BOUDIN-BLANC| Auteur &gt; Blog MAMINA et si c'était bon</v>
      </c>
      <c r="D20" s="6663">
        <f>D14</f>
        <v>6</v>
      </c>
      <c r="E20" s="6662" t="str">
        <f>E14</f>
        <v>portions</v>
      </c>
      <c r="F20" s="6664" t="str">
        <f>F14</f>
        <v>Recette mère ► Boudin blanc</v>
      </c>
      <c r="G20" s="6718"/>
      <c r="H20" s="6733"/>
      <c r="I20" s="6720" t="str">
        <f t="shared" si="4"/>
        <v/>
      </c>
      <c r="J20" s="6721">
        <v>1</v>
      </c>
      <c r="K20" s="6760" t="s">
        <v>15784</v>
      </c>
      <c r="L20" s="6723">
        <v>1</v>
      </c>
      <c r="M20" s="6734" t="str">
        <f>ROWS(M18:M20)&amp;" ►"</f>
        <v>3 ►</v>
      </c>
      <c r="N20" s="6725" t="s">
        <v>17882</v>
      </c>
      <c r="O20" s="7704" t="s">
        <v>17879</v>
      </c>
      <c r="P20" s="6726">
        <f>IF(R33=0,0,(R20/R33)*Q17*1000)</f>
        <v>233.16062176165804</v>
      </c>
      <c r="Q20" s="6735">
        <f>IF(R33=0, 0, (G20*L20)/(R33*Q17))</f>
        <v>0</v>
      </c>
      <c r="R20" s="6728" cm="1">
        <f t="array" ref="R20">IFERROR(_xlfn.XLOOKUP(UPPER(TRIM(K20)),UPPER(TRIM(G34:V34)),G35:V35,_xlfn.XLOOKUP(UPPER(TRIM(K20)),UPPER(TRIM(G36:V36)),G37:V37,0))*J20*IF(G20&gt;0,G20,1),0)</f>
        <v>0.22500000000000001</v>
      </c>
      <c r="S20" s="6739">
        <f>IF(U13&lt;&gt;0,G20*L20*L13,0)</f>
        <v>0</v>
      </c>
      <c r="T20" s="6740">
        <f t="shared" si="5"/>
        <v>0</v>
      </c>
      <c r="U20" s="6731">
        <f>IF(OR(ISBLANK(U13),U13=0),0,R20*L20*L13)</f>
        <v>0.93750000000000011</v>
      </c>
      <c r="V20" s="6741" t="str">
        <f>IF(K20="","",IF(COUNTIF(N34:V34,SUBSTITUTE(TRIM(K20)," (s)",""))+COUNTIF(N36:V36,SUBSTITUTE(TRIM(K20)," (s)",""))&gt;0,IF(ROUND(U20,3)&gt;=1,ROUND(U20,3)&amp;" L",MAX(1,ROUND(U20*100,0))&amp;" cl"),IF(COUNTIF(G34:L34,SUBSTITUTE(TRIM(K20)," (s)",""))+COUNTIF(G36:L36,SUBSTITUTE(TRIM(K20)," (s)",""))&gt;0,IF(ROUND(U20,3)&gt;=1,ROUND(U20,3)&amp;" Kg",MAX(1,ROUND(U20*1000,0))&amp;" g"),"")))</f>
        <v>94 cl</v>
      </c>
      <c r="X20" s="7304"/>
      <c r="Y20" s="7305" t="s">
        <v>337</v>
      </c>
      <c r="Z20" s="2784" t="s">
        <v>16028</v>
      </c>
      <c r="AA20" s="1"/>
      <c r="AB20" s="1"/>
      <c r="AC20" s="716" t="s">
        <v>7058</v>
      </c>
      <c r="AD20" s="2241"/>
      <c r="AF20" s="2730">
        <v>1</v>
      </c>
    </row>
    <row r="21" spans="2:32" ht="21" customHeight="1">
      <c r="B21" s="6589" t="str">
        <f t="shared" si="6"/>
        <v>A</v>
      </c>
      <c r="C21" s="6662" t="str">
        <f>C14</f>
        <v>B BOUDIN BLANC MAISON sans boyau AUX MORILLES | charcuterie-BOUDIN-BLANC| Auteur &gt; Blog MAMINA et si c'était bon</v>
      </c>
      <c r="D21" s="6663">
        <f>D14</f>
        <v>6</v>
      </c>
      <c r="E21" s="6662" t="str">
        <f>E14</f>
        <v>portions</v>
      </c>
      <c r="F21" s="6664" t="str">
        <f>F14</f>
        <v>Recette mère ► Boudin blanc</v>
      </c>
      <c r="G21" s="6718"/>
      <c r="H21" s="6733"/>
      <c r="I21" s="6720" t="str">
        <f t="shared" si="4"/>
        <v/>
      </c>
      <c r="J21" s="6721">
        <v>2</v>
      </c>
      <c r="K21" s="6760" t="s">
        <v>15782</v>
      </c>
      <c r="L21" s="6723">
        <v>1</v>
      </c>
      <c r="M21" s="6734" t="str">
        <f>ROWS(M18:M21)&amp;" ►"</f>
        <v>4 ►</v>
      </c>
      <c r="N21" s="6725" t="s">
        <v>17883</v>
      </c>
      <c r="O21" s="7704" t="s">
        <v>17874</v>
      </c>
      <c r="P21" s="6726">
        <f>IF(R33=0,0,(R21/R33)*Q17*1000)</f>
        <v>31.088082901554401</v>
      </c>
      <c r="Q21" s="6735">
        <f>IF(R33=0, 0, (G21*L21)/(R33*Q17))</f>
        <v>0</v>
      </c>
      <c r="R21" s="6728" cm="1">
        <f t="array" ref="R21">IFERROR(_xlfn.XLOOKUP(UPPER(TRIM(K21)),UPPER(TRIM(G34:V34)),G35:V35,_xlfn.XLOOKUP(UPPER(TRIM(K21)),UPPER(TRIM(G36:V36)),G37:V37,0))*J21*IF(G21&gt;0,G21,1),0)</f>
        <v>0.03</v>
      </c>
      <c r="S21" s="6736">
        <f>IF(U13&lt;&gt;0,G21*L21*L13,0)</f>
        <v>0</v>
      </c>
      <c r="T21" s="6737">
        <f t="shared" si="5"/>
        <v>0</v>
      </c>
      <c r="U21" s="6731">
        <f>IF(OR(ISBLANK(U13),U13=0),0,R21*L21*L13)</f>
        <v>0.125</v>
      </c>
      <c r="V21" s="6746" t="str">
        <f>IF(K21="","",IF(COUNTIF(N34:V34,SUBSTITUTE(TRIM(K21)," (s)",""))+COUNTIF(N36:V36,SUBSTITUTE(TRIM(K21)," (s)",""))&gt;0,IF(ROUND(U21,3)&gt;=1,ROUND(U21,3)&amp;" L",MAX(1,ROUND(U21*100,0))&amp;" cl"),IF(COUNTIF(G34:L34,SUBSTITUTE(TRIM(K21)," (s)",""))+COUNTIF(G36:L36,SUBSTITUTE(TRIM(K21)," (s)",""))&gt;0,IF(ROUND(U21,3)&gt;=1,ROUND(U21,3)&amp;" Kg",MAX(1,ROUND(U21*1000,0))&amp;" g"),"")))</f>
        <v>13 cl</v>
      </c>
      <c r="X21" s="7304"/>
      <c r="Y21" s="7305" t="s">
        <v>337</v>
      </c>
      <c r="Z21" s="2784" t="s">
        <v>16029</v>
      </c>
      <c r="AA21" s="1"/>
      <c r="AB21" s="1"/>
      <c r="AC21" s="12" t="s">
        <v>7059</v>
      </c>
      <c r="AD21" s="2241"/>
      <c r="AF21" s="2730">
        <v>1</v>
      </c>
    </row>
    <row r="22" spans="2:32" ht="21" customHeight="1">
      <c r="B22" s="6589" t="str">
        <f t="shared" si="6"/>
        <v>A</v>
      </c>
      <c r="C22" s="6662" t="str">
        <f>C14</f>
        <v>B BOUDIN BLANC MAISON sans boyau AUX MORILLES | charcuterie-BOUDIN-BLANC| Auteur &gt; Blog MAMINA et si c'était bon</v>
      </c>
      <c r="D22" s="6663">
        <f>D14</f>
        <v>6</v>
      </c>
      <c r="E22" s="6662" t="str">
        <f>E14</f>
        <v>portions</v>
      </c>
      <c r="F22" s="6664" t="str">
        <f>F14</f>
        <v>Recette mère ► Boudin blanc</v>
      </c>
      <c r="G22" s="6718">
        <v>2</v>
      </c>
      <c r="H22" s="6733" t="s">
        <v>15957</v>
      </c>
      <c r="I22" s="6720" t="str">
        <f t="shared" si="4"/>
        <v>de</v>
      </c>
      <c r="J22" s="6721">
        <v>30</v>
      </c>
      <c r="K22" s="6755" t="s">
        <v>1172</v>
      </c>
      <c r="L22" s="6723">
        <v>1</v>
      </c>
      <c r="M22" s="6734" t="str">
        <f>ROWS(M18:M22)&amp;" ►"</f>
        <v>5 ►</v>
      </c>
      <c r="N22" s="6725" t="s">
        <v>17884</v>
      </c>
      <c r="O22" s="7704" t="s">
        <v>17875</v>
      </c>
      <c r="P22" s="6726">
        <f>IF(R33=0,0,(R22/R33)*Q17*1000)</f>
        <v>62.176165803108802</v>
      </c>
      <c r="Q22" s="6735">
        <f>IF(R33=0, 0, (G22*L22)/(R33*Q17))</f>
        <v>2.0725388601036268</v>
      </c>
      <c r="R22" s="6728" cm="1">
        <f t="array" ref="R22">IFERROR(_xlfn.XLOOKUP(UPPER(TRIM(K22)),UPPER(TRIM(G34:V34)),G35:V35,_xlfn.XLOOKUP(UPPER(TRIM(K22)),UPPER(TRIM(G36:V36)),G37:V37,0))*J22*IF(G22&gt;0,G22,1),0)</f>
        <v>0.06</v>
      </c>
      <c r="S22" s="6739">
        <f>IF(U13&lt;&gt;0,G22*L22*L13,0)</f>
        <v>8.3333333333333339</v>
      </c>
      <c r="T22" s="6740" t="str">
        <f t="shared" si="5"/>
        <v>blancs</v>
      </c>
      <c r="U22" s="6731">
        <f>IF(OR(ISBLANK(U13),U13=0),0,R22*L22*L13)</f>
        <v>0.25</v>
      </c>
      <c r="V22" s="6741" t="str">
        <f>IF(K22="","",IF(COUNTIF(N34:V34,SUBSTITUTE(TRIM(K22)," (s)",""))+COUNTIF(N36:V36,SUBSTITUTE(TRIM(K22)," (s)",""))&gt;0,IF(ROUND(U22,3)&gt;=1,ROUND(U22,3)&amp;" L",MAX(1,ROUND(U22*100,0))&amp;" cl"),IF(COUNTIF(G34:L34,SUBSTITUTE(TRIM(K22)," (s)",""))+COUNTIF(G36:L36,SUBSTITUTE(TRIM(K22)," (s)",""))&gt;0,IF(ROUND(U22,3)&gt;=1,ROUND(U22,3)&amp;" Kg",MAX(1,ROUND(U22*1000,0))&amp;" g"),"")))</f>
        <v>250 g</v>
      </c>
      <c r="X22" s="2785"/>
      <c r="Y22" s="7305" t="s">
        <v>337</v>
      </c>
      <c r="Z22" s="2784" t="s">
        <v>16030</v>
      </c>
      <c r="AA22" s="1"/>
      <c r="AB22" s="1"/>
      <c r="AC22" s="423" t="s">
        <v>7060</v>
      </c>
      <c r="AD22" s="2241"/>
      <c r="AF22" s="2730">
        <v>1</v>
      </c>
    </row>
    <row r="23" spans="2:32" ht="21" customHeight="1">
      <c r="B23" s="6589" t="str">
        <f t="shared" si="6"/>
        <v>A</v>
      </c>
      <c r="C23" s="6662" t="str">
        <f>C14</f>
        <v>B BOUDIN BLANC MAISON sans boyau AUX MORILLES | charcuterie-BOUDIN-BLANC| Auteur &gt; Blog MAMINA et si c'était bon</v>
      </c>
      <c r="D23" s="6663">
        <f>D14</f>
        <v>6</v>
      </c>
      <c r="E23" s="6662" t="str">
        <f>E14</f>
        <v>portions</v>
      </c>
      <c r="F23" s="6664" t="str">
        <f>F14</f>
        <v>Recette mère ► Boudin blanc</v>
      </c>
      <c r="G23" s="6718">
        <v>12</v>
      </c>
      <c r="H23" s="6733" t="s">
        <v>15958</v>
      </c>
      <c r="I23" s="6720" t="str">
        <f t="shared" si="4"/>
        <v/>
      </c>
      <c r="J23" s="6721"/>
      <c r="K23" s="6722"/>
      <c r="L23" s="6723">
        <v>1</v>
      </c>
      <c r="M23" s="6734" t="str">
        <f>ROWS(M18:M23)&amp;" ►"</f>
        <v>6 ►</v>
      </c>
      <c r="N23" s="6725" t="s">
        <v>17885</v>
      </c>
      <c r="O23" s="7704" t="s">
        <v>10486</v>
      </c>
      <c r="P23" s="6726">
        <f>IF(R33=0,0,(R23/R33)*Q17*1000)</f>
        <v>0</v>
      </c>
      <c r="Q23" s="6735">
        <f>IF(R33=0, 0, (G23*L23)/(R33*Q17))</f>
        <v>12.435233160621761</v>
      </c>
      <c r="R23" s="6728" cm="1">
        <f t="array" ref="R23">IFERROR(_xlfn.XLOOKUP(UPPER(TRIM(K23)),UPPER(TRIM(G34:V34)),G35:V35,_xlfn.XLOOKUP(UPPER(TRIM(K23)),UPPER(TRIM(G36:V36)),G37:V37,0))*J23*IF(G23&gt;0,G23,1),0)</f>
        <v>0</v>
      </c>
      <c r="S23" s="6736">
        <f>IF(U13&lt;&gt;0,G23*L23*L13,0)</f>
        <v>50</v>
      </c>
      <c r="T23" s="6737" t="str">
        <f t="shared" si="5"/>
        <v>morilles</v>
      </c>
      <c r="U23" s="6731">
        <f>IF(OR(ISBLANK(U13),U13=0),0,R23*L23*L13)</f>
        <v>0</v>
      </c>
      <c r="V23" s="6746" t="str">
        <f>IF(K23="","",IF(COUNTIF(N34:V34,SUBSTITUTE(TRIM(K23)," (s)",""))+COUNTIF(N36:V36,SUBSTITUTE(TRIM(K23)," (s)",""))&gt;0,IF(ROUND(U23,3)&gt;=1,ROUND(U23,3)&amp;" L",MAX(1,ROUND(U23*100,0))&amp;" cl"),IF(COUNTIF(G34:L34,SUBSTITUTE(TRIM(K23)," (s)",""))+COUNTIF(G36:L36,SUBSTITUTE(TRIM(K23)," (s)",""))&gt;0,IF(ROUND(U23,3)&gt;=1,ROUND(U23,3)&amp;" Kg",MAX(1,ROUND(U23*1000,0))&amp;" g"),"")))</f>
        <v/>
      </c>
      <c r="X23" s="2787" t="s">
        <v>7061</v>
      </c>
      <c r="Y23" s="2788"/>
      <c r="Z23" s="2789"/>
      <c r="AA23" s="1"/>
      <c r="AB23" s="1"/>
      <c r="AC23" s="423" t="s">
        <v>7062</v>
      </c>
      <c r="AD23" s="2781"/>
      <c r="AF23" s="2730">
        <v>1</v>
      </c>
    </row>
    <row r="24" spans="2:32" ht="21" customHeight="1">
      <c r="B24" s="6589" t="str">
        <f t="shared" si="6"/>
        <v>A</v>
      </c>
      <c r="C24" s="6662" t="str">
        <f>C14</f>
        <v>B BOUDIN BLANC MAISON sans boyau AUX MORILLES | charcuterie-BOUDIN-BLANC| Auteur &gt; Blog MAMINA et si c'était bon</v>
      </c>
      <c r="D24" s="6663">
        <f>D14</f>
        <v>6</v>
      </c>
      <c r="E24" s="6662" t="str">
        <f>E14</f>
        <v>portions</v>
      </c>
      <c r="F24" s="6664" t="str">
        <f>F14</f>
        <v>Recette mère ► Boudin blanc</v>
      </c>
      <c r="G24" s="6718">
        <v>2</v>
      </c>
      <c r="H24" s="6733" t="s">
        <v>15956</v>
      </c>
      <c r="I24" s="6720" t="str">
        <f t="shared" si="4"/>
        <v/>
      </c>
      <c r="J24" s="6721"/>
      <c r="K24" s="6722"/>
      <c r="L24" s="6723">
        <v>1</v>
      </c>
      <c r="M24" s="6734" t="str">
        <f>ROWS(M18:M24)&amp;" ►"</f>
        <v>7 ►</v>
      </c>
      <c r="N24" s="6725" t="s">
        <v>17886</v>
      </c>
      <c r="O24" s="7704" t="s">
        <v>10486</v>
      </c>
      <c r="P24" s="6726">
        <f>IF(R33=0,0,(R24/R33)*Q17*1000)</f>
        <v>0</v>
      </c>
      <c r="Q24" s="6735">
        <f>IF(R33=0, 0, (G24*L24)/(R33*Q17))</f>
        <v>2.0725388601036268</v>
      </c>
      <c r="R24" s="6728" cm="1">
        <f t="array" ref="R24">IFERROR(_xlfn.XLOOKUP(UPPER(TRIM(K24)),UPPER(TRIM(G34:V34)),G35:V35,_xlfn.XLOOKUP(UPPER(TRIM(K24)),UPPER(TRIM(G36:V36)),G37:V37,0))*J24*IF(G24&gt;0,G24,1),0)</f>
        <v>0</v>
      </c>
      <c r="S24" s="6739">
        <f>IF(U13&lt;&gt;0,G24*L24*L13,0)</f>
        <v>8.3333333333333339</v>
      </c>
      <c r="T24" s="6740" t="str">
        <f t="shared" si="5"/>
        <v>C/soupe</v>
      </c>
      <c r="U24" s="6731">
        <f>IF(OR(ISBLANK(U13),U13=0),0,R24*L24*L13)</f>
        <v>0</v>
      </c>
      <c r="V24" s="6741" t="str">
        <f>IF(K24="","",IF(COUNTIF(N34:V34,SUBSTITUTE(TRIM(K24)," (s)",""))+COUNTIF(N36:V36,SUBSTITUTE(TRIM(K24)," (s)",""))&gt;0,IF(ROUND(U24,3)&gt;=1,ROUND(U24,3)&amp;" L",MAX(1,ROUND(U24*100,0))&amp;" cl"),IF(COUNTIF(G34:L34,SUBSTITUTE(TRIM(K24)," (s)",""))+COUNTIF(G36:L36,SUBSTITUTE(TRIM(K24)," (s)",""))&gt;0,IF(ROUND(U24,3)&gt;=1,ROUND(U24,3)&amp;" Kg",MAX(1,ROUND(U24*1000,0))&amp;" g"),"")))</f>
        <v/>
      </c>
      <c r="X24" s="2777"/>
      <c r="Y24" s="7306" t="s">
        <v>337</v>
      </c>
      <c r="Z24" s="2789" t="s">
        <v>7063</v>
      </c>
      <c r="AA24" s="1"/>
      <c r="AB24" s="1"/>
      <c r="AC24" s="1"/>
      <c r="AD24" s="2241"/>
      <c r="AF24" s="2730">
        <v>1</v>
      </c>
    </row>
    <row r="25" spans="2:32" ht="21" customHeight="1">
      <c r="B25" s="6589" t="str">
        <f t="shared" si="6"/>
        <v>A</v>
      </c>
      <c r="C25" s="6662" t="str">
        <f>C14</f>
        <v>B BOUDIN BLANC MAISON sans boyau AUX MORILLES | charcuterie-BOUDIN-BLANC| Auteur &gt; Blog MAMINA et si c'était bon</v>
      </c>
      <c r="D25" s="6663">
        <f>D14</f>
        <v>6</v>
      </c>
      <c r="E25" s="6662" t="str">
        <f>E14</f>
        <v>portions</v>
      </c>
      <c r="F25" s="6664" t="str">
        <f>F14</f>
        <v>Recette mère ► Boudin blanc</v>
      </c>
      <c r="G25" s="6718">
        <v>1</v>
      </c>
      <c r="H25" s="6733" t="s">
        <v>113</v>
      </c>
      <c r="I25" s="6720" t="str">
        <f t="shared" si="4"/>
        <v/>
      </c>
      <c r="J25" s="6721"/>
      <c r="K25" s="6722"/>
      <c r="L25" s="6723">
        <v>1</v>
      </c>
      <c r="M25" s="6734" t="str">
        <f>ROWS(M18:M25)&amp;" ►"</f>
        <v>8 ►</v>
      </c>
      <c r="N25" s="6725" t="s">
        <v>17887</v>
      </c>
      <c r="O25" s="7704" t="s">
        <v>10486</v>
      </c>
      <c r="P25" s="6726">
        <f>IF(R33=0,0,(R25/R33)*Q17*1000)</f>
        <v>0</v>
      </c>
      <c r="Q25" s="6735">
        <f>IF(R33=0, 0, (G25*L25)/(R33*Q17))</f>
        <v>1.0362694300518134</v>
      </c>
      <c r="R25" s="6728" cm="1">
        <f t="array" ref="R25">IFERROR(_xlfn.XLOOKUP(UPPER(TRIM(K25)),UPPER(TRIM(G34:V34)),G35:V35,_xlfn.XLOOKUP(UPPER(TRIM(K25)),UPPER(TRIM(G36:V36)),G37:V37,0))*J25*IF(G25&gt;0,G25,1),0)</f>
        <v>0</v>
      </c>
      <c r="S25" s="6736">
        <f>IF(U13&lt;&gt;0,G25*L25*L13,0)</f>
        <v>4.166666666666667</v>
      </c>
      <c r="T25" s="6737" t="str">
        <f t="shared" si="5"/>
        <v>pincée</v>
      </c>
      <c r="U25" s="6731">
        <f>IF(OR(ISBLANK(U13),U13=0),0,R25*L25*L13)</f>
        <v>0</v>
      </c>
      <c r="V25" s="6746" t="str">
        <f>IF(K25="","",IF(COUNTIF(N34:V34,SUBSTITUTE(TRIM(K25)," (s)",""))+COUNTIF(N36:V36,SUBSTITUTE(TRIM(K25)," (s)",""))&gt;0,IF(ROUND(U25,3)&gt;=1,ROUND(U25,3)&amp;" L",MAX(1,ROUND(U25*100,0))&amp;" cl"),IF(COUNTIF(G34:L34,SUBSTITUTE(TRIM(K25)," (s)",""))+COUNTIF(G36:L36,SUBSTITUTE(TRIM(K25)," (s)",""))&gt;0,IF(ROUND(U25,3)&gt;=1,ROUND(U25,3)&amp;" Kg",MAX(1,ROUND(U25*1000,0))&amp;" g"),"")))</f>
        <v/>
      </c>
      <c r="X25" s="2790"/>
      <c r="Y25" s="7306" t="s">
        <v>337</v>
      </c>
      <c r="Z25" s="2789" t="s">
        <v>7064</v>
      </c>
      <c r="AA25" s="1"/>
      <c r="AB25" s="1"/>
      <c r="AC25" s="2783" t="s">
        <v>7065</v>
      </c>
      <c r="AD25" s="2241"/>
      <c r="AF25" s="2730">
        <v>1</v>
      </c>
    </row>
    <row r="26" spans="2:32" ht="21" customHeight="1">
      <c r="B26" s="6589" t="str">
        <f t="shared" si="6"/>
        <v>A</v>
      </c>
      <c r="C26" s="6662" t="str">
        <f>C14</f>
        <v>B BOUDIN BLANC MAISON sans boyau AUX MORILLES | charcuterie-BOUDIN-BLANC| Auteur &gt; Blog MAMINA et si c'était bon</v>
      </c>
      <c r="D26" s="6663">
        <f>D14</f>
        <v>6</v>
      </c>
      <c r="E26" s="6662" t="str">
        <f>E14</f>
        <v>portions</v>
      </c>
      <c r="F26" s="6664" t="str">
        <f>F14</f>
        <v>Recette mère ► Boudin blanc</v>
      </c>
      <c r="G26" s="6718">
        <v>1</v>
      </c>
      <c r="H26" s="6733" t="s">
        <v>15959</v>
      </c>
      <c r="I26" s="6720" t="str">
        <f t="shared" si="4"/>
        <v/>
      </c>
      <c r="J26" s="6721"/>
      <c r="K26" s="6722"/>
      <c r="L26" s="6723">
        <v>1</v>
      </c>
      <c r="M26" s="6734" t="str">
        <f>ROWS(M18:M26)&amp;" ►"</f>
        <v>9 ►</v>
      </c>
      <c r="N26" s="6725" t="s">
        <v>17888</v>
      </c>
      <c r="O26" s="7704" t="s">
        <v>17874</v>
      </c>
      <c r="P26" s="6726">
        <f>IF(R33=0,0,(R26/R33)*Q17*1000)</f>
        <v>0</v>
      </c>
      <c r="Q26" s="6735">
        <f>IF(R33=0, 0, (G26*L26)/(R33*Q17))</f>
        <v>1.0362694300518134</v>
      </c>
      <c r="R26" s="6728" cm="1">
        <f t="array" ref="R26">IFERROR(_xlfn.XLOOKUP(UPPER(TRIM(K26)),UPPER(TRIM(G34:V34)),G35:V35,_xlfn.XLOOKUP(UPPER(TRIM(K26)),UPPER(TRIM(G36:V36)),G37:V37,0))*J26*IF(G26&gt;0,G26,1),0)</f>
        <v>0</v>
      </c>
      <c r="S26" s="6739">
        <f>IF(U13&lt;&gt;0,G26*L26*L13,0)</f>
        <v>4.166666666666667</v>
      </c>
      <c r="T26" s="6740" t="str">
        <f t="shared" si="5"/>
        <v>noisette</v>
      </c>
      <c r="U26" s="6731">
        <f>IF(OR(ISBLANK(U13),U13=0),0,R26*L26*L13)</f>
        <v>0</v>
      </c>
      <c r="V26" s="6741" t="str">
        <f>IF(K26="","",IF(COUNTIF(N34:V34,SUBSTITUTE(TRIM(K26)," (s)",""))+COUNTIF(N36:V36,SUBSTITUTE(TRIM(K26)," (s)",""))&gt;0,IF(ROUND(U26,3)&gt;=1,ROUND(U26,3)&amp;" L",MAX(1,ROUND(U26*100,0))&amp;" cl"),IF(COUNTIF(G34:L34,SUBSTITUTE(TRIM(K26)," (s)",""))+COUNTIF(G36:L36,SUBSTITUTE(TRIM(K26)," (s)",""))&gt;0,IF(ROUND(U26,3)&gt;=1,ROUND(U26,3)&amp;" Kg",MAX(1,ROUND(U26*1000,0))&amp;" g"),"")))</f>
        <v/>
      </c>
      <c r="X26" s="294"/>
      <c r="Y26" s="2791"/>
      <c r="Z26" s="1"/>
      <c r="AA26" s="1"/>
      <c r="AB26" s="1"/>
      <c r="AC26" s="716" t="s">
        <v>7066</v>
      </c>
      <c r="AD26" s="2241"/>
      <c r="AF26" s="2730">
        <v>1</v>
      </c>
    </row>
    <row r="27" spans="2:32" ht="21" customHeight="1">
      <c r="B27" s="6589" t="str">
        <f t="shared" si="6"/>
        <v>A</v>
      </c>
      <c r="C27" s="6662" t="str">
        <f>C14</f>
        <v>B BOUDIN BLANC MAISON sans boyau AUX MORILLES | charcuterie-BOUDIN-BLANC| Auteur &gt; Blog MAMINA et si c'était bon</v>
      </c>
      <c r="D27" s="6663">
        <f>D14</f>
        <v>6</v>
      </c>
      <c r="E27" s="6662" t="str">
        <f>E14</f>
        <v>portions</v>
      </c>
      <c r="F27" s="6664" t="str">
        <f>F14</f>
        <v>Recette mère ► Boudin blanc</v>
      </c>
      <c r="G27" s="6742"/>
      <c r="H27" s="6743" t="s">
        <v>15960</v>
      </c>
      <c r="I27" s="6720" t="str">
        <f t="shared" si="4"/>
        <v/>
      </c>
      <c r="J27" s="6744"/>
      <c r="K27" s="6722"/>
      <c r="L27" s="6723">
        <v>1</v>
      </c>
      <c r="M27" s="6734" t="str">
        <f>ROWS(M18:M27)&amp;" ►"</f>
        <v>10 ►</v>
      </c>
      <c r="N27" s="6725" t="s">
        <v>17889</v>
      </c>
      <c r="O27" s="7704" t="s">
        <v>10486</v>
      </c>
      <c r="P27" s="6726">
        <f>IF(R33=0,0,(R27/R33)*Q17*1000)</f>
        <v>0</v>
      </c>
      <c r="Q27" s="6735">
        <f>IF(R33=0, 0, (G27*L27)/(R33*Q17))</f>
        <v>0</v>
      </c>
      <c r="R27" s="6728" cm="1">
        <f t="array" ref="R27">IFERROR(_xlfn.XLOOKUP(UPPER(TRIM(K27)),UPPER(TRIM(G34:V34)),G35:V35,_xlfn.XLOOKUP(UPPER(TRIM(K27)),UPPER(TRIM(G36:V36)),G37:V37,0))*J27*IF(G27&gt;0,G27,1),0)</f>
        <v>0</v>
      </c>
      <c r="S27" s="6736">
        <f>IF(U13&lt;&gt;0,G27*L27*L13,0)</f>
        <v>0</v>
      </c>
      <c r="T27" s="6737" t="str">
        <f t="shared" si="5"/>
        <v>PM</v>
      </c>
      <c r="U27" s="6731">
        <f>IF(OR(ISBLANK(U13),U13=0),0,R27*L27*L13)</f>
        <v>0</v>
      </c>
      <c r="V27" s="6746" t="str">
        <f>IF(K27="","",IF(COUNTIF(N34:V34,SUBSTITUTE(TRIM(K27)," (s)",""))+COUNTIF(N36:V36,SUBSTITUTE(TRIM(K27)," (s)",""))&gt;0,IF(ROUND(U27,3)&gt;=1,ROUND(U27,3)&amp;" L",MAX(1,ROUND(U27*100,0))&amp;" cl"),IF(COUNTIF(G34:L34,SUBSTITUTE(TRIM(K27)," (s)",""))+COUNTIF(G36:L36,SUBSTITUTE(TRIM(K27)," (s)",""))&gt;0,IF(ROUND(U27,3)&gt;=1,ROUND(U27,3)&amp;" Kg",MAX(1,ROUND(U27*1000,0))&amp;" g"),"")))</f>
        <v/>
      </c>
      <c r="X27" s="294"/>
      <c r="Y27" s="2791"/>
      <c r="Z27" s="1"/>
      <c r="AA27" s="1"/>
      <c r="AB27" s="1"/>
      <c r="AC27" s="716" t="s">
        <v>7067</v>
      </c>
      <c r="AD27" s="2241"/>
      <c r="AF27" s="2730">
        <v>1</v>
      </c>
    </row>
    <row r="28" spans="2:32" ht="21" customHeight="1">
      <c r="B28" s="6589" t="str">
        <f t="shared" si="6"/>
        <v>►</v>
      </c>
      <c r="C28" s="6662" t="str">
        <f>C14</f>
        <v>B BOUDIN BLANC MAISON sans boyau AUX MORILLES | charcuterie-BOUDIN-BLANC| Auteur &gt; Blog MAMINA et si c'était bon</v>
      </c>
      <c r="D28" s="6663">
        <f>D14</f>
        <v>6</v>
      </c>
      <c r="E28" s="6662" t="str">
        <f>E14</f>
        <v>portions</v>
      </c>
      <c r="F28" s="6664" t="str">
        <f>F14</f>
        <v>Recette mère ► Boudin blanc</v>
      </c>
      <c r="G28" s="6718"/>
      <c r="H28" s="6733"/>
      <c r="I28" s="6720" t="str">
        <f t="shared" si="4"/>
        <v/>
      </c>
      <c r="J28" s="6721"/>
      <c r="K28" s="6722"/>
      <c r="L28" s="6723">
        <v>1</v>
      </c>
      <c r="M28" s="6734" t="str">
        <f>ROWS(M18:M28)&amp;" ►"</f>
        <v>11 ►</v>
      </c>
      <c r="N28" s="6725"/>
      <c r="O28" s="7704" t="s">
        <v>10486</v>
      </c>
      <c r="P28" s="6726">
        <f>IF(R33=0,0,(R28/R33)*Q17*1000)</f>
        <v>0</v>
      </c>
      <c r="Q28" s="6735">
        <f>IF(R33=0, 0, (G28*L28)/(R33*Q17))</f>
        <v>0</v>
      </c>
      <c r="R28" s="6728" cm="1">
        <f t="array" ref="R28">IFERROR(_xlfn.XLOOKUP(UPPER(TRIM(K28)),UPPER(TRIM(G34:V34)),G35:V35,_xlfn.XLOOKUP(UPPER(TRIM(K28)),UPPER(TRIM(G36:V36)),G37:V37,0))*J28*IF(G28&gt;0,G28,1),0)</f>
        <v>0</v>
      </c>
      <c r="S28" s="6739">
        <f>IF(U13&lt;&gt;0,G28*L28*L13,0)</f>
        <v>0</v>
      </c>
      <c r="T28" s="6740">
        <f t="shared" si="5"/>
        <v>0</v>
      </c>
      <c r="U28" s="6731">
        <f>IF(OR(ISBLANK(U13),U13=0),0,R28*L28*L13)</f>
        <v>0</v>
      </c>
      <c r="V28" s="6741" t="str">
        <f>IF(K28="","",IF(COUNTIF(N34:V34,SUBSTITUTE(TRIM(K28)," (s)",""))+COUNTIF(N36:V36,SUBSTITUTE(TRIM(K28)," (s)",""))&gt;0,IF(ROUND(U28,3)&gt;=1,ROUND(U28,3)&amp;" L",MAX(1,ROUND(U28*100,0))&amp;" cl"),IF(COUNTIF(G34:L34,SUBSTITUTE(TRIM(K28)," (s)",""))+COUNTIF(G36:L36,SUBSTITUTE(TRIM(K28)," (s)",""))&gt;0,IF(ROUND(U28,3)&gt;=1,ROUND(U28,3)&amp;" Kg",MAX(1,ROUND(U28*1000,0))&amp;" g"),"")))</f>
        <v/>
      </c>
      <c r="X28" s="294"/>
      <c r="Y28" s="2791"/>
      <c r="Z28" s="1"/>
      <c r="AA28" s="1"/>
      <c r="AB28" s="1"/>
      <c r="AC28" s="423" t="s">
        <v>7068</v>
      </c>
      <c r="AD28" s="2241"/>
      <c r="AF28" s="2730">
        <v>1</v>
      </c>
    </row>
    <row r="29" spans="2:32" ht="21" customHeight="1">
      <c r="B29" s="6589" t="str">
        <f t="shared" si="6"/>
        <v>►</v>
      </c>
      <c r="C29" s="6662" t="str">
        <f>C14</f>
        <v>B BOUDIN BLANC MAISON sans boyau AUX MORILLES | charcuterie-BOUDIN-BLANC| Auteur &gt; Blog MAMINA et si c'était bon</v>
      </c>
      <c r="D29" s="6663">
        <f>D14</f>
        <v>6</v>
      </c>
      <c r="E29" s="6662" t="str">
        <f>E14</f>
        <v>portions</v>
      </c>
      <c r="F29" s="6664" t="str">
        <f>F14</f>
        <v>Recette mère ► Boudin blanc</v>
      </c>
      <c r="G29" s="6718"/>
      <c r="H29" s="6733"/>
      <c r="I29" s="6720" t="str">
        <f t="shared" si="4"/>
        <v/>
      </c>
      <c r="J29" s="6721"/>
      <c r="K29" s="6722"/>
      <c r="L29" s="6723">
        <v>1</v>
      </c>
      <c r="M29" s="6734" t="str">
        <f>ROWS(M18:M29)&amp;" ►"</f>
        <v>12 ►</v>
      </c>
      <c r="N29" s="6725"/>
      <c r="O29" s="7704" t="s">
        <v>10486</v>
      </c>
      <c r="P29" s="6726">
        <f>IF(R33=0,0,(R29/R33)*Q17*1000)</f>
        <v>0</v>
      </c>
      <c r="Q29" s="6735">
        <f>IF(R33=0, 0, (G29*L29)/(R33*Q17))</f>
        <v>0</v>
      </c>
      <c r="R29" s="6728" cm="1">
        <f t="array" ref="R29">IFERROR(_xlfn.XLOOKUP(UPPER(TRIM(K29)),UPPER(TRIM(G34:V34)),G35:V35,_xlfn.XLOOKUP(UPPER(TRIM(K29)),UPPER(TRIM(G36:V36)),G37:V37,0))*J29*IF(G29&gt;0,G29,1),0)</f>
        <v>0</v>
      </c>
      <c r="S29" s="6739">
        <f>IF(U13&lt;&gt;0,G29*L29*L13,0)</f>
        <v>0</v>
      </c>
      <c r="T29" s="6740">
        <f t="shared" si="5"/>
        <v>0</v>
      </c>
      <c r="U29" s="6731">
        <f>IF(OR(ISBLANK(U13),U13=0),0,R29*L29*L13)</f>
        <v>0</v>
      </c>
      <c r="V29" s="6741" t="str">
        <f>IF(K29="","",IF(COUNTIF(N34:V34,SUBSTITUTE(TRIM(K29)," (s)",""))+COUNTIF(N36:V36,SUBSTITUTE(TRIM(K29)," (s)",""))&gt;0,IF(ROUND(U29,3)&gt;=1,ROUND(U29,3)&amp;" L",MAX(1,ROUND(U29*100,0))&amp;" cl"),IF(COUNTIF(G34:L34,SUBSTITUTE(TRIM(K29)," (s)",""))+COUNTIF(G36:L36,SUBSTITUTE(TRIM(K29)," (s)",""))&gt;0,IF(ROUND(U29,3)&gt;=1,ROUND(U29,3)&amp;" Kg",MAX(1,ROUND(U29*1000,0))&amp;" g"),"")))</f>
        <v/>
      </c>
      <c r="X29" s="294"/>
      <c r="Y29" s="2791"/>
      <c r="Z29" s="1"/>
      <c r="AA29" s="1"/>
      <c r="AB29" s="1"/>
      <c r="AC29" s="423"/>
      <c r="AD29" s="2241"/>
      <c r="AF29" s="2730">
        <v>1</v>
      </c>
    </row>
    <row r="30" spans="2:32" ht="21" customHeight="1">
      <c r="B30" s="6589" t="str">
        <f t="shared" si="6"/>
        <v>►</v>
      </c>
      <c r="C30" s="6662" t="str">
        <f>C14</f>
        <v>B BOUDIN BLANC MAISON sans boyau AUX MORILLES | charcuterie-BOUDIN-BLANC| Auteur &gt; Blog MAMINA et si c'était bon</v>
      </c>
      <c r="D30" s="6663">
        <f>D14</f>
        <v>6</v>
      </c>
      <c r="E30" s="6662" t="str">
        <f>E14</f>
        <v>portions</v>
      </c>
      <c r="F30" s="6664" t="str">
        <f>F14</f>
        <v>Recette mère ► Boudin blanc</v>
      </c>
      <c r="G30" s="6718"/>
      <c r="H30" s="6733"/>
      <c r="I30" s="6720" t="str">
        <f t="shared" si="4"/>
        <v/>
      </c>
      <c r="J30" s="6721"/>
      <c r="K30" s="6722"/>
      <c r="L30" s="6723">
        <v>1</v>
      </c>
      <c r="M30" s="6734" t="str">
        <f>ROWS(M18:M30)&amp;" ►"</f>
        <v>13 ►</v>
      </c>
      <c r="N30" s="6725"/>
      <c r="O30" s="7704" t="s">
        <v>10486</v>
      </c>
      <c r="P30" s="6726">
        <f>IF(R33=0,0,(R30/R33)*Q17*1000)</f>
        <v>0</v>
      </c>
      <c r="Q30" s="6735">
        <f>IF(R33=0, 0, (G30*L30)/(R33*Q17))</f>
        <v>0</v>
      </c>
      <c r="R30" s="6728" cm="1">
        <f t="array" ref="R30">IFERROR(_xlfn.XLOOKUP(UPPER(TRIM(K30)),UPPER(TRIM(G34:V34)),G35:V35,_xlfn.XLOOKUP(UPPER(TRIM(K30)),UPPER(TRIM(G36:V36)),G37:V37,0))*J30*IF(G30&gt;0,G30,1),0)</f>
        <v>0</v>
      </c>
      <c r="S30" s="6736">
        <f>IF(U13&lt;&gt;0,G30*L30*L13,0)</f>
        <v>0</v>
      </c>
      <c r="T30" s="6737">
        <f t="shared" si="5"/>
        <v>0</v>
      </c>
      <c r="U30" s="6731">
        <f>IF(OR(ISBLANK(U13),U13=0),0,R30*L30*L13)</f>
        <v>0</v>
      </c>
      <c r="V30" s="6746" t="str">
        <f>IF(K30="","",IF(COUNTIF(N34:V34,SUBSTITUTE(TRIM(K30)," (s)",""))+COUNTIF(N36:V36,SUBSTITUTE(TRIM(K30)," (s)",""))&gt;0,IF(ROUND(U30,3)&gt;=1,ROUND(U30,3)&amp;" L",MAX(1,ROUND(U30*100,0))&amp;" cl"),IF(COUNTIF(G34:L34,SUBSTITUTE(TRIM(K30)," (s)",""))+COUNTIF(G36:L36,SUBSTITUTE(TRIM(K30)," (s)",""))&gt;0,IF(ROUND(U30,3)&gt;=1,ROUND(U30,3)&amp;" Kg",MAX(1,ROUND(U30*1000,0))&amp;" g"),"")))</f>
        <v/>
      </c>
      <c r="X30" s="2792"/>
      <c r="Y30" s="2793"/>
      <c r="Z30" s="2794"/>
      <c r="AA30" s="2793"/>
      <c r="AB30" s="2793"/>
      <c r="AC30" s="2793"/>
      <c r="AD30" s="2795"/>
      <c r="AF30" s="2730">
        <v>1</v>
      </c>
    </row>
    <row r="31" spans="2:32" ht="21" customHeight="1">
      <c r="B31" s="6589" t="str">
        <f t="shared" si="6"/>
        <v>►</v>
      </c>
      <c r="C31" s="6662" t="str">
        <f>C14</f>
        <v>B BOUDIN BLANC MAISON sans boyau AUX MORILLES | charcuterie-BOUDIN-BLANC| Auteur &gt; Blog MAMINA et si c'était bon</v>
      </c>
      <c r="D31" s="6663">
        <f>D14</f>
        <v>6</v>
      </c>
      <c r="E31" s="6662" t="str">
        <f>E14</f>
        <v>portions</v>
      </c>
      <c r="F31" s="6664" t="str">
        <f>F14</f>
        <v>Recette mère ► Boudin blanc</v>
      </c>
      <c r="G31" s="6718"/>
      <c r="H31" s="6733"/>
      <c r="I31" s="6720" t="str">
        <f t="shared" si="4"/>
        <v/>
      </c>
      <c r="J31" s="6721"/>
      <c r="K31" s="6722"/>
      <c r="L31" s="6723">
        <v>1</v>
      </c>
      <c r="M31" s="6734" t="str">
        <f>ROWS(M18:M31)&amp;" ►"</f>
        <v>14 ►</v>
      </c>
      <c r="N31" s="6725"/>
      <c r="O31" s="7704" t="s">
        <v>10486</v>
      </c>
      <c r="P31" s="6726">
        <f>IF(R33=0,0,(R31/R33)*Q17*1000)</f>
        <v>0</v>
      </c>
      <c r="Q31" s="6735">
        <f>IF(R33=0, 0, (G31*L31)/(R33*Q17))</f>
        <v>0</v>
      </c>
      <c r="R31" s="6728" cm="1">
        <f t="array" ref="R31">IFERROR(_xlfn.XLOOKUP(UPPER(TRIM(K31)),UPPER(TRIM(G34:V34)),G35:V35,_xlfn.XLOOKUP(UPPER(TRIM(K31)),UPPER(TRIM(G36:V36)),G37:V37,0))*J31*IF(G31&gt;0,G31,1),0)</f>
        <v>0</v>
      </c>
      <c r="S31" s="6739">
        <f>IF(U13&lt;&gt;0,G31*L31*L13,0)</f>
        <v>0</v>
      </c>
      <c r="T31" s="6740">
        <f t="shared" si="5"/>
        <v>0</v>
      </c>
      <c r="U31" s="6731">
        <f>IF(OR(ISBLANK(U13),U13=0),0,R31*L31*L13)</f>
        <v>0</v>
      </c>
      <c r="V31" s="6741" t="str">
        <f>IF(K31="","",IF(COUNTIF(N34:V34,SUBSTITUTE(TRIM(K31)," (s)",""))+COUNTIF(N36:V36,SUBSTITUTE(TRIM(K31)," (s)",""))&gt;0,IF(ROUND(U31,3)&gt;=1,ROUND(U31,3)&amp;" L",MAX(1,ROUND(U31*100,0))&amp;" cl"),IF(COUNTIF(G34:L34,SUBSTITUTE(TRIM(K31)," (s)",""))+COUNTIF(G36:L36,SUBSTITUTE(TRIM(K31)," (s)",""))&gt;0,IF(ROUND(U31,3)&gt;=1,ROUND(U31,3)&amp;" Kg",MAX(1,ROUND(U31*1000,0))&amp;" g"),"")))</f>
        <v/>
      </c>
      <c r="X31" s="294"/>
      <c r="Y31" s="2791"/>
      <c r="Z31" s="1"/>
      <c r="AA31" s="1"/>
      <c r="AB31" s="1"/>
      <c r="AC31" s="423"/>
      <c r="AD31" s="2241"/>
      <c r="AF31" s="2730">
        <v>1</v>
      </c>
    </row>
    <row r="32" spans="2:32" ht="21" customHeight="1">
      <c r="B32" s="6656" t="s">
        <v>337</v>
      </c>
      <c r="C32" s="6662" t="str">
        <f>C14</f>
        <v>B BOUDIN BLANC MAISON sans boyau AUX MORILLES | charcuterie-BOUDIN-BLANC| Auteur &gt; Blog MAMINA et si c'était bon</v>
      </c>
      <c r="D32" s="6663">
        <f>D14</f>
        <v>6</v>
      </c>
      <c r="E32" s="6662" t="str">
        <f>E14</f>
        <v>portions</v>
      </c>
      <c r="F32" s="6664" t="str">
        <f>F14</f>
        <v>Recette mère ► Boudin blanc</v>
      </c>
      <c r="G32" s="6742"/>
      <c r="H32" s="6743"/>
      <c r="I32" s="6720" t="str">
        <f t="shared" si="4"/>
        <v/>
      </c>
      <c r="J32" s="6744"/>
      <c r="K32" s="6722"/>
      <c r="L32" s="6745">
        <v>1</v>
      </c>
      <c r="M32" s="6734" t="str">
        <f>ROWS(M18:M32)&amp;" ►"</f>
        <v>15 ►</v>
      </c>
      <c r="N32" s="6725"/>
      <c r="O32" s="7704" t="s">
        <v>10486</v>
      </c>
      <c r="P32" s="6726">
        <f>IF(R33=0,0,(R32/R33)*Q17*1000)</f>
        <v>0</v>
      </c>
      <c r="Q32" s="6735">
        <f>IF(R33=0, 0, (G32*L32)/(R33*Q17))</f>
        <v>0</v>
      </c>
      <c r="R32" s="6728" cm="1">
        <f t="array" ref="R32">IFERROR(_xlfn.XLOOKUP(UPPER(TRIM(K32)),UPPER(TRIM(G34:V34)),G35:V35,_xlfn.XLOOKUP(UPPER(TRIM(K32)),UPPER(TRIM(G36:V36)),G37:V37,0))*J32*IF(G32&gt;0,G32,1),0)</f>
        <v>0</v>
      </c>
      <c r="S32" s="6736">
        <f>IF(U13&lt;&gt;0,G32*L32*L13,0)</f>
        <v>0</v>
      </c>
      <c r="T32" s="6737">
        <f t="shared" si="5"/>
        <v>0</v>
      </c>
      <c r="U32" s="6731">
        <f>IF(OR(ISBLANK(U13),U13=0),0,R32*L32*L13)</f>
        <v>0</v>
      </c>
      <c r="V32" s="6746" t="str">
        <f>IF(K32="","",IF(COUNTIF(N34:V34,SUBSTITUTE(TRIM(K32)," (s)",""))+COUNTIF(N36:V36,SUBSTITUTE(TRIM(K32)," (s)",""))&gt;0,IF(ROUND(U32,3)&gt;=1,ROUND(U32,3)&amp;" L",MAX(1,ROUND(U32*100,0))&amp;" cl"),IF(COUNTIF(G34:L34,SUBSTITUTE(TRIM(K32)," (s)",""))+COUNTIF(G36:L36,SUBSTITUTE(TRIM(K32)," (s)",""))&gt;0,IF(ROUND(U32,3)&gt;=1,ROUND(U32,3)&amp;" Kg",MAX(1,ROUND(U32*1000,0))&amp;" g"),"")))</f>
        <v/>
      </c>
      <c r="X32" s="7307"/>
      <c r="Y32" s="7308" t="s">
        <v>7069</v>
      </c>
      <c r="Z32" s="1"/>
      <c r="AA32" s="1"/>
      <c r="AB32" s="1"/>
      <c r="AC32" s="7308" t="s">
        <v>7070</v>
      </c>
      <c r="AD32" s="2241"/>
      <c r="AF32" s="2730">
        <v>1</v>
      </c>
    </row>
    <row r="33" spans="2:32" ht="21" customHeight="1">
      <c r="B33" s="6656" t="s">
        <v>337</v>
      </c>
      <c r="C33" s="6662" t="str">
        <f>C14</f>
        <v>B BOUDIN BLANC MAISON sans boyau AUX MORILLES | charcuterie-BOUDIN-BLANC| Auteur &gt; Blog MAMINA et si c'était bon</v>
      </c>
      <c r="D33" s="6663">
        <f>D14</f>
        <v>6</v>
      </c>
      <c r="E33" s="6662" t="str">
        <f>E14</f>
        <v>portions</v>
      </c>
      <c r="F33" s="6664" t="str">
        <f>F14</f>
        <v>Recette mère ► Boudin blanc</v>
      </c>
      <c r="G33" s="6747" t="s">
        <v>15535</v>
      </c>
      <c r="H33" s="322"/>
      <c r="I33" s="322"/>
      <c r="J33" s="322"/>
      <c r="K33" s="322"/>
      <c r="L33" s="6625"/>
      <c r="M33" s="6625"/>
      <c r="N33" s="6748" t="s">
        <v>15761</v>
      </c>
      <c r="O33" s="6748"/>
      <c r="P33" s="6749"/>
      <c r="Q33" s="6749"/>
      <c r="R33" s="6750">
        <f>SUM(R18:R32)</f>
        <v>0.96500000000000008</v>
      </c>
      <c r="S33" s="6751"/>
      <c r="T33" s="6751" t="str">
        <f>"Total " &amp; U15&amp;" &gt;"</f>
        <v>Total Col.19 &gt;</v>
      </c>
      <c r="U33" s="6752">
        <f>SUM(U18:U32)</f>
        <v>4.0208333333333339</v>
      </c>
      <c r="V33" s="6753"/>
      <c r="X33" s="2798"/>
      <c r="Y33" s="2799" t="s">
        <v>7071</v>
      </c>
      <c r="Z33" s="1"/>
      <c r="AA33" s="1"/>
      <c r="AB33" s="1"/>
      <c r="AC33" s="2799" t="s">
        <v>7072</v>
      </c>
      <c r="AD33" s="2241"/>
      <c r="AF33" s="2730">
        <v>1</v>
      </c>
    </row>
    <row r="34" spans="2:32" ht="21" customHeight="1">
      <c r="B34" s="6656" t="s">
        <v>337</v>
      </c>
      <c r="C34" s="6662" t="str">
        <f>C14</f>
        <v>B BOUDIN BLANC MAISON sans boyau AUX MORILLES | charcuterie-BOUDIN-BLANC| Auteur &gt; Blog MAMINA et si c'était bon</v>
      </c>
      <c r="D34" s="6663">
        <f>D14</f>
        <v>6</v>
      </c>
      <c r="E34" s="6662" t="str">
        <f>E14</f>
        <v>portions</v>
      </c>
      <c r="F34" s="6664" t="str">
        <f>F14</f>
        <v>Recette mère ► Boudin blanc</v>
      </c>
      <c r="G34" s="6754" t="s">
        <v>373</v>
      </c>
      <c r="H34" s="6755" t="s">
        <v>1172</v>
      </c>
      <c r="I34" s="6756" t="s">
        <v>15762</v>
      </c>
      <c r="J34" s="6757" t="s">
        <v>15763</v>
      </c>
      <c r="K34" s="6758" t="s">
        <v>15764</v>
      </c>
      <c r="L34" s="6758" t="s">
        <v>15765</v>
      </c>
      <c r="M34" s="6756" t="s">
        <v>15762</v>
      </c>
      <c r="N34" s="6759" t="s">
        <v>34</v>
      </c>
      <c r="O34" s="7711" t="s">
        <v>17890</v>
      </c>
      <c r="P34" s="6759" t="s">
        <v>33</v>
      </c>
      <c r="Q34" s="6759" t="s">
        <v>32</v>
      </c>
      <c r="R34" s="6759" t="s">
        <v>31</v>
      </c>
      <c r="S34" s="6760" t="s">
        <v>15766</v>
      </c>
      <c r="T34" s="6760" t="s">
        <v>15767</v>
      </c>
      <c r="U34" s="6761" t="s">
        <v>15768</v>
      </c>
      <c r="V34" s="6760" t="s">
        <v>15769</v>
      </c>
      <c r="X34" s="2800"/>
      <c r="Y34" s="2801" t="s">
        <v>7073</v>
      </c>
      <c r="Z34" s="1"/>
      <c r="AA34" s="1"/>
      <c r="AB34" s="1"/>
      <c r="AC34" s="2801" t="s">
        <v>7074</v>
      </c>
      <c r="AD34" s="2241"/>
      <c r="AF34" s="2730">
        <v>1</v>
      </c>
    </row>
    <row r="35" spans="2:32" ht="21" customHeight="1">
      <c r="B35" s="6656" t="s">
        <v>337</v>
      </c>
      <c r="C35" s="6662" t="str">
        <f>C14</f>
        <v>B BOUDIN BLANC MAISON sans boyau AUX MORILLES | charcuterie-BOUDIN-BLANC| Auteur &gt; Blog MAMINA et si c'était bon</v>
      </c>
      <c r="D35" s="6663">
        <f>D14</f>
        <v>6</v>
      </c>
      <c r="E35" s="6662" t="str">
        <f>E14</f>
        <v>portions</v>
      </c>
      <c r="F35" s="6664" t="str">
        <f>F14</f>
        <v>Recette mère ► Boudin blanc</v>
      </c>
      <c r="G35" s="6763">
        <v>1</v>
      </c>
      <c r="H35" s="6764">
        <v>1E-3</v>
      </c>
      <c r="I35" s="6765">
        <v>0</v>
      </c>
      <c r="J35" s="6764">
        <v>0.25</v>
      </c>
      <c r="K35" s="6764">
        <v>0.33332999999999996</v>
      </c>
      <c r="L35" s="6764">
        <v>0.5</v>
      </c>
      <c r="M35" s="6765">
        <v>0</v>
      </c>
      <c r="N35" s="6766">
        <v>1</v>
      </c>
      <c r="O35" s="6766">
        <v>0</v>
      </c>
      <c r="P35" s="6766">
        <v>0.1</v>
      </c>
      <c r="Q35" s="6766">
        <v>0.01</v>
      </c>
      <c r="R35" s="6766">
        <v>1E-3</v>
      </c>
      <c r="S35" s="6766">
        <v>0.5</v>
      </c>
      <c r="T35" s="6766">
        <v>0.25</v>
      </c>
      <c r="U35" s="6766">
        <v>0.33300000000000002</v>
      </c>
      <c r="V35" s="6767">
        <v>0.2</v>
      </c>
      <c r="X35" s="2800"/>
      <c r="Y35" s="2801" t="s">
        <v>7075</v>
      </c>
      <c r="Z35" s="1"/>
      <c r="AA35" s="1"/>
      <c r="AB35" s="1"/>
      <c r="AC35" s="2801" t="s">
        <v>7076</v>
      </c>
      <c r="AD35" s="2241"/>
      <c r="AF35" s="2730">
        <v>1</v>
      </c>
    </row>
    <row r="36" spans="2:32" ht="21" customHeight="1">
      <c r="B36" s="6656" t="s">
        <v>337</v>
      </c>
      <c r="C36" s="6662" t="str">
        <f>C14</f>
        <v>B BOUDIN BLANC MAISON sans boyau AUX MORILLES | charcuterie-BOUDIN-BLANC| Auteur &gt; Blog MAMINA et si c'était bon</v>
      </c>
      <c r="D36" s="6663">
        <f>D14</f>
        <v>6</v>
      </c>
      <c r="E36" s="6662" t="str">
        <f>E14</f>
        <v>portions</v>
      </c>
      <c r="F36" s="6664" t="str">
        <f>F14</f>
        <v>Recette mère ► Boudin blanc</v>
      </c>
      <c r="G36" s="6769" t="s">
        <v>15774</v>
      </c>
      <c r="H36" s="6769" t="s">
        <v>15775</v>
      </c>
      <c r="I36" s="6756" t="s">
        <v>15762</v>
      </c>
      <c r="J36" s="6769" t="s">
        <v>15776</v>
      </c>
      <c r="K36" s="6769" t="s">
        <v>15777</v>
      </c>
      <c r="L36" s="6769" t="s">
        <v>15778</v>
      </c>
      <c r="M36" s="6756" t="s">
        <v>15762</v>
      </c>
      <c r="N36" s="6770" t="s">
        <v>15779</v>
      </c>
      <c r="O36" s="7711" t="s">
        <v>17890</v>
      </c>
      <c r="P36" s="6771" t="s">
        <v>15780</v>
      </c>
      <c r="Q36" s="6771" t="s">
        <v>15781</v>
      </c>
      <c r="R36" s="6760" t="s">
        <v>15782</v>
      </c>
      <c r="S36" s="6760" t="s">
        <v>15783</v>
      </c>
      <c r="T36" s="6760" t="s">
        <v>15784</v>
      </c>
      <c r="U36" s="6772" t="s">
        <v>15785</v>
      </c>
      <c r="V36" s="6773" t="s">
        <v>15786</v>
      </c>
      <c r="X36" s="2800"/>
      <c r="Y36" s="2801" t="s">
        <v>7077</v>
      </c>
      <c r="Z36" s="1"/>
      <c r="AA36" s="1"/>
      <c r="AB36" s="1"/>
      <c r="AC36" s="2801" t="s">
        <v>7078</v>
      </c>
      <c r="AD36" s="2241"/>
      <c r="AF36" s="2730">
        <v>1</v>
      </c>
    </row>
    <row r="37" spans="2:32" ht="21" customHeight="1">
      <c r="B37" s="6656" t="s">
        <v>337</v>
      </c>
      <c r="C37" s="6662" t="str">
        <f>C14</f>
        <v>B BOUDIN BLANC MAISON sans boyau AUX MORILLES | charcuterie-BOUDIN-BLANC| Auteur &gt; Blog MAMINA et si c'était bon</v>
      </c>
      <c r="D37" s="6663">
        <f>D14</f>
        <v>6</v>
      </c>
      <c r="E37" s="6662" t="str">
        <f>E14</f>
        <v>portions</v>
      </c>
      <c r="F37" s="6664" t="str">
        <f>F14</f>
        <v>Recette mère ► Boudin blanc</v>
      </c>
      <c r="G37" s="6763">
        <v>2.835E-2</v>
      </c>
      <c r="H37" s="6764">
        <v>0.13</v>
      </c>
      <c r="I37" s="6765">
        <v>0</v>
      </c>
      <c r="J37" s="6764">
        <v>0.2</v>
      </c>
      <c r="K37" s="6764">
        <v>0.23</v>
      </c>
      <c r="L37" s="6764">
        <v>0.22500000000000001</v>
      </c>
      <c r="M37" s="6765">
        <v>0</v>
      </c>
      <c r="N37" s="6766">
        <v>0.35</v>
      </c>
      <c r="O37" s="6766">
        <v>0</v>
      </c>
      <c r="P37" s="6766">
        <v>5.0000000000000001E-3</v>
      </c>
      <c r="Q37" s="6766">
        <v>5.0000000000000001E-3</v>
      </c>
      <c r="R37" s="6766">
        <v>1.4999999999999999E-2</v>
      </c>
      <c r="S37" s="6766">
        <v>0.1</v>
      </c>
      <c r="T37" s="6766">
        <v>0.22500000000000001</v>
      </c>
      <c r="U37" s="6766">
        <v>4.0000000000000001E-3</v>
      </c>
      <c r="V37" s="6774">
        <v>1E-3</v>
      </c>
      <c r="X37" s="2800"/>
      <c r="Y37" s="2801" t="s">
        <v>7079</v>
      </c>
      <c r="Z37" s="1"/>
      <c r="AA37" s="1"/>
      <c r="AB37" s="1"/>
      <c r="AC37" s="2801" t="s">
        <v>7080</v>
      </c>
      <c r="AD37" s="2241"/>
      <c r="AF37" s="2730">
        <v>1</v>
      </c>
    </row>
    <row r="38" spans="2:32" ht="21" customHeight="1">
      <c r="B38" s="6656" t="s">
        <v>337</v>
      </c>
      <c r="C38" s="6775" t="str">
        <f t="shared" ref="C38:V38" si="7">SUBSTITUTE(ADDRESS(1,COLUMN(),4),"1","")</f>
        <v>C</v>
      </c>
      <c r="D38" s="6775" t="str">
        <f t="shared" si="7"/>
        <v>D</v>
      </c>
      <c r="E38" s="6775" t="str">
        <f t="shared" si="7"/>
        <v>E</v>
      </c>
      <c r="F38" s="6775" t="str">
        <f t="shared" si="7"/>
        <v>F</v>
      </c>
      <c r="G38" s="6775" t="str">
        <f t="shared" si="7"/>
        <v>G</v>
      </c>
      <c r="H38" s="6775" t="str">
        <f t="shared" si="7"/>
        <v>H</v>
      </c>
      <c r="I38" s="6775" t="str">
        <f t="shared" si="7"/>
        <v>I</v>
      </c>
      <c r="J38" s="6775" t="str">
        <f t="shared" si="7"/>
        <v>J</v>
      </c>
      <c r="K38" s="6775" t="str">
        <f t="shared" si="7"/>
        <v>K</v>
      </c>
      <c r="L38" s="6775" t="str">
        <f t="shared" si="7"/>
        <v>L</v>
      </c>
      <c r="M38" s="6775" t="str">
        <f t="shared" si="7"/>
        <v>M</v>
      </c>
      <c r="N38" s="6775" t="str">
        <f t="shared" si="7"/>
        <v>N</v>
      </c>
      <c r="O38" s="6775"/>
      <c r="P38" s="6775" t="str">
        <f t="shared" si="7"/>
        <v>P</v>
      </c>
      <c r="Q38" s="6775" t="str">
        <f t="shared" si="7"/>
        <v>Q</v>
      </c>
      <c r="R38" s="6775" t="str">
        <f t="shared" si="7"/>
        <v>R</v>
      </c>
      <c r="S38" s="6775" t="str">
        <f t="shared" si="7"/>
        <v>S</v>
      </c>
      <c r="T38" s="6775" t="str">
        <f t="shared" si="7"/>
        <v>T</v>
      </c>
      <c r="U38" s="6775" t="str">
        <f t="shared" si="7"/>
        <v>U</v>
      </c>
      <c r="V38" s="6776" t="str">
        <f t="shared" si="7"/>
        <v>V</v>
      </c>
      <c r="X38" s="2800"/>
      <c r="Y38" s="2801" t="s">
        <v>7081</v>
      </c>
      <c r="Z38" s="1"/>
      <c r="AA38" s="1"/>
      <c r="AB38" s="1"/>
      <c r="AC38" s="2802" t="s">
        <v>7082</v>
      </c>
      <c r="AD38" s="2241"/>
      <c r="AF38" s="2730">
        <v>1</v>
      </c>
    </row>
    <row r="39" spans="2:32" ht="21" customHeight="1">
      <c r="B39" s="6656" t="s">
        <v>337</v>
      </c>
      <c r="C39" s="6777">
        <f t="shared" ref="C39:V39" ca="1" si="8">CELL("largeur",C39)</f>
        <v>3</v>
      </c>
      <c r="D39" s="6777">
        <f t="shared" ca="1" si="8"/>
        <v>3</v>
      </c>
      <c r="E39" s="6777">
        <f t="shared" ca="1" si="8"/>
        <v>3</v>
      </c>
      <c r="F39" s="6777">
        <f t="shared" ca="1" si="8"/>
        <v>5</v>
      </c>
      <c r="G39" s="6777">
        <f t="shared" ca="1" si="8"/>
        <v>12</v>
      </c>
      <c r="H39" s="6777">
        <f t="shared" ca="1" si="8"/>
        <v>12</v>
      </c>
      <c r="I39" s="6777">
        <f t="shared" ca="1" si="8"/>
        <v>3</v>
      </c>
      <c r="J39" s="6777">
        <f t="shared" ca="1" si="8"/>
        <v>9</v>
      </c>
      <c r="K39" s="6777">
        <f t="shared" ca="1" si="8"/>
        <v>12</v>
      </c>
      <c r="L39" s="6777">
        <f t="shared" ca="1" si="8"/>
        <v>13</v>
      </c>
      <c r="M39" s="6777">
        <f t="shared" ca="1" si="8"/>
        <v>6</v>
      </c>
      <c r="N39" s="6777">
        <f t="shared" ca="1" si="8"/>
        <v>40</v>
      </c>
      <c r="O39" s="6777"/>
      <c r="P39" s="6777">
        <f t="shared" ca="1" si="8"/>
        <v>10</v>
      </c>
      <c r="Q39" s="6777">
        <f t="shared" ca="1" si="8"/>
        <v>9</v>
      </c>
      <c r="R39" s="6777">
        <f t="shared" ca="1" si="8"/>
        <v>10</v>
      </c>
      <c r="S39" s="6777">
        <f t="shared" ca="1" si="8"/>
        <v>13</v>
      </c>
      <c r="T39" s="6777">
        <f t="shared" ca="1" si="8"/>
        <v>13</v>
      </c>
      <c r="U39" s="6777">
        <f t="shared" ca="1" si="8"/>
        <v>13</v>
      </c>
      <c r="V39" s="6778">
        <f t="shared" ca="1" si="8"/>
        <v>17</v>
      </c>
      <c r="X39" s="2800"/>
      <c r="Y39" s="2801" t="s">
        <v>7083</v>
      </c>
      <c r="Z39" s="1"/>
      <c r="AA39" s="1"/>
      <c r="AB39" s="1"/>
      <c r="AC39" s="2803" t="s">
        <v>7084</v>
      </c>
      <c r="AD39" s="2241"/>
      <c r="AF39" s="2730">
        <v>1</v>
      </c>
    </row>
    <row r="40" spans="2:32" ht="21" customHeight="1">
      <c r="B40" s="6779" t="s">
        <v>337</v>
      </c>
      <c r="C40" s="6780" t="str">
        <f>C14</f>
        <v>B BOUDIN BLANC MAISON sans boyau AUX MORILLES | charcuterie-BOUDIN-BLANC| Auteur &gt; Blog MAMINA et si c'était bon</v>
      </c>
      <c r="D40" s="6781">
        <f>D14</f>
        <v>6</v>
      </c>
      <c r="E40" s="6782" t="str">
        <f>E14</f>
        <v>portions</v>
      </c>
      <c r="F40" s="6783" t="str">
        <f>F14</f>
        <v>Recette mère ► Boudin blanc</v>
      </c>
      <c r="G40" s="6784"/>
      <c r="H40" s="6784"/>
      <c r="I40" s="6784"/>
      <c r="J40" s="6784"/>
      <c r="K40" s="6784"/>
      <c r="L40" s="6785" t="s">
        <v>15792</v>
      </c>
      <c r="M40" s="6786" t="s">
        <v>15793</v>
      </c>
      <c r="N40" s="6787"/>
      <c r="O40" s="6787"/>
      <c r="P40" s="6788"/>
      <c r="Q40" s="6788"/>
      <c r="R40" s="6789"/>
      <c r="S40" s="6789"/>
      <c r="T40" s="6790"/>
      <c r="U40" s="6859"/>
      <c r="V40" s="6791" t="s">
        <v>15794</v>
      </c>
      <c r="X40" s="2804"/>
      <c r="Y40" s="7309"/>
      <c r="Z40" s="6885"/>
      <c r="AA40" s="6885"/>
      <c r="AB40" s="6885"/>
      <c r="AC40" s="7310"/>
      <c r="AD40" s="7311"/>
      <c r="AF40" s="2730">
        <v>1</v>
      </c>
    </row>
    <row r="41" spans="2:32" ht="21" customHeight="1">
      <c r="B41" s="6779" t="s">
        <v>337</v>
      </c>
      <c r="C41" s="6793" t="str">
        <f>C14</f>
        <v>B BOUDIN BLANC MAISON sans boyau AUX MORILLES | charcuterie-BOUDIN-BLANC| Auteur &gt; Blog MAMINA et si c'était bon</v>
      </c>
      <c r="D41" s="6793">
        <f>D14</f>
        <v>6</v>
      </c>
      <c r="E41" s="6794" t="str">
        <f>E14</f>
        <v>portions</v>
      </c>
      <c r="F41" s="6795" t="str">
        <f>F14</f>
        <v>Recette mère ► Boudin blanc</v>
      </c>
      <c r="G41" s="3056"/>
      <c r="H41" s="3056"/>
      <c r="I41" s="6796"/>
      <c r="J41" s="6797" t="s">
        <v>15795</v>
      </c>
      <c r="K41" s="6798">
        <f ca="1">SUM(M39:V39)</f>
        <v>131</v>
      </c>
      <c r="L41" s="6799">
        <v>0</v>
      </c>
      <c r="M41" s="6800" t="s">
        <v>15981</v>
      </c>
      <c r="N41" s="6801"/>
      <c r="O41" s="6801"/>
      <c r="P41" s="6801"/>
      <c r="Q41" s="6801"/>
      <c r="R41" s="6801"/>
      <c r="S41" s="6801"/>
      <c r="T41" s="1"/>
      <c r="U41" s="6802" t="s">
        <v>7102</v>
      </c>
      <c r="V41" s="6803" t="s">
        <v>1229</v>
      </c>
      <c r="X41" s="7301"/>
      <c r="Y41" s="2775"/>
      <c r="Z41" s="2775"/>
      <c r="AA41" s="2775"/>
      <c r="AB41" s="2775"/>
      <c r="AC41" s="2775"/>
      <c r="AD41" s="7302"/>
      <c r="AF41" s="2730">
        <v>1</v>
      </c>
    </row>
    <row r="42" spans="2:32" ht="21" customHeight="1">
      <c r="B42" s="6779" t="s">
        <v>337</v>
      </c>
      <c r="C42" s="6793" t="str">
        <f>C14</f>
        <v>B BOUDIN BLANC MAISON sans boyau AUX MORILLES | charcuterie-BOUDIN-BLANC| Auteur &gt; Blog MAMINA et si c'était bon</v>
      </c>
      <c r="D42" s="6793">
        <f>D14</f>
        <v>6</v>
      </c>
      <c r="E42" s="6794" t="str">
        <f>E14</f>
        <v>portions</v>
      </c>
      <c r="F42" s="6795" t="str">
        <f>F14</f>
        <v>Recette mère ► Boudin blanc</v>
      </c>
      <c r="G42" s="6804"/>
      <c r="H42" s="6805" t="s">
        <v>15797</v>
      </c>
      <c r="I42" s="6806">
        <f>ROWS(M42:M42)</f>
        <v>1</v>
      </c>
      <c r="J42" s="6804"/>
      <c r="K42" s="6807" t="str" cm="1">
        <f t="array" ref="K42">SUMPRODUCT(--(M42:T42&lt;&gt;""), LEN(TRIM(SUBSTITUTE(M42:T42, CHAR(160), "")))) &amp; " Car."</f>
        <v>55 Car.</v>
      </c>
      <c r="L42" s="2736">
        <f>IF(ISBLANK(M42),"",LARGE(L41:L41,1)+1)</f>
        <v>1</v>
      </c>
      <c r="M42" s="6801" t="s">
        <v>15961</v>
      </c>
      <c r="N42" s="6801"/>
      <c r="O42" s="6801"/>
      <c r="P42" s="6801"/>
      <c r="Q42" s="6801"/>
      <c r="R42" s="6801"/>
      <c r="S42" s="6801"/>
      <c r="T42" s="1"/>
      <c r="U42" s="6808" t="s">
        <v>7104</v>
      </c>
      <c r="V42" s="6803" t="s">
        <v>1229</v>
      </c>
      <c r="X42" s="294"/>
      <c r="Y42" s="2799" t="s">
        <v>7085</v>
      </c>
      <c r="Z42" s="1"/>
      <c r="AA42" s="1"/>
      <c r="AB42" s="1"/>
      <c r="AC42" s="1"/>
      <c r="AD42" s="2241"/>
      <c r="AF42" s="2730">
        <v>1</v>
      </c>
    </row>
    <row r="43" spans="2:32" ht="21" customHeight="1">
      <c r="B43" s="6779" t="s">
        <v>337</v>
      </c>
      <c r="C43" s="6793" t="str">
        <f>C14</f>
        <v>B BOUDIN BLANC MAISON sans boyau AUX MORILLES | charcuterie-BOUDIN-BLANC| Auteur &gt; Blog MAMINA et si c'était bon</v>
      </c>
      <c r="D43" s="6793">
        <f>D14</f>
        <v>6</v>
      </c>
      <c r="E43" s="6794" t="str">
        <f>E14</f>
        <v>portions</v>
      </c>
      <c r="F43" s="6795" t="str">
        <f>F14</f>
        <v>Recette mère ► Boudin blanc</v>
      </c>
      <c r="G43" s="6804"/>
      <c r="H43" s="6804"/>
      <c r="I43" s="6806">
        <f>ROWS(M42:M43)</f>
        <v>2</v>
      </c>
      <c r="J43" s="6804"/>
      <c r="K43" s="6807" t="str" cm="1">
        <f t="array" ref="K43">SUMPRODUCT(--(M43:T43&lt;&gt;""), LEN(TRIM(SUBSTITUTE(M43:T43, CHAR(160), "")))) &amp; " Car."</f>
        <v>77 Car.</v>
      </c>
      <c r="L43" s="2736">
        <f>IF(ISBLANK(M43),"",LARGE(L41:L42,1)+1)</f>
        <v>2</v>
      </c>
      <c r="M43" s="6801" t="s">
        <v>15962</v>
      </c>
      <c r="N43" s="6801"/>
      <c r="O43" s="6801"/>
      <c r="P43" s="6801"/>
      <c r="Q43" s="6801"/>
      <c r="R43" s="6801"/>
      <c r="S43" s="6801"/>
      <c r="T43" s="6801"/>
      <c r="U43" s="6801"/>
      <c r="V43" s="6809"/>
      <c r="X43" s="294"/>
      <c r="Y43" s="2791" t="s">
        <v>7086</v>
      </c>
      <c r="Z43" s="1"/>
      <c r="AA43" s="1"/>
      <c r="AB43" s="1"/>
      <c r="AC43" s="2791" t="s">
        <v>7087</v>
      </c>
      <c r="AD43" s="2241"/>
      <c r="AF43" s="2730">
        <v>1</v>
      </c>
    </row>
    <row r="44" spans="2:32" ht="21" customHeight="1">
      <c r="B44" s="6779" t="s">
        <v>337</v>
      </c>
      <c r="C44" s="6793" t="str">
        <f>C14</f>
        <v>B BOUDIN BLANC MAISON sans boyau AUX MORILLES | charcuterie-BOUDIN-BLANC| Auteur &gt; Blog MAMINA et si c'était bon</v>
      </c>
      <c r="D44" s="6793">
        <f>D14</f>
        <v>6</v>
      </c>
      <c r="E44" s="6794" t="str">
        <f>E14</f>
        <v>portions</v>
      </c>
      <c r="F44" s="6795" t="str">
        <f>F14</f>
        <v>Recette mère ► Boudin blanc</v>
      </c>
      <c r="G44" s="6804"/>
      <c r="H44" s="6804"/>
      <c r="I44" s="6806">
        <f>ROWS(M42:M44)</f>
        <v>3</v>
      </c>
      <c r="J44" s="6804"/>
      <c r="K44" s="6807" t="str" cm="1">
        <f t="array" ref="K44">SUMPRODUCT(--(M44:T44&lt;&gt;""), LEN(TRIM(SUBSTITUTE(M44:T44, CHAR(160), "")))) &amp; " Car."</f>
        <v>114 Car.</v>
      </c>
      <c r="L44" s="2736">
        <f>IF(ISBLANK(M44),"",LARGE(L41:L43,1)+1)</f>
        <v>3</v>
      </c>
      <c r="M44" s="6801" t="s">
        <v>15980</v>
      </c>
      <c r="N44" s="6801"/>
      <c r="O44" s="6801"/>
      <c r="P44" s="6801"/>
      <c r="Q44" s="6801"/>
      <c r="R44" s="6801"/>
      <c r="S44" s="6801"/>
      <c r="T44" s="6801"/>
      <c r="U44" s="6801"/>
      <c r="V44" s="6809"/>
      <c r="X44" s="294"/>
      <c r="Y44" s="2791" t="s">
        <v>7088</v>
      </c>
      <c r="Z44" s="1"/>
      <c r="AA44" s="1"/>
      <c r="AB44" s="1"/>
      <c r="AC44" s="2809" t="s">
        <v>7089</v>
      </c>
      <c r="AD44" s="2241"/>
      <c r="AF44" s="2730">
        <v>1</v>
      </c>
    </row>
    <row r="45" spans="2:32" ht="21" customHeight="1">
      <c r="B45" s="6779" t="s">
        <v>337</v>
      </c>
      <c r="C45" s="6793" t="str">
        <f>C14</f>
        <v>B BOUDIN BLANC MAISON sans boyau AUX MORILLES | charcuterie-BOUDIN-BLANC| Auteur &gt; Blog MAMINA et si c'était bon</v>
      </c>
      <c r="D45" s="6793">
        <f>D14</f>
        <v>6</v>
      </c>
      <c r="E45" s="6794" t="str">
        <f>E14</f>
        <v>portions</v>
      </c>
      <c r="F45" s="6795" t="str">
        <f>F14</f>
        <v>Recette mère ► Boudin blanc</v>
      </c>
      <c r="G45" s="6804"/>
      <c r="H45" s="6804"/>
      <c r="I45" s="6806">
        <f>ROWS(M42:M45)</f>
        <v>4</v>
      </c>
      <c r="J45" s="6804"/>
      <c r="K45" s="6807" t="str" cm="1">
        <f t="array" ref="K45">SUMPRODUCT(--(M45:T45&lt;&gt;""), LEN(TRIM(SUBSTITUTE(M45:T45, CHAR(160), "")))) &amp; " Car."</f>
        <v>100 Car.</v>
      </c>
      <c r="L45" s="2736">
        <f>IF(ISBLANK(M45),"",LARGE(L41:L44,1)+1)</f>
        <v>4</v>
      </c>
      <c r="M45" s="6801" t="s">
        <v>15963</v>
      </c>
      <c r="N45" s="6810"/>
      <c r="O45" s="6801"/>
      <c r="P45" s="6801"/>
      <c r="Q45" s="6801"/>
      <c r="R45" s="6801"/>
      <c r="S45" s="6801"/>
      <c r="T45" s="6801"/>
      <c r="U45" s="6801"/>
      <c r="V45" s="6809"/>
      <c r="X45" s="294"/>
      <c r="Y45" s="2809" t="s">
        <v>7090</v>
      </c>
      <c r="Z45" s="1"/>
      <c r="AA45" s="1"/>
      <c r="AB45" s="1"/>
      <c r="AC45" s="2809" t="s">
        <v>7091</v>
      </c>
      <c r="AD45" s="2241"/>
      <c r="AF45" s="2730">
        <v>1</v>
      </c>
    </row>
    <row r="46" spans="2:32" ht="21" customHeight="1">
      <c r="B46" s="6779" t="s">
        <v>337</v>
      </c>
      <c r="C46" s="6793" t="str">
        <f>C14</f>
        <v>B BOUDIN BLANC MAISON sans boyau AUX MORILLES | charcuterie-BOUDIN-BLANC| Auteur &gt; Blog MAMINA et si c'était bon</v>
      </c>
      <c r="D46" s="6793">
        <f>D14</f>
        <v>6</v>
      </c>
      <c r="E46" s="6794" t="str">
        <f>E14</f>
        <v>portions</v>
      </c>
      <c r="F46" s="6795" t="str">
        <f>F14</f>
        <v>Recette mère ► Boudin blanc</v>
      </c>
      <c r="G46" s="6804"/>
      <c r="H46" s="6804"/>
      <c r="I46" s="6806">
        <f>ROWS(M42:M46)</f>
        <v>5</v>
      </c>
      <c r="J46" s="6804"/>
      <c r="K46" s="6807" t="str" cm="1">
        <f t="array" ref="K46">SUMPRODUCT(--(M46:T46&lt;&gt;""), LEN(TRIM(SUBSTITUTE(M46:T46, CHAR(160), "")))) &amp; " Car."</f>
        <v>68 Car.</v>
      </c>
      <c r="L46" s="2736" t="str">
        <f>IF(ISBLANK(M46),"",LARGE(L41:L45,1)+1)</f>
        <v/>
      </c>
      <c r="M46" s="6801"/>
      <c r="N46" s="6801" t="s">
        <v>15964</v>
      </c>
      <c r="O46" s="6801"/>
      <c r="P46" s="6801"/>
      <c r="Q46" s="6801"/>
      <c r="R46" s="6801"/>
      <c r="S46" s="6801"/>
      <c r="T46" s="6801"/>
      <c r="U46" s="6801"/>
      <c r="V46" s="6809"/>
      <c r="X46" s="294"/>
      <c r="Y46" s="2791" t="s">
        <v>7092</v>
      </c>
      <c r="Z46" s="1"/>
      <c r="AA46" s="1"/>
      <c r="AB46" s="1"/>
      <c r="AC46" s="1"/>
      <c r="AD46" s="2241"/>
      <c r="AF46" s="2730">
        <v>1</v>
      </c>
    </row>
    <row r="47" spans="2:32" ht="21" customHeight="1">
      <c r="B47" s="6779" t="s">
        <v>337</v>
      </c>
      <c r="C47" s="6793" t="str">
        <f>C14</f>
        <v>B BOUDIN BLANC MAISON sans boyau AUX MORILLES | charcuterie-BOUDIN-BLANC| Auteur &gt; Blog MAMINA et si c'était bon</v>
      </c>
      <c r="D47" s="6793">
        <f>D14</f>
        <v>6</v>
      </c>
      <c r="E47" s="6794" t="str">
        <f>E14</f>
        <v>portions</v>
      </c>
      <c r="F47" s="6795" t="str">
        <f>F14</f>
        <v>Recette mère ► Boudin blanc</v>
      </c>
      <c r="G47" s="6804"/>
      <c r="H47" s="6804"/>
      <c r="I47" s="6806">
        <f>ROWS(M42:M47)</f>
        <v>6</v>
      </c>
      <c r="J47" s="6804"/>
      <c r="K47" s="6807" t="str" cm="1">
        <f t="array" ref="K47">SUMPRODUCT(--(M47:T47&lt;&gt;""), LEN(TRIM(SUBSTITUTE(M47:T47, CHAR(160), "")))) &amp; " Car."</f>
        <v>92 Car.</v>
      </c>
      <c r="L47" s="2736">
        <f>IF(ISBLANK(M47),"",LARGE(L41:L46,1)+1)</f>
        <v>5</v>
      </c>
      <c r="M47" s="6801" t="s">
        <v>15965</v>
      </c>
      <c r="N47" s="6801"/>
      <c r="O47" s="6801"/>
      <c r="P47" s="6801"/>
      <c r="Q47" s="6801"/>
      <c r="R47" s="6801"/>
      <c r="S47" s="6801"/>
      <c r="T47" s="6801"/>
      <c r="U47" s="6801"/>
      <c r="V47" s="6809"/>
      <c r="X47" s="294"/>
      <c r="Y47" s="2809" t="s">
        <v>7093</v>
      </c>
      <c r="Z47" s="1"/>
      <c r="AA47" s="1"/>
      <c r="AB47" s="1"/>
      <c r="AC47" s="1"/>
      <c r="AD47" s="2241"/>
      <c r="AF47" s="2730">
        <v>1</v>
      </c>
    </row>
    <row r="48" spans="2:32" ht="21" customHeight="1" thickBot="1">
      <c r="B48" s="6779" t="s">
        <v>337</v>
      </c>
      <c r="C48" s="6793" t="str">
        <f>C14</f>
        <v>B BOUDIN BLANC MAISON sans boyau AUX MORILLES | charcuterie-BOUDIN-BLANC| Auteur &gt; Blog MAMINA et si c'était bon</v>
      </c>
      <c r="D48" s="6793">
        <f>D14</f>
        <v>6</v>
      </c>
      <c r="E48" s="6794" t="str">
        <f>E14</f>
        <v>portions</v>
      </c>
      <c r="F48" s="6795" t="str">
        <f>F14</f>
        <v>Recette mère ► Boudin blanc</v>
      </c>
      <c r="G48" s="6804"/>
      <c r="H48" s="6804"/>
      <c r="I48" s="6806">
        <f>ROWS(M42:M48)</f>
        <v>7</v>
      </c>
      <c r="J48" s="6804"/>
      <c r="K48" s="6807" t="str" cm="1">
        <f t="array" ref="K48">SUMPRODUCT(--(M48:T48&lt;&gt;""), LEN(TRIM(SUBSTITUTE(M48:T48, CHAR(160), "")))) &amp; " Car."</f>
        <v>50 Car.</v>
      </c>
      <c r="L48" s="2736" t="str">
        <f>IF(ISBLANK(M48),"",LARGE(L41:L47,1)+1)</f>
        <v/>
      </c>
      <c r="M48" s="6801"/>
      <c r="N48" s="6801" t="s">
        <v>15966</v>
      </c>
      <c r="O48" s="6801"/>
      <c r="P48" s="6801"/>
      <c r="Q48" s="6801"/>
      <c r="R48" s="6801"/>
      <c r="S48" s="6801"/>
      <c r="T48" s="6801"/>
      <c r="U48" s="6801"/>
      <c r="V48" s="6809"/>
      <c r="X48" s="2810"/>
      <c r="Y48" s="7312"/>
      <c r="Z48" s="6885"/>
      <c r="AA48" s="6885"/>
      <c r="AB48" s="6885"/>
      <c r="AC48" s="6885"/>
      <c r="AD48" s="7311"/>
      <c r="AF48" s="2730">
        <v>1</v>
      </c>
    </row>
    <row r="49" spans="2:32" ht="21" customHeight="1">
      <c r="B49" s="6779" t="s">
        <v>337</v>
      </c>
      <c r="C49" s="6793" t="str">
        <f>C14</f>
        <v>B BOUDIN BLANC MAISON sans boyau AUX MORILLES | charcuterie-BOUDIN-BLANC| Auteur &gt; Blog MAMINA et si c'était bon</v>
      </c>
      <c r="D49" s="6793">
        <f>D14</f>
        <v>6</v>
      </c>
      <c r="E49" s="6794" t="str">
        <f>E14</f>
        <v>portions</v>
      </c>
      <c r="F49" s="6795" t="str">
        <f>F14</f>
        <v>Recette mère ► Boudin blanc</v>
      </c>
      <c r="G49" s="6804"/>
      <c r="H49" s="6804"/>
      <c r="I49" s="6806">
        <f>ROWS(M42:M49)</f>
        <v>8</v>
      </c>
      <c r="J49" s="6804"/>
      <c r="K49" s="6807" t="str" cm="1">
        <f t="array" ref="K49">SUMPRODUCT(--(M49:T49&lt;&gt;""), LEN(TRIM(SUBSTITUTE(M49:T49, CHAR(160), "")))) &amp; " Car."</f>
        <v>93 Car.</v>
      </c>
      <c r="L49" s="2736">
        <f>IF(ISBLANK(M49),"",LARGE(L41:L48,1)+1)</f>
        <v>6</v>
      </c>
      <c r="M49" s="6801" t="s">
        <v>15967</v>
      </c>
      <c r="N49" s="6801"/>
      <c r="O49" s="6801"/>
      <c r="P49" s="6801"/>
      <c r="Q49" s="6801"/>
      <c r="R49" s="6801"/>
      <c r="S49" s="6801"/>
      <c r="T49" s="6801"/>
      <c r="U49" s="6801"/>
      <c r="V49" s="6809"/>
      <c r="X49" s="7313" t="s">
        <v>16031</v>
      </c>
      <c r="Y49" s="7314" t="s">
        <v>16032</v>
      </c>
      <c r="Z49" s="7315"/>
      <c r="AA49" s="7315"/>
      <c r="AB49" s="7315"/>
      <c r="AC49" s="7315"/>
      <c r="AD49" s="7316" t="s">
        <v>16033</v>
      </c>
      <c r="AF49" s="2730">
        <v>1</v>
      </c>
    </row>
    <row r="50" spans="2:32" ht="21" customHeight="1">
      <c r="B50" s="6779" t="s">
        <v>337</v>
      </c>
      <c r="C50" s="6793" t="str">
        <f>C14</f>
        <v>B BOUDIN BLANC MAISON sans boyau AUX MORILLES | charcuterie-BOUDIN-BLANC| Auteur &gt; Blog MAMINA et si c'était bon</v>
      </c>
      <c r="D50" s="6793">
        <f>D14</f>
        <v>6</v>
      </c>
      <c r="E50" s="6794" t="str">
        <f>E14</f>
        <v>portions</v>
      </c>
      <c r="F50" s="6795" t="str">
        <f>F14</f>
        <v>Recette mère ► Boudin blanc</v>
      </c>
      <c r="G50" s="6804"/>
      <c r="H50" s="6804"/>
      <c r="I50" s="6806">
        <f>ROWS(M42:M50)</f>
        <v>9</v>
      </c>
      <c r="J50" s="6804"/>
      <c r="K50" s="6807" t="str" cm="1">
        <f t="array" ref="K50">SUMPRODUCT(--(M50:T50&lt;&gt;""), LEN(TRIM(SUBSTITUTE(M50:T50, CHAR(160), "")))) &amp; " Car."</f>
        <v>73 Car.</v>
      </c>
      <c r="L50" s="2736">
        <f>IF(ISBLANK(M50),"",LARGE(L41:L49,1)+1)</f>
        <v>7</v>
      </c>
      <c r="M50" s="6801" t="s">
        <v>15968</v>
      </c>
      <c r="N50" s="6801"/>
      <c r="O50" s="6801"/>
      <c r="P50" s="6801"/>
      <c r="Q50" s="6801"/>
      <c r="R50" s="6801"/>
      <c r="S50" s="6801"/>
      <c r="T50" s="6801"/>
      <c r="U50" s="6801"/>
      <c r="V50" s="6809"/>
      <c r="X50" s="7317"/>
      <c r="Y50" s="7318"/>
      <c r="Z50" s="7319"/>
      <c r="AA50" s="7319"/>
      <c r="AB50" s="7319"/>
      <c r="AC50" s="7319"/>
      <c r="AD50" s="7320" t="s">
        <v>16034</v>
      </c>
      <c r="AF50" s="2730">
        <v>1</v>
      </c>
    </row>
    <row r="51" spans="2:32" ht="21" customHeight="1">
      <c r="B51" s="6779" t="s">
        <v>337</v>
      </c>
      <c r="C51" s="6793" t="str">
        <f>C14</f>
        <v>B BOUDIN BLANC MAISON sans boyau AUX MORILLES | charcuterie-BOUDIN-BLANC| Auteur &gt; Blog MAMINA et si c'était bon</v>
      </c>
      <c r="D51" s="6793">
        <f>D14</f>
        <v>6</v>
      </c>
      <c r="E51" s="6794" t="str">
        <f>E14</f>
        <v>portions</v>
      </c>
      <c r="F51" s="6795" t="str">
        <f>F14</f>
        <v>Recette mère ► Boudin blanc</v>
      </c>
      <c r="G51" s="6804"/>
      <c r="H51" s="6804"/>
      <c r="I51" s="6806">
        <f>ROWS(M42:M51)</f>
        <v>10</v>
      </c>
      <c r="J51" s="6804"/>
      <c r="K51" s="6807" t="str" cm="1">
        <f t="array" ref="K51">SUMPRODUCT(--(M51:T51&lt;&gt;""), LEN(TRIM(SUBSTITUTE(M51:T51, CHAR(160), "")))) &amp; " Car."</f>
        <v>32 Car.</v>
      </c>
      <c r="L51" s="2736">
        <f>IF(ISBLANK(M51),"",LARGE(L41:L50,1)+1)</f>
        <v>8</v>
      </c>
      <c r="M51" s="6801" t="s">
        <v>15969</v>
      </c>
      <c r="N51" s="6801"/>
      <c r="O51" s="6801"/>
      <c r="P51" s="6801"/>
      <c r="Q51" s="6801"/>
      <c r="R51" s="6801"/>
      <c r="S51" s="6801"/>
      <c r="T51" s="6801"/>
      <c r="U51" s="6801"/>
      <c r="V51" s="6809"/>
      <c r="X51" s="7321" t="s">
        <v>16035</v>
      </c>
      <c r="Y51" s="6669" t="s">
        <v>15726</v>
      </c>
      <c r="Z51" s="2771"/>
      <c r="AA51" s="2771"/>
      <c r="AB51" s="2771"/>
      <c r="AC51" s="2771"/>
      <c r="AD51" s="7982" t="s">
        <v>16036</v>
      </c>
      <c r="AF51" s="2730">
        <v>1</v>
      </c>
    </row>
    <row r="52" spans="2:32" ht="21" customHeight="1">
      <c r="B52" s="6779" t="s">
        <v>337</v>
      </c>
      <c r="C52" s="6793" t="str">
        <f>C14</f>
        <v>B BOUDIN BLANC MAISON sans boyau AUX MORILLES | charcuterie-BOUDIN-BLANC| Auteur &gt; Blog MAMINA et si c'était bon</v>
      </c>
      <c r="D52" s="6811">
        <f>D14</f>
        <v>6</v>
      </c>
      <c r="E52" s="6794" t="str">
        <f>E14</f>
        <v>portions</v>
      </c>
      <c r="F52" s="6795" t="str">
        <f>F14</f>
        <v>Recette mère ► Boudin blanc</v>
      </c>
      <c r="G52" s="6804"/>
      <c r="H52" s="6804"/>
      <c r="I52" s="6806">
        <f>ROWS(M42:M52)</f>
        <v>11</v>
      </c>
      <c r="J52" s="6804"/>
      <c r="K52" s="6807" t="str" cm="1">
        <f t="array" ref="K52">SUMPRODUCT(--(M52:T52&lt;&gt;""), LEN(TRIM(SUBSTITUTE(M52:T52, CHAR(160), "")))) &amp; " Car."</f>
        <v>89 Car.</v>
      </c>
      <c r="L52" s="2736">
        <f>IF(ISBLANK(M52),"",LARGE(L41:L51,1)+1)</f>
        <v>9</v>
      </c>
      <c r="M52" s="6801" t="s">
        <v>15970</v>
      </c>
      <c r="N52" s="6801"/>
      <c r="O52" s="6801"/>
      <c r="P52" s="6801"/>
      <c r="Q52" s="6801"/>
      <c r="R52" s="6801"/>
      <c r="S52" s="6801"/>
      <c r="T52" s="6801"/>
      <c r="U52" s="6801"/>
      <c r="V52" s="6809"/>
      <c r="X52" s="7321"/>
      <c r="Y52" s="7322"/>
      <c r="Z52" s="2771"/>
      <c r="AA52" s="2771"/>
      <c r="AB52" s="2771"/>
      <c r="AC52" s="2771"/>
      <c r="AD52" s="7982"/>
      <c r="AF52" s="2730">
        <v>1</v>
      </c>
    </row>
    <row r="53" spans="2:32" ht="21" customHeight="1">
      <c r="B53" s="6779" t="s">
        <v>337</v>
      </c>
      <c r="C53" s="6793" t="str">
        <f>C14</f>
        <v>B BOUDIN BLANC MAISON sans boyau AUX MORILLES | charcuterie-BOUDIN-BLANC| Auteur &gt; Blog MAMINA et si c'était bon</v>
      </c>
      <c r="D53" s="6793">
        <f>D14</f>
        <v>6</v>
      </c>
      <c r="E53" s="6794" t="str">
        <f>E14</f>
        <v>portions</v>
      </c>
      <c r="F53" s="6795" t="str">
        <f>F14</f>
        <v>Recette mère ► Boudin blanc</v>
      </c>
      <c r="G53" s="6804"/>
      <c r="H53" s="6804"/>
      <c r="I53" s="6806">
        <f>ROWS(M42:M53)</f>
        <v>12</v>
      </c>
      <c r="J53" s="6804"/>
      <c r="K53" s="6807" t="str" cm="1">
        <f t="array" ref="K53">SUMPRODUCT(--(M53:T53&lt;&gt;""), LEN(TRIM(SUBSTITUTE(M53:T53, CHAR(160), "")))) &amp; " Car."</f>
        <v>74 Car.</v>
      </c>
      <c r="L53" s="2736">
        <f>IF(ISBLANK(M53),"",LARGE(L41:L52,1)+1)</f>
        <v>10</v>
      </c>
      <c r="M53" s="6801" t="s">
        <v>15971</v>
      </c>
      <c r="N53" s="6801"/>
      <c r="O53" s="6801"/>
      <c r="P53" s="6801"/>
      <c r="Q53" s="6801"/>
      <c r="R53" s="6801"/>
      <c r="S53" s="6801"/>
      <c r="T53" s="6801"/>
      <c r="U53" s="6801"/>
      <c r="V53" s="6809"/>
      <c r="X53" s="7323" t="s">
        <v>15728</v>
      </c>
      <c r="Y53" s="7983" t="s">
        <v>16037</v>
      </c>
      <c r="Z53" s="7983"/>
      <c r="AA53" s="7983"/>
      <c r="AB53" s="7983"/>
      <c r="AC53" s="2771"/>
      <c r="AD53" s="7982"/>
      <c r="AF53" s="2730">
        <v>1</v>
      </c>
    </row>
    <row r="54" spans="2:32" ht="21" customHeight="1">
      <c r="B54" s="6779" t="s">
        <v>337</v>
      </c>
      <c r="C54" s="6793" t="str">
        <f>C14</f>
        <v>B BOUDIN BLANC MAISON sans boyau AUX MORILLES | charcuterie-BOUDIN-BLANC| Auteur &gt; Blog MAMINA et si c'était bon</v>
      </c>
      <c r="D54" s="6793">
        <f>D14</f>
        <v>6</v>
      </c>
      <c r="E54" s="6794" t="str">
        <f>E14</f>
        <v>portions</v>
      </c>
      <c r="F54" s="6795" t="str">
        <f>F14</f>
        <v>Recette mère ► Boudin blanc</v>
      </c>
      <c r="G54" s="6804"/>
      <c r="H54" s="6804"/>
      <c r="I54" s="6806">
        <f>ROWS(M42:M54)</f>
        <v>13</v>
      </c>
      <c r="J54" s="6804"/>
      <c r="K54" s="6807" t="str" cm="1">
        <f t="array" ref="K54">SUMPRODUCT(--(M54:T54&lt;&gt;""), LEN(TRIM(SUBSTITUTE(M54:T54, CHAR(160), "")))) &amp; " Car."</f>
        <v>100 Car.</v>
      </c>
      <c r="L54" s="2736">
        <f>IF(ISBLANK(M54),"",LARGE(L41:L53,1)+1)</f>
        <v>11</v>
      </c>
      <c r="M54" s="6801" t="s">
        <v>15979</v>
      </c>
      <c r="N54" s="6801"/>
      <c r="O54" s="6801"/>
      <c r="P54" s="6801"/>
      <c r="Q54" s="6801"/>
      <c r="R54" s="6801"/>
      <c r="S54" s="6801"/>
      <c r="T54" s="6801"/>
      <c r="U54" s="6801"/>
      <c r="V54" s="6809"/>
      <c r="X54" s="7321"/>
      <c r="Y54" s="7983"/>
      <c r="Z54" s="7983"/>
      <c r="AA54" s="7983"/>
      <c r="AB54" s="7983"/>
      <c r="AC54" s="2771"/>
      <c r="AD54" s="2772"/>
      <c r="AF54" s="2730">
        <v>1</v>
      </c>
    </row>
    <row r="55" spans="2:32" ht="21" customHeight="1">
      <c r="B55" s="6779" t="s">
        <v>337</v>
      </c>
      <c r="C55" s="6793" t="str">
        <f>C14</f>
        <v>B BOUDIN BLANC MAISON sans boyau AUX MORILLES | charcuterie-BOUDIN-BLANC| Auteur &gt; Blog MAMINA et si c'était bon</v>
      </c>
      <c r="D55" s="6793">
        <f>D14</f>
        <v>6</v>
      </c>
      <c r="E55" s="6794" t="str">
        <f>E14</f>
        <v>portions</v>
      </c>
      <c r="F55" s="6795" t="str">
        <f>F14</f>
        <v>Recette mère ► Boudin blanc</v>
      </c>
      <c r="G55" s="6804"/>
      <c r="H55" s="6804"/>
      <c r="I55" s="6806">
        <f>ROWS(M42:M55)</f>
        <v>14</v>
      </c>
      <c r="J55" s="6804"/>
      <c r="K55" s="6807" t="str" cm="1">
        <f t="array" ref="K55">SUMPRODUCT(--(M55:T55&lt;&gt;""), LEN(TRIM(SUBSTITUTE(M55:T55, CHAR(160), "")))) &amp; " Car."</f>
        <v>104 Car.</v>
      </c>
      <c r="L55" s="2736">
        <f>IF(ISBLANK(M55),"",LARGE(L41:L54,1)+1)</f>
        <v>12</v>
      </c>
      <c r="M55" s="6801" t="s">
        <v>15978</v>
      </c>
      <c r="N55" s="6801"/>
      <c r="O55" s="6801"/>
      <c r="P55" s="6801"/>
      <c r="Q55" s="6801"/>
      <c r="R55" s="6801"/>
      <c r="S55" s="6801"/>
      <c r="T55" s="6801"/>
      <c r="U55" s="6801"/>
      <c r="V55" s="6809"/>
      <c r="X55" s="7321"/>
      <c r="Y55" s="7324"/>
      <c r="Z55" s="7325"/>
      <c r="AA55" s="7325"/>
      <c r="AB55" s="7325"/>
      <c r="AC55" s="2771"/>
      <c r="AD55" s="2772"/>
      <c r="AF55" s="2730">
        <v>1</v>
      </c>
    </row>
    <row r="56" spans="2:32" ht="21" customHeight="1">
      <c r="B56" s="6779" t="s">
        <v>337</v>
      </c>
      <c r="C56" s="6793" t="str">
        <f>C14</f>
        <v>B BOUDIN BLANC MAISON sans boyau AUX MORILLES | charcuterie-BOUDIN-BLANC| Auteur &gt; Blog MAMINA et si c'était bon</v>
      </c>
      <c r="D56" s="6793">
        <f>D14</f>
        <v>6</v>
      </c>
      <c r="E56" s="6794" t="str">
        <f>E14</f>
        <v>portions</v>
      </c>
      <c r="F56" s="6795" t="str">
        <f>F14</f>
        <v>Recette mère ► Boudin blanc</v>
      </c>
      <c r="G56" s="6804"/>
      <c r="H56" s="6804"/>
      <c r="I56" s="6806">
        <f>ROWS(M42:M56)</f>
        <v>15</v>
      </c>
      <c r="J56" s="6804"/>
      <c r="K56" s="6807" t="str" cm="1">
        <f t="array" ref="K56">SUMPRODUCT(--(M56:T56&lt;&gt;""), LEN(TRIM(SUBSTITUTE(M56:T56, CHAR(160), "")))) &amp; " Car."</f>
        <v>36 Car.</v>
      </c>
      <c r="L56" s="2736">
        <f>IF(ISBLANK(M56),"",LARGE(L41:L55,1)+1)</f>
        <v>13</v>
      </c>
      <c r="M56" s="6801" t="s">
        <v>15972</v>
      </c>
      <c r="N56" s="6801"/>
      <c r="O56" s="6801"/>
      <c r="P56" s="6801"/>
      <c r="Q56" s="6801"/>
      <c r="R56" s="6801"/>
      <c r="S56" s="6801"/>
      <c r="T56" s="6801"/>
      <c r="U56" s="6801"/>
      <c r="V56" s="6809"/>
      <c r="X56" s="7321"/>
      <c r="Y56" s="7324" t="s">
        <v>16038</v>
      </c>
      <c r="Z56" s="7325"/>
      <c r="AA56" s="7325"/>
      <c r="AB56" s="7325"/>
      <c r="AC56" s="2771"/>
      <c r="AD56" s="2772"/>
      <c r="AF56" s="2730">
        <v>1</v>
      </c>
    </row>
    <row r="57" spans="2:32" ht="21" customHeight="1">
      <c r="B57" s="6779" t="s">
        <v>337</v>
      </c>
      <c r="C57" s="6793" t="str">
        <f>C14</f>
        <v>B BOUDIN BLANC MAISON sans boyau AUX MORILLES | charcuterie-BOUDIN-BLANC| Auteur &gt; Blog MAMINA et si c'était bon</v>
      </c>
      <c r="D57" s="6793">
        <f>D14</f>
        <v>6</v>
      </c>
      <c r="E57" s="6794" t="str">
        <f>E14</f>
        <v>portions</v>
      </c>
      <c r="F57" s="6795" t="str">
        <f>F14</f>
        <v>Recette mère ► Boudin blanc</v>
      </c>
      <c r="G57" s="6804"/>
      <c r="H57" s="6804"/>
      <c r="I57" s="6806">
        <f>ROWS(M42:M57)</f>
        <v>16</v>
      </c>
      <c r="J57" s="6804"/>
      <c r="K57" s="6807" t="str" cm="1">
        <f t="array" ref="K57">SUMPRODUCT(--(M57:T57&lt;&gt;""), LEN(TRIM(SUBSTITUTE(M57:T57, CHAR(160), "")))) &amp; " Car."</f>
        <v>79 Car.</v>
      </c>
      <c r="L57" s="2736" t="str">
        <f>IF(ISBLANK(M57),"",LARGE(L41:L56,1)+1)</f>
        <v/>
      </c>
      <c r="M57" s="6801"/>
      <c r="N57" s="6801" t="s">
        <v>15973</v>
      </c>
      <c r="O57" s="6801"/>
      <c r="P57" s="6801"/>
      <c r="Q57" s="6801"/>
      <c r="R57" s="6801"/>
      <c r="S57" s="6801"/>
      <c r="T57" s="6801"/>
      <c r="U57" s="6801"/>
      <c r="V57" s="6809"/>
      <c r="X57" s="7326"/>
      <c r="Y57" s="7327"/>
      <c r="Z57" s="2771"/>
      <c r="AA57" s="2771"/>
      <c r="AB57" s="2771"/>
      <c r="AC57" s="2771"/>
      <c r="AD57" s="2772"/>
      <c r="AF57" s="2730">
        <v>1</v>
      </c>
    </row>
    <row r="58" spans="2:32" ht="21" customHeight="1">
      <c r="B58" s="6779" t="s">
        <v>337</v>
      </c>
      <c r="C58" s="6793" t="str">
        <f>C14</f>
        <v>B BOUDIN BLANC MAISON sans boyau AUX MORILLES | charcuterie-BOUDIN-BLANC| Auteur &gt; Blog MAMINA et si c'était bon</v>
      </c>
      <c r="D58" s="6793">
        <f>D14</f>
        <v>6</v>
      </c>
      <c r="E58" s="6794" t="str">
        <f>E14</f>
        <v>portions</v>
      </c>
      <c r="F58" s="6795" t="str">
        <f>F14</f>
        <v>Recette mère ► Boudin blanc</v>
      </c>
      <c r="G58" s="6804"/>
      <c r="H58" s="6804"/>
      <c r="I58" s="6806">
        <f>ROWS(M42:M58)</f>
        <v>17</v>
      </c>
      <c r="J58" s="6804"/>
      <c r="K58" s="6807" t="str" cm="1">
        <f t="array" ref="K58">SUMPRODUCT(--(M58:T58&lt;&gt;""), LEN(TRIM(SUBSTITUTE(M58:T58, CHAR(160), "")))) &amp; " Car."</f>
        <v>75 Car.</v>
      </c>
      <c r="L58" s="2736"/>
      <c r="M58" s="6801"/>
      <c r="N58" s="6801" t="s">
        <v>15974</v>
      </c>
      <c r="O58" s="6801"/>
      <c r="P58" s="6801"/>
      <c r="Q58" s="6801"/>
      <c r="R58" s="6801"/>
      <c r="S58" s="6801"/>
      <c r="T58" s="6801"/>
      <c r="U58" s="6801"/>
      <c r="V58" s="6809"/>
      <c r="X58" s="7328" t="s">
        <v>16039</v>
      </c>
      <c r="Y58" s="7329"/>
      <c r="Z58" s="7330"/>
      <c r="AA58" s="7331"/>
      <c r="AB58" s="2771"/>
      <c r="AC58" s="2771"/>
      <c r="AD58" s="2772"/>
      <c r="AF58" s="2730">
        <v>1</v>
      </c>
    </row>
    <row r="59" spans="2:32" ht="21" customHeight="1">
      <c r="B59" s="6779" t="s">
        <v>337</v>
      </c>
      <c r="C59" s="6793" t="str">
        <f>C14</f>
        <v>B BOUDIN BLANC MAISON sans boyau AUX MORILLES | charcuterie-BOUDIN-BLANC| Auteur &gt; Blog MAMINA et si c'était bon</v>
      </c>
      <c r="D59" s="6793">
        <f>D14</f>
        <v>6</v>
      </c>
      <c r="E59" s="6794" t="str">
        <f>E14</f>
        <v>portions</v>
      </c>
      <c r="F59" s="6795" t="str">
        <f>F14</f>
        <v>Recette mère ► Boudin blanc</v>
      </c>
      <c r="G59" s="6804"/>
      <c r="H59" s="6804"/>
      <c r="I59" s="6806">
        <f>ROWS(M42:M59)</f>
        <v>18</v>
      </c>
      <c r="J59" s="6804"/>
      <c r="K59" s="6807" t="str" cm="1">
        <f t="array" ref="K59">SUMPRODUCT(--(M59:T59&lt;&gt;""), LEN(TRIM(SUBSTITUTE(M59:T59, CHAR(160), "")))) &amp; " Car."</f>
        <v>54 Car.</v>
      </c>
      <c r="L59" s="2736"/>
      <c r="M59" s="6801"/>
      <c r="N59" s="6801" t="s">
        <v>15975</v>
      </c>
      <c r="O59" s="6801"/>
      <c r="P59" s="6801"/>
      <c r="Q59" s="6801"/>
      <c r="R59" s="6801"/>
      <c r="S59" s="6801"/>
      <c r="T59" s="6801"/>
      <c r="U59" s="6801"/>
      <c r="V59" s="6809"/>
      <c r="X59" s="2770"/>
      <c r="Y59" s="2771"/>
      <c r="Z59" s="7332" t="str">
        <f>IF(ISTEXT(AA59),"Recette mère ►",#REF!)</f>
        <v>Recette mère ►</v>
      </c>
      <c r="AA59" s="7333" t="s">
        <v>16040</v>
      </c>
      <c r="AB59" s="2771"/>
      <c r="AC59" s="2771"/>
      <c r="AD59" s="2772"/>
      <c r="AF59" s="2730">
        <v>1</v>
      </c>
    </row>
    <row r="60" spans="2:32" ht="21" customHeight="1">
      <c r="B60" s="6589" t="str">
        <f t="shared" ref="B60:B72" si="9">IF(M60&lt;&gt;"","A","►")</f>
        <v>►</v>
      </c>
      <c r="C60" s="6793" t="str">
        <f>C14</f>
        <v>B BOUDIN BLANC MAISON sans boyau AUX MORILLES | charcuterie-BOUDIN-BLANC| Auteur &gt; Blog MAMINA et si c'était bon</v>
      </c>
      <c r="D60" s="6793">
        <f>D14</f>
        <v>6</v>
      </c>
      <c r="E60" s="6794" t="str">
        <f>E14</f>
        <v>portions</v>
      </c>
      <c r="F60" s="6795" t="str">
        <f>F14</f>
        <v>Recette mère ► Boudin blanc</v>
      </c>
      <c r="G60" s="6804"/>
      <c r="H60" s="6804"/>
      <c r="I60" s="6806">
        <f>ROWS(M42:M60)</f>
        <v>19</v>
      </c>
      <c r="J60" s="6804"/>
      <c r="K60" s="6807" t="str" cm="1">
        <f t="array" ref="K60">SUMPRODUCT(--(M60:T60&lt;&gt;""), LEN(TRIM(SUBSTITUTE(M60:T60, CHAR(160), "")))) &amp; " Car."</f>
        <v>89 Car.</v>
      </c>
      <c r="L60" s="2736" t="str">
        <f>IF(ISBLANK(M60),"",LARGE(L41:L59,1)+1)</f>
        <v/>
      </c>
      <c r="M60" s="6801"/>
      <c r="N60" s="6801" t="s">
        <v>15976</v>
      </c>
      <c r="O60" s="6801"/>
      <c r="P60" s="6801"/>
      <c r="Q60" s="6801"/>
      <c r="R60" s="6801"/>
      <c r="S60" s="6801"/>
      <c r="T60" s="6801"/>
      <c r="U60" s="6801"/>
      <c r="V60" s="6809"/>
      <c r="X60" s="2770"/>
      <c r="Y60" s="2771"/>
      <c r="Z60" s="2771"/>
      <c r="AA60" s="2771"/>
      <c r="AB60" s="2771"/>
      <c r="AC60" s="2771"/>
      <c r="AD60" s="2772"/>
      <c r="AF60" s="2730">
        <v>1</v>
      </c>
    </row>
    <row r="61" spans="2:32" ht="21" customHeight="1">
      <c r="B61" s="6589" t="str">
        <f t="shared" si="9"/>
        <v>►</v>
      </c>
      <c r="C61" s="6793" t="str">
        <f>C14</f>
        <v>B BOUDIN BLANC MAISON sans boyau AUX MORILLES | charcuterie-BOUDIN-BLANC| Auteur &gt; Blog MAMINA et si c'était bon</v>
      </c>
      <c r="D61" s="6793">
        <f>D14</f>
        <v>6</v>
      </c>
      <c r="E61" s="6794" t="str">
        <f>E14</f>
        <v>portions</v>
      </c>
      <c r="F61" s="6795" t="str">
        <f>F14</f>
        <v>Recette mère ► Boudin blanc</v>
      </c>
      <c r="G61" s="6804"/>
      <c r="H61" s="6804"/>
      <c r="I61" s="6806">
        <f>ROWS(M42:M61)</f>
        <v>20</v>
      </c>
      <c r="J61" s="6804"/>
      <c r="K61" s="6807" t="str" cm="1">
        <f t="array" ref="K61">SUMPRODUCT(--(M61:T61&lt;&gt;""), LEN(TRIM(SUBSTITUTE(M61:T61, CHAR(160), "")))) &amp; " Car."</f>
        <v>58 Car.</v>
      </c>
      <c r="L61" s="2736" t="str">
        <f>IF(ISBLANK(M61),"",LARGE(L41:L60,1)+1)</f>
        <v/>
      </c>
      <c r="M61" s="6801"/>
      <c r="N61" s="6801" t="s">
        <v>15977</v>
      </c>
      <c r="O61" s="6801"/>
      <c r="P61" s="6801"/>
      <c r="Q61" s="6801"/>
      <c r="R61" s="6801"/>
      <c r="S61" s="6801"/>
      <c r="T61" s="6801"/>
      <c r="U61" s="6801"/>
      <c r="V61" s="6809"/>
      <c r="X61" s="2770"/>
      <c r="Y61" s="7334" t="s">
        <v>16041</v>
      </c>
      <c r="Z61" s="7335"/>
      <c r="AA61" s="7336"/>
      <c r="AB61" s="2771"/>
      <c r="AC61" s="2771"/>
      <c r="AD61" s="2772"/>
      <c r="AF61" s="2730">
        <v>1</v>
      </c>
    </row>
    <row r="62" spans="2:32" ht="21" customHeight="1">
      <c r="B62" s="6589" t="str">
        <f t="shared" si="9"/>
        <v>►</v>
      </c>
      <c r="C62" s="6793" t="str">
        <f>C14</f>
        <v>B BOUDIN BLANC MAISON sans boyau AUX MORILLES | charcuterie-BOUDIN-BLANC| Auteur &gt; Blog MAMINA et si c'était bon</v>
      </c>
      <c r="D62" s="6793">
        <f>D14</f>
        <v>6</v>
      </c>
      <c r="E62" s="6794" t="str">
        <f>E14</f>
        <v>portions</v>
      </c>
      <c r="F62" s="6795" t="str">
        <f>F14</f>
        <v>Recette mère ► Boudin blanc</v>
      </c>
      <c r="G62" s="6804"/>
      <c r="H62" s="6804"/>
      <c r="I62" s="6806">
        <f>ROWS(M42:M62)</f>
        <v>21</v>
      </c>
      <c r="J62" s="6804"/>
      <c r="K62" s="6807" t="str" cm="1">
        <f t="array" ref="K62">SUMPRODUCT(--(M62:T62&lt;&gt;""), LEN(TRIM(SUBSTITUTE(M62:T62, CHAR(160), "")))) &amp; " Car."</f>
        <v>0 Car.</v>
      </c>
      <c r="L62" s="2736" t="str">
        <f>IF(ISBLANK(M62),"",LARGE(L41:L61,1)+1)</f>
        <v/>
      </c>
      <c r="M62" s="6801"/>
      <c r="N62" s="6801"/>
      <c r="O62" s="6801"/>
      <c r="P62" s="6801"/>
      <c r="Q62" s="6801"/>
      <c r="R62" s="6801"/>
      <c r="S62" s="6801"/>
      <c r="T62" s="6801"/>
      <c r="U62" s="6801"/>
      <c r="V62" s="6809"/>
      <c r="X62" s="2770"/>
      <c r="Y62" s="7984" t="s">
        <v>16042</v>
      </c>
      <c r="Z62" s="7337" t="s">
        <v>16043</v>
      </c>
      <c r="AA62" s="7338"/>
      <c r="AB62" s="2771"/>
      <c r="AC62" s="2771"/>
      <c r="AD62" s="2772"/>
      <c r="AF62" s="2730">
        <v>1</v>
      </c>
    </row>
    <row r="63" spans="2:32" ht="21" customHeight="1">
      <c r="B63" s="6589" t="str">
        <f t="shared" si="9"/>
        <v>►</v>
      </c>
      <c r="C63" s="6793" t="str">
        <f>C14</f>
        <v>B BOUDIN BLANC MAISON sans boyau AUX MORILLES | charcuterie-BOUDIN-BLANC| Auteur &gt; Blog MAMINA et si c'était bon</v>
      </c>
      <c r="D63" s="6793">
        <f>D14</f>
        <v>6</v>
      </c>
      <c r="E63" s="6794" t="str">
        <f>E14</f>
        <v>portions</v>
      </c>
      <c r="F63" s="6795" t="str">
        <f>F14</f>
        <v>Recette mère ► Boudin blanc</v>
      </c>
      <c r="G63" s="6804"/>
      <c r="H63" s="6804"/>
      <c r="I63" s="6806">
        <f>ROWS(M42:M63)</f>
        <v>22</v>
      </c>
      <c r="J63" s="6804"/>
      <c r="K63" s="6807" t="str" cm="1">
        <f t="array" ref="K63">SUMPRODUCT(--(M63:T63&lt;&gt;""), LEN(TRIM(SUBSTITUTE(M63:T63, CHAR(160), "")))) &amp; " Car."</f>
        <v>89 Car.</v>
      </c>
      <c r="L63" s="2736" t="str">
        <f>IF(ISBLANK(M63),"",LARGE(L41:L62,1)+1)</f>
        <v/>
      </c>
      <c r="M63" s="6801"/>
      <c r="N63" s="6801" t="s">
        <v>26</v>
      </c>
      <c r="O63" s="6801"/>
      <c r="P63" s="6801"/>
      <c r="Q63" s="6801"/>
      <c r="R63" s="6801"/>
      <c r="S63" s="6801"/>
      <c r="T63" s="6801"/>
      <c r="U63" s="6801"/>
      <c r="V63" s="6809"/>
      <c r="X63" s="2770"/>
      <c r="Y63" s="7985"/>
      <c r="Z63" s="7337" t="s">
        <v>16044</v>
      </c>
      <c r="AA63" s="7338"/>
      <c r="AB63" s="2771"/>
      <c r="AC63" s="2771"/>
      <c r="AD63" s="2772"/>
      <c r="AF63" s="2730">
        <v>1</v>
      </c>
    </row>
    <row r="64" spans="2:32" ht="21" customHeight="1">
      <c r="B64" s="6589" t="str">
        <f t="shared" si="9"/>
        <v>►</v>
      </c>
      <c r="C64" s="6793" t="str">
        <f>C14</f>
        <v>B BOUDIN BLANC MAISON sans boyau AUX MORILLES | charcuterie-BOUDIN-BLANC| Auteur &gt; Blog MAMINA et si c'était bon</v>
      </c>
      <c r="D64" s="6793">
        <f>D14</f>
        <v>6</v>
      </c>
      <c r="E64" s="6794" t="str">
        <f>E14</f>
        <v>portions</v>
      </c>
      <c r="F64" s="6795" t="str">
        <f>F14</f>
        <v>Recette mère ► Boudin blanc</v>
      </c>
      <c r="G64" s="6804"/>
      <c r="H64" s="6804"/>
      <c r="I64" s="6806">
        <f>ROWS(M42:M64)</f>
        <v>23</v>
      </c>
      <c r="J64" s="6804"/>
      <c r="K64" s="6807" t="str" cm="1">
        <f t="array" ref="K64">SUMPRODUCT(--(M64:T64&lt;&gt;""), LEN(TRIM(SUBSTITUTE(M64:T64, CHAR(160), "")))) &amp; " Car."</f>
        <v>65 Car.</v>
      </c>
      <c r="L64" s="2736" t="str">
        <f>IF(ISBLANK(M64),"",LARGE(L41:L63,1)+1)</f>
        <v/>
      </c>
      <c r="M64" s="6801"/>
      <c r="N64" s="6801" t="s">
        <v>21</v>
      </c>
      <c r="O64" s="6801"/>
      <c r="P64" s="6801"/>
      <c r="Q64" s="6801"/>
      <c r="R64" s="6801"/>
      <c r="S64" s="6801"/>
      <c r="T64" s="6801"/>
      <c r="U64" s="6801"/>
      <c r="V64" s="6809"/>
      <c r="X64" s="2770"/>
      <c r="Y64" s="7985"/>
      <c r="Z64" s="7337" t="s">
        <v>16045</v>
      </c>
      <c r="AA64" s="7338"/>
      <c r="AB64" s="2771"/>
      <c r="AC64" s="2771"/>
      <c r="AD64" s="2772"/>
      <c r="AF64" s="2730">
        <v>1</v>
      </c>
    </row>
    <row r="65" spans="2:32" ht="21" customHeight="1">
      <c r="B65" s="6589" t="str">
        <f t="shared" si="9"/>
        <v>►</v>
      </c>
      <c r="C65" s="6793" t="str">
        <f>C14</f>
        <v>B BOUDIN BLANC MAISON sans boyau AUX MORILLES | charcuterie-BOUDIN-BLANC| Auteur &gt; Blog MAMINA et si c'était bon</v>
      </c>
      <c r="D65" s="6793">
        <f>D14</f>
        <v>6</v>
      </c>
      <c r="E65" s="6794" t="str">
        <f>E14</f>
        <v>portions</v>
      </c>
      <c r="F65" s="6795" t="str">
        <f>F14</f>
        <v>Recette mère ► Boudin blanc</v>
      </c>
      <c r="G65" s="6804"/>
      <c r="H65" s="6804"/>
      <c r="I65" s="6806">
        <f>ROWS(M42:M65)</f>
        <v>24</v>
      </c>
      <c r="J65" s="6804"/>
      <c r="K65" s="6807" t="str" cm="1">
        <f t="array" ref="K65">SUMPRODUCT(--(M65:T65&lt;&gt;""), LEN(TRIM(SUBSTITUTE(M65:T65, CHAR(160), "")))) &amp; " Car."</f>
        <v>0 Car.</v>
      </c>
      <c r="L65" s="6860"/>
      <c r="M65" s="6801"/>
      <c r="N65" s="6801"/>
      <c r="O65" s="6801"/>
      <c r="P65" s="6801"/>
      <c r="Q65" s="6801"/>
      <c r="R65" s="6801"/>
      <c r="S65" s="6801"/>
      <c r="T65" s="6801"/>
      <c r="U65" s="6801"/>
      <c r="V65" s="6809"/>
      <c r="X65" s="2770"/>
      <c r="Y65" s="7985"/>
      <c r="Z65" s="7337" t="s">
        <v>16046</v>
      </c>
      <c r="AA65" s="7338"/>
      <c r="AB65" s="2771"/>
      <c r="AC65" s="2771"/>
      <c r="AD65" s="2772"/>
      <c r="AF65" s="2730">
        <v>1</v>
      </c>
    </row>
    <row r="66" spans="2:32" ht="21" customHeight="1">
      <c r="B66" s="6589" t="str">
        <f t="shared" si="9"/>
        <v>►</v>
      </c>
      <c r="C66" s="6793" t="str">
        <f>C14</f>
        <v>B BOUDIN BLANC MAISON sans boyau AUX MORILLES | charcuterie-BOUDIN-BLANC| Auteur &gt; Blog MAMINA et si c'était bon</v>
      </c>
      <c r="D66" s="6793">
        <f>D14</f>
        <v>6</v>
      </c>
      <c r="E66" s="6794" t="str">
        <f>E14</f>
        <v>portions</v>
      </c>
      <c r="F66" s="6795" t="str">
        <f>F14</f>
        <v>Recette mère ► Boudin blanc</v>
      </c>
      <c r="G66" s="6804"/>
      <c r="H66" s="6804"/>
      <c r="I66" s="6806">
        <f>ROWS(M42:M66)</f>
        <v>25</v>
      </c>
      <c r="J66" s="6804"/>
      <c r="K66" s="6807" t="str" cm="1">
        <f t="array" ref="K66">SUMPRODUCT(--(M66:T66&lt;&gt;""), LEN(TRIM(SUBSTITUTE(M66:T66, CHAR(160), "")))) &amp; " Car."</f>
        <v>74 Car.</v>
      </c>
      <c r="L66" s="6861"/>
      <c r="M66" s="6801"/>
      <c r="N66" s="7292" t="s">
        <v>2686</v>
      </c>
      <c r="O66" s="7292"/>
      <c r="P66" s="8051" t="s">
        <v>15983</v>
      </c>
      <c r="Q66" s="8052"/>
      <c r="R66" s="8052"/>
      <c r="S66" s="8052"/>
      <c r="T66" s="8052"/>
      <c r="U66" s="6801"/>
      <c r="V66" s="6809"/>
      <c r="X66" s="2770"/>
      <c r="Y66" s="7985"/>
      <c r="Z66" s="7337" t="s">
        <v>16047</v>
      </c>
      <c r="AA66" s="7338"/>
      <c r="AB66" s="2771"/>
      <c r="AC66" s="2771"/>
      <c r="AD66" s="2772"/>
      <c r="AF66" s="2730">
        <v>1</v>
      </c>
    </row>
    <row r="67" spans="2:32" ht="21" customHeight="1">
      <c r="B67" s="6589" t="str">
        <f t="shared" si="9"/>
        <v>►</v>
      </c>
      <c r="C67" s="6793" t="str">
        <f>C14</f>
        <v>B BOUDIN BLANC MAISON sans boyau AUX MORILLES | charcuterie-BOUDIN-BLANC| Auteur &gt; Blog MAMINA et si c'était bon</v>
      </c>
      <c r="D67" s="6793">
        <f>D14</f>
        <v>6</v>
      </c>
      <c r="E67" s="6794" t="str">
        <f>E14</f>
        <v>portions</v>
      </c>
      <c r="F67" s="6795" t="str">
        <f>F14</f>
        <v>Recette mère ► Boudin blanc</v>
      </c>
      <c r="G67" s="6804"/>
      <c r="H67" s="6804"/>
      <c r="I67" s="6806">
        <f>ROWS(M42:M67)</f>
        <v>26</v>
      </c>
      <c r="J67" s="6804"/>
      <c r="K67" s="6807" t="str" cm="1">
        <f t="array" ref="K67">SUMPRODUCT(--(M67:T67&lt;&gt;""), LEN(TRIM(SUBSTITUTE(M67:T67, CHAR(160), "")))) &amp; " Car."</f>
        <v>0 Car.</v>
      </c>
      <c r="L67" s="2736" t="str">
        <f>IF(ISBLANK(M67),"",LARGE(L41:L66,1)+1)</f>
        <v/>
      </c>
      <c r="M67" s="6801"/>
      <c r="N67"/>
      <c r="O67"/>
      <c r="P67" s="1"/>
      <c r="Q67" s="1"/>
      <c r="R67" s="1"/>
      <c r="S67" s="1"/>
      <c r="T67" s="1"/>
      <c r="U67" s="6801"/>
      <c r="V67" s="6809"/>
      <c r="X67" s="2770"/>
      <c r="Y67" s="7986"/>
      <c r="Z67" s="7339" t="s">
        <v>16048</v>
      </c>
      <c r="AA67" s="7340"/>
      <c r="AB67" s="2771"/>
      <c r="AC67" s="2771"/>
      <c r="AD67" s="2772"/>
      <c r="AF67" s="2730">
        <v>1</v>
      </c>
    </row>
    <row r="68" spans="2:32" ht="21" customHeight="1">
      <c r="B68" s="6589" t="str">
        <f t="shared" si="9"/>
        <v>►</v>
      </c>
      <c r="C68" s="6793" t="str">
        <f>C14</f>
        <v>B BOUDIN BLANC MAISON sans boyau AUX MORILLES | charcuterie-BOUDIN-BLANC| Auteur &gt; Blog MAMINA et si c'était bon</v>
      </c>
      <c r="D68" s="6793">
        <f>D14</f>
        <v>6</v>
      </c>
      <c r="E68" s="6794" t="str">
        <f>E14</f>
        <v>portions</v>
      </c>
      <c r="F68" s="6795" t="str">
        <f>F14</f>
        <v>Recette mère ► Boudin blanc</v>
      </c>
      <c r="G68" s="6804"/>
      <c r="H68" s="6804"/>
      <c r="I68" s="6806">
        <f>ROWS(M42:M68)</f>
        <v>27</v>
      </c>
      <c r="J68" s="6804"/>
      <c r="K68" s="6807" t="str" cm="1">
        <f t="array" ref="K68">SUMPRODUCT(--(M68:T68&lt;&gt;""), LEN(TRIM(SUBSTITUTE(M68:T68, CHAR(160), "")))) &amp; " Car."</f>
        <v>45 Car.</v>
      </c>
      <c r="L68" s="2736" t="str">
        <f>IF(ISBLANK(M68),"",LARGE(L41:L67,1)+1)</f>
        <v/>
      </c>
      <c r="M68" s="6801"/>
      <c r="N68" s="7292" t="s">
        <v>2686</v>
      </c>
      <c r="O68" s="7292"/>
      <c r="P68" s="8051" t="s">
        <v>15984</v>
      </c>
      <c r="Q68" s="8051"/>
      <c r="R68" s="8051"/>
      <c r="S68" s="8051"/>
      <c r="T68" s="8051"/>
      <c r="U68" s="6801"/>
      <c r="V68" s="6809"/>
      <c r="X68" s="7341"/>
      <c r="Y68" s="7342"/>
      <c r="Z68" s="7343"/>
      <c r="AA68" s="2771"/>
      <c r="AB68" s="2771"/>
      <c r="AC68" s="2771"/>
      <c r="AD68" s="2772"/>
      <c r="AF68" s="2730">
        <v>1</v>
      </c>
    </row>
    <row r="69" spans="2:32" ht="21" customHeight="1">
      <c r="B69" s="6589" t="str">
        <f t="shared" si="9"/>
        <v>►</v>
      </c>
      <c r="C69" s="6793" t="str">
        <f>C14</f>
        <v>B BOUDIN BLANC MAISON sans boyau AUX MORILLES | charcuterie-BOUDIN-BLANC| Auteur &gt; Blog MAMINA et si c'était bon</v>
      </c>
      <c r="D69" s="6793">
        <f>D14</f>
        <v>6</v>
      </c>
      <c r="E69" s="6794" t="str">
        <f>E14</f>
        <v>portions</v>
      </c>
      <c r="F69" s="6795" t="str">
        <f>F14</f>
        <v>Recette mère ► Boudin blanc</v>
      </c>
      <c r="G69" s="6804"/>
      <c r="H69" s="6804"/>
      <c r="I69" s="6806">
        <f>ROWS(M42:M69)</f>
        <v>28</v>
      </c>
      <c r="J69" s="6804"/>
      <c r="K69" s="6807" t="str" cm="1">
        <f t="array" ref="K69">SUMPRODUCT(--(M69:T69&lt;&gt;""), LEN(TRIM(SUBSTITUTE(M69:T69, CHAR(160), "")))) &amp; " Car."</f>
        <v>0 Car.</v>
      </c>
      <c r="L69" s="2736" t="str">
        <f>IF(ISBLANK(M69),"",LARGE(L41:L68,1)+1)</f>
        <v/>
      </c>
      <c r="M69" s="6801"/>
      <c r="N69"/>
      <c r="O69"/>
      <c r="P69" s="1"/>
      <c r="Q69" s="1"/>
      <c r="R69" s="1"/>
      <c r="S69" s="1"/>
      <c r="T69" s="1"/>
      <c r="U69" s="6801"/>
      <c r="V69" s="6809"/>
      <c r="X69" s="7344" t="s">
        <v>15727</v>
      </c>
      <c r="Y69" s="7345"/>
      <c r="Z69" s="7346"/>
      <c r="AA69" s="7346"/>
      <c r="AB69" s="7347" t="s">
        <v>15729</v>
      </c>
      <c r="AC69" s="6676">
        <v>20</v>
      </c>
      <c r="AD69" s="7348" t="s">
        <v>209</v>
      </c>
      <c r="AF69" s="2730">
        <v>1</v>
      </c>
    </row>
    <row r="70" spans="2:32" ht="21" customHeight="1">
      <c r="B70" s="6589" t="str">
        <f t="shared" si="9"/>
        <v>►</v>
      </c>
      <c r="C70" s="6793" t="str">
        <f>C14</f>
        <v>B BOUDIN BLANC MAISON sans boyau AUX MORILLES | charcuterie-BOUDIN-BLANC| Auteur &gt; Blog MAMINA et si c'était bon</v>
      </c>
      <c r="D70" s="6793">
        <f>D14</f>
        <v>6</v>
      </c>
      <c r="E70" s="6794" t="str">
        <f>E14</f>
        <v>portions</v>
      </c>
      <c r="F70" s="6795" t="str">
        <f>F14</f>
        <v>Recette mère ► Boudin blanc</v>
      </c>
      <c r="G70" s="6804"/>
      <c r="H70" s="6804"/>
      <c r="I70" s="6806">
        <f>ROWS(M42:M70)</f>
        <v>29</v>
      </c>
      <c r="J70" s="6804"/>
      <c r="K70" s="6807" t="str" cm="1">
        <f t="array" ref="K70">SUMPRODUCT(--(M70:T70&lt;&gt;""), LEN(TRIM(SUBSTITUTE(M70:T70, CHAR(160), "")))) &amp; " Car."</f>
        <v>68 Car.</v>
      </c>
      <c r="L70" s="2736" t="str">
        <f>IF(ISBLANK(M70),"",LARGE(L41:L69,1)+1)</f>
        <v/>
      </c>
      <c r="M70" s="6801"/>
      <c r="N70" s="7292" t="s">
        <v>2686</v>
      </c>
      <c r="O70" s="7292"/>
      <c r="P70" s="8051" t="s">
        <v>15985</v>
      </c>
      <c r="Q70" s="8052"/>
      <c r="R70" s="8052"/>
      <c r="S70" s="8052"/>
      <c r="T70" s="8052"/>
      <c r="U70" s="6801"/>
      <c r="V70" s="6809"/>
      <c r="X70" s="7349">
        <v>10</v>
      </c>
      <c r="Y70" s="7350" t="s">
        <v>15864</v>
      </c>
      <c r="Z70" s="7346"/>
      <c r="AA70" s="7346"/>
      <c r="AB70" s="2813"/>
      <c r="AC70" s="7351" t="s">
        <v>15731</v>
      </c>
      <c r="AD70" s="7352" t="s">
        <v>15732</v>
      </c>
      <c r="AF70" s="2730">
        <v>1</v>
      </c>
    </row>
    <row r="71" spans="2:32" ht="21" customHeight="1">
      <c r="B71" s="6589" t="str">
        <f t="shared" si="9"/>
        <v>►</v>
      </c>
      <c r="C71" s="6793" t="str">
        <f>C14</f>
        <v>B BOUDIN BLANC MAISON sans boyau AUX MORILLES | charcuterie-BOUDIN-BLANC| Auteur &gt; Blog MAMINA et si c'était bon</v>
      </c>
      <c r="D71" s="6793">
        <f>D14</f>
        <v>6</v>
      </c>
      <c r="E71" s="6794" t="str">
        <f>E14</f>
        <v>portions</v>
      </c>
      <c r="F71" s="6795" t="str">
        <f>F14</f>
        <v>Recette mère ► Boudin blanc</v>
      </c>
      <c r="G71" s="6804"/>
      <c r="H71" s="6804"/>
      <c r="I71" s="6806">
        <f>ROWS(M42:M71)</f>
        <v>30</v>
      </c>
      <c r="J71" s="6804"/>
      <c r="K71" s="6807" t="str" cm="1">
        <f t="array" ref="K71">SUMPRODUCT(--(M71:T71&lt;&gt;""), LEN(TRIM(SUBSTITUTE(M71:T71, CHAR(160), "")))) &amp; " Car."</f>
        <v>0 Car.</v>
      </c>
      <c r="L71" s="2736" t="str">
        <f>IF(ISBLANK(M71),"",LARGE(L41:L70,1)+1)</f>
        <v/>
      </c>
      <c r="M71" s="6801"/>
      <c r="N71" s="6636"/>
      <c r="O71" s="6636"/>
      <c r="P71" s="6636"/>
      <c r="Q71" s="7293"/>
      <c r="R71" s="7293"/>
      <c r="S71" s="7293"/>
      <c r="T71" s="7293"/>
      <c r="U71" s="6801"/>
      <c r="V71" s="6809"/>
      <c r="X71" s="7353" t="s">
        <v>61</v>
      </c>
      <c r="Y71" s="7354">
        <v>3.4219999999999997</v>
      </c>
      <c r="Z71" s="7346"/>
      <c r="AA71" s="7346"/>
      <c r="AB71" s="7355" t="s">
        <v>15734</v>
      </c>
      <c r="AC71" s="7356">
        <v>10</v>
      </c>
      <c r="AD71" s="6690" t="s">
        <v>209</v>
      </c>
      <c r="AF71" s="2730">
        <v>1</v>
      </c>
    </row>
    <row r="72" spans="2:32" ht="21" customHeight="1">
      <c r="B72" s="6589" t="str">
        <f t="shared" si="9"/>
        <v>►</v>
      </c>
      <c r="C72" s="6793" t="str">
        <f>C14</f>
        <v>B BOUDIN BLANC MAISON sans boyau AUX MORILLES | charcuterie-BOUDIN-BLANC| Auteur &gt; Blog MAMINA et si c'était bon</v>
      </c>
      <c r="D72" s="6793">
        <f>D14</f>
        <v>6</v>
      </c>
      <c r="E72" s="6794" t="str">
        <f>E14</f>
        <v>portions</v>
      </c>
      <c r="F72" s="6795" t="str">
        <f>F14</f>
        <v>Recette mère ► Boudin blanc</v>
      </c>
      <c r="G72" s="6804"/>
      <c r="H72" s="6804"/>
      <c r="I72" s="6806">
        <f>ROWS(M42:M72)</f>
        <v>31</v>
      </c>
      <c r="J72" s="6804"/>
      <c r="K72" s="6807" t="str" cm="1">
        <f t="array" ref="K72">SUMPRODUCT(--(M72:T72&lt;&gt;""), LEN(TRIM(SUBSTITUTE(M72:T72, CHAR(160), "")))) &amp; " Car."</f>
        <v>71 Car.</v>
      </c>
      <c r="L72" s="2736" t="str">
        <f>IF(ISBLANK(M72),"",LARGE(L41:L71,1)+1)</f>
        <v/>
      </c>
      <c r="M72" s="6801"/>
      <c r="N72" s="7292" t="s">
        <v>2686</v>
      </c>
      <c r="O72" s="7292"/>
      <c r="P72" s="8051" t="s">
        <v>15986</v>
      </c>
      <c r="Q72" s="8051"/>
      <c r="R72" s="8051"/>
      <c r="S72" s="8051"/>
      <c r="T72" s="8051"/>
      <c r="U72" s="6801"/>
      <c r="V72" s="6809"/>
      <c r="X72" s="2770"/>
      <c r="Y72" s="2771"/>
      <c r="Z72" s="2771"/>
      <c r="AA72" s="2771"/>
      <c r="AB72" s="2771"/>
      <c r="AC72" s="2771"/>
      <c r="AD72" s="2772"/>
      <c r="AF72" s="2730">
        <v>1</v>
      </c>
    </row>
    <row r="73" spans="2:32" ht="21" customHeight="1">
      <c r="B73" s="6779" t="s">
        <v>337</v>
      </c>
      <c r="C73" s="6793" t="str">
        <f>C14</f>
        <v>B BOUDIN BLANC MAISON sans boyau AUX MORILLES | charcuterie-BOUDIN-BLANC| Auteur &gt; Blog MAMINA et si c'était bon</v>
      </c>
      <c r="D73" s="6793">
        <f>D14</f>
        <v>6</v>
      </c>
      <c r="E73" s="6794" t="str">
        <f>E14</f>
        <v>portions</v>
      </c>
      <c r="F73" s="6795" t="str">
        <f>F14</f>
        <v>Recette mère ► Boudin blanc</v>
      </c>
      <c r="G73" s="6804"/>
      <c r="H73" s="6804"/>
      <c r="I73" s="6806">
        <f>ROWS(M42:M73)</f>
        <v>32</v>
      </c>
      <c r="J73" s="6804"/>
      <c r="K73" s="6807" t="str" cm="1">
        <f t="array" ref="K73">SUMPRODUCT(--(M73:T73&lt;&gt;""), LEN(TRIM(SUBSTITUTE(M73:T73, CHAR(160), "")))) &amp; " Car."</f>
        <v>0 Car.</v>
      </c>
      <c r="L73" s="2736" t="str">
        <f>IF(ISBLANK(M73),"",LARGE(L41:L72,1)+1)</f>
        <v/>
      </c>
      <c r="M73" s="6801"/>
      <c r="N73" s="6801"/>
      <c r="O73" s="6801"/>
      <c r="P73" s="6801"/>
      <c r="Q73" s="6801"/>
      <c r="R73" s="6801"/>
      <c r="S73" s="6801"/>
      <c r="T73" s="6801"/>
      <c r="U73" s="6801"/>
      <c r="V73" s="6809"/>
      <c r="X73" s="2792"/>
      <c r="Y73" s="2793"/>
      <c r="Z73" s="2794"/>
      <c r="AA73" s="2793"/>
      <c r="AB73" s="2793"/>
      <c r="AC73" s="2793"/>
      <c r="AD73" s="2795"/>
      <c r="AF73" s="2730">
        <v>1</v>
      </c>
    </row>
    <row r="74" spans="2:32" ht="21" customHeight="1">
      <c r="B74" s="6779" t="s">
        <v>337</v>
      </c>
      <c r="C74" s="6793" t="str">
        <f>C14</f>
        <v>B BOUDIN BLANC MAISON sans boyau AUX MORILLES | charcuterie-BOUDIN-BLANC| Auteur &gt; Blog MAMINA et si c'était bon</v>
      </c>
      <c r="D74" s="6793">
        <f>D14</f>
        <v>6</v>
      </c>
      <c r="E74" s="6794" t="str">
        <f>E14</f>
        <v>portions</v>
      </c>
      <c r="F74" s="6795" t="str">
        <f>F14</f>
        <v>Recette mère ► Boudin blanc</v>
      </c>
      <c r="G74" s="6804"/>
      <c r="H74" s="6804"/>
      <c r="I74" s="6806">
        <f>ROWS(M42:M74)</f>
        <v>33</v>
      </c>
      <c r="J74" s="6804"/>
      <c r="K74" s="6807" t="str" cm="1">
        <f t="array" ref="K74">SUMPRODUCT(--(M74:T74&lt;&gt;""), LEN(TRIM(SUBSTITUTE(M74:T74, CHAR(160), "")))) &amp; " Car."</f>
        <v>0 Car.</v>
      </c>
      <c r="L74" s="2736" t="str">
        <f>IF(ISBLANK(M74),"",LARGE(L41:L73,1)+1)</f>
        <v/>
      </c>
      <c r="M74" s="6801"/>
      <c r="N74" s="6801"/>
      <c r="O74" s="6801"/>
      <c r="P74" s="6801"/>
      <c r="Q74" s="6801"/>
      <c r="R74" s="6801"/>
      <c r="S74" s="6801"/>
      <c r="T74" s="6801"/>
      <c r="U74" s="6801"/>
      <c r="V74" s="6809"/>
      <c r="X74" s="2770"/>
      <c r="Y74" s="2771"/>
      <c r="Z74" s="2771"/>
      <c r="AA74" s="2771"/>
      <c r="AB74" s="2771"/>
      <c r="AC74" s="2771"/>
      <c r="AD74" s="2772"/>
      <c r="AF74" s="2730">
        <v>1</v>
      </c>
    </row>
    <row r="75" spans="2:32" ht="21" customHeight="1" thickBot="1">
      <c r="B75" s="6779" t="s">
        <v>337</v>
      </c>
      <c r="C75" s="6793" t="str">
        <f>C14</f>
        <v>B BOUDIN BLANC MAISON sans boyau AUX MORILLES | charcuterie-BOUDIN-BLANC| Auteur &gt; Blog MAMINA et si c'était bon</v>
      </c>
      <c r="D75" s="6793">
        <f>D14</f>
        <v>6</v>
      </c>
      <c r="E75" s="6794" t="str">
        <f>E14</f>
        <v>portions</v>
      </c>
      <c r="F75" s="6795" t="str">
        <f>F14</f>
        <v>Recette mère ► Boudin blanc</v>
      </c>
      <c r="G75" s="6812"/>
      <c r="H75" s="6813" t="s">
        <v>7</v>
      </c>
      <c r="I75" s="6814" t="s">
        <v>15798</v>
      </c>
      <c r="J75" s="2840"/>
      <c r="K75" s="2840"/>
      <c r="L75" s="2840"/>
      <c r="M75" s="2840"/>
      <c r="N75" s="2840"/>
      <c r="O75" s="2840"/>
      <c r="P75" s="2840"/>
      <c r="Q75" s="2840"/>
      <c r="R75" s="2840"/>
      <c r="S75" s="2840"/>
      <c r="T75" s="2840"/>
      <c r="U75" s="2840"/>
      <c r="V75" s="6815"/>
      <c r="X75" s="7357" t="s">
        <v>16049</v>
      </c>
      <c r="Y75" s="2771"/>
      <c r="Z75" s="2771"/>
      <c r="AA75" s="2771"/>
      <c r="AB75" s="2771"/>
      <c r="AC75" s="2771"/>
      <c r="AD75" s="2772"/>
      <c r="AF75" s="2730">
        <v>1</v>
      </c>
    </row>
    <row r="76" spans="2:32" ht="21" customHeight="1">
      <c r="B76" s="6779" t="s">
        <v>337</v>
      </c>
      <c r="C76" s="6793" t="str">
        <f>C14</f>
        <v>B BOUDIN BLANC MAISON sans boyau AUX MORILLES | charcuterie-BOUDIN-BLANC| Auteur &gt; Blog MAMINA et si c'était bon</v>
      </c>
      <c r="D76" s="6793">
        <f>D14</f>
        <v>6</v>
      </c>
      <c r="E76" s="6794" t="str">
        <f>E14</f>
        <v>portions</v>
      </c>
      <c r="F76" s="6795" t="str">
        <f>F14</f>
        <v>Recette mère ► Boudin blanc</v>
      </c>
      <c r="G76" s="6816"/>
      <c r="H76" s="6817"/>
      <c r="I76" s="6817"/>
      <c r="J76" s="6817"/>
      <c r="K76" s="6817"/>
      <c r="L76" s="6817"/>
      <c r="M76" s="6817"/>
      <c r="N76" s="6818" t="s">
        <v>7099</v>
      </c>
      <c r="O76" s="6818"/>
      <c r="P76" s="6819"/>
      <c r="Q76" s="6819"/>
      <c r="R76" s="6819"/>
      <c r="S76" s="6819"/>
      <c r="T76" s="6819"/>
      <c r="U76" s="6819"/>
      <c r="V76" s="6820"/>
      <c r="X76" s="7357"/>
      <c r="Y76" s="2771"/>
      <c r="Z76" s="2771"/>
      <c r="AA76" s="2771"/>
      <c r="AB76" s="2771"/>
      <c r="AC76" s="2771"/>
      <c r="AD76" s="2772"/>
      <c r="AF76" s="2730">
        <v>1</v>
      </c>
    </row>
    <row r="77" spans="2:32" ht="21" customHeight="1" thickBot="1">
      <c r="B77" s="6779" t="s">
        <v>337</v>
      </c>
      <c r="C77" s="6793" t="str">
        <f>C14</f>
        <v>B BOUDIN BLANC MAISON sans boyau AUX MORILLES | charcuterie-BOUDIN-BLANC| Auteur &gt; Blog MAMINA et si c'était bon</v>
      </c>
      <c r="D77" s="6793">
        <f>D14</f>
        <v>6</v>
      </c>
      <c r="E77" s="6794" t="str">
        <f>E14</f>
        <v>portions</v>
      </c>
      <c r="F77" s="6795" t="str">
        <f>F14</f>
        <v>Recette mère ► Boudin blanc</v>
      </c>
      <c r="G77" s="6821"/>
      <c r="H77" s="6822"/>
      <c r="I77" s="6823"/>
      <c r="J77" s="6862" t="s">
        <v>15795</v>
      </c>
      <c r="K77" s="6798">
        <f ca="1">K41</f>
        <v>131</v>
      </c>
      <c r="L77" s="6824" t="s">
        <v>7100</v>
      </c>
      <c r="M77" s="7291" t="s">
        <v>9</v>
      </c>
      <c r="N77" s="6825"/>
      <c r="O77" s="6825"/>
      <c r="P77" s="6825"/>
      <c r="Q77" s="2834"/>
      <c r="R77" s="2834"/>
      <c r="S77" s="2834"/>
      <c r="T77" s="6826" t="str">
        <f>IF(M78="","",(LEN(TRIM(SUBSTITUTE(M78,CHAR(160)," ")))-LEN(SUBSTITUTE(TRIM(SUBSTITUTE(M78,CHAR(160)," "))," ",""))+1)&amp;" mot"&amp;IF((LEN(TRIM(SUBSTITUTE(M78,CHAR(160)," ")))-LEN(SUBSTITUTE(TRIM(SUBSTITUTE(M78,CHAR(160)," "))," ",""))+1)&gt;1,"s",""))</f>
        <v>17 mots</v>
      </c>
      <c r="U77" s="6827" t="str">
        <f>IF(M78="","",LEN(TRIM(SUBSTITUTE(M78,CHAR(160),""))))&amp;" Car."</f>
        <v>123 Car.</v>
      </c>
      <c r="V77" s="6828" t="s">
        <v>15799</v>
      </c>
      <c r="X77" s="7987" t="s">
        <v>16050</v>
      </c>
      <c r="Y77" s="7988" t="s">
        <v>16051</v>
      </c>
      <c r="Z77" s="7988"/>
      <c r="AA77" s="7988"/>
      <c r="AB77" s="7988"/>
      <c r="AC77" s="7988"/>
      <c r="AD77" s="7989"/>
      <c r="AF77" s="2730">
        <v>1</v>
      </c>
    </row>
    <row r="78" spans="2:32" ht="21" customHeight="1" thickBot="1">
      <c r="B78" s="6829" t="s">
        <v>337</v>
      </c>
      <c r="C78" s="6830" t="str">
        <f>C14</f>
        <v>B BOUDIN BLANC MAISON sans boyau AUX MORILLES | charcuterie-BOUDIN-BLANC| Auteur &gt; Blog MAMINA et si c'était bon</v>
      </c>
      <c r="D78" s="6830">
        <f>D14</f>
        <v>6</v>
      </c>
      <c r="E78" s="6831" t="str">
        <f>E14</f>
        <v>portions</v>
      </c>
      <c r="F78" s="6832" t="str">
        <f>F14</f>
        <v>Recette mère ► Boudin blanc</v>
      </c>
      <c r="G78" s="6833"/>
      <c r="H78" s="6834"/>
      <c r="I78" s="6835"/>
      <c r="J78" s="6836"/>
      <c r="K78" s="6837"/>
      <c r="L78" s="6837" t="s">
        <v>15800</v>
      </c>
      <c r="M78" s="6838" t="s">
        <v>15801</v>
      </c>
      <c r="N78" s="6839"/>
      <c r="O78" s="6839"/>
      <c r="P78" s="6840"/>
      <c r="Q78" s="6840"/>
      <c r="R78" s="6840"/>
      <c r="S78" s="6840"/>
      <c r="T78" s="6840"/>
      <c r="U78" s="6840"/>
      <c r="V78" s="6841"/>
      <c r="X78" s="7987"/>
      <c r="Y78" s="7988"/>
      <c r="Z78" s="7988"/>
      <c r="AA78" s="7988"/>
      <c r="AB78" s="7988"/>
      <c r="AC78" s="7988"/>
      <c r="AD78" s="7989"/>
      <c r="AF78" s="2730">
        <v>1</v>
      </c>
    </row>
    <row r="79" spans="2:32" ht="21" customHeight="1" thickBot="1">
      <c r="B79" s="6842" t="s">
        <v>337</v>
      </c>
      <c r="C79" s="6843"/>
      <c r="D79" s="6843"/>
      <c r="E79" s="6843"/>
      <c r="F79" s="6844"/>
      <c r="G79" s="6845" t="s">
        <v>7</v>
      </c>
      <c r="H79" s="6846" t="str">
        <f ca="1">CELL("nomfichier")</f>
        <v>D:\Données\1.UPRT\0-UPRT.fait\1-UPRT.FR-SITE-WEB\ff-fiches-fabrications\ff.fiches.fabrication.2023\UPRT.23.aout\[ff-20-CHARCUTERIE-michel-Mariette.BOUDIN.BLANC_-1.xlsx]Exemples Michel Mariette</v>
      </c>
      <c r="I79" s="6847"/>
      <c r="J79" s="6847"/>
      <c r="K79" s="6847"/>
      <c r="L79" s="6847"/>
      <c r="M79" s="6847"/>
      <c r="N79" s="6847"/>
      <c r="O79" s="6847"/>
      <c r="P79" s="6847"/>
      <c r="Q79" s="6847"/>
      <c r="R79" s="6847"/>
      <c r="S79" s="6847"/>
      <c r="T79" s="6847"/>
      <c r="U79" s="6847"/>
      <c r="V79" s="6848"/>
      <c r="X79" s="7987"/>
      <c r="Y79" s="7358" t="s">
        <v>16052</v>
      </c>
      <c r="Z79" s="7358"/>
      <c r="AA79" s="7358"/>
      <c r="AB79" s="7358"/>
      <c r="AC79" s="7359"/>
      <c r="AD79" s="7360"/>
      <c r="AF79" s="2730">
        <v>1</v>
      </c>
    </row>
    <row r="80" spans="2:32" ht="21" customHeight="1" thickBot="1">
      <c r="B80" s="6849" t="s">
        <v>337</v>
      </c>
      <c r="C80" s="6850" t="s">
        <v>337</v>
      </c>
      <c r="D80" s="6850" t="s">
        <v>337</v>
      </c>
      <c r="E80" s="6850" t="s">
        <v>337</v>
      </c>
      <c r="F80" s="6850" t="s">
        <v>337</v>
      </c>
      <c r="G80" s="6851" t="s">
        <v>15802</v>
      </c>
      <c r="H80" s="6852"/>
      <c r="I80" s="6853"/>
      <c r="J80" s="6854"/>
      <c r="K80" s="6855"/>
      <c r="L80" s="6856"/>
      <c r="M80" s="6856"/>
      <c r="N80" s="6854"/>
      <c r="O80" s="6854"/>
      <c r="P80" s="6854"/>
      <c r="Q80" s="6852"/>
      <c r="R80" s="6852"/>
      <c r="S80" s="6852"/>
      <c r="T80" s="6852"/>
      <c r="U80" s="6852"/>
      <c r="V80" s="6857" t="s">
        <v>2371</v>
      </c>
      <c r="X80" s="7987"/>
      <c r="Y80" s="7358" t="s">
        <v>16053</v>
      </c>
      <c r="Z80" s="7361"/>
      <c r="AA80" s="7361"/>
      <c r="AB80" s="7361"/>
      <c r="AC80" s="7359"/>
      <c r="AD80" s="7360"/>
      <c r="AF80" s="2730">
        <v>1</v>
      </c>
    </row>
    <row r="81" spans="2:32" ht="21" customHeight="1">
      <c r="B81" s="6650" t="s">
        <v>337</v>
      </c>
      <c r="C81" s="6651" t="str">
        <f>C87</f>
        <v>B Boudin blanc poêlé eventail de pomme et de foie gras | charcuterie-BOUDIN-BLANC| Auteur &gt; MARIE    univ-ENSAIA-lorraine.fr</v>
      </c>
      <c r="D81" s="6652">
        <f>D87</f>
        <v>4</v>
      </c>
      <c r="E81" s="6652" t="str">
        <f>E87</f>
        <v>portions</v>
      </c>
      <c r="F81" s="6653" t="str">
        <f>F87</f>
        <v>Recette mère ► Boudin blanc</v>
      </c>
      <c r="G81" s="6654" t="s">
        <v>2</v>
      </c>
      <c r="H81" s="6655" t="s">
        <v>15721</v>
      </c>
      <c r="I81" s="6655"/>
      <c r="J81" s="8031" t="s">
        <v>15987</v>
      </c>
      <c r="K81" s="8031"/>
      <c r="L81" s="8031"/>
      <c r="M81" s="8031"/>
      <c r="N81" s="8031"/>
      <c r="O81" s="8031"/>
      <c r="P81" s="8031"/>
      <c r="Q81" s="8031"/>
      <c r="R81" s="8031"/>
      <c r="S81" s="8031"/>
      <c r="T81" s="8033" t="s">
        <v>16025</v>
      </c>
      <c r="U81" s="8033"/>
      <c r="V81" s="8035" t="str">
        <f>UPPER(LEFT(J81,1))</f>
        <v>B</v>
      </c>
      <c r="X81" s="7357"/>
      <c r="Y81" s="7358"/>
      <c r="Z81" s="7361"/>
      <c r="AA81" s="7361"/>
      <c r="AB81" s="7361"/>
      <c r="AC81" s="7359"/>
      <c r="AD81" s="7360"/>
      <c r="AF81" s="2730">
        <v>1</v>
      </c>
    </row>
    <row r="82" spans="2:32" ht="21" customHeight="1">
      <c r="B82" s="6656" t="s">
        <v>337</v>
      </c>
      <c r="C82" s="6657" t="str">
        <f>C87</f>
        <v>B Boudin blanc poêlé eventail de pomme et de foie gras | charcuterie-BOUDIN-BLANC| Auteur &gt; MARIE    univ-ENSAIA-lorraine.fr</v>
      </c>
      <c r="D82" s="6658">
        <f>D87</f>
        <v>4</v>
      </c>
      <c r="E82" s="6658" t="str">
        <f>E87</f>
        <v>portions</v>
      </c>
      <c r="F82" s="6659" t="str">
        <f>F87</f>
        <v>Recette mère ► Boudin blanc</v>
      </c>
      <c r="G82" s="6660" t="s">
        <v>15722</v>
      </c>
      <c r="H82" s="6661" t="s">
        <v>15723</v>
      </c>
      <c r="I82" s="6661"/>
      <c r="J82" s="8032"/>
      <c r="K82" s="8032"/>
      <c r="L82" s="8032"/>
      <c r="M82" s="8032"/>
      <c r="N82" s="8032"/>
      <c r="O82" s="8032"/>
      <c r="P82" s="8032"/>
      <c r="Q82" s="8032"/>
      <c r="R82" s="8032"/>
      <c r="S82" s="8032"/>
      <c r="T82" s="8034"/>
      <c r="U82" s="8034"/>
      <c r="V82" s="8036"/>
      <c r="X82" s="7362" t="s">
        <v>16054</v>
      </c>
      <c r="Y82" s="2771"/>
      <c r="Z82" s="2771"/>
      <c r="AA82" s="2771"/>
      <c r="AB82" s="2771"/>
      <c r="AC82" s="2771"/>
      <c r="AD82" s="2772"/>
      <c r="AF82" s="2730">
        <v>1</v>
      </c>
    </row>
    <row r="83" spans="2:32" ht="21" customHeight="1">
      <c r="B83" s="6656" t="s">
        <v>337</v>
      </c>
      <c r="C83" s="6662" t="str">
        <f>C87</f>
        <v>B Boudin blanc poêlé eventail de pomme et de foie gras | charcuterie-BOUDIN-BLANC| Auteur &gt; MARIE    univ-ENSAIA-lorraine.fr</v>
      </c>
      <c r="D83" s="6663">
        <f>D87</f>
        <v>4</v>
      </c>
      <c r="E83" s="6663" t="str">
        <f>E87</f>
        <v>portions</v>
      </c>
      <c r="F83" s="6664" t="str">
        <f>F87</f>
        <v>Recette mère ► Boudin blanc</v>
      </c>
      <c r="G83" s="6665"/>
      <c r="H83" s="6666" t="s">
        <v>15724</v>
      </c>
      <c r="I83" s="6667"/>
      <c r="J83" s="6668" t="s">
        <v>15725</v>
      </c>
      <c r="K83" s="6669" t="s">
        <v>15988</v>
      </c>
      <c r="L83" s="1"/>
      <c r="M83" s="1"/>
      <c r="N83" s="6669"/>
      <c r="O83" s="6669"/>
      <c r="P83" s="6669"/>
      <c r="Q83" s="6669"/>
      <c r="R83" s="6670"/>
      <c r="S83" s="1"/>
      <c r="T83" s="1"/>
      <c r="U83" s="1"/>
      <c r="V83" s="6671" t="str" cm="1">
        <f t="array" aca="1" ref="V83" ca="1">IF(COUNTIF(C112:V112,"&lt;0.5")=0,"Aucune colonne masquée ",COUNTIF(C112:V112,"&lt;0.5") &amp; " " &amp; IF(COUNTIF(C112:V112,"&lt;0.5")&gt;1,"colonnes masquées","colonne masquée") &amp; " " &amp; _xlfn.TEXTJOIN(" ", TRUE, IF(C112:V112&lt;0.5,C111:V111,"")))&amp;" "</f>
        <v xml:space="preserve">Aucune colonne masquée  </v>
      </c>
      <c r="X83" s="2770"/>
      <c r="Y83" s="2771"/>
      <c r="Z83" s="2771"/>
      <c r="AA83" s="2771"/>
      <c r="AB83" s="2771"/>
      <c r="AC83" s="2771"/>
      <c r="AD83" s="2772"/>
      <c r="AF83" s="2730">
        <v>1</v>
      </c>
    </row>
    <row r="84" spans="2:32" ht="21" customHeight="1">
      <c r="B84" s="6656" t="s">
        <v>337</v>
      </c>
      <c r="C84" s="6662" t="str">
        <f>C87</f>
        <v>B Boudin blanc poêlé eventail de pomme et de foie gras | charcuterie-BOUDIN-BLANC| Auteur &gt; MARIE    univ-ENSAIA-lorraine.fr</v>
      </c>
      <c r="D84" s="6663">
        <f>D87</f>
        <v>4</v>
      </c>
      <c r="E84" s="6663" t="str">
        <f>E87</f>
        <v>portions</v>
      </c>
      <c r="F84" s="6664" t="str">
        <f>F87</f>
        <v>Recette mère ► Boudin blanc</v>
      </c>
      <c r="G84" s="6672" t="s">
        <v>15727</v>
      </c>
      <c r="H84" s="6673"/>
      <c r="I84" s="6673"/>
      <c r="J84" s="6674" t="s">
        <v>15728</v>
      </c>
      <c r="K84" s="8022" t="str">
        <f>M87&amp;" "&amp;N87&amp;" ► Famille = "&amp;T81&amp;" ► "&amp;J81&amp;" "&amp;R84&amp;" "&amp;T84&amp;" "&amp;U84&amp;" "&amp;V84</f>
        <v>Recette mère ► Boudin blanc ► Famille = charcuterie-BOUDIN-BLANC ► Boudin blanc poêlé eventail de pomme et de foie gras  ⓫  Dupliquée pour 22 portions</v>
      </c>
      <c r="L84" s="8022"/>
      <c r="M84" s="8022"/>
      <c r="N84" s="8022"/>
      <c r="O84" s="8022"/>
      <c r="P84" s="8022"/>
      <c r="Q84" s="8022"/>
      <c r="R84" s="8022"/>
      <c r="S84" s="6675"/>
      <c r="T84" s="6675" t="s">
        <v>15729</v>
      </c>
      <c r="U84" s="6676">
        <v>22</v>
      </c>
      <c r="V84" s="6677" t="str">
        <f>V86</f>
        <v>portions</v>
      </c>
      <c r="X84" s="2770"/>
      <c r="Y84" s="2771"/>
      <c r="Z84" s="2771"/>
      <c r="AA84" s="2771"/>
      <c r="AB84" s="2771"/>
      <c r="AC84" s="2771"/>
      <c r="AD84" s="2772"/>
      <c r="AF84" s="2730">
        <v>1</v>
      </c>
    </row>
    <row r="85" spans="2:32" ht="21" customHeight="1">
      <c r="B85" s="6656" t="s">
        <v>337</v>
      </c>
      <c r="C85" s="6662" t="str">
        <f>C87</f>
        <v>B Boudin blanc poêlé eventail de pomme et de foie gras | charcuterie-BOUDIN-BLANC| Auteur &gt; MARIE    univ-ENSAIA-lorraine.fr</v>
      </c>
      <c r="D85" s="6663">
        <f>D87</f>
        <v>4</v>
      </c>
      <c r="E85" s="6663" t="str">
        <f>E87</f>
        <v>portions</v>
      </c>
      <c r="F85" s="6664" t="str">
        <f>F87</f>
        <v>Recette mère ► Boudin blanc</v>
      </c>
      <c r="G85" s="6678">
        <v>4</v>
      </c>
      <c r="H85" s="6679" t="s">
        <v>365</v>
      </c>
      <c r="I85" s="6672"/>
      <c r="J85" s="6672"/>
      <c r="K85" s="8022"/>
      <c r="L85" s="8022"/>
      <c r="M85" s="8022"/>
      <c r="N85" s="8022"/>
      <c r="O85" s="8022"/>
      <c r="P85" s="8022"/>
      <c r="Q85" s="8022"/>
      <c r="R85" s="8022"/>
      <c r="S85" s="2267"/>
      <c r="T85" s="2267"/>
      <c r="U85" s="6680" t="s">
        <v>15731</v>
      </c>
      <c r="V85" s="6681" t="s">
        <v>15732</v>
      </c>
      <c r="X85" s="2770"/>
      <c r="Y85" s="2771"/>
      <c r="Z85" s="2771"/>
      <c r="AA85" s="2771"/>
      <c r="AB85" s="2771"/>
      <c r="AC85" s="2771"/>
      <c r="AD85" s="2772"/>
      <c r="AF85" s="2730">
        <v>1</v>
      </c>
    </row>
    <row r="86" spans="2:32" ht="21" customHeight="1">
      <c r="B86" s="6656" t="s">
        <v>337</v>
      </c>
      <c r="C86" s="6662" t="str">
        <f>C87</f>
        <v>B Boudin blanc poêlé eventail de pomme et de foie gras | charcuterie-BOUDIN-BLANC| Auteur &gt; MARIE    univ-ENSAIA-lorraine.fr</v>
      </c>
      <c r="D86" s="6663">
        <f>D87</f>
        <v>4</v>
      </c>
      <c r="E86" s="6663" t="str">
        <f>E87</f>
        <v>portions</v>
      </c>
      <c r="F86" s="6664" t="str">
        <f>F87</f>
        <v>Recette mère ► Boudin blanc</v>
      </c>
      <c r="G86" s="6682"/>
      <c r="H86" s="6683" t="s">
        <v>15733</v>
      </c>
      <c r="I86" s="8023">
        <f>R106</f>
        <v>0.81</v>
      </c>
      <c r="J86" s="8023"/>
      <c r="K86" s="6684" t="str" cm="1">
        <f t="array" ref="K86">"1= "&amp;IF(OR(G85&lt;=0,I86=""),"",_xlfn.LET(_xlpm.kg,IF(ISNUMBER(I86),I86,VALEUR(SUBSTITUTE(SUBSTITUTE(SUBSTITUTE(LOWER(I86),"kg",""),",",".")," ",""))),TEXT(ROUND(_xlpm.kg*1000/G85,2),"0.##")&amp;" g"))</f>
        <v>1= 202.5 g</v>
      </c>
      <c r="L86" s="6685">
        <f>IFERROR(U84/U86,0)</f>
        <v>5.5</v>
      </c>
      <c r="M86" s="6686" t="s">
        <v>15535</v>
      </c>
      <c r="N86" s="2789"/>
      <c r="O86" s="2789"/>
      <c r="P86" s="6687"/>
      <c r="Q86" s="6687"/>
      <c r="R86"/>
      <c r="S86" s="6688"/>
      <c r="T86" s="6688" t="s">
        <v>15734</v>
      </c>
      <c r="U86" s="6689">
        <v>4</v>
      </c>
      <c r="V86" s="6690" t="s">
        <v>365</v>
      </c>
      <c r="X86" s="2770"/>
      <c r="Y86" s="2771"/>
      <c r="Z86" s="2771"/>
      <c r="AA86" s="2771"/>
      <c r="AB86" s="2771"/>
      <c r="AC86" s="2771"/>
      <c r="AD86" s="2772"/>
      <c r="AF86" s="2730">
        <v>1</v>
      </c>
    </row>
    <row r="87" spans="2:32" ht="21" customHeight="1">
      <c r="B87" s="6656" t="s">
        <v>337</v>
      </c>
      <c r="C87" s="6691" t="str">
        <f>G87</f>
        <v>B Boudin blanc poêlé eventail de pomme et de foie gras | charcuterie-BOUDIN-BLANC| Auteur &gt; MARIE    univ-ENSAIA-lorraine.fr</v>
      </c>
      <c r="D87" s="6692">
        <f>G85</f>
        <v>4</v>
      </c>
      <c r="E87" s="6691" t="str">
        <f>H85</f>
        <v>portions</v>
      </c>
      <c r="F87" s="6693" t="str">
        <f>M87&amp;" "&amp;N87</f>
        <v>Recette mère ► Boudin blanc</v>
      </c>
      <c r="G87" s="6694" t="str">
        <f>UPPER(LEFT(J81,1))&amp;" "&amp;J81&amp;" | "&amp;T81&amp;"| "&amp;J83&amp;" "&amp;K83</f>
        <v>B Boudin blanc poêlé eventail de pomme et de foie gras | charcuterie-BOUDIN-BLANC| Auteur &gt; MARIE    univ-ENSAIA-lorraine.fr</v>
      </c>
      <c r="H87" s="6695" t="s">
        <v>15735</v>
      </c>
      <c r="I87" s="8024" t="s">
        <v>15736</v>
      </c>
      <c r="J87" s="8024"/>
      <c r="K87" s="8024"/>
      <c r="L87" s="6696"/>
      <c r="M87" s="6696" t="str">
        <f>IF(ISTEXT(N87),"Recette mère ►",H87)</f>
        <v>Recette mère ►</v>
      </c>
      <c r="N87" s="6697" t="s">
        <v>747</v>
      </c>
      <c r="O87" s="6697"/>
      <c r="P87" s="6697"/>
      <c r="Q87" s="6697"/>
      <c r="R87" s="6698"/>
      <c r="S87" s="6699"/>
      <c r="T87" s="6699"/>
      <c r="U87" s="6699"/>
      <c r="V87" s="6700" t="str">
        <f>IF(ISNUMBER(IFERROR(VALUE("0,5"),"")),"ATTENTION : sur cet ordinateur, le séparateur décimal est la VIRGULE",IF(ISNUMBER(IFERROR(VALUE("0.5"),"")),"  OK. TOUT VA BIEN : sur cet ordinateur. le séparateur décimal est le POINT","Impossible de déterminer le séparateur décimal"))</f>
        <v xml:space="preserve">  OK. TOUT VA BIEN : sur cet ordinateur. le séparateur décimal est le POINT</v>
      </c>
      <c r="X87" s="2770"/>
      <c r="Y87" s="2771"/>
      <c r="Z87" s="2771"/>
      <c r="AA87" s="2771"/>
      <c r="AB87" s="2771"/>
      <c r="AC87" s="2771"/>
      <c r="AD87" s="2772"/>
      <c r="AF87" s="2730">
        <v>1</v>
      </c>
    </row>
    <row r="88" spans="2:32" ht="21" customHeight="1">
      <c r="B88" s="6656" t="s">
        <v>337</v>
      </c>
      <c r="C88" s="6701" t="str">
        <f>C87</f>
        <v>B Boudin blanc poêlé eventail de pomme et de foie gras | charcuterie-BOUDIN-BLANC| Auteur &gt; MARIE    univ-ENSAIA-lorraine.fr</v>
      </c>
      <c r="D88" s="6701">
        <f>D87</f>
        <v>4</v>
      </c>
      <c r="E88" s="6701" t="str">
        <f>E87</f>
        <v>portions</v>
      </c>
      <c r="F88" s="6702" t="str">
        <f>F87</f>
        <v>Recette mère ► Boudin blanc</v>
      </c>
      <c r="G88" s="6638" t="s">
        <v>15737</v>
      </c>
      <c r="H88" s="6638" t="s">
        <v>15738</v>
      </c>
      <c r="I88" s="6638" t="s">
        <v>15739</v>
      </c>
      <c r="J88" s="6638" t="s">
        <v>15740</v>
      </c>
      <c r="K88" s="6703" t="s">
        <v>15741</v>
      </c>
      <c r="L88" s="6704" t="s">
        <v>15742</v>
      </c>
      <c r="M88" s="6638" t="s">
        <v>15743</v>
      </c>
      <c r="N88" s="6638" t="s">
        <v>15744</v>
      </c>
      <c r="O88" s="6638"/>
      <c r="P88" s="6638" t="s">
        <v>15745</v>
      </c>
      <c r="Q88" s="6638" t="s">
        <v>15746</v>
      </c>
      <c r="R88" s="6638" t="s">
        <v>15747</v>
      </c>
      <c r="S88" s="6638" t="s">
        <v>15748</v>
      </c>
      <c r="T88" s="6638" t="s">
        <v>15749</v>
      </c>
      <c r="U88" s="6638" t="s">
        <v>15750</v>
      </c>
      <c r="V88" s="6705" t="s">
        <v>15751</v>
      </c>
      <c r="X88" s="2770"/>
      <c r="Y88" s="2771"/>
      <c r="Z88" s="2771"/>
      <c r="AA88" s="2771"/>
      <c r="AB88" s="2771"/>
      <c r="AC88" s="2771"/>
      <c r="AD88" s="2772"/>
      <c r="AF88" s="2730">
        <v>1</v>
      </c>
    </row>
    <row r="89" spans="2:32" ht="21" customHeight="1">
      <c r="B89" s="6656" t="s">
        <v>337</v>
      </c>
      <c r="C89" s="6662" t="str">
        <f>C87</f>
        <v>B Boudin blanc poêlé eventail de pomme et de foie gras | charcuterie-BOUDIN-BLANC| Auteur &gt; MARIE    univ-ENSAIA-lorraine.fr</v>
      </c>
      <c r="D89" s="6663">
        <f>D87</f>
        <v>4</v>
      </c>
      <c r="E89" s="6662" t="str">
        <f>E87</f>
        <v>portions</v>
      </c>
      <c r="F89" s="6664" t="str">
        <f>F87</f>
        <v>Recette mère ► Boudin blanc</v>
      </c>
      <c r="G89" s="6706" t="s">
        <v>2091</v>
      </c>
      <c r="H89" s="6707" t="s">
        <v>2102</v>
      </c>
      <c r="I89" s="6708"/>
      <c r="J89" s="8011" t="s">
        <v>15752</v>
      </c>
      <c r="K89" s="8025" t="s">
        <v>15753</v>
      </c>
      <c r="L89" s="8026" t="s">
        <v>15754</v>
      </c>
      <c r="M89" s="8027" t="s">
        <v>7176</v>
      </c>
      <c r="N89" s="6709" t="s">
        <v>2077</v>
      </c>
      <c r="O89" s="7712" t="s">
        <v>16246</v>
      </c>
      <c r="P89" s="6710" t="s">
        <v>61</v>
      </c>
      <c r="Q89" s="6711" t="s">
        <v>59</v>
      </c>
      <c r="R89" s="8029" t="s">
        <v>15755</v>
      </c>
      <c r="S89" s="7967" t="s">
        <v>59</v>
      </c>
      <c r="T89" s="8016" t="s">
        <v>15756</v>
      </c>
      <c r="U89" s="7969" t="s">
        <v>15757</v>
      </c>
      <c r="V89" s="8017" t="s">
        <v>15758</v>
      </c>
      <c r="X89" s="2770"/>
      <c r="Y89" s="2771"/>
      <c r="Z89" s="2771"/>
      <c r="AA89" s="2771"/>
      <c r="AB89" s="2771"/>
      <c r="AC89" s="2771"/>
      <c r="AD89" s="2772"/>
      <c r="AF89" s="2730">
        <v>1</v>
      </c>
    </row>
    <row r="90" spans="2:32" ht="21" customHeight="1">
      <c r="B90" s="6656" t="s">
        <v>337</v>
      </c>
      <c r="C90" s="6662" t="str">
        <f>C87</f>
        <v>B Boudin blanc poêlé eventail de pomme et de foie gras | charcuterie-BOUDIN-BLANC| Auteur &gt; MARIE    univ-ENSAIA-lorraine.fr</v>
      </c>
      <c r="D90" s="6663">
        <f>D87</f>
        <v>4</v>
      </c>
      <c r="E90" s="6662" t="str">
        <f>E87</f>
        <v>portions</v>
      </c>
      <c r="F90" s="6664" t="str">
        <f>F87</f>
        <v>Recette mère ► Boudin blanc</v>
      </c>
      <c r="G90" s="6712" t="s">
        <v>2484</v>
      </c>
      <c r="H90" s="6713" t="s">
        <v>58</v>
      </c>
      <c r="I90" s="6714" t="s">
        <v>14840</v>
      </c>
      <c r="J90" s="7960"/>
      <c r="K90" s="7962"/>
      <c r="L90" s="7964"/>
      <c r="M90" s="8028"/>
      <c r="N90" s="6715" t="s">
        <v>15759</v>
      </c>
      <c r="O90" s="7713" t="s">
        <v>2373</v>
      </c>
      <c r="P90" s="6716" t="s">
        <v>15760</v>
      </c>
      <c r="Q90" s="6717">
        <v>1</v>
      </c>
      <c r="R90" s="8030"/>
      <c r="S90" s="7968"/>
      <c r="T90" s="7968"/>
      <c r="U90" s="7970"/>
      <c r="V90" s="8018"/>
      <c r="X90" s="7363"/>
      <c r="Y90" s="7364" t="s">
        <v>16055</v>
      </c>
      <c r="Z90" s="2771"/>
      <c r="AA90" s="2771"/>
      <c r="AB90" s="2771"/>
      <c r="AC90" s="2771"/>
      <c r="AD90" s="2772"/>
      <c r="AF90" s="2730">
        <v>1</v>
      </c>
    </row>
    <row r="91" spans="2:32" ht="21" customHeight="1">
      <c r="B91" s="6656" t="s">
        <v>337</v>
      </c>
      <c r="C91" s="6662" t="str">
        <f>C87</f>
        <v>B Boudin blanc poêlé eventail de pomme et de foie gras | charcuterie-BOUDIN-BLANC| Auteur &gt; MARIE    univ-ENSAIA-lorraine.fr</v>
      </c>
      <c r="D91" s="6663">
        <f>D87</f>
        <v>4</v>
      </c>
      <c r="E91" s="6662" t="str">
        <f>E87</f>
        <v>portions</v>
      </c>
      <c r="F91" s="6664" t="str">
        <f>F87</f>
        <v>Recette mère ► Boudin blanc</v>
      </c>
      <c r="G91" s="6718">
        <v>4</v>
      </c>
      <c r="H91" s="6719" t="s">
        <v>15997</v>
      </c>
      <c r="I91" s="6720" t="str">
        <f t="shared" ref="I91:I105" si="10">IF(OR(ISTEXT(G91), G91&lt;=0, J91&lt;=0), "", "de")</f>
        <v>de</v>
      </c>
      <c r="J91" s="6721">
        <v>125</v>
      </c>
      <c r="K91" s="6755" t="s">
        <v>1172</v>
      </c>
      <c r="L91" s="6723">
        <v>1</v>
      </c>
      <c r="M91" s="6724" t="str">
        <f>ROWS(M91:M91)&amp;" ►"</f>
        <v>1 ►</v>
      </c>
      <c r="N91" s="6725" t="s">
        <v>15989</v>
      </c>
      <c r="O91" s="7704" t="s">
        <v>10486</v>
      </c>
      <c r="P91" s="6726">
        <f>IF(R106=0,0,(R91/R106)*Q90*1000)</f>
        <v>617.28395061728395</v>
      </c>
      <c r="Q91" s="6727">
        <f>IF(R106=0, 0, (G91*L91)/(R106*Q90))</f>
        <v>4.9382716049382713</v>
      </c>
      <c r="R91" s="6728" cm="1">
        <f t="array" ref="R91">IFERROR(_xlfn.XLOOKUP(UPPER(TRIM(K91)),UPPER(TRIM(G107:V107)),G108:V108,_xlfn.XLOOKUP(UPPER(TRIM(K91)),UPPER(TRIM(G109:V109)),G110:V110,0))*J91*IF(G91&gt;0,G91,1),0)</f>
        <v>0.5</v>
      </c>
      <c r="S91" s="6729">
        <f>IF(U86&lt;&gt;0,G91*L91*L86,0)</f>
        <v>22</v>
      </c>
      <c r="T91" s="6730" t="str">
        <f>H91</f>
        <v>boudins</v>
      </c>
      <c r="U91" s="6731">
        <f>IF(OR(ISBLANK(U86),U86=0),0,R91*L91*L86)</f>
        <v>2.75</v>
      </c>
      <c r="V91" s="6732" t="str">
        <f>IF(K91="","",IF(COUNTIF(N107:V107,SUBSTITUTE(TRIM(K91)," (s)",""))+COUNTIF(N109:V109,SUBSTITUTE(TRIM(K91)," (s)",""))&gt;0,IF(ROUND(U91,3)&gt;=1,ROUND(U91,3)&amp;" L",MAX(1,ROUND(U91*100,0))&amp;" cl"),IF(COUNTIF(G107:L107,SUBSTITUTE(TRIM(K91)," (s)",""))+COUNTIF(G109:L109,SUBSTITUTE(TRIM(K91)," (s)",""))&gt;0,IF(ROUND(U91,3)&gt;=1,ROUND(U91,3)&amp;" Kg",MAX(1,ROUND(U91*1000,0))&amp;" g"),"")))</f>
        <v>2.75 Kg</v>
      </c>
      <c r="X91" s="7363"/>
      <c r="Y91" s="7364" t="s">
        <v>16056</v>
      </c>
      <c r="Z91" s="2771"/>
      <c r="AA91" s="2771"/>
      <c r="AB91" s="2771"/>
      <c r="AC91" s="2771"/>
      <c r="AD91" s="2772"/>
      <c r="AF91" s="2730">
        <v>1</v>
      </c>
    </row>
    <row r="92" spans="2:32" ht="21" customHeight="1">
      <c r="B92" s="6589" t="str">
        <f>IF(N92&lt;&gt;"","A","►")</f>
        <v>►</v>
      </c>
      <c r="C92" s="6662" t="str">
        <f>C87</f>
        <v>B Boudin blanc poêlé eventail de pomme et de foie gras | charcuterie-BOUDIN-BLANC| Auteur &gt; MARIE    univ-ENSAIA-lorraine.fr</v>
      </c>
      <c r="D92" s="6663">
        <f>D87</f>
        <v>4</v>
      </c>
      <c r="E92" s="6662" t="str">
        <f>E87</f>
        <v>portions</v>
      </c>
      <c r="F92" s="6664" t="str">
        <f>F87</f>
        <v>Recette mère ► Boudin blanc</v>
      </c>
      <c r="G92" s="6718"/>
      <c r="H92" s="6733"/>
      <c r="I92" s="6720" t="str">
        <f t="shared" si="10"/>
        <v/>
      </c>
      <c r="J92" s="6721"/>
      <c r="K92" s="6722"/>
      <c r="L92" s="6723">
        <v>1</v>
      </c>
      <c r="M92" s="6734" t="str">
        <f>ROWS(M91:M92)&amp;" ►"</f>
        <v>2 ►</v>
      </c>
      <c r="N92" s="6725" t="s">
        <v>10486</v>
      </c>
      <c r="O92" s="7704" t="s">
        <v>10486</v>
      </c>
      <c r="P92" s="6726">
        <f>IF(R106=0,0,(R92/R106)*Q90*1000)</f>
        <v>0</v>
      </c>
      <c r="Q92" s="6735">
        <f>IF(R106=0, 0, (G92*L92)/(R106*Q90))</f>
        <v>0</v>
      </c>
      <c r="R92" s="6728" cm="1">
        <f t="array" ref="R92">IFERROR(_xlfn.XLOOKUP(UPPER(TRIM(K92)),UPPER(TRIM(G107:V107)),G108:V108,_xlfn.XLOOKUP(UPPER(TRIM(K92)),UPPER(TRIM(G109:V109)),G110:V110,0))*J92*IF(G92&gt;0,G92,1),0)</f>
        <v>0</v>
      </c>
      <c r="S92" s="6736">
        <f>IF(U86&lt;&gt;0,G92*L92*L86,0)</f>
        <v>0</v>
      </c>
      <c r="T92" s="6737">
        <f t="shared" ref="T92:T105" si="11">H92</f>
        <v>0</v>
      </c>
      <c r="U92" s="6731">
        <f>IF(OR(ISBLANK(U86),U86=0),0,R92*L92*L86)</f>
        <v>0</v>
      </c>
      <c r="V92" s="6738" t="str">
        <f>IF(K92="","",IF(COUNTIF(N107:V107,SUBSTITUTE(TRIM(K92)," (s)",""))+COUNTIF(N109:V109,SUBSTITUTE(TRIM(K92)," (s)",""))&gt;0,IF(ROUND(U92,3)&gt;=1,ROUND(U92,3)&amp;" L",MAX(1,ROUND(U92*100,0))&amp;" cl"),IF(COUNTIF(G107:L107,SUBSTITUTE(TRIM(K92)," (s)",""))+COUNTIF(G109:L109,SUBSTITUTE(TRIM(K92)," (s)",""))&gt;0,IF(ROUND(U92,3)&gt;=1,ROUND(U92,3)&amp;" Kg",MAX(1,ROUND(U92*1000,0))&amp;" g"),"")))</f>
        <v/>
      </c>
      <c r="X92" s="7365"/>
      <c r="Y92" s="7366" t="s">
        <v>16057</v>
      </c>
      <c r="Z92" s="2771"/>
      <c r="AA92" s="2771"/>
      <c r="AB92" s="2771"/>
      <c r="AC92" s="2771"/>
      <c r="AD92" s="2772"/>
      <c r="AF92" s="2730">
        <v>1</v>
      </c>
    </row>
    <row r="93" spans="2:32" ht="21" customHeight="1">
      <c r="B93" s="6589" t="str">
        <f t="shared" ref="B93:B104" si="12">IF(N93&lt;&gt;"","A","►")</f>
        <v>A</v>
      </c>
      <c r="C93" s="6662" t="str">
        <f>C87</f>
        <v>B Boudin blanc poêlé eventail de pomme et de foie gras | charcuterie-BOUDIN-BLANC| Auteur &gt; MARIE    univ-ENSAIA-lorraine.fr</v>
      </c>
      <c r="D93" s="6663">
        <f>D87</f>
        <v>4</v>
      </c>
      <c r="E93" s="6662" t="str">
        <f>E87</f>
        <v>portions</v>
      </c>
      <c r="F93" s="6664" t="str">
        <f>F87</f>
        <v>Recette mère ► Boudin blanc</v>
      </c>
      <c r="G93" s="6718"/>
      <c r="H93" s="6733"/>
      <c r="I93" s="6720" t="str">
        <f t="shared" si="10"/>
        <v/>
      </c>
      <c r="J93" s="6721">
        <v>60</v>
      </c>
      <c r="K93" s="6755" t="s">
        <v>1172</v>
      </c>
      <c r="L93" s="6723">
        <v>1</v>
      </c>
      <c r="M93" s="6734" t="str">
        <f>ROWS(M91:M93)&amp;" ►"</f>
        <v>3 ►</v>
      </c>
      <c r="N93" s="6725" t="s">
        <v>15990</v>
      </c>
      <c r="O93" s="7704" t="s">
        <v>10486</v>
      </c>
      <c r="P93" s="6726">
        <f>IF(R106=0,0,(R93/R106)*Q90*1000)</f>
        <v>74.074074074074076</v>
      </c>
      <c r="Q93" s="6735">
        <f>IF(R106=0, 0, (G93*L93)/(R106*Q90))</f>
        <v>0</v>
      </c>
      <c r="R93" s="6728" cm="1">
        <f t="array" ref="R93">IFERROR(_xlfn.XLOOKUP(UPPER(TRIM(K93)),UPPER(TRIM(G107:V107)),G108:V108,_xlfn.XLOOKUP(UPPER(TRIM(K93)),UPPER(TRIM(G109:V109)),G110:V110,0))*J93*IF(G93&gt;0,G93,1),0)</f>
        <v>0.06</v>
      </c>
      <c r="S93" s="6739">
        <f>IF(U86&lt;&gt;0,G93*L93*L86,0)</f>
        <v>0</v>
      </c>
      <c r="T93" s="6740">
        <f t="shared" si="11"/>
        <v>0</v>
      </c>
      <c r="U93" s="6731">
        <f>IF(OR(ISBLANK(U86),U86=0),0,R93*L93*L86)</f>
        <v>0.32999999999999996</v>
      </c>
      <c r="V93" s="6741" t="str">
        <f>IF(K93="","",IF(COUNTIF(N107:V107,SUBSTITUTE(TRIM(K93)," (s)",""))+COUNTIF(N109:V109,SUBSTITUTE(TRIM(K93)," (s)",""))&gt;0,IF(ROUND(U93,3)&gt;=1,ROUND(U93,3)&amp;" L",MAX(1,ROUND(U93*100,0))&amp;" cl"),IF(COUNTIF(G107:L107,SUBSTITUTE(TRIM(K93)," (s)",""))+COUNTIF(G109:L109,SUBSTITUTE(TRIM(K93)," (s)",""))&gt;0,IF(ROUND(U93,3)&gt;=1,ROUND(U93,3)&amp;" Kg",MAX(1,ROUND(U93*1000,0))&amp;" g"),"")))</f>
        <v>330 g</v>
      </c>
      <c r="X93" s="2812"/>
      <c r="Y93" s="7358" t="s">
        <v>16058</v>
      </c>
      <c r="Z93" s="2771"/>
      <c r="AA93" s="2771"/>
      <c r="AB93" s="2771"/>
      <c r="AC93" s="2771"/>
      <c r="AD93" s="2772"/>
      <c r="AF93" s="2730">
        <v>1</v>
      </c>
    </row>
    <row r="94" spans="2:32" ht="21" customHeight="1">
      <c r="B94" s="6589" t="str">
        <f t="shared" si="12"/>
        <v>A</v>
      </c>
      <c r="C94" s="6662" t="str">
        <f>C87</f>
        <v>B Boudin blanc poêlé eventail de pomme et de foie gras | charcuterie-BOUDIN-BLANC| Auteur &gt; MARIE    univ-ENSAIA-lorraine.fr</v>
      </c>
      <c r="D94" s="6663">
        <f>D87</f>
        <v>4</v>
      </c>
      <c r="E94" s="6662" t="str">
        <f>E87</f>
        <v>portions</v>
      </c>
      <c r="F94" s="6664" t="str">
        <f>F87</f>
        <v>Recette mère ► Boudin blanc</v>
      </c>
      <c r="G94" s="6718">
        <v>4</v>
      </c>
      <c r="H94" s="6733" t="s">
        <v>57</v>
      </c>
      <c r="I94" s="6720" t="str">
        <f t="shared" si="10"/>
        <v/>
      </c>
      <c r="J94" s="6721"/>
      <c r="K94" s="6722"/>
      <c r="L94" s="6723">
        <v>1</v>
      </c>
      <c r="M94" s="6734" t="str">
        <f>ROWS(M91:M94)&amp;" ►"</f>
        <v>4 ►</v>
      </c>
      <c r="N94" s="6725" t="s">
        <v>15991</v>
      </c>
      <c r="O94" s="7704" t="s">
        <v>10486</v>
      </c>
      <c r="P94" s="6726">
        <f>IF(R106=0,0,(R94/R106)*Q90*1000)</f>
        <v>0</v>
      </c>
      <c r="Q94" s="6735">
        <f>IF(R106=0, 0, (G94*L94)/(R106*Q90))</f>
        <v>4.9382716049382713</v>
      </c>
      <c r="R94" s="6728" cm="1">
        <f t="array" ref="R94">IFERROR(_xlfn.XLOOKUP(UPPER(TRIM(K94)),UPPER(TRIM(G107:V107)),G108:V108,_xlfn.XLOOKUP(UPPER(TRIM(K94)),UPPER(TRIM(G109:V109)),G110:V110,0))*J94*IF(G94&gt;0,G94,1),0)</f>
        <v>0</v>
      </c>
      <c r="S94" s="6736">
        <f>IF(U86&lt;&gt;0,G94*L94*L86,0)</f>
        <v>22</v>
      </c>
      <c r="T94" s="6737" t="str">
        <f t="shared" si="11"/>
        <v>pommes</v>
      </c>
      <c r="U94" s="6731">
        <f>IF(OR(ISBLANK(U86),U86=0),0,R94*L94*L86)</f>
        <v>0</v>
      </c>
      <c r="V94" s="6746" t="str">
        <f>IF(K94="","",IF(COUNTIF(N107:V107,SUBSTITUTE(TRIM(K94)," (s)",""))+COUNTIF(N109:V109,SUBSTITUTE(TRIM(K94)," (s)",""))&gt;0,IF(ROUND(U94,3)&gt;=1,ROUND(U94,3)&amp;" L",MAX(1,ROUND(U94*100,0))&amp;" cl"),IF(COUNTIF(G107:L107,SUBSTITUTE(TRIM(K94)," (s)",""))+COUNTIF(G109:L109,SUBSTITUTE(TRIM(K94)," (s)",""))&gt;0,IF(ROUND(U94,3)&gt;=1,ROUND(U94,3)&amp;" Kg",MAX(1,ROUND(U94*1000,0))&amp;" g"),"")))</f>
        <v/>
      </c>
      <c r="X94" s="2812"/>
      <c r="Y94" s="7358" t="s">
        <v>16059</v>
      </c>
      <c r="Z94" s="2771"/>
      <c r="AA94" s="2771"/>
      <c r="AB94" s="2771"/>
      <c r="AC94" s="2771"/>
      <c r="AD94" s="2772"/>
      <c r="AF94" s="2730">
        <v>1</v>
      </c>
    </row>
    <row r="95" spans="2:32" ht="21" customHeight="1">
      <c r="B95" s="6589" t="str">
        <f t="shared" si="12"/>
        <v>A</v>
      </c>
      <c r="C95" s="6662" t="str">
        <f>C87</f>
        <v>B Boudin blanc poêlé eventail de pomme et de foie gras | charcuterie-BOUDIN-BLANC| Auteur &gt; MARIE    univ-ENSAIA-lorraine.fr</v>
      </c>
      <c r="D95" s="6663">
        <f>D87</f>
        <v>4</v>
      </c>
      <c r="E95" s="6662" t="str">
        <f>E87</f>
        <v>portions</v>
      </c>
      <c r="F95" s="6664" t="str">
        <f>F87</f>
        <v>Recette mère ► Boudin blanc</v>
      </c>
      <c r="G95" s="6718"/>
      <c r="H95" s="6733"/>
      <c r="I95" s="6720" t="str">
        <f t="shared" si="10"/>
        <v/>
      </c>
      <c r="J95" s="6721">
        <v>50</v>
      </c>
      <c r="K95" s="6755" t="s">
        <v>1172</v>
      </c>
      <c r="L95" s="6723">
        <v>1</v>
      </c>
      <c r="M95" s="6734" t="str">
        <f>ROWS(M91:M95)&amp;" ►"</f>
        <v>5 ►</v>
      </c>
      <c r="N95" s="6725" t="s">
        <v>17891</v>
      </c>
      <c r="O95" s="7704" t="s">
        <v>17874</v>
      </c>
      <c r="P95" s="6726">
        <f>IF(R106=0,0,(R95/R106)*Q90*1000)</f>
        <v>61.728395061728392</v>
      </c>
      <c r="Q95" s="6735">
        <f>IF(R106=0, 0, (G95*L95)/(R106*Q90))</f>
        <v>0</v>
      </c>
      <c r="R95" s="6728" cm="1">
        <f t="array" ref="R95">IFERROR(_xlfn.XLOOKUP(UPPER(TRIM(K95)),UPPER(TRIM(G107:V107)),G108:V108,_xlfn.XLOOKUP(UPPER(TRIM(K95)),UPPER(TRIM(G109:V109)),G110:V110,0))*J95*IF(G95&gt;0,G95,1),0)</f>
        <v>0.05</v>
      </c>
      <c r="S95" s="6739">
        <f>IF(U86&lt;&gt;0,G95*L95*L86,0)</f>
        <v>0</v>
      </c>
      <c r="T95" s="6740">
        <f t="shared" si="11"/>
        <v>0</v>
      </c>
      <c r="U95" s="6731">
        <f>IF(OR(ISBLANK(U86),U86=0),0,R95*L95*L86)</f>
        <v>0.27500000000000002</v>
      </c>
      <c r="V95" s="6741" t="str">
        <f>IF(K95="","",IF(COUNTIF(N107:V107,SUBSTITUTE(TRIM(K95)," (s)",""))+COUNTIF(N109:V109,SUBSTITUTE(TRIM(K95)," (s)",""))&gt;0,IF(ROUND(U95,3)&gt;=1,ROUND(U95,3)&amp;" L",MAX(1,ROUND(U95*100,0))&amp;" cl"),IF(COUNTIF(G107:L107,SUBSTITUTE(TRIM(K95)," (s)",""))+COUNTIF(G109:L109,SUBSTITUTE(TRIM(K95)," (s)",""))&gt;0,IF(ROUND(U95,3)&gt;=1,ROUND(U95,3)&amp;" Kg",MAX(1,ROUND(U95*1000,0))&amp;" g"),"")))</f>
        <v>275 g</v>
      </c>
      <c r="X95" s="2812"/>
      <c r="Y95" s="7358"/>
      <c r="Z95" s="2771"/>
      <c r="AA95" s="2771"/>
      <c r="AB95" s="2771"/>
      <c r="AC95" s="2771"/>
      <c r="AD95" s="2772"/>
      <c r="AF95" s="2730">
        <v>1</v>
      </c>
    </row>
    <row r="96" spans="2:32" ht="21" customHeight="1">
      <c r="B96" s="6589" t="str">
        <f t="shared" si="12"/>
        <v>A</v>
      </c>
      <c r="C96" s="6662" t="str">
        <f>C87</f>
        <v>B Boudin blanc poêlé eventail de pomme et de foie gras | charcuterie-BOUDIN-BLANC| Auteur &gt; MARIE    univ-ENSAIA-lorraine.fr</v>
      </c>
      <c r="D96" s="6663">
        <f>D87</f>
        <v>4</v>
      </c>
      <c r="E96" s="6662" t="str">
        <f>E87</f>
        <v>portions</v>
      </c>
      <c r="F96" s="6664" t="str">
        <f>F87</f>
        <v>Recette mère ► Boudin blanc</v>
      </c>
      <c r="G96" s="6718">
        <v>1</v>
      </c>
      <c r="H96" s="6733" t="s">
        <v>15998</v>
      </c>
      <c r="I96" s="6720" t="str">
        <f t="shared" si="10"/>
        <v/>
      </c>
      <c r="J96" s="6721"/>
      <c r="K96" s="6722"/>
      <c r="L96" s="6723">
        <v>1</v>
      </c>
      <c r="M96" s="6734" t="str">
        <f>ROWS(M91:M96)&amp;" ►"</f>
        <v>6 ►</v>
      </c>
      <c r="N96" s="6725" t="s">
        <v>17892</v>
      </c>
      <c r="O96" s="7704" t="s">
        <v>17878</v>
      </c>
      <c r="P96" s="6726">
        <f>IF(R106=0,0,(R96/R106)*Q90*1000)</f>
        <v>0</v>
      </c>
      <c r="Q96" s="6735">
        <f>IF(R106=0, 0, (G96*L96)/(R106*Q90))</f>
        <v>1.2345679012345678</v>
      </c>
      <c r="R96" s="6728" cm="1">
        <f t="array" ref="R96">IFERROR(_xlfn.XLOOKUP(UPPER(TRIM(K96)),UPPER(TRIM(G107:V107)),G108:V108,_xlfn.XLOOKUP(UPPER(TRIM(K96)),UPPER(TRIM(G109:V109)),G110:V110,0))*J96*IF(G96&gt;0,G96,1),0)</f>
        <v>0</v>
      </c>
      <c r="S96" s="6736">
        <f>IF(U86&lt;&gt;0,G96*L96*L86,0)</f>
        <v>5.5</v>
      </c>
      <c r="T96" s="6737" t="str">
        <f t="shared" si="11"/>
        <v>C/café</v>
      </c>
      <c r="U96" s="6731">
        <f>IF(OR(ISBLANK(U86),U86=0),0,R96*L96*L86)</f>
        <v>0</v>
      </c>
      <c r="V96" s="6746" t="str">
        <f>IF(K96="","",IF(COUNTIF(N107:V107,SUBSTITUTE(TRIM(K96)," (s)",""))+COUNTIF(N109:V109,SUBSTITUTE(TRIM(K96)," (s)",""))&gt;0,IF(ROUND(U96,3)&gt;=1,ROUND(U96,3)&amp;" L",MAX(1,ROUND(U96*100,0))&amp;" cl"),IF(COUNTIF(G107:L107,SUBSTITUTE(TRIM(K96)," (s)",""))+COUNTIF(G109:L109,SUBSTITUTE(TRIM(K96)," (s)",""))&gt;0,IF(ROUND(U96,3)&gt;=1,ROUND(U96,3)&amp;" Kg",MAX(1,ROUND(U96*1000,0))&amp;" g"),"")))</f>
        <v/>
      </c>
      <c r="X96" s="7367"/>
      <c r="Y96" s="7368" t="s">
        <v>16060</v>
      </c>
      <c r="Z96" s="2771"/>
      <c r="AA96" s="2771"/>
      <c r="AB96" s="2771"/>
      <c r="AC96" s="2771"/>
      <c r="AD96" s="2772"/>
      <c r="AF96" s="2730">
        <v>1</v>
      </c>
    </row>
    <row r="97" spans="2:32" ht="21" customHeight="1">
      <c r="B97" s="6589" t="str">
        <f t="shared" si="12"/>
        <v>A</v>
      </c>
      <c r="C97" s="6662" t="str">
        <f>C87</f>
        <v>B Boudin blanc poêlé eventail de pomme et de foie gras | charcuterie-BOUDIN-BLANC| Auteur &gt; MARIE    univ-ENSAIA-lorraine.fr</v>
      </c>
      <c r="D97" s="6663">
        <f>D87</f>
        <v>4</v>
      </c>
      <c r="E97" s="6662" t="str">
        <f>E87</f>
        <v>portions</v>
      </c>
      <c r="F97" s="6664" t="str">
        <f>F87</f>
        <v>Recette mère ► Boudin blanc</v>
      </c>
      <c r="G97" s="6718">
        <v>2</v>
      </c>
      <c r="H97" s="6733" t="s">
        <v>15956</v>
      </c>
      <c r="I97" s="6720" t="str">
        <f t="shared" si="10"/>
        <v/>
      </c>
      <c r="J97" s="6721"/>
      <c r="K97" s="6722"/>
      <c r="L97" s="6723">
        <v>1</v>
      </c>
      <c r="M97" s="6734" t="str">
        <f>ROWS(M91:M97)&amp;" ►"</f>
        <v>7 ►</v>
      </c>
      <c r="N97" s="6725" t="s">
        <v>15992</v>
      </c>
      <c r="O97" s="7704" t="s">
        <v>10486</v>
      </c>
      <c r="P97" s="6726">
        <f>IF(R106=0,0,(R97/R106)*Q90*1000)</f>
        <v>0</v>
      </c>
      <c r="Q97" s="6735">
        <f>IF(R106=0, 0, (G97*L97)/(R106*Q90))</f>
        <v>2.4691358024691357</v>
      </c>
      <c r="R97" s="6728" cm="1">
        <f t="array" ref="R97">IFERROR(_xlfn.XLOOKUP(UPPER(TRIM(K97)),UPPER(TRIM(G107:V107)),G108:V108,_xlfn.XLOOKUP(UPPER(TRIM(K97)),UPPER(TRIM(G109:V109)),G110:V110,0))*J97*IF(G97&gt;0,G97,1),0)</f>
        <v>0</v>
      </c>
      <c r="S97" s="6739">
        <f>IF(U86&lt;&gt;0,G97*L97*L86,0)</f>
        <v>11</v>
      </c>
      <c r="T97" s="6740" t="str">
        <f t="shared" si="11"/>
        <v>C/soupe</v>
      </c>
      <c r="U97" s="6731">
        <f>IF(OR(ISBLANK(U86),U86=0),0,R97*L97*L86)</f>
        <v>0</v>
      </c>
      <c r="V97" s="6741" t="str">
        <f>IF(K97="","",IF(COUNTIF(N107:V107,SUBSTITUTE(TRIM(K97)," (s)",""))+COUNTIF(N109:V109,SUBSTITUTE(TRIM(K97)," (s)",""))&gt;0,IF(ROUND(U97,3)&gt;=1,ROUND(U97,3)&amp;" L",MAX(1,ROUND(U97*100,0))&amp;" cl"),IF(COUNTIF(G107:L107,SUBSTITUTE(TRIM(K97)," (s)",""))+COUNTIF(G109:L109,SUBSTITUTE(TRIM(K97)," (s)",""))&gt;0,IF(ROUND(U97,3)&gt;=1,ROUND(U97,3)&amp;" Kg",MAX(1,ROUND(U97*1000,0))&amp;" g"),"")))</f>
        <v/>
      </c>
      <c r="X97" s="2812"/>
      <c r="Y97" s="7358"/>
      <c r="Z97" s="2771"/>
      <c r="AA97" s="2771"/>
      <c r="AB97" s="2771"/>
      <c r="AC97" s="2771"/>
      <c r="AD97" s="2772"/>
      <c r="AF97" s="2730">
        <v>1</v>
      </c>
    </row>
    <row r="98" spans="2:32" ht="21" customHeight="1">
      <c r="B98" s="6589" t="str">
        <f t="shared" si="12"/>
        <v>A</v>
      </c>
      <c r="C98" s="6662" t="str">
        <f>C87</f>
        <v>B Boudin blanc poêlé eventail de pomme et de foie gras | charcuterie-BOUDIN-BLANC| Auteur &gt; MARIE    univ-ENSAIA-lorraine.fr</v>
      </c>
      <c r="D98" s="6663">
        <f>D87</f>
        <v>4</v>
      </c>
      <c r="E98" s="6662" t="str">
        <f>E87</f>
        <v>portions</v>
      </c>
      <c r="F98" s="6664" t="str">
        <f>F87</f>
        <v>Recette mère ► Boudin blanc</v>
      </c>
      <c r="G98" s="6718"/>
      <c r="H98" s="6733"/>
      <c r="I98" s="6720" t="str">
        <f t="shared" si="10"/>
        <v/>
      </c>
      <c r="J98" s="6721">
        <v>20</v>
      </c>
      <c r="K98" s="6759" t="s">
        <v>32</v>
      </c>
      <c r="L98" s="6723">
        <v>1</v>
      </c>
      <c r="M98" s="6734" t="str">
        <f>ROWS(M91:M98)&amp;" ►"</f>
        <v>8 ►</v>
      </c>
      <c r="N98" s="6725" t="s">
        <v>17893</v>
      </c>
      <c r="O98" s="7704" t="s">
        <v>17874</v>
      </c>
      <c r="P98" s="6726">
        <f>IF(R106=0,0,(R98/R106)*Q90*1000)</f>
        <v>246.91358024691357</v>
      </c>
      <c r="Q98" s="6735">
        <f>IF(R106=0, 0, (G98*L98)/(R106*Q90))</f>
        <v>0</v>
      </c>
      <c r="R98" s="6728" cm="1">
        <f t="array" ref="R98">IFERROR(_xlfn.XLOOKUP(UPPER(TRIM(K98)),UPPER(TRIM(G107:V107)),G108:V108,_xlfn.XLOOKUP(UPPER(TRIM(K98)),UPPER(TRIM(G109:V109)),G110:V110,0))*J98*IF(G98&gt;0,G98,1),0)</f>
        <v>0.2</v>
      </c>
      <c r="S98" s="6736">
        <f>IF(U86&lt;&gt;0,G98*L98*L86,0)</f>
        <v>0</v>
      </c>
      <c r="T98" s="6737">
        <f t="shared" si="11"/>
        <v>0</v>
      </c>
      <c r="U98" s="6731">
        <f>IF(OR(ISBLANK(U86),U86=0),0,R98*L98*L86)</f>
        <v>1.1000000000000001</v>
      </c>
      <c r="V98" s="6746" t="str">
        <f>IF(K98="","",IF(COUNTIF(N107:V107,SUBSTITUTE(TRIM(K98)," (s)",""))+COUNTIF(N109:V109,SUBSTITUTE(TRIM(K98)," (s)",""))&gt;0,IF(ROUND(U98,3)&gt;=1,ROUND(U98,3)&amp;" L",MAX(1,ROUND(U98*100,0))&amp;" cl"),IF(COUNTIF(G107:L107,SUBSTITUTE(TRIM(K98)," (s)",""))+COUNTIF(G109:L109,SUBSTITUTE(TRIM(K98)," (s)",""))&gt;0,IF(ROUND(U98,3)&gt;=1,ROUND(U98,3)&amp;" Kg",MAX(1,ROUND(U98*1000,0))&amp;" g"),"")))</f>
        <v>1.1 L</v>
      </c>
      <c r="X98" s="7369" t="s">
        <v>2091</v>
      </c>
      <c r="Y98" s="7370" t="s">
        <v>2102</v>
      </c>
      <c r="Z98" s="7371"/>
      <c r="AA98" s="7959" t="s">
        <v>15752</v>
      </c>
      <c r="AB98" s="7961" t="s">
        <v>15753</v>
      </c>
      <c r="AC98" s="7963" t="s">
        <v>15754</v>
      </c>
      <c r="AD98" s="7372" t="s">
        <v>2077</v>
      </c>
      <c r="AF98" s="2730">
        <v>1</v>
      </c>
    </row>
    <row r="99" spans="2:32" ht="21" customHeight="1">
      <c r="B99" s="6589" t="str">
        <f t="shared" si="12"/>
        <v>A</v>
      </c>
      <c r="C99" s="6662" t="str">
        <f>C87</f>
        <v>B Boudin blanc poêlé eventail de pomme et de foie gras | charcuterie-BOUDIN-BLANC| Auteur &gt; MARIE    univ-ENSAIA-lorraine.fr</v>
      </c>
      <c r="D99" s="6663">
        <f>D87</f>
        <v>4</v>
      </c>
      <c r="E99" s="6662" t="str">
        <f>E87</f>
        <v>portions</v>
      </c>
      <c r="F99" s="6664" t="str">
        <f>F87</f>
        <v>Recette mère ► Boudin blanc</v>
      </c>
      <c r="G99" s="6718">
        <v>0.5</v>
      </c>
      <c r="H99" s="6733" t="s">
        <v>15999</v>
      </c>
      <c r="I99" s="6720" t="str">
        <f t="shared" si="10"/>
        <v/>
      </c>
      <c r="J99" s="6721"/>
      <c r="K99" s="6722"/>
      <c r="L99" s="6723">
        <v>1</v>
      </c>
      <c r="M99" s="6734" t="str">
        <f>ROWS(M91:M99)&amp;" ►"</f>
        <v>9 ►</v>
      </c>
      <c r="N99" s="6725" t="s">
        <v>15993</v>
      </c>
      <c r="O99" s="7704" t="s">
        <v>10486</v>
      </c>
      <c r="P99" s="6726">
        <f>IF(R106=0,0,(R99/R106)*Q90*1000)</f>
        <v>0</v>
      </c>
      <c r="Q99" s="6735">
        <f>IF(R106=0, 0, (G99*L99)/(R106*Q90))</f>
        <v>0.61728395061728392</v>
      </c>
      <c r="R99" s="6728" cm="1">
        <f t="array" ref="R99">IFERROR(_xlfn.XLOOKUP(UPPER(TRIM(K99)),UPPER(TRIM(G107:V107)),G108:V108,_xlfn.XLOOKUP(UPPER(TRIM(K99)),UPPER(TRIM(G109:V109)),G110:V110,0))*J99*IF(G99&gt;0,G99,1),0)</f>
        <v>0</v>
      </c>
      <c r="S99" s="6739">
        <f>IF(U86&lt;&gt;0,G99*L99*L86,0)</f>
        <v>2.75</v>
      </c>
      <c r="T99" s="6740" t="str">
        <f t="shared" si="11"/>
        <v>citron(s)</v>
      </c>
      <c r="U99" s="6731">
        <f>IF(OR(ISBLANK(U86),U86=0),0,R99*L99*L86)</f>
        <v>0</v>
      </c>
      <c r="V99" s="6741" t="str">
        <f>IF(K99="","",IF(COUNTIF(N107:V107,SUBSTITUTE(TRIM(K99)," (s)",""))+COUNTIF(N109:V109,SUBSTITUTE(TRIM(K99)," (s)",""))&gt;0,IF(ROUND(U99,3)&gt;=1,ROUND(U99,3)&amp;" L",MAX(1,ROUND(U99*100,0))&amp;" cl"),IF(COUNTIF(G107:L107,SUBSTITUTE(TRIM(K99)," (s)",""))+COUNTIF(G109:L109,SUBSTITUTE(TRIM(K99)," (s)",""))&gt;0,IF(ROUND(U99,3)&gt;=1,ROUND(U99,3)&amp;" Kg",MAX(1,ROUND(U99*1000,0))&amp;" g"),"")))</f>
        <v/>
      </c>
      <c r="X99" s="7373" t="s">
        <v>2484</v>
      </c>
      <c r="Y99" s="6713" t="s">
        <v>58</v>
      </c>
      <c r="Z99" s="6714" t="s">
        <v>14840</v>
      </c>
      <c r="AA99" s="7960"/>
      <c r="AB99" s="7962"/>
      <c r="AC99" s="7964"/>
      <c r="AD99" s="7374" t="s">
        <v>15759</v>
      </c>
      <c r="AF99" s="2730">
        <v>1</v>
      </c>
    </row>
    <row r="100" spans="2:32" ht="21" customHeight="1">
      <c r="B100" s="6589" t="str">
        <f t="shared" si="12"/>
        <v>A</v>
      </c>
      <c r="C100" s="6662" t="str">
        <f>C87</f>
        <v>B Boudin blanc poêlé eventail de pomme et de foie gras | charcuterie-BOUDIN-BLANC| Auteur &gt; MARIE    univ-ENSAIA-lorraine.fr</v>
      </c>
      <c r="D100" s="6663">
        <f>D87</f>
        <v>4</v>
      </c>
      <c r="E100" s="6662" t="str">
        <f>E87</f>
        <v>portions</v>
      </c>
      <c r="F100" s="6664" t="str">
        <f>F87</f>
        <v>Recette mère ► Boudin blanc</v>
      </c>
      <c r="G100" s="6718">
        <v>1</v>
      </c>
      <c r="H100" s="6733" t="s">
        <v>15956</v>
      </c>
      <c r="I100" s="6720" t="str">
        <f t="shared" si="10"/>
        <v/>
      </c>
      <c r="J100" s="6721"/>
      <c r="K100" s="6722"/>
      <c r="L100" s="6723">
        <v>1</v>
      </c>
      <c r="M100" s="6734" t="str">
        <f>ROWS(M91:M100)&amp;" ►"</f>
        <v>10 ►</v>
      </c>
      <c r="N100" s="6725" t="s">
        <v>15994</v>
      </c>
      <c r="O100" s="7704" t="s">
        <v>10486</v>
      </c>
      <c r="P100" s="6726">
        <f>IF(R106=0,0,(R100/R106)*Q90*1000)</f>
        <v>0</v>
      </c>
      <c r="Q100" s="6735">
        <f>IF(R106=0, 0, (G100*L100)/(R106*Q90))</f>
        <v>1.2345679012345678</v>
      </c>
      <c r="R100" s="6728" cm="1">
        <f t="array" ref="R100">IFERROR(_xlfn.XLOOKUP(UPPER(TRIM(K100)),UPPER(TRIM(G107:V107)),G108:V108,_xlfn.XLOOKUP(UPPER(TRIM(K100)),UPPER(TRIM(G109:V109)),G110:V110,0))*J100*IF(G100&gt;0,G100,1),0)</f>
        <v>0</v>
      </c>
      <c r="S100" s="6736">
        <f>IF(U86&lt;&gt;0,G100*L100*L86,0)</f>
        <v>5.5</v>
      </c>
      <c r="T100" s="6737" t="str">
        <f t="shared" si="11"/>
        <v>C/soupe</v>
      </c>
      <c r="U100" s="6731">
        <f>IF(OR(ISBLANK(U86),U86=0),0,R100*L100*L86)</f>
        <v>0</v>
      </c>
      <c r="V100" s="6746" t="str">
        <f>IF(K100="","",IF(COUNTIF(N107:V107,SUBSTITUTE(TRIM(K100)," (s)",""))+COUNTIF(N109:V109,SUBSTITUTE(TRIM(K100)," (s)",""))&gt;0,IF(ROUND(U100,3)&gt;=1,ROUND(U100,3)&amp;" L",MAX(1,ROUND(U100*100,0))&amp;" cl"),IF(COUNTIF(G107:L107,SUBSTITUTE(TRIM(K100)," (s)",""))+COUNTIF(G109:L109,SUBSTITUTE(TRIM(K100)," (s)",""))&gt;0,IF(ROUND(U100,3)&gt;=1,ROUND(U100,3)&amp;" Kg",MAX(1,ROUND(U100*1000,0))&amp;" g"),"")))</f>
        <v/>
      </c>
      <c r="X100" s="7375">
        <v>2</v>
      </c>
      <c r="Y100" s="6719"/>
      <c r="Z100" s="6720" t="s">
        <v>14840</v>
      </c>
      <c r="AA100" s="6721">
        <v>1</v>
      </c>
      <c r="AB100" s="6759" t="s">
        <v>33</v>
      </c>
      <c r="AC100" s="7376">
        <v>1</v>
      </c>
      <c r="AD100" s="7377" t="s">
        <v>6682</v>
      </c>
      <c r="AF100" s="2730">
        <v>1</v>
      </c>
    </row>
    <row r="101" spans="2:32" ht="21" customHeight="1">
      <c r="B101" s="6589" t="str">
        <f t="shared" si="12"/>
        <v>A</v>
      </c>
      <c r="C101" s="6662" t="str">
        <f>C87</f>
        <v>B Boudin blanc poêlé eventail de pomme et de foie gras | charcuterie-BOUDIN-BLANC| Auteur &gt; MARIE    univ-ENSAIA-lorraine.fr</v>
      </c>
      <c r="D101" s="6663">
        <f>D87</f>
        <v>4</v>
      </c>
      <c r="E101" s="6662" t="str">
        <f>E87</f>
        <v>portions</v>
      </c>
      <c r="F101" s="6664" t="str">
        <f>F87</f>
        <v>Recette mère ► Boudin blanc</v>
      </c>
      <c r="G101" s="6718">
        <v>8</v>
      </c>
      <c r="H101" s="6733" t="s">
        <v>16000</v>
      </c>
      <c r="I101" s="6720" t="str">
        <f t="shared" si="10"/>
        <v/>
      </c>
      <c r="J101" s="6721"/>
      <c r="K101" s="6722"/>
      <c r="L101" s="6723">
        <v>1</v>
      </c>
      <c r="M101" s="6734" t="str">
        <f>ROWS(M91:M101)&amp;" ►"</f>
        <v>11 ►</v>
      </c>
      <c r="N101" s="6725" t="s">
        <v>15995</v>
      </c>
      <c r="O101" s="7704" t="s">
        <v>10486</v>
      </c>
      <c r="P101" s="6726">
        <f>IF(R106=0,0,(R101/R106)*Q90*1000)</f>
        <v>0</v>
      </c>
      <c r="Q101" s="6735">
        <f>IF(R106=0, 0, (G101*L101)/(R106*Q90))</f>
        <v>9.8765432098765427</v>
      </c>
      <c r="R101" s="6728" cm="1">
        <f t="array" ref="R101">IFERROR(_xlfn.XLOOKUP(UPPER(TRIM(K101)),UPPER(TRIM(G107:V107)),G108:V108,_xlfn.XLOOKUP(UPPER(TRIM(K101)),UPPER(TRIM(G109:V109)),G110:V110,0))*J101*IF(G101&gt;0,G101,1),0)</f>
        <v>0</v>
      </c>
      <c r="S101" s="6739">
        <f>IF(U86&lt;&gt;0,G101*L101*L86,0)</f>
        <v>44</v>
      </c>
      <c r="T101" s="6740" t="str">
        <f t="shared" si="11"/>
        <v>grains</v>
      </c>
      <c r="U101" s="6731">
        <f>IF(OR(ISBLANK(U86),U86=0),0,R101*L101*L86)</f>
        <v>0</v>
      </c>
      <c r="V101" s="6741" t="str">
        <f>IF(K101="","",IF(COUNTIF(N107:V107,SUBSTITUTE(TRIM(K101)," (s)",""))+COUNTIF(N109:V109,SUBSTITUTE(TRIM(K101)," (s)",""))&gt;0,IF(ROUND(U101,3)&gt;=1,ROUND(U101,3)&amp;" L",MAX(1,ROUND(U101*100,0))&amp;" cl"),IF(COUNTIF(G107:L107,SUBSTITUTE(TRIM(K101)," (s)",""))+COUNTIF(G109:L109,SUBSTITUTE(TRIM(K101)," (s)",""))&gt;0,IF(ROUND(U101,3)&gt;=1,ROUND(U101,3)&amp;" Kg",MAX(1,ROUND(U101*1000,0))&amp;" g"),"")))</f>
        <v/>
      </c>
      <c r="X101" s="7375">
        <v>2</v>
      </c>
      <c r="Y101" s="6719"/>
      <c r="Z101" s="6720" t="s">
        <v>14840</v>
      </c>
      <c r="AA101" s="6721">
        <v>10</v>
      </c>
      <c r="AB101" s="6755" t="s">
        <v>1172</v>
      </c>
      <c r="AC101" s="7376">
        <v>1</v>
      </c>
      <c r="AD101" s="7377" t="s">
        <v>16061</v>
      </c>
      <c r="AF101" s="2730">
        <v>1</v>
      </c>
    </row>
    <row r="102" spans="2:32" ht="21" customHeight="1">
      <c r="B102" s="6589" t="str">
        <f t="shared" si="12"/>
        <v>A</v>
      </c>
      <c r="C102" s="6662" t="str">
        <f>C87</f>
        <v>B Boudin blanc poêlé eventail de pomme et de foie gras | charcuterie-BOUDIN-BLANC| Auteur &gt; MARIE    univ-ENSAIA-lorraine.fr</v>
      </c>
      <c r="D102" s="6663">
        <f>D87</f>
        <v>4</v>
      </c>
      <c r="E102" s="6662" t="str">
        <f>E87</f>
        <v>portions</v>
      </c>
      <c r="F102" s="6664" t="str">
        <f>F87</f>
        <v>Recette mère ► Boudin blanc</v>
      </c>
      <c r="G102" s="6718">
        <v>1</v>
      </c>
      <c r="H102" s="6733" t="s">
        <v>15998</v>
      </c>
      <c r="I102" s="6720" t="str">
        <f t="shared" si="10"/>
        <v/>
      </c>
      <c r="J102" s="6721"/>
      <c r="K102" s="6722"/>
      <c r="L102" s="6723">
        <v>1</v>
      </c>
      <c r="M102" s="6734" t="str">
        <f>ROWS(M91:M102)&amp;" ►"</f>
        <v>12 ►</v>
      </c>
      <c r="N102" s="6725" t="s">
        <v>15996</v>
      </c>
      <c r="O102" s="7704" t="s">
        <v>10486</v>
      </c>
      <c r="P102" s="6726">
        <f>IF(R106=0,0,(R102/R106)*Q90*1000)</f>
        <v>0</v>
      </c>
      <c r="Q102" s="6735">
        <f>IF(R106=0, 0, (G102*L102)/(R106*Q90))</f>
        <v>1.2345679012345678</v>
      </c>
      <c r="R102" s="6728" cm="1">
        <f t="array" ref="R102">IFERROR(_xlfn.XLOOKUP(UPPER(TRIM(K102)),UPPER(TRIM(G107:V107)),G108:V108,_xlfn.XLOOKUP(UPPER(TRIM(K102)),UPPER(TRIM(G109:V109)),G110:V110,0))*J102*IF(G102&gt;0,G102,1),0)</f>
        <v>0</v>
      </c>
      <c r="S102" s="6739">
        <f>IF(U86&lt;&gt;0,G102*L102*L86,0)</f>
        <v>5.5</v>
      </c>
      <c r="T102" s="6740" t="str">
        <f t="shared" si="11"/>
        <v>C/café</v>
      </c>
      <c r="U102" s="6731">
        <f>IF(OR(ISBLANK(U86),U86=0),0,R102*L102*L86)</f>
        <v>0</v>
      </c>
      <c r="V102" s="6741" t="str">
        <f>IF(K102="","",IF(COUNTIF(N107:V107,SUBSTITUTE(TRIM(K102)," (s)",""))+COUNTIF(N109:V109,SUBSTITUTE(TRIM(K102)," (s)",""))&gt;0,IF(ROUND(U102,3)&gt;=1,ROUND(U102,3)&amp;" L",MAX(1,ROUND(U102*100,0))&amp;" cl"),IF(COUNTIF(G107:L107,SUBSTITUTE(TRIM(K102)," (s)",""))+COUNTIF(G109:L109,SUBSTITUTE(TRIM(K102)," (s)",""))&gt;0,IF(ROUND(U102,3)&gt;=1,ROUND(U102,3)&amp;" Kg",MAX(1,ROUND(U102*1000,0))&amp;" g"),"")))</f>
        <v/>
      </c>
      <c r="X102" s="2770"/>
      <c r="Y102" s="2771"/>
      <c r="Z102" s="2771"/>
      <c r="AA102" s="2771"/>
      <c r="AB102" s="2771"/>
      <c r="AC102" s="2771"/>
      <c r="AD102" s="2772"/>
      <c r="AF102" s="2730">
        <v>1</v>
      </c>
    </row>
    <row r="103" spans="2:32" ht="21" customHeight="1">
      <c r="B103" s="6589" t="str">
        <f t="shared" si="12"/>
        <v>►</v>
      </c>
      <c r="C103" s="6662" t="str">
        <f>C87</f>
        <v>B Boudin blanc poêlé eventail de pomme et de foie gras | charcuterie-BOUDIN-BLANC| Auteur &gt; MARIE    univ-ENSAIA-lorraine.fr</v>
      </c>
      <c r="D103" s="6663">
        <f>D87</f>
        <v>4</v>
      </c>
      <c r="E103" s="6662" t="str">
        <f>E87</f>
        <v>portions</v>
      </c>
      <c r="F103" s="6664" t="str">
        <f>F87</f>
        <v>Recette mère ► Boudin blanc</v>
      </c>
      <c r="G103" s="6718"/>
      <c r="H103" s="6733"/>
      <c r="I103" s="6720" t="str">
        <f t="shared" si="10"/>
        <v/>
      </c>
      <c r="J103" s="6721"/>
      <c r="K103" s="6722"/>
      <c r="L103" s="6723">
        <v>1</v>
      </c>
      <c r="M103" s="6734" t="str">
        <f>ROWS(M91:M103)&amp;" ►"</f>
        <v>13 ►</v>
      </c>
      <c r="N103" s="6725"/>
      <c r="O103" s="7704" t="s">
        <v>10486</v>
      </c>
      <c r="P103" s="6726">
        <f>IF(R106=0,0,(R103/R106)*Q90*1000)</f>
        <v>0</v>
      </c>
      <c r="Q103" s="6735">
        <f>IF(R106=0, 0, (G103*L103)/(R106*Q90))</f>
        <v>0</v>
      </c>
      <c r="R103" s="6728" cm="1">
        <f t="array" ref="R103">IFERROR(_xlfn.XLOOKUP(UPPER(TRIM(K103)),UPPER(TRIM(G107:V107)),G108:V108,_xlfn.XLOOKUP(UPPER(TRIM(K103)),UPPER(TRIM(G109:V109)),G110:V110,0))*J103*IF(G103&gt;0,G103,1),0)</f>
        <v>0</v>
      </c>
      <c r="S103" s="6736">
        <f>IF(U86&lt;&gt;0,G103*L103*L86,0)</f>
        <v>0</v>
      </c>
      <c r="T103" s="6737">
        <f t="shared" si="11"/>
        <v>0</v>
      </c>
      <c r="U103" s="6731">
        <f>IF(OR(ISBLANK(U86),U86=0),0,R103*L103*L86)</f>
        <v>0</v>
      </c>
      <c r="V103" s="6746" t="str">
        <f>IF(K103="","",IF(COUNTIF(N107:V107,SUBSTITUTE(TRIM(K103)," (s)",""))+COUNTIF(N109:V109,SUBSTITUTE(TRIM(K103)," (s)",""))&gt;0,IF(ROUND(U103,3)&gt;=1,ROUND(U103,3)&amp;" L",MAX(1,ROUND(U103*100,0))&amp;" cl"),IF(COUNTIF(G107:L107,SUBSTITUTE(TRIM(K103)," (s)",""))+COUNTIF(G109:L109,SUBSTITUTE(TRIM(K103)," (s)",""))&gt;0,IF(ROUND(U103,3)&gt;=1,ROUND(U103,3)&amp;" Kg",MAX(1,ROUND(U103*1000,0))&amp;" g"),"")))</f>
        <v/>
      </c>
      <c r="X103" s="7378" t="s">
        <v>61</v>
      </c>
      <c r="Y103" s="6711" t="s">
        <v>59</v>
      </c>
      <c r="Z103" s="7965" t="s">
        <v>15755</v>
      </c>
      <c r="AA103" s="7967" t="s">
        <v>59</v>
      </c>
      <c r="AB103" s="7969" t="s">
        <v>15757</v>
      </c>
      <c r="AC103" s="7971" t="s">
        <v>15758</v>
      </c>
      <c r="AD103" s="7379"/>
      <c r="AF103" s="2730">
        <v>1</v>
      </c>
    </row>
    <row r="104" spans="2:32" ht="21" customHeight="1">
      <c r="B104" s="6589" t="str">
        <f t="shared" si="12"/>
        <v>►</v>
      </c>
      <c r="C104" s="6662" t="str">
        <f>C87</f>
        <v>B Boudin blanc poêlé eventail de pomme et de foie gras | charcuterie-BOUDIN-BLANC| Auteur &gt; MARIE    univ-ENSAIA-lorraine.fr</v>
      </c>
      <c r="D104" s="6663">
        <f>D87</f>
        <v>4</v>
      </c>
      <c r="E104" s="6662" t="str">
        <f>E87</f>
        <v>portions</v>
      </c>
      <c r="F104" s="6664" t="str">
        <f>F87</f>
        <v>Recette mère ► Boudin blanc</v>
      </c>
      <c r="G104" s="6718"/>
      <c r="H104" s="6733"/>
      <c r="I104" s="6720" t="str">
        <f t="shared" si="10"/>
        <v/>
      </c>
      <c r="J104" s="6721"/>
      <c r="K104" s="6722"/>
      <c r="L104" s="6723">
        <v>1</v>
      </c>
      <c r="M104" s="6734" t="str">
        <f>ROWS(M91:M104)&amp;" ►"</f>
        <v>14 ►</v>
      </c>
      <c r="N104" s="6725"/>
      <c r="O104" s="7704" t="s">
        <v>10486</v>
      </c>
      <c r="P104" s="6726">
        <f>IF(R106=0,0,(R104/R106)*Q90*1000)</f>
        <v>0</v>
      </c>
      <c r="Q104" s="6735">
        <f>IF(R106=0, 0, (G104*L104)/(R106*Q90))</f>
        <v>0</v>
      </c>
      <c r="R104" s="6728" cm="1">
        <f t="array" ref="R104">IFERROR(_xlfn.XLOOKUP(UPPER(TRIM(K104)),UPPER(TRIM(G107:V107)),G108:V108,_xlfn.XLOOKUP(UPPER(TRIM(K104)),UPPER(TRIM(G109:V109)),G110:V110,0))*J104*IF(G104&gt;0,G104,1),0)</f>
        <v>0</v>
      </c>
      <c r="S104" s="6739">
        <f>IF(U86&lt;&gt;0,G104*L104*L86,0)</f>
        <v>0</v>
      </c>
      <c r="T104" s="6740">
        <f t="shared" si="11"/>
        <v>0</v>
      </c>
      <c r="U104" s="6731">
        <f>IF(OR(ISBLANK(U86),U86=0),0,R104*L104*L86)</f>
        <v>0</v>
      </c>
      <c r="V104" s="6741" t="str">
        <f>IF(K104="","",IF(COUNTIF(N107:V107,SUBSTITUTE(TRIM(K104)," (s)",""))+COUNTIF(N109:V109,SUBSTITUTE(TRIM(K104)," (s)",""))&gt;0,IF(ROUND(U104,3)&gt;=1,ROUND(U104,3)&amp;" L",MAX(1,ROUND(U104*100,0))&amp;" cl"),IF(COUNTIF(G107:L107,SUBSTITUTE(TRIM(K104)," (s)",""))+COUNTIF(G109:L109,SUBSTITUTE(TRIM(K104)," (s)",""))&gt;0,IF(ROUND(U104,3)&gt;=1,ROUND(U104,3)&amp;" Kg",MAX(1,ROUND(U104*1000,0))&amp;" g"),"")))</f>
        <v/>
      </c>
      <c r="X104" s="7380" t="s">
        <v>15760</v>
      </c>
      <c r="Y104" s="6717">
        <v>1</v>
      </c>
      <c r="Z104" s="7966"/>
      <c r="AA104" s="7968"/>
      <c r="AB104" s="7970"/>
      <c r="AC104" s="7972"/>
      <c r="AD104" s="7379"/>
      <c r="AF104" s="2730">
        <v>1</v>
      </c>
    </row>
    <row r="105" spans="2:32" ht="21" customHeight="1">
      <c r="B105" s="6656" t="s">
        <v>337</v>
      </c>
      <c r="C105" s="6662" t="str">
        <f>C87</f>
        <v>B Boudin blanc poêlé eventail de pomme et de foie gras | charcuterie-BOUDIN-BLANC| Auteur &gt; MARIE    univ-ENSAIA-lorraine.fr</v>
      </c>
      <c r="D105" s="6663">
        <f>D87</f>
        <v>4</v>
      </c>
      <c r="E105" s="6662" t="str">
        <f>E87</f>
        <v>portions</v>
      </c>
      <c r="F105" s="6664" t="str">
        <f>F87</f>
        <v>Recette mère ► Boudin blanc</v>
      </c>
      <c r="G105" s="6742"/>
      <c r="H105" s="6743"/>
      <c r="I105" s="6720" t="str">
        <f t="shared" si="10"/>
        <v/>
      </c>
      <c r="J105" s="6744"/>
      <c r="K105" s="6722"/>
      <c r="L105" s="6745">
        <v>1</v>
      </c>
      <c r="M105" s="6734" t="str">
        <f>ROWS(M91:M105)&amp;" ►"</f>
        <v>15 ►</v>
      </c>
      <c r="N105" s="6725"/>
      <c r="O105" s="7704" t="s">
        <v>10486</v>
      </c>
      <c r="P105" s="6726">
        <f>IF(R106=0,0,(R105/R106)*Q90*1000)</f>
        <v>0</v>
      </c>
      <c r="Q105" s="6735">
        <f>IF(R106=0, 0, (G105*L105)/(R106*Q90))</f>
        <v>0</v>
      </c>
      <c r="R105" s="6728" cm="1">
        <f t="array" ref="R105">IFERROR(_xlfn.XLOOKUP(UPPER(TRIM(K105)),UPPER(TRIM(G107:V107)),G108:V108,_xlfn.XLOOKUP(UPPER(TRIM(K105)),UPPER(TRIM(G109:V109)),G110:V110,0))*J105*IF(G105&gt;0,G105,1),0)</f>
        <v>0</v>
      </c>
      <c r="S105" s="6736">
        <f>IF(U86&lt;&gt;0,G105*L105*L86,0)</f>
        <v>0</v>
      </c>
      <c r="T105" s="6737">
        <f t="shared" si="11"/>
        <v>0</v>
      </c>
      <c r="U105" s="6731">
        <f>IF(OR(ISBLANK(U86),U86=0),0,R105*L105*L86)</f>
        <v>0</v>
      </c>
      <c r="V105" s="6746" t="str">
        <f>IF(K105="","",IF(COUNTIF(N107:V107,SUBSTITUTE(TRIM(K105)," (s)",""))+COUNTIF(N109:V109,SUBSTITUTE(TRIM(K105)," (s)",""))&gt;0,IF(ROUND(U105,3)&gt;=1,ROUND(U105,3)&amp;" L",MAX(1,ROUND(U105*100,0))&amp;" cl"),IF(COUNTIF(G107:L107,SUBSTITUTE(TRIM(K105)," (s)",""))+COUNTIF(G109:L109,SUBSTITUTE(TRIM(K105)," (s)",""))&gt;0,IF(ROUND(U105,3)&gt;=1,ROUND(U105,3)&amp;" Kg",MAX(1,ROUND(U105*1000,0))&amp;" g"),"")))</f>
        <v/>
      </c>
      <c r="X105" s="7381">
        <v>58.445353594389253</v>
      </c>
      <c r="Y105" s="6727">
        <v>0.58445353594389249</v>
      </c>
      <c r="Z105" s="6728">
        <v>0.2</v>
      </c>
      <c r="AA105" s="6729">
        <v>4</v>
      </c>
      <c r="AB105" s="6731">
        <v>0.4</v>
      </c>
      <c r="AC105" s="7382" t="s">
        <v>16062</v>
      </c>
      <c r="AD105" s="7379"/>
      <c r="AF105" s="2730">
        <v>1</v>
      </c>
    </row>
    <row r="106" spans="2:32" ht="21" customHeight="1">
      <c r="B106" s="6656" t="s">
        <v>337</v>
      </c>
      <c r="C106" s="6662" t="str">
        <f>C87</f>
        <v>B Boudin blanc poêlé eventail de pomme et de foie gras | charcuterie-BOUDIN-BLANC| Auteur &gt; MARIE    univ-ENSAIA-lorraine.fr</v>
      </c>
      <c r="D106" s="6663">
        <f>D87</f>
        <v>4</v>
      </c>
      <c r="E106" s="6662" t="str">
        <f>E87</f>
        <v>portions</v>
      </c>
      <c r="F106" s="6664" t="str">
        <f>F87</f>
        <v>Recette mère ► Boudin blanc</v>
      </c>
      <c r="G106" s="6747" t="s">
        <v>15535</v>
      </c>
      <c r="H106" s="322"/>
      <c r="I106" s="322"/>
      <c r="J106" s="322"/>
      <c r="K106" s="322"/>
      <c r="L106" s="6625"/>
      <c r="M106" s="6625"/>
      <c r="N106" s="6748" t="s">
        <v>15761</v>
      </c>
      <c r="O106" s="6748"/>
      <c r="P106" s="6749"/>
      <c r="Q106" s="6749"/>
      <c r="R106" s="6750">
        <f>SUM(R91:R105)</f>
        <v>0.81</v>
      </c>
      <c r="S106" s="6751"/>
      <c r="T106" s="6751" t="str">
        <f>"Total " &amp; U88&amp;" &gt;"</f>
        <v>Total Col.19 &gt;</v>
      </c>
      <c r="U106" s="6752">
        <f>SUM(U91:U105)</f>
        <v>4.4550000000000001</v>
      </c>
      <c r="V106" s="6753"/>
      <c r="X106" s="7381">
        <v>5.8445353594389253</v>
      </c>
      <c r="Y106" s="6735">
        <v>0.58445353594389249</v>
      </c>
      <c r="Z106" s="6728">
        <v>0.02</v>
      </c>
      <c r="AA106" s="6739">
        <v>4</v>
      </c>
      <c r="AB106" s="6731">
        <v>0.04</v>
      </c>
      <c r="AC106" s="7383" t="s">
        <v>790</v>
      </c>
      <c r="AD106" s="7379"/>
      <c r="AF106" s="2730">
        <v>1</v>
      </c>
    </row>
    <row r="107" spans="2:32" ht="21" customHeight="1">
      <c r="B107" s="6656" t="s">
        <v>337</v>
      </c>
      <c r="C107" s="6662" t="str">
        <f>C87</f>
        <v>B Boudin blanc poêlé eventail de pomme et de foie gras | charcuterie-BOUDIN-BLANC| Auteur &gt; MARIE    univ-ENSAIA-lorraine.fr</v>
      </c>
      <c r="D107" s="6663">
        <f>D87</f>
        <v>4</v>
      </c>
      <c r="E107" s="6662" t="str">
        <f>E87</f>
        <v>portions</v>
      </c>
      <c r="F107" s="6664" t="str">
        <f>F87</f>
        <v>Recette mère ► Boudin blanc</v>
      </c>
      <c r="G107" s="6754" t="s">
        <v>373</v>
      </c>
      <c r="H107" s="6755" t="s">
        <v>1172</v>
      </c>
      <c r="I107" s="6756" t="s">
        <v>15762</v>
      </c>
      <c r="J107" s="6757" t="s">
        <v>15763</v>
      </c>
      <c r="K107" s="6758" t="s">
        <v>15764</v>
      </c>
      <c r="L107" s="6758" t="s">
        <v>15765</v>
      </c>
      <c r="M107" s="6756" t="s">
        <v>15762</v>
      </c>
      <c r="N107" s="6759" t="s">
        <v>34</v>
      </c>
      <c r="O107" s="7711" t="s">
        <v>17890</v>
      </c>
      <c r="P107" s="6759" t="s">
        <v>33</v>
      </c>
      <c r="Q107" s="6759" t="s">
        <v>32</v>
      </c>
      <c r="R107" s="6759" t="s">
        <v>31</v>
      </c>
      <c r="S107" s="6760" t="s">
        <v>15766</v>
      </c>
      <c r="T107" s="6760" t="s">
        <v>15767</v>
      </c>
      <c r="U107" s="6761" t="s">
        <v>15768</v>
      </c>
      <c r="V107" s="6760" t="s">
        <v>15769</v>
      </c>
      <c r="X107" s="7381"/>
      <c r="Y107" s="7384"/>
      <c r="Z107" s="6728"/>
      <c r="AA107" s="7385"/>
      <c r="AB107" s="6731"/>
      <c r="AC107" s="7386"/>
      <c r="AD107" s="7379"/>
      <c r="AF107" s="2730">
        <v>1</v>
      </c>
    </row>
    <row r="108" spans="2:32" ht="21" customHeight="1">
      <c r="B108" s="6656" t="s">
        <v>337</v>
      </c>
      <c r="C108" s="6662" t="str">
        <f>C87</f>
        <v>B Boudin blanc poêlé eventail de pomme et de foie gras | charcuterie-BOUDIN-BLANC| Auteur &gt; MARIE    univ-ENSAIA-lorraine.fr</v>
      </c>
      <c r="D108" s="6663">
        <f>D87</f>
        <v>4</v>
      </c>
      <c r="E108" s="6662" t="str">
        <f>E87</f>
        <v>portions</v>
      </c>
      <c r="F108" s="6664" t="str">
        <f>F87</f>
        <v>Recette mère ► Boudin blanc</v>
      </c>
      <c r="G108" s="6763">
        <v>1</v>
      </c>
      <c r="H108" s="6764">
        <v>1E-3</v>
      </c>
      <c r="I108" s="6765">
        <v>0</v>
      </c>
      <c r="J108" s="6764">
        <v>0.25</v>
      </c>
      <c r="K108" s="6764">
        <v>0.33332999999999996</v>
      </c>
      <c r="L108" s="6764">
        <v>0.5</v>
      </c>
      <c r="M108" s="6765">
        <v>0</v>
      </c>
      <c r="N108" s="6766">
        <v>1</v>
      </c>
      <c r="O108" s="6766">
        <v>0</v>
      </c>
      <c r="P108" s="6766">
        <v>0.1</v>
      </c>
      <c r="Q108" s="6766">
        <v>0.01</v>
      </c>
      <c r="R108" s="6766">
        <v>1E-3</v>
      </c>
      <c r="S108" s="6766">
        <v>0.5</v>
      </c>
      <c r="T108" s="6766">
        <v>0.25</v>
      </c>
      <c r="U108" s="6766">
        <v>0.33300000000000002</v>
      </c>
      <c r="V108" s="6767">
        <v>0.2</v>
      </c>
      <c r="X108" s="7387"/>
      <c r="Y108" s="7388"/>
      <c r="Z108" s="7389" t="s">
        <v>16063</v>
      </c>
      <c r="AA108" s="7390"/>
      <c r="AB108" s="7391"/>
      <c r="AC108" s="7388"/>
      <c r="AD108" s="7379"/>
      <c r="AF108" s="2730">
        <v>1</v>
      </c>
    </row>
    <row r="109" spans="2:32" ht="21" customHeight="1">
      <c r="B109" s="6656" t="s">
        <v>337</v>
      </c>
      <c r="C109" s="6662" t="str">
        <f>C87</f>
        <v>B Boudin blanc poêlé eventail de pomme et de foie gras | charcuterie-BOUDIN-BLANC| Auteur &gt; MARIE    univ-ENSAIA-lorraine.fr</v>
      </c>
      <c r="D109" s="6663">
        <f>D87</f>
        <v>4</v>
      </c>
      <c r="E109" s="6662" t="str">
        <f>E87</f>
        <v>portions</v>
      </c>
      <c r="F109" s="6664" t="str">
        <f>F87</f>
        <v>Recette mère ► Boudin blanc</v>
      </c>
      <c r="G109" s="6769" t="s">
        <v>15774</v>
      </c>
      <c r="H109" s="6769" t="s">
        <v>15775</v>
      </c>
      <c r="I109" s="6756" t="s">
        <v>15762</v>
      </c>
      <c r="J109" s="6769" t="s">
        <v>15776</v>
      </c>
      <c r="K109" s="6769" t="s">
        <v>15777</v>
      </c>
      <c r="L109" s="6769" t="s">
        <v>15778</v>
      </c>
      <c r="M109" s="6756" t="s">
        <v>15762</v>
      </c>
      <c r="N109" s="6770" t="s">
        <v>15779</v>
      </c>
      <c r="O109" s="7711" t="s">
        <v>17890</v>
      </c>
      <c r="P109" s="6771" t="s">
        <v>15780</v>
      </c>
      <c r="Q109" s="6771" t="s">
        <v>15781</v>
      </c>
      <c r="R109" s="6760" t="s">
        <v>15782</v>
      </c>
      <c r="S109" s="6760" t="s">
        <v>15783</v>
      </c>
      <c r="T109" s="6760" t="s">
        <v>15784</v>
      </c>
      <c r="U109" s="6772" t="s">
        <v>15785</v>
      </c>
      <c r="V109" s="6773" t="s">
        <v>15786</v>
      </c>
      <c r="X109" s="7387"/>
      <c r="Y109" s="7388"/>
      <c r="Z109" s="7392" t="s">
        <v>16064</v>
      </c>
      <c r="AA109" s="7390"/>
      <c r="AB109" s="7391"/>
      <c r="AC109" s="7388"/>
      <c r="AD109" s="7379"/>
      <c r="AF109" s="2730">
        <v>1</v>
      </c>
    </row>
    <row r="110" spans="2:32" ht="21" customHeight="1">
      <c r="B110" s="6656" t="s">
        <v>337</v>
      </c>
      <c r="C110" s="6662" t="str">
        <f>C87</f>
        <v>B Boudin blanc poêlé eventail de pomme et de foie gras | charcuterie-BOUDIN-BLANC| Auteur &gt; MARIE    univ-ENSAIA-lorraine.fr</v>
      </c>
      <c r="D110" s="6663">
        <f>D87</f>
        <v>4</v>
      </c>
      <c r="E110" s="6662" t="str">
        <f>E87</f>
        <v>portions</v>
      </c>
      <c r="F110" s="6664" t="str">
        <f>F87</f>
        <v>Recette mère ► Boudin blanc</v>
      </c>
      <c r="G110" s="6763">
        <v>2.835E-2</v>
      </c>
      <c r="H110" s="6764">
        <v>0.13</v>
      </c>
      <c r="I110" s="6765">
        <v>0</v>
      </c>
      <c r="J110" s="6764">
        <v>0.2</v>
      </c>
      <c r="K110" s="6764">
        <v>0.23</v>
      </c>
      <c r="L110" s="6764">
        <v>0.22500000000000001</v>
      </c>
      <c r="M110" s="6765">
        <v>0</v>
      </c>
      <c r="N110" s="6766">
        <v>0.35</v>
      </c>
      <c r="O110" s="6766">
        <v>0</v>
      </c>
      <c r="P110" s="6766">
        <v>5.0000000000000001E-3</v>
      </c>
      <c r="Q110" s="6766">
        <v>5.0000000000000001E-3</v>
      </c>
      <c r="R110" s="6766">
        <v>1.4999999999999999E-2</v>
      </c>
      <c r="S110" s="6766">
        <v>0.1</v>
      </c>
      <c r="T110" s="6766">
        <v>0.22500000000000001</v>
      </c>
      <c r="U110" s="6766">
        <v>4.0000000000000001E-3</v>
      </c>
      <c r="V110" s="6774">
        <v>1E-3</v>
      </c>
      <c r="X110" s="7387"/>
      <c r="Y110" s="7388"/>
      <c r="Z110" s="7393"/>
      <c r="AA110" s="7390"/>
      <c r="AB110" s="7391"/>
      <c r="AC110" s="7394" t="s">
        <v>15758</v>
      </c>
      <c r="AD110" s="7379"/>
      <c r="AF110" s="2730">
        <v>1</v>
      </c>
    </row>
    <row r="111" spans="2:32" ht="21" customHeight="1">
      <c r="B111" s="6656" t="s">
        <v>337</v>
      </c>
      <c r="C111" s="6775" t="str">
        <f t="shared" ref="C111:V111" si="13">SUBSTITUTE(ADDRESS(1,COLUMN(),4),"1","")</f>
        <v>C</v>
      </c>
      <c r="D111" s="6775" t="str">
        <f t="shared" si="13"/>
        <v>D</v>
      </c>
      <c r="E111" s="6775" t="str">
        <f t="shared" si="13"/>
        <v>E</v>
      </c>
      <c r="F111" s="6775" t="str">
        <f t="shared" si="13"/>
        <v>F</v>
      </c>
      <c r="G111" s="6775" t="str">
        <f t="shared" si="13"/>
        <v>G</v>
      </c>
      <c r="H111" s="6775" t="str">
        <f t="shared" si="13"/>
        <v>H</v>
      </c>
      <c r="I111" s="6775" t="str">
        <f t="shared" si="13"/>
        <v>I</v>
      </c>
      <c r="J111" s="6775" t="str">
        <f t="shared" si="13"/>
        <v>J</v>
      </c>
      <c r="K111" s="6775" t="str">
        <f t="shared" si="13"/>
        <v>K</v>
      </c>
      <c r="L111" s="6775" t="str">
        <f t="shared" si="13"/>
        <v>L</v>
      </c>
      <c r="M111" s="6775" t="str">
        <f t="shared" si="13"/>
        <v>M</v>
      </c>
      <c r="N111" s="6775" t="str">
        <f t="shared" si="13"/>
        <v>N</v>
      </c>
      <c r="O111" s="6775"/>
      <c r="P111" s="6775" t="str">
        <f t="shared" si="13"/>
        <v>P</v>
      </c>
      <c r="Q111" s="6775" t="str">
        <f t="shared" si="13"/>
        <v>Q</v>
      </c>
      <c r="R111" s="6775" t="str">
        <f t="shared" si="13"/>
        <v>R</v>
      </c>
      <c r="S111" s="6775" t="str">
        <f t="shared" si="13"/>
        <v>S</v>
      </c>
      <c r="T111" s="6775" t="str">
        <f t="shared" si="13"/>
        <v>T</v>
      </c>
      <c r="U111" s="6775" t="str">
        <f t="shared" si="13"/>
        <v>U</v>
      </c>
      <c r="V111" s="6776" t="str">
        <f t="shared" si="13"/>
        <v>V</v>
      </c>
      <c r="X111" s="7387"/>
      <c r="Y111" s="7388"/>
      <c r="Z111" s="7393"/>
      <c r="AA111" s="7390"/>
      <c r="AB111" s="8043" t="s">
        <v>16065</v>
      </c>
      <c r="AC111" s="8043"/>
      <c r="AD111" s="8044"/>
      <c r="AF111" s="2730">
        <v>1</v>
      </c>
    </row>
    <row r="112" spans="2:32" ht="21" customHeight="1">
      <c r="B112" s="6656" t="s">
        <v>337</v>
      </c>
      <c r="C112" s="6777">
        <f t="shared" ref="C112:V112" ca="1" si="14">CELL("largeur",C112)</f>
        <v>3</v>
      </c>
      <c r="D112" s="6777">
        <f t="shared" ca="1" si="14"/>
        <v>3</v>
      </c>
      <c r="E112" s="6777">
        <f t="shared" ca="1" si="14"/>
        <v>3</v>
      </c>
      <c r="F112" s="6777">
        <f t="shared" ca="1" si="14"/>
        <v>5</v>
      </c>
      <c r="G112" s="6777">
        <f t="shared" ca="1" si="14"/>
        <v>12</v>
      </c>
      <c r="H112" s="6777">
        <f t="shared" ca="1" si="14"/>
        <v>12</v>
      </c>
      <c r="I112" s="6777">
        <f t="shared" ca="1" si="14"/>
        <v>3</v>
      </c>
      <c r="J112" s="6777">
        <f t="shared" ca="1" si="14"/>
        <v>9</v>
      </c>
      <c r="K112" s="6777">
        <f t="shared" ca="1" si="14"/>
        <v>12</v>
      </c>
      <c r="L112" s="6777">
        <f t="shared" ca="1" si="14"/>
        <v>13</v>
      </c>
      <c r="M112" s="6777">
        <f t="shared" ca="1" si="14"/>
        <v>6</v>
      </c>
      <c r="N112" s="6777">
        <f t="shared" ca="1" si="14"/>
        <v>40</v>
      </c>
      <c r="O112" s="6777"/>
      <c r="P112" s="6777">
        <f t="shared" ca="1" si="14"/>
        <v>10</v>
      </c>
      <c r="Q112" s="6777">
        <f t="shared" ca="1" si="14"/>
        <v>9</v>
      </c>
      <c r="R112" s="6777">
        <f t="shared" ca="1" si="14"/>
        <v>10</v>
      </c>
      <c r="S112" s="6777">
        <f t="shared" ca="1" si="14"/>
        <v>13</v>
      </c>
      <c r="T112" s="6777">
        <f t="shared" ca="1" si="14"/>
        <v>13</v>
      </c>
      <c r="U112" s="6777">
        <f t="shared" ca="1" si="14"/>
        <v>13</v>
      </c>
      <c r="V112" s="6778">
        <f t="shared" ca="1" si="14"/>
        <v>17</v>
      </c>
      <c r="X112" s="7387"/>
      <c r="Y112" s="7388"/>
      <c r="Z112" s="7393"/>
      <c r="AA112" s="7390"/>
      <c r="AB112" s="8043"/>
      <c r="AC112" s="8043"/>
      <c r="AD112" s="8044"/>
      <c r="AF112" s="2730">
        <v>1</v>
      </c>
    </row>
    <row r="113" spans="2:32" ht="21" customHeight="1">
      <c r="B113" s="6779" t="s">
        <v>337</v>
      </c>
      <c r="C113" s="6780" t="str">
        <f>C87</f>
        <v>B Boudin blanc poêlé eventail de pomme et de foie gras | charcuterie-BOUDIN-BLANC| Auteur &gt; MARIE    univ-ENSAIA-lorraine.fr</v>
      </c>
      <c r="D113" s="6781">
        <f>D87</f>
        <v>4</v>
      </c>
      <c r="E113" s="6782" t="str">
        <f>E87</f>
        <v>portions</v>
      </c>
      <c r="F113" s="6783" t="str">
        <f>F87</f>
        <v>Recette mère ► Boudin blanc</v>
      </c>
      <c r="G113" s="6784"/>
      <c r="H113" s="6784"/>
      <c r="I113" s="6784"/>
      <c r="J113" s="6784"/>
      <c r="K113" s="6784"/>
      <c r="L113" s="6785" t="s">
        <v>15792</v>
      </c>
      <c r="M113" s="6786" t="s">
        <v>15793</v>
      </c>
      <c r="N113" s="6787"/>
      <c r="O113" s="6787"/>
      <c r="P113" s="6788"/>
      <c r="Q113" s="6788"/>
      <c r="R113" s="6789"/>
      <c r="S113" s="6789"/>
      <c r="T113" s="6790"/>
      <c r="U113" s="6859"/>
      <c r="V113" s="6791" t="s">
        <v>15794</v>
      </c>
      <c r="X113" s="7387"/>
      <c r="Y113" s="7368"/>
      <c r="Z113" s="7393"/>
      <c r="AA113" s="7390"/>
      <c r="AB113" s="8043"/>
      <c r="AC113" s="8043"/>
      <c r="AD113" s="8044"/>
      <c r="AF113" s="2730">
        <v>1</v>
      </c>
    </row>
    <row r="114" spans="2:32" ht="21" customHeight="1">
      <c r="B114" s="6779" t="s">
        <v>337</v>
      </c>
      <c r="C114" s="6793" t="str">
        <f>C87</f>
        <v>B Boudin blanc poêlé eventail de pomme et de foie gras | charcuterie-BOUDIN-BLANC| Auteur &gt; MARIE    univ-ENSAIA-lorraine.fr</v>
      </c>
      <c r="D114" s="6793">
        <f>D87</f>
        <v>4</v>
      </c>
      <c r="E114" s="6794" t="str">
        <f>E87</f>
        <v>portions</v>
      </c>
      <c r="F114" s="6795" t="str">
        <f>F87</f>
        <v>Recette mère ► Boudin blanc</v>
      </c>
      <c r="G114" s="3056"/>
      <c r="H114" s="3056"/>
      <c r="I114" s="6796"/>
      <c r="J114" s="6797" t="s">
        <v>15795</v>
      </c>
      <c r="K114" s="6798">
        <f ca="1">SUM(M112:V112)</f>
        <v>131</v>
      </c>
      <c r="L114" s="6799">
        <v>0</v>
      </c>
      <c r="M114" s="6800" t="s">
        <v>16019</v>
      </c>
      <c r="N114" s="6801"/>
      <c r="O114" s="6801"/>
      <c r="P114" s="6801"/>
      <c r="Q114" s="6801"/>
      <c r="R114" s="6801"/>
      <c r="S114" s="6801"/>
      <c r="T114" s="1"/>
      <c r="U114" s="6802" t="s">
        <v>7102</v>
      </c>
      <c r="V114" s="6803" t="s">
        <v>1229</v>
      </c>
      <c r="X114" s="7395"/>
      <c r="Y114" s="7396" t="s">
        <v>14840</v>
      </c>
      <c r="Z114" s="7397" t="s">
        <v>16066</v>
      </c>
      <c r="AA114" s="7398"/>
      <c r="AB114" s="2771"/>
      <c r="AC114" s="2771"/>
      <c r="AD114" s="2772"/>
      <c r="AF114" s="2730">
        <v>1</v>
      </c>
    </row>
    <row r="115" spans="2:32" ht="21" customHeight="1">
      <c r="B115" s="6779" t="s">
        <v>337</v>
      </c>
      <c r="C115" s="6793" t="str">
        <f>C87</f>
        <v>B Boudin blanc poêlé eventail de pomme et de foie gras | charcuterie-BOUDIN-BLANC| Auteur &gt; MARIE    univ-ENSAIA-lorraine.fr</v>
      </c>
      <c r="D115" s="6793">
        <f>D87</f>
        <v>4</v>
      </c>
      <c r="E115" s="6794" t="str">
        <f>E87</f>
        <v>portions</v>
      </c>
      <c r="F115" s="6795" t="str">
        <f>F87</f>
        <v>Recette mère ► Boudin blanc</v>
      </c>
      <c r="G115" s="6804"/>
      <c r="H115" s="6805" t="s">
        <v>15797</v>
      </c>
      <c r="I115" s="6806">
        <f>ROWS(M115:M115)</f>
        <v>1</v>
      </c>
      <c r="J115" s="6804"/>
      <c r="K115" s="6807" t="str" cm="1">
        <f t="array" ref="K115">SUMPRODUCT(--(M115:T115&lt;&gt;""), LEN(TRIM(SUBSTITUTE(M115:T115, CHAR(160), "")))) &amp; " Car."</f>
        <v>51 Car.</v>
      </c>
      <c r="L115" s="2736">
        <f>IF(ISBLANK(M115),"",LARGE(L114:L114,1)+1)</f>
        <v>1</v>
      </c>
      <c r="M115" s="6801" t="s">
        <v>16001</v>
      </c>
      <c r="N115" s="6801"/>
      <c r="O115" s="6801"/>
      <c r="P115" s="6801"/>
      <c r="Q115" s="6801"/>
      <c r="R115" s="6801"/>
      <c r="S115" s="6801"/>
      <c r="T115" s="1"/>
      <c r="U115" s="6808" t="s">
        <v>7104</v>
      </c>
      <c r="V115" s="6803" t="s">
        <v>1229</v>
      </c>
      <c r="X115" s="7395"/>
      <c r="Y115" s="7366" t="s">
        <v>16067</v>
      </c>
      <c r="Z115" s="7366"/>
      <c r="AA115" s="7399"/>
      <c r="AB115" s="2771"/>
      <c r="AC115" s="2771"/>
      <c r="AD115" s="2772"/>
      <c r="AF115" s="2730">
        <v>1</v>
      </c>
    </row>
    <row r="116" spans="2:32" ht="21" customHeight="1">
      <c r="B116" s="6779" t="s">
        <v>337</v>
      </c>
      <c r="C116" s="6793" t="str">
        <f>C87</f>
        <v>B Boudin blanc poêlé eventail de pomme et de foie gras | charcuterie-BOUDIN-BLANC| Auteur &gt; MARIE    univ-ENSAIA-lorraine.fr</v>
      </c>
      <c r="D116" s="6793">
        <f>D87</f>
        <v>4</v>
      </c>
      <c r="E116" s="6794" t="str">
        <f>E87</f>
        <v>portions</v>
      </c>
      <c r="F116" s="6795" t="str">
        <f>F87</f>
        <v>Recette mère ► Boudin blanc</v>
      </c>
      <c r="G116" s="6804"/>
      <c r="H116" s="6804"/>
      <c r="I116" s="6806">
        <f>ROWS(M115:M116)</f>
        <v>2</v>
      </c>
      <c r="J116" s="6804"/>
      <c r="K116" s="6807" t="str" cm="1">
        <f t="array" ref="K116">SUMPRODUCT(--(M116:T116&lt;&gt;""), LEN(TRIM(SUBSTITUTE(M116:T116, CHAR(160), "")))) &amp; " Car."</f>
        <v>80 Car.</v>
      </c>
      <c r="L116" s="2736">
        <f>IF(ISBLANK(M116),"",LARGE(L114:L115,1)+1)</f>
        <v>2</v>
      </c>
      <c r="M116" s="6801" t="s">
        <v>16002</v>
      </c>
      <c r="N116" s="6801"/>
      <c r="O116" s="6801"/>
      <c r="P116" s="6801"/>
      <c r="Q116" s="6801"/>
      <c r="R116" s="6801"/>
      <c r="S116" s="6801"/>
      <c r="T116" s="6801"/>
      <c r="U116" s="6801"/>
      <c r="V116" s="6809"/>
      <c r="X116" s="7387"/>
      <c r="Y116" s="7368"/>
      <c r="Z116" s="7393"/>
      <c r="AA116" s="7390"/>
      <c r="AB116" s="7400"/>
      <c r="AC116" s="7400"/>
      <c r="AD116" s="7401"/>
      <c r="AF116" s="2730">
        <v>1</v>
      </c>
    </row>
    <row r="117" spans="2:32" ht="21" customHeight="1">
      <c r="B117" s="6779" t="s">
        <v>337</v>
      </c>
      <c r="C117" s="6793" t="str">
        <f>C87</f>
        <v>B Boudin blanc poêlé eventail de pomme et de foie gras | charcuterie-BOUDIN-BLANC| Auteur &gt; MARIE    univ-ENSAIA-lorraine.fr</v>
      </c>
      <c r="D117" s="6793">
        <f>D87</f>
        <v>4</v>
      </c>
      <c r="E117" s="6794" t="str">
        <f>E87</f>
        <v>portions</v>
      </c>
      <c r="F117" s="6795" t="str">
        <f>F87</f>
        <v>Recette mère ► Boudin blanc</v>
      </c>
      <c r="G117" s="6804"/>
      <c r="H117" s="6804"/>
      <c r="I117" s="6806">
        <f>ROWS(M115:M117)</f>
        <v>3</v>
      </c>
      <c r="J117" s="6804"/>
      <c r="K117" s="6807" t="str" cm="1">
        <f t="array" ref="K117">SUMPRODUCT(--(M117:T117&lt;&gt;""), LEN(TRIM(SUBSTITUTE(M117:T117, CHAR(160), "")))) &amp; " Car."</f>
        <v>48 Car.</v>
      </c>
      <c r="L117" s="2736">
        <f>IF(ISBLANK(M117),"",LARGE(L114:L116,1)+1)</f>
        <v>3</v>
      </c>
      <c r="M117" s="6801" t="s">
        <v>16018</v>
      </c>
      <c r="N117" s="6801"/>
      <c r="O117" s="6801"/>
      <c r="P117" s="6801"/>
      <c r="Q117" s="6801"/>
      <c r="R117" s="6801"/>
      <c r="S117" s="6801"/>
      <c r="T117" s="6801"/>
      <c r="U117" s="6801"/>
      <c r="V117" s="6809"/>
      <c r="X117" s="7387"/>
      <c r="Y117" s="7368" t="s">
        <v>16068</v>
      </c>
      <c r="Z117" s="7393"/>
      <c r="AA117" s="7390"/>
      <c r="AB117" s="7400"/>
      <c r="AC117" s="7400"/>
      <c r="AD117" s="7401"/>
      <c r="AF117" s="2730">
        <v>1</v>
      </c>
    </row>
    <row r="118" spans="2:32" ht="21" customHeight="1" thickBot="1">
      <c r="B118" s="6779" t="s">
        <v>337</v>
      </c>
      <c r="C118" s="6793" t="str">
        <f>C87</f>
        <v>B Boudin blanc poêlé eventail de pomme et de foie gras | charcuterie-BOUDIN-BLANC| Auteur &gt; MARIE    univ-ENSAIA-lorraine.fr</v>
      </c>
      <c r="D118" s="6793">
        <f>D87</f>
        <v>4</v>
      </c>
      <c r="E118" s="6794" t="str">
        <f>E87</f>
        <v>portions</v>
      </c>
      <c r="F118" s="6795" t="str">
        <f>F87</f>
        <v>Recette mère ► Boudin blanc</v>
      </c>
      <c r="G118" s="6804"/>
      <c r="H118" s="6804"/>
      <c r="I118" s="6806">
        <f>ROWS(M115:M118)</f>
        <v>4</v>
      </c>
      <c r="J118" s="6804"/>
      <c r="K118" s="6807" t="str" cm="1">
        <f t="array" ref="K118">SUMPRODUCT(--(M118:T118&lt;&gt;""), LEN(TRIM(SUBSTITUTE(M118:T118, CHAR(160), "")))) &amp; " Car."</f>
        <v>26 Car.</v>
      </c>
      <c r="L118" s="2736" t="str">
        <f>IF(ISBLANK(M118),"",LARGE(L114:L117,1)+1)</f>
        <v/>
      </c>
      <c r="M118" s="6801"/>
      <c r="N118" s="6801" t="s">
        <v>16003</v>
      </c>
      <c r="O118" s="6801"/>
      <c r="P118" s="6801"/>
      <c r="Q118" s="6801"/>
      <c r="R118" s="6801"/>
      <c r="S118" s="6801"/>
      <c r="T118" s="6801"/>
      <c r="U118" s="6801"/>
      <c r="V118" s="6809"/>
      <c r="X118" s="7367"/>
      <c r="Y118" s="2771"/>
      <c r="Z118" s="2771"/>
      <c r="AA118" s="2771"/>
      <c r="AB118" s="2771"/>
      <c r="AC118" s="2771"/>
      <c r="AD118" s="2772"/>
      <c r="AF118" s="2730">
        <v>1</v>
      </c>
    </row>
    <row r="119" spans="2:32" ht="21" customHeight="1" thickTop="1">
      <c r="B119" s="6779" t="s">
        <v>337</v>
      </c>
      <c r="C119" s="6793" t="str">
        <f>C87</f>
        <v>B Boudin blanc poêlé eventail de pomme et de foie gras | charcuterie-BOUDIN-BLANC| Auteur &gt; MARIE    univ-ENSAIA-lorraine.fr</v>
      </c>
      <c r="D119" s="6793">
        <f>D87</f>
        <v>4</v>
      </c>
      <c r="E119" s="6794" t="str">
        <f>E87</f>
        <v>portions</v>
      </c>
      <c r="F119" s="6795" t="str">
        <f>F87</f>
        <v>Recette mère ► Boudin blanc</v>
      </c>
      <c r="G119" s="6804"/>
      <c r="H119" s="6804"/>
      <c r="I119" s="6806">
        <f>ROWS(M115:M119)</f>
        <v>5</v>
      </c>
      <c r="J119" s="6804"/>
      <c r="K119" s="6807" t="str" cm="1">
        <f t="array" ref="K119">SUMPRODUCT(--(M119:T119&lt;&gt;""), LEN(TRIM(SUBSTITUTE(M119:T119, CHAR(160), "")))) &amp; " Car."</f>
        <v>67 Car.</v>
      </c>
      <c r="L119" s="2736">
        <f>IF(ISBLANK(M119),"",LARGE(L114:L118,1)+1)</f>
        <v>4</v>
      </c>
      <c r="M119" s="6801" t="s">
        <v>16004</v>
      </c>
      <c r="N119" s="6810"/>
      <c r="O119" s="6801"/>
      <c r="P119" s="6801"/>
      <c r="Q119" s="6801"/>
      <c r="R119" s="6801"/>
      <c r="S119" s="6801"/>
      <c r="T119" s="6801"/>
      <c r="U119" s="6801"/>
      <c r="V119" s="6809"/>
      <c r="X119" s="7402" t="s">
        <v>2077</v>
      </c>
      <c r="Y119" s="8045" t="s">
        <v>16069</v>
      </c>
      <c r="Z119" s="8046"/>
      <c r="AA119" s="8046"/>
      <c r="AB119" s="8049" t="s">
        <v>16070</v>
      </c>
      <c r="AC119" s="7947" t="s">
        <v>16071</v>
      </c>
      <c r="AD119" s="7948"/>
      <c r="AF119" s="2730">
        <v>1</v>
      </c>
    </row>
    <row r="120" spans="2:32" ht="21" customHeight="1">
      <c r="B120" s="6779" t="s">
        <v>337</v>
      </c>
      <c r="C120" s="6793" t="str">
        <f>C87</f>
        <v>B Boudin blanc poêlé eventail de pomme et de foie gras | charcuterie-BOUDIN-BLANC| Auteur &gt; MARIE    univ-ENSAIA-lorraine.fr</v>
      </c>
      <c r="D120" s="6793">
        <f>D87</f>
        <v>4</v>
      </c>
      <c r="E120" s="6794" t="str">
        <f>E87</f>
        <v>portions</v>
      </c>
      <c r="F120" s="6795" t="str">
        <f>F87</f>
        <v>Recette mère ► Boudin blanc</v>
      </c>
      <c r="G120" s="6804"/>
      <c r="H120" s="6804"/>
      <c r="I120" s="6806">
        <f>ROWS(M115:M120)</f>
        <v>6</v>
      </c>
      <c r="J120" s="6804"/>
      <c r="K120" s="6807" t="str" cm="1">
        <f t="array" ref="K120">SUMPRODUCT(--(M120:T120&lt;&gt;""), LEN(TRIM(SUBSTITUTE(M120:T120, CHAR(160), "")))) &amp; " Car."</f>
        <v>54 Car.</v>
      </c>
      <c r="L120" s="2736">
        <f>IF(ISBLANK(M120),"",LARGE(L114:L119,1)+1)</f>
        <v>5</v>
      </c>
      <c r="M120" s="6801" t="s">
        <v>16005</v>
      </c>
      <c r="N120" s="6801"/>
      <c r="O120" s="6801"/>
      <c r="P120" s="6801"/>
      <c r="Q120" s="6801"/>
      <c r="R120" s="6801"/>
      <c r="S120" s="6801"/>
      <c r="T120" s="6801"/>
      <c r="U120" s="6801"/>
      <c r="V120" s="6809"/>
      <c r="X120" s="7403" t="s">
        <v>15759</v>
      </c>
      <c r="Y120" s="8047"/>
      <c r="Z120" s="8048"/>
      <c r="AA120" s="8048"/>
      <c r="AB120" s="8050"/>
      <c r="AC120" s="7949"/>
      <c r="AD120" s="7950"/>
      <c r="AF120" s="2730">
        <v>1</v>
      </c>
    </row>
    <row r="121" spans="2:32" ht="21" customHeight="1">
      <c r="B121" s="6779" t="s">
        <v>337</v>
      </c>
      <c r="C121" s="6793" t="str">
        <f>C87</f>
        <v>B Boudin blanc poêlé eventail de pomme et de foie gras | charcuterie-BOUDIN-BLANC| Auteur &gt; MARIE    univ-ENSAIA-lorraine.fr</v>
      </c>
      <c r="D121" s="6793">
        <f>D87</f>
        <v>4</v>
      </c>
      <c r="E121" s="6794" t="str">
        <f>E87</f>
        <v>portions</v>
      </c>
      <c r="F121" s="6795" t="str">
        <f>F87</f>
        <v>Recette mère ► Boudin blanc</v>
      </c>
      <c r="G121" s="6804"/>
      <c r="H121" s="6804"/>
      <c r="I121" s="6806">
        <f>ROWS(M115:M121)</f>
        <v>7</v>
      </c>
      <c r="J121" s="6804"/>
      <c r="K121" s="6807" t="str" cm="1">
        <f t="array" ref="K121">SUMPRODUCT(--(M121:T121&lt;&gt;""), LEN(TRIM(SUBSTITUTE(M121:T121, CHAR(160), "")))) &amp; " Car."</f>
        <v>72 Car.</v>
      </c>
      <c r="L121" s="2736" t="str">
        <f>IF(ISBLANK(M121),"",LARGE(L114:L120,1)+1)</f>
        <v/>
      </c>
      <c r="M121" s="6801"/>
      <c r="N121" s="6801" t="s">
        <v>16006</v>
      </c>
      <c r="O121" s="6801"/>
      <c r="P121" s="6801"/>
      <c r="Q121" s="6801"/>
      <c r="R121" s="6801"/>
      <c r="S121" s="6801"/>
      <c r="T121" s="6801"/>
      <c r="U121" s="6801"/>
      <c r="V121" s="6809"/>
      <c r="X121" s="7404" t="s">
        <v>16072</v>
      </c>
      <c r="Y121" s="7405">
        <v>1.1100000000000001</v>
      </c>
      <c r="Z121" s="7406" t="s">
        <v>16073</v>
      </c>
      <c r="AA121" s="7407" t="s">
        <v>16074</v>
      </c>
      <c r="AB121" s="7408">
        <v>20</v>
      </c>
      <c r="AC121" s="7409">
        <v>0.88800000000000012</v>
      </c>
      <c r="AD121" s="7410" t="s">
        <v>16075</v>
      </c>
      <c r="AF121" s="2730">
        <v>1</v>
      </c>
    </row>
    <row r="122" spans="2:32" ht="21" customHeight="1">
      <c r="B122" s="6779" t="s">
        <v>337</v>
      </c>
      <c r="C122" s="6793" t="str">
        <f>C87</f>
        <v>B Boudin blanc poêlé eventail de pomme et de foie gras | charcuterie-BOUDIN-BLANC| Auteur &gt; MARIE    univ-ENSAIA-lorraine.fr</v>
      </c>
      <c r="D122" s="6793">
        <f>D87</f>
        <v>4</v>
      </c>
      <c r="E122" s="6794" t="str">
        <f>E87</f>
        <v>portions</v>
      </c>
      <c r="F122" s="6795" t="str">
        <f>F87</f>
        <v>Recette mère ► Boudin blanc</v>
      </c>
      <c r="G122" s="6804"/>
      <c r="H122" s="6804"/>
      <c r="I122" s="6806">
        <f>ROWS(M115:M122)</f>
        <v>8</v>
      </c>
      <c r="J122" s="6804"/>
      <c r="K122" s="6807" t="str" cm="1">
        <f t="array" ref="K122">SUMPRODUCT(--(M122:T122&lt;&gt;""), LEN(TRIM(SUBSTITUTE(M122:T122, CHAR(160), "")))) &amp; " Car."</f>
        <v>69 Car.</v>
      </c>
      <c r="L122" s="2736">
        <f>IF(ISBLANK(M122),"",LARGE(L114:L121,1)+1)</f>
        <v>6</v>
      </c>
      <c r="M122" s="6801" t="s">
        <v>16007</v>
      </c>
      <c r="N122" s="6801"/>
      <c r="O122" s="6801"/>
      <c r="P122" s="6801"/>
      <c r="Q122" s="6801"/>
      <c r="R122" s="6801"/>
      <c r="S122" s="6801"/>
      <c r="T122" s="6801"/>
      <c r="U122" s="6801"/>
      <c r="V122" s="6809"/>
      <c r="X122" s="7404" t="s">
        <v>16076</v>
      </c>
      <c r="Y122" s="7411">
        <v>0.13319999999999999</v>
      </c>
      <c r="Z122" s="7406" t="s">
        <v>16077</v>
      </c>
      <c r="AA122" s="7407" t="s">
        <v>16078</v>
      </c>
      <c r="AB122" s="7408">
        <v>10</v>
      </c>
      <c r="AC122" s="7412">
        <v>0.11987999999999999</v>
      </c>
      <c r="AD122" s="7413" t="s">
        <v>16079</v>
      </c>
      <c r="AF122" s="2730">
        <v>1</v>
      </c>
    </row>
    <row r="123" spans="2:32" ht="21" customHeight="1">
      <c r="B123" s="6779" t="s">
        <v>337</v>
      </c>
      <c r="C123" s="6793" t="str">
        <f>C87</f>
        <v>B Boudin blanc poêlé eventail de pomme et de foie gras | charcuterie-BOUDIN-BLANC| Auteur &gt; MARIE    univ-ENSAIA-lorraine.fr</v>
      </c>
      <c r="D123" s="6793">
        <f>D87</f>
        <v>4</v>
      </c>
      <c r="E123" s="6794" t="str">
        <f>E87</f>
        <v>portions</v>
      </c>
      <c r="F123" s="6795" t="str">
        <f>F87</f>
        <v>Recette mère ► Boudin blanc</v>
      </c>
      <c r="G123" s="6804"/>
      <c r="H123" s="6804"/>
      <c r="I123" s="6806">
        <f>ROWS(M115:M123)</f>
        <v>9</v>
      </c>
      <c r="J123" s="6804"/>
      <c r="K123" s="6807" t="str" cm="1">
        <f t="array" ref="K123">SUMPRODUCT(--(M123:T123&lt;&gt;""), LEN(TRIM(SUBSTITUTE(M123:T123, CHAR(160), "")))) &amp; " Car."</f>
        <v>60 Car.</v>
      </c>
      <c r="L123" s="2736">
        <f>IF(ISBLANK(M123),"",LARGE(L114:L122,1)+1)</f>
        <v>7</v>
      </c>
      <c r="M123" s="6801" t="s">
        <v>16008</v>
      </c>
      <c r="N123" s="6801"/>
      <c r="O123" s="6801"/>
      <c r="P123" s="6801"/>
      <c r="Q123" s="6801"/>
      <c r="R123" s="6801"/>
      <c r="S123" s="6801"/>
      <c r="T123" s="6801"/>
      <c r="U123" s="6801"/>
      <c r="V123" s="6809"/>
      <c r="X123" s="7404" t="s">
        <v>57</v>
      </c>
      <c r="Y123" s="7411">
        <v>8.3249999999999993</v>
      </c>
      <c r="Z123" s="7406" t="s">
        <v>16080</v>
      </c>
      <c r="AA123" s="7407" t="s">
        <v>16081</v>
      </c>
      <c r="AB123" s="7408">
        <v>30</v>
      </c>
      <c r="AC123" s="7412">
        <v>5.8274999999999997</v>
      </c>
      <c r="AD123" s="7413" t="s">
        <v>16082</v>
      </c>
      <c r="AF123" s="2730">
        <v>1</v>
      </c>
    </row>
    <row r="124" spans="2:32" ht="21" customHeight="1">
      <c r="B124" s="6779" t="s">
        <v>337</v>
      </c>
      <c r="C124" s="6793" t="str">
        <f>C87</f>
        <v>B Boudin blanc poêlé eventail de pomme et de foie gras | charcuterie-BOUDIN-BLANC| Auteur &gt; MARIE    univ-ENSAIA-lorraine.fr</v>
      </c>
      <c r="D124" s="6793">
        <f>D87</f>
        <v>4</v>
      </c>
      <c r="E124" s="6794" t="str">
        <f>E87</f>
        <v>portions</v>
      </c>
      <c r="F124" s="6795" t="str">
        <f>F87</f>
        <v>Recette mère ► Boudin blanc</v>
      </c>
      <c r="G124" s="6804"/>
      <c r="H124" s="6804"/>
      <c r="I124" s="6806">
        <f>ROWS(M115:M124)</f>
        <v>10</v>
      </c>
      <c r="J124" s="6804"/>
      <c r="K124" s="6807" t="str" cm="1">
        <f t="array" ref="K124">SUMPRODUCT(--(M124:T124&lt;&gt;""), LEN(TRIM(SUBSTITUTE(M124:T124, CHAR(160), "")))) &amp; " Car."</f>
        <v>76 Car.</v>
      </c>
      <c r="L124" s="2736">
        <f>IF(ISBLANK(M124),"",LARGE(L114:L123,1)+1)</f>
        <v>8</v>
      </c>
      <c r="M124" s="6801" t="s">
        <v>16009</v>
      </c>
      <c r="N124" s="6801"/>
      <c r="O124" s="6801"/>
      <c r="P124" s="6801"/>
      <c r="Q124" s="6801"/>
      <c r="R124" s="6801"/>
      <c r="S124" s="6801"/>
      <c r="T124" s="6801"/>
      <c r="U124" s="6801"/>
      <c r="V124" s="6809"/>
      <c r="X124" s="7414"/>
      <c r="Y124" s="7415"/>
      <c r="Z124" s="7416"/>
      <c r="AA124" s="7407"/>
      <c r="AB124" s="7417"/>
      <c r="AC124" s="7418"/>
      <c r="AD124" s="7419"/>
      <c r="AF124" s="2730">
        <v>1</v>
      </c>
    </row>
    <row r="125" spans="2:32" ht="21" customHeight="1">
      <c r="B125" s="6779" t="s">
        <v>337</v>
      </c>
      <c r="C125" s="6793" t="str">
        <f>C87</f>
        <v>B Boudin blanc poêlé eventail de pomme et de foie gras | charcuterie-BOUDIN-BLANC| Auteur &gt; MARIE    univ-ENSAIA-lorraine.fr</v>
      </c>
      <c r="D125" s="6811">
        <f>D87</f>
        <v>4</v>
      </c>
      <c r="E125" s="6794" t="str">
        <f>E87</f>
        <v>portions</v>
      </c>
      <c r="F125" s="6795" t="str">
        <f>F87</f>
        <v>Recette mère ► Boudin blanc</v>
      </c>
      <c r="G125" s="6804"/>
      <c r="H125" s="6804"/>
      <c r="I125" s="6806">
        <f>ROWS(M115:M125)</f>
        <v>11</v>
      </c>
      <c r="J125" s="6804"/>
      <c r="K125" s="6807" t="str" cm="1">
        <f t="array" ref="K125">SUMPRODUCT(--(M125:T125&lt;&gt;""), LEN(TRIM(SUBSTITUTE(M125:T125, CHAR(160), "")))) &amp; " Car."</f>
        <v>58 Car.</v>
      </c>
      <c r="L125" s="2736">
        <f>IF(ISBLANK(M125),"",LARGE(L114:L124,1)+1)</f>
        <v>9</v>
      </c>
      <c r="M125" s="6801" t="s">
        <v>16010</v>
      </c>
      <c r="N125" s="6801"/>
      <c r="O125" s="6801"/>
      <c r="P125" s="6801"/>
      <c r="Q125" s="6801"/>
      <c r="R125" s="6801"/>
      <c r="S125" s="6801"/>
      <c r="T125" s="6801"/>
      <c r="U125" s="6801"/>
      <c r="V125" s="6809"/>
      <c r="X125" s="7395"/>
      <c r="Y125" s="7420"/>
      <c r="Z125" s="7421"/>
      <c r="AA125" s="7420"/>
      <c r="AB125" s="7420"/>
      <c r="AC125" s="7420"/>
      <c r="AD125" s="7422"/>
      <c r="AF125" s="2730">
        <v>1</v>
      </c>
    </row>
    <row r="126" spans="2:32" ht="21" customHeight="1">
      <c r="B126" s="6779" t="s">
        <v>337</v>
      </c>
      <c r="C126" s="6793" t="str">
        <f>C87</f>
        <v>B Boudin blanc poêlé eventail de pomme et de foie gras | charcuterie-BOUDIN-BLANC| Auteur &gt; MARIE    univ-ENSAIA-lorraine.fr</v>
      </c>
      <c r="D126" s="6793">
        <f>D87</f>
        <v>4</v>
      </c>
      <c r="E126" s="6794" t="str">
        <f>E87</f>
        <v>portions</v>
      </c>
      <c r="F126" s="6795" t="str">
        <f>F87</f>
        <v>Recette mère ► Boudin blanc</v>
      </c>
      <c r="G126" s="6804"/>
      <c r="H126" s="6804"/>
      <c r="I126" s="6806">
        <f>ROWS(M115:M126)</f>
        <v>12</v>
      </c>
      <c r="J126" s="6804"/>
      <c r="K126" s="6807" t="str" cm="1">
        <f t="array" ref="K126">SUMPRODUCT(--(M126:T126&lt;&gt;""), LEN(TRIM(SUBSTITUTE(M126:T126, CHAR(160), "")))) &amp; " Car."</f>
        <v>61 Car.</v>
      </c>
      <c r="L126" s="2736" t="str">
        <f>IF(ISBLANK(M126),"",LARGE(L114:L125,1)+1)</f>
        <v/>
      </c>
      <c r="M126" s="6801"/>
      <c r="N126" s="6801" t="s">
        <v>16011</v>
      </c>
      <c r="O126" s="6801"/>
      <c r="P126" s="6801"/>
      <c r="Q126" s="6801"/>
      <c r="R126" s="6801"/>
      <c r="S126" s="6801"/>
      <c r="T126" s="6801"/>
      <c r="U126" s="6801"/>
      <c r="V126" s="6809"/>
      <c r="X126" s="2770"/>
      <c r="Y126" s="2771"/>
      <c r="Z126" s="2771"/>
      <c r="AA126" s="2771"/>
      <c r="AB126" s="2771"/>
      <c r="AC126" s="2771"/>
      <c r="AD126" s="2772"/>
      <c r="AF126" s="2730">
        <v>1</v>
      </c>
    </row>
    <row r="127" spans="2:32" ht="21" customHeight="1">
      <c r="B127" s="6779" t="s">
        <v>337</v>
      </c>
      <c r="C127" s="6793" t="str">
        <f>C87</f>
        <v>B Boudin blanc poêlé eventail de pomme et de foie gras | charcuterie-BOUDIN-BLANC| Auteur &gt; MARIE    univ-ENSAIA-lorraine.fr</v>
      </c>
      <c r="D127" s="6793">
        <f>D87</f>
        <v>4</v>
      </c>
      <c r="E127" s="6794" t="str">
        <f>E87</f>
        <v>portions</v>
      </c>
      <c r="F127" s="6795" t="str">
        <f>F87</f>
        <v>Recette mère ► Boudin blanc</v>
      </c>
      <c r="G127" s="6804"/>
      <c r="H127" s="6804"/>
      <c r="I127" s="6806">
        <f>ROWS(M115:M127)</f>
        <v>13</v>
      </c>
      <c r="J127" s="6804"/>
      <c r="K127" s="6807" t="str" cm="1">
        <f t="array" ref="K127">SUMPRODUCT(--(M127:T127&lt;&gt;""), LEN(TRIM(SUBSTITUTE(M127:T127, CHAR(160), "")))) &amp; " Car."</f>
        <v>76 Car.</v>
      </c>
      <c r="L127" s="2736" t="str">
        <f>IF(ISBLANK(M127),"",LARGE(L114:L126,1)+1)</f>
        <v/>
      </c>
      <c r="M127" s="6801"/>
      <c r="N127" s="6801" t="s">
        <v>16012</v>
      </c>
      <c r="O127" s="6801"/>
      <c r="P127" s="6801"/>
      <c r="Q127" s="6801"/>
      <c r="R127" s="6801"/>
      <c r="S127" s="6801"/>
      <c r="T127" s="6801"/>
      <c r="U127" s="6801"/>
      <c r="V127" s="6809"/>
      <c r="X127" s="2812"/>
      <c r="Y127" s="7423" t="s">
        <v>16083</v>
      </c>
      <c r="Z127" s="2793"/>
      <c r="AA127" s="2793"/>
      <c r="AB127" s="7424"/>
      <c r="AC127" s="7399"/>
      <c r="AD127" s="2772"/>
      <c r="AF127" s="2730">
        <v>1</v>
      </c>
    </row>
    <row r="128" spans="2:32" ht="21" customHeight="1">
      <c r="B128" s="6779" t="s">
        <v>337</v>
      </c>
      <c r="C128" s="6793" t="str">
        <f>C87</f>
        <v>B Boudin blanc poêlé eventail de pomme et de foie gras | charcuterie-BOUDIN-BLANC| Auteur &gt; MARIE    univ-ENSAIA-lorraine.fr</v>
      </c>
      <c r="D128" s="6793">
        <f>D87</f>
        <v>4</v>
      </c>
      <c r="E128" s="6794" t="str">
        <f>E87</f>
        <v>portions</v>
      </c>
      <c r="F128" s="6795" t="str">
        <f>F87</f>
        <v>Recette mère ► Boudin blanc</v>
      </c>
      <c r="G128" s="6804"/>
      <c r="H128" s="6804"/>
      <c r="I128" s="6806">
        <f>ROWS(M115:M128)</f>
        <v>14</v>
      </c>
      <c r="J128" s="6804"/>
      <c r="K128" s="6807" t="str" cm="1">
        <f t="array" ref="K128">SUMPRODUCT(--(M128:T128&lt;&gt;""), LEN(TRIM(SUBSTITUTE(M128:T128, CHAR(160), "")))) &amp; " Car."</f>
        <v>14 Car.</v>
      </c>
      <c r="L128" s="2736">
        <f>IF(ISBLANK(M128),"",LARGE(L114:L127,1)+1)</f>
        <v>10</v>
      </c>
      <c r="M128" s="6801" t="s">
        <v>16013</v>
      </c>
      <c r="N128" s="6801"/>
      <c r="O128" s="6801"/>
      <c r="P128" s="6801"/>
      <c r="Q128" s="6801"/>
      <c r="R128" s="6801"/>
      <c r="S128" s="6801"/>
      <c r="T128" s="6801"/>
      <c r="U128" s="6801"/>
      <c r="V128" s="6809"/>
      <c r="X128" s="7365" t="s">
        <v>16057</v>
      </c>
      <c r="Y128" s="7399"/>
      <c r="Z128" s="7399"/>
      <c r="AA128" s="7399"/>
      <c r="AB128" s="2771"/>
      <c r="AC128" s="7399"/>
      <c r="AD128" s="2772"/>
      <c r="AF128" s="2730">
        <v>1</v>
      </c>
    </row>
    <row r="129" spans="2:32" ht="21" customHeight="1" thickBot="1">
      <c r="B129" s="6779" t="s">
        <v>337</v>
      </c>
      <c r="C129" s="6793" t="str">
        <f>C87</f>
        <v>B Boudin blanc poêlé eventail de pomme et de foie gras | charcuterie-BOUDIN-BLANC| Auteur &gt; MARIE    univ-ENSAIA-lorraine.fr</v>
      </c>
      <c r="D129" s="6793">
        <f>D87</f>
        <v>4</v>
      </c>
      <c r="E129" s="6794" t="str">
        <f>E87</f>
        <v>portions</v>
      </c>
      <c r="F129" s="6795" t="str">
        <f>F87</f>
        <v>Recette mère ► Boudin blanc</v>
      </c>
      <c r="G129" s="6804"/>
      <c r="H129" s="6804"/>
      <c r="I129" s="6806">
        <f>ROWS(M115:M129)</f>
        <v>15</v>
      </c>
      <c r="J129" s="6804"/>
      <c r="K129" s="6807" t="str" cm="1">
        <f t="array" ref="K129">SUMPRODUCT(--(M129:T129&lt;&gt;""), LEN(TRIM(SUBSTITUTE(M129:T129, CHAR(160), "")))) &amp; " Car."</f>
        <v>39 Car.</v>
      </c>
      <c r="L129" s="2736">
        <f>IF(ISBLANK(M129),"",LARGE(L114:L128,1)+1)</f>
        <v>11</v>
      </c>
      <c r="M129" s="6801" t="s">
        <v>16014</v>
      </c>
      <c r="N129" s="6801"/>
      <c r="O129" s="6801"/>
      <c r="P129" s="6801"/>
      <c r="Q129" s="6801"/>
      <c r="R129" s="6801"/>
      <c r="S129" s="6801"/>
      <c r="T129" s="6801"/>
      <c r="U129" s="6801"/>
      <c r="V129" s="6809"/>
      <c r="X129" s="2812" t="s">
        <v>16058</v>
      </c>
      <c r="Y129" s="2771"/>
      <c r="Z129" s="2771"/>
      <c r="AA129" s="2771"/>
      <c r="AB129" s="2771"/>
      <c r="AC129" s="2771"/>
      <c r="AD129" s="2772"/>
      <c r="AF129" s="2730">
        <v>1</v>
      </c>
    </row>
    <row r="130" spans="2:32" ht="21" customHeight="1" thickTop="1">
      <c r="B130" s="6779" t="s">
        <v>337</v>
      </c>
      <c r="C130" s="6793" t="str">
        <f>C87</f>
        <v>B Boudin blanc poêlé eventail de pomme et de foie gras | charcuterie-BOUDIN-BLANC| Auteur &gt; MARIE    univ-ENSAIA-lorraine.fr</v>
      </c>
      <c r="D130" s="6793">
        <f>D87</f>
        <v>4</v>
      </c>
      <c r="E130" s="6794" t="str">
        <f>E87</f>
        <v>portions</v>
      </c>
      <c r="F130" s="6795" t="str">
        <f>F87</f>
        <v>Recette mère ► Boudin blanc</v>
      </c>
      <c r="G130" s="6804"/>
      <c r="H130" s="6804"/>
      <c r="I130" s="6806">
        <f>ROWS(M115:M130)</f>
        <v>16</v>
      </c>
      <c r="J130" s="6804"/>
      <c r="K130" s="6807" t="str" cm="1">
        <f t="array" ref="K130">SUMPRODUCT(--(M130:T130&lt;&gt;""), LEN(TRIM(SUBSTITUTE(M130:T130, CHAR(160), "")))) &amp; " Car."</f>
        <v>40 Car.</v>
      </c>
      <c r="L130" s="2736">
        <f>IF(ISBLANK(M130),"",LARGE(L114:L129,1)+1)</f>
        <v>12</v>
      </c>
      <c r="M130" s="6801" t="s">
        <v>16015</v>
      </c>
      <c r="N130" s="6801"/>
      <c r="O130" s="6801"/>
      <c r="P130" s="6801"/>
      <c r="Q130" s="6801"/>
      <c r="R130" s="6801"/>
      <c r="S130" s="6801"/>
      <c r="T130" s="6801"/>
      <c r="U130" s="6801"/>
      <c r="V130" s="6809"/>
      <c r="X130" s="7425" t="s">
        <v>2091</v>
      </c>
      <c r="Y130" s="7426" t="s">
        <v>2102</v>
      </c>
      <c r="Z130" s="7427"/>
      <c r="AA130" s="7951" t="s">
        <v>15752</v>
      </c>
      <c r="AB130" s="7953" t="s">
        <v>15753</v>
      </c>
      <c r="AC130" s="7428" t="s">
        <v>2077</v>
      </c>
      <c r="AD130" s="2772"/>
      <c r="AF130" s="2730">
        <v>1</v>
      </c>
    </row>
    <row r="131" spans="2:32" ht="21" customHeight="1">
      <c r="B131" s="6779" t="s">
        <v>337</v>
      </c>
      <c r="C131" s="6793" t="str">
        <f>C87</f>
        <v>B Boudin blanc poêlé eventail de pomme et de foie gras | charcuterie-BOUDIN-BLANC| Auteur &gt; MARIE    univ-ENSAIA-lorraine.fr</v>
      </c>
      <c r="D131" s="6793">
        <f>D87</f>
        <v>4</v>
      </c>
      <c r="E131" s="6794" t="str">
        <f>E87</f>
        <v>portions</v>
      </c>
      <c r="F131" s="6795" t="str">
        <f>F87</f>
        <v>Recette mère ► Boudin blanc</v>
      </c>
      <c r="G131" s="6804"/>
      <c r="H131" s="6804"/>
      <c r="I131" s="6806">
        <f>ROWS(M115:M131)</f>
        <v>17</v>
      </c>
      <c r="J131" s="6804"/>
      <c r="K131" s="6807" t="str" cm="1">
        <f t="array" ref="K131">SUMPRODUCT(--(M131:T131&lt;&gt;""), LEN(TRIM(SUBSTITUTE(M131:T131, CHAR(160), "")))) &amp; " Car."</f>
        <v>25 Car.</v>
      </c>
      <c r="L131" s="2736"/>
      <c r="M131" s="6801"/>
      <c r="N131" s="6801" t="s">
        <v>16016</v>
      </c>
      <c r="O131" s="6801"/>
      <c r="P131" s="6801"/>
      <c r="Q131" s="6801"/>
      <c r="R131" s="6801"/>
      <c r="S131" s="6801"/>
      <c r="T131" s="6801"/>
      <c r="U131" s="6801"/>
      <c r="V131" s="6809"/>
      <c r="X131" s="7429" t="s">
        <v>2484</v>
      </c>
      <c r="Y131" s="7430" t="s">
        <v>58</v>
      </c>
      <c r="Z131" s="6720" t="s">
        <v>14840</v>
      </c>
      <c r="AA131" s="7952"/>
      <c r="AB131" s="7954"/>
      <c r="AC131" s="7431" t="s">
        <v>15759</v>
      </c>
      <c r="AD131" s="2772"/>
      <c r="AF131" s="2730">
        <v>1</v>
      </c>
    </row>
    <row r="132" spans="2:32" ht="21" customHeight="1">
      <c r="B132" s="6779" t="s">
        <v>337</v>
      </c>
      <c r="C132" s="6793" t="str">
        <f>C87</f>
        <v>B Boudin blanc poêlé eventail de pomme et de foie gras | charcuterie-BOUDIN-BLANC| Auteur &gt; MARIE    univ-ENSAIA-lorraine.fr</v>
      </c>
      <c r="D132" s="6793">
        <f>D87</f>
        <v>4</v>
      </c>
      <c r="E132" s="6794" t="str">
        <f>E87</f>
        <v>portions</v>
      </c>
      <c r="F132" s="6795" t="str">
        <f>F87</f>
        <v>Recette mère ► Boudin blanc</v>
      </c>
      <c r="G132" s="6804"/>
      <c r="H132" s="6804"/>
      <c r="I132" s="6806">
        <f>ROWS(M115:M132)</f>
        <v>18</v>
      </c>
      <c r="J132" s="6804"/>
      <c r="K132" s="6807" t="str" cm="1">
        <f t="array" ref="K132">SUMPRODUCT(--(M132:T132&lt;&gt;""), LEN(TRIM(SUBSTITUTE(M132:T132, CHAR(160), "")))) &amp; " Car."</f>
        <v>54 Car.</v>
      </c>
      <c r="L132" s="2736"/>
      <c r="M132" s="6801" t="s">
        <v>16017</v>
      </c>
      <c r="N132" s="6801"/>
      <c r="O132" s="6801"/>
      <c r="P132" s="6801"/>
      <c r="Q132" s="6801"/>
      <c r="R132" s="6801"/>
      <c r="S132" s="6801"/>
      <c r="T132" s="6801"/>
      <c r="U132" s="6801"/>
      <c r="V132" s="6809"/>
      <c r="X132" s="7432">
        <v>0.25</v>
      </c>
      <c r="Y132" s="7433" t="s">
        <v>16084</v>
      </c>
      <c r="Z132" s="7434"/>
      <c r="AA132" s="7435"/>
      <c r="AB132" s="7436"/>
      <c r="AC132" s="7437" t="s">
        <v>16085</v>
      </c>
      <c r="AD132" s="2772"/>
      <c r="AF132" s="2730">
        <v>1</v>
      </c>
    </row>
    <row r="133" spans="2:32" ht="21" customHeight="1">
      <c r="B133" s="6779" t="s">
        <v>337</v>
      </c>
      <c r="C133" s="6793" t="str">
        <f>C87</f>
        <v>B Boudin blanc poêlé eventail de pomme et de foie gras | charcuterie-BOUDIN-BLANC| Auteur &gt; MARIE    univ-ENSAIA-lorraine.fr</v>
      </c>
      <c r="D133" s="6793">
        <f>D87</f>
        <v>4</v>
      </c>
      <c r="E133" s="6794" t="str">
        <f>E87</f>
        <v>portions</v>
      </c>
      <c r="F133" s="6795" t="str">
        <f>F87</f>
        <v>Recette mère ► Boudin blanc</v>
      </c>
      <c r="G133" s="6804"/>
      <c r="H133" s="6804"/>
      <c r="I133" s="6806">
        <f>ROWS(M115:M133)</f>
        <v>19</v>
      </c>
      <c r="J133" s="6804"/>
      <c r="K133" s="6807" t="str" cm="1">
        <f t="array" ref="K133">SUMPRODUCT(--(M133:T133&lt;&gt;""), LEN(TRIM(SUBSTITUTE(M133:T133, CHAR(160), "")))) &amp; " Car."</f>
        <v>0 Car.</v>
      </c>
      <c r="L133" s="2736" t="str">
        <f>IF(ISBLANK(M133),"",LARGE(L114:L132,1)+1)</f>
        <v/>
      </c>
      <c r="M133" s="6801"/>
      <c r="N133" s="6801"/>
      <c r="O133" s="6801"/>
      <c r="P133" s="6801"/>
      <c r="Q133" s="6801"/>
      <c r="R133" s="6801"/>
      <c r="S133" s="6801"/>
      <c r="T133" s="6801"/>
      <c r="U133" s="6801"/>
      <c r="V133" s="6809"/>
      <c r="X133" s="7432">
        <v>0.5</v>
      </c>
      <c r="Y133" s="7433" t="s">
        <v>16086</v>
      </c>
      <c r="Z133" s="7434"/>
      <c r="AA133" s="7435"/>
      <c r="AB133" s="7436"/>
      <c r="AC133" s="7437" t="s">
        <v>16087</v>
      </c>
      <c r="AD133" s="2772"/>
      <c r="AF133" s="2730">
        <v>1</v>
      </c>
    </row>
    <row r="134" spans="2:32" ht="21" customHeight="1">
      <c r="B134" s="6779" t="s">
        <v>337</v>
      </c>
      <c r="C134" s="6793" t="str">
        <f>C87</f>
        <v>B Boudin blanc poêlé eventail de pomme et de foie gras | charcuterie-BOUDIN-BLANC| Auteur &gt; MARIE    univ-ENSAIA-lorraine.fr</v>
      </c>
      <c r="D134" s="6793">
        <f>D87</f>
        <v>4</v>
      </c>
      <c r="E134" s="6794" t="str">
        <f>E87</f>
        <v>portions</v>
      </c>
      <c r="F134" s="6795" t="str">
        <f>F87</f>
        <v>Recette mère ► Boudin blanc</v>
      </c>
      <c r="G134" s="6804"/>
      <c r="H134" s="6804"/>
      <c r="I134" s="6806">
        <f>ROWS(M115:M134)</f>
        <v>20</v>
      </c>
      <c r="J134" s="6804"/>
      <c r="K134" s="6807" t="str" cm="1">
        <f t="array" ref="K134">SUMPRODUCT(--(M134:T134&lt;&gt;""), LEN(TRIM(SUBSTITUTE(M134:T134, CHAR(160), "")))) &amp; " Car."</f>
        <v>0 Car.</v>
      </c>
      <c r="L134" s="2736" t="str">
        <f>IF(ISBLANK(M134),"",LARGE(L114:L133,1)+1)</f>
        <v/>
      </c>
      <c r="M134" s="6801"/>
      <c r="N134" s="6801"/>
      <c r="O134" s="6801"/>
      <c r="P134" s="6801"/>
      <c r="Q134" s="6801"/>
      <c r="R134" s="6801"/>
      <c r="S134" s="6801"/>
      <c r="T134" s="6801"/>
      <c r="U134" s="6801"/>
      <c r="V134" s="6809"/>
      <c r="X134" s="7432">
        <v>0.75</v>
      </c>
      <c r="Y134" s="7433" t="s">
        <v>308</v>
      </c>
      <c r="Z134" s="7434"/>
      <c r="AA134" s="7435"/>
      <c r="AB134" s="7436"/>
      <c r="AC134" s="7437" t="s">
        <v>16088</v>
      </c>
      <c r="AD134" s="2772"/>
      <c r="AF134" s="2730">
        <v>1</v>
      </c>
    </row>
    <row r="135" spans="2:32" ht="21" customHeight="1" thickBot="1">
      <c r="B135" s="6779" t="s">
        <v>337</v>
      </c>
      <c r="C135" s="6793" t="str">
        <f>C87</f>
        <v>B Boudin blanc poêlé eventail de pomme et de foie gras | charcuterie-BOUDIN-BLANC| Auteur &gt; MARIE    univ-ENSAIA-lorraine.fr</v>
      </c>
      <c r="D135" s="6793">
        <f>D87</f>
        <v>4</v>
      </c>
      <c r="E135" s="6794" t="str">
        <f>E87</f>
        <v>portions</v>
      </c>
      <c r="F135" s="6795" t="str">
        <f>F87</f>
        <v>Recette mère ► Boudin blanc</v>
      </c>
      <c r="G135" s="6812"/>
      <c r="H135" s="6813" t="s">
        <v>7</v>
      </c>
      <c r="I135" s="6814" t="s">
        <v>15798</v>
      </c>
      <c r="J135" s="2840"/>
      <c r="K135" s="2840"/>
      <c r="L135" s="2840"/>
      <c r="M135" s="2840"/>
      <c r="N135" s="2840"/>
      <c r="O135" s="2840"/>
      <c r="P135" s="2840"/>
      <c r="Q135" s="2840"/>
      <c r="R135" s="2840"/>
      <c r="S135" s="2840"/>
      <c r="T135" s="2840"/>
      <c r="U135" s="2840"/>
      <c r="V135" s="6815"/>
      <c r="X135" s="7438">
        <v>2</v>
      </c>
      <c r="Y135" s="7439" t="s">
        <v>57</v>
      </c>
      <c r="Z135" s="7434"/>
      <c r="AA135" s="7435"/>
      <c r="AB135" s="7436"/>
      <c r="AC135" s="7437"/>
      <c r="AD135" s="2772"/>
      <c r="AF135" s="2730">
        <v>1</v>
      </c>
    </row>
    <row r="136" spans="2:32" ht="21" customHeight="1">
      <c r="B136" s="6779" t="s">
        <v>337</v>
      </c>
      <c r="C136" s="6793" t="str">
        <f>C87</f>
        <v>B Boudin blanc poêlé eventail de pomme et de foie gras | charcuterie-BOUDIN-BLANC| Auteur &gt; MARIE    univ-ENSAIA-lorraine.fr</v>
      </c>
      <c r="D136" s="6793">
        <f>D87</f>
        <v>4</v>
      </c>
      <c r="E136" s="6794" t="str">
        <f>E87</f>
        <v>portions</v>
      </c>
      <c r="F136" s="6795" t="str">
        <f>F87</f>
        <v>Recette mère ► Boudin blanc</v>
      </c>
      <c r="G136" s="6816"/>
      <c r="H136" s="6817"/>
      <c r="I136" s="6817"/>
      <c r="J136" s="6817"/>
      <c r="K136" s="6817"/>
      <c r="L136" s="6817"/>
      <c r="M136" s="6817"/>
      <c r="N136" s="6818" t="s">
        <v>7099</v>
      </c>
      <c r="O136" s="6818"/>
      <c r="P136" s="6819"/>
      <c r="Q136" s="6819"/>
      <c r="R136" s="6819"/>
      <c r="S136" s="6819"/>
      <c r="T136" s="6819"/>
      <c r="U136" s="6819"/>
      <c r="V136" s="6820"/>
      <c r="X136" s="7440"/>
      <c r="Y136" s="7441"/>
      <c r="Z136" s="7442"/>
      <c r="AA136" s="7443"/>
      <c r="AB136" s="7444"/>
      <c r="AC136" s="7445"/>
      <c r="AD136" s="2772"/>
      <c r="AF136" s="2730">
        <v>1</v>
      </c>
    </row>
    <row r="137" spans="2:32" ht="21" customHeight="1" thickBot="1">
      <c r="B137" s="6779" t="s">
        <v>337</v>
      </c>
      <c r="C137" s="6793" t="str">
        <f>C87</f>
        <v>B Boudin blanc poêlé eventail de pomme et de foie gras | charcuterie-BOUDIN-BLANC| Auteur &gt; MARIE    univ-ENSAIA-lorraine.fr</v>
      </c>
      <c r="D137" s="6793">
        <f>D87</f>
        <v>4</v>
      </c>
      <c r="E137" s="6794" t="str">
        <f>E87</f>
        <v>portions</v>
      </c>
      <c r="F137" s="6795" t="str">
        <f>F87</f>
        <v>Recette mère ► Boudin blanc</v>
      </c>
      <c r="G137" s="6821"/>
      <c r="H137" s="6822"/>
      <c r="I137" s="6823"/>
      <c r="J137" s="6862" t="s">
        <v>15795</v>
      </c>
      <c r="K137" s="6798">
        <f ca="1">K114</f>
        <v>131</v>
      </c>
      <c r="L137" s="6824" t="s">
        <v>7100</v>
      </c>
      <c r="M137" s="7294"/>
      <c r="N137" s="6825"/>
      <c r="O137" s="6825"/>
      <c r="P137" s="6825"/>
      <c r="Q137" s="2834"/>
      <c r="R137" s="2834"/>
      <c r="S137" s="2834"/>
      <c r="T137" s="6826" t="str">
        <f>IF(M138="","",(LEN(TRIM(SUBSTITUTE(M138,CHAR(160)," ")))-LEN(SUBSTITUTE(TRIM(SUBSTITUTE(M138,CHAR(160)," "))," ",""))+1)&amp;" mot"&amp;IF((LEN(TRIM(SUBSTITUTE(M138,CHAR(160)," ")))-LEN(SUBSTITUTE(TRIM(SUBSTITUTE(M138,CHAR(160)," "))," ",""))+1)&gt;1,"s",""))</f>
        <v>17 mots</v>
      </c>
      <c r="U137" s="6827" t="str">
        <f>IF(M138="","",LEN(TRIM(SUBSTITUTE(M138,CHAR(160),""))))&amp;" Car."</f>
        <v>123 Car.</v>
      </c>
      <c r="V137" s="6828" t="s">
        <v>15799</v>
      </c>
      <c r="X137" s="7446" t="s">
        <v>16059</v>
      </c>
      <c r="Y137" s="2813"/>
      <c r="Z137" s="2813"/>
      <c r="AA137" s="2771"/>
      <c r="AB137" s="2771"/>
      <c r="AC137" s="2771"/>
      <c r="AD137" s="2772"/>
      <c r="AF137" s="2730">
        <v>1</v>
      </c>
    </row>
    <row r="138" spans="2:32" ht="21" customHeight="1" thickBot="1">
      <c r="B138" s="6829" t="s">
        <v>337</v>
      </c>
      <c r="C138" s="6830" t="str">
        <f>C87</f>
        <v>B Boudin blanc poêlé eventail de pomme et de foie gras | charcuterie-BOUDIN-BLANC| Auteur &gt; MARIE    univ-ENSAIA-lorraine.fr</v>
      </c>
      <c r="D138" s="6830">
        <f>D87</f>
        <v>4</v>
      </c>
      <c r="E138" s="6831" t="str">
        <f>E87</f>
        <v>portions</v>
      </c>
      <c r="F138" s="6832" t="str">
        <f>F87</f>
        <v>Recette mère ► Boudin blanc</v>
      </c>
      <c r="G138" s="6833"/>
      <c r="H138" s="6834"/>
      <c r="I138" s="6835"/>
      <c r="J138" s="6836"/>
      <c r="K138" s="6837"/>
      <c r="L138" s="6837" t="s">
        <v>15800</v>
      </c>
      <c r="M138" s="6838" t="s">
        <v>15801</v>
      </c>
      <c r="N138" s="6839"/>
      <c r="O138" s="6839"/>
      <c r="P138" s="6840"/>
      <c r="Q138" s="6840"/>
      <c r="R138" s="6840"/>
      <c r="S138" s="6840"/>
      <c r="T138" s="6840"/>
      <c r="U138" s="6840"/>
      <c r="V138" s="6841"/>
      <c r="X138" s="7446"/>
      <c r="Y138" s="2813"/>
      <c r="Z138" s="2813"/>
      <c r="AA138" s="2771"/>
      <c r="AB138" s="2771"/>
      <c r="AC138" s="2771"/>
      <c r="AD138" s="2772"/>
      <c r="AF138" s="2730">
        <v>1</v>
      </c>
    </row>
    <row r="139" spans="2:32" ht="21" customHeight="1" thickBot="1">
      <c r="B139" s="6842" t="s">
        <v>337</v>
      </c>
      <c r="C139" s="6843"/>
      <c r="D139" s="6843"/>
      <c r="E139" s="6843"/>
      <c r="F139" s="6844"/>
      <c r="G139" s="6845" t="s">
        <v>7</v>
      </c>
      <c r="H139" s="6846" t="str">
        <f ca="1">CELL("nomfichier")</f>
        <v>D:\Données\1.UPRT\0-UPRT.fait\1-UPRT.FR-SITE-WEB\ff-fiches-fabrications\ff.fiches.fabrication.2023\UPRT.23.aout\[ff-20-CHARCUTERIE-michel-Mariette.BOUDIN.BLANC_-1.xlsx]Exemples Michel Mariette</v>
      </c>
      <c r="I139" s="6847"/>
      <c r="J139" s="6847"/>
      <c r="K139" s="6847"/>
      <c r="L139" s="6847"/>
      <c r="M139" s="6847"/>
      <c r="N139" s="6847"/>
      <c r="O139" s="6847"/>
      <c r="P139" s="6847"/>
      <c r="Q139" s="6847"/>
      <c r="R139" s="6847"/>
      <c r="S139" s="6847"/>
      <c r="T139" s="6847"/>
      <c r="U139" s="6847"/>
      <c r="V139" s="6848"/>
      <c r="X139" s="7447"/>
      <c r="Y139" s="2814" t="s">
        <v>16089</v>
      </c>
      <c r="Z139" s="2813"/>
      <c r="AA139" s="2771"/>
      <c r="AB139" s="2771"/>
      <c r="AC139" s="2771"/>
      <c r="AD139" s="2772"/>
      <c r="AF139" s="2730">
        <v>1</v>
      </c>
    </row>
    <row r="140" spans="2:32" ht="21" customHeight="1" thickBot="1">
      <c r="B140" s="6849" t="s">
        <v>337</v>
      </c>
      <c r="C140" s="6850" t="s">
        <v>337</v>
      </c>
      <c r="D140" s="6850" t="s">
        <v>337</v>
      </c>
      <c r="E140" s="6850" t="s">
        <v>337</v>
      </c>
      <c r="F140" s="6850" t="s">
        <v>337</v>
      </c>
      <c r="G140" s="6851" t="s">
        <v>15802</v>
      </c>
      <c r="H140" s="6852"/>
      <c r="I140" s="6853"/>
      <c r="J140" s="6854"/>
      <c r="K140" s="6855"/>
      <c r="L140" s="6856"/>
      <c r="M140" s="6856"/>
      <c r="N140" s="6854"/>
      <c r="O140" s="6854"/>
      <c r="P140" s="6854"/>
      <c r="Q140" s="6852"/>
      <c r="R140" s="6852"/>
      <c r="S140" s="6852"/>
      <c r="T140" s="6852"/>
      <c r="U140" s="6852"/>
      <c r="V140" s="6857" t="s">
        <v>2371</v>
      </c>
      <c r="X140" s="2815" t="s">
        <v>16090</v>
      </c>
      <c r="Y140" s="2814"/>
      <c r="Z140" s="2813"/>
      <c r="AA140" s="2771"/>
      <c r="AB140" s="2771"/>
      <c r="AC140" s="2771"/>
      <c r="AD140" s="2772"/>
      <c r="AF140" s="2730">
        <v>1</v>
      </c>
    </row>
    <row r="141" spans="2:32" ht="21" customHeight="1">
      <c r="B141" s="6650" t="s">
        <v>337</v>
      </c>
      <c r="C141" s="6651" t="str">
        <f>C147</f>
        <v xml:space="preserve">   Boudin blanc au cognac "très bonne qualité " | charcuterie-BOUDIN-BLANC| Auteur &gt; adaptation du documents de Michel MARIETTE</v>
      </c>
      <c r="D141" s="6652">
        <f>D147</f>
        <v>104.875</v>
      </c>
      <c r="E141" s="6652">
        <f>E147</f>
        <v>0</v>
      </c>
      <c r="F141" s="6653" t="str">
        <f>F147</f>
        <v>Recette mère ► Boudin blanc</v>
      </c>
      <c r="G141" s="6654" t="s">
        <v>2</v>
      </c>
      <c r="H141" s="6655" t="s">
        <v>15721</v>
      </c>
      <c r="I141" s="6655"/>
      <c r="J141" s="8031" t="s">
        <v>16020</v>
      </c>
      <c r="K141" s="8031"/>
      <c r="L141" s="8031"/>
      <c r="M141" s="8031"/>
      <c r="N141" s="8031"/>
      <c r="O141" s="8031"/>
      <c r="P141" s="8031"/>
      <c r="Q141" s="8031"/>
      <c r="R141" s="8031"/>
      <c r="S141" s="8031"/>
      <c r="T141" s="8033" t="s">
        <v>16025</v>
      </c>
      <c r="U141" s="8033"/>
      <c r="V141" s="8035" t="str">
        <f>UPPER(LEFT(J141,1))</f>
        <v xml:space="preserve"> </v>
      </c>
      <c r="X141" s="2770"/>
      <c r="Y141" s="7448" t="s">
        <v>16091</v>
      </c>
      <c r="Z141" s="2771"/>
      <c r="AA141" s="2771"/>
      <c r="AB141" s="2771"/>
      <c r="AC141" s="2771"/>
      <c r="AD141" s="2772"/>
      <c r="AF141" s="2730">
        <v>1</v>
      </c>
    </row>
    <row r="142" spans="2:32" ht="21" customHeight="1">
      <c r="B142" s="6656" t="s">
        <v>337</v>
      </c>
      <c r="C142" s="6657" t="str">
        <f>C147</f>
        <v xml:space="preserve">   Boudin blanc au cognac "très bonne qualité " | charcuterie-BOUDIN-BLANC| Auteur &gt; adaptation du documents de Michel MARIETTE</v>
      </c>
      <c r="D142" s="6658">
        <f>D147</f>
        <v>104.875</v>
      </c>
      <c r="E142" s="6658">
        <f>E147</f>
        <v>0</v>
      </c>
      <c r="F142" s="6659" t="str">
        <f>F147</f>
        <v>Recette mère ► Boudin blanc</v>
      </c>
      <c r="G142" s="6660" t="s">
        <v>15722</v>
      </c>
      <c r="H142" s="6661" t="s">
        <v>15723</v>
      </c>
      <c r="I142" s="6661"/>
      <c r="J142" s="8032"/>
      <c r="K142" s="8032"/>
      <c r="L142" s="8032"/>
      <c r="M142" s="8032"/>
      <c r="N142" s="8032"/>
      <c r="O142" s="8032"/>
      <c r="P142" s="8032"/>
      <c r="Q142" s="8032"/>
      <c r="R142" s="8032"/>
      <c r="S142" s="8032"/>
      <c r="T142" s="8034"/>
      <c r="U142" s="8034"/>
      <c r="V142" s="8036"/>
      <c r="X142" s="7449" t="s">
        <v>16092</v>
      </c>
      <c r="Y142" s="2771"/>
      <c r="Z142" s="2771"/>
      <c r="AA142" s="2771"/>
      <c r="AB142" s="2771"/>
      <c r="AC142" s="2771"/>
      <c r="AD142" s="2772"/>
      <c r="AF142" s="2730">
        <v>1</v>
      </c>
    </row>
    <row r="143" spans="2:32" ht="21" customHeight="1" thickBot="1">
      <c r="B143" s="6656" t="s">
        <v>337</v>
      </c>
      <c r="C143" s="6662" t="str">
        <f>C147</f>
        <v xml:space="preserve">   Boudin blanc au cognac "très bonne qualité " | charcuterie-BOUDIN-BLANC| Auteur &gt; adaptation du documents de Michel MARIETTE</v>
      </c>
      <c r="D143" s="6663">
        <f>D147</f>
        <v>104.875</v>
      </c>
      <c r="E143" s="6663">
        <f>E147</f>
        <v>0</v>
      </c>
      <c r="F143" s="6664" t="str">
        <f>F147</f>
        <v>Recette mère ► Boudin blanc</v>
      </c>
      <c r="G143" s="6665"/>
      <c r="H143" s="6666" t="s">
        <v>15724</v>
      </c>
      <c r="I143" s="6667"/>
      <c r="J143" s="6668" t="s">
        <v>15725</v>
      </c>
      <c r="K143" s="6669" t="s">
        <v>16021</v>
      </c>
      <c r="L143" s="1"/>
      <c r="M143" s="1"/>
      <c r="N143" s="6669"/>
      <c r="O143" s="6669"/>
      <c r="P143" s="6669"/>
      <c r="Q143" s="6669"/>
      <c r="R143" s="6670"/>
      <c r="S143" s="1"/>
      <c r="T143" s="1"/>
      <c r="U143" s="1"/>
      <c r="V143" s="6671" t="str" cm="1">
        <f t="array" aca="1" ref="V143" ca="1">IF(COUNTIF(C169:V169,"&lt;0.5")=0,"Aucune colonne masquée ",COUNTIF(C169:V169,"&lt;0.5") &amp; " " &amp; IF(COUNTIF(C169:V169,"&lt;0.5")&gt;1,"colonnes masquées","colonne masquée") &amp; " " &amp; _xlfn.TEXTJOIN(" ", TRUE, IF(C169:V169&lt;0.5,C168:V168,"")))&amp;" "</f>
        <v xml:space="preserve">Aucune colonne masquée  </v>
      </c>
      <c r="X143" s="2770"/>
      <c r="Y143" s="2771"/>
      <c r="Z143" s="2771"/>
      <c r="AA143" s="2771"/>
      <c r="AB143" s="2771"/>
      <c r="AC143" s="2771"/>
      <c r="AD143" s="2772"/>
      <c r="AF143" s="2730">
        <v>1</v>
      </c>
    </row>
    <row r="144" spans="2:32" ht="21" customHeight="1" thickTop="1">
      <c r="B144" s="6656" t="s">
        <v>337</v>
      </c>
      <c r="C144" s="6662" t="str">
        <f>C147</f>
        <v xml:space="preserve">   Boudin blanc au cognac "très bonne qualité " | charcuterie-BOUDIN-BLANC| Auteur &gt; adaptation du documents de Michel MARIETTE</v>
      </c>
      <c r="D144" s="6663">
        <f>D147</f>
        <v>104.875</v>
      </c>
      <c r="E144" s="6663">
        <f>E147</f>
        <v>0</v>
      </c>
      <c r="F144" s="6664" t="str">
        <f>F147</f>
        <v>Recette mère ► Boudin blanc</v>
      </c>
      <c r="G144" s="6672" t="s">
        <v>15727</v>
      </c>
      <c r="H144" s="6673"/>
      <c r="I144" s="6673"/>
      <c r="J144" s="6674" t="s">
        <v>15728</v>
      </c>
      <c r="K144" s="8022" t="str">
        <f>M147&amp;" "&amp;N147&amp;" ► Famille = "&amp;T141&amp;" ► "&amp;J141&amp;" "&amp;R144&amp;" "&amp;T144&amp;" "&amp;U144&amp;" "&amp;V144</f>
        <v>Recette mère ► Boudin blanc ► Famille = charcuterie-BOUDIN-BLANC ►  Boudin blanc au cognac "très bonne qualité "  ⓫  Dupliquée pour 5 Kg</v>
      </c>
      <c r="L144" s="8022"/>
      <c r="M144" s="8022"/>
      <c r="N144" s="8022"/>
      <c r="O144" s="8022"/>
      <c r="P144" s="8022"/>
      <c r="Q144" s="8022"/>
      <c r="R144" s="8022"/>
      <c r="S144" s="6675"/>
      <c r="T144" s="6675" t="s">
        <v>15729</v>
      </c>
      <c r="U144" s="6676">
        <v>5</v>
      </c>
      <c r="V144" s="6677" t="str">
        <f>V146</f>
        <v>Kg</v>
      </c>
      <c r="X144" s="2770"/>
      <c r="Y144" s="7955" t="s">
        <v>16093</v>
      </c>
      <c r="Z144" s="7956"/>
      <c r="AA144" s="7957" t="s">
        <v>16094</v>
      </c>
      <c r="AB144" s="7957"/>
      <c r="AC144" s="2771"/>
      <c r="AD144" s="2772"/>
      <c r="AF144" s="2730">
        <v>1</v>
      </c>
    </row>
    <row r="145" spans="2:32" ht="21" customHeight="1">
      <c r="B145" s="6656" t="s">
        <v>337</v>
      </c>
      <c r="C145" s="6662" t="str">
        <f>C147</f>
        <v xml:space="preserve">   Boudin blanc au cognac "très bonne qualité " | charcuterie-BOUDIN-BLANC| Auteur &gt; adaptation du documents de Michel MARIETTE</v>
      </c>
      <c r="D145" s="6663">
        <f>D147</f>
        <v>104.875</v>
      </c>
      <c r="E145" s="6663">
        <f>E147</f>
        <v>0</v>
      </c>
      <c r="F145" s="6664" t="str">
        <f>F147</f>
        <v>Recette mère ► Boudin blanc</v>
      </c>
      <c r="G145" s="7297">
        <f>I146</f>
        <v>104.875</v>
      </c>
      <c r="H145" s="6679"/>
      <c r="I145" s="6672"/>
      <c r="J145" s="6672"/>
      <c r="K145" s="8022"/>
      <c r="L145" s="8022"/>
      <c r="M145" s="8022"/>
      <c r="N145" s="8022"/>
      <c r="O145" s="8022"/>
      <c r="P145" s="8022"/>
      <c r="Q145" s="8022"/>
      <c r="R145" s="8022"/>
      <c r="S145" s="2267"/>
      <c r="T145" s="2267"/>
      <c r="U145" s="6680" t="s">
        <v>15731</v>
      </c>
      <c r="V145" s="6681" t="s">
        <v>15732</v>
      </c>
      <c r="X145" s="2770"/>
      <c r="Y145" s="6761" t="s">
        <v>15766</v>
      </c>
      <c r="Z145" s="7450" t="s">
        <v>15767</v>
      </c>
      <c r="AA145" s="7451" t="s">
        <v>16095</v>
      </c>
      <c r="AB145" s="7452" t="s">
        <v>16096</v>
      </c>
      <c r="AC145" s="2771"/>
      <c r="AD145" s="2772"/>
      <c r="AF145" s="2730">
        <v>1</v>
      </c>
    </row>
    <row r="146" spans="2:32" ht="21" customHeight="1">
      <c r="B146" s="6656" t="s">
        <v>337</v>
      </c>
      <c r="C146" s="6662" t="str">
        <f>C147</f>
        <v xml:space="preserve">   Boudin blanc au cognac "très bonne qualité " | charcuterie-BOUDIN-BLANC| Auteur &gt; adaptation du documents de Michel MARIETTE</v>
      </c>
      <c r="D146" s="6663">
        <f>D147</f>
        <v>104.875</v>
      </c>
      <c r="E146" s="6663">
        <f>E147</f>
        <v>0</v>
      </c>
      <c r="F146" s="6664" t="str">
        <f>F147</f>
        <v>Recette mère ► Boudin blanc</v>
      </c>
      <c r="G146" s="6682"/>
      <c r="H146" s="6683" t="s">
        <v>15733</v>
      </c>
      <c r="I146" s="8023">
        <f>R163</f>
        <v>104.875</v>
      </c>
      <c r="J146" s="8023"/>
      <c r="K146" s="6684" t="str" cm="1">
        <f t="array" ref="K146">"1= "&amp;IF(OR(G145&lt;=0,I146=""),"",_xlfn.LET(_xlpm.kg,IF(ISNUMBER(I146),I146,VALEUR(SUBSTITUTE(SUBSTITUTE(SUBSTITUTE(LOWER(I146),"kg",""),",",".")," ",""))),TEXT(ROUND(_xlpm.kg*1000/G145,2),"0.##")&amp;" g"))</f>
        <v>1= 1000. g</v>
      </c>
      <c r="L146" s="6685">
        <f>IFERROR(U144/U146,0)</f>
        <v>4.807692307692308E-2</v>
      </c>
      <c r="M146" s="6686" t="s">
        <v>15535</v>
      </c>
      <c r="N146" s="2789"/>
      <c r="O146" s="2789"/>
      <c r="P146" s="6687"/>
      <c r="Q146" s="6687"/>
      <c r="R146"/>
      <c r="S146" s="6688"/>
      <c r="T146" s="6688" t="s">
        <v>15734</v>
      </c>
      <c r="U146" s="6689">
        <v>104</v>
      </c>
      <c r="V146" s="6690" t="s">
        <v>43</v>
      </c>
      <c r="X146" s="2770"/>
      <c r="Y146" s="7453">
        <v>0.25</v>
      </c>
      <c r="Z146" s="7454">
        <v>0.5</v>
      </c>
      <c r="AA146" s="7455" t="s">
        <v>16097</v>
      </c>
      <c r="AB146" s="7456"/>
      <c r="AC146" s="2771"/>
      <c r="AD146" s="2772"/>
      <c r="AF146" s="2730">
        <v>1</v>
      </c>
    </row>
    <row r="147" spans="2:32" ht="21" customHeight="1">
      <c r="B147" s="6656" t="s">
        <v>337</v>
      </c>
      <c r="C147" s="6691" t="str">
        <f>G147</f>
        <v xml:space="preserve">   Boudin blanc au cognac "très bonne qualité " | charcuterie-BOUDIN-BLANC| Auteur &gt; adaptation du documents de Michel MARIETTE</v>
      </c>
      <c r="D147" s="6692">
        <f>G145</f>
        <v>104.875</v>
      </c>
      <c r="E147" s="6691">
        <f>H145</f>
        <v>0</v>
      </c>
      <c r="F147" s="6693" t="str">
        <f>M147&amp;" "&amp;N147</f>
        <v>Recette mère ► Boudin blanc</v>
      </c>
      <c r="G147" s="6694" t="str">
        <f>UPPER(LEFT(J141,1))&amp;" "&amp;J141&amp;" | "&amp;T141&amp;"| "&amp;J143&amp;" "&amp;K143</f>
        <v xml:space="preserve">   Boudin blanc au cognac "très bonne qualité " | charcuterie-BOUDIN-BLANC| Auteur &gt; adaptation du documents de Michel MARIETTE</v>
      </c>
      <c r="H147" s="6695" t="s">
        <v>15735</v>
      </c>
      <c r="I147" s="8024" t="s">
        <v>15736</v>
      </c>
      <c r="J147" s="8024"/>
      <c r="K147" s="8024"/>
      <c r="L147" s="6696"/>
      <c r="M147" s="6696" t="str">
        <f>IF(ISTEXT(N147),"Recette mère ►",H147)</f>
        <v>Recette mère ►</v>
      </c>
      <c r="N147" s="6697" t="s">
        <v>747</v>
      </c>
      <c r="O147" s="6697"/>
      <c r="P147" s="6697"/>
      <c r="Q147" s="6697"/>
      <c r="R147" s="6698"/>
      <c r="S147" s="6699"/>
      <c r="T147" s="6699"/>
      <c r="U147" s="6699"/>
      <c r="V147" s="6700" t="str">
        <f>IF(ISNUMBER(IFERROR(VALUE("0,5"),"")),"ATTENTION : sur cet ordinateur, le séparateur décimal est la VIRGULE",IF(ISNUMBER(IFERROR(VALUE("0.5"),"")),"  OK. TOUT VA BIEN : sur cet ordinateur. le séparateur décimal est le POINT","Impossible de déterminer le séparateur décimal"))</f>
        <v xml:space="preserve">  OK. TOUT VA BIEN : sur cet ordinateur. le séparateur décimal est le POINT</v>
      </c>
      <c r="X147" s="2770"/>
      <c r="Y147" s="7457" t="s">
        <v>16098</v>
      </c>
      <c r="Z147" s="7458" t="s">
        <v>16099</v>
      </c>
      <c r="AA147" s="7451" t="s">
        <v>16100</v>
      </c>
      <c r="AB147" s="7459" t="s">
        <v>16101</v>
      </c>
      <c r="AC147" s="2771"/>
      <c r="AD147" s="2772"/>
      <c r="AF147" s="2730">
        <v>1</v>
      </c>
    </row>
    <row r="148" spans="2:32" ht="21" customHeight="1">
      <c r="B148" s="6656" t="s">
        <v>337</v>
      </c>
      <c r="C148" s="6701" t="str">
        <f>C147</f>
        <v xml:space="preserve">   Boudin blanc au cognac "très bonne qualité " | charcuterie-BOUDIN-BLANC| Auteur &gt; adaptation du documents de Michel MARIETTE</v>
      </c>
      <c r="D148" s="6701">
        <f>D147</f>
        <v>104.875</v>
      </c>
      <c r="E148" s="6701">
        <f>E147</f>
        <v>0</v>
      </c>
      <c r="F148" s="6702" t="str">
        <f>F147</f>
        <v>Recette mère ► Boudin blanc</v>
      </c>
      <c r="G148" s="6638" t="s">
        <v>15737</v>
      </c>
      <c r="H148" s="6638" t="s">
        <v>15738</v>
      </c>
      <c r="I148" s="6638" t="s">
        <v>15739</v>
      </c>
      <c r="J148" s="6638" t="s">
        <v>15740</v>
      </c>
      <c r="K148" s="6703" t="s">
        <v>15741</v>
      </c>
      <c r="L148" s="6704" t="s">
        <v>15742</v>
      </c>
      <c r="M148" s="6638" t="s">
        <v>15743</v>
      </c>
      <c r="N148" s="6638" t="s">
        <v>15744</v>
      </c>
      <c r="O148" s="6638"/>
      <c r="P148" s="6638" t="s">
        <v>15745</v>
      </c>
      <c r="Q148" s="6638" t="s">
        <v>15746</v>
      </c>
      <c r="R148" s="6638" t="s">
        <v>15747</v>
      </c>
      <c r="S148" s="6638" t="s">
        <v>15748</v>
      </c>
      <c r="T148" s="6638" t="s">
        <v>15749</v>
      </c>
      <c r="U148" s="6638" t="s">
        <v>15750</v>
      </c>
      <c r="V148" s="6705" t="s">
        <v>15751</v>
      </c>
      <c r="X148" s="2770"/>
      <c r="Y148" s="7453">
        <v>0.25</v>
      </c>
      <c r="Z148" s="7454">
        <v>0.5</v>
      </c>
      <c r="AA148" s="7455" t="s">
        <v>16102</v>
      </c>
      <c r="AB148" s="7456"/>
      <c r="AC148" s="2771"/>
      <c r="AD148" s="2772"/>
      <c r="AF148" s="2730">
        <v>1</v>
      </c>
    </row>
    <row r="149" spans="2:32" ht="21" customHeight="1">
      <c r="B149" s="6656" t="s">
        <v>337</v>
      </c>
      <c r="C149" s="6662" t="str">
        <f>C147</f>
        <v xml:space="preserve">   Boudin blanc au cognac "très bonne qualité " | charcuterie-BOUDIN-BLANC| Auteur &gt; adaptation du documents de Michel MARIETTE</v>
      </c>
      <c r="D149" s="6663">
        <f>D147</f>
        <v>104.875</v>
      </c>
      <c r="E149" s="6662">
        <f>E147</f>
        <v>0</v>
      </c>
      <c r="F149" s="6664" t="str">
        <f>F147</f>
        <v>Recette mère ► Boudin blanc</v>
      </c>
      <c r="G149" s="6706" t="s">
        <v>2091</v>
      </c>
      <c r="H149" s="6707" t="s">
        <v>2102</v>
      </c>
      <c r="I149" s="6708"/>
      <c r="J149" s="8011" t="s">
        <v>15752</v>
      </c>
      <c r="K149" s="8025" t="s">
        <v>15753</v>
      </c>
      <c r="L149" s="8026" t="s">
        <v>15754</v>
      </c>
      <c r="M149" s="8027" t="s">
        <v>7176</v>
      </c>
      <c r="N149" s="6709" t="s">
        <v>2077</v>
      </c>
      <c r="O149" s="7712" t="s">
        <v>16246</v>
      </c>
      <c r="P149" s="6710" t="s">
        <v>61</v>
      </c>
      <c r="Q149" s="6711" t="s">
        <v>59</v>
      </c>
      <c r="R149" s="8029" t="s">
        <v>15755</v>
      </c>
      <c r="S149" s="7967" t="s">
        <v>59</v>
      </c>
      <c r="T149" s="8016" t="s">
        <v>15756</v>
      </c>
      <c r="U149" s="7969" t="s">
        <v>15757</v>
      </c>
      <c r="V149" s="8017" t="s">
        <v>15758</v>
      </c>
      <c r="X149" s="2770"/>
      <c r="Y149" s="7460" t="s">
        <v>16103</v>
      </c>
      <c r="Z149" s="2818" t="s">
        <v>16104</v>
      </c>
      <c r="AA149" s="2818"/>
      <c r="AB149" s="2818"/>
      <c r="AC149" s="2771"/>
      <c r="AD149" s="2772"/>
      <c r="AF149" s="2730">
        <v>1</v>
      </c>
    </row>
    <row r="150" spans="2:32" ht="21" customHeight="1">
      <c r="B150" s="6656" t="s">
        <v>337</v>
      </c>
      <c r="C150" s="6662" t="str">
        <f>C147</f>
        <v xml:space="preserve">   Boudin blanc au cognac "très bonne qualité " | charcuterie-BOUDIN-BLANC| Auteur &gt; adaptation du documents de Michel MARIETTE</v>
      </c>
      <c r="D150" s="6663">
        <f>D147</f>
        <v>104.875</v>
      </c>
      <c r="E150" s="6662">
        <f>E147</f>
        <v>0</v>
      </c>
      <c r="F150" s="6664" t="str">
        <f>F147</f>
        <v>Recette mère ► Boudin blanc</v>
      </c>
      <c r="G150" s="6712" t="s">
        <v>2484</v>
      </c>
      <c r="H150" s="6713" t="s">
        <v>58</v>
      </c>
      <c r="I150" s="6714" t="s">
        <v>14840</v>
      </c>
      <c r="J150" s="7960"/>
      <c r="K150" s="7962"/>
      <c r="L150" s="7964"/>
      <c r="M150" s="8028"/>
      <c r="N150" s="6715" t="s">
        <v>15759</v>
      </c>
      <c r="O150" s="7713" t="s">
        <v>2373</v>
      </c>
      <c r="P150" s="6716" t="s">
        <v>15760</v>
      </c>
      <c r="Q150" s="6717">
        <v>1</v>
      </c>
      <c r="R150" s="8030"/>
      <c r="S150" s="7968"/>
      <c r="T150" s="7968"/>
      <c r="U150" s="7970"/>
      <c r="V150" s="8018"/>
      <c r="X150" s="2770"/>
      <c r="Y150" s="7461" t="s">
        <v>16105</v>
      </c>
      <c r="Z150" s="2817"/>
      <c r="AA150" s="7462"/>
      <c r="AB150" s="7462"/>
      <c r="AC150" s="2771"/>
      <c r="AD150" s="2772"/>
      <c r="AF150" s="2730">
        <v>1</v>
      </c>
    </row>
    <row r="151" spans="2:32" ht="21" customHeight="1">
      <c r="B151" s="6656" t="s">
        <v>337</v>
      </c>
      <c r="C151" s="6662" t="str">
        <f>C147</f>
        <v xml:space="preserve">   Boudin blanc au cognac "très bonne qualité " | charcuterie-BOUDIN-BLANC| Auteur &gt; adaptation du documents de Michel MARIETTE</v>
      </c>
      <c r="D151" s="6663">
        <f>D147</f>
        <v>104.875</v>
      </c>
      <c r="E151" s="6662">
        <f>E147</f>
        <v>0</v>
      </c>
      <c r="F151" s="6664" t="str">
        <f>F147</f>
        <v>Recette mère ► Boudin blanc</v>
      </c>
      <c r="G151" s="6718"/>
      <c r="H151" s="6719"/>
      <c r="I151" s="6720" t="str">
        <f t="shared" ref="I151:I162" si="15">IF(OR(ISTEXT(G151), G151&lt;=0, J151&lt;=0), "", "de")</f>
        <v/>
      </c>
      <c r="J151" s="6721">
        <v>34</v>
      </c>
      <c r="K151" s="6754" t="s">
        <v>373</v>
      </c>
      <c r="L151" s="6723">
        <v>1</v>
      </c>
      <c r="M151" s="6724" t="str">
        <f>ROWS(M151:M151)&amp;" ►"</f>
        <v>1 ►</v>
      </c>
      <c r="N151" s="6725" t="s">
        <v>1255</v>
      </c>
      <c r="O151" s="7704" t="s">
        <v>10486</v>
      </c>
      <c r="P151" s="6726">
        <f>IF(R163=0,0,(R151/R163)*Q150*1000)</f>
        <v>324.19547079856977</v>
      </c>
      <c r="Q151" s="6727">
        <f>IF(R163=0, 0, (G151*L151)/(R163*Q150))</f>
        <v>0</v>
      </c>
      <c r="R151" s="6728" cm="1">
        <f t="array" ref="R151">IFERROR(_xlfn.XLOOKUP(UPPER(TRIM(K151)),UPPER(TRIM(G164:V164)),G165:V165,_xlfn.XLOOKUP(UPPER(TRIM(K151)),UPPER(TRIM(G166:V166)),G167:V167,0))*J151*IF(G151&gt;0,G151,1),0)</f>
        <v>34</v>
      </c>
      <c r="S151" s="6729">
        <f>IF(U146&lt;&gt;0,G151*L151*L146,0)</f>
        <v>0</v>
      </c>
      <c r="T151" s="6730">
        <f>H151</f>
        <v>0</v>
      </c>
      <c r="U151" s="6731">
        <f>IF(OR(ISBLANK(U146),U146=0),0,R151*L151*L146)</f>
        <v>1.6346153846153848</v>
      </c>
      <c r="V151" s="6732" t="str">
        <f>IF(K151="","",IF(COUNTIF(N164:V164,SUBSTITUTE(TRIM(K151)," (s)",""))+COUNTIF(N166:V166,SUBSTITUTE(TRIM(K151)," (s)",""))&gt;0,IF(ROUND(U151,3)&gt;=1,ROUND(U151,3)&amp;" L",MAX(1,ROUND(U151*100,0))&amp;" cl"),IF(COUNTIF(G164:L164,SUBSTITUTE(TRIM(K151)," (s)",""))+COUNTIF(G166:L166,SUBSTITUTE(TRIM(K151)," (s)",""))&gt;0,IF(ROUND(U151,3)&gt;=1,ROUND(U151,3)&amp;" Kg",MAX(1,ROUND(U151*1000,0))&amp;" g"),"")))</f>
        <v>1.635 Kg</v>
      </c>
      <c r="X151" s="2770"/>
      <c r="Y151" s="2771"/>
      <c r="Z151" s="2771"/>
      <c r="AA151" s="2771"/>
      <c r="AB151" s="2771"/>
      <c r="AC151" s="2771"/>
      <c r="AD151" s="2772"/>
      <c r="AF151" s="2730">
        <v>1</v>
      </c>
    </row>
    <row r="152" spans="2:32" ht="21" customHeight="1">
      <c r="B152" s="6589" t="str">
        <f>IF(N152&lt;&gt;"","A","►")</f>
        <v>A</v>
      </c>
      <c r="C152" s="6662" t="str">
        <f>C147</f>
        <v xml:space="preserve">   Boudin blanc au cognac "très bonne qualité " | charcuterie-BOUDIN-BLANC| Auteur &gt; adaptation du documents de Michel MARIETTE</v>
      </c>
      <c r="D152" s="6663">
        <f>D147</f>
        <v>104.875</v>
      </c>
      <c r="E152" s="6662">
        <f>E147</f>
        <v>0</v>
      </c>
      <c r="F152" s="6664" t="str">
        <f>F147</f>
        <v>Recette mère ► Boudin blanc</v>
      </c>
      <c r="G152" s="6718"/>
      <c r="H152" s="6733"/>
      <c r="I152" s="6720" t="str">
        <f t="shared" si="15"/>
        <v/>
      </c>
      <c r="J152" s="6721">
        <v>16</v>
      </c>
      <c r="K152" s="6754" t="s">
        <v>373</v>
      </c>
      <c r="L152" s="6723">
        <v>1</v>
      </c>
      <c r="M152" s="6734" t="str">
        <f>ROWS(M151:M152)&amp;" ►"</f>
        <v>2 ►</v>
      </c>
      <c r="N152" s="6725" t="s">
        <v>1256</v>
      </c>
      <c r="O152" s="7704" t="s">
        <v>10486</v>
      </c>
      <c r="P152" s="6726">
        <f>IF(R163=0,0,(R152/R163)*Q150*1000)</f>
        <v>152.56257449344457</v>
      </c>
      <c r="Q152" s="6735">
        <f>IF(R163=0, 0, (G152*L152)/(R163*Q150))</f>
        <v>0</v>
      </c>
      <c r="R152" s="6728" cm="1">
        <f t="array" ref="R152">IFERROR(_xlfn.XLOOKUP(UPPER(TRIM(K152)),UPPER(TRIM(G164:V164)),G165:V165,_xlfn.XLOOKUP(UPPER(TRIM(K152)),UPPER(TRIM(G166:V166)),G167:V167,0))*J152*IF(G152&gt;0,G152,1),0)</f>
        <v>16</v>
      </c>
      <c r="S152" s="6736">
        <f>IF(U146&lt;&gt;0,G152*L152*L146,0)</f>
        <v>0</v>
      </c>
      <c r="T152" s="6737">
        <f t="shared" ref="T152:T162" si="16">H152</f>
        <v>0</v>
      </c>
      <c r="U152" s="6731">
        <f>IF(OR(ISBLANK(U146),U146=0),0,R152*L152*L146)</f>
        <v>0.76923076923076927</v>
      </c>
      <c r="V152" s="6738" t="str">
        <f>IF(K152="","",IF(COUNTIF(N164:V164,SUBSTITUTE(TRIM(K152)," (s)",""))+COUNTIF(N166:V166,SUBSTITUTE(TRIM(K152)," (s)",""))&gt;0,IF(ROUND(U152,3)&gt;=1,ROUND(U152,3)&amp;" L",MAX(1,ROUND(U152*100,0))&amp;" cl"),IF(COUNTIF(G164:L164,SUBSTITUTE(TRIM(K152)," (s)",""))+COUNTIF(G166:L166,SUBSTITUTE(TRIM(K152)," (s)",""))&gt;0,IF(ROUND(U152,3)&gt;=1,ROUND(U152,3)&amp;" Kg",MAX(1,ROUND(U152*1000,0))&amp;" g"),"")))</f>
        <v>769 g</v>
      </c>
      <c r="X152" s="2792"/>
      <c r="Y152" s="2793"/>
      <c r="Z152" s="2794"/>
      <c r="AA152" s="2793"/>
      <c r="AB152" s="2793"/>
      <c r="AC152" s="2793"/>
      <c r="AD152" s="2795"/>
      <c r="AF152" s="2730">
        <v>1</v>
      </c>
    </row>
    <row r="153" spans="2:32" ht="21" customHeight="1">
      <c r="B153" s="6589" t="str">
        <f t="shared" ref="B153:B162" si="17">IF(N153&lt;&gt;"","A","►")</f>
        <v>A</v>
      </c>
      <c r="C153" s="6662" t="str">
        <f>C147</f>
        <v xml:space="preserve">   Boudin blanc au cognac "très bonne qualité " | charcuterie-BOUDIN-BLANC| Auteur &gt; adaptation du documents de Michel MARIETTE</v>
      </c>
      <c r="D153" s="6663">
        <f>D147</f>
        <v>104.875</v>
      </c>
      <c r="E153" s="6662">
        <f>E147</f>
        <v>0</v>
      </c>
      <c r="F153" s="6664" t="str">
        <f>F147</f>
        <v>Recette mère ► Boudin blanc</v>
      </c>
      <c r="G153" s="6718"/>
      <c r="H153" s="6733"/>
      <c r="I153" s="6720" t="str">
        <f t="shared" si="15"/>
        <v/>
      </c>
      <c r="J153" s="6721">
        <v>16</v>
      </c>
      <c r="K153" s="6754" t="s">
        <v>373</v>
      </c>
      <c r="L153" s="6723">
        <v>1</v>
      </c>
      <c r="M153" s="6734" t="str">
        <f>ROWS(M151:M153)&amp;" ►"</f>
        <v>3 ►</v>
      </c>
      <c r="N153" s="6725" t="s">
        <v>1257</v>
      </c>
      <c r="O153" s="7704" t="s">
        <v>10486</v>
      </c>
      <c r="P153" s="6726">
        <f>IF(R163=0,0,(R153/R163)*Q150*1000)</f>
        <v>152.56257449344457</v>
      </c>
      <c r="Q153" s="6735">
        <f>IF(R163=0, 0, (G153*L153)/(R163*Q150))</f>
        <v>0</v>
      </c>
      <c r="R153" s="6728" cm="1">
        <f t="array" ref="R153">IFERROR(_xlfn.XLOOKUP(UPPER(TRIM(K153)),UPPER(TRIM(G164:V164)),G165:V165,_xlfn.XLOOKUP(UPPER(TRIM(K153)),UPPER(TRIM(G166:V166)),G167:V167,0))*J153*IF(G153&gt;0,G153,1),0)</f>
        <v>16</v>
      </c>
      <c r="S153" s="6739">
        <f>IF(U146&lt;&gt;0,G153*L153*L146,0)</f>
        <v>0</v>
      </c>
      <c r="T153" s="6740">
        <f t="shared" si="16"/>
        <v>0</v>
      </c>
      <c r="U153" s="6731">
        <f>IF(OR(ISBLANK(U146),U146=0),0,R153*L153*L146)</f>
        <v>0.76923076923076927</v>
      </c>
      <c r="V153" s="6741" t="str">
        <f>IF(K153="","",IF(COUNTIF(N164:V164,SUBSTITUTE(TRIM(K153)," (s)",""))+COUNTIF(N166:V166,SUBSTITUTE(TRIM(K153)," (s)",""))&gt;0,IF(ROUND(U153,3)&gt;=1,ROUND(U153,3)&amp;" L",MAX(1,ROUND(U153*100,0))&amp;" cl"),IF(COUNTIF(G164:L164,SUBSTITUTE(TRIM(K153)," (s)",""))+COUNTIF(G166:L166,SUBSTITUTE(TRIM(K153)," (s)",""))&gt;0,IF(ROUND(U153,3)&gt;=1,ROUND(U153,3)&amp;" Kg",MAX(1,ROUND(U153*1000,0))&amp;" g"),"")))</f>
        <v>769 g</v>
      </c>
      <c r="X153" s="7395"/>
      <c r="Y153" s="7420"/>
      <c r="Z153" s="7421"/>
      <c r="AA153" s="7420"/>
      <c r="AB153" s="7420"/>
      <c r="AC153" s="7420"/>
      <c r="AD153" s="7422"/>
      <c r="AF153" s="2730">
        <v>1</v>
      </c>
    </row>
    <row r="154" spans="2:32" ht="21" customHeight="1">
      <c r="B154" s="6589" t="str">
        <f t="shared" si="17"/>
        <v>A</v>
      </c>
      <c r="C154" s="6662" t="str">
        <f>C147</f>
        <v xml:space="preserve">   Boudin blanc au cognac "très bonne qualité " | charcuterie-BOUDIN-BLANC| Auteur &gt; adaptation du documents de Michel MARIETTE</v>
      </c>
      <c r="D154" s="6663">
        <f>D147</f>
        <v>104.875</v>
      </c>
      <c r="E154" s="6662">
        <f>E147</f>
        <v>0</v>
      </c>
      <c r="F154" s="6664" t="str">
        <f>F147</f>
        <v>Recette mère ► Boudin blanc</v>
      </c>
      <c r="G154" s="6718"/>
      <c r="H154" s="6733"/>
      <c r="I154" s="6720" t="str">
        <f t="shared" si="15"/>
        <v/>
      </c>
      <c r="J154" s="6721">
        <v>30</v>
      </c>
      <c r="K154" s="6759" t="s">
        <v>34</v>
      </c>
      <c r="L154" s="6723">
        <v>1</v>
      </c>
      <c r="M154" s="6734" t="str">
        <f>ROWS(M151:M154)&amp;" ►"</f>
        <v>4 ►</v>
      </c>
      <c r="N154" s="6725" t="s">
        <v>17871</v>
      </c>
      <c r="O154" s="7704" t="s">
        <v>17874</v>
      </c>
      <c r="P154" s="6726">
        <f>IF(R163=0,0,(R154/R163)*Q150*1000)</f>
        <v>286.05482717520857</v>
      </c>
      <c r="Q154" s="6735">
        <f>IF(R163=0, 0, (G154*L154)/(R163*Q150))</f>
        <v>0</v>
      </c>
      <c r="R154" s="6728" cm="1">
        <f t="array" ref="R154">IFERROR(_xlfn.XLOOKUP(UPPER(TRIM(K154)),UPPER(TRIM(G164:V164)),G165:V165,_xlfn.XLOOKUP(UPPER(TRIM(K154)),UPPER(TRIM(G166:V166)),G167:V167,0))*J154*IF(G154&gt;0,G154,1),0)</f>
        <v>30</v>
      </c>
      <c r="S154" s="6736">
        <f>IF(U146&lt;&gt;0,G154*L154*L146,0)</f>
        <v>0</v>
      </c>
      <c r="T154" s="6737">
        <f t="shared" si="16"/>
        <v>0</v>
      </c>
      <c r="U154" s="6731">
        <f>IF(OR(ISBLANK(U146),U146=0),0,R154*L154*L146)</f>
        <v>1.4423076923076923</v>
      </c>
      <c r="V154" s="6746" t="str">
        <f>IF(K154="","",IF(COUNTIF(N164:V164,SUBSTITUTE(TRIM(K154)," (s)",""))+COUNTIF(N166:V166,SUBSTITUTE(TRIM(K154)," (s)",""))&gt;0,IF(ROUND(U154,3)&gt;=1,ROUND(U154,3)&amp;" L",MAX(1,ROUND(U154*100,0))&amp;" cl"),IF(COUNTIF(G164:L164,SUBSTITUTE(TRIM(K154)," (s)",""))+COUNTIF(G166:L166,SUBSTITUTE(TRIM(K154)," (s)",""))&gt;0,IF(ROUND(U154,3)&gt;=1,ROUND(U154,3)&amp;" Kg",MAX(1,ROUND(U154*1000,0))&amp;" g"),"")))</f>
        <v>1.442 L</v>
      </c>
      <c r="X154" s="7463" t="s">
        <v>15741</v>
      </c>
      <c r="Y154" s="7464" t="s">
        <v>16106</v>
      </c>
      <c r="Z154" s="2771"/>
      <c r="AA154" s="2771"/>
      <c r="AB154" s="2771"/>
      <c r="AC154" s="2771"/>
      <c r="AD154" s="2772"/>
      <c r="AF154" s="2730">
        <v>1</v>
      </c>
    </row>
    <row r="155" spans="2:32" ht="21" customHeight="1">
      <c r="B155" s="6589" t="str">
        <f t="shared" si="17"/>
        <v>A</v>
      </c>
      <c r="C155" s="6662" t="str">
        <f>C147</f>
        <v xml:space="preserve">   Boudin blanc au cognac "très bonne qualité " | charcuterie-BOUDIN-BLANC| Auteur &gt; adaptation du documents de Michel MARIETTE</v>
      </c>
      <c r="D155" s="6663">
        <f>D147</f>
        <v>104.875</v>
      </c>
      <c r="E155" s="6662">
        <f>E147</f>
        <v>0</v>
      </c>
      <c r="F155" s="6664" t="str">
        <f>F147</f>
        <v>Recette mère ► Boudin blanc</v>
      </c>
      <c r="G155" s="6718"/>
      <c r="H155" s="6733"/>
      <c r="I155" s="6720" t="str">
        <f t="shared" si="15"/>
        <v/>
      </c>
      <c r="J155" s="6721">
        <v>6</v>
      </c>
      <c r="K155" s="6754" t="s">
        <v>373</v>
      </c>
      <c r="L155" s="6723">
        <v>1</v>
      </c>
      <c r="M155" s="6734" t="str">
        <f>ROWS(M151:M155)&amp;" ►"</f>
        <v>5 ►</v>
      </c>
      <c r="N155" s="6725" t="s">
        <v>17872</v>
      </c>
      <c r="O155" s="7704" t="s">
        <v>17875</v>
      </c>
      <c r="P155" s="6726">
        <f>IF(R163=0,0,(R155/R163)*Q150*1000)</f>
        <v>57.210965435041714</v>
      </c>
      <c r="Q155" s="6735">
        <f>IF(R163=0, 0, (G155*L155)/(R163*Q150))</f>
        <v>0</v>
      </c>
      <c r="R155" s="6728" cm="1">
        <f t="array" ref="R155">IFERROR(_xlfn.XLOOKUP(UPPER(TRIM(K155)),UPPER(TRIM(G164:V164)),G165:V165,_xlfn.XLOOKUP(UPPER(TRIM(K155)),UPPER(TRIM(G166:V166)),G167:V167,0))*J155*IF(G155&gt;0,G155,1),0)</f>
        <v>6</v>
      </c>
      <c r="S155" s="6739">
        <f>IF(U146&lt;&gt;0,G155*L155*L146,0)</f>
        <v>0</v>
      </c>
      <c r="T155" s="6740">
        <f t="shared" si="16"/>
        <v>0</v>
      </c>
      <c r="U155" s="6731">
        <f>IF(OR(ISBLANK(U146),U146=0),0,R155*L155*L146)</f>
        <v>0.28846153846153849</v>
      </c>
      <c r="V155" s="6741" t="str">
        <f>IF(K155="","",IF(COUNTIF(N164:V164,SUBSTITUTE(TRIM(K155)," (s)",""))+COUNTIF(N166:V166,SUBSTITUTE(TRIM(K155)," (s)",""))&gt;0,IF(ROUND(U155,3)&gt;=1,ROUND(U155,3)&amp;" L",MAX(1,ROUND(U155*100,0))&amp;" cl"),IF(COUNTIF(G164:L164,SUBSTITUTE(TRIM(K155)," (s)",""))+COUNTIF(G166:L166,SUBSTITUTE(TRIM(K155)," (s)",""))&gt;0,IF(ROUND(U155,3)&gt;=1,ROUND(U155,3)&amp;" Kg",MAX(1,ROUND(U155*1000,0))&amp;" g"),"")))</f>
        <v>288 g</v>
      </c>
      <c r="X155" s="2815" t="s">
        <v>16090</v>
      </c>
      <c r="Y155" s="2771"/>
      <c r="Z155" s="2771"/>
      <c r="AA155" s="2771"/>
      <c r="AB155" s="2771"/>
      <c r="AC155" s="2771"/>
      <c r="AD155" s="2772"/>
      <c r="AF155" s="2730">
        <v>1</v>
      </c>
    </row>
    <row r="156" spans="2:32" ht="21" customHeight="1">
      <c r="B156" s="6589" t="str">
        <f t="shared" si="17"/>
        <v>A</v>
      </c>
      <c r="C156" s="6662" t="str">
        <f>C147</f>
        <v xml:space="preserve">   Boudin blanc au cognac "très bonne qualité " | charcuterie-BOUDIN-BLANC| Auteur &gt; adaptation du documents de Michel MARIETTE</v>
      </c>
      <c r="D156" s="6663">
        <f>D147</f>
        <v>104.875</v>
      </c>
      <c r="E156" s="6662">
        <f>E147</f>
        <v>0</v>
      </c>
      <c r="F156" s="6664" t="str">
        <f>F147</f>
        <v>Recette mère ► Boudin blanc</v>
      </c>
      <c r="G156" s="6718"/>
      <c r="H156" s="6733"/>
      <c r="I156" s="6720" t="str">
        <f t="shared" si="15"/>
        <v/>
      </c>
      <c r="J156" s="7295">
        <v>1.65</v>
      </c>
      <c r="K156" s="6754" t="s">
        <v>373</v>
      </c>
      <c r="L156" s="6723">
        <v>1</v>
      </c>
      <c r="M156" s="6734" t="str">
        <f>ROWS(M151:M156)&amp;" ►"</f>
        <v>6 ►</v>
      </c>
      <c r="N156" s="6725" t="s">
        <v>1259</v>
      </c>
      <c r="O156" s="7704" t="s">
        <v>10486</v>
      </c>
      <c r="P156" s="6726">
        <f>IF(R163=0,0,(R156/R163)*Q150*1000)</f>
        <v>15.73301549463647</v>
      </c>
      <c r="Q156" s="6735">
        <f>IF(R163=0, 0, (G156*L156)/(R163*Q150))</f>
        <v>0</v>
      </c>
      <c r="R156" s="6728" cm="1">
        <f t="array" ref="R156">IFERROR(_xlfn.XLOOKUP(UPPER(TRIM(K156)),UPPER(TRIM(G164:V164)),G165:V165,_xlfn.XLOOKUP(UPPER(TRIM(K156)),UPPER(TRIM(G166:V166)),G167:V167,0))*J156*IF(G156&gt;0,G156,1),0)</f>
        <v>1.65</v>
      </c>
      <c r="S156" s="6736">
        <f>IF(U146&lt;&gt;0,G156*L156*L146,0)</f>
        <v>0</v>
      </c>
      <c r="T156" s="6737">
        <f t="shared" si="16"/>
        <v>0</v>
      </c>
      <c r="U156" s="6731">
        <f>IF(OR(ISBLANK(U146),U146=0),0,R156*L156*L146)</f>
        <v>7.9326923076923073E-2</v>
      </c>
      <c r="V156" s="6746" t="str">
        <f>IF(K156="","",IF(COUNTIF(N164:V164,SUBSTITUTE(TRIM(K156)," (s)",""))+COUNTIF(N166:V166,SUBSTITUTE(TRIM(K156)," (s)",""))&gt;0,IF(ROUND(U156,3)&gt;=1,ROUND(U156,3)&amp;" L",MAX(1,ROUND(U156*100,0))&amp;" cl"),IF(COUNTIF(G164:L164,SUBSTITUTE(TRIM(K156)," (s)",""))+COUNTIF(G166:L166,SUBSTITUTE(TRIM(K156)," (s)",""))&gt;0,IF(ROUND(U156,3)&gt;=1,ROUND(U156,3)&amp;" Kg",MAX(1,ROUND(U156*1000,0))&amp;" g"),"")))</f>
        <v>79 g</v>
      </c>
      <c r="X156" s="2770"/>
      <c r="Y156" s="2771"/>
      <c r="Z156" s="2771"/>
      <c r="AA156" s="2771"/>
      <c r="AB156" s="2771"/>
      <c r="AC156" s="2771"/>
      <c r="AD156" s="2772"/>
      <c r="AF156" s="2730">
        <v>1</v>
      </c>
    </row>
    <row r="157" spans="2:32" ht="21" customHeight="1">
      <c r="B157" s="6589" t="str">
        <f t="shared" si="17"/>
        <v>A</v>
      </c>
      <c r="C157" s="6662" t="str">
        <f>C147</f>
        <v xml:space="preserve">   Boudin blanc au cognac "très bonne qualité " | charcuterie-BOUDIN-BLANC| Auteur &gt; adaptation du documents de Michel MARIETTE</v>
      </c>
      <c r="D157" s="6663">
        <f>D147</f>
        <v>104.875</v>
      </c>
      <c r="E157" s="6662">
        <f>E147</f>
        <v>0</v>
      </c>
      <c r="F157" s="6664" t="str">
        <f>F147</f>
        <v>Recette mère ► Boudin blanc</v>
      </c>
      <c r="G157" s="6718"/>
      <c r="H157" s="6733"/>
      <c r="I157" s="6720" t="str">
        <f t="shared" si="15"/>
        <v/>
      </c>
      <c r="J157" s="6721">
        <v>100</v>
      </c>
      <c r="K157" s="6755" t="s">
        <v>1172</v>
      </c>
      <c r="L157" s="6723">
        <v>1</v>
      </c>
      <c r="M157" s="6734" t="str">
        <f>ROWS(M151:M157)&amp;" ►"</f>
        <v>7 ►</v>
      </c>
      <c r="N157" s="6725" t="s">
        <v>1260</v>
      </c>
      <c r="O157" s="7704" t="s">
        <v>10486</v>
      </c>
      <c r="P157" s="6726">
        <f>IF(R163=0,0,(R157/R163)*Q150*1000)</f>
        <v>0.95351609058402864</v>
      </c>
      <c r="Q157" s="6735">
        <f>IF(R163=0, 0, (G157*L157)/(R163*Q150))</f>
        <v>0</v>
      </c>
      <c r="R157" s="6728" cm="1">
        <f t="array" ref="R157">IFERROR(_xlfn.XLOOKUP(UPPER(TRIM(K157)),UPPER(TRIM(G164:V164)),G165:V165,_xlfn.XLOOKUP(UPPER(TRIM(K157)),UPPER(TRIM(G166:V166)),G167:V167,0))*J157*IF(G157&gt;0,G157,1),0)</f>
        <v>0.1</v>
      </c>
      <c r="S157" s="6739">
        <f>IF(U146&lt;&gt;0,G157*L157*L146,0)</f>
        <v>0</v>
      </c>
      <c r="T157" s="6740">
        <f t="shared" si="16"/>
        <v>0</v>
      </c>
      <c r="U157" s="6731">
        <f>IF(OR(ISBLANK(U146),U146=0),0,R157*L157*L146)</f>
        <v>4.807692307692308E-3</v>
      </c>
      <c r="V157" s="6741" t="str">
        <f>IF(K157="","",IF(COUNTIF(N164:V164,SUBSTITUTE(TRIM(K157)," (s)",""))+COUNTIF(N166:V166,SUBSTITUTE(TRIM(K157)," (s)",""))&gt;0,IF(ROUND(U157,3)&gt;=1,ROUND(U157,3)&amp;" L",MAX(1,ROUND(U157*100,0))&amp;" cl"),IF(COUNTIF(G164:L164,SUBSTITUTE(TRIM(K157)," (s)",""))+COUNTIF(G166:L166,SUBSTITUTE(TRIM(K157)," (s)",""))&gt;0,IF(ROUND(U157,3)&gt;=1,ROUND(U157,3)&amp;" Kg",MAX(1,ROUND(U157*1000,0))&amp;" g"),"")))</f>
        <v>5 g</v>
      </c>
      <c r="X157" s="2792"/>
      <c r="Y157" s="2793"/>
      <c r="Z157" s="2794"/>
      <c r="AA157" s="2793"/>
      <c r="AB157" s="2793"/>
      <c r="AC157" s="2793"/>
      <c r="AD157" s="2795"/>
      <c r="AF157" s="2730">
        <v>1</v>
      </c>
    </row>
    <row r="158" spans="2:32" ht="21" customHeight="1">
      <c r="B158" s="6589" t="str">
        <f t="shared" si="17"/>
        <v>A</v>
      </c>
      <c r="C158" s="6662" t="str">
        <f>C147</f>
        <v xml:space="preserve">   Boudin blanc au cognac "très bonne qualité " | charcuterie-BOUDIN-BLANC| Auteur &gt; adaptation du documents de Michel MARIETTE</v>
      </c>
      <c r="D158" s="6663">
        <f>D147</f>
        <v>104.875</v>
      </c>
      <c r="E158" s="6662">
        <f>E147</f>
        <v>0</v>
      </c>
      <c r="F158" s="6664" t="str">
        <f>F147</f>
        <v>Recette mère ► Boudin blanc</v>
      </c>
      <c r="G158" s="6718"/>
      <c r="H158" s="6733"/>
      <c r="I158" s="6720" t="str">
        <f t="shared" si="15"/>
        <v/>
      </c>
      <c r="J158" s="6721">
        <v>100</v>
      </c>
      <c r="K158" s="6755" t="s">
        <v>1172</v>
      </c>
      <c r="L158" s="6723">
        <v>1</v>
      </c>
      <c r="M158" s="6734" t="str">
        <f>ROWS(M151:M158)&amp;" ►"</f>
        <v>8 ►</v>
      </c>
      <c r="N158" s="6725" t="s">
        <v>1261</v>
      </c>
      <c r="O158" s="7704" t="s">
        <v>10486</v>
      </c>
      <c r="P158" s="6726">
        <f>IF(R163=0,0,(R158/R163)*Q150*1000)</f>
        <v>0.95351609058402864</v>
      </c>
      <c r="Q158" s="6735">
        <f>IF(R163=0, 0, (G158*L158)/(R163*Q150))</f>
        <v>0</v>
      </c>
      <c r="R158" s="6728" cm="1">
        <f t="array" ref="R158">IFERROR(_xlfn.XLOOKUP(UPPER(TRIM(K158)),UPPER(TRIM(G164:V164)),G165:V165,_xlfn.XLOOKUP(UPPER(TRIM(K158)),UPPER(TRIM(G166:V166)),G167:V167,0))*J158*IF(G158&gt;0,G158,1),0)</f>
        <v>0.1</v>
      </c>
      <c r="S158" s="6736">
        <f>IF(U146&lt;&gt;0,G158*L158*L146,0)</f>
        <v>0</v>
      </c>
      <c r="T158" s="6737">
        <f t="shared" si="16"/>
        <v>0</v>
      </c>
      <c r="U158" s="6731">
        <f>IF(OR(ISBLANK(U146),U146=0),0,R158*L158*L146)</f>
        <v>4.807692307692308E-3</v>
      </c>
      <c r="V158" s="6746" t="str">
        <f>IF(K158="","",IF(COUNTIF(N164:V164,SUBSTITUTE(TRIM(K158)," (s)",""))+COUNTIF(N166:V166,SUBSTITUTE(TRIM(K158)," (s)",""))&gt;0,IF(ROUND(U158,3)&gt;=1,ROUND(U158,3)&amp;" L",MAX(1,ROUND(U158*100,0))&amp;" cl"),IF(COUNTIF(G164:L164,SUBSTITUTE(TRIM(K158)," (s)",""))+COUNTIF(G166:L166,SUBSTITUTE(TRIM(K158)," (s)",""))&gt;0,IF(ROUND(U158,3)&gt;=1,ROUND(U158,3)&amp;" Kg",MAX(1,ROUND(U158*1000,0))&amp;" g"),"")))</f>
        <v>5 g</v>
      </c>
      <c r="X158" s="7395"/>
      <c r="Y158" s="7420"/>
      <c r="Z158" s="7421"/>
      <c r="AA158" s="7420"/>
      <c r="AB158" s="7420"/>
      <c r="AC158" s="7420"/>
      <c r="AD158" s="7422"/>
      <c r="AF158" s="2730">
        <v>1</v>
      </c>
    </row>
    <row r="159" spans="2:32" ht="21" customHeight="1">
      <c r="B159" s="6589" t="str">
        <f t="shared" si="17"/>
        <v>A</v>
      </c>
      <c r="C159" s="6662" t="str">
        <f>C147</f>
        <v xml:space="preserve">   Boudin blanc au cognac "très bonne qualité " | charcuterie-BOUDIN-BLANC| Auteur &gt; adaptation du documents de Michel MARIETTE</v>
      </c>
      <c r="D159" s="6663">
        <f>D147</f>
        <v>104.875</v>
      </c>
      <c r="E159" s="6662">
        <f>E147</f>
        <v>0</v>
      </c>
      <c r="F159" s="6664" t="str">
        <f>F147</f>
        <v>Recette mère ► Boudin blanc</v>
      </c>
      <c r="G159" s="6718"/>
      <c r="H159" s="6733"/>
      <c r="I159" s="6720" t="str">
        <f t="shared" si="15"/>
        <v/>
      </c>
      <c r="J159" s="6721">
        <v>1</v>
      </c>
      <c r="K159" s="6759" t="s">
        <v>34</v>
      </c>
      <c r="L159" s="6723">
        <v>1</v>
      </c>
      <c r="M159" s="6734" t="str">
        <f>ROWS(M151:M159)&amp;" ►"</f>
        <v>9 ►</v>
      </c>
      <c r="N159" s="6725" t="s">
        <v>1265</v>
      </c>
      <c r="O159" s="7704" t="s">
        <v>10486</v>
      </c>
      <c r="P159" s="6726">
        <f>IF(R163=0,0,(R159/R163)*Q150*1000)</f>
        <v>9.5351609058402857</v>
      </c>
      <c r="Q159" s="6735">
        <f>IF(R163=0, 0, (G159*L159)/(R163*Q150))</f>
        <v>0</v>
      </c>
      <c r="R159" s="6728" cm="1">
        <f t="array" ref="R159">IFERROR(_xlfn.XLOOKUP(UPPER(TRIM(K159)),UPPER(TRIM(G164:V164)),G165:V165,_xlfn.XLOOKUP(UPPER(TRIM(K159)),UPPER(TRIM(G166:V166)),G167:V167,0))*J159*IF(G159&gt;0,G159,1),0)</f>
        <v>1</v>
      </c>
      <c r="S159" s="6739">
        <f>IF(U146&lt;&gt;0,G159*L159*L146,0)</f>
        <v>0</v>
      </c>
      <c r="T159" s="6740">
        <f t="shared" si="16"/>
        <v>0</v>
      </c>
      <c r="U159" s="6731">
        <f>IF(OR(ISBLANK(U146),U146=0),0,R159*L159*L146)</f>
        <v>4.807692307692308E-2</v>
      </c>
      <c r="V159" s="6741" t="str">
        <f>IF(K159="","",IF(COUNTIF(N164:V164,SUBSTITUTE(TRIM(K159)," (s)",""))+COUNTIF(N166:V166,SUBSTITUTE(TRIM(K159)," (s)",""))&gt;0,IF(ROUND(U159,3)&gt;=1,ROUND(U159,3)&amp;" L",MAX(1,ROUND(U159*100,0))&amp;" cl"),IF(COUNTIF(G164:L164,SUBSTITUTE(TRIM(K159)," (s)",""))+COUNTIF(G166:L166,SUBSTITUTE(TRIM(K159)," (s)",""))&gt;0,IF(ROUND(U159,3)&gt;=1,ROUND(U159,3)&amp;" Kg",MAX(1,ROUND(U159*1000,0))&amp;" g"),"")))</f>
        <v>5 cl</v>
      </c>
      <c r="X159" s="7958" t="s">
        <v>16107</v>
      </c>
      <c r="Y159" s="7465">
        <v>1</v>
      </c>
      <c r="Z159" s="7466" t="s">
        <v>16108</v>
      </c>
      <c r="AA159" s="2771"/>
      <c r="AB159" s="2771"/>
      <c r="AC159" s="2771"/>
      <c r="AD159" s="2772"/>
      <c r="AF159" s="2730">
        <v>1</v>
      </c>
    </row>
    <row r="160" spans="2:32" ht="21" customHeight="1">
      <c r="B160" s="6589" t="str">
        <f t="shared" si="17"/>
        <v>A</v>
      </c>
      <c r="C160" s="6662" t="str">
        <f>C147</f>
        <v xml:space="preserve">   Boudin blanc au cognac "très bonne qualité " | charcuterie-BOUDIN-BLANC| Auteur &gt; adaptation du documents de Michel MARIETTE</v>
      </c>
      <c r="D160" s="6663">
        <f>D147</f>
        <v>104.875</v>
      </c>
      <c r="E160" s="6662">
        <f>E147</f>
        <v>0</v>
      </c>
      <c r="F160" s="6664" t="str">
        <f>F147</f>
        <v>Recette mère ► Boudin blanc</v>
      </c>
      <c r="G160" s="6718"/>
      <c r="H160" s="6733"/>
      <c r="I160" s="6720" t="str">
        <f t="shared" si="15"/>
        <v/>
      </c>
      <c r="J160" s="6721">
        <v>25</v>
      </c>
      <c r="K160" s="6755" t="s">
        <v>1172</v>
      </c>
      <c r="L160" s="6723">
        <v>1</v>
      </c>
      <c r="M160" s="6734" t="str">
        <f>ROWS(M151:M160)&amp;" ►"</f>
        <v>10 ►</v>
      </c>
      <c r="N160" s="6725" t="s">
        <v>17873</v>
      </c>
      <c r="O160" s="7704" t="s">
        <v>10486</v>
      </c>
      <c r="P160" s="7296">
        <f>IF(R163=0,0,(R160/R163)*Q150*1000)</f>
        <v>0.23837902264600716</v>
      </c>
      <c r="Q160" s="6735">
        <f>IF(R163=0, 0, (G160*L160)/(R163*Q150))</f>
        <v>0</v>
      </c>
      <c r="R160" s="6728" cm="1">
        <f t="array" ref="R160">IFERROR(_xlfn.XLOOKUP(UPPER(TRIM(K160)),UPPER(TRIM(G164:V164)),G165:V165,_xlfn.XLOOKUP(UPPER(TRIM(K160)),UPPER(TRIM(G166:V166)),G167:V167,0))*J160*IF(G160&gt;0,G160,1),0)</f>
        <v>2.5000000000000001E-2</v>
      </c>
      <c r="S160" s="6736">
        <f>IF(U146&lt;&gt;0,G160*L160*L146,0)</f>
        <v>0</v>
      </c>
      <c r="T160" s="6737">
        <f t="shared" si="16"/>
        <v>0</v>
      </c>
      <c r="U160" s="6731">
        <f>IF(OR(ISBLANK(U146),U146=0),0,R160*L160*L146)</f>
        <v>1.201923076923077E-3</v>
      </c>
      <c r="V160" s="6746" t="str">
        <f>IF(K160="","",IF(COUNTIF(N164:V164,SUBSTITUTE(TRIM(K160)," (s)",""))+COUNTIF(N166:V166,SUBSTITUTE(TRIM(K160)," (s)",""))&gt;0,IF(ROUND(U160,3)&gt;=1,ROUND(U160,3)&amp;" L",MAX(1,ROUND(U160*100,0))&amp;" cl"),IF(COUNTIF(G164:L164,SUBSTITUTE(TRIM(K160)," (s)",""))+COUNTIF(G166:L166,SUBSTITUTE(TRIM(K160)," (s)",""))&gt;0,IF(ROUND(U160,3)&gt;=1,ROUND(U160,3)&amp;" Kg",MAX(1,ROUND(U160*1000,0))&amp;" g"),"")))</f>
        <v>1 g</v>
      </c>
      <c r="X160" s="7958"/>
      <c r="Y160" s="7376">
        <v>2</v>
      </c>
      <c r="Z160" s="7466" t="s">
        <v>16109</v>
      </c>
      <c r="AA160" s="2771"/>
      <c r="AB160" s="2771"/>
      <c r="AC160" s="2771"/>
      <c r="AD160" s="2772"/>
      <c r="AF160" s="2730">
        <v>1</v>
      </c>
    </row>
    <row r="161" spans="2:32" ht="21" customHeight="1">
      <c r="B161" s="6589" t="str">
        <f t="shared" si="17"/>
        <v>►</v>
      </c>
      <c r="C161" s="6662" t="str">
        <f>C147</f>
        <v xml:space="preserve">   Boudin blanc au cognac "très bonne qualité " | charcuterie-BOUDIN-BLANC| Auteur &gt; adaptation du documents de Michel MARIETTE</v>
      </c>
      <c r="D161" s="6663">
        <f>D147</f>
        <v>104.875</v>
      </c>
      <c r="E161" s="6662">
        <f>E147</f>
        <v>0</v>
      </c>
      <c r="F161" s="6664" t="str">
        <f>F147</f>
        <v>Recette mère ► Boudin blanc</v>
      </c>
      <c r="G161" s="6718"/>
      <c r="H161" s="6733"/>
      <c r="I161" s="6720" t="str">
        <f t="shared" si="15"/>
        <v/>
      </c>
      <c r="J161" s="6721"/>
      <c r="K161" s="6722"/>
      <c r="L161" s="6723">
        <v>1</v>
      </c>
      <c r="M161" s="6734" t="str">
        <f>ROWS(M151:M161)&amp;" ►"</f>
        <v>11 ►</v>
      </c>
      <c r="N161" s="6725"/>
      <c r="O161" s="7704" t="s">
        <v>10486</v>
      </c>
      <c r="P161" s="6726">
        <f>IF(R163=0,0,(R161/R163)*Q150*1000)</f>
        <v>0</v>
      </c>
      <c r="Q161" s="6735">
        <f>IF(R163=0, 0, (G161*L161)/(R163*Q150))</f>
        <v>0</v>
      </c>
      <c r="R161" s="6728" cm="1">
        <f t="array" ref="R161">IFERROR(_xlfn.XLOOKUP(UPPER(TRIM(K161)),UPPER(TRIM(G164:V164)),G165:V165,_xlfn.XLOOKUP(UPPER(TRIM(K161)),UPPER(TRIM(G166:V166)),G167:V167,0))*J161*IF(G161&gt;0,G161,1),0)</f>
        <v>0</v>
      </c>
      <c r="S161" s="6739">
        <f>IF(U146&lt;&gt;0,G161*L161*L146,0)</f>
        <v>0</v>
      </c>
      <c r="T161" s="6740">
        <f t="shared" si="16"/>
        <v>0</v>
      </c>
      <c r="U161" s="6731">
        <f>IF(OR(ISBLANK(U146),U146=0),0,R161*L161*L146)</f>
        <v>0</v>
      </c>
      <c r="V161" s="6741" t="str">
        <f>IF(K161="","",IF(COUNTIF(N164:V164,SUBSTITUTE(TRIM(K161)," (s)",""))+COUNTIF(N166:V166,SUBSTITUTE(TRIM(K161)," (s)",""))&gt;0,IF(ROUND(U161,3)&gt;=1,ROUND(U161,3)&amp;" L",MAX(1,ROUND(U161*100,0))&amp;" cl"),IF(COUNTIF(G164:L164,SUBSTITUTE(TRIM(K161)," (s)",""))+COUNTIF(G166:L166,SUBSTITUTE(TRIM(K161)," (s)",""))&gt;0,IF(ROUND(U161,3)&gt;=1,ROUND(U161,3)&amp;" Kg",MAX(1,ROUND(U161*1000,0))&amp;" g"),"")))</f>
        <v/>
      </c>
      <c r="X161" s="7958"/>
      <c r="Y161" s="7467" t="s">
        <v>16110</v>
      </c>
      <c r="Z161" s="7468"/>
      <c r="AA161" s="2771"/>
      <c r="AB161" s="2771"/>
      <c r="AC161" s="2771"/>
      <c r="AD161" s="2772"/>
      <c r="AF161" s="2730">
        <v>1</v>
      </c>
    </row>
    <row r="162" spans="2:32" ht="21" customHeight="1">
      <c r="B162" s="6589" t="str">
        <f t="shared" si="17"/>
        <v>►</v>
      </c>
      <c r="C162" s="6662" t="str">
        <f>C147</f>
        <v xml:space="preserve">   Boudin blanc au cognac "très bonne qualité " | charcuterie-BOUDIN-BLANC| Auteur &gt; adaptation du documents de Michel MARIETTE</v>
      </c>
      <c r="D162" s="6663">
        <f>D147</f>
        <v>104.875</v>
      </c>
      <c r="E162" s="6662">
        <f>E147</f>
        <v>0</v>
      </c>
      <c r="F162" s="6664" t="str">
        <f>F147</f>
        <v>Recette mère ► Boudin blanc</v>
      </c>
      <c r="G162" s="6718"/>
      <c r="H162" s="6733"/>
      <c r="I162" s="6720" t="str">
        <f t="shared" si="15"/>
        <v/>
      </c>
      <c r="J162" s="6721"/>
      <c r="K162" s="6722"/>
      <c r="L162" s="6723">
        <v>1</v>
      </c>
      <c r="M162" s="6734" t="str">
        <f>ROWS(M151:M162)&amp;" ►"</f>
        <v>12 ►</v>
      </c>
      <c r="N162" s="6725"/>
      <c r="O162" s="7704" t="s">
        <v>10486</v>
      </c>
      <c r="P162" s="6726">
        <f>IF(R163=0,0,(R162/R163)*Q150*1000)</f>
        <v>0</v>
      </c>
      <c r="Q162" s="6735">
        <f>IF(R163=0, 0, (G162*L162)/(R163*Q150))</f>
        <v>0</v>
      </c>
      <c r="R162" s="6728" cm="1">
        <f t="array" ref="R162">IFERROR(_xlfn.XLOOKUP(UPPER(TRIM(K162)),UPPER(TRIM(G164:V164)),G165:V165,_xlfn.XLOOKUP(UPPER(TRIM(K162)),UPPER(TRIM(G166:V166)),G167:V167,0))*J162*IF(G162&gt;0,G162,1),0)</f>
        <v>0</v>
      </c>
      <c r="S162" s="6739">
        <f>IF(U146&lt;&gt;0,G162*L162*L146,0)</f>
        <v>0</v>
      </c>
      <c r="T162" s="6740">
        <f t="shared" si="16"/>
        <v>0</v>
      </c>
      <c r="U162" s="6731">
        <f>IF(OR(ISBLANK(U146),U146=0),0,R162*L162*L146)</f>
        <v>0</v>
      </c>
      <c r="V162" s="6741" t="str">
        <f>IF(K162="","",IF(COUNTIF(N164:V164,SUBSTITUTE(TRIM(K162)," (s)",""))+COUNTIF(N166:V166,SUBSTITUTE(TRIM(K162)," (s)",""))&gt;0,IF(ROUND(U162,3)&gt;=1,ROUND(U162,3)&amp;" L",MAX(1,ROUND(U162*100,0))&amp;" cl"),IF(COUNTIF(G164:L164,SUBSTITUTE(TRIM(K162)," (s)",""))+COUNTIF(G166:L166,SUBSTITUTE(TRIM(K162)," (s)",""))&gt;0,IF(ROUND(U162,3)&gt;=1,ROUND(U162,3)&amp;" Kg",MAX(1,ROUND(U162*1000,0))&amp;" g"),"")))</f>
        <v/>
      </c>
      <c r="X162" s="7958"/>
      <c r="Y162" s="7469" t="s">
        <v>16111</v>
      </c>
      <c r="Z162" s="7470"/>
      <c r="AA162" s="2771"/>
      <c r="AB162" s="2771"/>
      <c r="AC162" s="2771"/>
      <c r="AD162" s="2772"/>
      <c r="AF162" s="2730">
        <v>1</v>
      </c>
    </row>
    <row r="163" spans="2:32" ht="21" customHeight="1">
      <c r="B163" s="6656" t="s">
        <v>337</v>
      </c>
      <c r="C163" s="6662" t="str">
        <f>C147</f>
        <v xml:space="preserve">   Boudin blanc au cognac "très bonne qualité " | charcuterie-BOUDIN-BLANC| Auteur &gt; adaptation du documents de Michel MARIETTE</v>
      </c>
      <c r="D163" s="6663">
        <f>D147</f>
        <v>104.875</v>
      </c>
      <c r="E163" s="6662">
        <f>E147</f>
        <v>0</v>
      </c>
      <c r="F163" s="6664" t="str">
        <f>F147</f>
        <v>Recette mère ► Boudin blanc</v>
      </c>
      <c r="G163" s="6747" t="s">
        <v>15535</v>
      </c>
      <c r="H163" s="322"/>
      <c r="I163" s="322"/>
      <c r="J163" s="322"/>
      <c r="K163" s="322"/>
      <c r="L163" s="6625"/>
      <c r="M163" s="6625"/>
      <c r="N163" s="6748" t="s">
        <v>15761</v>
      </c>
      <c r="O163" s="6748"/>
      <c r="P163" s="6749"/>
      <c r="Q163" s="6749"/>
      <c r="R163" s="6750">
        <f>SUM(R151:R162)</f>
        <v>104.875</v>
      </c>
      <c r="S163" s="6751"/>
      <c r="T163" s="6751" t="str">
        <f>"Total " &amp; U148&amp;" &gt;"</f>
        <v>Total Col.19 &gt;</v>
      </c>
      <c r="U163" s="6752">
        <f>SUM(U151:U162)</f>
        <v>5.0420673076923093</v>
      </c>
      <c r="V163" s="6753"/>
      <c r="X163" s="7958"/>
      <c r="Y163" s="7469" t="s">
        <v>16112</v>
      </c>
      <c r="Z163" s="7470"/>
      <c r="AA163" s="2771"/>
      <c r="AB163" s="2771"/>
      <c r="AC163" s="2771"/>
      <c r="AD163" s="2772"/>
      <c r="AF163" s="2730">
        <v>1</v>
      </c>
    </row>
    <row r="164" spans="2:32" ht="21" customHeight="1">
      <c r="B164" s="6656" t="s">
        <v>337</v>
      </c>
      <c r="C164" s="6662" t="str">
        <f>C147</f>
        <v xml:space="preserve">   Boudin blanc au cognac "très bonne qualité " | charcuterie-BOUDIN-BLANC| Auteur &gt; adaptation du documents de Michel MARIETTE</v>
      </c>
      <c r="D164" s="6663">
        <f>D147</f>
        <v>104.875</v>
      </c>
      <c r="E164" s="6662">
        <f>E147</f>
        <v>0</v>
      </c>
      <c r="F164" s="6664" t="str">
        <f>F147</f>
        <v>Recette mère ► Boudin blanc</v>
      </c>
      <c r="G164" s="6754" t="s">
        <v>373</v>
      </c>
      <c r="H164" s="6755" t="s">
        <v>1172</v>
      </c>
      <c r="I164" s="6756" t="s">
        <v>15762</v>
      </c>
      <c r="J164" s="6757" t="s">
        <v>15763</v>
      </c>
      <c r="K164" s="6758" t="s">
        <v>15764</v>
      </c>
      <c r="L164" s="6758" t="s">
        <v>15765</v>
      </c>
      <c r="M164" s="6756" t="s">
        <v>15762</v>
      </c>
      <c r="N164" s="6759" t="s">
        <v>34</v>
      </c>
      <c r="O164" s="7711" t="s">
        <v>17890</v>
      </c>
      <c r="P164" s="6759" t="s">
        <v>33</v>
      </c>
      <c r="Q164" s="6759" t="s">
        <v>32</v>
      </c>
      <c r="R164" s="6759" t="s">
        <v>31</v>
      </c>
      <c r="S164" s="6760" t="s">
        <v>15766</v>
      </c>
      <c r="T164" s="6760" t="s">
        <v>15767</v>
      </c>
      <c r="U164" s="6761" t="s">
        <v>15768</v>
      </c>
      <c r="V164" s="6760" t="s">
        <v>15769</v>
      </c>
      <c r="X164" s="7958"/>
      <c r="Y164" s="2813" t="s">
        <v>16113</v>
      </c>
      <c r="Z164" s="7470"/>
      <c r="AA164" s="2771"/>
      <c r="AB164" s="2771"/>
      <c r="AC164" s="2771"/>
      <c r="AD164" s="2772"/>
      <c r="AF164" s="2730">
        <v>1</v>
      </c>
    </row>
    <row r="165" spans="2:32" ht="21" customHeight="1">
      <c r="B165" s="6656" t="s">
        <v>337</v>
      </c>
      <c r="C165" s="6662" t="str">
        <f>C147</f>
        <v xml:space="preserve">   Boudin blanc au cognac "très bonne qualité " | charcuterie-BOUDIN-BLANC| Auteur &gt; adaptation du documents de Michel MARIETTE</v>
      </c>
      <c r="D165" s="6663">
        <f>D147</f>
        <v>104.875</v>
      </c>
      <c r="E165" s="6662">
        <f>E147</f>
        <v>0</v>
      </c>
      <c r="F165" s="6664" t="str">
        <f>F147</f>
        <v>Recette mère ► Boudin blanc</v>
      </c>
      <c r="G165" s="6763">
        <v>1</v>
      </c>
      <c r="H165" s="6764">
        <v>1E-3</v>
      </c>
      <c r="I165" s="6765">
        <v>0</v>
      </c>
      <c r="J165" s="6764">
        <v>0.25</v>
      </c>
      <c r="K165" s="6764">
        <v>0.33332999999999996</v>
      </c>
      <c r="L165" s="6764">
        <v>0.5</v>
      </c>
      <c r="M165" s="6765">
        <v>0</v>
      </c>
      <c r="N165" s="6766">
        <v>1</v>
      </c>
      <c r="O165" s="6766">
        <v>0</v>
      </c>
      <c r="P165" s="6766">
        <v>0.1</v>
      </c>
      <c r="Q165" s="6766">
        <v>0.01</v>
      </c>
      <c r="R165" s="6766">
        <v>1E-3</v>
      </c>
      <c r="S165" s="6766">
        <v>0.5</v>
      </c>
      <c r="T165" s="6766">
        <v>0.25</v>
      </c>
      <c r="U165" s="6766">
        <v>0.33300000000000002</v>
      </c>
      <c r="V165" s="6767">
        <v>0.2</v>
      </c>
      <c r="X165" s="7958"/>
      <c r="Y165" s="7471" t="s">
        <v>16114</v>
      </c>
      <c r="Z165" s="7470"/>
      <c r="AA165" s="2771"/>
      <c r="AB165" s="2771"/>
      <c r="AC165" s="2771"/>
      <c r="AD165" s="2772"/>
      <c r="AF165" s="2730">
        <v>1</v>
      </c>
    </row>
    <row r="166" spans="2:32" ht="21" customHeight="1">
      <c r="B166" s="6656" t="s">
        <v>337</v>
      </c>
      <c r="C166" s="6662" t="str">
        <f>C147</f>
        <v xml:space="preserve">   Boudin blanc au cognac "très bonne qualité " | charcuterie-BOUDIN-BLANC| Auteur &gt; adaptation du documents de Michel MARIETTE</v>
      </c>
      <c r="D166" s="6663">
        <f>D147</f>
        <v>104.875</v>
      </c>
      <c r="E166" s="6662">
        <f>E147</f>
        <v>0</v>
      </c>
      <c r="F166" s="6664" t="str">
        <f>F147</f>
        <v>Recette mère ► Boudin blanc</v>
      </c>
      <c r="G166" s="6769" t="s">
        <v>15774</v>
      </c>
      <c r="H166" s="6769" t="s">
        <v>15775</v>
      </c>
      <c r="I166" s="6756" t="s">
        <v>15762</v>
      </c>
      <c r="J166" s="6769" t="s">
        <v>15776</v>
      </c>
      <c r="K166" s="6769" t="s">
        <v>15777</v>
      </c>
      <c r="L166" s="6769" t="s">
        <v>15778</v>
      </c>
      <c r="M166" s="6756" t="s">
        <v>15762</v>
      </c>
      <c r="N166" s="6770" t="s">
        <v>15779</v>
      </c>
      <c r="O166" s="7711" t="s">
        <v>17890</v>
      </c>
      <c r="P166" s="6771" t="s">
        <v>15780</v>
      </c>
      <c r="Q166" s="6771" t="s">
        <v>15781</v>
      </c>
      <c r="R166" s="6760" t="s">
        <v>15782</v>
      </c>
      <c r="S166" s="6760" t="s">
        <v>15783</v>
      </c>
      <c r="T166" s="6760" t="s">
        <v>15784</v>
      </c>
      <c r="U166" s="6772" t="s">
        <v>15785</v>
      </c>
      <c r="V166" s="6773" t="s">
        <v>15786</v>
      </c>
      <c r="X166" s="7958"/>
      <c r="Y166" s="7469" t="s">
        <v>16115</v>
      </c>
      <c r="Z166" s="7472"/>
      <c r="AA166" s="2771"/>
      <c r="AB166" s="2771"/>
      <c r="AC166" s="2771"/>
      <c r="AD166" s="2772"/>
      <c r="AF166" s="2730">
        <v>1</v>
      </c>
    </row>
    <row r="167" spans="2:32" ht="21" customHeight="1">
      <c r="B167" s="6656" t="s">
        <v>337</v>
      </c>
      <c r="C167" s="6662" t="str">
        <f>C147</f>
        <v xml:space="preserve">   Boudin blanc au cognac "très bonne qualité " | charcuterie-BOUDIN-BLANC| Auteur &gt; adaptation du documents de Michel MARIETTE</v>
      </c>
      <c r="D167" s="6663">
        <f>D147</f>
        <v>104.875</v>
      </c>
      <c r="E167" s="6662">
        <f>E147</f>
        <v>0</v>
      </c>
      <c r="F167" s="6664" t="str">
        <f>F147</f>
        <v>Recette mère ► Boudin blanc</v>
      </c>
      <c r="G167" s="6763">
        <v>2.835E-2</v>
      </c>
      <c r="H167" s="6764">
        <v>0.13</v>
      </c>
      <c r="I167" s="6765">
        <v>0</v>
      </c>
      <c r="J167" s="6764">
        <v>0.2</v>
      </c>
      <c r="K167" s="6764">
        <v>0.23</v>
      </c>
      <c r="L167" s="6764">
        <v>0.22500000000000001</v>
      </c>
      <c r="M167" s="6765">
        <v>0</v>
      </c>
      <c r="N167" s="6766">
        <v>0.35</v>
      </c>
      <c r="O167" s="6766">
        <v>0</v>
      </c>
      <c r="P167" s="6766">
        <v>5.0000000000000001E-3</v>
      </c>
      <c r="Q167" s="6766">
        <v>5.0000000000000001E-3</v>
      </c>
      <c r="R167" s="6766">
        <v>1.4999999999999999E-2</v>
      </c>
      <c r="S167" s="6766">
        <v>0.1</v>
      </c>
      <c r="T167" s="6766">
        <v>0.22500000000000001</v>
      </c>
      <c r="U167" s="6766">
        <v>4.0000000000000001E-3</v>
      </c>
      <c r="V167" s="6774">
        <v>1E-3</v>
      </c>
      <c r="X167" s="2770"/>
      <c r="Y167" s="2771"/>
      <c r="Z167" s="2771"/>
      <c r="AA167" s="2771"/>
      <c r="AB167" s="2771"/>
      <c r="AC167" s="2771"/>
      <c r="AD167" s="2772"/>
      <c r="AF167" s="2730">
        <v>1</v>
      </c>
    </row>
    <row r="168" spans="2:32" ht="21" customHeight="1">
      <c r="B168" s="6656" t="s">
        <v>337</v>
      </c>
      <c r="C168" s="6775" t="str">
        <f t="shared" ref="C168:V168" si="18">SUBSTITUTE(ADDRESS(1,COLUMN(),4),"1","")</f>
        <v>C</v>
      </c>
      <c r="D168" s="6775" t="str">
        <f t="shared" si="18"/>
        <v>D</v>
      </c>
      <c r="E168" s="6775" t="str">
        <f t="shared" si="18"/>
        <v>E</v>
      </c>
      <c r="F168" s="6775" t="str">
        <f t="shared" si="18"/>
        <v>F</v>
      </c>
      <c r="G168" s="6775" t="str">
        <f t="shared" si="18"/>
        <v>G</v>
      </c>
      <c r="H168" s="6775" t="str">
        <f t="shared" si="18"/>
        <v>H</v>
      </c>
      <c r="I168" s="6775" t="str">
        <f t="shared" si="18"/>
        <v>I</v>
      </c>
      <c r="J168" s="6775" t="str">
        <f t="shared" si="18"/>
        <v>J</v>
      </c>
      <c r="K168" s="6775" t="str">
        <f t="shared" si="18"/>
        <v>K</v>
      </c>
      <c r="L168" s="6775" t="str">
        <f t="shared" si="18"/>
        <v>L</v>
      </c>
      <c r="M168" s="6775" t="str">
        <f t="shared" si="18"/>
        <v>M</v>
      </c>
      <c r="N168" s="6775" t="str">
        <f t="shared" si="18"/>
        <v>N</v>
      </c>
      <c r="O168" s="6775"/>
      <c r="P168" s="6775" t="str">
        <f t="shared" si="18"/>
        <v>P</v>
      </c>
      <c r="Q168" s="6775" t="str">
        <f t="shared" si="18"/>
        <v>Q</v>
      </c>
      <c r="R168" s="6775" t="str">
        <f t="shared" si="18"/>
        <v>R</v>
      </c>
      <c r="S168" s="6775" t="str">
        <f t="shared" si="18"/>
        <v>S</v>
      </c>
      <c r="T168" s="6775" t="str">
        <f t="shared" si="18"/>
        <v>T</v>
      </c>
      <c r="U168" s="6775" t="str">
        <f t="shared" si="18"/>
        <v>U</v>
      </c>
      <c r="V168" s="6776" t="str">
        <f t="shared" si="18"/>
        <v>V</v>
      </c>
      <c r="X168" s="2770"/>
      <c r="Y168" s="2771"/>
      <c r="Z168" s="2771"/>
      <c r="AA168" s="2771"/>
      <c r="AB168" s="2771"/>
      <c r="AC168" s="2771"/>
      <c r="AD168" s="2772"/>
      <c r="AF168" s="2730">
        <v>1</v>
      </c>
    </row>
    <row r="169" spans="2:32" ht="21" customHeight="1">
      <c r="B169" s="6656" t="s">
        <v>337</v>
      </c>
      <c r="C169" s="6777">
        <f t="shared" ref="C169:V169" ca="1" si="19">CELL("largeur",C169)</f>
        <v>3</v>
      </c>
      <c r="D169" s="6777">
        <f t="shared" ca="1" si="19"/>
        <v>3</v>
      </c>
      <c r="E169" s="6777">
        <f t="shared" ca="1" si="19"/>
        <v>3</v>
      </c>
      <c r="F169" s="6777">
        <f t="shared" ca="1" si="19"/>
        <v>5</v>
      </c>
      <c r="G169" s="6777">
        <f t="shared" ca="1" si="19"/>
        <v>12</v>
      </c>
      <c r="H169" s="6777">
        <f t="shared" ca="1" si="19"/>
        <v>12</v>
      </c>
      <c r="I169" s="6777">
        <f t="shared" ca="1" si="19"/>
        <v>3</v>
      </c>
      <c r="J169" s="6777">
        <f t="shared" ca="1" si="19"/>
        <v>9</v>
      </c>
      <c r="K169" s="6777">
        <f t="shared" ca="1" si="19"/>
        <v>12</v>
      </c>
      <c r="L169" s="6777">
        <f t="shared" ca="1" si="19"/>
        <v>13</v>
      </c>
      <c r="M169" s="6777">
        <f t="shared" ca="1" si="19"/>
        <v>6</v>
      </c>
      <c r="N169" s="6777">
        <f t="shared" ca="1" si="19"/>
        <v>40</v>
      </c>
      <c r="O169" s="6777"/>
      <c r="P169" s="6777">
        <f t="shared" ca="1" si="19"/>
        <v>10</v>
      </c>
      <c r="Q169" s="6777">
        <f t="shared" ca="1" si="19"/>
        <v>9</v>
      </c>
      <c r="R169" s="6777">
        <f t="shared" ca="1" si="19"/>
        <v>10</v>
      </c>
      <c r="S169" s="6777">
        <f t="shared" ca="1" si="19"/>
        <v>13</v>
      </c>
      <c r="T169" s="6777">
        <f t="shared" ca="1" si="19"/>
        <v>13</v>
      </c>
      <c r="U169" s="6777">
        <f t="shared" ca="1" si="19"/>
        <v>13</v>
      </c>
      <c r="V169" s="6778">
        <f t="shared" ca="1" si="19"/>
        <v>17</v>
      </c>
      <c r="X169" s="2770"/>
      <c r="Y169" s="2771"/>
      <c r="Z169" s="2771"/>
      <c r="AA169" s="2771"/>
      <c r="AB169" s="2771"/>
      <c r="AC169" s="2771"/>
      <c r="AD169" s="2772"/>
      <c r="AF169" s="2730">
        <v>1</v>
      </c>
    </row>
    <row r="170" spans="2:32" ht="21" customHeight="1">
      <c r="B170" s="6779" t="s">
        <v>337</v>
      </c>
      <c r="C170" s="6780" t="str">
        <f>C147</f>
        <v xml:space="preserve">   Boudin blanc au cognac "très bonne qualité " | charcuterie-BOUDIN-BLANC| Auteur &gt; adaptation du documents de Michel MARIETTE</v>
      </c>
      <c r="D170" s="6781">
        <f>D147</f>
        <v>104.875</v>
      </c>
      <c r="E170" s="6782">
        <f>E147</f>
        <v>0</v>
      </c>
      <c r="F170" s="6783" t="str">
        <f>F147</f>
        <v>Recette mère ► Boudin blanc</v>
      </c>
      <c r="G170" s="6784"/>
      <c r="H170" s="6784"/>
      <c r="I170" s="6784"/>
      <c r="J170" s="6784"/>
      <c r="K170" s="6784"/>
      <c r="L170" s="6785" t="s">
        <v>15792</v>
      </c>
      <c r="M170" s="6786" t="s">
        <v>15793</v>
      </c>
      <c r="N170" s="6787"/>
      <c r="O170" s="6787"/>
      <c r="P170" s="6788"/>
      <c r="Q170" s="6788"/>
      <c r="R170" s="6789"/>
      <c r="S170" s="6789"/>
      <c r="T170" s="6790"/>
      <c r="U170" s="6859"/>
      <c r="V170" s="6791" t="s">
        <v>15794</v>
      </c>
      <c r="X170" s="2770"/>
      <c r="Y170" s="2771"/>
      <c r="Z170" s="2771"/>
      <c r="AA170" s="2771"/>
      <c r="AB170" s="2771"/>
      <c r="AC170" s="2771"/>
      <c r="AD170" s="2772"/>
      <c r="AF170" s="2730">
        <v>1</v>
      </c>
    </row>
    <row r="171" spans="2:32" ht="21" customHeight="1">
      <c r="B171" s="6779" t="s">
        <v>337</v>
      </c>
      <c r="C171" s="6793" t="str">
        <f>C147</f>
        <v xml:space="preserve">   Boudin blanc au cognac "très bonne qualité " | charcuterie-BOUDIN-BLANC| Auteur &gt; adaptation du documents de Michel MARIETTE</v>
      </c>
      <c r="D171" s="6793">
        <f>D147</f>
        <v>104.875</v>
      </c>
      <c r="E171" s="6794">
        <f>E147</f>
        <v>0</v>
      </c>
      <c r="F171" s="6795" t="str">
        <f>F147</f>
        <v>Recette mère ► Boudin blanc</v>
      </c>
      <c r="G171" s="3056"/>
      <c r="H171" s="3056"/>
      <c r="I171" s="6796"/>
      <c r="J171" s="6797" t="s">
        <v>15795</v>
      </c>
      <c r="K171" s="6798">
        <f ca="1">SUM(M169:V169)</f>
        <v>131</v>
      </c>
      <c r="L171" s="6799">
        <v>0</v>
      </c>
      <c r="M171" s="6800" t="s">
        <v>16024</v>
      </c>
      <c r="N171" s="6801"/>
      <c r="O171" s="6801"/>
      <c r="P171" s="6801"/>
      <c r="Q171" s="6801"/>
      <c r="R171" s="6801"/>
      <c r="S171" s="6801"/>
      <c r="T171" s="1"/>
      <c r="U171" s="6802" t="s">
        <v>7102</v>
      </c>
      <c r="V171" s="6803" t="s">
        <v>1229</v>
      </c>
      <c r="X171" s="2770"/>
      <c r="Y171" s="2771"/>
      <c r="Z171" s="2771"/>
      <c r="AA171" s="2771"/>
      <c r="AB171" s="2771"/>
      <c r="AC171" s="2771"/>
      <c r="AD171" s="2772"/>
      <c r="AF171" s="2730">
        <v>1</v>
      </c>
    </row>
    <row r="172" spans="2:32" ht="21" customHeight="1">
      <c r="B172" s="6779" t="s">
        <v>337</v>
      </c>
      <c r="C172" s="6793" t="str">
        <f>C147</f>
        <v xml:space="preserve">   Boudin blanc au cognac "très bonne qualité " | charcuterie-BOUDIN-BLANC| Auteur &gt; adaptation du documents de Michel MARIETTE</v>
      </c>
      <c r="D172" s="6793">
        <f>D147</f>
        <v>104.875</v>
      </c>
      <c r="E172" s="6794">
        <f>E147</f>
        <v>0</v>
      </c>
      <c r="F172" s="6795" t="str">
        <f>F147</f>
        <v>Recette mère ► Boudin blanc</v>
      </c>
      <c r="G172" s="6804"/>
      <c r="H172" s="6805" t="s">
        <v>15797</v>
      </c>
      <c r="I172" s="6806">
        <f>ROWS(M172:M172)</f>
        <v>1</v>
      </c>
      <c r="J172" s="6804"/>
      <c r="K172" s="6807" t="str" cm="1">
        <f t="array" ref="K172">SUMPRODUCT(--(M172:T172&lt;&gt;""), LEN(TRIM(SUBSTITUTE(M172:T172, CHAR(160), "")))) &amp; " Car."</f>
        <v>0 Car.</v>
      </c>
      <c r="L172" s="2736" t="str">
        <f>IF(ISBLANK(M172),"",LARGE(L171:L171,1)+1)</f>
        <v/>
      </c>
      <c r="M172" s="6801"/>
      <c r="N172" s="6801"/>
      <c r="O172" s="6801"/>
      <c r="P172" s="6801"/>
      <c r="Q172" s="6801"/>
      <c r="R172" s="6801"/>
      <c r="S172" s="6801"/>
      <c r="T172" s="1"/>
      <c r="U172" s="6808" t="s">
        <v>7104</v>
      </c>
      <c r="V172" s="6803" t="s">
        <v>1229</v>
      </c>
      <c r="X172" s="2770"/>
      <c r="Y172" s="2771"/>
      <c r="Z172" s="2771"/>
      <c r="AA172" s="2771"/>
      <c r="AB172" s="2771"/>
      <c r="AC172" s="2771"/>
      <c r="AD172" s="2772"/>
      <c r="AF172" s="2730">
        <v>1</v>
      </c>
    </row>
    <row r="173" spans="2:32" ht="21" customHeight="1">
      <c r="B173" s="6779" t="s">
        <v>337</v>
      </c>
      <c r="C173" s="6793" t="str">
        <f>C147</f>
        <v xml:space="preserve">   Boudin blanc au cognac "très bonne qualité " | charcuterie-BOUDIN-BLANC| Auteur &gt; adaptation du documents de Michel MARIETTE</v>
      </c>
      <c r="D173" s="6793">
        <f>D147</f>
        <v>104.875</v>
      </c>
      <c r="E173" s="6794">
        <f>E147</f>
        <v>0</v>
      </c>
      <c r="F173" s="6795" t="str">
        <f>F147</f>
        <v>Recette mère ► Boudin blanc</v>
      </c>
      <c r="G173" s="6804"/>
      <c r="H173" s="6804"/>
      <c r="I173" s="6806">
        <f>ROWS(M172:M173)</f>
        <v>2</v>
      </c>
      <c r="J173" s="6804"/>
      <c r="K173" s="6807" t="str" cm="1">
        <f t="array" ref="K173">SUMPRODUCT(--(M173:T173&lt;&gt;""), LEN(TRIM(SUBSTITUTE(M173:T173, CHAR(160), "")))) &amp; " Car."</f>
        <v>124 Car.</v>
      </c>
      <c r="L173" s="2736">
        <f>IF(ISBLANK(M173),"",LARGE(L171:L172,1)+1)</f>
        <v>1</v>
      </c>
      <c r="M173" s="6801" t="s">
        <v>2402</v>
      </c>
      <c r="N173" s="6801"/>
      <c r="O173" s="6801"/>
      <c r="P173" s="6801"/>
      <c r="Q173" s="6801"/>
      <c r="R173" s="6801"/>
      <c r="S173" s="6801"/>
      <c r="T173" s="6801"/>
      <c r="U173" s="6801"/>
      <c r="V173" s="6809"/>
      <c r="X173" s="2770"/>
      <c r="Y173" s="2771"/>
      <c r="Z173" s="2771"/>
      <c r="AA173" s="2771"/>
      <c r="AB173" s="2771"/>
      <c r="AC173" s="2771"/>
      <c r="AD173" s="2772"/>
      <c r="AF173" s="2730">
        <v>1</v>
      </c>
    </row>
    <row r="174" spans="2:32" ht="21" customHeight="1">
      <c r="B174" s="6779" t="s">
        <v>337</v>
      </c>
      <c r="C174" s="6793" t="str">
        <f>C147</f>
        <v xml:space="preserve">   Boudin blanc au cognac "très bonne qualité " | charcuterie-BOUDIN-BLANC| Auteur &gt; adaptation du documents de Michel MARIETTE</v>
      </c>
      <c r="D174" s="6793">
        <f>D147</f>
        <v>104.875</v>
      </c>
      <c r="E174" s="6794">
        <f>E147</f>
        <v>0</v>
      </c>
      <c r="F174" s="6795" t="str">
        <f>F147</f>
        <v>Recette mère ► Boudin blanc</v>
      </c>
      <c r="G174" s="6804"/>
      <c r="H174" s="6804"/>
      <c r="I174" s="6806">
        <f>ROWS(M172:M174)</f>
        <v>3</v>
      </c>
      <c r="J174" s="6804"/>
      <c r="K174" s="6807" t="str" cm="1">
        <f t="array" ref="K174">SUMPRODUCT(--(M174:T174&lt;&gt;""), LEN(TRIM(SUBSTITUTE(M174:T174, CHAR(160), "")))) &amp; " Car."</f>
        <v>99 Car.</v>
      </c>
      <c r="L174" s="2736" t="str">
        <f>IF(ISBLANK(M174),"",LARGE(L171:L173,1)+1)</f>
        <v/>
      </c>
      <c r="M174" s="6801"/>
      <c r="N174" s="6801" t="s">
        <v>2403</v>
      </c>
      <c r="O174" s="6801"/>
      <c r="P174" s="6801"/>
      <c r="Q174" s="6801"/>
      <c r="R174" s="6801"/>
      <c r="S174" s="6801"/>
      <c r="T174" s="6801"/>
      <c r="U174" s="6801"/>
      <c r="V174" s="6809"/>
      <c r="X174" s="2770"/>
      <c r="Y174" s="2771"/>
      <c r="Z174" s="2771"/>
      <c r="AA174" s="2771"/>
      <c r="AB174" s="2771"/>
      <c r="AC174" s="2771"/>
      <c r="AD174" s="2772"/>
      <c r="AF174" s="2730">
        <v>1</v>
      </c>
    </row>
    <row r="175" spans="2:32" ht="21" customHeight="1">
      <c r="B175" s="6779" t="s">
        <v>337</v>
      </c>
      <c r="C175" s="6793" t="str">
        <f>C147</f>
        <v xml:space="preserve">   Boudin blanc au cognac "très bonne qualité " | charcuterie-BOUDIN-BLANC| Auteur &gt; adaptation du documents de Michel MARIETTE</v>
      </c>
      <c r="D175" s="6793">
        <f>D147</f>
        <v>104.875</v>
      </c>
      <c r="E175" s="6794">
        <f>E147</f>
        <v>0</v>
      </c>
      <c r="F175" s="6795" t="str">
        <f>F147</f>
        <v>Recette mère ► Boudin blanc</v>
      </c>
      <c r="G175" s="6804"/>
      <c r="H175" s="6804"/>
      <c r="I175" s="6806">
        <f>ROWS(M172:M175)</f>
        <v>4</v>
      </c>
      <c r="J175" s="6804"/>
      <c r="K175" s="6807" t="str" cm="1">
        <f t="array" ref="K175">SUMPRODUCT(--(M175:T175&lt;&gt;""), LEN(TRIM(SUBSTITUTE(M175:T175, CHAR(160), "")))) &amp; " Car."</f>
        <v>116 Car.</v>
      </c>
      <c r="L175" s="2736">
        <f>IF(ISBLANK(M175),"",LARGE(L171:L174,1)+1)</f>
        <v>2</v>
      </c>
      <c r="M175" s="6801" t="s">
        <v>2404</v>
      </c>
      <c r="N175" s="6810"/>
      <c r="O175" s="6801"/>
      <c r="P175" s="6801"/>
      <c r="Q175" s="6801"/>
      <c r="R175" s="6801"/>
      <c r="S175" s="6801"/>
      <c r="T175" s="6801"/>
      <c r="U175" s="6801"/>
      <c r="V175" s="6809"/>
      <c r="X175" s="2770"/>
      <c r="Y175" s="2771"/>
      <c r="Z175" s="2771"/>
      <c r="AA175" s="2771"/>
      <c r="AB175" s="2771"/>
      <c r="AC175" s="2771"/>
      <c r="AD175" s="2772"/>
      <c r="AF175" s="2730">
        <v>1</v>
      </c>
    </row>
    <row r="176" spans="2:32" ht="21" customHeight="1">
      <c r="B176" s="6779" t="s">
        <v>337</v>
      </c>
      <c r="C176" s="6793" t="str">
        <f>C147</f>
        <v xml:space="preserve">   Boudin blanc au cognac "très bonne qualité " | charcuterie-BOUDIN-BLANC| Auteur &gt; adaptation du documents de Michel MARIETTE</v>
      </c>
      <c r="D176" s="6793">
        <f>D147</f>
        <v>104.875</v>
      </c>
      <c r="E176" s="6794">
        <f>E147</f>
        <v>0</v>
      </c>
      <c r="F176" s="6795" t="str">
        <f>F147</f>
        <v>Recette mère ► Boudin blanc</v>
      </c>
      <c r="G176" s="6804"/>
      <c r="H176" s="6804"/>
      <c r="I176" s="6806">
        <f>ROWS(M172:M176)</f>
        <v>5</v>
      </c>
      <c r="J176" s="6804"/>
      <c r="K176" s="6807" t="str" cm="1">
        <f t="array" ref="K176">SUMPRODUCT(--(M176:T176&lt;&gt;""), LEN(TRIM(SUBSTITUTE(M176:T176, CHAR(160), "")))) &amp; " Car."</f>
        <v>119 Car.</v>
      </c>
      <c r="L176" s="2736">
        <f>IF(ISBLANK(M176),"",LARGE(L171:L175,1)+1)</f>
        <v>3</v>
      </c>
      <c r="M176" s="6801" t="s">
        <v>2444</v>
      </c>
      <c r="N176" s="6801"/>
      <c r="O176" s="6801"/>
      <c r="P176" s="6801"/>
      <c r="Q176" s="6801"/>
      <c r="R176" s="6801"/>
      <c r="S176" s="6801"/>
      <c r="T176" s="6801"/>
      <c r="U176" s="6801"/>
      <c r="V176" s="6809"/>
      <c r="X176" s="2770"/>
      <c r="Y176" s="2771"/>
      <c r="Z176" s="2771"/>
      <c r="AA176" s="2771"/>
      <c r="AB176" s="2771"/>
      <c r="AC176" s="2771"/>
      <c r="AD176" s="2772"/>
      <c r="AF176" s="2730">
        <v>1</v>
      </c>
    </row>
    <row r="177" spans="2:32" ht="21" customHeight="1">
      <c r="B177" s="6779" t="s">
        <v>337</v>
      </c>
      <c r="C177" s="6793" t="str">
        <f>C147</f>
        <v xml:space="preserve">   Boudin blanc au cognac "très bonne qualité " | charcuterie-BOUDIN-BLANC| Auteur &gt; adaptation du documents de Michel MARIETTE</v>
      </c>
      <c r="D177" s="6793">
        <f>D147</f>
        <v>104.875</v>
      </c>
      <c r="E177" s="6794">
        <f>E147</f>
        <v>0</v>
      </c>
      <c r="F177" s="6795" t="str">
        <f>F147</f>
        <v>Recette mère ► Boudin blanc</v>
      </c>
      <c r="G177" s="6804"/>
      <c r="H177" s="6804"/>
      <c r="I177" s="6806">
        <f>ROWS(M172:M177)</f>
        <v>6</v>
      </c>
      <c r="J177" s="6804"/>
      <c r="K177" s="6807" t="str" cm="1">
        <f t="array" ref="K177">SUMPRODUCT(--(M177:T177&lt;&gt;""), LEN(TRIM(SUBSTITUTE(M177:T177, CHAR(160), "")))) &amp; " Car."</f>
        <v>79 Car.</v>
      </c>
      <c r="L177" s="2736">
        <f>IF(ISBLANK(M177),"",LARGE(L171:L176,1)+1)</f>
        <v>4</v>
      </c>
      <c r="M177" s="6801" t="s">
        <v>2434</v>
      </c>
      <c r="N177" s="6810"/>
      <c r="O177" s="6801"/>
      <c r="P177" s="6801"/>
      <c r="Q177" s="6801"/>
      <c r="R177" s="6801"/>
      <c r="S177" s="6801"/>
      <c r="T177" s="6801"/>
      <c r="U177" s="6801"/>
      <c r="V177" s="6809"/>
      <c r="X177" s="2770"/>
      <c r="Y177" s="2771"/>
      <c r="Z177" s="2771"/>
      <c r="AA177" s="2771"/>
      <c r="AB177" s="2771"/>
      <c r="AC177" s="2771"/>
      <c r="AD177" s="2772"/>
      <c r="AF177" s="2730">
        <v>1</v>
      </c>
    </row>
    <row r="178" spans="2:32" ht="21" customHeight="1">
      <c r="B178" s="6779" t="s">
        <v>337</v>
      </c>
      <c r="C178" s="6793" t="str">
        <f>C147</f>
        <v xml:space="preserve">   Boudin blanc au cognac "très bonne qualité " | charcuterie-BOUDIN-BLANC| Auteur &gt; adaptation du documents de Michel MARIETTE</v>
      </c>
      <c r="D178" s="6793">
        <f>D147</f>
        <v>104.875</v>
      </c>
      <c r="E178" s="6794">
        <f>E147</f>
        <v>0</v>
      </c>
      <c r="F178" s="6795" t="str">
        <f>F147</f>
        <v>Recette mère ► Boudin blanc</v>
      </c>
      <c r="G178" s="6804"/>
      <c r="H178" s="6804"/>
      <c r="I178" s="6806">
        <f>ROWS(M172:M178)</f>
        <v>7</v>
      </c>
      <c r="J178" s="6804"/>
      <c r="K178" s="6807" t="str" cm="1">
        <f t="array" ref="K178">SUMPRODUCT(--(M178:T178&lt;&gt;""), LEN(TRIM(SUBSTITUTE(M178:T178, CHAR(160), "")))) &amp; " Car."</f>
        <v>73 Car.</v>
      </c>
      <c r="L178" s="2736">
        <f>IF(ISBLANK(M178),"",LARGE(L171:L177,1)+1)</f>
        <v>5</v>
      </c>
      <c r="M178" s="6801" t="s">
        <v>16022</v>
      </c>
      <c r="N178" s="6801"/>
      <c r="O178" s="6801"/>
      <c r="P178" s="6801"/>
      <c r="Q178" s="6801"/>
      <c r="R178" s="6801"/>
      <c r="S178" s="6801"/>
      <c r="T178" s="6801"/>
      <c r="U178" s="6801"/>
      <c r="V178" s="6809"/>
      <c r="X178" s="2770"/>
      <c r="Y178" s="2771"/>
      <c r="Z178" s="2771"/>
      <c r="AA178" s="2771"/>
      <c r="AB178" s="2771"/>
      <c r="AC178" s="2771"/>
      <c r="AD178" s="2772"/>
      <c r="AF178" s="2730">
        <v>1</v>
      </c>
    </row>
    <row r="179" spans="2:32" ht="21" customHeight="1">
      <c r="B179" s="6779" t="s">
        <v>337</v>
      </c>
      <c r="C179" s="6793" t="str">
        <f>C147</f>
        <v xml:space="preserve">   Boudin blanc au cognac "très bonne qualité " | charcuterie-BOUDIN-BLANC| Auteur &gt; adaptation du documents de Michel MARIETTE</v>
      </c>
      <c r="D179" s="6793">
        <f>D147</f>
        <v>104.875</v>
      </c>
      <c r="E179" s="6794">
        <f>E147</f>
        <v>0</v>
      </c>
      <c r="F179" s="6795" t="str">
        <f>F147</f>
        <v>Recette mère ► Boudin blanc</v>
      </c>
      <c r="G179" s="6804"/>
      <c r="H179" s="6804"/>
      <c r="I179" s="6806">
        <f>ROWS(M172:M179)</f>
        <v>8</v>
      </c>
      <c r="J179" s="6804"/>
      <c r="K179" s="6807" t="str" cm="1">
        <f t="array" ref="K179">SUMPRODUCT(--(M179:T179&lt;&gt;""), LEN(TRIM(SUBSTITUTE(M179:T179, CHAR(160), "")))) &amp; " Car."</f>
        <v>9 Car.</v>
      </c>
      <c r="L179" s="2736">
        <f>IF(ISBLANK(M179),"",LARGE(L171:L178,1)+1)</f>
        <v>6</v>
      </c>
      <c r="M179" s="6801" t="s">
        <v>2409</v>
      </c>
      <c r="N179" s="6801"/>
      <c r="O179" s="6801"/>
      <c r="P179" s="6801"/>
      <c r="Q179" s="6801"/>
      <c r="R179" s="6801"/>
      <c r="S179" s="6801"/>
      <c r="T179" s="6801"/>
      <c r="U179" s="6801"/>
      <c r="V179" s="6809"/>
      <c r="X179" s="2770"/>
      <c r="Y179" s="7473" t="s">
        <v>15742</v>
      </c>
      <c r="Z179" s="2818" t="s">
        <v>15754</v>
      </c>
      <c r="AA179" s="2771"/>
      <c r="AB179" s="2771"/>
      <c r="AC179" s="2771"/>
      <c r="AD179" s="2772"/>
      <c r="AF179" s="2730">
        <v>1</v>
      </c>
    </row>
    <row r="180" spans="2:32" ht="21" customHeight="1">
      <c r="B180" s="6779" t="s">
        <v>337</v>
      </c>
      <c r="C180" s="6793" t="str">
        <f>C147</f>
        <v xml:space="preserve">   Boudin blanc au cognac "très bonne qualité " | charcuterie-BOUDIN-BLANC| Auteur &gt; adaptation du documents de Michel MARIETTE</v>
      </c>
      <c r="D180" s="6793">
        <f>D147</f>
        <v>104.875</v>
      </c>
      <c r="E180" s="6794">
        <f>E147</f>
        <v>0</v>
      </c>
      <c r="F180" s="6795" t="str">
        <f>F147</f>
        <v>Recette mère ► Boudin blanc</v>
      </c>
      <c r="G180" s="6804"/>
      <c r="H180" s="6804"/>
      <c r="I180" s="6806">
        <f>ROWS(M172:M180)</f>
        <v>9</v>
      </c>
      <c r="J180" s="6804"/>
      <c r="K180" s="6807" t="str" cm="1">
        <f t="array" ref="K180">SUMPRODUCT(--(M180:T180&lt;&gt;""), LEN(TRIM(SUBSTITUTE(M180:T180, CHAR(160), "")))) &amp; " Car."</f>
        <v>10 Car.</v>
      </c>
      <c r="L180" s="2736" t="str">
        <f>IF(ISBLANK(M180),"",LARGE(L171:L179,1)+1)</f>
        <v/>
      </c>
      <c r="M180" s="6801"/>
      <c r="N180" s="7136" t="s">
        <v>2410</v>
      </c>
      <c r="O180" s="7136"/>
      <c r="P180" s="6801" t="s">
        <v>2412</v>
      </c>
      <c r="Q180" s="6801"/>
      <c r="R180" s="6801"/>
      <c r="S180" s="6801"/>
      <c r="T180" s="6801"/>
      <c r="U180" s="6801"/>
      <c r="V180" s="6809"/>
      <c r="X180" s="2770"/>
      <c r="Y180" s="2818"/>
      <c r="Z180" s="2818"/>
      <c r="AA180" s="2771"/>
      <c r="AB180" s="2771"/>
      <c r="AC180" s="2771"/>
      <c r="AD180" s="2772"/>
      <c r="AF180" s="2730">
        <v>1</v>
      </c>
    </row>
    <row r="181" spans="2:32" ht="21" customHeight="1">
      <c r="B181" s="6779" t="s">
        <v>337</v>
      </c>
      <c r="C181" s="6793" t="str">
        <f>C147</f>
        <v xml:space="preserve">   Boudin blanc au cognac "très bonne qualité " | charcuterie-BOUDIN-BLANC| Auteur &gt; adaptation du documents de Michel MARIETTE</v>
      </c>
      <c r="D181" s="6793">
        <f>D147</f>
        <v>104.875</v>
      </c>
      <c r="E181" s="6794">
        <f>E147</f>
        <v>0</v>
      </c>
      <c r="F181" s="6795" t="str">
        <f>F147</f>
        <v>Recette mère ► Boudin blanc</v>
      </c>
      <c r="G181" s="6804"/>
      <c r="H181" s="6804"/>
      <c r="I181" s="6806">
        <f>ROWS(M172:M181)</f>
        <v>10</v>
      </c>
      <c r="J181" s="6804"/>
      <c r="K181" s="6807" t="str" cm="1">
        <f t="array" ref="K181">SUMPRODUCT(--(M181:T181&lt;&gt;""), LEN(TRIM(SUBSTITUTE(M181:T181, CHAR(160), "")))) &amp; " Car."</f>
        <v>10 Car.</v>
      </c>
      <c r="L181" s="2736" t="str">
        <f>IF(ISBLANK(M181),"",LARGE(L171:L180,1)+1)</f>
        <v/>
      </c>
      <c r="M181" s="6801"/>
      <c r="N181" s="7136" t="s">
        <v>2411</v>
      </c>
      <c r="O181" s="7136"/>
      <c r="P181" s="6801" t="s">
        <v>2413</v>
      </c>
      <c r="Q181" s="6801"/>
      <c r="R181" s="6801"/>
      <c r="S181" s="6801"/>
      <c r="T181" s="6801"/>
      <c r="U181" s="6801"/>
      <c r="V181" s="6809"/>
      <c r="X181" s="2770"/>
      <c r="Y181" s="7474" t="s">
        <v>16116</v>
      </c>
      <c r="Z181" s="7475" t="s">
        <v>16117</v>
      </c>
      <c r="AA181" s="2771"/>
      <c r="AB181" s="2771"/>
      <c r="AC181" s="2771"/>
      <c r="AD181" s="2772"/>
      <c r="AF181" s="2730">
        <v>1</v>
      </c>
    </row>
    <row r="182" spans="2:32" ht="21" customHeight="1">
      <c r="B182" s="6779" t="s">
        <v>337</v>
      </c>
      <c r="C182" s="6793" t="str">
        <f>C147</f>
        <v xml:space="preserve">   Boudin blanc au cognac "très bonne qualité " | charcuterie-BOUDIN-BLANC| Auteur &gt; adaptation du documents de Michel MARIETTE</v>
      </c>
      <c r="D182" s="6811">
        <f>D147</f>
        <v>104.875</v>
      </c>
      <c r="E182" s="6794">
        <f>E147</f>
        <v>0</v>
      </c>
      <c r="F182" s="6795" t="str">
        <f>F147</f>
        <v>Recette mère ► Boudin blanc</v>
      </c>
      <c r="G182" s="6804"/>
      <c r="H182" s="6804"/>
      <c r="I182" s="6806">
        <f>ROWS(M172:M182)</f>
        <v>11</v>
      </c>
      <c r="J182" s="6804"/>
      <c r="K182" s="6807" t="str" cm="1">
        <f t="array" ref="K182">SUMPRODUCT(--(M182:T182&lt;&gt;""), LEN(TRIM(SUBSTITUTE(M182:T182, CHAR(160), "")))) &amp; " Car."</f>
        <v>45 Car.</v>
      </c>
      <c r="L182" s="2736">
        <f>IF(ISBLANK(M182),"",LARGE(L171:L181,1)+1)</f>
        <v>7</v>
      </c>
      <c r="M182" s="6801" t="s">
        <v>16023</v>
      </c>
      <c r="N182" s="6801"/>
      <c r="O182" s="6801"/>
      <c r="P182" s="6801"/>
      <c r="Q182" s="6801"/>
      <c r="R182" s="6801"/>
      <c r="S182" s="6801"/>
      <c r="T182" s="6801"/>
      <c r="U182" s="6801"/>
      <c r="V182" s="6809"/>
      <c r="X182" s="2770"/>
      <c r="Y182" s="7476"/>
      <c r="Z182" s="7475" t="s">
        <v>16118</v>
      </c>
      <c r="AA182" s="2771"/>
      <c r="AB182" s="2771"/>
      <c r="AC182" s="2771"/>
      <c r="AD182" s="2772"/>
      <c r="AF182" s="2730">
        <v>1</v>
      </c>
    </row>
    <row r="183" spans="2:32" ht="21" customHeight="1">
      <c r="B183" s="6779" t="s">
        <v>337</v>
      </c>
      <c r="C183" s="6793" t="str">
        <f>C147</f>
        <v xml:space="preserve">   Boudin blanc au cognac "très bonne qualité " | charcuterie-BOUDIN-BLANC| Auteur &gt; adaptation du documents de Michel MARIETTE</v>
      </c>
      <c r="D183" s="6793">
        <f>D147</f>
        <v>104.875</v>
      </c>
      <c r="E183" s="6794">
        <f>E147</f>
        <v>0</v>
      </c>
      <c r="F183" s="6795" t="str">
        <f>F147</f>
        <v>Recette mère ► Boudin blanc</v>
      </c>
      <c r="G183" s="6804"/>
      <c r="H183" s="6804"/>
      <c r="I183" s="6806">
        <f>ROWS(M172:M183)</f>
        <v>12</v>
      </c>
      <c r="J183" s="6804"/>
      <c r="K183" s="6807" t="str" cm="1">
        <f t="array" ref="K183">SUMPRODUCT(--(M183:T183&lt;&gt;""), LEN(TRIM(SUBSTITUTE(M183:T183, CHAR(160), "")))) &amp; " Car."</f>
        <v>0 Car.</v>
      </c>
      <c r="L183" s="2736" t="str">
        <f>IF(ISBLANK(M183),"",LARGE(L171:L182,1)+1)</f>
        <v/>
      </c>
      <c r="M183" s="6801"/>
      <c r="N183" s="6801"/>
      <c r="O183" s="6801"/>
      <c r="P183" s="6801"/>
      <c r="Q183" s="6801"/>
      <c r="R183" s="6801"/>
      <c r="S183" s="6801"/>
      <c r="T183" s="6801"/>
      <c r="U183" s="6801"/>
      <c r="V183" s="6809"/>
      <c r="X183" s="2770"/>
      <c r="Y183" s="7475"/>
      <c r="Z183" s="2818"/>
      <c r="AA183" s="2771"/>
      <c r="AB183" s="2771"/>
      <c r="AC183" s="2771"/>
      <c r="AD183" s="2772"/>
      <c r="AF183" s="2730">
        <v>1</v>
      </c>
    </row>
    <row r="184" spans="2:32" ht="21" customHeight="1">
      <c r="B184" s="6779" t="s">
        <v>337</v>
      </c>
      <c r="C184" s="6793" t="str">
        <f>C147</f>
        <v xml:space="preserve">   Boudin blanc au cognac "très bonne qualité " | charcuterie-BOUDIN-BLANC| Auteur &gt; adaptation du documents de Michel MARIETTE</v>
      </c>
      <c r="D184" s="6793">
        <f>D147</f>
        <v>104.875</v>
      </c>
      <c r="E184" s="6794">
        <f>E147</f>
        <v>0</v>
      </c>
      <c r="F184" s="6795" t="str">
        <f>F147</f>
        <v>Recette mère ► Boudin blanc</v>
      </c>
      <c r="G184" s="6804"/>
      <c r="H184" s="6804"/>
      <c r="I184" s="6806">
        <f>ROWS(M172:M184)</f>
        <v>13</v>
      </c>
      <c r="J184" s="6804"/>
      <c r="K184" s="6807" t="str" cm="1">
        <f t="array" ref="K184">SUMPRODUCT(--(M184:T184&lt;&gt;""), LEN(TRIM(SUBSTITUTE(M184:T184, CHAR(160), "")))) &amp; " Car."</f>
        <v>28 Car.</v>
      </c>
      <c r="L184" s="2736" t="str">
        <f>IF(ISBLANK(M184),"",LARGE(L171:L183,1)+1)</f>
        <v/>
      </c>
      <c r="M184" s="6801"/>
      <c r="N184" s="6801" t="s">
        <v>2415</v>
      </c>
      <c r="O184" s="6801"/>
      <c r="P184" s="6801"/>
      <c r="Q184" s="6801"/>
      <c r="R184" s="6801"/>
      <c r="S184" s="6801"/>
      <c r="T184" s="6801"/>
      <c r="U184" s="6801"/>
      <c r="V184" s="6809"/>
      <c r="X184" s="2792"/>
      <c r="Y184" s="2793"/>
      <c r="Z184" s="2794"/>
      <c r="AA184" s="2793"/>
      <c r="AB184" s="2793"/>
      <c r="AC184" s="2793"/>
      <c r="AD184" s="2795"/>
      <c r="AF184" s="2730">
        <v>1</v>
      </c>
    </row>
    <row r="185" spans="2:32" ht="21" customHeight="1" thickBot="1">
      <c r="B185" s="6779" t="s">
        <v>337</v>
      </c>
      <c r="C185" s="6793" t="str">
        <f>C147</f>
        <v xml:space="preserve">   Boudin blanc au cognac "très bonne qualité " | charcuterie-BOUDIN-BLANC| Auteur &gt; adaptation du documents de Michel MARIETTE</v>
      </c>
      <c r="D185" s="6793">
        <f>D147</f>
        <v>104.875</v>
      </c>
      <c r="E185" s="6794">
        <f>E147</f>
        <v>0</v>
      </c>
      <c r="F185" s="6795" t="str">
        <f>F147</f>
        <v>Recette mère ► Boudin blanc</v>
      </c>
      <c r="G185" s="6804"/>
      <c r="H185" s="6804"/>
      <c r="I185" s="6806">
        <f>ROWS(M172:M185)</f>
        <v>14</v>
      </c>
      <c r="J185" s="6804"/>
      <c r="K185" s="6807" t="str" cm="1">
        <f t="array" ref="K185">SUMPRODUCT(--(M185:T185&lt;&gt;""), LEN(TRIM(SUBSTITUTE(M185:T185, CHAR(160), "")))) &amp; " Car."</f>
        <v>7 Car.</v>
      </c>
      <c r="L185" s="2736" t="str">
        <f>IF(ISBLANK(M185),"",LARGE(L171:L184,1)+1)</f>
        <v/>
      </c>
      <c r="M185" s="6801"/>
      <c r="N185" s="6801" t="s">
        <v>2416</v>
      </c>
      <c r="O185" s="6801"/>
      <c r="P185" s="6801"/>
      <c r="Q185" s="6801"/>
      <c r="R185" s="6801"/>
      <c r="S185" s="6801"/>
      <c r="T185" s="6801"/>
      <c r="U185" s="6801"/>
      <c r="V185" s="6809"/>
      <c r="X185" s="7477"/>
      <c r="Y185" s="7478"/>
      <c r="Z185" s="7479"/>
      <c r="AA185" s="7478"/>
      <c r="AB185" s="7478"/>
      <c r="AC185" s="7478"/>
      <c r="AD185" s="7480"/>
      <c r="AF185" s="2730">
        <v>1</v>
      </c>
    </row>
    <row r="186" spans="2:32" ht="21" customHeight="1" thickTop="1">
      <c r="B186" s="6779" t="s">
        <v>337</v>
      </c>
      <c r="C186" s="6793" t="str">
        <f>C147</f>
        <v xml:space="preserve">   Boudin blanc au cognac "très bonne qualité " | charcuterie-BOUDIN-BLANC| Auteur &gt; adaptation du documents de Michel MARIETTE</v>
      </c>
      <c r="D186" s="6793">
        <f>D147</f>
        <v>104.875</v>
      </c>
      <c r="E186" s="6794">
        <f>E147</f>
        <v>0</v>
      </c>
      <c r="F186" s="6795" t="str">
        <f>F147</f>
        <v>Recette mère ► Boudin blanc</v>
      </c>
      <c r="G186" s="6804"/>
      <c r="H186" s="6804"/>
      <c r="I186" s="6806">
        <f>ROWS(M172:M186)</f>
        <v>15</v>
      </c>
      <c r="J186" s="6804"/>
      <c r="K186" s="6807" t="str" cm="1">
        <f t="array" ref="K186">SUMPRODUCT(--(M186:T186&lt;&gt;""), LEN(TRIM(SUBSTITUTE(M186:T186, CHAR(160), "")))) &amp; " Car."</f>
        <v>74 Car.</v>
      </c>
      <c r="L186" s="2736" t="str">
        <f>IF(ISBLANK(M186),"",LARGE(L171:L185,1)+1)</f>
        <v/>
      </c>
      <c r="M186" s="6801"/>
      <c r="N186" s="6801" t="s">
        <v>2418</v>
      </c>
      <c r="O186" s="6801"/>
      <c r="P186" s="6801"/>
      <c r="Q186" s="6801"/>
      <c r="R186" s="6801"/>
      <c r="S186" s="6801"/>
      <c r="T186" s="6801"/>
      <c r="U186" s="6801"/>
      <c r="V186" s="6809"/>
      <c r="X186" s="2884"/>
      <c r="Y186" s="7481" t="s">
        <v>59</v>
      </c>
      <c r="Z186" s="7482" t="s">
        <v>61</v>
      </c>
      <c r="AA186" s="12"/>
      <c r="AB186" s="1"/>
      <c r="AC186" s="12"/>
      <c r="AD186" s="2781"/>
      <c r="AF186" s="2730">
        <v>1</v>
      </c>
    </row>
    <row r="187" spans="2:32" ht="21" customHeight="1">
      <c r="B187" s="6779" t="s">
        <v>337</v>
      </c>
      <c r="C187" s="6793" t="str">
        <f>C147</f>
        <v xml:space="preserve">   Boudin blanc au cognac "très bonne qualité " | charcuterie-BOUDIN-BLANC| Auteur &gt; adaptation du documents de Michel MARIETTE</v>
      </c>
      <c r="D187" s="6793">
        <f>D147</f>
        <v>104.875</v>
      </c>
      <c r="E187" s="6794">
        <f>E147</f>
        <v>0</v>
      </c>
      <c r="F187" s="6795" t="str">
        <f>F147</f>
        <v>Recette mère ► Boudin blanc</v>
      </c>
      <c r="G187" s="6804"/>
      <c r="H187" s="6804"/>
      <c r="I187" s="6806">
        <f>ROWS(M172:M187)</f>
        <v>16</v>
      </c>
      <c r="J187" s="6804"/>
      <c r="K187" s="6807" t="str" cm="1">
        <f t="array" ref="K187">SUMPRODUCT(--(M187:T187&lt;&gt;""), LEN(TRIM(SUBSTITUTE(M187:T187, CHAR(160), "")))) &amp; " Car."</f>
        <v>103 Car.</v>
      </c>
      <c r="L187" s="2736" t="str">
        <f>IF(ISBLANK(M187),"",LARGE(L171:L186,1)+1)</f>
        <v/>
      </c>
      <c r="M187" s="6801"/>
      <c r="N187" s="6801" t="s">
        <v>2419</v>
      </c>
      <c r="O187" s="6801"/>
      <c r="P187" s="6801"/>
      <c r="Q187" s="6801"/>
      <c r="R187" s="6801"/>
      <c r="S187" s="6801"/>
      <c r="T187" s="6801"/>
      <c r="U187" s="6801"/>
      <c r="V187" s="6809"/>
      <c r="X187" s="2884"/>
      <c r="Y187" s="7483" t="s">
        <v>15760</v>
      </c>
      <c r="Z187" s="6717">
        <v>1</v>
      </c>
      <c r="AA187" s="12"/>
      <c r="AB187" s="1"/>
      <c r="AC187" s="12"/>
      <c r="AD187" s="2781"/>
      <c r="AF187" s="2730">
        <v>1</v>
      </c>
    </row>
    <row r="188" spans="2:32" ht="21" customHeight="1">
      <c r="B188" s="6779" t="s">
        <v>337</v>
      </c>
      <c r="C188" s="6793" t="str">
        <f>C147</f>
        <v xml:space="preserve">   Boudin blanc au cognac "très bonne qualité " | charcuterie-BOUDIN-BLANC| Auteur &gt; adaptation du documents de Michel MARIETTE</v>
      </c>
      <c r="D188" s="6793">
        <f>D147</f>
        <v>104.875</v>
      </c>
      <c r="E188" s="6794">
        <f>E147</f>
        <v>0</v>
      </c>
      <c r="F188" s="6795" t="str">
        <f>F147</f>
        <v>Recette mère ► Boudin blanc</v>
      </c>
      <c r="G188" s="6804"/>
      <c r="H188" s="6804"/>
      <c r="I188" s="6806">
        <f>ROWS(M172:M188)</f>
        <v>17</v>
      </c>
      <c r="J188" s="6804"/>
      <c r="K188" s="6807" t="str" cm="1">
        <f t="array" ref="K188">SUMPRODUCT(--(M188:T188&lt;&gt;""), LEN(TRIM(SUBSTITUTE(M188:T188, CHAR(160), "")))) &amp; " Car."</f>
        <v>80 Car.</v>
      </c>
      <c r="L188" s="2736"/>
      <c r="M188" s="6801"/>
      <c r="N188" s="6801" t="s">
        <v>2420</v>
      </c>
      <c r="O188" s="6801"/>
      <c r="P188" s="6801"/>
      <c r="Q188" s="6801"/>
      <c r="R188" s="6801"/>
      <c r="S188" s="6801"/>
      <c r="T188" s="6801"/>
      <c r="U188" s="6801"/>
      <c r="V188" s="6809"/>
      <c r="X188" s="2884"/>
      <c r="Y188" s="7484" t="s">
        <v>16119</v>
      </c>
      <c r="Z188" s="1"/>
      <c r="AA188" s="1"/>
      <c r="AB188" s="1"/>
      <c r="AC188" s="12"/>
      <c r="AD188" s="2781"/>
      <c r="AF188" s="2730">
        <v>1</v>
      </c>
    </row>
    <row r="189" spans="2:32" ht="21" customHeight="1">
      <c r="B189" s="6779" t="s">
        <v>337</v>
      </c>
      <c r="C189" s="6793" t="str">
        <f>C147</f>
        <v xml:space="preserve">   Boudin blanc au cognac "très bonne qualité " | charcuterie-BOUDIN-BLANC| Auteur &gt; adaptation du documents de Michel MARIETTE</v>
      </c>
      <c r="D189" s="6793">
        <f>D147</f>
        <v>104.875</v>
      </c>
      <c r="E189" s="6794">
        <f>E147</f>
        <v>0</v>
      </c>
      <c r="F189" s="6795" t="str">
        <f>F147</f>
        <v>Recette mère ► Boudin blanc</v>
      </c>
      <c r="G189" s="6804"/>
      <c r="H189" s="6804"/>
      <c r="I189" s="6806">
        <f>ROWS(M172:M189)</f>
        <v>18</v>
      </c>
      <c r="J189" s="6804"/>
      <c r="K189" s="6807" t="str" cm="1">
        <f t="array" ref="K189">SUMPRODUCT(--(M189:T189&lt;&gt;""), LEN(TRIM(SUBSTITUTE(M189:T189, CHAR(160), "")))) &amp; " Car."</f>
        <v>0 Car.</v>
      </c>
      <c r="L189" s="2736"/>
      <c r="M189" s="6801"/>
      <c r="N189" s="6801"/>
      <c r="O189" s="6801"/>
      <c r="P189" s="6801"/>
      <c r="Q189" s="6801"/>
      <c r="R189" s="6801"/>
      <c r="S189" s="6801"/>
      <c r="T189" s="6801"/>
      <c r="U189" s="6801"/>
      <c r="V189" s="6809"/>
      <c r="X189" s="2884"/>
      <c r="Y189" s="7484" t="s">
        <v>16120</v>
      </c>
      <c r="Z189" s="1"/>
      <c r="AA189" s="1"/>
      <c r="AB189" s="1"/>
      <c r="AC189" s="12"/>
      <c r="AD189" s="2781"/>
      <c r="AF189" s="2730">
        <v>1</v>
      </c>
    </row>
    <row r="190" spans="2:32" ht="21" customHeight="1">
      <c r="B190" s="6589" t="str">
        <f t="shared" ref="B190:B196" si="20">IF(M190&lt;&gt;"","A","►")</f>
        <v>►</v>
      </c>
      <c r="C190" s="6793" t="str">
        <f>C147</f>
        <v xml:space="preserve">   Boudin blanc au cognac "très bonne qualité " | charcuterie-BOUDIN-BLANC| Auteur &gt; adaptation du documents de Michel MARIETTE</v>
      </c>
      <c r="D190" s="6793">
        <f>D147</f>
        <v>104.875</v>
      </c>
      <c r="E190" s="6794">
        <f>E147</f>
        <v>0</v>
      </c>
      <c r="F190" s="6795" t="str">
        <f>F147</f>
        <v>Recette mère ► Boudin blanc</v>
      </c>
      <c r="G190" s="6804"/>
      <c r="H190" s="6804"/>
      <c r="I190" s="6806">
        <f>ROWS(M172:M190)</f>
        <v>19</v>
      </c>
      <c r="J190" s="6804"/>
      <c r="K190" s="6807" t="str" cm="1">
        <f t="array" ref="K190">SUMPRODUCT(--(M190:T190&lt;&gt;""), LEN(TRIM(SUBSTITUTE(M190:T190, CHAR(160), "")))) &amp; " Car."</f>
        <v>17 Car.</v>
      </c>
      <c r="L190" s="2736" t="str">
        <f>IF(ISBLANK(M190),"",LARGE(L171:L189,1)+1)</f>
        <v/>
      </c>
      <c r="M190" s="6801"/>
      <c r="N190" s="6801" t="s">
        <v>2421</v>
      </c>
      <c r="O190" s="6801"/>
      <c r="P190" s="6801"/>
      <c r="Q190" s="6801"/>
      <c r="R190" s="6801"/>
      <c r="S190" s="6801"/>
      <c r="T190" s="6801"/>
      <c r="U190" s="6801"/>
      <c r="V190" s="6809"/>
      <c r="X190" s="2884"/>
      <c r="Y190" s="7484" t="s">
        <v>16121</v>
      </c>
      <c r="Z190" s="1"/>
      <c r="AA190" s="1"/>
      <c r="AB190" s="1"/>
      <c r="AC190" s="12"/>
      <c r="AD190" s="2781"/>
      <c r="AF190" s="2730">
        <v>1</v>
      </c>
    </row>
    <row r="191" spans="2:32" ht="21" customHeight="1">
      <c r="B191" s="6589" t="str">
        <f t="shared" si="20"/>
        <v>►</v>
      </c>
      <c r="C191" s="6793" t="str">
        <f>C147</f>
        <v xml:space="preserve">   Boudin blanc au cognac "très bonne qualité " | charcuterie-BOUDIN-BLANC| Auteur &gt; adaptation du documents de Michel MARIETTE</v>
      </c>
      <c r="D191" s="6793">
        <f>D147</f>
        <v>104.875</v>
      </c>
      <c r="E191" s="6794">
        <f>E147</f>
        <v>0</v>
      </c>
      <c r="F191" s="6795" t="str">
        <f>F147</f>
        <v>Recette mère ► Boudin blanc</v>
      </c>
      <c r="G191" s="6804"/>
      <c r="H191" s="6804"/>
      <c r="I191" s="6806">
        <f>ROWS(M172:M191)</f>
        <v>20</v>
      </c>
      <c r="J191" s="6804"/>
      <c r="K191" s="6807" t="str" cm="1">
        <f t="array" ref="K191">SUMPRODUCT(--(M191:T191&lt;&gt;""), LEN(TRIM(SUBSTITUTE(M191:T191, CHAR(160), "")))) &amp; " Car."</f>
        <v>80 Car.</v>
      </c>
      <c r="L191" s="2736" t="str">
        <f>IF(ISBLANK(M191),"",LARGE(L171:L190,1)+1)</f>
        <v/>
      </c>
      <c r="M191" s="6801"/>
      <c r="N191" s="6801" t="s">
        <v>2422</v>
      </c>
      <c r="O191" s="6801"/>
      <c r="P191" s="6801"/>
      <c r="Q191" s="6801"/>
      <c r="R191" s="6801"/>
      <c r="S191" s="6801"/>
      <c r="T191" s="6801"/>
      <c r="U191" s="6801"/>
      <c r="V191" s="6809"/>
      <c r="X191" s="2884"/>
      <c r="Y191" s="7484" t="s">
        <v>16122</v>
      </c>
      <c r="Z191" s="1"/>
      <c r="AA191" s="1"/>
      <c r="AB191" s="1"/>
      <c r="AC191" s="12"/>
      <c r="AD191" s="2781"/>
      <c r="AF191" s="2730">
        <v>1</v>
      </c>
    </row>
    <row r="192" spans="2:32" ht="21" customHeight="1">
      <c r="B192" s="6589" t="str">
        <f t="shared" si="20"/>
        <v>►</v>
      </c>
      <c r="C192" s="6793" t="str">
        <f>C147</f>
        <v xml:space="preserve">   Boudin blanc au cognac "très bonne qualité " | charcuterie-BOUDIN-BLANC| Auteur &gt; adaptation du documents de Michel MARIETTE</v>
      </c>
      <c r="D192" s="6793">
        <f>D147</f>
        <v>104.875</v>
      </c>
      <c r="E192" s="6794">
        <f>E147</f>
        <v>0</v>
      </c>
      <c r="F192" s="6795" t="str">
        <f>F147</f>
        <v>Recette mère ► Boudin blanc</v>
      </c>
      <c r="G192" s="6804"/>
      <c r="H192" s="6804"/>
      <c r="I192" s="6806">
        <f>ROWS(M172:M192)</f>
        <v>21</v>
      </c>
      <c r="J192" s="6804"/>
      <c r="K192" s="6807" t="str" cm="1">
        <f t="array" ref="K192">SUMPRODUCT(--(M192:T192&lt;&gt;""), LEN(TRIM(SUBSTITUTE(M192:T192, CHAR(160), "")))) &amp; " Car."</f>
        <v>93 Car.</v>
      </c>
      <c r="L192" s="2736" t="str">
        <f>IF(ISBLANK(M192),"",LARGE(L171:L191,1)+1)</f>
        <v/>
      </c>
      <c r="M192" s="6801"/>
      <c r="N192" s="6801" t="s">
        <v>2423</v>
      </c>
      <c r="O192" s="6801"/>
      <c r="P192" s="6801"/>
      <c r="Q192" s="6801"/>
      <c r="R192" s="6801"/>
      <c r="S192" s="6801"/>
      <c r="T192" s="6801"/>
      <c r="U192" s="6801"/>
      <c r="V192" s="6809"/>
      <c r="X192" s="2884"/>
      <c r="Y192" s="7484"/>
      <c r="Z192" s="1"/>
      <c r="AA192" s="1"/>
      <c r="AB192" s="1"/>
      <c r="AC192" s="12"/>
      <c r="AD192" s="2781"/>
      <c r="AF192" s="2730">
        <v>1</v>
      </c>
    </row>
    <row r="193" spans="2:32" ht="21" customHeight="1">
      <c r="B193" s="6589" t="str">
        <f t="shared" si="20"/>
        <v>►</v>
      </c>
      <c r="C193" s="6793" t="str">
        <f>C147</f>
        <v xml:space="preserve">   Boudin blanc au cognac "très bonne qualité " | charcuterie-BOUDIN-BLANC| Auteur &gt; adaptation du documents de Michel MARIETTE</v>
      </c>
      <c r="D193" s="6793">
        <f>D147</f>
        <v>104.875</v>
      </c>
      <c r="E193" s="6794">
        <f>E147</f>
        <v>0</v>
      </c>
      <c r="F193" s="6795" t="str">
        <f>F147</f>
        <v>Recette mère ► Boudin blanc</v>
      </c>
      <c r="G193" s="6804"/>
      <c r="H193" s="6804"/>
      <c r="I193" s="6806">
        <f>ROWS(M172:M193)</f>
        <v>22</v>
      </c>
      <c r="J193" s="6804"/>
      <c r="K193" s="6807" t="str" cm="1">
        <f t="array" ref="K193">SUMPRODUCT(--(M193:T193&lt;&gt;""), LEN(TRIM(SUBSTITUTE(M193:T193, CHAR(160), "")))) &amp; " Car."</f>
        <v>64 Car.</v>
      </c>
      <c r="L193" s="2736" t="str">
        <f>IF(ISBLANK(M193),"",LARGE(L171:L192,1)+1)</f>
        <v/>
      </c>
      <c r="M193" s="6801"/>
      <c r="N193" s="6801" t="s">
        <v>2424</v>
      </c>
      <c r="O193" s="6801"/>
      <c r="P193" s="6801"/>
      <c r="Q193" s="6801"/>
      <c r="R193" s="6801"/>
      <c r="S193" s="6801"/>
      <c r="T193" s="6801"/>
      <c r="U193" s="6801"/>
      <c r="V193" s="6809"/>
      <c r="X193" s="2792"/>
      <c r="Y193" s="2793"/>
      <c r="Z193" s="2794"/>
      <c r="AA193" s="2793"/>
      <c r="AB193" s="2793"/>
      <c r="AC193" s="2793"/>
      <c r="AD193" s="2795"/>
      <c r="AF193" s="2730">
        <v>1</v>
      </c>
    </row>
    <row r="194" spans="2:32" ht="21" customHeight="1">
      <c r="B194" s="6589" t="str">
        <f t="shared" si="20"/>
        <v>►</v>
      </c>
      <c r="C194" s="6793" t="str">
        <f>C147</f>
        <v xml:space="preserve">   Boudin blanc au cognac "très bonne qualité " | charcuterie-BOUDIN-BLANC| Auteur &gt; adaptation du documents de Michel MARIETTE</v>
      </c>
      <c r="D194" s="6793">
        <f>D147</f>
        <v>104.875</v>
      </c>
      <c r="E194" s="6794">
        <f>E147</f>
        <v>0</v>
      </c>
      <c r="F194" s="6795" t="str">
        <f>F147</f>
        <v>Recette mère ► Boudin blanc</v>
      </c>
      <c r="G194" s="6804"/>
      <c r="H194" s="6804"/>
      <c r="I194" s="6806">
        <f>ROWS(M172:M194)</f>
        <v>23</v>
      </c>
      <c r="J194" s="6804"/>
      <c r="K194" s="6807" t="str" cm="1">
        <f t="array" ref="K194">SUMPRODUCT(--(M194:T194&lt;&gt;""), LEN(TRIM(SUBSTITUTE(M194:T194, CHAR(160), "")))) &amp; " Car."</f>
        <v>0 Car.</v>
      </c>
      <c r="L194" s="2736" t="str">
        <f>IF(ISBLANK(M194),"",LARGE(L171:L193,1)+1)</f>
        <v/>
      </c>
      <c r="M194" s="6801"/>
      <c r="N194" s="6801"/>
      <c r="O194" s="6801"/>
      <c r="P194" s="6801"/>
      <c r="Q194" s="6801"/>
      <c r="R194" s="6801"/>
      <c r="S194" s="6801"/>
      <c r="T194" s="6801"/>
      <c r="U194" s="6801"/>
      <c r="V194" s="6809"/>
      <c r="X194" s="7477"/>
      <c r="Y194" s="7478"/>
      <c r="Z194" s="7479"/>
      <c r="AA194" s="7478"/>
      <c r="AB194" s="7478"/>
      <c r="AC194" s="7478"/>
      <c r="AD194" s="7480"/>
      <c r="AF194" s="2730">
        <v>1</v>
      </c>
    </row>
    <row r="195" spans="2:32" ht="21" customHeight="1">
      <c r="B195" s="6589" t="str">
        <f t="shared" si="20"/>
        <v>►</v>
      </c>
      <c r="C195" s="6793" t="str">
        <f>C147</f>
        <v xml:space="preserve">   Boudin blanc au cognac "très bonne qualité " | charcuterie-BOUDIN-BLANC| Auteur &gt; adaptation du documents de Michel MARIETTE</v>
      </c>
      <c r="D195" s="6793">
        <f>D147</f>
        <v>104.875</v>
      </c>
      <c r="E195" s="6794">
        <f>E147</f>
        <v>0</v>
      </c>
      <c r="F195" s="6795" t="str">
        <f>F147</f>
        <v>Recette mère ► Boudin blanc</v>
      </c>
      <c r="G195" s="6804"/>
      <c r="H195" s="6804"/>
      <c r="I195" s="6806">
        <f>ROWS(M172:M195)</f>
        <v>24</v>
      </c>
      <c r="J195" s="6804"/>
      <c r="K195" s="6807" t="str" cm="1">
        <f t="array" ref="K195">SUMPRODUCT(--(M195:T195&lt;&gt;""), LEN(TRIM(SUBSTITUTE(M195:T195, CHAR(160), "")))) &amp; " Car."</f>
        <v>62 Car.</v>
      </c>
      <c r="L195" s="6860"/>
      <c r="M195" s="6801"/>
      <c r="N195" s="6824" t="s">
        <v>2686</v>
      </c>
      <c r="O195" s="6824"/>
      <c r="P195" s="744" t="s">
        <v>15376</v>
      </c>
      <c r="Q195" s="744"/>
      <c r="R195" s="744"/>
      <c r="S195" s="6801"/>
      <c r="T195" s="6801"/>
      <c r="U195" s="6801"/>
      <c r="V195" s="6809"/>
      <c r="X195" s="7485"/>
      <c r="Y195" s="7486" t="s">
        <v>16123</v>
      </c>
      <c r="Z195" s="7487"/>
      <c r="AA195" s="3197"/>
      <c r="AB195" s="1"/>
      <c r="AC195" s="12"/>
      <c r="AD195" s="2781"/>
      <c r="AF195" s="2730">
        <v>1</v>
      </c>
    </row>
    <row r="196" spans="2:32" ht="21" customHeight="1">
      <c r="B196" s="6589" t="str">
        <f t="shared" si="20"/>
        <v>►</v>
      </c>
      <c r="C196" s="6793" t="str">
        <f>C147</f>
        <v xml:space="preserve">   Boudin blanc au cognac "très bonne qualité " | charcuterie-BOUDIN-BLANC| Auteur &gt; adaptation du documents de Michel MARIETTE</v>
      </c>
      <c r="D196" s="6793">
        <f>D147</f>
        <v>104.875</v>
      </c>
      <c r="E196" s="6794">
        <f>E147</f>
        <v>0</v>
      </c>
      <c r="F196" s="6795" t="str">
        <f>F147</f>
        <v>Recette mère ► Boudin blanc</v>
      </c>
      <c r="G196" s="6804"/>
      <c r="H196" s="6804"/>
      <c r="I196" s="6806">
        <f>ROWS(M172:M196)</f>
        <v>25</v>
      </c>
      <c r="J196" s="6804"/>
      <c r="K196" s="6807" t="str" cm="1">
        <f t="array" ref="K196">SUMPRODUCT(--(M196:T196&lt;&gt;""), LEN(TRIM(SUBSTITUTE(M196:T196, CHAR(160), "")))) &amp; " Car."</f>
        <v>53 Car.</v>
      </c>
      <c r="L196" s="6861"/>
      <c r="M196" s="6801"/>
      <c r="N196" s="6824" t="s">
        <v>2686</v>
      </c>
      <c r="O196" s="6824"/>
      <c r="P196" s="744" t="s">
        <v>15378</v>
      </c>
      <c r="Q196" s="744"/>
      <c r="R196" s="744"/>
      <c r="S196" s="6801"/>
      <c r="T196" s="6801"/>
      <c r="U196" s="6801"/>
      <c r="V196" s="6809"/>
      <c r="X196" s="7485"/>
      <c r="Y196" s="7488" t="s">
        <v>15730</v>
      </c>
      <c r="Z196" s="7487"/>
      <c r="AA196" s="3197"/>
      <c r="AB196" s="1"/>
      <c r="AC196" s="12"/>
      <c r="AD196" s="2781"/>
      <c r="AF196" s="2730">
        <v>1</v>
      </c>
    </row>
    <row r="197" spans="2:32" ht="21" customHeight="1">
      <c r="B197" s="6779" t="s">
        <v>337</v>
      </c>
      <c r="C197" s="6793" t="str">
        <f>C147</f>
        <v xml:space="preserve">   Boudin blanc au cognac "très bonne qualité " | charcuterie-BOUDIN-BLANC| Auteur &gt; adaptation du documents de Michel MARIETTE</v>
      </c>
      <c r="D197" s="6793">
        <f>D147</f>
        <v>104.875</v>
      </c>
      <c r="E197" s="6794">
        <f>E147</f>
        <v>0</v>
      </c>
      <c r="F197" s="6795" t="str">
        <f>F147</f>
        <v>Recette mère ► Boudin blanc</v>
      </c>
      <c r="G197" s="6804"/>
      <c r="H197" s="6804"/>
      <c r="I197" s="6806">
        <f>ROWS(M172:M197)</f>
        <v>26</v>
      </c>
      <c r="J197" s="6804"/>
      <c r="K197" s="6807" t="str" cm="1">
        <f t="array" ref="K197">SUMPRODUCT(--(M197:T197&lt;&gt;""), LEN(TRIM(SUBSTITUTE(M197:T197, CHAR(160), "")))) &amp; " Car."</f>
        <v>0 Car.</v>
      </c>
      <c r="L197" s="2736" t="str">
        <f>IF(ISBLANK(M197),"",LARGE(L171:L196,1)+1)</f>
        <v/>
      </c>
      <c r="M197" s="6801"/>
      <c r="N197" s="6801"/>
      <c r="O197" s="6801"/>
      <c r="P197" s="6801"/>
      <c r="Q197" s="6801"/>
      <c r="R197" s="6801"/>
      <c r="S197" s="6801"/>
      <c r="T197" s="6801"/>
      <c r="U197" s="6801"/>
      <c r="V197" s="6809"/>
      <c r="X197" s="7485"/>
      <c r="Y197" s="7489">
        <v>1</v>
      </c>
      <c r="Z197" s="7490" t="s">
        <v>16124</v>
      </c>
      <c r="AA197" s="3197"/>
      <c r="AB197" s="1"/>
      <c r="AC197" s="12"/>
      <c r="AD197" s="2781"/>
      <c r="AF197" s="2730">
        <v>1</v>
      </c>
    </row>
    <row r="198" spans="2:32" ht="21" customHeight="1">
      <c r="B198" s="6779" t="s">
        <v>337</v>
      </c>
      <c r="C198" s="6793" t="str">
        <f>C147</f>
        <v xml:space="preserve">   Boudin blanc au cognac "très bonne qualité " | charcuterie-BOUDIN-BLANC| Auteur &gt; adaptation du documents de Michel MARIETTE</v>
      </c>
      <c r="D198" s="6793">
        <f>D147</f>
        <v>104.875</v>
      </c>
      <c r="E198" s="6794">
        <f>E147</f>
        <v>0</v>
      </c>
      <c r="F198" s="6795" t="str">
        <f>F147</f>
        <v>Recette mère ► Boudin blanc</v>
      </c>
      <c r="G198" s="6804"/>
      <c r="H198" s="6804"/>
      <c r="I198" s="6806">
        <f>ROWS(M172:M198)</f>
        <v>27</v>
      </c>
      <c r="J198" s="6804"/>
      <c r="K198" s="6807" t="str" cm="1">
        <f t="array" ref="K198">SUMPRODUCT(--(M198:T198&lt;&gt;""), LEN(TRIM(SUBSTITUTE(M198:T198, CHAR(160), "")))) &amp; " Car."</f>
        <v>0 Car.</v>
      </c>
      <c r="L198" s="2736" t="str">
        <f>IF(ISBLANK(M198),"",LARGE(L171:L197,1)+1)</f>
        <v/>
      </c>
      <c r="M198" s="6801"/>
      <c r="N198" s="6801"/>
      <c r="O198" s="6801"/>
      <c r="P198" s="6801"/>
      <c r="Q198" s="6801"/>
      <c r="R198" s="6801"/>
      <c r="S198" s="6801"/>
      <c r="T198" s="6801"/>
      <c r="U198" s="6801"/>
      <c r="V198" s="6809"/>
      <c r="X198" s="7485"/>
      <c r="Y198" s="7489">
        <v>3</v>
      </c>
      <c r="Z198" s="7490" t="s">
        <v>16125</v>
      </c>
      <c r="AA198" s="3197"/>
      <c r="AB198" s="1"/>
      <c r="AC198" s="12"/>
      <c r="AD198" s="2781"/>
      <c r="AF198" s="2730">
        <v>1</v>
      </c>
    </row>
    <row r="199" spans="2:32" ht="21" customHeight="1" thickBot="1">
      <c r="B199" s="6779" t="s">
        <v>337</v>
      </c>
      <c r="C199" s="6793" t="str">
        <f>C147</f>
        <v xml:space="preserve">   Boudin blanc au cognac "très bonne qualité " | charcuterie-BOUDIN-BLANC| Auteur &gt; adaptation du documents de Michel MARIETTE</v>
      </c>
      <c r="D199" s="6793">
        <f>D147</f>
        <v>104.875</v>
      </c>
      <c r="E199" s="6794">
        <f>E147</f>
        <v>0</v>
      </c>
      <c r="F199" s="6795" t="str">
        <f>F147</f>
        <v>Recette mère ► Boudin blanc</v>
      </c>
      <c r="G199" s="6812"/>
      <c r="H199" s="6813" t="s">
        <v>7</v>
      </c>
      <c r="I199" s="6814" t="s">
        <v>15798</v>
      </c>
      <c r="J199" s="2840"/>
      <c r="K199" s="2840"/>
      <c r="L199" s="2840"/>
      <c r="M199" s="2840"/>
      <c r="N199" s="2840"/>
      <c r="O199" s="2840"/>
      <c r="P199" s="2840"/>
      <c r="Q199" s="2840"/>
      <c r="R199" s="2840"/>
      <c r="S199" s="2840"/>
      <c r="T199" s="2840"/>
      <c r="U199" s="2840"/>
      <c r="V199" s="6815"/>
      <c r="X199" s="7491"/>
      <c r="Y199" s="7489">
        <v>1</v>
      </c>
      <c r="Z199" s="7490" t="s">
        <v>16126</v>
      </c>
      <c r="AA199" s="3197"/>
      <c r="AB199" s="1"/>
      <c r="AC199" s="12"/>
      <c r="AD199" s="2781"/>
      <c r="AF199" s="2730">
        <v>1</v>
      </c>
    </row>
    <row r="200" spans="2:32" ht="21" customHeight="1">
      <c r="B200" s="6779" t="s">
        <v>337</v>
      </c>
      <c r="C200" s="6793" t="str">
        <f>C147</f>
        <v xml:space="preserve">   Boudin blanc au cognac "très bonne qualité " | charcuterie-BOUDIN-BLANC| Auteur &gt; adaptation du documents de Michel MARIETTE</v>
      </c>
      <c r="D200" s="6793">
        <f>D147</f>
        <v>104.875</v>
      </c>
      <c r="E200" s="6794">
        <f>E147</f>
        <v>0</v>
      </c>
      <c r="F200" s="6795" t="str">
        <f>F147</f>
        <v>Recette mère ► Boudin blanc</v>
      </c>
      <c r="G200" s="6816"/>
      <c r="H200" s="6817"/>
      <c r="I200" s="6817"/>
      <c r="J200" s="6817"/>
      <c r="K200" s="6817"/>
      <c r="L200" s="6817"/>
      <c r="M200" s="6817"/>
      <c r="N200" s="6818" t="s">
        <v>7099</v>
      </c>
      <c r="O200" s="6818"/>
      <c r="P200" s="6819"/>
      <c r="Q200" s="6819"/>
      <c r="R200" s="6819"/>
      <c r="S200" s="6819"/>
      <c r="T200" s="6819"/>
      <c r="U200" s="6819"/>
      <c r="V200" s="6820"/>
      <c r="X200" s="2884"/>
      <c r="Y200" s="7484" t="s">
        <v>16127</v>
      </c>
      <c r="Z200" s="6631"/>
      <c r="AA200" s="6631"/>
      <c r="AB200" s="6631"/>
      <c r="AC200" s="6631"/>
      <c r="AD200" s="7492"/>
      <c r="AF200" s="2730">
        <v>1</v>
      </c>
    </row>
    <row r="201" spans="2:32" ht="21" customHeight="1" thickBot="1">
      <c r="B201" s="6779" t="s">
        <v>337</v>
      </c>
      <c r="C201" s="6793" t="str">
        <f>C147</f>
        <v xml:space="preserve">   Boudin blanc au cognac "très bonne qualité " | charcuterie-BOUDIN-BLANC| Auteur &gt; adaptation du documents de Michel MARIETTE</v>
      </c>
      <c r="D201" s="6793">
        <f>D147</f>
        <v>104.875</v>
      </c>
      <c r="E201" s="6794">
        <f>E147</f>
        <v>0</v>
      </c>
      <c r="F201" s="6795" t="str">
        <f>F147</f>
        <v>Recette mère ► Boudin blanc</v>
      </c>
      <c r="G201" s="6821"/>
      <c r="H201" s="6822"/>
      <c r="I201" s="6823"/>
      <c r="J201" s="6862" t="s">
        <v>15795</v>
      </c>
      <c r="K201" s="6798">
        <f ca="1">K171</f>
        <v>131</v>
      </c>
      <c r="L201" s="6824" t="s">
        <v>7100</v>
      </c>
      <c r="M201" s="7291" t="s">
        <v>1280</v>
      </c>
      <c r="N201" s="6825"/>
      <c r="O201" s="6825"/>
      <c r="P201" s="6825"/>
      <c r="Q201" s="2834"/>
      <c r="R201" s="2834"/>
      <c r="S201" s="2834"/>
      <c r="T201" s="6826" t="str">
        <f>IF(M202="","",(LEN(TRIM(SUBSTITUTE(M202,CHAR(160)," ")))-LEN(SUBSTITUTE(TRIM(SUBSTITUTE(M202,CHAR(160)," "))," ",""))+1)&amp;" mot"&amp;IF((LEN(TRIM(SUBSTITUTE(M202,CHAR(160)," ")))-LEN(SUBSTITUTE(TRIM(SUBSTITUTE(M202,CHAR(160)," "))," ",""))+1)&gt;1,"s",""))</f>
        <v>17 mots</v>
      </c>
      <c r="U201" s="6827" t="str">
        <f>IF(M202="","",LEN(TRIM(SUBSTITUTE(M202,CHAR(160),""))))&amp;" Car."</f>
        <v>123 Car.</v>
      </c>
      <c r="V201" s="6828" t="s">
        <v>15799</v>
      </c>
      <c r="X201" s="2884"/>
      <c r="Y201" s="7493" t="s">
        <v>16128</v>
      </c>
      <c r="Z201" s="7493"/>
      <c r="AA201" s="7493"/>
      <c r="AB201" s="7493"/>
      <c r="AC201" s="7493"/>
      <c r="AD201" s="7494"/>
      <c r="AF201" s="2730">
        <v>1</v>
      </c>
    </row>
    <row r="202" spans="2:32" ht="21" customHeight="1" thickBot="1">
      <c r="B202" s="6829" t="s">
        <v>337</v>
      </c>
      <c r="C202" s="6830" t="str">
        <f>C147</f>
        <v xml:space="preserve">   Boudin blanc au cognac "très bonne qualité " | charcuterie-BOUDIN-BLANC| Auteur &gt; adaptation du documents de Michel MARIETTE</v>
      </c>
      <c r="D202" s="6830">
        <f>D147</f>
        <v>104.875</v>
      </c>
      <c r="E202" s="6831">
        <f>E147</f>
        <v>0</v>
      </c>
      <c r="F202" s="6832" t="str">
        <f>F147</f>
        <v>Recette mère ► Boudin blanc</v>
      </c>
      <c r="G202" s="6833"/>
      <c r="H202" s="6834"/>
      <c r="I202" s="6835"/>
      <c r="J202" s="6836"/>
      <c r="K202" s="6837"/>
      <c r="L202" s="6837" t="s">
        <v>15800</v>
      </c>
      <c r="M202" s="6838" t="s">
        <v>15801</v>
      </c>
      <c r="N202" s="6839"/>
      <c r="O202" s="6839"/>
      <c r="P202" s="6840"/>
      <c r="Q202" s="6840"/>
      <c r="R202" s="6840"/>
      <c r="S202" s="6840"/>
      <c r="T202" s="6840"/>
      <c r="U202" s="6840"/>
      <c r="V202" s="6841"/>
      <c r="X202" s="2884"/>
      <c r="Y202" s="7489">
        <v>10</v>
      </c>
      <c r="Z202" s="7490" t="s">
        <v>16129</v>
      </c>
      <c r="AA202" s="1"/>
      <c r="AB202" s="1"/>
      <c r="AC202" s="12"/>
      <c r="AD202" s="2781"/>
      <c r="AF202" s="2730">
        <v>1</v>
      </c>
    </row>
    <row r="203" spans="2:32" ht="21" customHeight="1" thickBot="1">
      <c r="B203" s="6842" t="s">
        <v>337</v>
      </c>
      <c r="C203" s="6843"/>
      <c r="D203" s="6843"/>
      <c r="E203" s="6843"/>
      <c r="F203" s="6844"/>
      <c r="G203" s="6845" t="s">
        <v>7</v>
      </c>
      <c r="H203" s="6846" t="str">
        <f ca="1">CELL("nomfichier")</f>
        <v>D:\Données\1.UPRT\0-UPRT.fait\1-UPRT.FR-SITE-WEB\ff-fiches-fabrications\ff.fiches.fabrication.2023\UPRT.23.aout\[ff-20-CHARCUTERIE-michel-Mariette.BOUDIN.BLANC_-1.xlsx]Exemples Michel Mariette</v>
      </c>
      <c r="I203" s="6847"/>
      <c r="J203" s="6847"/>
      <c r="K203" s="6847"/>
      <c r="L203" s="6847"/>
      <c r="M203" s="6847"/>
      <c r="N203" s="6847"/>
      <c r="O203" s="6847"/>
      <c r="P203" s="6847"/>
      <c r="Q203" s="6847"/>
      <c r="R203" s="6847"/>
      <c r="S203" s="6847"/>
      <c r="T203" s="6847"/>
      <c r="U203" s="6847"/>
      <c r="V203" s="6848"/>
      <c r="X203" s="2884"/>
      <c r="Y203" s="7489">
        <v>5</v>
      </c>
      <c r="Z203" s="7490" t="s">
        <v>16130</v>
      </c>
      <c r="AA203" s="1"/>
      <c r="AB203" s="1"/>
      <c r="AC203" s="12"/>
      <c r="AD203" s="2781"/>
      <c r="AF203" s="2730">
        <v>1</v>
      </c>
    </row>
    <row r="204" spans="2:32" ht="21" customHeight="1" thickBot="1">
      <c r="B204" s="6849" t="s">
        <v>337</v>
      </c>
      <c r="C204" s="6850" t="s">
        <v>337</v>
      </c>
      <c r="D204" s="6850" t="s">
        <v>337</v>
      </c>
      <c r="E204" s="6850" t="s">
        <v>337</v>
      </c>
      <c r="F204" s="6850" t="s">
        <v>337</v>
      </c>
      <c r="G204" s="6851" t="s">
        <v>15802</v>
      </c>
      <c r="H204" s="6852"/>
      <c r="I204" s="6853"/>
      <c r="J204" s="6854"/>
      <c r="K204" s="6855"/>
      <c r="L204" s="6856"/>
      <c r="M204" s="6856"/>
      <c r="N204" s="6854"/>
      <c r="O204" s="6854"/>
      <c r="P204" s="6854"/>
      <c r="Q204" s="6852"/>
      <c r="R204" s="6852"/>
      <c r="S204" s="6852"/>
      <c r="T204" s="6852"/>
      <c r="U204" s="6852"/>
      <c r="V204" s="6857" t="s">
        <v>2371</v>
      </c>
      <c r="X204" s="2884"/>
      <c r="Y204" s="7489">
        <v>8</v>
      </c>
      <c r="Z204" s="7490" t="s">
        <v>16131</v>
      </c>
      <c r="AA204" s="1"/>
      <c r="AB204" s="1"/>
      <c r="AC204" s="12"/>
      <c r="AD204" s="2781"/>
      <c r="AF204" s="2730">
        <v>1</v>
      </c>
    </row>
    <row r="205" spans="2:32" ht="21" customHeight="1">
      <c r="B205" s="6649"/>
      <c r="C205" s="6649"/>
      <c r="D205" s="6649"/>
      <c r="E205" s="6649"/>
      <c r="F205" s="6649"/>
      <c r="G205" s="6649"/>
      <c r="H205" s="6649"/>
      <c r="I205" s="6649"/>
      <c r="J205" s="6649"/>
      <c r="K205" s="6864" t="s">
        <v>15803</v>
      </c>
      <c r="L205" s="6865" t="s">
        <v>15804</v>
      </c>
      <c r="M205" s="6865"/>
      <c r="N205"/>
      <c r="O205"/>
      <c r="P205"/>
      <c r="R205" s="6865" t="s">
        <v>15805</v>
      </c>
      <c r="X205" s="2884"/>
      <c r="Y205" s="7489">
        <v>1.5</v>
      </c>
      <c r="Z205" s="7490" t="s">
        <v>16132</v>
      </c>
      <c r="AA205" s="1"/>
      <c r="AB205" s="1"/>
      <c r="AC205" s="12"/>
      <c r="AD205" s="2781"/>
      <c r="AF205" s="2730">
        <v>1</v>
      </c>
    </row>
    <row r="206" spans="2:32" ht="21" customHeight="1">
      <c r="B206" s="6649"/>
      <c r="C206" s="6649"/>
      <c r="D206" s="6649"/>
      <c r="E206" s="6649"/>
      <c r="F206" s="6649"/>
      <c r="G206" s="6649"/>
      <c r="H206" s="6649"/>
      <c r="I206" s="6649"/>
      <c r="J206" s="6649"/>
      <c r="K206" s="6649"/>
      <c r="L206" s="6863" t="s">
        <v>15792</v>
      </c>
      <c r="M206" s="6792" t="s">
        <v>15793</v>
      </c>
      <c r="N206" s="6867"/>
      <c r="O206" s="6867"/>
      <c r="P206" s="6868"/>
      <c r="Q206" s="6868"/>
      <c r="R206" s="6869"/>
      <c r="S206" s="2309"/>
      <c r="T206" s="2309"/>
      <c r="U206" s="2850" t="s">
        <v>7102</v>
      </c>
      <c r="V206" s="6870" t="s">
        <v>1229</v>
      </c>
      <c r="X206" s="2884"/>
      <c r="Y206" s="7489">
        <v>3</v>
      </c>
      <c r="Z206" s="7490" t="s">
        <v>16133</v>
      </c>
      <c r="AA206" s="1"/>
      <c r="AB206" s="1"/>
      <c r="AC206" s="12"/>
      <c r="AD206" s="2781"/>
      <c r="AF206" s="2730">
        <v>1</v>
      </c>
    </row>
    <row r="207" spans="2:32" ht="21" customHeight="1">
      <c r="B207" s="6649"/>
      <c r="C207" s="6649"/>
      <c r="D207" s="6649"/>
      <c r="E207" s="6649"/>
      <c r="F207" s="6649"/>
      <c r="G207" s="6649"/>
      <c r="H207" s="6649"/>
      <c r="I207" s="6649"/>
      <c r="J207" s="6649"/>
      <c r="K207" s="6649"/>
      <c r="L207" s="6872">
        <v>0</v>
      </c>
      <c r="M207" s="6800" t="s">
        <v>15806</v>
      </c>
      <c r="N207" s="6858"/>
      <c r="O207" s="6858"/>
      <c r="P207" s="6858"/>
      <c r="Q207" s="6858"/>
      <c r="R207" s="1"/>
      <c r="S207" s="1"/>
      <c r="T207" s="1"/>
      <c r="U207" s="6808" t="s">
        <v>7104</v>
      </c>
      <c r="V207" s="6803" t="s">
        <v>1229</v>
      </c>
      <c r="X207" s="2884"/>
      <c r="Y207" s="7484"/>
      <c r="Z207" s="1"/>
      <c r="AA207" s="1"/>
      <c r="AB207" s="1"/>
      <c r="AC207" s="12"/>
      <c r="AD207" s="2781"/>
      <c r="AF207" s="2730">
        <v>1</v>
      </c>
    </row>
    <row r="208" spans="2:32" ht="21" customHeight="1">
      <c r="B208" s="6649"/>
      <c r="C208" s="6649"/>
      <c r="D208" s="6649"/>
      <c r="E208" s="6649"/>
      <c r="F208" s="6649"/>
      <c r="G208" s="6649"/>
      <c r="H208" s="6649"/>
      <c r="I208" s="6649"/>
      <c r="J208" s="6649"/>
      <c r="K208" s="6649"/>
      <c r="L208" s="6861">
        <f>IF(ISBLANK(M208),"",LARGE(L207:L207,1)+1)</f>
        <v>1</v>
      </c>
      <c r="M208" s="6873" t="s">
        <v>15807</v>
      </c>
      <c r="N208" s="6873"/>
      <c r="O208" s="6873"/>
      <c r="P208" s="6873"/>
      <c r="Q208" s="6873"/>
      <c r="R208" s="6873"/>
      <c r="S208" s="6873"/>
      <c r="T208" s="6873"/>
      <c r="U208" s="6873"/>
      <c r="V208" s="6874"/>
      <c r="X208" s="2792"/>
      <c r="Y208" s="2793"/>
      <c r="Z208" s="2794"/>
      <c r="AA208" s="2793"/>
      <c r="AB208" s="2793"/>
      <c r="AC208" s="2793"/>
      <c r="AD208" s="2795"/>
      <c r="AF208" s="2730">
        <v>1</v>
      </c>
    </row>
    <row r="209" spans="2:32" ht="21" customHeight="1">
      <c r="B209" s="6649"/>
      <c r="C209" s="6649"/>
      <c r="D209" s="6649"/>
      <c r="E209" s="6649"/>
      <c r="F209" s="6649"/>
      <c r="G209" s="6649"/>
      <c r="H209" s="6649"/>
      <c r="I209" s="6649"/>
      <c r="J209" s="6649"/>
      <c r="K209" s="6649"/>
      <c r="L209" s="6861" t="str">
        <f>IF(ISBLANK(M209),"",LARGE(L207:L208,1)+1)</f>
        <v/>
      </c>
      <c r="M209" s="6873"/>
      <c r="N209" s="6873"/>
      <c r="O209" s="6873"/>
      <c r="P209" s="6873"/>
      <c r="Q209" s="6873"/>
      <c r="R209" s="6873"/>
      <c r="S209" s="6873"/>
      <c r="T209" s="6873"/>
      <c r="U209" s="6873"/>
      <c r="V209" s="6874"/>
      <c r="X209" s="7477"/>
      <c r="Y209" s="7478"/>
      <c r="Z209" s="7479"/>
      <c r="AA209" s="7478"/>
      <c r="AB209" s="7478"/>
      <c r="AC209" s="7478"/>
      <c r="AD209" s="7480"/>
      <c r="AF209" s="2730">
        <v>1</v>
      </c>
    </row>
    <row r="210" spans="2:32" ht="21" customHeight="1">
      <c r="B210" s="6649"/>
      <c r="C210" s="6649"/>
      <c r="D210" s="6649"/>
      <c r="E210" s="6649"/>
      <c r="F210" s="6649"/>
      <c r="G210" s="6649"/>
      <c r="H210" s="6649"/>
      <c r="I210" s="6649"/>
      <c r="J210" s="6649"/>
      <c r="K210" s="6649"/>
      <c r="L210" s="6861" t="str">
        <f>IF(ISBLANK(M210),"",LARGE(L207:L209,1)+1)</f>
        <v/>
      </c>
      <c r="M210" s="6873"/>
      <c r="N210" s="6873"/>
      <c r="O210" s="6873"/>
      <c r="P210" s="6873"/>
      <c r="Q210" s="6873"/>
      <c r="R210" s="6873"/>
      <c r="S210" s="6873"/>
      <c r="T210" s="6873"/>
      <c r="U210" s="6873"/>
      <c r="V210" s="6874"/>
      <c r="X210" s="7495"/>
      <c r="Y210" s="7496" t="s">
        <v>15734</v>
      </c>
      <c r="Z210" s="6631"/>
      <c r="AA210" s="1"/>
      <c r="AB210" s="1"/>
      <c r="AC210" s="12"/>
      <c r="AD210" s="2781"/>
      <c r="AF210" s="2730">
        <v>1</v>
      </c>
    </row>
    <row r="211" spans="2:32" ht="21" customHeight="1">
      <c r="B211" s="6649"/>
      <c r="C211" s="6649"/>
      <c r="D211" s="6649"/>
      <c r="E211" s="6649"/>
      <c r="F211" s="6649"/>
      <c r="G211" s="6649"/>
      <c r="H211" s="6649"/>
      <c r="I211" s="6649"/>
      <c r="J211" s="6649"/>
      <c r="K211" s="6649"/>
      <c r="L211" s="6861" t="str">
        <f>IF(ISBLANK(M211),"",LARGE(L207:L210,1)+1)</f>
        <v/>
      </c>
      <c r="M211" s="6873"/>
      <c r="N211" s="6873"/>
      <c r="O211" s="6873"/>
      <c r="P211" s="6873"/>
      <c r="Q211" s="6873"/>
      <c r="R211" s="6873"/>
      <c r="S211" s="6873"/>
      <c r="T211" s="6873"/>
      <c r="U211" s="6873"/>
      <c r="V211" s="6874"/>
      <c r="X211" s="7495"/>
      <c r="Y211" s="7486" t="s">
        <v>16134</v>
      </c>
      <c r="Z211" s="6631"/>
      <c r="AA211" s="1"/>
      <c r="AB211" s="1"/>
      <c r="AC211" s="12"/>
      <c r="AD211" s="2781"/>
      <c r="AF211" s="2730">
        <v>1</v>
      </c>
    </row>
    <row r="212" spans="2:32" ht="21" customHeight="1">
      <c r="B212" s="6649"/>
      <c r="C212" s="6649"/>
      <c r="D212" s="6649"/>
      <c r="E212" s="6649"/>
      <c r="F212" s="6649"/>
      <c r="G212" s="6649"/>
      <c r="H212" s="6649"/>
      <c r="I212" s="6649"/>
      <c r="J212" s="6649"/>
      <c r="K212" s="6649"/>
      <c r="L212" s="6861" t="str">
        <f>IF(ISBLANK(M212),"",LARGE(L207:L211,1)+1)</f>
        <v/>
      </c>
      <c r="M212" s="6873"/>
      <c r="N212" s="6873"/>
      <c r="O212" s="6873"/>
      <c r="P212" s="6873"/>
      <c r="Q212" s="6873"/>
      <c r="R212" s="6873"/>
      <c r="S212" s="6873"/>
      <c r="T212" s="6873"/>
      <c r="U212" s="6873"/>
      <c r="V212" s="6874"/>
      <c r="X212" s="7495"/>
      <c r="Y212" s="7484" t="s">
        <v>16135</v>
      </c>
      <c r="Z212" s="3212"/>
      <c r="AA212" s="1"/>
      <c r="AB212" s="1"/>
      <c r="AC212" s="12"/>
      <c r="AD212" s="2781"/>
      <c r="AF212" s="2730">
        <v>1</v>
      </c>
    </row>
    <row r="213" spans="2:32" ht="21" customHeight="1">
      <c r="B213" s="6649"/>
      <c r="C213" s="6649"/>
      <c r="D213" s="6649"/>
      <c r="E213" s="6649"/>
      <c r="F213" s="6649"/>
      <c r="G213" s="6649"/>
      <c r="H213" s="6649"/>
      <c r="I213" s="6649"/>
      <c r="J213" s="6649"/>
      <c r="K213" s="6649"/>
      <c r="L213" s="6861" t="str">
        <f>IF(ISBLANK(M213),"",LARGE(L207:L212,1)+1)</f>
        <v/>
      </c>
      <c r="M213" s="6873"/>
      <c r="N213" s="6873"/>
      <c r="O213" s="6873"/>
      <c r="P213" s="6873"/>
      <c r="Q213" s="6873"/>
      <c r="R213" s="6873"/>
      <c r="S213" s="6873"/>
      <c r="T213" s="6873"/>
      <c r="U213" s="6873"/>
      <c r="V213" s="6874"/>
      <c r="X213" s="7495"/>
      <c r="Y213" s="7497">
        <v>1</v>
      </c>
      <c r="Z213" s="7086" t="s">
        <v>16136</v>
      </c>
      <c r="AA213" s="1"/>
      <c r="AB213" s="1"/>
      <c r="AC213" s="12"/>
      <c r="AD213" s="2781"/>
      <c r="AF213" s="2730">
        <v>1</v>
      </c>
    </row>
    <row r="214" spans="2:32" ht="21" customHeight="1">
      <c r="B214" s="6649"/>
      <c r="C214" s="6649"/>
      <c r="D214" s="6649"/>
      <c r="E214" s="6649"/>
      <c r="F214" s="6649"/>
      <c r="G214" s="6649"/>
      <c r="H214" s="6649"/>
      <c r="I214" s="6649"/>
      <c r="J214" s="6649"/>
      <c r="K214" s="6649"/>
      <c r="L214" s="6861" t="str">
        <f>IF(ISBLANK(M214),"",LARGE(L207:L213,1)+1)</f>
        <v/>
      </c>
      <c r="M214" s="6873"/>
      <c r="N214" s="6873"/>
      <c r="O214" s="6873"/>
      <c r="P214" s="6873"/>
      <c r="Q214" s="6873"/>
      <c r="R214" s="6873"/>
      <c r="S214" s="6873"/>
      <c r="T214" s="6873"/>
      <c r="U214" s="6873"/>
      <c r="V214" s="6874"/>
      <c r="X214" s="7495"/>
      <c r="Y214" s="7497">
        <v>4</v>
      </c>
      <c r="Z214" s="7086" t="s">
        <v>16137</v>
      </c>
      <c r="AA214" s="1"/>
      <c r="AB214" s="1"/>
      <c r="AC214" s="12"/>
      <c r="AD214" s="2781"/>
      <c r="AF214" s="2730">
        <v>1</v>
      </c>
    </row>
    <row r="215" spans="2:32" ht="21" customHeight="1">
      <c r="B215" s="6649"/>
      <c r="C215" s="6649"/>
      <c r="D215" s="6649"/>
      <c r="E215" s="6649"/>
      <c r="F215" s="6649"/>
      <c r="G215" s="6649"/>
      <c r="H215" s="6649"/>
      <c r="I215" s="6649"/>
      <c r="J215" s="6649"/>
      <c r="K215" s="6649"/>
      <c r="L215" s="6861" t="str">
        <f>IF(ISBLANK(M215),"",LARGE(L207:L214,1)+1)</f>
        <v/>
      </c>
      <c r="M215" s="6873"/>
      <c r="N215" s="6873"/>
      <c r="O215" s="6873"/>
      <c r="P215" s="6873"/>
      <c r="Q215" s="6873"/>
      <c r="R215" s="6873"/>
      <c r="S215" s="6873"/>
      <c r="T215" s="6873"/>
      <c r="U215" s="6873"/>
      <c r="V215" s="6874"/>
      <c r="X215" s="7495"/>
      <c r="Y215" s="7497">
        <v>10</v>
      </c>
      <c r="Z215" s="7086" t="s">
        <v>209</v>
      </c>
      <c r="AA215" s="1"/>
      <c r="AB215" s="1"/>
      <c r="AC215" s="12"/>
      <c r="AD215" s="2781"/>
      <c r="AF215" s="2730">
        <v>1</v>
      </c>
    </row>
    <row r="216" spans="2:32" ht="21" customHeight="1">
      <c r="B216" s="6649"/>
      <c r="C216" s="6649"/>
      <c r="D216" s="6649"/>
      <c r="E216" s="6649"/>
      <c r="F216" s="6649"/>
      <c r="G216" s="6649"/>
      <c r="H216" s="6649"/>
      <c r="I216" s="6649"/>
      <c r="J216" s="6649"/>
      <c r="K216" s="6649"/>
      <c r="L216" s="6861" t="str">
        <f>IF(ISBLANK(M216),"",LARGE(L207:L215,1)+1)</f>
        <v/>
      </c>
      <c r="M216" s="6873"/>
      <c r="N216" s="6873"/>
      <c r="O216" s="6873"/>
      <c r="P216" s="6873"/>
      <c r="Q216" s="6873"/>
      <c r="R216" s="6873"/>
      <c r="S216" s="6873"/>
      <c r="T216" s="6873"/>
      <c r="U216" s="6873"/>
      <c r="V216" s="6874"/>
      <c r="X216" s="7495"/>
      <c r="Y216" s="7484" t="s">
        <v>16138</v>
      </c>
      <c r="Z216" s="6631"/>
      <c r="AA216" s="6631"/>
      <c r="AB216" s="6631"/>
      <c r="AC216" s="6631"/>
      <c r="AD216" s="7492"/>
      <c r="AF216" s="2730">
        <v>1</v>
      </c>
    </row>
    <row r="217" spans="2:32" ht="18.75">
      <c r="B217" s="6649"/>
      <c r="C217" s="6649"/>
      <c r="D217" s="6649"/>
      <c r="E217" s="6649"/>
      <c r="F217" s="6649"/>
      <c r="G217" s="6649"/>
      <c r="H217" s="6649"/>
      <c r="I217" s="6649"/>
      <c r="J217" s="6649"/>
      <c r="K217" s="6649"/>
      <c r="L217" s="6861" t="str">
        <f>IF(ISBLANK(M217),"",LARGE(L207:L216,1)+1)</f>
        <v/>
      </c>
      <c r="M217" s="6873"/>
      <c r="N217" s="6873"/>
      <c r="O217" s="6873"/>
      <c r="P217" s="6873"/>
      <c r="Q217" s="6873"/>
      <c r="R217" s="6873"/>
      <c r="S217" s="6873"/>
      <c r="T217" s="6873"/>
      <c r="U217" s="6873"/>
      <c r="V217" s="6874"/>
      <c r="X217" s="7495"/>
      <c r="Y217" s="8037" t="s">
        <v>16139</v>
      </c>
      <c r="Z217" s="8037"/>
      <c r="AA217" s="8037"/>
      <c r="AB217" s="8037"/>
      <c r="AC217" s="8037"/>
      <c r="AD217" s="8038"/>
      <c r="AF217" s="2730">
        <v>1</v>
      </c>
    </row>
    <row r="218" spans="2:32" ht="15.75">
      <c r="B218" s="6649"/>
      <c r="C218" s="6649"/>
      <c r="D218" s="6649"/>
      <c r="E218" s="6649"/>
      <c r="F218" s="6649"/>
      <c r="G218" s="6649"/>
      <c r="H218" s="6649"/>
      <c r="I218" s="6649"/>
      <c r="J218" s="6649"/>
      <c r="K218" s="6649"/>
      <c r="L218" s="6861" t="str">
        <f>IF(ISBLANK(M218),"",LARGE(L207:L217,1)+1)</f>
        <v/>
      </c>
      <c r="M218" s="6873"/>
      <c r="N218" s="6873"/>
      <c r="O218" s="6873"/>
      <c r="P218" s="6873"/>
      <c r="Q218" s="6873"/>
      <c r="R218" s="6873"/>
      <c r="S218" s="6873"/>
      <c r="T218" s="6873"/>
      <c r="U218" s="6873"/>
      <c r="V218" s="6874"/>
      <c r="X218" s="7495"/>
      <c r="Y218" s="7497">
        <v>5</v>
      </c>
      <c r="Z218" s="7086" t="s">
        <v>16140</v>
      </c>
      <c r="AA218" s="1"/>
      <c r="AB218" s="1"/>
      <c r="AC218" s="1"/>
      <c r="AD218" s="2781"/>
      <c r="AF218" s="2730">
        <v>1</v>
      </c>
    </row>
    <row r="219" spans="2:32" ht="15.75">
      <c r="B219" s="6649"/>
      <c r="C219" s="6649"/>
      <c r="D219" s="6649"/>
      <c r="E219" s="6649"/>
      <c r="F219" s="6649"/>
      <c r="G219" s="6649"/>
      <c r="H219" s="6649"/>
      <c r="I219" s="6649"/>
      <c r="J219" s="6649"/>
      <c r="K219" s="6649"/>
      <c r="L219" s="6861" t="str">
        <f>IF(ISBLANK(M219),"",LARGE(L207:L218,1)+1)</f>
        <v/>
      </c>
      <c r="M219" s="6873"/>
      <c r="N219" s="6873"/>
      <c r="O219" s="6873"/>
      <c r="P219" s="6873"/>
      <c r="Q219" s="6873"/>
      <c r="R219" s="6873"/>
      <c r="S219" s="6873"/>
      <c r="T219" s="6873"/>
      <c r="U219" s="6873"/>
      <c r="V219" s="6874"/>
      <c r="X219" s="7495"/>
      <c r="Y219" s="7497">
        <v>8</v>
      </c>
      <c r="Z219" s="7086" t="s">
        <v>16141</v>
      </c>
      <c r="AA219" s="1"/>
      <c r="AB219" s="1"/>
      <c r="AC219" s="1"/>
      <c r="AD219" s="2781"/>
      <c r="AF219" s="2730">
        <v>1</v>
      </c>
    </row>
    <row r="220" spans="2:32" ht="15.75">
      <c r="B220" s="6649"/>
      <c r="C220" s="6649"/>
      <c r="D220" s="6649"/>
      <c r="E220" s="6649"/>
      <c r="F220" s="6649"/>
      <c r="G220" s="6649"/>
      <c r="H220" s="6649"/>
      <c r="I220" s="6649"/>
      <c r="J220" s="6649"/>
      <c r="K220" s="6649"/>
      <c r="L220" s="6861" t="str">
        <f>IF(ISBLANK(M220),"",LARGE(L207:L219,1)+1)</f>
        <v/>
      </c>
      <c r="M220" s="6873"/>
      <c r="N220" s="6873"/>
      <c r="O220" s="6873"/>
      <c r="P220" s="6873"/>
      <c r="Q220" s="6873"/>
      <c r="R220" s="6873"/>
      <c r="S220" s="6873"/>
      <c r="T220" s="6873"/>
      <c r="U220" s="6873"/>
      <c r="V220" s="6874"/>
      <c r="X220" s="7495"/>
      <c r="Y220" s="7497">
        <v>1.5</v>
      </c>
      <c r="Z220" s="7086" t="s">
        <v>16142</v>
      </c>
      <c r="AA220" s="1"/>
      <c r="AB220" s="1"/>
      <c r="AC220" s="1"/>
      <c r="AD220" s="2781"/>
      <c r="AF220" s="2730">
        <v>1</v>
      </c>
    </row>
    <row r="221" spans="2:32" ht="15.75">
      <c r="B221" s="6649"/>
      <c r="C221" s="6649"/>
      <c r="D221" s="6649"/>
      <c r="E221" s="6649"/>
      <c r="F221" s="6649"/>
      <c r="G221" s="6649"/>
      <c r="H221" s="6649"/>
      <c r="I221" s="6649"/>
      <c r="J221" s="6649"/>
      <c r="K221" s="6649"/>
      <c r="L221" s="6861" t="str">
        <f>IF(ISBLANK(M221),"",LARGE(L207:L220,1)+1)</f>
        <v/>
      </c>
      <c r="M221" s="6873"/>
      <c r="N221" s="6873"/>
      <c r="O221" s="6873"/>
      <c r="P221" s="6873"/>
      <c r="Q221" s="6873"/>
      <c r="R221" s="6873"/>
      <c r="S221" s="6873"/>
      <c r="T221" s="6873"/>
      <c r="U221" s="6873"/>
      <c r="V221" s="6874"/>
      <c r="X221" s="7495"/>
      <c r="Y221" s="7497">
        <v>3</v>
      </c>
      <c r="Z221" s="7086" t="s">
        <v>68</v>
      </c>
      <c r="AA221" s="1"/>
      <c r="AB221" s="1"/>
      <c r="AC221" s="1"/>
      <c r="AD221" s="2781"/>
      <c r="AF221" s="2730">
        <v>1</v>
      </c>
    </row>
    <row r="222" spans="2:32" ht="15.75">
      <c r="B222" s="6649"/>
      <c r="C222" s="6649"/>
      <c r="D222" s="6649"/>
      <c r="E222" s="6649"/>
      <c r="F222" s="6649"/>
      <c r="G222" s="6649"/>
      <c r="H222" s="6649"/>
      <c r="I222" s="6649"/>
      <c r="J222" s="6649"/>
      <c r="K222" s="6649"/>
      <c r="L222" s="6861" t="str">
        <f>IF(ISBLANK(M222),"",LARGE(L207:L221,1)+1)</f>
        <v/>
      </c>
      <c r="M222" s="6873"/>
      <c r="N222" s="6873"/>
      <c r="O222" s="6873"/>
      <c r="P222" s="6873"/>
      <c r="Q222" s="6873"/>
      <c r="R222" s="6873"/>
      <c r="S222" s="6873"/>
      <c r="T222" s="6873"/>
      <c r="U222" s="6873"/>
      <c r="V222" s="6874"/>
      <c r="X222" s="7495"/>
      <c r="Y222" s="7498" t="s">
        <v>16143</v>
      </c>
      <c r="Z222" s="7498"/>
      <c r="AA222" s="1"/>
      <c r="AB222" s="1"/>
      <c r="AC222" s="1"/>
      <c r="AD222" s="2781"/>
      <c r="AF222" s="2730">
        <v>1</v>
      </c>
    </row>
    <row r="223" spans="2:32" ht="15.75" customHeight="1">
      <c r="B223" s="6649"/>
      <c r="C223" s="6649"/>
      <c r="D223" s="6649"/>
      <c r="E223" s="6649"/>
      <c r="F223" s="6649"/>
      <c r="G223" s="6649"/>
      <c r="H223" s="6649"/>
      <c r="I223" s="6649"/>
      <c r="J223" s="6649"/>
      <c r="K223" s="6649"/>
      <c r="L223" s="6861" t="str">
        <f>IF(ISBLANK(M223),"",LARGE(L207:L222,1)+1)</f>
        <v/>
      </c>
      <c r="M223" s="6873"/>
      <c r="N223" s="6873"/>
      <c r="O223" s="6873"/>
      <c r="P223" s="6873"/>
      <c r="Q223" s="6873"/>
      <c r="R223" s="6873"/>
      <c r="S223" s="6873"/>
      <c r="T223" s="6873"/>
      <c r="U223" s="6873"/>
      <c r="V223" s="6874"/>
      <c r="X223" s="7499"/>
      <c r="Y223" s="7500" t="s">
        <v>16144</v>
      </c>
      <c r="Z223" s="7501" t="s">
        <v>80</v>
      </c>
      <c r="AA223" s="1"/>
      <c r="AB223" s="1"/>
      <c r="AC223" s="1"/>
      <c r="AD223" s="2781"/>
      <c r="AF223" s="2730">
        <v>1</v>
      </c>
    </row>
    <row r="224" spans="2:32" ht="15.75" customHeight="1">
      <c r="B224" s="6649"/>
      <c r="C224" s="6649"/>
      <c r="D224" s="6649"/>
      <c r="E224" s="6649"/>
      <c r="F224" s="6649"/>
      <c r="G224" s="6649"/>
      <c r="H224" s="6649"/>
      <c r="I224" s="6649"/>
      <c r="J224" s="6649"/>
      <c r="K224" s="6649"/>
      <c r="L224" s="6861" t="str">
        <f>IF(ISBLANK(M224),"",LARGE(L207:L223,1)+1)</f>
        <v/>
      </c>
      <c r="M224" s="6873"/>
      <c r="N224" s="6873"/>
      <c r="O224" s="6873"/>
      <c r="P224" s="6873"/>
      <c r="Q224" s="6873"/>
      <c r="R224" s="6873"/>
      <c r="S224" s="6873"/>
      <c r="T224" s="6873"/>
      <c r="U224" s="6873"/>
      <c r="V224" s="6874"/>
      <c r="X224" s="8039" t="s">
        <v>16145</v>
      </c>
      <c r="Y224" s="8040"/>
      <c r="Z224" s="8040"/>
      <c r="AA224" s="8040"/>
      <c r="AB224" s="8040"/>
      <c r="AC224" s="8040"/>
      <c r="AD224" s="8041"/>
      <c r="AF224" s="2730">
        <v>1</v>
      </c>
    </row>
    <row r="225" spans="2:32" ht="15.75" customHeight="1">
      <c r="B225" s="6649"/>
      <c r="C225" s="6649"/>
      <c r="D225" s="6649"/>
      <c r="E225" s="6649"/>
      <c r="F225" s="6649"/>
      <c r="G225" s="6649"/>
      <c r="H225" s="6649"/>
      <c r="I225" s="6649"/>
      <c r="J225" s="6649"/>
      <c r="K225" s="6649"/>
      <c r="L225" s="6861" t="str">
        <f>IF(ISBLANK(M225),"",LARGE(L207:L224,1)+1)</f>
        <v/>
      </c>
      <c r="M225" s="6873"/>
      <c r="N225" s="6873"/>
      <c r="O225" s="6873"/>
      <c r="P225" s="6873"/>
      <c r="Q225" s="6873"/>
      <c r="R225" s="6873"/>
      <c r="S225" s="6873"/>
      <c r="T225" s="6873"/>
      <c r="U225" s="6873"/>
      <c r="V225" s="6874"/>
      <c r="X225" s="8039"/>
      <c r="Y225" s="8040"/>
      <c r="Z225" s="8040"/>
      <c r="AA225" s="8040"/>
      <c r="AB225" s="8040"/>
      <c r="AC225" s="8040"/>
      <c r="AD225" s="8041"/>
      <c r="AF225" s="2730">
        <v>1</v>
      </c>
    </row>
    <row r="226" spans="2:32" ht="15.75">
      <c r="B226" s="6649"/>
      <c r="C226" s="6649"/>
      <c r="D226" s="6649"/>
      <c r="E226" s="6649"/>
      <c r="F226" s="6649"/>
      <c r="G226" s="6649"/>
      <c r="H226" s="6649"/>
      <c r="I226" s="6649"/>
      <c r="J226" s="6649"/>
      <c r="K226" s="6649"/>
      <c r="L226" s="6875" t="s">
        <v>15809</v>
      </c>
      <c r="M226" s="6876"/>
      <c r="N226" s="6876"/>
      <c r="O226" s="6876"/>
      <c r="P226" s="6876"/>
      <c r="Q226" s="6876"/>
      <c r="R226" s="6876"/>
      <c r="S226" s="6876"/>
      <c r="T226" s="6876"/>
      <c r="U226" s="6876"/>
      <c r="V226" s="6877" t="s">
        <v>15809</v>
      </c>
      <c r="X226" s="8039"/>
      <c r="Y226" s="8040"/>
      <c r="Z226" s="8040"/>
      <c r="AA226" s="8040"/>
      <c r="AB226" s="8040"/>
      <c r="AC226" s="8040"/>
      <c r="AD226" s="8041"/>
      <c r="AF226" s="2730">
        <v>1</v>
      </c>
    </row>
    <row r="227" spans="2:32" ht="23.25">
      <c r="B227" s="6649"/>
      <c r="C227" s="6649"/>
      <c r="D227" s="6649"/>
      <c r="E227" s="6649"/>
      <c r="F227" s="6649"/>
      <c r="G227" s="6649"/>
      <c r="H227" s="6649"/>
      <c r="I227" s="6649"/>
      <c r="J227" s="6649"/>
      <c r="K227" s="6649"/>
      <c r="L227" s="6878" t="s">
        <v>15792</v>
      </c>
      <c r="M227" s="6879" t="s">
        <v>15793</v>
      </c>
      <c r="N227" s="6867"/>
      <c r="O227" s="6867"/>
      <c r="P227" s="6868"/>
      <c r="Q227" s="6868"/>
      <c r="R227" s="6880"/>
      <c r="S227" s="6881"/>
      <c r="T227" s="6881"/>
      <c r="U227" s="6871" t="s">
        <v>7102</v>
      </c>
      <c r="V227" s="6882" t="s">
        <v>1229</v>
      </c>
      <c r="X227" s="2792"/>
      <c r="Y227" s="2793"/>
      <c r="Z227" s="2794"/>
      <c r="AA227" s="2793"/>
      <c r="AB227" s="2793"/>
      <c r="AC227" s="2793"/>
      <c r="AD227" s="2795"/>
      <c r="AF227" s="2730">
        <v>1</v>
      </c>
    </row>
    <row r="228" spans="2:32" ht="23.25">
      <c r="B228" s="6649"/>
      <c r="C228" s="6649"/>
      <c r="D228" s="6649"/>
      <c r="E228" s="6649"/>
      <c r="F228" s="6649"/>
      <c r="G228" s="6649"/>
      <c r="H228" s="6649"/>
      <c r="I228" s="6649"/>
      <c r="J228" s="6649"/>
      <c r="K228" s="6649"/>
      <c r="L228" s="6872">
        <v>0</v>
      </c>
      <c r="M228" s="6883" t="s">
        <v>15806</v>
      </c>
      <c r="N228" s="6858"/>
      <c r="O228" s="6858"/>
      <c r="P228" s="6858"/>
      <c r="Q228" s="6858"/>
      <c r="R228" s="6884"/>
      <c r="S228" s="6885"/>
      <c r="T228" s="6885"/>
      <c r="U228" s="6886" t="s">
        <v>7104</v>
      </c>
      <c r="V228" s="6887" t="s">
        <v>1229</v>
      </c>
      <c r="X228" s="7477"/>
      <c r="Y228" s="7478"/>
      <c r="Z228" s="7479"/>
      <c r="AA228" s="7478"/>
      <c r="AB228" s="7478"/>
      <c r="AC228" s="7478"/>
      <c r="AD228" s="7480"/>
      <c r="AF228" s="2730">
        <v>1</v>
      </c>
    </row>
    <row r="229" spans="2:32" ht="18.75">
      <c r="B229" s="6649"/>
      <c r="C229" s="6649"/>
      <c r="D229" s="6649"/>
      <c r="E229" s="6649"/>
      <c r="F229" s="6649"/>
      <c r="G229" s="6649"/>
      <c r="H229" s="6649"/>
      <c r="I229" s="6649"/>
      <c r="J229" s="6649"/>
      <c r="K229" s="6649"/>
      <c r="L229" s="6860">
        <f>IF(ISBLANK(M229),"",LARGE(L228:L228,1)+1)</f>
        <v>1</v>
      </c>
      <c r="M229" s="6888" t="s">
        <v>15807</v>
      </c>
      <c r="N229" s="6801"/>
      <c r="O229" s="6801"/>
      <c r="P229" s="6801"/>
      <c r="Q229" s="6801"/>
      <c r="R229" s="6889"/>
      <c r="S229" s="1"/>
      <c r="T229" s="1"/>
      <c r="U229" s="2856" t="s">
        <v>7105</v>
      </c>
      <c r="V229" s="6890">
        <v>3.472222222222222E-3</v>
      </c>
      <c r="X229" s="8042" t="s">
        <v>96</v>
      </c>
      <c r="Y229" s="7503" t="s">
        <v>16146</v>
      </c>
      <c r="Z229" s="7504"/>
      <c r="AA229" s="7505"/>
      <c r="AB229" s="7505"/>
      <c r="AC229" s="1"/>
      <c r="AD229" s="2781"/>
      <c r="AF229" s="2730">
        <v>1</v>
      </c>
    </row>
    <row r="230" spans="2:32" ht="18.75">
      <c r="B230" s="6649"/>
      <c r="C230" s="6649"/>
      <c r="D230" s="6649"/>
      <c r="E230" s="6649"/>
      <c r="F230" s="6649"/>
      <c r="G230" s="6649"/>
      <c r="H230" s="6649"/>
      <c r="I230" s="6649"/>
      <c r="J230" s="6649"/>
      <c r="K230" s="6649"/>
      <c r="L230" s="6860">
        <f>IF(ISBLANK(M230),"",LARGE(L228:L229,1)+1)</f>
        <v>2</v>
      </c>
      <c r="M230" s="6888" t="s">
        <v>15808</v>
      </c>
      <c r="N230" s="6801"/>
      <c r="O230" s="6801"/>
      <c r="P230" s="6801"/>
      <c r="Q230" s="6801"/>
      <c r="R230" s="6889"/>
      <c r="S230" s="1"/>
      <c r="T230" s="1"/>
      <c r="U230" s="2856" t="s">
        <v>7106</v>
      </c>
      <c r="V230" s="6891">
        <v>1.0416666666666666E-2</v>
      </c>
      <c r="X230" s="8042"/>
      <c r="Y230" s="7506" t="s">
        <v>16147</v>
      </c>
      <c r="Z230" s="7507"/>
      <c r="AA230" s="7507"/>
      <c r="AB230" s="3198"/>
      <c r="AC230" s="1"/>
      <c r="AD230" s="2781"/>
      <c r="AF230" s="2730">
        <v>1</v>
      </c>
    </row>
    <row r="231" spans="2:32" ht="15.75">
      <c r="B231" s="6649"/>
      <c r="C231" s="6649"/>
      <c r="D231" s="6649"/>
      <c r="E231" s="6649"/>
      <c r="F231" s="6649"/>
      <c r="G231" s="6649"/>
      <c r="H231" s="6649"/>
      <c r="I231" s="6649"/>
      <c r="J231" s="6649"/>
      <c r="K231" s="6649"/>
      <c r="L231" s="6860" t="str">
        <f>IF(ISBLANK(M231),"",LARGE(L228:L230,1)+1)</f>
        <v/>
      </c>
      <c r="M231" s="6888"/>
      <c r="N231" s="6801"/>
      <c r="O231" s="6801"/>
      <c r="P231" s="6801"/>
      <c r="Q231" s="6801"/>
      <c r="R231" s="6889"/>
      <c r="S231" s="1"/>
      <c r="T231" s="1"/>
      <c r="U231" s="2856" t="s">
        <v>7107</v>
      </c>
      <c r="V231" s="6892">
        <v>2.0833333333333332E-2</v>
      </c>
      <c r="X231" s="8042"/>
      <c r="Y231" s="7508">
        <v>16</v>
      </c>
      <c r="Z231" s="7509" t="s">
        <v>16140</v>
      </c>
      <c r="AA231" s="3198"/>
      <c r="AB231" s="3198"/>
      <c r="AC231" s="1"/>
      <c r="AD231" s="2781"/>
      <c r="AF231" s="2730">
        <v>1</v>
      </c>
    </row>
    <row r="232" spans="2:32" ht="15.75">
      <c r="B232" s="6649"/>
      <c r="C232" s="6649"/>
      <c r="D232" s="6649"/>
      <c r="E232" s="6649"/>
      <c r="F232" s="6649"/>
      <c r="G232" s="6649"/>
      <c r="H232" s="6649"/>
      <c r="I232" s="6649"/>
      <c r="J232" s="6649"/>
      <c r="K232" s="6649"/>
      <c r="L232" s="6860" t="str">
        <f>IF(ISBLANK(M232),"",LARGE(L228:L231,1)+1)</f>
        <v/>
      </c>
      <c r="M232" s="6888"/>
      <c r="N232" s="6801"/>
      <c r="O232" s="6801"/>
      <c r="P232" s="6801"/>
      <c r="Q232" s="6801"/>
      <c r="R232" s="6889"/>
      <c r="S232" s="1"/>
      <c r="T232" s="1"/>
      <c r="U232" s="2860" t="s">
        <v>20</v>
      </c>
      <c r="V232" s="6893">
        <f>V229+V230+V231</f>
        <v>3.4722222222222224E-2</v>
      </c>
      <c r="X232" s="8042"/>
      <c r="Y232" s="7508">
        <v>25</v>
      </c>
      <c r="Z232" s="7509" t="s">
        <v>16141</v>
      </c>
      <c r="AA232" s="3198"/>
      <c r="AB232" s="3198"/>
      <c r="AC232" s="1"/>
      <c r="AD232" s="2781"/>
      <c r="AF232" s="2730">
        <v>1</v>
      </c>
    </row>
    <row r="233" spans="2:32" ht="15.75">
      <c r="B233" s="6649"/>
      <c r="C233" s="6649"/>
      <c r="D233" s="6649"/>
      <c r="E233" s="6649"/>
      <c r="F233" s="6649"/>
      <c r="G233" s="6649"/>
      <c r="H233" s="6649"/>
      <c r="I233" s="6649"/>
      <c r="J233" s="6649"/>
      <c r="K233" s="6649"/>
      <c r="L233" s="6860" t="str">
        <f>IF(ISBLANK(M233),"",LARGE(L228:L232,1)+1)</f>
        <v/>
      </c>
      <c r="M233" s="6888"/>
      <c r="N233" s="6801"/>
      <c r="O233" s="6801"/>
      <c r="P233" s="6801"/>
      <c r="Q233" s="6801"/>
      <c r="R233" s="6894" t="s">
        <v>7108</v>
      </c>
      <c r="S233" s="6895"/>
      <c r="T233" s="6895"/>
      <c r="U233" s="6895"/>
      <c r="V233" s="6896"/>
      <c r="X233" s="8042"/>
      <c r="Y233" s="7508">
        <v>12</v>
      </c>
      <c r="Z233" s="2829" t="s">
        <v>16142</v>
      </c>
      <c r="AA233" s="3198"/>
      <c r="AB233" s="3198"/>
      <c r="AC233" s="1"/>
      <c r="AD233" s="2781"/>
      <c r="AF233" s="2730">
        <v>1</v>
      </c>
    </row>
    <row r="234" spans="2:32" ht="15.75">
      <c r="B234" s="6649"/>
      <c r="C234" s="6649"/>
      <c r="D234" s="6649"/>
      <c r="E234" s="6649"/>
      <c r="F234" s="6649"/>
      <c r="G234" s="6649"/>
      <c r="H234" s="6649"/>
      <c r="I234" s="6649"/>
      <c r="J234" s="6649"/>
      <c r="K234" s="6649"/>
      <c r="L234" s="6860" t="str">
        <f>IF(ISBLANK(M234),"",LARGE(L228:L233,1)+1)</f>
        <v/>
      </c>
      <c r="M234" s="6888"/>
      <c r="N234" s="6801"/>
      <c r="O234" s="6801"/>
      <c r="P234" s="6801"/>
      <c r="Q234" s="6801"/>
      <c r="R234" s="6897" t="s">
        <v>7109</v>
      </c>
      <c r="S234" s="12"/>
      <c r="T234" s="12"/>
      <c r="U234" s="2863" t="s">
        <v>7110</v>
      </c>
      <c r="V234" s="2249">
        <f>R237*R235</f>
        <v>225</v>
      </c>
      <c r="X234" s="8042"/>
      <c r="Y234" s="7508">
        <v>7</v>
      </c>
      <c r="Z234" s="2829" t="s">
        <v>68</v>
      </c>
      <c r="AA234" s="3198"/>
      <c r="AB234" s="3198"/>
      <c r="AC234" s="1"/>
      <c r="AD234" s="2781"/>
      <c r="AF234" s="2730">
        <v>1</v>
      </c>
    </row>
    <row r="235" spans="2:32" ht="18.75">
      <c r="B235" s="6649"/>
      <c r="C235" s="6649"/>
      <c r="D235" s="6649"/>
      <c r="E235" s="6649"/>
      <c r="F235" s="6649"/>
      <c r="G235" s="6649"/>
      <c r="H235" s="6649"/>
      <c r="I235" s="6649"/>
      <c r="J235" s="6649"/>
      <c r="K235" s="6649"/>
      <c r="L235" s="6860" t="str">
        <f>IF(ISBLANK(M235),"",LARGE(L228:L234,1)+1)</f>
        <v/>
      </c>
      <c r="M235" s="6888"/>
      <c r="N235" s="6801"/>
      <c r="O235" s="6801"/>
      <c r="P235" s="6801"/>
      <c r="Q235" s="6801"/>
      <c r="R235" s="6898">
        <v>150</v>
      </c>
      <c r="S235" s="2865" t="s">
        <v>7111</v>
      </c>
      <c r="T235" s="2865"/>
      <c r="U235" s="6899" t="s">
        <v>1762</v>
      </c>
      <c r="V235" s="6900"/>
      <c r="X235" s="8042"/>
      <c r="Y235" s="7510" t="s">
        <v>16148</v>
      </c>
      <c r="Z235" s="7510"/>
      <c r="AA235" s="7510"/>
      <c r="AB235" s="7510"/>
      <c r="AC235" s="1"/>
      <c r="AD235" s="2781"/>
      <c r="AF235" s="2730">
        <v>1</v>
      </c>
    </row>
    <row r="236" spans="2:32" ht="18.75">
      <c r="B236" s="6649"/>
      <c r="C236" s="6649"/>
      <c r="D236" s="6649"/>
      <c r="E236" s="6649"/>
      <c r="F236" s="6649"/>
      <c r="G236" s="6649"/>
      <c r="H236" s="6649"/>
      <c r="I236" s="6649"/>
      <c r="J236" s="6649"/>
      <c r="K236" s="6649"/>
      <c r="L236" s="6860" t="str">
        <f>IF(ISBLANK(M236),"",LARGE(L228:L235,1)+1)</f>
        <v/>
      </c>
      <c r="M236" s="6888"/>
      <c r="N236" s="6801"/>
      <c r="O236" s="6801"/>
      <c r="P236" s="6801"/>
      <c r="Q236" s="6801"/>
      <c r="R236" s="6901" t="s">
        <v>1838</v>
      </c>
      <c r="S236" s="2866" t="s">
        <v>7112</v>
      </c>
      <c r="T236" s="2866"/>
      <c r="U236" s="2866"/>
      <c r="V236" s="2781"/>
      <c r="X236" s="7502"/>
      <c r="Y236" s="7510"/>
      <c r="Z236" s="7510"/>
      <c r="AA236" s="7510"/>
      <c r="AB236" s="7510"/>
      <c r="AC236" s="1"/>
      <c r="AD236" s="2781"/>
      <c r="AF236" s="2730">
        <v>1</v>
      </c>
    </row>
    <row r="237" spans="2:32" ht="15.75" customHeight="1">
      <c r="B237" s="6649"/>
      <c r="C237" s="6649"/>
      <c r="D237" s="6649"/>
      <c r="E237" s="6649"/>
      <c r="F237" s="6649"/>
      <c r="G237" s="6649"/>
      <c r="H237" s="6649"/>
      <c r="I237" s="6649"/>
      <c r="J237" s="6649"/>
      <c r="K237" s="6649"/>
      <c r="L237" s="6860" t="str">
        <f>IF(ISBLANK(M237),"",LARGE(L228:L236,1)+1)</f>
        <v/>
      </c>
      <c r="M237" s="6888"/>
      <c r="N237" s="6801"/>
      <c r="O237" s="6801"/>
      <c r="P237" s="6801"/>
      <c r="Q237" s="6801"/>
      <c r="R237" s="6902">
        <v>1.5</v>
      </c>
      <c r="S237" s="2868" t="str">
        <f>"&lt; Nb de "&amp;U235&amp;" par personne "</f>
        <v xml:space="preserve">&lt; Nb de tranches par personne </v>
      </c>
      <c r="T237" s="2868"/>
      <c r="U237" s="2869"/>
      <c r="V237" s="2240"/>
      <c r="X237" s="2792"/>
      <c r="Y237" s="2793"/>
      <c r="Z237" s="2794"/>
      <c r="AA237" s="2793"/>
      <c r="AB237" s="2793"/>
      <c r="AC237" s="2793"/>
      <c r="AD237" s="2795"/>
      <c r="AF237" s="2730">
        <v>1</v>
      </c>
    </row>
    <row r="238" spans="2:32" ht="15.75" customHeight="1">
      <c r="B238" s="6649"/>
      <c r="C238" s="6649"/>
      <c r="D238" s="6649"/>
      <c r="E238" s="6649"/>
      <c r="F238" s="6649"/>
      <c r="G238" s="6649"/>
      <c r="H238" s="6649"/>
      <c r="I238" s="6649"/>
      <c r="J238" s="6649"/>
      <c r="K238" s="6649"/>
      <c r="L238" s="6860" t="str">
        <f>IF(ISBLANK(M238),"",LARGE(L228:L237,1)+1)</f>
        <v/>
      </c>
      <c r="M238" s="6888"/>
      <c r="N238" s="6801"/>
      <c r="O238" s="6801"/>
      <c r="P238" s="6801"/>
      <c r="Q238" s="6801"/>
      <c r="R238" s="6903">
        <v>27</v>
      </c>
      <c r="S238" s="2868" t="str">
        <f>"&lt; Nb "&amp;U235&amp;" dans 1 " &amp;R236</f>
        <v>&lt; Nb tranches dans 1 Gastro 1/1</v>
      </c>
      <c r="T238" s="2868"/>
      <c r="U238" s="2871"/>
      <c r="V238" s="2249"/>
      <c r="X238" s="7935" t="s">
        <v>16149</v>
      </c>
      <c r="Y238" s="7936"/>
      <c r="Z238" s="7936"/>
      <c r="AA238" s="7936"/>
      <c r="AB238" s="7936"/>
      <c r="AC238" s="7936"/>
      <c r="AD238" s="7937"/>
      <c r="AF238" s="2730">
        <v>1</v>
      </c>
    </row>
    <row r="239" spans="2:32" ht="15.75">
      <c r="B239" s="6649"/>
      <c r="C239" s="6649"/>
      <c r="D239" s="6649"/>
      <c r="E239" s="6649"/>
      <c r="F239" s="6649"/>
      <c r="G239" s="6649"/>
      <c r="H239" s="6649"/>
      <c r="I239" s="6649"/>
      <c r="J239" s="6649"/>
      <c r="K239" s="6649"/>
      <c r="L239" s="6860" t="str">
        <f>IF(ISBLANK(M239),"",LARGE(L228:L238,1)+1)</f>
        <v/>
      </c>
      <c r="M239" s="6888"/>
      <c r="N239" s="6801"/>
      <c r="O239" s="6801"/>
      <c r="P239" s="6801"/>
      <c r="Q239" s="6801"/>
      <c r="R239" s="8019" t="str">
        <f>IF(OR(R238="",V234=0),"",INT(V234/R238) &amp; " " &amp; R236 &amp; " de " &amp; R238 &amp; " " &amp; U235 &amp; IF(MOD(V234,R238)&gt;0," + 1 " &amp; R236 &amp; " de " &amp; TEXT(MOD(V234,R238),"0.00") &amp; " " &amp; U235,""))</f>
        <v>8 Gastro 1/1 de 27 tranches + 1 Gastro 1/1 de 9.00 tranches</v>
      </c>
      <c r="S239" s="7883"/>
      <c r="T239" s="7883"/>
      <c r="U239" s="7883"/>
      <c r="V239" s="7884"/>
      <c r="X239" s="7935"/>
      <c r="Y239" s="7936"/>
      <c r="Z239" s="7936"/>
      <c r="AA239" s="7936"/>
      <c r="AB239" s="7936"/>
      <c r="AC239" s="7936"/>
      <c r="AD239" s="7937"/>
      <c r="AF239" s="2730">
        <v>1</v>
      </c>
    </row>
    <row r="240" spans="2:32" ht="19.5" thickBot="1">
      <c r="B240" s="6649"/>
      <c r="C240" s="6649"/>
      <c r="D240" s="6649"/>
      <c r="E240" s="6649"/>
      <c r="F240" s="6649"/>
      <c r="G240" s="6649"/>
      <c r="H240" s="6649"/>
      <c r="I240" s="6649"/>
      <c r="J240" s="6649"/>
      <c r="K240" s="6649"/>
      <c r="L240" s="6860" t="str">
        <f>IF(ISBLANK(M240),"",LARGE(L228:L239,1)+1)</f>
        <v/>
      </c>
      <c r="M240" s="6888"/>
      <c r="N240" s="6801"/>
      <c r="O240" s="6801"/>
      <c r="P240" s="6801"/>
      <c r="Q240" s="6801"/>
      <c r="R240" s="8020"/>
      <c r="S240" s="7886"/>
      <c r="T240" s="7886"/>
      <c r="U240" s="7886"/>
      <c r="V240" s="7887"/>
      <c r="X240" s="7495"/>
      <c r="Y240" s="7511" t="s">
        <v>7094</v>
      </c>
      <c r="Z240" s="7484" t="s">
        <v>7095</v>
      </c>
      <c r="AA240" s="3047"/>
      <c r="AB240" s="1"/>
      <c r="AC240" s="1"/>
      <c r="AD240" s="2781"/>
      <c r="AF240" s="2730">
        <v>1</v>
      </c>
    </row>
    <row r="241" spans="2:32" ht="16.5" thickTop="1">
      <c r="B241" s="6649"/>
      <c r="C241" s="6649"/>
      <c r="D241" s="6649"/>
      <c r="E241" s="6649"/>
      <c r="F241" s="6649"/>
      <c r="G241" s="6649"/>
      <c r="H241" s="6649"/>
      <c r="I241" s="6649"/>
      <c r="J241" s="6649"/>
      <c r="K241" s="6649"/>
      <c r="L241" s="6860" t="str">
        <f>IF(ISBLANK(M241),"",LARGE(L228:L240,1)+1)</f>
        <v/>
      </c>
      <c r="M241" s="6888"/>
      <c r="N241" s="6801"/>
      <c r="O241" s="6801"/>
      <c r="P241" s="6801"/>
      <c r="Q241" s="6801"/>
      <c r="R241" s="6904">
        <v>120</v>
      </c>
      <c r="S241" s="2873" t="s">
        <v>7113</v>
      </c>
      <c r="T241" s="2873"/>
      <c r="U241" s="12"/>
      <c r="V241" s="2874">
        <f>(R241*R235)/1000</f>
        <v>18</v>
      </c>
      <c r="X241" s="304"/>
      <c r="Y241" s="2820" t="s">
        <v>20</v>
      </c>
      <c r="Z241" s="2821">
        <v>18.824999999999999</v>
      </c>
      <c r="AA241" s="2822" t="s">
        <v>7096</v>
      </c>
      <c r="AB241" s="7512">
        <v>0.15687499999999999</v>
      </c>
      <c r="AC241" s="1"/>
      <c r="AD241" s="2241"/>
      <c r="AF241" s="2730">
        <v>1</v>
      </c>
    </row>
    <row r="242" spans="2:32" ht="15.75">
      <c r="B242" s="6649"/>
      <c r="C242" s="6649"/>
      <c r="D242" s="6649"/>
      <c r="E242" s="6649"/>
      <c r="F242" s="6649"/>
      <c r="G242" s="6649"/>
      <c r="H242" s="6649"/>
      <c r="I242" s="6649"/>
      <c r="J242" s="6649"/>
      <c r="K242" s="6649"/>
      <c r="L242" s="6860" t="str">
        <f>IF(ISBLANK(M242),"",LARGE(L228:L241,1)+1)</f>
        <v/>
      </c>
      <c r="M242" s="6888"/>
      <c r="N242" s="6801"/>
      <c r="O242" s="6801"/>
      <c r="P242" s="6801"/>
      <c r="Q242" s="6801"/>
      <c r="R242" s="6905">
        <v>2.7</v>
      </c>
      <c r="S242" s="2876" t="str">
        <f>"poids par "&amp; R236</f>
        <v>poids par Gastro 1/1</v>
      </c>
      <c r="T242" s="2876"/>
      <c r="U242" s="12"/>
      <c r="V242" s="2781"/>
      <c r="X242" s="294"/>
      <c r="Y242" s="7513" t="s">
        <v>7094</v>
      </c>
      <c r="Z242" s="2825" t="s">
        <v>1254</v>
      </c>
      <c r="AA242" s="2829"/>
      <c r="AB242" s="2829"/>
      <c r="AC242" s="1"/>
      <c r="AD242" s="2241"/>
      <c r="AF242" s="2730">
        <v>1</v>
      </c>
    </row>
    <row r="243" spans="2:32" ht="15.75">
      <c r="B243" s="6649"/>
      <c r="C243" s="6649"/>
      <c r="D243" s="6649"/>
      <c r="E243" s="6649"/>
      <c r="F243" s="6649"/>
      <c r="G243" s="6649"/>
      <c r="H243" s="6649"/>
      <c r="I243" s="6649"/>
      <c r="J243" s="6649"/>
      <c r="K243" s="6649"/>
      <c r="L243" s="6860" t="str">
        <f>IF(ISBLANK(M243),"",LARGE(L228:L242,1)+1)</f>
        <v/>
      </c>
      <c r="M243" s="6888"/>
      <c r="N243" s="6801"/>
      <c r="O243" s="6801"/>
      <c r="P243" s="6801"/>
      <c r="Q243" s="6801"/>
      <c r="R243" s="8021" t="str">
        <f>IF(OR(V241&lt;=0,R242&lt;=0),"",_xlfn.LET(_xlpm.n,ROUND(V241/R242,9),_xlpm.q,INT(_xlpm.n),_xlpm.r,ROUND(V241-_xlpm.q*R242,9),_xlpm.base,_xlpm.q&amp;" "&amp;R236&amp;" de "&amp;TEXT(R242,"0.000")&amp;" kg",IF(_xlpm.r&lt;=0.000000001,_xlpm.base,_xlpm.base&amp;" + 1 "&amp;R236&amp;" de "&amp;TEXT(_xlpm.r,"0.000")&amp;" kg")))</f>
        <v>6 Gastro 1/1 de 2.700 kg + 1 Gastro 1/1 de 1.800 kg</v>
      </c>
      <c r="S243" s="7889"/>
      <c r="T243" s="7889"/>
      <c r="U243" s="7889"/>
      <c r="V243" s="7890"/>
      <c r="X243" s="294"/>
      <c r="Y243" s="2827">
        <v>1</v>
      </c>
      <c r="Z243" s="2828">
        <v>1.5</v>
      </c>
      <c r="AA243" s="2829"/>
      <c r="AB243" s="2829"/>
      <c r="AC243" s="1"/>
      <c r="AD243" s="2241"/>
      <c r="AF243" s="2730">
        <v>1</v>
      </c>
    </row>
    <row r="244" spans="2:32" ht="15.75">
      <c r="B244" s="6649"/>
      <c r="C244" s="6649"/>
      <c r="D244" s="6649"/>
      <c r="E244" s="6649"/>
      <c r="F244" s="6649"/>
      <c r="G244" s="6649"/>
      <c r="H244" s="6649"/>
      <c r="I244" s="6649"/>
      <c r="J244" s="6649"/>
      <c r="K244" s="6649"/>
      <c r="L244" s="6860" t="str">
        <f>IF(ISBLANK(M244),"",LARGE(L228:L243,1)+1)</f>
        <v/>
      </c>
      <c r="M244" s="6888"/>
      <c r="N244" s="6801"/>
      <c r="O244" s="6801"/>
      <c r="P244" s="6801"/>
      <c r="Q244" s="6801"/>
      <c r="R244" s="8021"/>
      <c r="S244" s="7889"/>
      <c r="T244" s="7889"/>
      <c r="U244" s="7889"/>
      <c r="V244" s="7890"/>
      <c r="X244" s="294"/>
      <c r="Y244" s="1"/>
      <c r="Z244" s="1"/>
      <c r="AA244" s="1"/>
      <c r="AB244" s="1"/>
      <c r="AC244" s="1"/>
      <c r="AD244" s="2241"/>
      <c r="AF244" s="2730">
        <v>1</v>
      </c>
    </row>
    <row r="245" spans="2:32" ht="18.75">
      <c r="B245" s="6649"/>
      <c r="C245" s="6649"/>
      <c r="D245" s="6649"/>
      <c r="E245" s="6649"/>
      <c r="F245" s="6649"/>
      <c r="G245" s="6649"/>
      <c r="H245" s="6649"/>
      <c r="I245" s="6649"/>
      <c r="J245" s="6649"/>
      <c r="K245" s="6649"/>
      <c r="L245" s="6860" t="str">
        <f>IF(ISBLANK(M245),"",LARGE(L228:L244,1)+1)</f>
        <v/>
      </c>
      <c r="M245" s="6888"/>
      <c r="N245" s="6801"/>
      <c r="O245" s="6801"/>
      <c r="P245" s="6801"/>
      <c r="Q245" s="6801"/>
      <c r="R245" s="6906"/>
      <c r="S245" s="6906"/>
      <c r="T245" s="6906"/>
      <c r="U245" s="6906"/>
      <c r="V245" s="6907"/>
      <c r="X245" s="7495"/>
      <c r="Y245" s="7514" t="s">
        <v>16150</v>
      </c>
      <c r="Z245" s="7515"/>
      <c r="AA245" s="3047"/>
      <c r="AB245" s="1"/>
      <c r="AC245" s="1"/>
      <c r="AD245" s="2781"/>
      <c r="AF245" s="2730">
        <v>1</v>
      </c>
    </row>
    <row r="246" spans="2:32" ht="16.5" customHeight="1" thickBot="1">
      <c r="B246" s="6649"/>
      <c r="C246" s="6649"/>
      <c r="D246" s="6649"/>
      <c r="E246" s="6649"/>
      <c r="F246" s="6649"/>
      <c r="G246" s="6649"/>
      <c r="H246" s="6649"/>
      <c r="I246" s="6649"/>
      <c r="J246" s="6649"/>
      <c r="K246" s="6649"/>
      <c r="L246" s="6860" t="str">
        <f>IF(ISBLANK(M246),"",LARGE(L228:L245,1)+1)</f>
        <v/>
      </c>
      <c r="M246" s="6888"/>
      <c r="N246" s="6801"/>
      <c r="O246" s="6801"/>
      <c r="P246" s="6801"/>
      <c r="Q246" s="6801"/>
      <c r="R246" s="6801"/>
      <c r="S246" s="6801"/>
      <c r="T246" s="6801"/>
      <c r="U246" s="6801"/>
      <c r="V246" s="6809"/>
      <c r="X246" s="7495"/>
      <c r="Y246" s="7515" t="s">
        <v>16151</v>
      </c>
      <c r="Z246" s="2829"/>
      <c r="AA246" s="2829"/>
      <c r="AB246" s="1"/>
      <c r="AC246" s="1"/>
      <c r="AD246" s="2781"/>
      <c r="AF246" s="2730">
        <v>1</v>
      </c>
    </row>
    <row r="247" spans="2:32" ht="16.5" thickTop="1">
      <c r="B247" s="6649"/>
      <c r="C247" s="6649"/>
      <c r="D247" s="6649"/>
      <c r="E247" s="6649"/>
      <c r="F247" s="6649"/>
      <c r="G247" s="6649"/>
      <c r="H247" s="6649"/>
      <c r="I247" s="6649"/>
      <c r="J247" s="6649"/>
      <c r="K247" s="6649"/>
      <c r="L247" s="6875" t="s">
        <v>15809</v>
      </c>
      <c r="M247" s="6876"/>
      <c r="N247" s="6876"/>
      <c r="O247" s="6876"/>
      <c r="P247" s="6876"/>
      <c r="Q247" s="6876"/>
      <c r="R247" s="6876"/>
      <c r="S247" s="6876"/>
      <c r="T247" s="6876"/>
      <c r="U247" s="6876"/>
      <c r="V247" s="6877" t="s">
        <v>15809</v>
      </c>
      <c r="X247" s="7495"/>
      <c r="Y247" s="7516"/>
      <c r="Z247" s="7517"/>
      <c r="AA247" s="7938" t="s">
        <v>16152</v>
      </c>
      <c r="AB247" s="1"/>
      <c r="AC247" s="1"/>
      <c r="AD247" s="2781"/>
      <c r="AF247" s="2730">
        <v>1</v>
      </c>
    </row>
    <row r="248" spans="2:32" ht="15.75">
      <c r="B248" s="6649"/>
      <c r="C248" s="6649"/>
      <c r="D248" s="6649"/>
      <c r="E248" s="6649"/>
      <c r="F248" s="6649"/>
      <c r="G248" s="6649"/>
      <c r="H248" s="6649"/>
      <c r="I248" s="6649"/>
      <c r="J248" s="6649"/>
      <c r="K248" s="6649"/>
      <c r="L248" s="6863" t="s">
        <v>15792</v>
      </c>
      <c r="M248" s="6792"/>
      <c r="N248" s="6908"/>
      <c r="O248" s="6908"/>
      <c r="P248" s="6908"/>
      <c r="Q248" s="6908"/>
      <c r="R248" s="6908"/>
      <c r="S248" s="6909"/>
      <c r="T248" s="6909"/>
      <c r="U248" s="6909"/>
      <c r="V248" s="6910" t="s">
        <v>15794</v>
      </c>
      <c r="X248" s="7495"/>
      <c r="Y248" s="7518" t="s">
        <v>16070</v>
      </c>
      <c r="Z248" s="7519" t="s">
        <v>16153</v>
      </c>
      <c r="AA248" s="7939"/>
      <c r="AB248" s="3047"/>
      <c r="AC248" s="1"/>
      <c r="AD248" s="2781"/>
      <c r="AF248" s="2730">
        <v>1</v>
      </c>
    </row>
    <row r="249" spans="2:32" ht="18.75">
      <c r="B249" s="6649"/>
      <c r="C249" s="6649"/>
      <c r="D249" s="6649"/>
      <c r="E249" s="6649"/>
      <c r="F249" s="6649"/>
      <c r="G249" s="6649"/>
      <c r="H249" s="6649"/>
      <c r="I249" s="6649"/>
      <c r="J249" s="6649"/>
      <c r="K249" s="6649"/>
      <c r="L249" s="6872">
        <v>0</v>
      </c>
      <c r="M249" s="6800"/>
      <c r="N249" s="6858"/>
      <c r="O249" s="6858"/>
      <c r="P249" s="6858"/>
      <c r="Q249" s="6911" t="s">
        <v>15810</v>
      </c>
      <c r="R249" s="6912" t="s">
        <v>5330</v>
      </c>
      <c r="S249" s="6913"/>
      <c r="T249" s="6913"/>
      <c r="U249" s="6914"/>
      <c r="V249" s="6915"/>
      <c r="X249" s="7495"/>
      <c r="Y249" s="7520">
        <v>20</v>
      </c>
      <c r="Z249" s="6731">
        <v>0.75</v>
      </c>
      <c r="AA249" s="7521" t="s">
        <v>16154</v>
      </c>
      <c r="AB249" s="3047"/>
      <c r="AC249" s="1"/>
      <c r="AD249" s="2781"/>
      <c r="AF249" s="2730">
        <v>1</v>
      </c>
    </row>
    <row r="250" spans="2:32" ht="15.75">
      <c r="B250" s="6649"/>
      <c r="C250" s="6649"/>
      <c r="D250" s="6649"/>
      <c r="E250" s="6649"/>
      <c r="F250" s="6649"/>
      <c r="G250" s="6649"/>
      <c r="H250" s="6649"/>
      <c r="I250" s="6649"/>
      <c r="J250" s="6649"/>
      <c r="K250" s="6649"/>
      <c r="L250" s="6861" t="str">
        <f>IF(ISBLANK(M250),"",LARGE(L249:L249,1)+1)</f>
        <v/>
      </c>
      <c r="M250" s="6801"/>
      <c r="N250" s="6801"/>
      <c r="O250" s="6801"/>
      <c r="P250" s="6801"/>
      <c r="Q250" s="6911" t="s">
        <v>15811</v>
      </c>
      <c r="R250" s="6912" t="s">
        <v>5330</v>
      </c>
      <c r="S250" s="6916"/>
      <c r="T250" s="6916"/>
      <c r="U250" s="6917"/>
      <c r="V250" s="6915"/>
      <c r="X250" s="7495"/>
      <c r="Y250" s="3198" t="s">
        <v>16155</v>
      </c>
      <c r="Z250" s="2834"/>
      <c r="AA250" s="2834"/>
      <c r="AB250" s="3047"/>
      <c r="AC250" s="1"/>
      <c r="AD250" s="2781"/>
      <c r="AF250" s="2730">
        <v>1</v>
      </c>
    </row>
    <row r="251" spans="2:32" ht="15.75" customHeight="1">
      <c r="B251" s="6649"/>
      <c r="C251" s="6649"/>
      <c r="D251" s="6649"/>
      <c r="E251" s="6649"/>
      <c r="F251" s="6649"/>
      <c r="G251" s="6649"/>
      <c r="H251" s="6649"/>
      <c r="I251" s="6649"/>
      <c r="J251" s="6649"/>
      <c r="K251" s="6649"/>
      <c r="L251" s="6861" t="str">
        <f>IF(ISBLANK(M251),"",LARGE(L249:L250,1)+1)</f>
        <v/>
      </c>
      <c r="M251" s="6801"/>
      <c r="N251" s="6801"/>
      <c r="O251" s="6801"/>
      <c r="P251" s="6801"/>
      <c r="Q251" s="6911" t="s">
        <v>15812</v>
      </c>
      <c r="R251" s="6912" t="s">
        <v>5330</v>
      </c>
      <c r="S251" s="6916"/>
      <c r="T251" s="6916"/>
      <c r="U251" s="6917"/>
      <c r="V251" s="6915"/>
      <c r="X251" s="7495"/>
      <c r="Y251" s="3198" t="s">
        <v>16156</v>
      </c>
      <c r="Z251" s="2834"/>
      <c r="AA251" s="2834"/>
      <c r="AB251" s="3047"/>
      <c r="AC251" s="1"/>
      <c r="AD251" s="2781"/>
      <c r="AF251" s="2730">
        <v>1</v>
      </c>
    </row>
    <row r="252" spans="2:32" ht="15.75">
      <c r="B252" s="6649"/>
      <c r="C252" s="1"/>
      <c r="D252" s="1"/>
      <c r="E252" s="1"/>
      <c r="F252" s="6649"/>
      <c r="G252" s="6649"/>
      <c r="H252" s="6649"/>
      <c r="I252" s="6649"/>
      <c r="J252" s="6649"/>
      <c r="K252" s="6649"/>
      <c r="L252" s="6861" t="str">
        <f>IF(ISBLANK(M252),"",LARGE(L249:L251,1)+1)</f>
        <v/>
      </c>
      <c r="M252" s="6801"/>
      <c r="N252" s="6801"/>
      <c r="O252" s="6801"/>
      <c r="P252" s="6801"/>
      <c r="Q252" s="6911" t="s">
        <v>15813</v>
      </c>
      <c r="R252" s="6912" t="s">
        <v>5330</v>
      </c>
      <c r="S252" s="6916"/>
      <c r="T252" s="6916"/>
      <c r="U252" s="6917"/>
      <c r="V252" s="6915"/>
      <c r="X252" s="7495"/>
      <c r="AB252" s="3047"/>
      <c r="AC252" s="1"/>
      <c r="AD252" s="2781"/>
      <c r="AF252" s="2730">
        <v>1</v>
      </c>
    </row>
    <row r="253" spans="2:32" ht="15.75">
      <c r="B253" s="6649"/>
      <c r="C253" s="1"/>
      <c r="D253" s="1"/>
      <c r="E253" s="1"/>
      <c r="F253" s="6649"/>
      <c r="G253" s="6649"/>
      <c r="H253" s="6649"/>
      <c r="I253" s="6649"/>
      <c r="J253" s="6649"/>
      <c r="K253" s="6649"/>
      <c r="L253" s="6861" t="str">
        <f>IF(ISBLANK(M253),"",LARGE(L249:L252,1)+1)</f>
        <v/>
      </c>
      <c r="M253" s="6801"/>
      <c r="N253" s="6801"/>
      <c r="O253" s="6801"/>
      <c r="P253" s="6801"/>
      <c r="Q253" s="6911" t="s">
        <v>15814</v>
      </c>
      <c r="R253" s="6912" t="s">
        <v>5330</v>
      </c>
      <c r="S253" s="6916"/>
      <c r="T253" s="6916"/>
      <c r="U253" s="6917"/>
      <c r="V253" s="6915"/>
      <c r="X253" s="7522" t="s">
        <v>16157</v>
      </c>
      <c r="Y253" s="322"/>
      <c r="Z253" s="322"/>
      <c r="AA253" s="322"/>
      <c r="AB253" s="322"/>
      <c r="AC253" s="322"/>
      <c r="AD253" s="2772"/>
      <c r="AF253" s="2730">
        <v>1</v>
      </c>
    </row>
    <row r="254" spans="2:32" ht="18.75">
      <c r="B254" s="6649"/>
      <c r="C254" s="1"/>
      <c r="D254" s="1"/>
      <c r="E254" s="1"/>
      <c r="F254" s="6649"/>
      <c r="G254" s="6649"/>
      <c r="H254" s="6649"/>
      <c r="I254" s="6649"/>
      <c r="J254" s="6649"/>
      <c r="K254" s="6649"/>
      <c r="L254" s="6861" t="str">
        <f>IF(ISBLANK(M254),"",LARGE(L249:L253,1)+1)</f>
        <v/>
      </c>
      <c r="M254" s="6801"/>
      <c r="N254" s="6801"/>
      <c r="O254" s="6801"/>
      <c r="P254" s="6801"/>
      <c r="Q254" s="6918" t="s">
        <v>15815</v>
      </c>
      <c r="R254" s="6912" t="s">
        <v>5330</v>
      </c>
      <c r="S254" s="6916"/>
      <c r="T254" s="6916"/>
      <c r="U254" s="6917"/>
      <c r="V254" s="6915"/>
      <c r="X254" s="7523" t="s">
        <v>16158</v>
      </c>
      <c r="Y254" s="2771"/>
      <c r="Z254" s="2771"/>
      <c r="AA254" s="2771"/>
      <c r="AB254" s="7464" t="s">
        <v>16159</v>
      </c>
      <c r="AC254" s="2771"/>
      <c r="AD254" s="2772"/>
      <c r="AF254" s="2730">
        <v>1</v>
      </c>
    </row>
    <row r="255" spans="2:32" ht="15.75" customHeight="1">
      <c r="B255" s="6649"/>
      <c r="C255" s="1"/>
      <c r="D255" s="1"/>
      <c r="E255" s="1"/>
      <c r="F255" s="6649"/>
      <c r="G255" s="6649"/>
      <c r="H255" s="6649"/>
      <c r="I255" s="6649"/>
      <c r="J255" s="6649"/>
      <c r="K255" s="6649"/>
      <c r="L255" s="6861" t="str">
        <f>IF(ISBLANK(M255),"",LARGE(L249:L254,1)+1)</f>
        <v/>
      </c>
      <c r="M255" s="6801"/>
      <c r="N255" s="6801"/>
      <c r="O255" s="6801"/>
      <c r="P255" s="6801"/>
      <c r="Q255" s="6911" t="s">
        <v>15816</v>
      </c>
      <c r="R255" s="6912" t="s">
        <v>5330</v>
      </c>
      <c r="S255" s="6916"/>
      <c r="T255" s="6916"/>
      <c r="U255" s="6917"/>
      <c r="V255" s="6915"/>
      <c r="X255" s="2770"/>
      <c r="Y255" s="2771"/>
      <c r="Z255" s="2771"/>
      <c r="AA255" s="2771"/>
      <c r="AB255" s="2771"/>
      <c r="AC255" s="2771"/>
      <c r="AD255" s="2772"/>
      <c r="AF255" s="2730">
        <v>1</v>
      </c>
    </row>
    <row r="256" spans="2:32" ht="15.75">
      <c r="B256" s="6649"/>
      <c r="C256" s="1"/>
      <c r="D256" s="1"/>
      <c r="E256" s="1"/>
      <c r="F256" s="6649"/>
      <c r="G256" s="6649"/>
      <c r="H256" s="6649"/>
      <c r="I256" s="6649"/>
      <c r="J256" s="6649"/>
      <c r="K256" s="6649"/>
      <c r="L256" s="6861" t="str">
        <f>IF(ISBLANK(M256),"",LARGE(L249:L255,1)+1)</f>
        <v/>
      </c>
      <c r="M256" s="6801"/>
      <c r="N256" s="6801"/>
      <c r="O256" s="6801"/>
      <c r="P256" s="6801"/>
      <c r="Q256" s="6911" t="s">
        <v>15817</v>
      </c>
      <c r="R256" s="6912" t="s">
        <v>5330</v>
      </c>
      <c r="S256" s="6916"/>
      <c r="T256" s="6916"/>
      <c r="U256" s="6917"/>
      <c r="V256" s="6915"/>
      <c r="X256" s="7524" t="s">
        <v>15737</v>
      </c>
      <c r="Y256" s="7525" t="s">
        <v>15738</v>
      </c>
      <c r="Z256" s="7526" t="s">
        <v>16160</v>
      </c>
      <c r="AA256" s="7526"/>
      <c r="AB256" s="7526"/>
      <c r="AC256" s="7526"/>
      <c r="AD256" s="2781"/>
      <c r="AF256" s="2730">
        <v>1</v>
      </c>
    </row>
    <row r="257" spans="2:32" ht="15.75">
      <c r="B257" s="6649"/>
      <c r="C257" s="1"/>
      <c r="D257" s="1"/>
      <c r="E257" s="1"/>
      <c r="F257" s="6649"/>
      <c r="G257" s="6649"/>
      <c r="H257" s="6649"/>
      <c r="I257" s="6649"/>
      <c r="J257" s="6649"/>
      <c r="K257" s="6649"/>
      <c r="L257" s="6861" t="str">
        <f>IF(ISBLANK(M257),"",LARGE(L249:L256,1)+1)</f>
        <v/>
      </c>
      <c r="M257" s="6801"/>
      <c r="N257" s="6801"/>
      <c r="O257" s="6801"/>
      <c r="P257" s="6801"/>
      <c r="Q257" s="6911" t="s">
        <v>15818</v>
      </c>
      <c r="R257" s="6912" t="s">
        <v>5330</v>
      </c>
      <c r="S257" s="6916"/>
      <c r="T257" s="6916"/>
      <c r="U257" s="6917"/>
      <c r="V257" s="6915"/>
      <c r="X257" s="7527" t="s">
        <v>373</v>
      </c>
      <c r="Y257" s="6755" t="s">
        <v>1172</v>
      </c>
      <c r="Z257" s="6756" t="s">
        <v>15762</v>
      </c>
      <c r="AA257" s="6759" t="s">
        <v>34</v>
      </c>
      <c r="AB257" s="6759" t="s">
        <v>33</v>
      </c>
      <c r="AC257" s="6759" t="s">
        <v>32</v>
      </c>
      <c r="AD257" s="7528" t="s">
        <v>31</v>
      </c>
      <c r="AF257" s="2730">
        <v>1</v>
      </c>
    </row>
    <row r="258" spans="2:32" ht="15.75">
      <c r="B258" s="6649"/>
      <c r="C258" s="1"/>
      <c r="D258" s="1"/>
      <c r="E258" s="1"/>
      <c r="F258" s="6649"/>
      <c r="G258" s="6649"/>
      <c r="H258" s="6649"/>
      <c r="I258" s="6649"/>
      <c r="J258" s="6649"/>
      <c r="K258" s="6649"/>
      <c r="L258" s="6861" t="str">
        <f>IF(ISBLANK(M258),"",LARGE(L249:L257,1)+1)</f>
        <v/>
      </c>
      <c r="M258" s="6801"/>
      <c r="N258" s="6801"/>
      <c r="O258" s="6801"/>
      <c r="P258" s="6801"/>
      <c r="Q258" s="6911" t="s">
        <v>15819</v>
      </c>
      <c r="R258" s="6912" t="s">
        <v>5330</v>
      </c>
      <c r="S258" s="6916"/>
      <c r="T258" s="6916"/>
      <c r="U258" s="6917"/>
      <c r="V258" s="6915"/>
      <c r="X258" s="7529">
        <v>1</v>
      </c>
      <c r="Y258" s="6764">
        <v>1E-3</v>
      </c>
      <c r="Z258" s="6765">
        <v>0</v>
      </c>
      <c r="AA258" s="6766">
        <v>1</v>
      </c>
      <c r="AB258" s="6766">
        <v>0.1</v>
      </c>
      <c r="AC258" s="6766">
        <v>0.01</v>
      </c>
      <c r="AD258" s="7530">
        <v>1E-3</v>
      </c>
      <c r="AF258" s="2730">
        <v>1</v>
      </c>
    </row>
    <row r="259" spans="2:32" ht="15.75">
      <c r="B259" s="6649"/>
      <c r="C259" s="1"/>
      <c r="D259" s="1"/>
      <c r="E259" s="1"/>
      <c r="F259" s="6649"/>
      <c r="G259" s="6649"/>
      <c r="H259" s="6649"/>
      <c r="I259" s="6649"/>
      <c r="J259" s="6649"/>
      <c r="K259" s="6649"/>
      <c r="L259" s="6861" t="str">
        <f>IF(ISBLANK(M259),"",LARGE(L249:L258,1)+1)</f>
        <v/>
      </c>
      <c r="M259" s="6801"/>
      <c r="N259" s="6801"/>
      <c r="O259" s="6801"/>
      <c r="P259" s="6801"/>
      <c r="Q259" s="6911" t="s">
        <v>15820</v>
      </c>
      <c r="R259" s="6912" t="s">
        <v>5330</v>
      </c>
      <c r="S259" s="6916"/>
      <c r="T259" s="6916"/>
      <c r="U259" s="6917"/>
      <c r="V259" s="6915"/>
      <c r="X259" s="6757" t="s">
        <v>15763</v>
      </c>
      <c r="Y259" s="6758" t="s">
        <v>15764</v>
      </c>
      <c r="Z259" s="6756" t="s">
        <v>15762</v>
      </c>
      <c r="AA259" s="6760" t="s">
        <v>15773</v>
      </c>
      <c r="AB259" s="6760" t="s">
        <v>15790</v>
      </c>
      <c r="AC259" s="6760" t="s">
        <v>15791</v>
      </c>
      <c r="AD259" s="7531" t="s">
        <v>15789</v>
      </c>
      <c r="AF259" s="2730">
        <v>1</v>
      </c>
    </row>
    <row r="260" spans="2:32" ht="15.75">
      <c r="B260" s="6649"/>
      <c r="C260" s="1"/>
      <c r="D260" s="1"/>
      <c r="E260" s="1"/>
      <c r="F260" s="6649"/>
      <c r="G260" s="6649"/>
      <c r="H260" s="6649"/>
      <c r="I260" s="6649"/>
      <c r="J260" s="6649"/>
      <c r="K260" s="6649"/>
      <c r="L260" s="6861" t="str">
        <f>IF(ISBLANK(M260),"",LARGE(L249:L259,1)+1)</f>
        <v/>
      </c>
      <c r="M260" s="6801"/>
      <c r="N260" s="6801"/>
      <c r="O260" s="6801"/>
      <c r="P260" s="6801"/>
      <c r="Q260" s="6911" t="s">
        <v>15821</v>
      </c>
      <c r="R260" s="6912" t="s">
        <v>5330</v>
      </c>
      <c r="S260" s="6916"/>
      <c r="T260" s="6916"/>
      <c r="U260" s="6917"/>
      <c r="V260" s="6915"/>
      <c r="X260" s="7529">
        <v>0.25</v>
      </c>
      <c r="Y260" s="6764">
        <v>0.5</v>
      </c>
      <c r="Z260" s="6765">
        <v>0</v>
      </c>
      <c r="AA260" s="6766">
        <v>0.2</v>
      </c>
      <c r="AB260" s="6766">
        <v>0.1</v>
      </c>
      <c r="AC260" s="6766">
        <v>0.22500000000000001</v>
      </c>
      <c r="AD260" s="7530">
        <v>1.4999999999999999E-2</v>
      </c>
      <c r="AF260" s="2730">
        <v>1</v>
      </c>
    </row>
    <row r="261" spans="2:32" ht="15.75">
      <c r="B261" s="6649"/>
      <c r="C261" s="1"/>
      <c r="D261" s="1"/>
      <c r="E261" s="1"/>
      <c r="F261" s="6649"/>
      <c r="G261" s="6649"/>
      <c r="H261" s="6649"/>
      <c r="I261" s="6649"/>
      <c r="J261" s="6649"/>
      <c r="K261" s="6649"/>
      <c r="L261" s="6861" t="str">
        <f>IF(ISBLANK(M261),"",LARGE(L249:L260,1)+1)</f>
        <v/>
      </c>
      <c r="M261" s="6801"/>
      <c r="N261" s="6801"/>
      <c r="O261" s="6801"/>
      <c r="P261" s="6801"/>
      <c r="Q261" s="6911" t="s">
        <v>2970</v>
      </c>
      <c r="R261" s="6912" t="s">
        <v>5330</v>
      </c>
      <c r="S261" s="6916"/>
      <c r="T261" s="6916"/>
      <c r="U261" s="6917"/>
      <c r="V261" s="6915"/>
      <c r="X261" s="2770"/>
      <c r="Y261" s="2771"/>
      <c r="Z261" s="2771"/>
      <c r="AA261" s="2771"/>
      <c r="AB261" s="2771"/>
      <c r="AC261" s="2771"/>
      <c r="AD261" s="2772"/>
      <c r="AF261" s="2730">
        <v>1</v>
      </c>
    </row>
    <row r="262" spans="2:32" ht="18.75">
      <c r="B262" s="6649"/>
      <c r="C262" s="1"/>
      <c r="D262" s="1"/>
      <c r="E262" s="1"/>
      <c r="F262" s="6649"/>
      <c r="G262" s="6649"/>
      <c r="H262" s="6649"/>
      <c r="I262" s="6649"/>
      <c r="J262" s="6649"/>
      <c r="K262" s="6649"/>
      <c r="L262" s="6861" t="str">
        <f>IF(ISBLANK(M262),"",LARGE(L249:L261,1)+1)</f>
        <v/>
      </c>
      <c r="M262" s="6801"/>
      <c r="N262" s="6801"/>
      <c r="O262" s="6801"/>
      <c r="P262" s="6801"/>
      <c r="Q262" s="6801"/>
      <c r="R262" s="6919" t="s">
        <v>5342</v>
      </c>
      <c r="U262" s="6920"/>
      <c r="V262" s="6921" t="s">
        <v>5342</v>
      </c>
      <c r="X262" s="2770"/>
      <c r="Y262" s="7532" t="s">
        <v>16161</v>
      </c>
      <c r="Z262" s="2771"/>
      <c r="AA262" s="2771"/>
      <c r="AB262" s="6760" t="s">
        <v>15770</v>
      </c>
      <c r="AC262" s="6760" t="s">
        <v>15771</v>
      </c>
      <c r="AD262" s="7531" t="s">
        <v>15772</v>
      </c>
      <c r="AF262" s="2730">
        <v>1</v>
      </c>
    </row>
    <row r="263" spans="2:32" ht="15.75">
      <c r="B263" s="6649"/>
      <c r="C263" s="1"/>
      <c r="D263" s="1"/>
      <c r="E263" s="1"/>
      <c r="F263" s="6649"/>
      <c r="G263" s="6649"/>
      <c r="H263" s="6649"/>
      <c r="I263" s="6649"/>
      <c r="J263" s="6649"/>
      <c r="K263" s="6649"/>
      <c r="L263" s="6861" t="str">
        <f>IF(ISBLANK(M263),"",LARGE(L249:L262,1)+1)</f>
        <v/>
      </c>
      <c r="M263" s="6801"/>
      <c r="N263" s="6801"/>
      <c r="O263" s="6801"/>
      <c r="P263" s="6801"/>
      <c r="Q263" s="6801"/>
      <c r="R263" s="6922"/>
      <c r="S263" s="6922"/>
      <c r="T263" s="6922"/>
      <c r="U263" s="6923"/>
      <c r="V263" s="6924"/>
      <c r="X263" s="2770"/>
      <c r="Y263" s="7399" t="s">
        <v>16162</v>
      </c>
      <c r="Z263" s="2771"/>
      <c r="AA263" s="2771"/>
      <c r="AB263" s="6766">
        <v>0.25</v>
      </c>
      <c r="AC263" s="6766">
        <v>0.5</v>
      </c>
      <c r="AD263" s="7530">
        <v>0.33300000000000002</v>
      </c>
      <c r="AF263" s="2730">
        <v>1</v>
      </c>
    </row>
    <row r="264" spans="2:32" ht="15.75">
      <c r="B264" s="6649"/>
      <c r="C264" s="1"/>
      <c r="D264" s="1"/>
      <c r="E264" s="1"/>
      <c r="F264" s="6649"/>
      <c r="G264" s="6649"/>
      <c r="H264" s="6649"/>
      <c r="I264" s="6649"/>
      <c r="J264" s="6649"/>
      <c r="K264" s="6649"/>
      <c r="L264" s="6861" t="str">
        <f>IF(ISBLANK(M264),"",LARGE(L249:L263,1)+1)</f>
        <v/>
      </c>
      <c r="M264" s="6801"/>
      <c r="N264" s="6801"/>
      <c r="O264" s="6801"/>
      <c r="P264" s="6801"/>
      <c r="Q264" s="6801"/>
      <c r="R264" s="6922"/>
      <c r="S264" s="6922"/>
      <c r="T264" s="6922"/>
      <c r="U264" s="6923"/>
      <c r="V264" s="6924"/>
      <c r="X264" s="2770"/>
      <c r="Y264" s="7533" t="s">
        <v>16163</v>
      </c>
      <c r="Z264" s="2771"/>
      <c r="AA264" s="2771"/>
      <c r="AB264" s="6771" t="s">
        <v>15788</v>
      </c>
      <c r="AC264" s="6770" t="s">
        <v>15787</v>
      </c>
      <c r="AD264" s="7534" t="s">
        <v>16164</v>
      </c>
      <c r="AF264" s="2730">
        <v>1</v>
      </c>
    </row>
    <row r="265" spans="2:32" ht="15.75">
      <c r="B265" s="6649"/>
      <c r="C265" s="1"/>
      <c r="D265" s="1"/>
      <c r="E265" s="1"/>
      <c r="F265" s="6649"/>
      <c r="G265" s="6649"/>
      <c r="H265" s="6649"/>
      <c r="I265" s="6649"/>
      <c r="J265" s="6649"/>
      <c r="K265" s="6649"/>
      <c r="L265" s="6861" t="str">
        <f>IF(ISBLANK(M265),"",LARGE(L249:L264,1)+1)</f>
        <v/>
      </c>
      <c r="M265" s="6801"/>
      <c r="N265" s="6801"/>
      <c r="O265" s="6801"/>
      <c r="P265" s="6801"/>
      <c r="Q265" s="6801"/>
      <c r="R265" s="6922"/>
      <c r="S265" s="6922"/>
      <c r="T265" s="6922"/>
      <c r="U265" s="6923"/>
      <c r="V265" s="6924" t="s">
        <v>7099</v>
      </c>
      <c r="X265" s="2770"/>
      <c r="Y265" s="7533" t="s">
        <v>16165</v>
      </c>
      <c r="Z265" s="2771"/>
      <c r="AA265" s="2771"/>
      <c r="AB265" s="6766">
        <v>4.9299999999999995E-3</v>
      </c>
      <c r="AC265" s="6766">
        <v>0.35</v>
      </c>
      <c r="AD265" s="7530">
        <v>0.25</v>
      </c>
      <c r="AF265" s="2730">
        <v>1</v>
      </c>
    </row>
    <row r="266" spans="2:32" ht="15.75">
      <c r="B266" s="6649"/>
      <c r="C266" s="1"/>
      <c r="D266" s="1"/>
      <c r="E266" s="1"/>
      <c r="F266" s="6649"/>
      <c r="G266" s="6649"/>
      <c r="H266" s="6649"/>
      <c r="I266" s="6649"/>
      <c r="J266" s="6649"/>
      <c r="K266" s="6649"/>
      <c r="L266" s="6860"/>
      <c r="M266" s="6925" t="s">
        <v>15793</v>
      </c>
      <c r="N266" s="6926"/>
      <c r="O266" s="6926"/>
      <c r="P266" s="6927"/>
      <c r="Q266" s="6927"/>
      <c r="R266" s="6927"/>
      <c r="S266" s="6927"/>
      <c r="T266" s="6927"/>
      <c r="U266" s="6927"/>
      <c r="V266" s="6928"/>
      <c r="X266" s="2770"/>
      <c r="Y266" s="2771"/>
      <c r="Z266" s="2771"/>
      <c r="AA266" s="2771"/>
      <c r="AB266" s="2771"/>
      <c r="AC266" s="2771"/>
      <c r="AD266" s="2772"/>
      <c r="AF266" s="2730">
        <v>1</v>
      </c>
    </row>
    <row r="267" spans="2:32" ht="18.75">
      <c r="B267" s="6649"/>
      <c r="C267" s="1"/>
      <c r="D267" s="1"/>
      <c r="E267" s="1"/>
      <c r="F267" s="6649"/>
      <c r="G267" s="6649"/>
      <c r="H267" s="6649"/>
      <c r="I267" s="6649"/>
      <c r="J267" s="6649"/>
      <c r="K267" s="6649"/>
      <c r="L267" s="6860"/>
      <c r="M267" s="6929" t="s">
        <v>15796</v>
      </c>
      <c r="N267" s="6649"/>
      <c r="O267" s="6649"/>
      <c r="P267" s="6801"/>
      <c r="Q267" s="6801"/>
      <c r="R267" s="6801"/>
      <c r="S267" s="6801"/>
      <c r="T267" s="6801"/>
      <c r="U267" s="6801"/>
      <c r="V267" s="6809"/>
      <c r="X267" s="2792"/>
      <c r="Y267" s="2793"/>
      <c r="Z267" s="2794"/>
      <c r="AA267" s="2793"/>
      <c r="AB267" s="2793"/>
      <c r="AC267" s="2793"/>
      <c r="AD267" s="2795"/>
      <c r="AF267" s="2730">
        <v>1</v>
      </c>
    </row>
    <row r="268" spans="2:32" ht="15.75">
      <c r="B268" s="6649"/>
      <c r="C268" s="1"/>
      <c r="D268" s="1"/>
      <c r="E268" s="1"/>
      <c r="F268" s="6649"/>
      <c r="G268" s="6649"/>
      <c r="H268" s="6649"/>
      <c r="I268" s="6649"/>
      <c r="J268" s="6649"/>
      <c r="K268" s="6649"/>
      <c r="L268" s="6875" t="s">
        <v>15809</v>
      </c>
      <c r="M268" s="6876"/>
      <c r="N268" s="6876"/>
      <c r="O268" s="6876"/>
      <c r="P268" s="6876"/>
      <c r="Q268" s="6876"/>
      <c r="R268" s="6876"/>
      <c r="S268" s="6876"/>
      <c r="T268" s="6876"/>
      <c r="U268" s="6876"/>
      <c r="V268" s="6877" t="s">
        <v>15809</v>
      </c>
      <c r="X268" s="7535"/>
      <c r="Y268" s="2771"/>
      <c r="Z268" s="2771"/>
      <c r="AA268" s="2771"/>
      <c r="AB268" s="2771"/>
      <c r="AC268" s="2771"/>
      <c r="AD268" s="2772"/>
      <c r="AF268" s="2730">
        <v>1</v>
      </c>
    </row>
    <row r="269" spans="2:32" ht="15.75">
      <c r="B269" s="6649"/>
      <c r="C269" s="1"/>
      <c r="D269" s="1"/>
      <c r="E269" s="1"/>
      <c r="F269" s="6649"/>
      <c r="G269" s="6649"/>
      <c r="H269" s="6649"/>
      <c r="I269" s="6649"/>
      <c r="J269" s="6649"/>
      <c r="K269" s="6649"/>
      <c r="L269" s="6863" t="s">
        <v>15792</v>
      </c>
      <c r="M269" s="6879"/>
      <c r="N269" s="6792"/>
      <c r="O269" s="6792"/>
      <c r="P269" s="6792"/>
      <c r="Q269" s="6792"/>
      <c r="R269" s="6792"/>
      <c r="S269" s="6930"/>
      <c r="T269" s="6930"/>
      <c r="U269" s="6930"/>
      <c r="V269" s="6931" t="s">
        <v>15822</v>
      </c>
      <c r="X269" s="7536" t="s">
        <v>16166</v>
      </c>
      <c r="Y269" s="2771"/>
      <c r="Z269" s="2771"/>
      <c r="AA269" s="2771"/>
      <c r="AB269" s="2771"/>
      <c r="AC269" s="2771"/>
      <c r="AD269" s="2772"/>
      <c r="AF269" s="2730">
        <v>1</v>
      </c>
    </row>
    <row r="270" spans="2:32" ht="18.75">
      <c r="B270" s="6649"/>
      <c r="C270" s="1"/>
      <c r="D270" s="1"/>
      <c r="E270" s="1"/>
      <c r="F270" s="6649"/>
      <c r="G270" s="6649"/>
      <c r="H270" s="6649"/>
      <c r="I270" s="6649"/>
      <c r="J270" s="6649"/>
      <c r="K270" s="6649"/>
      <c r="L270" s="6872">
        <v>0</v>
      </c>
      <c r="M270" s="6932"/>
      <c r="N270" s="6933" t="s">
        <v>15823</v>
      </c>
      <c r="O270" s="6933"/>
      <c r="P270" s="3047"/>
      <c r="Q270" s="12"/>
      <c r="R270" s="6649"/>
      <c r="S270" s="6649"/>
      <c r="T270" s="6649"/>
      <c r="U270" s="6649"/>
      <c r="V270" s="6934"/>
      <c r="X270" s="7537" t="s">
        <v>16167</v>
      </c>
      <c r="Y270" s="7538" t="s">
        <v>15714</v>
      </c>
      <c r="Z270" s="7538" t="s">
        <v>15715</v>
      </c>
      <c r="AA270" s="7538" t="s">
        <v>15716</v>
      </c>
      <c r="AB270" s="7538" t="s">
        <v>15717</v>
      </c>
      <c r="AC270" s="7539" t="s">
        <v>16168</v>
      </c>
      <c r="AD270" s="2772"/>
      <c r="AF270" s="2730">
        <v>1</v>
      </c>
    </row>
    <row r="271" spans="2:32" ht="15.75" customHeight="1">
      <c r="B271" s="6649"/>
      <c r="C271" s="1"/>
      <c r="D271" s="1"/>
      <c r="E271" s="1"/>
      <c r="F271" s="6649"/>
      <c r="G271" s="6649"/>
      <c r="H271" s="6649"/>
      <c r="I271" s="6649"/>
      <c r="J271" s="6649"/>
      <c r="K271" s="6649"/>
      <c r="L271" s="6860" t="str">
        <f>IF(ISBLANK(M271),"",LARGE(L270:L270,1)+1)</f>
        <v/>
      </c>
      <c r="M271" s="6888"/>
      <c r="N271" s="8001" t="s">
        <v>15824</v>
      </c>
      <c r="O271" s="8001"/>
      <c r="P271" s="8001"/>
      <c r="Q271" s="8001"/>
      <c r="R271" s="8001"/>
      <c r="S271" s="8001"/>
      <c r="T271" s="8001"/>
      <c r="U271" s="8001"/>
      <c r="V271" s="8002"/>
      <c r="X271" s="7540"/>
      <c r="Y271" s="7541" t="s">
        <v>16169</v>
      </c>
      <c r="Z271" s="7542"/>
      <c r="AA271" s="7542"/>
      <c r="AB271" s="2771"/>
      <c r="AC271" s="2771"/>
      <c r="AD271" s="2772"/>
      <c r="AF271" s="2730">
        <v>1</v>
      </c>
    </row>
    <row r="272" spans="2:32" ht="15.75">
      <c r="B272" s="6649"/>
      <c r="C272" s="1"/>
      <c r="D272" s="1"/>
      <c r="E272" s="1"/>
      <c r="F272" s="6649"/>
      <c r="G272" s="6649"/>
      <c r="H272" s="6649"/>
      <c r="I272" s="6649"/>
      <c r="J272" s="6649"/>
      <c r="K272" s="6649"/>
      <c r="L272" s="6860" t="str">
        <f>IF(ISBLANK(M272),"",LARGE(L270:L271,1)+1)</f>
        <v/>
      </c>
      <c r="M272" s="6888"/>
      <c r="N272" s="8001"/>
      <c r="O272" s="8001"/>
      <c r="P272" s="8001"/>
      <c r="Q272" s="8001"/>
      <c r="R272" s="8001"/>
      <c r="S272" s="8001"/>
      <c r="T272" s="8001"/>
      <c r="U272" s="8001"/>
      <c r="V272" s="8002"/>
      <c r="X272" s="7535"/>
      <c r="Y272" s="7940" t="s">
        <v>16170</v>
      </c>
      <c r="Z272" s="7941">
        <v>10</v>
      </c>
      <c r="AA272" s="7942" t="s">
        <v>15864</v>
      </c>
      <c r="AB272" s="7940" t="s">
        <v>16171</v>
      </c>
      <c r="AC272" s="2771"/>
      <c r="AD272" s="2772"/>
      <c r="AF272" s="2730">
        <v>1</v>
      </c>
    </row>
    <row r="273" spans="2:32" ht="15.75">
      <c r="B273" s="6649"/>
      <c r="C273" s="1"/>
      <c r="D273" s="1"/>
      <c r="E273" s="1"/>
      <c r="F273" s="6649"/>
      <c r="G273" s="6649"/>
      <c r="H273" s="6649"/>
      <c r="I273" s="6649"/>
      <c r="J273" s="6649"/>
      <c r="K273" s="6649"/>
      <c r="L273" s="6860" t="str">
        <f>IF(ISBLANK(M273),"",LARGE(L270:L272,1)+1)</f>
        <v/>
      </c>
      <c r="M273" s="6888"/>
      <c r="N273" s="8001"/>
      <c r="O273" s="8001"/>
      <c r="P273" s="8001"/>
      <c r="Q273" s="8001"/>
      <c r="R273" s="8001"/>
      <c r="S273" s="8001"/>
      <c r="T273" s="8001"/>
      <c r="U273" s="8001"/>
      <c r="V273" s="8002"/>
      <c r="X273" s="7535"/>
      <c r="Y273" s="7940"/>
      <c r="Z273" s="7941"/>
      <c r="AA273" s="7942"/>
      <c r="AB273" s="7940"/>
      <c r="AC273" s="2771"/>
      <c r="AD273" s="2772"/>
      <c r="AF273" s="2730">
        <v>1</v>
      </c>
    </row>
    <row r="274" spans="2:32" ht="15.75">
      <c r="B274" s="6649"/>
      <c r="C274" s="1"/>
      <c r="D274" s="1"/>
      <c r="E274" s="1"/>
      <c r="F274" s="6649"/>
      <c r="G274" s="6649"/>
      <c r="H274" s="6649"/>
      <c r="I274" s="6649"/>
      <c r="J274" s="6649"/>
      <c r="K274" s="6649"/>
      <c r="L274" s="6860" t="str">
        <f>IF(ISBLANK(M274),"",LARGE(L270:L273,1)+1)</f>
        <v/>
      </c>
      <c r="M274" s="6888"/>
      <c r="N274" s="6935" t="s">
        <v>15825</v>
      </c>
      <c r="O274" s="6935"/>
      <c r="P274" s="6936"/>
      <c r="Q274" s="6936"/>
      <c r="R274" s="6649"/>
      <c r="S274" s="6649"/>
      <c r="T274" s="6649"/>
      <c r="U274" s="6649"/>
      <c r="V274" s="6934"/>
      <c r="X274" s="7535"/>
      <c r="Y274" s="7940"/>
      <c r="Z274" s="7941"/>
      <c r="AA274" s="7942"/>
      <c r="AB274" s="7940"/>
      <c r="AC274" s="2771"/>
      <c r="AD274" s="2772"/>
      <c r="AF274" s="2730">
        <v>1</v>
      </c>
    </row>
    <row r="275" spans="2:32" ht="15.75">
      <c r="B275" s="6649"/>
      <c r="C275" s="1"/>
      <c r="D275" s="1"/>
      <c r="E275" s="1"/>
      <c r="F275" s="6649"/>
      <c r="G275" s="6649"/>
      <c r="H275" s="6649"/>
      <c r="I275" s="6649"/>
      <c r="J275" s="6649"/>
      <c r="K275" s="6649"/>
      <c r="L275" s="6860" t="str">
        <f>IF(ISBLANK(M275),"",LARGE(L270:L274,1)+1)</f>
        <v/>
      </c>
      <c r="M275" s="6888"/>
      <c r="N275" s="6937" t="s">
        <v>15826</v>
      </c>
      <c r="O275" s="6937"/>
      <c r="P275" s="6938"/>
      <c r="Q275" s="6938"/>
      <c r="R275" s="6649"/>
      <c r="S275" s="6649"/>
      <c r="T275" s="6649"/>
      <c r="U275" s="6649"/>
      <c r="V275" s="6934"/>
      <c r="X275" s="7535"/>
      <c r="Y275" s="7940"/>
      <c r="Z275" s="7941"/>
      <c r="AA275" s="7942"/>
      <c r="AB275" s="7940"/>
      <c r="AC275" s="2771"/>
      <c r="AD275" s="2772"/>
      <c r="AF275" s="2730">
        <v>1</v>
      </c>
    </row>
    <row r="276" spans="2:32" ht="15.75">
      <c r="B276" s="6649"/>
      <c r="C276" s="1"/>
      <c r="D276" s="1"/>
      <c r="E276" s="1"/>
      <c r="F276" s="6649"/>
      <c r="G276" s="6649"/>
      <c r="H276" s="6649"/>
      <c r="I276" s="6649"/>
      <c r="J276" s="6649"/>
      <c r="K276" s="6649"/>
      <c r="L276" s="6860" t="str">
        <f>IF(ISBLANK(M276),"",LARGE(L270:L275,1)+1)</f>
        <v/>
      </c>
      <c r="M276" s="6888"/>
      <c r="N276" s="8003" t="s">
        <v>15827</v>
      </c>
      <c r="O276" s="8003"/>
      <c r="P276" s="8003"/>
      <c r="Q276" s="8003"/>
      <c r="R276" s="8003"/>
      <c r="S276" s="8003"/>
      <c r="T276" s="8003"/>
      <c r="U276" s="8003"/>
      <c r="V276" s="8004"/>
      <c r="X276" s="7535"/>
      <c r="Y276" s="7940"/>
      <c r="Z276" s="7941"/>
      <c r="AA276" s="7942"/>
      <c r="AB276" s="7940"/>
      <c r="AC276" s="2771"/>
      <c r="AD276" s="2772"/>
      <c r="AF276" s="2730">
        <v>1</v>
      </c>
    </row>
    <row r="277" spans="2:32" ht="15.75">
      <c r="B277" s="6649"/>
      <c r="C277" s="1"/>
      <c r="D277" s="1"/>
      <c r="E277" s="1"/>
      <c r="F277" s="6649"/>
      <c r="G277" s="6649"/>
      <c r="H277" s="6649"/>
      <c r="I277" s="6649"/>
      <c r="J277" s="6649"/>
      <c r="K277" s="6649"/>
      <c r="L277" s="6860" t="str">
        <f>IF(ISBLANK(M277),"",LARGE(L270:L276,1)+1)</f>
        <v/>
      </c>
      <c r="M277" s="6888"/>
      <c r="N277" s="8003"/>
      <c r="O277" s="8003"/>
      <c r="P277" s="8003"/>
      <c r="Q277" s="8003"/>
      <c r="R277" s="8003"/>
      <c r="S277" s="8003"/>
      <c r="T277" s="8003"/>
      <c r="U277" s="8003"/>
      <c r="V277" s="8004"/>
      <c r="X277" s="7535"/>
      <c r="Y277" s="7940"/>
      <c r="Z277" s="7941"/>
      <c r="AA277" s="7942"/>
      <c r="AB277" s="7940"/>
      <c r="AC277" s="2771"/>
      <c r="AD277" s="2772"/>
      <c r="AF277" s="2730">
        <v>1</v>
      </c>
    </row>
    <row r="278" spans="2:32" ht="15.75">
      <c r="B278" s="6649"/>
      <c r="C278" s="1"/>
      <c r="D278" s="1"/>
      <c r="E278" s="1"/>
      <c r="F278" s="6649"/>
      <c r="G278" s="6649"/>
      <c r="H278" s="6649"/>
      <c r="I278" s="6649"/>
      <c r="J278" s="6649"/>
      <c r="K278" s="6649"/>
      <c r="L278" s="6860" t="str">
        <f>IF(ISBLANK(M278),"",LARGE(L270:L277,1)+1)</f>
        <v/>
      </c>
      <c r="M278" s="6888"/>
      <c r="N278" s="8003"/>
      <c r="O278" s="8003"/>
      <c r="P278" s="8003"/>
      <c r="Q278" s="8003"/>
      <c r="R278" s="8003"/>
      <c r="S278" s="8003"/>
      <c r="T278" s="8003"/>
      <c r="U278" s="8003"/>
      <c r="V278" s="8004"/>
      <c r="X278" s="7535"/>
      <c r="Y278" s="7940"/>
      <c r="Z278" s="7941"/>
      <c r="AA278" s="7942"/>
      <c r="AB278" s="7940"/>
      <c r="AC278" s="2771"/>
      <c r="AD278" s="2772"/>
      <c r="AF278" s="2730">
        <v>1</v>
      </c>
    </row>
    <row r="279" spans="2:32" ht="15.75">
      <c r="B279" s="6649"/>
      <c r="C279" s="1"/>
      <c r="D279" s="1"/>
      <c r="E279" s="1"/>
      <c r="F279" s="6649"/>
      <c r="G279" s="6649"/>
      <c r="H279" s="6649"/>
      <c r="I279" s="6649"/>
      <c r="J279" s="6649"/>
      <c r="K279" s="6649"/>
      <c r="L279" s="6860" t="str">
        <f>IF(ISBLANK(M279),"",LARGE(L270:L278,1)+1)</f>
        <v/>
      </c>
      <c r="M279" s="6888"/>
      <c r="N279" s="8005"/>
      <c r="O279" s="8005"/>
      <c r="P279" s="8005"/>
      <c r="Q279" s="8005"/>
      <c r="R279" s="8005"/>
      <c r="S279" s="8005"/>
      <c r="T279" s="8005"/>
      <c r="U279" s="8005"/>
      <c r="V279" s="8006"/>
      <c r="X279" s="7535"/>
      <c r="Y279" s="7940"/>
      <c r="Z279" s="3056"/>
      <c r="AA279" s="3056"/>
      <c r="AB279" s="7940"/>
      <c r="AC279" s="2771"/>
      <c r="AD279" s="2772"/>
      <c r="AF279" s="2730">
        <v>1</v>
      </c>
    </row>
    <row r="280" spans="2:32" ht="15.75">
      <c r="B280" s="6649"/>
      <c r="C280" s="1"/>
      <c r="D280" s="1"/>
      <c r="E280" s="1"/>
      <c r="F280" s="6649"/>
      <c r="G280" s="6649"/>
      <c r="H280" s="6649"/>
      <c r="I280" s="6649"/>
      <c r="J280" s="6649"/>
      <c r="K280" s="6649"/>
      <c r="L280" s="6860"/>
      <c r="M280" s="6939" t="s">
        <v>15793</v>
      </c>
      <c r="N280" s="6926"/>
      <c r="O280" s="6926"/>
      <c r="P280" s="6940"/>
      <c r="Q280" s="6940"/>
      <c r="R280" s="6940"/>
      <c r="S280" s="6940"/>
      <c r="T280" s="6940"/>
      <c r="U280" s="6940"/>
      <c r="V280" s="6941" t="s">
        <v>15828</v>
      </c>
      <c r="X280" s="7543" t="s">
        <v>7202</v>
      </c>
      <c r="Y280" s="7544" t="s">
        <v>16172</v>
      </c>
      <c r="Z280" s="7545"/>
      <c r="AA280" s="7545"/>
      <c r="AB280" s="7546" t="s">
        <v>16173</v>
      </c>
      <c r="AC280" s="7545"/>
      <c r="AD280" s="2772"/>
      <c r="AF280" s="2730">
        <v>1</v>
      </c>
    </row>
    <row r="281" spans="2:32" ht="18.75" customHeight="1">
      <c r="B281" s="6649"/>
      <c r="C281" s="1"/>
      <c r="D281" s="1"/>
      <c r="E281" s="1"/>
      <c r="F281" s="6649"/>
      <c r="G281" s="6649"/>
      <c r="H281" s="6649"/>
      <c r="I281" s="6649"/>
      <c r="J281" s="6649"/>
      <c r="K281" s="6649"/>
      <c r="L281" s="6860"/>
      <c r="M281" s="6932" t="s">
        <v>15796</v>
      </c>
      <c r="N281" s="6942"/>
      <c r="O281" s="6942"/>
      <c r="P281" s="6873"/>
      <c r="Q281" s="6873"/>
      <c r="R281" s="6873"/>
      <c r="S281" s="6873"/>
      <c r="T281" s="6873"/>
      <c r="U281" s="6873"/>
      <c r="V281" s="6874"/>
      <c r="X281" s="7547" t="s">
        <v>16174</v>
      </c>
      <c r="Y281" s="2771"/>
      <c r="Z281" s="2771"/>
      <c r="AA281" s="2771"/>
      <c r="AB281" s="2771"/>
      <c r="AC281" s="2771"/>
      <c r="AD281" s="2772"/>
      <c r="AF281" s="2730">
        <v>1</v>
      </c>
    </row>
    <row r="282" spans="2:32" ht="15.75">
      <c r="B282" s="6649"/>
      <c r="C282" s="1"/>
      <c r="D282" s="1"/>
      <c r="E282" s="1"/>
      <c r="F282" s="6649"/>
      <c r="G282" s="6649"/>
      <c r="H282" s="6649"/>
      <c r="I282" s="6649"/>
      <c r="J282" s="6649"/>
      <c r="K282" s="6649"/>
      <c r="L282" s="6860" t="str">
        <f>IF(ISBLANK(M282),"",LARGE(L270:L281,1)+1)</f>
        <v/>
      </c>
      <c r="M282" s="6943"/>
      <c r="N282" s="6944"/>
      <c r="O282" s="6944"/>
      <c r="P282" s="6944"/>
      <c r="Q282" s="6945"/>
      <c r="R282" s="6945"/>
      <c r="S282" s="6945"/>
      <c r="T282" s="6945"/>
      <c r="U282" s="6945"/>
      <c r="V282" s="6946"/>
      <c r="X282" s="7944" t="s">
        <v>16175</v>
      </c>
      <c r="Y282" s="7945"/>
      <c r="Z282" s="7945"/>
      <c r="AA282" s="7945"/>
      <c r="AB282" s="7945"/>
      <c r="AC282" s="7945"/>
      <c r="AD282" s="7946"/>
      <c r="AF282" s="2730">
        <v>1</v>
      </c>
    </row>
    <row r="283" spans="2:32" ht="15.75" customHeight="1">
      <c r="B283" s="6649"/>
      <c r="C283" s="1"/>
      <c r="D283" s="1"/>
      <c r="E283" s="1"/>
      <c r="F283" s="6649"/>
      <c r="G283" s="6649"/>
      <c r="H283" s="6649"/>
      <c r="I283" s="6649"/>
      <c r="J283" s="6649"/>
      <c r="K283" s="6649"/>
      <c r="L283" s="6860" t="str">
        <f>IF(ISBLANK(M283),"",LARGE(L270:L282,1)+1)</f>
        <v/>
      </c>
      <c r="M283" s="6943"/>
      <c r="N283" s="6944"/>
      <c r="O283" s="6944"/>
      <c r="P283" s="6944"/>
      <c r="Q283" s="6945"/>
      <c r="R283" s="6945"/>
      <c r="S283" s="6945"/>
      <c r="T283" s="6945"/>
      <c r="U283" s="6945"/>
      <c r="V283" s="6946"/>
      <c r="X283" s="7944"/>
      <c r="Y283" s="7945"/>
      <c r="Z283" s="7945"/>
      <c r="AA283" s="7945"/>
      <c r="AB283" s="7945"/>
      <c r="AC283" s="7945"/>
      <c r="AD283" s="7946"/>
      <c r="AF283" s="2730">
        <v>1</v>
      </c>
    </row>
    <row r="284" spans="2:32" ht="15.75">
      <c r="B284" s="6649"/>
      <c r="C284" s="1"/>
      <c r="D284" s="1"/>
      <c r="E284" s="1"/>
      <c r="F284" s="6649"/>
      <c r="G284" s="6649"/>
      <c r="H284" s="6649"/>
      <c r="I284" s="6649"/>
      <c r="J284" s="6649"/>
      <c r="K284" s="6649"/>
      <c r="L284" s="6860" t="str">
        <f>IF(ISBLANK(M284),"",LARGE(L270:L283,1)+1)</f>
        <v/>
      </c>
      <c r="M284" s="6943"/>
      <c r="N284" s="6944"/>
      <c r="O284" s="6944"/>
      <c r="P284" s="6944"/>
      <c r="Q284" s="6945"/>
      <c r="R284" s="6945"/>
      <c r="S284" s="6945"/>
      <c r="T284" s="6945"/>
      <c r="U284" s="6945"/>
      <c r="V284" s="6946"/>
      <c r="X284" s="7547" t="s">
        <v>16176</v>
      </c>
      <c r="Y284" s="2771"/>
      <c r="Z284" s="2771"/>
      <c r="AA284" s="2771"/>
      <c r="AB284" s="2771"/>
      <c r="AC284" s="2771"/>
      <c r="AD284" s="2772"/>
      <c r="AF284" s="2730">
        <v>1</v>
      </c>
    </row>
    <row r="285" spans="2:32" ht="15.75">
      <c r="B285" s="6649"/>
      <c r="C285" s="1"/>
      <c r="D285" s="1"/>
      <c r="E285" s="1"/>
      <c r="F285" s="6649"/>
      <c r="G285" s="6649"/>
      <c r="H285" s="6649"/>
      <c r="I285" s="6649"/>
      <c r="J285" s="6649"/>
      <c r="K285" s="6649"/>
      <c r="L285" s="6860" t="str">
        <f>IF(ISBLANK(M285),"",LARGE(L270:L284,1)+1)</f>
        <v/>
      </c>
      <c r="M285" s="6943"/>
      <c r="N285" s="6944"/>
      <c r="O285" s="6944"/>
      <c r="P285" s="6944"/>
      <c r="Q285" s="6945"/>
      <c r="R285" s="6945"/>
      <c r="S285" s="6945"/>
      <c r="T285" s="6945"/>
      <c r="U285" s="6945"/>
      <c r="V285" s="6946"/>
      <c r="X285" s="7547" t="s">
        <v>16177</v>
      </c>
      <c r="Y285" s="2771"/>
      <c r="Z285" s="2771"/>
      <c r="AA285" s="2771"/>
      <c r="AB285" s="2771"/>
      <c r="AC285" s="2771"/>
      <c r="AD285" s="2772"/>
      <c r="AF285" s="2730">
        <v>1</v>
      </c>
    </row>
    <row r="286" spans="2:32" ht="15.75">
      <c r="B286" s="6649"/>
      <c r="C286" s="1"/>
      <c r="D286" s="1"/>
      <c r="E286" s="1"/>
      <c r="F286" s="6649"/>
      <c r="G286" s="6649"/>
      <c r="H286" s="6649"/>
      <c r="I286" s="6649"/>
      <c r="J286" s="6649"/>
      <c r="K286" s="6649"/>
      <c r="L286" s="6860" t="str">
        <f>IF(ISBLANK(M286),"",LARGE(L270:L285,1)+1)</f>
        <v/>
      </c>
      <c r="M286" s="6943"/>
      <c r="N286" s="6944"/>
      <c r="O286" s="6944"/>
      <c r="P286" s="6944"/>
      <c r="Q286" s="6945"/>
      <c r="R286" s="6945"/>
      <c r="S286" s="6945"/>
      <c r="T286" s="6945"/>
      <c r="U286" s="6945"/>
      <c r="V286" s="6946"/>
      <c r="X286" s="7547" t="s">
        <v>16178</v>
      </c>
      <c r="Y286" s="7548"/>
      <c r="Z286" s="2771"/>
      <c r="AA286" s="2771"/>
      <c r="AB286" s="2771"/>
      <c r="AC286" s="2771"/>
      <c r="AD286" s="2772"/>
      <c r="AF286" s="2730">
        <v>1</v>
      </c>
    </row>
    <row r="287" spans="2:32" ht="15.75">
      <c r="B287" s="6649"/>
      <c r="C287" s="1"/>
      <c r="D287" s="1"/>
      <c r="E287" s="1"/>
      <c r="F287" s="6649"/>
      <c r="G287" s="6649"/>
      <c r="H287" s="6649"/>
      <c r="I287" s="6649"/>
      <c r="J287" s="6649"/>
      <c r="K287" s="6649"/>
      <c r="L287" s="6860" t="str">
        <f>IF(ISBLANK(M287),"",LARGE(L270:L286,1)+1)</f>
        <v/>
      </c>
      <c r="M287" s="6943"/>
      <c r="N287" s="6944"/>
      <c r="O287" s="6944"/>
      <c r="P287" s="6944"/>
      <c r="Q287" s="6945"/>
      <c r="R287" s="6945"/>
      <c r="S287" s="6945"/>
      <c r="T287" s="6945"/>
      <c r="U287" s="6945"/>
      <c r="V287" s="6946"/>
      <c r="X287" s="7549" t="s">
        <v>15717</v>
      </c>
      <c r="Y287" s="7550"/>
      <c r="Z287" s="7551"/>
      <c r="AA287" s="7552"/>
      <c r="AB287" s="7552"/>
      <c r="AC287" s="7553"/>
      <c r="AD287" s="7554"/>
      <c r="AF287" s="2730">
        <v>1</v>
      </c>
    </row>
    <row r="288" spans="2:32" ht="15.75" customHeight="1">
      <c r="B288" s="6649"/>
      <c r="C288" s="1"/>
      <c r="D288" s="1"/>
      <c r="E288" s="1"/>
      <c r="F288" s="6649"/>
      <c r="G288" s="6649"/>
      <c r="H288" s="6649"/>
      <c r="I288" s="6649"/>
      <c r="J288" s="6649"/>
      <c r="K288" s="6649"/>
      <c r="L288" s="6860" t="str">
        <f>IF(ISBLANK(M288),"",LARGE(L270:L287,1)+1)</f>
        <v/>
      </c>
      <c r="M288" s="6943"/>
      <c r="N288" s="6944"/>
      <c r="O288" s="6944"/>
      <c r="P288" s="6944"/>
      <c r="Q288" s="6945"/>
      <c r="R288" s="6945"/>
      <c r="S288" s="6945"/>
      <c r="T288" s="6945"/>
      <c r="U288" s="6945"/>
      <c r="V288" s="6946"/>
      <c r="X288" s="7555" t="s">
        <v>16179</v>
      </c>
      <c r="Y288" s="7556"/>
      <c r="Z288" s="7556"/>
      <c r="AA288" s="7557"/>
      <c r="AB288" s="7557"/>
      <c r="AC288" s="7557"/>
      <c r="AD288" s="7558"/>
      <c r="AF288" s="2730">
        <v>1</v>
      </c>
    </row>
    <row r="289" spans="2:32" ht="15.75">
      <c r="B289" s="6649"/>
      <c r="C289" s="1"/>
      <c r="D289" s="1"/>
      <c r="E289" s="1"/>
      <c r="F289" s="6649"/>
      <c r="G289" s="6649"/>
      <c r="H289" s="6649"/>
      <c r="I289" s="6649"/>
      <c r="J289" s="6649"/>
      <c r="K289" s="6649"/>
      <c r="L289" s="6875" t="s">
        <v>15809</v>
      </c>
      <c r="M289" s="6876"/>
      <c r="N289" s="6876"/>
      <c r="O289" s="6876"/>
      <c r="P289" s="6876"/>
      <c r="Q289" s="6876"/>
      <c r="R289" s="6876"/>
      <c r="S289" s="6876"/>
      <c r="T289" s="6876"/>
      <c r="U289" s="6876"/>
      <c r="V289" s="6877" t="s">
        <v>15809</v>
      </c>
      <c r="X289" s="2836" t="s">
        <v>15793</v>
      </c>
      <c r="Y289" s="6938"/>
      <c r="Z289" s="6938"/>
      <c r="AA289" s="6938"/>
      <c r="AB289" s="6938"/>
      <c r="AC289" s="6938"/>
      <c r="AD289" s="7559"/>
      <c r="AF289" s="2730">
        <v>1</v>
      </c>
    </row>
    <row r="290" spans="2:32" ht="15.75">
      <c r="B290" s="6649"/>
      <c r="C290" s="1"/>
      <c r="D290" s="1"/>
      <c r="E290" s="1"/>
      <c r="F290" s="6649"/>
      <c r="G290" s="6649"/>
      <c r="H290" s="6649"/>
      <c r="I290" s="6649"/>
      <c r="J290" s="6649"/>
      <c r="K290" s="6649"/>
      <c r="L290" s="6863" t="s">
        <v>15792</v>
      </c>
      <c r="M290" s="6947"/>
      <c r="N290" s="6908"/>
      <c r="O290" s="6908"/>
      <c r="P290" s="6908"/>
      <c r="Q290" s="6908"/>
      <c r="R290" s="6908"/>
      <c r="S290" s="6909"/>
      <c r="T290" s="6909"/>
      <c r="U290" s="6909"/>
      <c r="V290" s="6910" t="s">
        <v>15829</v>
      </c>
      <c r="X290" s="2839" t="s">
        <v>7097</v>
      </c>
      <c r="Y290" s="2840"/>
      <c r="Z290" s="2840"/>
      <c r="AA290" s="2840"/>
      <c r="AB290" s="2840"/>
      <c r="AC290" s="2840"/>
      <c r="AD290" s="2841"/>
      <c r="AF290" s="2730">
        <v>1</v>
      </c>
    </row>
    <row r="291" spans="2:32" ht="15.75">
      <c r="B291" s="6649"/>
      <c r="C291" s="1"/>
      <c r="D291" s="1"/>
      <c r="E291" s="1"/>
      <c r="F291" s="6649"/>
      <c r="G291" s="6649"/>
      <c r="H291" s="6649"/>
      <c r="I291" s="6649"/>
      <c r="J291" s="6649"/>
      <c r="K291" s="6649"/>
      <c r="L291" s="6872">
        <v>0</v>
      </c>
      <c r="M291" s="6943"/>
      <c r="N291" s="6948"/>
      <c r="O291" s="6948"/>
      <c r="P291" s="6222"/>
      <c r="Q291" s="6949" t="s">
        <v>15830</v>
      </c>
      <c r="R291" s="6950"/>
      <c r="S291" s="6951"/>
      <c r="T291" s="6952"/>
      <c r="U291" s="6951"/>
      <c r="V291" s="6953" t="s">
        <v>15831</v>
      </c>
      <c r="X291" s="2839" t="s">
        <v>7098</v>
      </c>
      <c r="Y291" s="2840"/>
      <c r="Z291" s="2840"/>
      <c r="AA291" s="2840"/>
      <c r="AB291" s="2840"/>
      <c r="AC291" s="2840"/>
      <c r="AD291" s="2841"/>
      <c r="AF291" s="2730">
        <v>1</v>
      </c>
    </row>
    <row r="292" spans="2:32" ht="15.75">
      <c r="B292" s="6649"/>
      <c r="C292" s="1"/>
      <c r="D292" s="1"/>
      <c r="E292" s="1"/>
      <c r="F292" s="6649"/>
      <c r="G292" s="6649"/>
      <c r="H292" s="6649"/>
      <c r="I292" s="6649"/>
      <c r="J292" s="6649"/>
      <c r="K292" s="6649"/>
      <c r="L292" s="6860" t="str">
        <f>IF(ISBLANK(M292),"",LARGE(L291:L291,1)+1)</f>
        <v/>
      </c>
      <c r="M292" s="6943"/>
      <c r="N292" s="6873"/>
      <c r="O292" s="6873"/>
      <c r="P292" s="6222"/>
      <c r="Q292" s="6954" t="s">
        <v>15832</v>
      </c>
      <c r="R292" s="6950">
        <v>3</v>
      </c>
      <c r="S292" s="6955"/>
      <c r="T292" s="6955"/>
      <c r="U292" s="6955" t="s">
        <v>15833</v>
      </c>
      <c r="V292" s="6915" t="s">
        <v>5330</v>
      </c>
      <c r="X292" s="2842" t="s">
        <v>7099</v>
      </c>
      <c r="Y292" s="2840"/>
      <c r="Z292" s="2840"/>
      <c r="AA292" s="2840"/>
      <c r="AB292" s="2840"/>
      <c r="AC292" s="2840"/>
      <c r="AD292" s="2843"/>
      <c r="AF292" s="2730">
        <v>1</v>
      </c>
    </row>
    <row r="293" spans="2:32" ht="18.75">
      <c r="B293" s="6649"/>
      <c r="C293" s="1"/>
      <c r="D293" s="1"/>
      <c r="E293" s="1"/>
      <c r="F293" s="6649"/>
      <c r="G293" s="6649"/>
      <c r="H293" s="6649"/>
      <c r="I293" s="6649"/>
      <c r="J293" s="6649"/>
      <c r="K293" s="6649"/>
      <c r="L293" s="6860" t="str">
        <f>IF(ISBLANK(M293),"",LARGE(L291:L292,1)+1)</f>
        <v/>
      </c>
      <c r="M293" s="6943"/>
      <c r="N293" s="6873"/>
      <c r="O293" s="6873"/>
      <c r="P293" s="6222"/>
      <c r="Q293" s="6954" t="s">
        <v>15834</v>
      </c>
      <c r="R293" s="6950"/>
      <c r="S293" s="6955"/>
      <c r="T293" s="6955"/>
      <c r="U293" s="6955" t="s">
        <v>15835</v>
      </c>
      <c r="V293" s="6956"/>
      <c r="X293" s="2842"/>
      <c r="Y293" s="2840"/>
      <c r="Z293" s="2840"/>
      <c r="AA293" s="2840"/>
      <c r="AB293" s="2840"/>
      <c r="AC293" s="2840"/>
      <c r="AD293" s="2843"/>
      <c r="AF293" s="2730">
        <v>1</v>
      </c>
    </row>
    <row r="294" spans="2:32" ht="15.75">
      <c r="B294" s="6649"/>
      <c r="C294" s="1"/>
      <c r="D294" s="1"/>
      <c r="E294" s="1"/>
      <c r="F294" s="6649"/>
      <c r="G294" s="6649"/>
      <c r="H294" s="6649"/>
      <c r="I294" s="6649"/>
      <c r="J294" s="6649"/>
      <c r="K294" s="6649"/>
      <c r="L294" s="6860" t="str">
        <f>IF(ISBLANK(M294),"",LARGE(L291:L293,1)+1)</f>
        <v/>
      </c>
      <c r="M294" s="6943"/>
      <c r="N294" s="6873"/>
      <c r="O294" s="6873"/>
      <c r="P294" s="6222"/>
      <c r="Q294" s="6954" t="s">
        <v>15836</v>
      </c>
      <c r="R294" s="6950">
        <v>1</v>
      </c>
      <c r="S294" s="6957"/>
      <c r="T294" s="6957"/>
      <c r="U294" s="6957" t="s">
        <v>15837</v>
      </c>
      <c r="V294" s="6958"/>
      <c r="X294" s="7560"/>
      <c r="Y294" s="2845"/>
      <c r="Z294" s="2845" t="s">
        <v>7100</v>
      </c>
      <c r="AA294" s="2846" t="s">
        <v>7101</v>
      </c>
      <c r="AB294" s="2847"/>
      <c r="AC294" s="2847"/>
      <c r="AD294" s="7561"/>
      <c r="AF294" s="2730">
        <v>1</v>
      </c>
    </row>
    <row r="295" spans="2:32" ht="18.75">
      <c r="B295" s="6649"/>
      <c r="C295" s="1"/>
      <c r="D295" s="1"/>
      <c r="E295" s="1"/>
      <c r="F295" s="6649"/>
      <c r="G295" s="6649"/>
      <c r="H295" s="6649"/>
      <c r="I295" s="6649"/>
      <c r="J295" s="6649"/>
      <c r="K295" s="6649"/>
      <c r="L295" s="6860" t="str">
        <f>IF(ISBLANK(M295),"",LARGE(L291:L294,1)+1)</f>
        <v/>
      </c>
      <c r="M295" s="6943"/>
      <c r="N295" s="6873"/>
      <c r="O295" s="6873"/>
      <c r="P295" s="6222"/>
      <c r="Q295" s="6954" t="s">
        <v>15838</v>
      </c>
      <c r="R295" s="6950"/>
      <c r="S295" s="6955"/>
      <c r="T295" s="6955"/>
      <c r="U295" s="6955" t="s">
        <v>15833</v>
      </c>
      <c r="V295" s="6956"/>
      <c r="X295" s="2830"/>
      <c r="Y295" s="2831"/>
      <c r="Z295" s="2832"/>
      <c r="AA295" s="2833"/>
      <c r="AB295" s="2834"/>
      <c r="AC295" s="2834"/>
      <c r="AD295" s="2835"/>
      <c r="AF295" s="2730">
        <v>1</v>
      </c>
    </row>
    <row r="296" spans="2:32" ht="18.75">
      <c r="B296" s="6649"/>
      <c r="C296" s="1"/>
      <c r="D296" s="1"/>
      <c r="E296" s="1"/>
      <c r="F296" s="6649"/>
      <c r="G296" s="6649"/>
      <c r="H296" s="6649"/>
      <c r="I296" s="6649"/>
      <c r="J296" s="6649"/>
      <c r="K296" s="6649"/>
      <c r="L296" s="6860" t="str">
        <f>IF(ISBLANK(M296),"",LARGE(L291:L295,1)+1)</f>
        <v/>
      </c>
      <c r="M296" s="6943"/>
      <c r="N296" s="6873"/>
      <c r="O296" s="6873"/>
      <c r="P296" s="6222"/>
      <c r="Q296" s="6954" t="s">
        <v>15839</v>
      </c>
      <c r="R296" s="6950"/>
      <c r="S296" s="6955"/>
      <c r="T296" s="6955"/>
      <c r="U296" s="6955" t="s">
        <v>15840</v>
      </c>
      <c r="V296" s="6956"/>
      <c r="X296" s="7562"/>
      <c r="Y296" s="7563"/>
      <c r="Z296" s="7564"/>
      <c r="AA296" s="7565"/>
      <c r="AB296" s="7564"/>
      <c r="AC296" s="7564"/>
      <c r="AD296" s="7566"/>
      <c r="AF296" s="2730">
        <v>1</v>
      </c>
    </row>
    <row r="297" spans="2:32" ht="15.75">
      <c r="B297" s="6649"/>
      <c r="C297" s="1"/>
      <c r="D297" s="1"/>
      <c r="E297" s="1"/>
      <c r="F297" s="6649"/>
      <c r="G297" s="6649"/>
      <c r="H297" s="6649"/>
      <c r="I297" s="6649"/>
      <c r="J297" s="6649"/>
      <c r="K297" s="6649"/>
      <c r="L297" s="6860" t="str">
        <f>IF(ISBLANK(M297),"",LARGE(L291:L296,1)+1)</f>
        <v/>
      </c>
      <c r="M297" s="6943"/>
      <c r="N297" s="6873"/>
      <c r="O297" s="6873"/>
      <c r="P297" s="6222"/>
      <c r="Q297" s="6954" t="s">
        <v>15841</v>
      </c>
      <c r="R297" s="6950"/>
      <c r="S297" s="6955"/>
      <c r="T297" s="6955"/>
      <c r="U297" s="6955" t="s">
        <v>15835</v>
      </c>
      <c r="V297" s="6959" t="s">
        <v>4403</v>
      </c>
      <c r="X297" s="294"/>
      <c r="AC297" s="1"/>
      <c r="AD297" s="2241"/>
      <c r="AF297" s="2730">
        <v>1</v>
      </c>
    </row>
    <row r="298" spans="2:32" ht="24" thickBot="1">
      <c r="B298" s="6649"/>
      <c r="C298" s="1"/>
      <c r="D298" s="1"/>
      <c r="E298" s="1"/>
      <c r="F298" s="6649"/>
      <c r="G298" s="6649"/>
      <c r="H298" s="6649"/>
      <c r="I298" s="6649"/>
      <c r="J298" s="6649"/>
      <c r="K298" s="6649"/>
      <c r="L298" s="6860" t="str">
        <f>IF(ISBLANK(M298),"",LARGE(L291:L297,1)+1)</f>
        <v/>
      </c>
      <c r="M298" s="6943"/>
      <c r="N298" s="6873"/>
      <c r="O298" s="6873"/>
      <c r="P298" s="6222"/>
      <c r="Q298" s="6954" t="s">
        <v>15842</v>
      </c>
      <c r="R298" s="6960"/>
      <c r="S298" s="6961"/>
      <c r="T298" s="6961"/>
      <c r="U298" s="6961" t="s">
        <v>15843</v>
      </c>
      <c r="V298" s="6958"/>
      <c r="X298" s="294"/>
      <c r="Y298" s="2849"/>
      <c r="Z298" s="2309"/>
      <c r="AA298" s="2850" t="s">
        <v>7102</v>
      </c>
      <c r="AB298" s="2851" t="s">
        <v>7103</v>
      </c>
      <c r="AC298" s="1"/>
      <c r="AD298" s="2241"/>
      <c r="AF298" s="2730">
        <v>1</v>
      </c>
    </row>
    <row r="299" spans="2:32" ht="24" thickTop="1">
      <c r="B299" s="6649"/>
      <c r="C299" s="1"/>
      <c r="D299" s="1"/>
      <c r="E299" s="1"/>
      <c r="F299" s="6649"/>
      <c r="G299" s="6649"/>
      <c r="H299" s="6649"/>
      <c r="I299" s="6649"/>
      <c r="J299" s="6649"/>
      <c r="K299" s="6649"/>
      <c r="L299" s="6860" t="str">
        <f>IF(ISBLANK(M299),"",LARGE(L291:L298,1)+1)</f>
        <v/>
      </c>
      <c r="M299" s="6943"/>
      <c r="N299" s="6873"/>
      <c r="O299" s="6873"/>
      <c r="P299" s="6222"/>
      <c r="Q299" s="6962" t="s">
        <v>15844</v>
      </c>
      <c r="R299" s="6963" t="str">
        <f>SUM(R291:R298) &amp; " / " &amp; (COUNTA(R291:R298) * 3)</f>
        <v>4 / 6</v>
      </c>
      <c r="S299" s="6955"/>
      <c r="T299" s="6955"/>
      <c r="U299" s="6955" t="s">
        <v>15845</v>
      </c>
      <c r="V299" s="6964" t="s">
        <v>4357</v>
      </c>
      <c r="X299" s="294"/>
      <c r="Y299" s="2852"/>
      <c r="Z299" s="6885"/>
      <c r="AA299" s="6886" t="s">
        <v>7104</v>
      </c>
      <c r="AB299" s="2854" t="s">
        <v>1229</v>
      </c>
      <c r="AC299" s="1"/>
      <c r="AD299" s="2241"/>
      <c r="AF299" s="2730">
        <v>1</v>
      </c>
    </row>
    <row r="300" spans="2:32" ht="18.75">
      <c r="B300" s="6649"/>
      <c r="C300" s="1"/>
      <c r="D300" s="1"/>
      <c r="E300" s="1"/>
      <c r="F300" s="6649"/>
      <c r="G300" s="6649"/>
      <c r="H300" s="6649"/>
      <c r="I300" s="6649"/>
      <c r="J300" s="6649"/>
      <c r="K300" s="6649"/>
      <c r="L300" s="6860" t="str">
        <f>IF(ISBLANK(M300),"",LARGE(L291:L299,1)+1)</f>
        <v/>
      </c>
      <c r="M300" s="6943"/>
      <c r="N300" s="6873"/>
      <c r="O300" s="6873"/>
      <c r="P300" s="6222"/>
      <c r="Q300" s="6965" t="s">
        <v>15846</v>
      </c>
      <c r="R300" s="6966" t="str">
        <f>SUM(R291:R298) &amp;"/ "&amp;R301</f>
        <v>4/ 24</v>
      </c>
      <c r="S300" s="6955"/>
      <c r="T300" s="6955"/>
      <c r="U300" s="6955" t="s">
        <v>15835</v>
      </c>
      <c r="V300" s="6956"/>
      <c r="X300" s="294"/>
      <c r="Y300" s="7567"/>
      <c r="Z300" s="1"/>
      <c r="AA300" s="2856" t="s">
        <v>7105</v>
      </c>
      <c r="AB300" s="7568">
        <v>1.7361111111111112E-2</v>
      </c>
      <c r="AC300" s="1"/>
      <c r="AD300" s="2241"/>
      <c r="AF300" s="2730">
        <v>1</v>
      </c>
    </row>
    <row r="301" spans="2:32" ht="19.5" thickBot="1">
      <c r="B301" s="6649"/>
      <c r="C301" s="1"/>
      <c r="D301" s="1"/>
      <c r="E301" s="1"/>
      <c r="F301" s="6649"/>
      <c r="G301" s="6649"/>
      <c r="H301" s="6649"/>
      <c r="I301" s="6649"/>
      <c r="J301" s="6649"/>
      <c r="K301" s="6649"/>
      <c r="L301" s="6860" t="str">
        <f>IF(ISBLANK(M301),"",LARGE(L291:L300,1)+1)</f>
        <v/>
      </c>
      <c r="M301" s="6943"/>
      <c r="N301" s="6873"/>
      <c r="O301" s="6873"/>
      <c r="P301" s="6222"/>
      <c r="Q301" s="6967" t="s">
        <v>15847</v>
      </c>
      <c r="R301" s="6968">
        <v>24</v>
      </c>
      <c r="S301" s="6961"/>
      <c r="T301" s="6961"/>
      <c r="U301" s="6961" t="s">
        <v>15848</v>
      </c>
      <c r="V301" s="6969"/>
      <c r="X301" s="294"/>
      <c r="Y301" s="7567"/>
      <c r="Z301" s="1"/>
      <c r="AA301" s="2856" t="s">
        <v>7106</v>
      </c>
      <c r="AB301" s="7569">
        <v>1.0416666666666666E-2</v>
      </c>
      <c r="AC301" s="1"/>
      <c r="AD301" s="2241"/>
      <c r="AF301" s="2730">
        <v>1</v>
      </c>
    </row>
    <row r="302" spans="2:32" ht="16.5" thickTop="1">
      <c r="B302" s="6649"/>
      <c r="C302" s="1"/>
      <c r="D302" s="1"/>
      <c r="E302" s="1"/>
      <c r="F302" s="6649"/>
      <c r="G302" s="6649"/>
      <c r="H302" s="6649"/>
      <c r="I302" s="6649"/>
      <c r="J302" s="6649"/>
      <c r="K302" s="6649"/>
      <c r="L302" s="6860" t="str">
        <f>IF(ISBLANK(M302),"",LARGE(L291:L301,1)+1)</f>
        <v/>
      </c>
      <c r="M302" s="6943"/>
      <c r="N302" s="6873"/>
      <c r="O302" s="6873"/>
      <c r="P302" s="6922"/>
      <c r="Q302" s="6970"/>
      <c r="R302" s="6970"/>
      <c r="S302" s="6970"/>
      <c r="T302" s="6222"/>
      <c r="U302" s="1"/>
      <c r="V302" s="6971" t="s">
        <v>15849</v>
      </c>
      <c r="X302" s="294"/>
      <c r="Y302" s="7567"/>
      <c r="Z302" s="1"/>
      <c r="AA302" s="2856" t="s">
        <v>7107</v>
      </c>
      <c r="AB302" s="7570">
        <v>6.25E-2</v>
      </c>
      <c r="AC302" s="1"/>
      <c r="AD302" s="2241"/>
      <c r="AF302" s="2730">
        <v>1</v>
      </c>
    </row>
    <row r="303" spans="2:32" ht="18.75">
      <c r="B303" s="6649"/>
      <c r="C303" s="1"/>
      <c r="D303" s="1"/>
      <c r="E303" s="1"/>
      <c r="F303" s="6649"/>
      <c r="G303" s="6649"/>
      <c r="H303" s="6649"/>
      <c r="I303" s="6649"/>
      <c r="J303" s="6649"/>
      <c r="K303" s="6649"/>
      <c r="L303" s="6860" t="str">
        <f>IF(ISBLANK(M303),"",LARGE(L291:L302,1)+1)</f>
        <v/>
      </c>
      <c r="M303" s="6943"/>
      <c r="N303" s="6873"/>
      <c r="O303" s="6873"/>
      <c r="P303" s="6948"/>
      <c r="Q303" s="6970"/>
      <c r="R303" s="6970"/>
      <c r="S303" s="6972"/>
      <c r="T303" s="6973"/>
      <c r="U303" s="6955" t="s">
        <v>15850</v>
      </c>
      <c r="V303" s="6956"/>
      <c r="X303" s="294"/>
      <c r="Y303" s="7567"/>
      <c r="Z303" s="1"/>
      <c r="AA303" s="2860" t="s">
        <v>20</v>
      </c>
      <c r="AB303" s="7571">
        <f>AB300+AB301+AB302</f>
        <v>9.0277777777777776E-2</v>
      </c>
      <c r="AC303" s="1"/>
      <c r="AD303" s="2241"/>
      <c r="AF303" s="2730">
        <v>1</v>
      </c>
    </row>
    <row r="304" spans="2:32" ht="18.75">
      <c r="B304" s="6649"/>
      <c r="C304" s="1"/>
      <c r="D304" s="1"/>
      <c r="E304" s="1"/>
      <c r="F304" s="6649"/>
      <c r="G304" s="6649"/>
      <c r="H304" s="6649"/>
      <c r="I304" s="6649"/>
      <c r="J304" s="6649"/>
      <c r="K304" s="6649"/>
      <c r="L304" s="6860" t="str">
        <f>IF(ISBLANK(M304),"",LARGE(L291:L303,1)+1)</f>
        <v/>
      </c>
      <c r="M304" s="6943"/>
      <c r="N304" s="6873"/>
      <c r="O304" s="6873"/>
      <c r="P304" s="6948"/>
      <c r="Q304" s="6922"/>
      <c r="R304" s="6922"/>
      <c r="S304" s="6972"/>
      <c r="T304" s="6973"/>
      <c r="U304" s="6974" t="s">
        <v>15851</v>
      </c>
      <c r="V304" s="6956"/>
      <c r="X304" s="294"/>
      <c r="Y304" s="7905" t="s">
        <v>7108</v>
      </c>
      <c r="Z304" s="7906"/>
      <c r="AA304" s="7906"/>
      <c r="AB304" s="7907"/>
      <c r="AC304" s="1"/>
      <c r="AD304" s="2241"/>
      <c r="AF304" s="2730">
        <v>1</v>
      </c>
    </row>
    <row r="305" spans="2:32" ht="15.75">
      <c r="B305" s="6649"/>
      <c r="C305" s="1"/>
      <c r="D305" s="1"/>
      <c r="E305" s="1"/>
      <c r="F305" s="6649"/>
      <c r="G305" s="6649"/>
      <c r="H305" s="6649"/>
      <c r="I305" s="6649"/>
      <c r="J305" s="6649"/>
      <c r="K305" s="6649"/>
      <c r="L305" s="6860" t="str">
        <f>IF(ISBLANK(M305),"",LARGE(L291:L304,1)+1)</f>
        <v/>
      </c>
      <c r="M305" s="6943"/>
      <c r="N305" s="6873"/>
      <c r="O305" s="6873"/>
      <c r="P305" s="6948"/>
      <c r="Q305" s="6922"/>
      <c r="R305" s="6922"/>
      <c r="S305" s="6922"/>
      <c r="T305" s="6975"/>
      <c r="U305" s="6975"/>
      <c r="V305" s="6924"/>
      <c r="X305" s="294"/>
      <c r="Y305" s="7572" t="s">
        <v>7109</v>
      </c>
      <c r="Z305" s="12"/>
      <c r="AA305" s="2863" t="s">
        <v>7110</v>
      </c>
      <c r="AB305" s="2249">
        <f>Y308*Y306</f>
        <v>225</v>
      </c>
      <c r="AC305" s="1"/>
      <c r="AD305" s="2241"/>
      <c r="AF305" s="2730">
        <v>1</v>
      </c>
    </row>
    <row r="306" spans="2:32" ht="18.75">
      <c r="B306" s="6649"/>
      <c r="C306" s="1"/>
      <c r="D306" s="1"/>
      <c r="E306" s="1"/>
      <c r="F306" s="6649"/>
      <c r="G306" s="6649"/>
      <c r="H306" s="6649"/>
      <c r="I306" s="6649"/>
      <c r="J306" s="6649"/>
      <c r="K306" s="6649"/>
      <c r="L306" s="6860" t="str">
        <f>IF(ISBLANK(M306),"",LARGE(L291:L305,1)+1)</f>
        <v/>
      </c>
      <c r="M306" s="6943"/>
      <c r="N306" s="6873"/>
      <c r="O306" s="6873"/>
      <c r="P306" s="6948"/>
      <c r="Q306" s="6922"/>
      <c r="R306" s="6922"/>
      <c r="S306" s="6922"/>
      <c r="T306" s="6975"/>
      <c r="U306" s="6919" t="s">
        <v>5342</v>
      </c>
      <c r="V306" s="6921" t="s">
        <v>5342</v>
      </c>
      <c r="X306" s="294"/>
      <c r="Y306" s="7573">
        <v>150</v>
      </c>
      <c r="Z306" s="2865" t="s">
        <v>7111</v>
      </c>
      <c r="AA306" s="7908" t="s">
        <v>1762</v>
      </c>
      <c r="AB306" s="7909"/>
      <c r="AC306" s="1"/>
      <c r="AD306" s="2241"/>
      <c r="AF306" s="2730">
        <v>1</v>
      </c>
    </row>
    <row r="307" spans="2:32" ht="15.75">
      <c r="B307" s="6649"/>
      <c r="C307" s="1"/>
      <c r="D307" s="1"/>
      <c r="E307" s="1"/>
      <c r="F307" s="6649"/>
      <c r="G307" s="6649"/>
      <c r="H307" s="6649"/>
      <c r="I307" s="6649"/>
      <c r="J307" s="6649"/>
      <c r="K307" s="6649"/>
      <c r="L307" s="6860" t="str">
        <f>IF(ISBLANK(M307),"",LARGE(L291:L306,1)+1)</f>
        <v/>
      </c>
      <c r="M307" s="6976"/>
      <c r="N307" s="6873"/>
      <c r="O307" s="6873"/>
      <c r="P307" s="6977"/>
      <c r="Q307" s="6977"/>
      <c r="R307" s="6977"/>
      <c r="S307" s="6977"/>
      <c r="T307" s="6977"/>
      <c r="U307" s="6978"/>
      <c r="V307" s="6979"/>
      <c r="X307" s="294"/>
      <c r="Y307" s="7943" t="s">
        <v>1838</v>
      </c>
      <c r="Z307" s="7881"/>
      <c r="AA307" s="2866" t="s">
        <v>7112</v>
      </c>
      <c r="AB307" s="2781"/>
      <c r="AC307" s="1"/>
      <c r="AD307" s="2241"/>
      <c r="AF307" s="2730">
        <v>1</v>
      </c>
    </row>
    <row r="308" spans="2:32" ht="15.75">
      <c r="B308" s="6649"/>
      <c r="C308" s="1"/>
      <c r="D308" s="1"/>
      <c r="E308" s="1"/>
      <c r="F308" s="6649"/>
      <c r="G308" s="6649"/>
      <c r="H308" s="6649"/>
      <c r="I308" s="6649"/>
      <c r="J308" s="6649"/>
      <c r="K308" s="6649"/>
      <c r="L308" s="6860"/>
      <c r="M308" s="6939" t="s">
        <v>15793</v>
      </c>
      <c r="N308" s="6926"/>
      <c r="O308" s="6926"/>
      <c r="P308" s="6940"/>
      <c r="Q308" s="6940"/>
      <c r="R308" s="6940"/>
      <c r="S308" s="6940"/>
      <c r="T308" s="6940"/>
      <c r="U308" s="6940"/>
      <c r="V308" s="6941" t="s">
        <v>15828</v>
      </c>
      <c r="X308" s="294"/>
      <c r="Y308" s="7574">
        <v>1.5</v>
      </c>
      <c r="Z308" s="2868" t="str">
        <f>"&lt; Nb de "&amp;AA306&amp;" par personne "</f>
        <v xml:space="preserve">&lt; Nb de tranches par personne </v>
      </c>
      <c r="AA308" s="2869"/>
      <c r="AB308" s="2240"/>
      <c r="AC308" s="1"/>
      <c r="AD308" s="2241"/>
      <c r="AF308" s="2730">
        <v>1</v>
      </c>
    </row>
    <row r="309" spans="2:32" ht="18.75" customHeight="1">
      <c r="B309" s="6649"/>
      <c r="C309" s="1"/>
      <c r="D309" s="1"/>
      <c r="E309" s="1"/>
      <c r="F309" s="6649"/>
      <c r="G309" s="6649"/>
      <c r="H309" s="6649"/>
      <c r="I309" s="6649"/>
      <c r="J309" s="6649"/>
      <c r="K309" s="6649"/>
      <c r="L309" s="6860"/>
      <c r="M309" s="6932" t="s">
        <v>15796</v>
      </c>
      <c r="N309" s="6649"/>
      <c r="O309" s="6649"/>
      <c r="P309" s="6801"/>
      <c r="Q309" s="6801"/>
      <c r="R309" s="6801"/>
      <c r="S309" s="6801"/>
      <c r="T309" s="6801"/>
      <c r="U309" s="6801"/>
      <c r="V309" s="6809"/>
      <c r="X309" s="294"/>
      <c r="Y309" s="7575">
        <v>27</v>
      </c>
      <c r="Z309" s="2868" t="str">
        <f>"&lt; Nb "&amp;AA306&amp;" dans 1 " &amp;Y307</f>
        <v>&lt; Nb tranches dans 1 Gastro 1/1</v>
      </c>
      <c r="AA309" s="2871"/>
      <c r="AB309" s="2249"/>
      <c r="AC309" s="1"/>
      <c r="AD309" s="2241"/>
      <c r="AF309" s="2730">
        <v>1</v>
      </c>
    </row>
    <row r="310" spans="2:32" ht="15.75">
      <c r="B310" s="6649"/>
      <c r="C310" s="1"/>
      <c r="D310" s="1"/>
      <c r="E310" s="1"/>
      <c r="F310" s="6649"/>
      <c r="G310" s="6649"/>
      <c r="H310" s="6649"/>
      <c r="I310" s="6649"/>
      <c r="J310" s="6649"/>
      <c r="K310" s="6649"/>
      <c r="L310" s="6875" t="s">
        <v>15809</v>
      </c>
      <c r="M310" s="6876"/>
      <c r="N310" s="6876"/>
      <c r="O310" s="6876"/>
      <c r="P310" s="6876"/>
      <c r="Q310" s="6876"/>
      <c r="R310" s="6876"/>
      <c r="S310" s="6876"/>
      <c r="T310" s="6876"/>
      <c r="U310" s="6876"/>
      <c r="V310" s="6877" t="s">
        <v>15809</v>
      </c>
      <c r="X310" s="294"/>
      <c r="Y310" s="7882" t="str">
        <f>IF(OR(Y309="",AB305=0),"",INT(AB305/Y309) &amp; " " &amp; Y307 &amp; " de " &amp; Y309 &amp; " " &amp; AA306 &amp; IF(MOD(AB305,Y309)&gt;0," + 1 " &amp; Y307 &amp; " de " &amp; TEXT(MOD(AB305,Y309),"0.00") &amp; " " &amp; AA306,""))</f>
        <v>8 Gastro 1/1 de 27 tranches + 1 Gastro 1/1 de 9.00 tranches</v>
      </c>
      <c r="Z310" s="7883"/>
      <c r="AA310" s="7883"/>
      <c r="AB310" s="7884"/>
      <c r="AC310" s="1"/>
      <c r="AD310" s="2241"/>
      <c r="AF310" s="2730">
        <v>1</v>
      </c>
    </row>
    <row r="311" spans="2:32" ht="15.75">
      <c r="B311" s="6649"/>
      <c r="C311" s="1"/>
      <c r="D311" s="1"/>
      <c r="E311" s="1"/>
      <c r="F311" s="6649"/>
      <c r="G311" s="6649"/>
      <c r="H311" s="6649"/>
      <c r="I311" s="6649"/>
      <c r="J311" s="6649"/>
      <c r="K311" s="6649"/>
      <c r="L311" s="6863" t="s">
        <v>15792</v>
      </c>
      <c r="M311" s="6879"/>
      <c r="N311" s="6792"/>
      <c r="O311" s="6792"/>
      <c r="P311" s="6792"/>
      <c r="Q311" s="6792"/>
      <c r="R311" s="6792"/>
      <c r="S311" s="6930"/>
      <c r="T311" s="6930"/>
      <c r="U311" s="6930"/>
      <c r="V311" s="6931" t="s">
        <v>15794</v>
      </c>
      <c r="X311" s="294"/>
      <c r="Y311" s="7885"/>
      <c r="Z311" s="7886"/>
      <c r="AA311" s="7886"/>
      <c r="AB311" s="7887"/>
      <c r="AC311" s="1"/>
      <c r="AD311" s="2241"/>
      <c r="AF311" s="2730">
        <v>1</v>
      </c>
    </row>
    <row r="312" spans="2:32" ht="15.75">
      <c r="B312" s="6649"/>
      <c r="C312" s="1"/>
      <c r="D312" s="1"/>
      <c r="E312" s="1"/>
      <c r="F312" s="6649"/>
      <c r="G312" s="6649"/>
      <c r="H312" s="6649"/>
      <c r="I312" s="6649"/>
      <c r="J312"/>
      <c r="K312" s="6649"/>
      <c r="L312" s="6872">
        <v>0</v>
      </c>
      <c r="M312" s="6980"/>
      <c r="N312" s="6981"/>
      <c r="O312" s="6981"/>
      <c r="P312" s="6981" t="s">
        <v>15852</v>
      </c>
      <c r="Q312" s="6982" t="s">
        <v>2411</v>
      </c>
      <c r="R312" s="6983" t="s">
        <v>15853</v>
      </c>
      <c r="S312" s="6984" t="s">
        <v>15854</v>
      </c>
      <c r="T312" s="6984" t="s">
        <v>15855</v>
      </c>
      <c r="U312" s="6985" t="s">
        <v>15856</v>
      </c>
      <c r="V312" s="6986"/>
      <c r="X312" s="294"/>
      <c r="Y312" s="7576">
        <v>120</v>
      </c>
      <c r="Z312" s="2873" t="s">
        <v>7113</v>
      </c>
      <c r="AA312" s="12"/>
      <c r="AB312" s="2874">
        <f>(Y312*Y306)/1000</f>
        <v>18</v>
      </c>
      <c r="AC312" s="1"/>
      <c r="AD312" s="2241"/>
      <c r="AF312" s="2730">
        <v>1</v>
      </c>
    </row>
    <row r="313" spans="2:32" ht="15.75" customHeight="1">
      <c r="B313" s="6649"/>
      <c r="C313" s="1"/>
      <c r="D313" s="1"/>
      <c r="E313" s="1"/>
      <c r="F313" s="6649"/>
      <c r="G313" s="6649"/>
      <c r="H313" s="6649"/>
      <c r="I313" s="6649"/>
      <c r="J313"/>
      <c r="K313" s="6649"/>
      <c r="L313" s="6860" t="str">
        <f>IF(ISBLANK(M313),"",LARGE(L312:L312,1)+1)</f>
        <v/>
      </c>
      <c r="M313" s="6987"/>
      <c r="N313" s="6988"/>
      <c r="O313" s="6988"/>
      <c r="P313" s="6988" t="s">
        <v>15857</v>
      </c>
      <c r="Q313" s="6989">
        <v>2.4305555555555556E-2</v>
      </c>
      <c r="R313" s="6990">
        <v>100</v>
      </c>
      <c r="S313" s="6991">
        <v>0.6</v>
      </c>
      <c r="T313" s="6992" t="s">
        <v>15858</v>
      </c>
      <c r="U313" s="6993" t="s">
        <v>15859</v>
      </c>
      <c r="V313" s="6994"/>
      <c r="X313" s="294"/>
      <c r="Y313" s="7577">
        <v>2.7</v>
      </c>
      <c r="Z313" s="2876" t="str">
        <f>"poids par "&amp; Y307</f>
        <v>poids par Gastro 1/1</v>
      </c>
      <c r="AA313" s="12"/>
      <c r="AB313" s="2781"/>
      <c r="AC313" s="1"/>
      <c r="AD313" s="2241"/>
      <c r="AF313" s="2730">
        <v>1</v>
      </c>
    </row>
    <row r="314" spans="2:32" ht="15.75">
      <c r="B314" s="6649"/>
      <c r="C314" s="1"/>
      <c r="D314" s="1"/>
      <c r="E314" s="1"/>
      <c r="F314" s="6649"/>
      <c r="G314" s="6649"/>
      <c r="H314" s="6649"/>
      <c r="I314" s="6649"/>
      <c r="J314"/>
      <c r="K314" s="6649"/>
      <c r="L314" s="6860" t="str">
        <f>IF(ISBLANK(M314),"",LARGE(L312:L313,1)+1)</f>
        <v/>
      </c>
      <c r="M314" s="6987"/>
      <c r="N314" s="6988"/>
      <c r="O314" s="6988"/>
      <c r="P314" s="6988" t="s">
        <v>1838</v>
      </c>
      <c r="Q314" s="6989">
        <v>1.0416666666666666E-2</v>
      </c>
      <c r="R314" s="6990">
        <v>100</v>
      </c>
      <c r="S314" s="6991">
        <v>0.6</v>
      </c>
      <c r="T314" s="6992" t="s">
        <v>15860</v>
      </c>
      <c r="U314" s="6993" t="s">
        <v>15861</v>
      </c>
      <c r="V314" s="6994"/>
      <c r="X314" s="294"/>
      <c r="Y314" s="7888" t="str">
        <f>IF(OR(AB312&lt;=0,Y313&lt;=0),"",_xlfn.LET(_xlpm.n,ROUND(AB312/Y313,9),_xlpm.q,INT(_xlpm.n),_xlpm.r,ROUND(AB312-_xlpm.q*Y313,9),_xlpm.base,_xlpm.q&amp;" "&amp;Y307&amp;" de "&amp;TEXT(Y313,"0.000")&amp;" kg",IF(_xlpm.r&lt;=0.000000001,_xlpm.base,_xlpm.base&amp;" + 1 "&amp;Y307&amp;" de "&amp;TEXT(_xlpm.r,"0.000")&amp;" kg")))</f>
        <v>6 Gastro 1/1 de 2.700 kg + 1 Gastro 1/1 de 1.800 kg</v>
      </c>
      <c r="Z314" s="7889"/>
      <c r="AA314" s="7889"/>
      <c r="AB314" s="7890"/>
      <c r="AC314" s="1"/>
      <c r="AD314" s="2241"/>
      <c r="AF314" s="2730">
        <v>1</v>
      </c>
    </row>
    <row r="315" spans="2:32" ht="15.75">
      <c r="B315" s="6649"/>
      <c r="C315" s="1"/>
      <c r="D315" s="1"/>
      <c r="E315" s="1"/>
      <c r="F315" s="6649"/>
      <c r="G315" s="6649"/>
      <c r="H315" s="6649"/>
      <c r="I315" s="6649"/>
      <c r="J315"/>
      <c r="K315" s="6649"/>
      <c r="L315" s="6860" t="str">
        <f>IF(ISBLANK(M315),"",LARGE(L312:L314,1)+1)</f>
        <v/>
      </c>
      <c r="M315" s="6987"/>
      <c r="N315" s="6988"/>
      <c r="O315" s="6988"/>
      <c r="P315" s="6988" t="s">
        <v>15862</v>
      </c>
      <c r="Q315" s="6989">
        <v>5.2083333333333301E-2</v>
      </c>
      <c r="R315" s="6990">
        <v>100</v>
      </c>
      <c r="S315" s="6991">
        <v>0.6</v>
      </c>
      <c r="T315" s="6992" t="s">
        <v>15858</v>
      </c>
      <c r="U315" s="6993" t="s">
        <v>15863</v>
      </c>
      <c r="V315" s="6994"/>
      <c r="X315" s="294"/>
      <c r="Y315" s="7891"/>
      <c r="Z315" s="7892"/>
      <c r="AA315" s="7892"/>
      <c r="AB315" s="7893"/>
      <c r="AC315" s="1"/>
      <c r="AD315" s="2241"/>
      <c r="AF315" s="2730">
        <v>1</v>
      </c>
    </row>
    <row r="316" spans="2:32" ht="15.75">
      <c r="B316" s="6649"/>
      <c r="C316" s="1"/>
      <c r="D316" s="1"/>
      <c r="E316" s="1"/>
      <c r="F316" s="6649"/>
      <c r="G316" s="6649"/>
      <c r="H316" s="6649"/>
      <c r="I316" s="6649"/>
      <c r="J316"/>
      <c r="K316" s="6649"/>
      <c r="L316" s="6860" t="str">
        <f>IF(ISBLANK(M316),"",LARGE(L312:L315,1)+1)</f>
        <v/>
      </c>
      <c r="M316" s="6987"/>
      <c r="N316" s="6988"/>
      <c r="O316" s="6988"/>
      <c r="P316" s="6988" t="s">
        <v>15864</v>
      </c>
      <c r="Q316" s="6989">
        <v>9.375E-2</v>
      </c>
      <c r="R316" s="6990">
        <v>100</v>
      </c>
      <c r="S316" s="6991">
        <v>0.6</v>
      </c>
      <c r="T316" s="6992" t="s">
        <v>15860</v>
      </c>
      <c r="U316" s="6993" t="s">
        <v>15865</v>
      </c>
      <c r="V316" s="6994"/>
      <c r="X316" s="294"/>
      <c r="Y316" s="1"/>
      <c r="Z316" s="1"/>
      <c r="AA316" s="1"/>
      <c r="AB316" s="1"/>
      <c r="AC316" s="1"/>
      <c r="AD316" s="2241"/>
      <c r="AF316" s="2730">
        <v>1</v>
      </c>
    </row>
    <row r="317" spans="2:32" ht="18.75">
      <c r="B317" s="6649"/>
      <c r="C317" s="1"/>
      <c r="D317" s="1"/>
      <c r="E317" s="1"/>
      <c r="F317" s="6649"/>
      <c r="G317" s="6649"/>
      <c r="H317" s="6649"/>
      <c r="I317" s="6649"/>
      <c r="J317"/>
      <c r="K317" s="6649"/>
      <c r="L317" s="6860" t="str">
        <f>IF(ISBLANK(M317),"",LARGE(L312:L316,1)+1)</f>
        <v/>
      </c>
      <c r="M317" s="6995"/>
      <c r="N317" s="6996"/>
      <c r="O317" s="6996"/>
      <c r="P317" s="6996"/>
      <c r="Q317" s="6997">
        <f>SUM(Q313:Q316)</f>
        <v>0.18055555555555552</v>
      </c>
      <c r="R317" s="6996"/>
      <c r="S317" s="6996"/>
      <c r="T317" s="6996"/>
      <c r="U317" s="6996"/>
      <c r="V317" s="6998"/>
      <c r="X317" s="294"/>
      <c r="Y317" s="739" t="s">
        <v>7114</v>
      </c>
      <c r="Z317" s="1"/>
      <c r="AA317" s="1"/>
      <c r="AB317" s="2865" t="s">
        <v>7115</v>
      </c>
      <c r="AC317" s="1"/>
      <c r="AD317" s="2241"/>
      <c r="AF317" s="2730">
        <v>1</v>
      </c>
    </row>
    <row r="318" spans="2:32" ht="15.75">
      <c r="B318" s="6649"/>
      <c r="C318" s="1"/>
      <c r="D318" s="1"/>
      <c r="E318" s="1"/>
      <c r="F318" s="6649"/>
      <c r="G318" s="6649"/>
      <c r="H318" s="6649"/>
      <c r="I318" s="6649"/>
      <c r="J318" s="6649"/>
      <c r="K318" s="6649"/>
      <c r="L318" s="6860"/>
      <c r="M318" s="6999" t="s">
        <v>15793</v>
      </c>
      <c r="N318" s="7000"/>
      <c r="O318" s="7000"/>
      <c r="P318" s="7001"/>
      <c r="Q318" s="7001"/>
      <c r="R318" s="7001"/>
      <c r="S318" s="7001"/>
      <c r="T318" s="7001"/>
      <c r="U318" s="7002"/>
      <c r="V318" s="7003" t="s">
        <v>7099</v>
      </c>
      <c r="X318" s="294"/>
      <c r="Y318" s="2877" t="s">
        <v>7116</v>
      </c>
      <c r="Z318" s="1"/>
      <c r="AA318" s="1"/>
      <c r="AB318" s="2878" t="s">
        <v>7117</v>
      </c>
      <c r="AC318" s="1"/>
      <c r="AD318" s="2241"/>
      <c r="AF318" s="2730">
        <v>1</v>
      </c>
    </row>
    <row r="319" spans="2:32" ht="21">
      <c r="B319" s="6649"/>
      <c r="C319" s="1"/>
      <c r="D319" s="1"/>
      <c r="E319" s="1"/>
      <c r="F319" s="6649"/>
      <c r="G319" s="6649"/>
      <c r="H319" s="6649"/>
      <c r="I319" s="6649"/>
      <c r="J319" s="6649"/>
      <c r="K319" s="6649"/>
      <c r="L319" s="6860"/>
      <c r="M319" s="6932" t="s">
        <v>15796</v>
      </c>
      <c r="N319" s="7004"/>
      <c r="O319" s="7004"/>
      <c r="P319" s="7004"/>
      <c r="Q319" s="7004"/>
      <c r="R319" s="7004"/>
      <c r="S319" s="7004"/>
      <c r="T319" s="7005"/>
      <c r="U319" s="7005"/>
      <c r="V319" s="7006"/>
      <c r="X319" s="294"/>
      <c r="Y319" s="2879" t="s">
        <v>7118</v>
      </c>
      <c r="Z319" s="1"/>
      <c r="AA319" s="1"/>
      <c r="AB319" s="2878" t="s">
        <v>7119</v>
      </c>
      <c r="AC319" s="1"/>
      <c r="AD319" s="2241"/>
      <c r="AF319" s="2730">
        <v>1</v>
      </c>
    </row>
    <row r="320" spans="2:32" ht="15.75">
      <c r="B320" s="6649"/>
      <c r="C320" s="1"/>
      <c r="D320" s="1"/>
      <c r="E320" s="1"/>
      <c r="F320" s="6649"/>
      <c r="G320" s="6649"/>
      <c r="H320" s="6649"/>
      <c r="I320" s="6649"/>
      <c r="J320" s="6649"/>
      <c r="K320" s="6649"/>
      <c r="L320" s="6860" t="str">
        <f>IF(ISBLANK(M320),"",LARGE(L312:L319,1)+1)</f>
        <v/>
      </c>
      <c r="M320" s="6943"/>
      <c r="N320" s="6944"/>
      <c r="O320" s="6944"/>
      <c r="P320" s="6944"/>
      <c r="Q320" s="6944"/>
      <c r="R320" s="6944"/>
      <c r="S320" s="6944"/>
      <c r="T320" s="6945"/>
      <c r="U320" s="6945"/>
      <c r="V320" s="6946"/>
      <c r="X320" s="294"/>
      <c r="Y320" s="2865" t="s">
        <v>7120</v>
      </c>
      <c r="Z320" s="1"/>
      <c r="AA320" s="1"/>
      <c r="AB320" s="2878" t="s">
        <v>7121</v>
      </c>
      <c r="AC320" s="1"/>
      <c r="AD320" s="2241"/>
      <c r="AF320" s="2730">
        <v>1</v>
      </c>
    </row>
    <row r="321" spans="2:32" ht="15.75">
      <c r="B321" s="6649"/>
      <c r="C321" s="1"/>
      <c r="D321" s="1"/>
      <c r="E321" s="1"/>
      <c r="F321" s="6649"/>
      <c r="G321" s="6649"/>
      <c r="H321" s="6649"/>
      <c r="I321" s="6649"/>
      <c r="J321" s="6649"/>
      <c r="K321" s="6649"/>
      <c r="L321" s="6860" t="str">
        <f>IF(ISBLANK(M321),"",LARGE(L312:L320,1)+1)</f>
        <v/>
      </c>
      <c r="M321" s="6943"/>
      <c r="N321" s="6944"/>
      <c r="O321" s="6944"/>
      <c r="P321" s="6944"/>
      <c r="Q321" s="6944"/>
      <c r="R321" s="6944"/>
      <c r="S321" s="6944"/>
      <c r="T321" s="6945"/>
      <c r="U321" s="6945"/>
      <c r="V321" s="6946"/>
      <c r="X321" s="294"/>
      <c r="Y321" s="2865"/>
      <c r="Z321" s="1"/>
      <c r="AA321" s="1"/>
      <c r="AB321" s="2878" t="s">
        <v>7122</v>
      </c>
      <c r="AC321" s="1"/>
      <c r="AD321" s="2241"/>
      <c r="AF321" s="2730">
        <v>1</v>
      </c>
    </row>
    <row r="322" spans="2:32" ht="15.75">
      <c r="B322" s="6649"/>
      <c r="C322" s="1"/>
      <c r="D322" s="1"/>
      <c r="E322" s="1"/>
      <c r="F322" s="6649"/>
      <c r="G322" s="6649"/>
      <c r="H322" s="6649"/>
      <c r="I322" s="6649"/>
      <c r="J322" s="6649"/>
      <c r="K322" s="6649"/>
      <c r="L322" s="6860" t="str">
        <f>IF(ISBLANK(M322),"",LARGE(L312:L321,1)+1)</f>
        <v/>
      </c>
      <c r="M322" s="6943"/>
      <c r="N322" s="6944"/>
      <c r="O322" s="6944"/>
      <c r="P322" s="6944"/>
      <c r="Q322" s="6944"/>
      <c r="R322" s="6944"/>
      <c r="S322" s="6944"/>
      <c r="T322" s="6945"/>
      <c r="U322" s="6945"/>
      <c r="V322" s="6946"/>
      <c r="X322" s="2880"/>
      <c r="Y322" s="1"/>
      <c r="Z322" s="1"/>
      <c r="AA322" s="1"/>
      <c r="AB322" s="1"/>
      <c r="AC322" s="1"/>
      <c r="AD322" s="2241"/>
      <c r="AF322" s="2730">
        <v>1</v>
      </c>
    </row>
    <row r="323" spans="2:32" ht="15.75">
      <c r="B323" s="6649"/>
      <c r="C323" s="1"/>
      <c r="D323" s="1"/>
      <c r="E323" s="1"/>
      <c r="F323" s="6649"/>
      <c r="G323" s="6649"/>
      <c r="H323" s="6649"/>
      <c r="I323" s="6649"/>
      <c r="J323" s="6649"/>
      <c r="K323" s="6649"/>
      <c r="L323" s="6860" t="str">
        <f>IF(ISBLANK(M323),"",LARGE(L312:L322,1)+1)</f>
        <v/>
      </c>
      <c r="M323" s="6943"/>
      <c r="N323" s="6944"/>
      <c r="O323" s="6944"/>
      <c r="P323" s="6944"/>
      <c r="Q323" s="6944"/>
      <c r="R323" s="6944"/>
      <c r="S323" s="6944"/>
      <c r="T323" s="6945"/>
      <c r="U323" s="6945"/>
      <c r="V323" s="6946"/>
      <c r="X323" s="7578"/>
      <c r="Y323" s="7579"/>
      <c r="Z323" s="7579" t="s">
        <v>7</v>
      </c>
      <c r="AA323" s="7580"/>
      <c r="AB323" s="7580"/>
      <c r="AC323" s="7580"/>
      <c r="AD323" s="2241"/>
      <c r="AF323" s="2730">
        <v>1</v>
      </c>
    </row>
    <row r="324" spans="2:32" ht="15.75">
      <c r="B324" s="6649"/>
      <c r="C324" s="1"/>
      <c r="D324" s="1"/>
      <c r="E324" s="1"/>
      <c r="F324" s="6649"/>
      <c r="G324" s="6649"/>
      <c r="H324" s="6649"/>
      <c r="I324" s="6649"/>
      <c r="J324" s="6649"/>
      <c r="K324" s="6649"/>
      <c r="L324" s="6860" t="str">
        <f>IF(ISBLANK(M324),"",LARGE(L312:L323,1)+1)</f>
        <v/>
      </c>
      <c r="M324" s="6943"/>
      <c r="N324" s="6944"/>
      <c r="O324" s="6944"/>
      <c r="P324" s="6944"/>
      <c r="Q324" s="6944"/>
      <c r="R324" s="6944"/>
      <c r="S324" s="6944"/>
      <c r="T324" s="6945"/>
      <c r="U324" s="6945"/>
      <c r="V324" s="6946"/>
      <c r="X324" s="2880"/>
      <c r="Y324" s="1"/>
      <c r="Z324" s="2832" t="s">
        <v>16180</v>
      </c>
      <c r="AA324" s="1"/>
      <c r="AB324" s="1"/>
      <c r="AC324" s="1"/>
      <c r="AD324" s="2241"/>
      <c r="AF324" s="2730">
        <v>1</v>
      </c>
    </row>
    <row r="325" spans="2:32" ht="15.75">
      <c r="B325" s="6649"/>
      <c r="C325" s="1"/>
      <c r="D325" s="1"/>
      <c r="E325" s="1"/>
      <c r="F325" s="6649"/>
      <c r="G325" s="6649"/>
      <c r="H325" s="6649"/>
      <c r="I325" s="6649"/>
      <c r="J325" s="6649"/>
      <c r="K325" s="6649"/>
      <c r="L325" s="6860" t="str">
        <f>IF(ISBLANK(M325),"",LARGE(L312:L324,1)+1)</f>
        <v/>
      </c>
      <c r="M325" s="6943"/>
      <c r="N325" s="6944"/>
      <c r="O325" s="6944"/>
      <c r="P325" s="6944"/>
      <c r="Q325" s="6944"/>
      <c r="R325" s="6944"/>
      <c r="S325" s="6944"/>
      <c r="T325" s="6945"/>
      <c r="U325" s="6945"/>
      <c r="V325" s="6946"/>
      <c r="X325" s="2880"/>
      <c r="Y325" s="1"/>
      <c r="Z325" s="2789" t="s">
        <v>16181</v>
      </c>
      <c r="AA325" s="1"/>
      <c r="AB325" s="1"/>
      <c r="AC325" s="1"/>
      <c r="AD325" s="2241"/>
      <c r="AF325" s="2730">
        <v>1</v>
      </c>
    </row>
    <row r="326" spans="2:32" ht="15.75">
      <c r="B326" s="6649"/>
      <c r="C326" s="1"/>
      <c r="D326" s="1"/>
      <c r="E326" s="1"/>
      <c r="F326" s="6649"/>
      <c r="G326" s="6649"/>
      <c r="H326" s="6649"/>
      <c r="I326" s="6649"/>
      <c r="J326" s="6649"/>
      <c r="K326" s="6649"/>
      <c r="L326" s="6860" t="str">
        <f>IF(ISBLANK(M326),"",LARGE(L312:L325,1)+1)</f>
        <v/>
      </c>
      <c r="M326" s="6943"/>
      <c r="N326" s="6944"/>
      <c r="O326" s="6944"/>
      <c r="P326" s="6944"/>
      <c r="Q326" s="6944"/>
      <c r="R326" s="6944"/>
      <c r="S326" s="6944"/>
      <c r="T326" s="6945"/>
      <c r="U326" s="6945"/>
      <c r="V326" s="6946"/>
      <c r="X326" s="2880"/>
      <c r="Y326" s="1"/>
      <c r="Z326" s="1"/>
      <c r="AA326" s="1"/>
      <c r="AB326" s="1"/>
      <c r="AC326" s="1"/>
      <c r="AD326" s="2241"/>
      <c r="AF326" s="2730">
        <v>1</v>
      </c>
    </row>
    <row r="327" spans="2:32" ht="15.75">
      <c r="B327" s="6649"/>
      <c r="C327" s="1"/>
      <c r="D327" s="1"/>
      <c r="E327" s="1"/>
      <c r="F327" s="6649"/>
      <c r="G327" s="6649"/>
      <c r="H327" s="6649"/>
      <c r="I327" s="6649"/>
      <c r="J327" s="6649"/>
      <c r="K327" s="6649"/>
      <c r="L327" s="6860" t="str">
        <f>IF(ISBLANK(M327),"",LARGE(L312:L326,1)+1)</f>
        <v/>
      </c>
      <c r="M327" s="6943"/>
      <c r="N327" s="6944"/>
      <c r="O327" s="6944"/>
      <c r="P327" s="6944"/>
      <c r="Q327" s="6944"/>
      <c r="R327" s="6944"/>
      <c r="S327" s="6944"/>
      <c r="T327" s="6945"/>
      <c r="U327" s="6945"/>
      <c r="V327" s="6946"/>
      <c r="X327" s="2792"/>
      <c r="Y327" s="2793"/>
      <c r="Z327" s="2794"/>
      <c r="AA327" s="2793"/>
      <c r="AB327" s="2793"/>
      <c r="AC327" s="2793"/>
      <c r="AD327" s="2795"/>
      <c r="AF327" s="2730">
        <v>1</v>
      </c>
    </row>
    <row r="328" spans="2:32" ht="15.75">
      <c r="B328" s="6649"/>
      <c r="C328" s="1"/>
      <c r="D328" s="1"/>
      <c r="E328" s="1"/>
      <c r="F328" s="6649"/>
      <c r="G328" s="6649"/>
      <c r="H328" s="6649"/>
      <c r="I328" s="6649"/>
      <c r="J328" s="6649"/>
      <c r="K328" s="6649"/>
      <c r="L328" s="6860" t="str">
        <f>IF(ISBLANK(M328),"",LARGE(L312:L327,1)+1)</f>
        <v/>
      </c>
      <c r="M328" s="6943"/>
      <c r="N328" s="6944"/>
      <c r="O328" s="6944"/>
      <c r="P328" s="6944"/>
      <c r="Q328" s="6944"/>
      <c r="R328" s="6944"/>
      <c r="S328" s="6944"/>
      <c r="T328" s="6945"/>
      <c r="U328" s="6945"/>
      <c r="V328" s="6946"/>
      <c r="X328" s="2881" t="s">
        <v>7123</v>
      </c>
      <c r="Y328" s="1"/>
      <c r="Z328" s="1"/>
      <c r="AA328" s="1"/>
      <c r="AB328" s="1"/>
      <c r="AC328" s="1"/>
      <c r="AD328" s="2241"/>
      <c r="AF328" s="2730">
        <v>1</v>
      </c>
    </row>
    <row r="329" spans="2:32" ht="15.75">
      <c r="B329" s="6649"/>
      <c r="C329" s="1"/>
      <c r="D329" s="1"/>
      <c r="E329" s="1"/>
      <c r="F329" s="6649"/>
      <c r="G329" s="6649"/>
      <c r="H329" s="6649"/>
      <c r="I329" s="6649"/>
      <c r="J329" s="6649"/>
      <c r="K329" s="6649"/>
      <c r="L329" s="6860" t="str">
        <f>IF(ISBLANK(M329),"",LARGE(L312:L328,1)+1)</f>
        <v/>
      </c>
      <c r="M329" s="6943"/>
      <c r="N329" s="6944"/>
      <c r="O329" s="6944"/>
      <c r="P329" s="6944"/>
      <c r="Q329" s="6944"/>
      <c r="R329" s="6944"/>
      <c r="S329" s="6944"/>
      <c r="T329" s="6945"/>
      <c r="U329" s="6945"/>
      <c r="V329" s="6946"/>
      <c r="X329" s="2882" t="s">
        <v>7124</v>
      </c>
      <c r="Y329" s="1"/>
      <c r="Z329" s="2883" t="s">
        <v>7125</v>
      </c>
      <c r="AA329" s="1"/>
      <c r="AB329" s="1"/>
      <c r="AC329" s="1"/>
      <c r="AD329" s="2241"/>
      <c r="AF329" s="2730">
        <v>1</v>
      </c>
    </row>
    <row r="330" spans="2:32" ht="15.75">
      <c r="B330" s="6649"/>
      <c r="C330" s="1"/>
      <c r="D330" s="1"/>
      <c r="E330" s="1"/>
      <c r="F330" s="6649"/>
      <c r="G330" s="6649"/>
      <c r="H330" s="6649"/>
      <c r="I330" s="6649"/>
      <c r="J330" s="6649"/>
      <c r="K330" s="6649"/>
      <c r="L330" s="6860" t="str">
        <f>IF(ISBLANK(M330),"",LARGE(L312:L329,1)+1)</f>
        <v/>
      </c>
      <c r="M330" s="6943"/>
      <c r="N330" s="6944"/>
      <c r="O330" s="6944"/>
      <c r="P330" s="6944"/>
      <c r="Q330" s="6944"/>
      <c r="R330" s="6944"/>
      <c r="S330" s="6944"/>
      <c r="T330" s="6945"/>
      <c r="U330" s="6945"/>
      <c r="V330" s="6946"/>
      <c r="X330" s="2884" t="str">
        <f t="shared" ref="X330:X356" si="21">TRIM(LEFT(Z330,FIND(" .",Z330&amp;" .")-1))</f>
        <v>Navarin d’agneau</v>
      </c>
      <c r="Y330" s="12"/>
      <c r="Z330" s="12" t="s">
        <v>7126</v>
      </c>
      <c r="AA330" s="12"/>
      <c r="AB330" s="12"/>
      <c r="AC330" s="12"/>
      <c r="AD330" s="2781"/>
      <c r="AF330" s="2730">
        <v>1</v>
      </c>
    </row>
    <row r="331" spans="2:32" ht="15.75">
      <c r="B331" s="6649"/>
      <c r="C331" s="1"/>
      <c r="D331" s="1"/>
      <c r="E331" s="1"/>
      <c r="F331" s="6649"/>
      <c r="G331" s="6649"/>
      <c r="H331" s="6649"/>
      <c r="I331" s="6649"/>
      <c r="J331" s="6649"/>
      <c r="K331" s="6649"/>
      <c r="L331" s="6875" t="s">
        <v>15809</v>
      </c>
      <c r="M331" s="6876"/>
      <c r="N331" s="6876"/>
      <c r="O331" s="6876"/>
      <c r="P331" s="6876"/>
      <c r="Q331" s="6876"/>
      <c r="R331" s="6876"/>
      <c r="S331" s="6876"/>
      <c r="T331" s="6876"/>
      <c r="U331" s="6876"/>
      <c r="V331" s="6877" t="s">
        <v>15809</v>
      </c>
      <c r="X331" s="2884" t="str">
        <f t="shared" si="21"/>
        <v>Éléments pour la cuisson du navarin</v>
      </c>
      <c r="Y331" s="12"/>
      <c r="Z331" s="12" t="s">
        <v>7127</v>
      </c>
      <c r="AA331" s="12"/>
      <c r="AB331" s="12"/>
      <c r="AC331" s="12"/>
      <c r="AD331" s="2781"/>
      <c r="AF331" s="2730">
        <v>1</v>
      </c>
    </row>
    <row r="332" spans="2:32" ht="15.75">
      <c r="B332" s="6649"/>
      <c r="C332" s="1"/>
      <c r="D332" s="1"/>
      <c r="E332" s="1"/>
      <c r="F332" s="6649"/>
      <c r="G332" s="6649"/>
      <c r="H332" s="6649"/>
      <c r="I332" s="6649"/>
      <c r="J332" s="6649"/>
      <c r="K332" s="6649"/>
      <c r="L332" s="6878" t="s">
        <v>15792</v>
      </c>
      <c r="M332" s="6879"/>
      <c r="N332" s="6792"/>
      <c r="O332" s="6792"/>
      <c r="P332" s="6792"/>
      <c r="Q332" s="6792"/>
      <c r="R332" s="6792"/>
      <c r="S332" s="6930"/>
      <c r="T332" s="6930"/>
      <c r="U332" s="6930"/>
      <c r="V332" s="6931" t="s">
        <v>15794</v>
      </c>
      <c r="X332" s="2884" t="str">
        <f t="shared" si="21"/>
        <v>Oignons</v>
      </c>
      <c r="Y332" s="12"/>
      <c r="Z332" s="12" t="s">
        <v>7128</v>
      </c>
      <c r="AA332" s="12"/>
      <c r="AB332" s="12"/>
      <c r="AC332" s="12"/>
      <c r="AD332" s="2781"/>
      <c r="AF332" s="2730">
        <v>1</v>
      </c>
    </row>
    <row r="333" spans="2:32" ht="18.75">
      <c r="B333" s="6649"/>
      <c r="C333" s="1"/>
      <c r="D333" s="1"/>
      <c r="E333" s="1"/>
      <c r="F333" s="6649"/>
      <c r="G333" s="6649"/>
      <c r="H333" s="6649"/>
      <c r="I333" s="6649"/>
      <c r="J333" s="6649"/>
      <c r="K333" s="6649"/>
      <c r="L333" s="7298">
        <v>0</v>
      </c>
      <c r="M333" s="6929"/>
      <c r="N333" s="2856"/>
      <c r="O333" s="2856"/>
      <c r="P333" s="2856"/>
      <c r="Q333" s="2856"/>
      <c r="R333" s="2856" t="s">
        <v>7105</v>
      </c>
      <c r="S333" s="7007">
        <v>3.472222222222222E-3</v>
      </c>
      <c r="T333" s="7008">
        <v>100</v>
      </c>
      <c r="U333" s="7009" t="s">
        <v>15866</v>
      </c>
      <c r="V333" s="7010"/>
      <c r="X333" s="2884" t="str">
        <f t="shared" si="21"/>
        <v>Concentré de tomate</v>
      </c>
      <c r="Y333" s="12"/>
      <c r="Z333" s="12" t="s">
        <v>7129</v>
      </c>
      <c r="AA333" s="12"/>
      <c r="AB333" s="12"/>
      <c r="AC333" s="12"/>
      <c r="AD333" s="2781"/>
      <c r="AF333" s="2730">
        <v>1</v>
      </c>
    </row>
    <row r="334" spans="2:32" ht="15.75">
      <c r="B334" s="6649"/>
      <c r="C334" s="1"/>
      <c r="D334" s="1"/>
      <c r="E334" s="1"/>
      <c r="F334" s="6649"/>
      <c r="G334" s="6649"/>
      <c r="H334" s="6649"/>
      <c r="I334" s="6649"/>
      <c r="J334" s="6649"/>
      <c r="K334" s="6649"/>
      <c r="L334" s="7299" t="str">
        <f>IF(ISBLANK(M334),"",LARGE(L333:L333,1)+1)</f>
        <v/>
      </c>
      <c r="M334" s="6801"/>
      <c r="N334" s="2856"/>
      <c r="O334" s="2856"/>
      <c r="P334" s="2856"/>
      <c r="Q334" s="2856"/>
      <c r="R334" s="2856" t="s">
        <v>7106</v>
      </c>
      <c r="S334" s="7011">
        <v>1.0416666666666666E-2</v>
      </c>
      <c r="T334" s="6990">
        <v>90</v>
      </c>
      <c r="U334" s="7012" t="s">
        <v>15867</v>
      </c>
      <c r="V334" s="7013"/>
      <c r="X334" s="2884" t="str">
        <f t="shared" si="21"/>
        <v>Ail haché surgelé</v>
      </c>
      <c r="Y334" s="12"/>
      <c r="Z334" s="12" t="s">
        <v>7130</v>
      </c>
      <c r="AA334" s="12"/>
      <c r="AB334" s="12"/>
      <c r="AC334" s="12"/>
      <c r="AD334" s="2781"/>
      <c r="AF334" s="2730">
        <v>1</v>
      </c>
    </row>
    <row r="335" spans="2:32" ht="18.75">
      <c r="B335" s="6649"/>
      <c r="C335" s="1"/>
      <c r="D335" s="1"/>
      <c r="E335" s="1"/>
      <c r="F335" s="6649"/>
      <c r="G335" s="6649"/>
      <c r="H335" s="6649"/>
      <c r="I335" s="6649"/>
      <c r="J335" s="6649"/>
      <c r="K335" s="6649"/>
      <c r="L335" s="7299" t="str">
        <f>IF(ISBLANK(M335),"",LARGE(L333:L334,1)+1)</f>
        <v/>
      </c>
      <c r="M335" s="6801"/>
      <c r="N335" s="2856"/>
      <c r="O335" s="2856"/>
      <c r="P335" s="2856"/>
      <c r="Q335" s="2856"/>
      <c r="R335" s="2856" t="s">
        <v>8647</v>
      </c>
      <c r="S335" s="7014">
        <v>2.0833333333333332E-2</v>
      </c>
      <c r="T335" s="7015" t="s">
        <v>1229</v>
      </c>
      <c r="U335" s="7016" t="s">
        <v>7102</v>
      </c>
      <c r="V335" s="7017"/>
      <c r="X335" s="2884" t="str">
        <f t="shared" si="21"/>
        <v>Farine</v>
      </c>
      <c r="Y335" s="12"/>
      <c r="Z335" s="12" t="s">
        <v>7131</v>
      </c>
      <c r="AA335" s="12"/>
      <c r="AB335" s="12"/>
      <c r="AC335" s="12"/>
      <c r="AD335" s="2781"/>
      <c r="AF335" s="2730">
        <v>1</v>
      </c>
    </row>
    <row r="336" spans="2:32" ht="18.75">
      <c r="B336" s="6649"/>
      <c r="C336" s="1"/>
      <c r="D336" s="1"/>
      <c r="E336" s="1"/>
      <c r="F336" s="6649"/>
      <c r="G336" s="6649"/>
      <c r="H336" s="6649"/>
      <c r="I336" s="6649"/>
      <c r="J336" s="6649"/>
      <c r="K336" s="6649"/>
      <c r="L336" s="7299" t="str">
        <f>IF(ISBLANK(M336),"",LARGE(L333:L335,1)+1)</f>
        <v/>
      </c>
      <c r="M336" s="6801"/>
      <c r="N336" s="2860"/>
      <c r="O336" s="2860"/>
      <c r="P336" s="2860"/>
      <c r="Q336" s="2860"/>
      <c r="R336" s="2860" t="s">
        <v>20</v>
      </c>
      <c r="S336" s="7018">
        <f>S333+S334+S335</f>
        <v>3.4722222222222224E-2</v>
      </c>
      <c r="T336" s="7015" t="s">
        <v>1229</v>
      </c>
      <c r="U336" s="7016" t="s">
        <v>7104</v>
      </c>
      <c r="V336" s="7019"/>
      <c r="X336" s="2884" t="str">
        <f t="shared" si="21"/>
        <v>Bouquet garni</v>
      </c>
      <c r="Y336" s="12"/>
      <c r="Z336" s="12" t="s">
        <v>7132</v>
      </c>
      <c r="AA336" s="12"/>
      <c r="AB336" s="12"/>
      <c r="AC336" s="12"/>
      <c r="AD336" s="2781"/>
      <c r="AF336" s="2730">
        <v>1</v>
      </c>
    </row>
    <row r="337" spans="2:32" ht="15.75">
      <c r="B337" s="6649"/>
      <c r="C337" s="1"/>
      <c r="D337" s="1"/>
      <c r="E337" s="1"/>
      <c r="F337" s="6649"/>
      <c r="G337" s="6649"/>
      <c r="H337" s="6649"/>
      <c r="I337" s="6649"/>
      <c r="J337" s="6649"/>
      <c r="K337" s="6649"/>
      <c r="L337" s="7299"/>
      <c r="M337" s="7020" t="s">
        <v>15793</v>
      </c>
      <c r="N337" s="7020"/>
      <c r="O337" s="7020"/>
      <c r="P337" s="7021"/>
      <c r="Q337" s="7021"/>
      <c r="R337" s="7021"/>
      <c r="S337" s="7021"/>
      <c r="T337" s="7021"/>
      <c r="U337" s="7022"/>
      <c r="V337" s="7023" t="s">
        <v>7099</v>
      </c>
      <c r="X337" s="2884" t="str">
        <f t="shared" si="21"/>
        <v>Fond brun clair de veau</v>
      </c>
      <c r="Y337" s="12"/>
      <c r="Z337" s="12" t="s">
        <v>7133</v>
      </c>
      <c r="AA337" s="12"/>
      <c r="AB337" s="12"/>
      <c r="AC337" s="12"/>
      <c r="AD337" s="2781"/>
      <c r="AF337" s="2730">
        <v>1</v>
      </c>
    </row>
    <row r="338" spans="2:32" ht="18.75">
      <c r="B338" s="6649"/>
      <c r="C338" s="1"/>
      <c r="D338" s="1"/>
      <c r="E338" s="1"/>
      <c r="F338" s="6649"/>
      <c r="G338" s="6649"/>
      <c r="H338" s="6649"/>
      <c r="I338" s="6649"/>
      <c r="J338" s="6649"/>
      <c r="K338" s="6649"/>
      <c r="L338" s="7299"/>
      <c r="M338" s="6929" t="s">
        <v>15796</v>
      </c>
      <c r="N338" s="7004"/>
      <c r="O338" s="7004"/>
      <c r="P338" s="7004"/>
      <c r="Q338" s="7004"/>
      <c r="R338" s="7004"/>
      <c r="S338" s="7004"/>
      <c r="T338" s="7005"/>
      <c r="U338" s="7005"/>
      <c r="V338" s="7006"/>
      <c r="X338" s="2884" t="str">
        <f t="shared" si="21"/>
        <v>Haricots blancs (coco)</v>
      </c>
      <c r="Y338" s="12"/>
      <c r="Z338" s="12" t="s">
        <v>7134</v>
      </c>
      <c r="AA338" s="12"/>
      <c r="AB338" s="12"/>
      <c r="AC338" s="12"/>
      <c r="AD338" s="2781"/>
      <c r="AF338" s="2730">
        <v>1</v>
      </c>
    </row>
    <row r="339" spans="2:32" ht="15.75">
      <c r="B339" s="6649"/>
      <c r="C339" s="1"/>
      <c r="D339" s="1"/>
      <c r="E339" s="1"/>
      <c r="F339" s="6649"/>
      <c r="G339" s="6649"/>
      <c r="H339" s="6649"/>
      <c r="I339" s="6649"/>
      <c r="J339" s="6649"/>
      <c r="K339" s="6649"/>
      <c r="L339" s="7299" t="str">
        <f>IF(ISBLANK(M339),"",LARGE(L333:L338,1)+1)</f>
        <v/>
      </c>
      <c r="M339" s="6873"/>
      <c r="N339" s="6944"/>
      <c r="O339" s="6944"/>
      <c r="P339" s="6944"/>
      <c r="Q339" s="6944"/>
      <c r="R339" s="6944"/>
      <c r="S339" s="6944"/>
      <c r="T339" s="6945"/>
      <c r="U339" s="6945"/>
      <c r="V339" s="6946"/>
      <c r="X339" s="2884" t="str">
        <f t="shared" si="21"/>
        <v>Éléments de la garniture aromatique des</v>
      </c>
      <c r="Y339" s="12"/>
      <c r="Z339" s="12" t="s">
        <v>7135</v>
      </c>
      <c r="AA339" s="12"/>
      <c r="AB339" s="12"/>
      <c r="AC339" s="12"/>
      <c r="AD339" s="2781"/>
      <c r="AF339" s="2730">
        <v>1</v>
      </c>
    </row>
    <row r="340" spans="2:32" ht="15.75">
      <c r="B340" s="6649"/>
      <c r="C340" s="1"/>
      <c r="D340" s="1"/>
      <c r="E340" s="1"/>
      <c r="F340" s="6649"/>
      <c r="G340" s="6649"/>
      <c r="H340" s="6649"/>
      <c r="I340" s="6649"/>
      <c r="J340" s="6649"/>
      <c r="K340" s="6649"/>
      <c r="L340" s="7299" t="str">
        <f>IF(ISBLANK(M340),"",LARGE(L333:L339,1)+1)</f>
        <v/>
      </c>
      <c r="M340" s="6873"/>
      <c r="N340" s="6944"/>
      <c r="O340" s="6944"/>
      <c r="P340" s="6944"/>
      <c r="Q340" s="6944"/>
      <c r="R340" s="6944"/>
      <c r="S340" s="6944"/>
      <c r="T340" s="6945"/>
      <c r="U340" s="6945"/>
      <c r="V340" s="6946"/>
      <c r="X340" s="2884" t="str">
        <f t="shared" si="21"/>
        <v>haricots</v>
      </c>
      <c r="Y340" s="12"/>
      <c r="Z340" s="12" t="s">
        <v>2631</v>
      </c>
      <c r="AA340" s="12"/>
      <c r="AB340" s="12"/>
      <c r="AC340" s="12"/>
      <c r="AD340" s="2781"/>
      <c r="AF340" s="2730">
        <v>1</v>
      </c>
    </row>
    <row r="341" spans="2:32" ht="15.75">
      <c r="B341" s="6649"/>
      <c r="C341" s="1"/>
      <c r="D341" s="1"/>
      <c r="E341" s="1"/>
      <c r="F341" s="6649"/>
      <c r="G341" s="6649"/>
      <c r="H341" s="6649"/>
      <c r="I341" s="6649"/>
      <c r="J341" s="6649"/>
      <c r="K341" s="6649"/>
      <c r="L341" s="7299" t="str">
        <f>IF(ISBLANK(M341),"",LARGE(L333:L340,1)+1)</f>
        <v/>
      </c>
      <c r="M341" s="6873"/>
      <c r="N341" s="6944"/>
      <c r="O341" s="6944"/>
      <c r="P341" s="6944"/>
      <c r="Q341" s="6944"/>
      <c r="R341" s="6944"/>
      <c r="S341" s="6944"/>
      <c r="T341" s="6945"/>
      <c r="U341" s="6945"/>
      <c r="V341" s="6946"/>
      <c r="X341" s="2884" t="str">
        <f t="shared" si="21"/>
        <v>Oignons</v>
      </c>
      <c r="Y341" s="12"/>
      <c r="Z341" s="12" t="s">
        <v>7136</v>
      </c>
      <c r="AA341" s="12"/>
      <c r="AB341" s="12"/>
      <c r="AC341" s="12"/>
      <c r="AD341" s="2781"/>
      <c r="AF341" s="2730">
        <v>1</v>
      </c>
    </row>
    <row r="342" spans="2:32" ht="15.75">
      <c r="B342" s="6649"/>
      <c r="C342" s="1"/>
      <c r="D342" s="1"/>
      <c r="E342" s="1"/>
      <c r="F342" s="6649"/>
      <c r="G342" s="6649"/>
      <c r="H342" s="6649"/>
      <c r="I342" s="6649"/>
      <c r="J342" s="6649"/>
      <c r="K342" s="6649"/>
      <c r="L342" s="7299" t="str">
        <f>IF(ISBLANK(M342),"",LARGE(L333:L341,1)+1)</f>
        <v/>
      </c>
      <c r="M342" s="6873"/>
      <c r="N342" s="6944"/>
      <c r="O342" s="6944"/>
      <c r="P342" s="6944"/>
      <c r="Q342" s="6944"/>
      <c r="R342" s="6944"/>
      <c r="S342" s="6944"/>
      <c r="T342" s="6945"/>
      <c r="U342" s="6945"/>
      <c r="V342" s="6946"/>
      <c r="X342" s="2884" t="str">
        <f t="shared" si="21"/>
        <v>Carottes</v>
      </c>
      <c r="Y342" s="12"/>
      <c r="Z342" s="12" t="s">
        <v>7137</v>
      </c>
      <c r="AA342" s="12"/>
      <c r="AB342" s="12"/>
      <c r="AC342" s="12"/>
      <c r="AD342" s="2781"/>
      <c r="AF342" s="2730">
        <v>1</v>
      </c>
    </row>
    <row r="343" spans="2:32" ht="15.75">
      <c r="B343" s="6649"/>
      <c r="C343" s="1"/>
      <c r="D343" s="1"/>
      <c r="E343" s="1"/>
      <c r="F343" s="6649"/>
      <c r="G343" s="6649"/>
      <c r="H343" s="6649"/>
      <c r="I343" s="6649"/>
      <c r="J343" s="6649"/>
      <c r="K343" s="6649"/>
      <c r="L343" s="7299" t="str">
        <f>IF(ISBLANK(M343),"",LARGE(L333:L342,1)+1)</f>
        <v/>
      </c>
      <c r="M343" s="6873"/>
      <c r="N343" s="6944"/>
      <c r="O343" s="6944"/>
      <c r="P343" s="6944"/>
      <c r="Q343" s="6944"/>
      <c r="R343" s="6944"/>
      <c r="S343" s="6944"/>
      <c r="T343" s="6945"/>
      <c r="U343" s="6945"/>
      <c r="V343" s="6946"/>
      <c r="X343" s="2884" t="str">
        <f t="shared" si="21"/>
        <v>Bouquet garni</v>
      </c>
      <c r="Y343" s="12"/>
      <c r="Z343" s="12" t="s">
        <v>7132</v>
      </c>
      <c r="AA343" s="12"/>
      <c r="AB343" s="12"/>
      <c r="AC343" s="12"/>
      <c r="AD343" s="2781"/>
      <c r="AF343" s="2730">
        <v>1</v>
      </c>
    </row>
    <row r="344" spans="2:32" ht="15.75">
      <c r="B344" s="6649"/>
      <c r="C344" s="1"/>
      <c r="D344" s="1"/>
      <c r="E344" s="1"/>
      <c r="F344" s="6649"/>
      <c r="G344" s="6649"/>
      <c r="H344" s="6649"/>
      <c r="I344" s="6649"/>
      <c r="J344" s="6649"/>
      <c r="K344" s="6649"/>
      <c r="L344" s="7299" t="str">
        <f>IF(ISBLANK(M344),"",LARGE(L333:L343,1)+1)</f>
        <v/>
      </c>
      <c r="M344" s="6873"/>
      <c r="N344" s="6944"/>
      <c r="O344" s="6944"/>
      <c r="P344" s="6944"/>
      <c r="Q344" s="6944"/>
      <c r="R344" s="6944"/>
      <c r="S344" s="6944"/>
      <c r="T344" s="6945"/>
      <c r="U344" s="6945"/>
      <c r="V344" s="6946"/>
      <c r="X344" s="2884" t="str">
        <f t="shared" si="21"/>
        <v>Clous de girofle</v>
      </c>
      <c r="Y344" s="12"/>
      <c r="Z344" s="12" t="s">
        <v>7138</v>
      </c>
      <c r="AA344" s="12"/>
      <c r="AB344" s="12"/>
      <c r="AC344" s="12"/>
      <c r="AD344" s="2781"/>
      <c r="AF344" s="2730">
        <v>1</v>
      </c>
    </row>
    <row r="345" spans="2:32" ht="15.75">
      <c r="B345" s="6649"/>
      <c r="C345" s="1"/>
      <c r="D345" s="1"/>
      <c r="E345" s="1"/>
      <c r="F345" s="6649"/>
      <c r="G345" s="6649"/>
      <c r="H345" s="6649"/>
      <c r="I345" s="6649"/>
      <c r="J345" s="6649"/>
      <c r="K345" s="6649"/>
      <c r="L345" s="7299" t="str">
        <f>IF(ISBLANK(M345),"",LARGE(L333:L344,1)+1)</f>
        <v/>
      </c>
      <c r="M345" s="6873"/>
      <c r="N345" s="6944"/>
      <c r="O345" s="6944"/>
      <c r="P345" s="6944"/>
      <c r="Q345" s="6944"/>
      <c r="R345" s="6944"/>
      <c r="S345" s="6944"/>
      <c r="T345" s="6945"/>
      <c r="U345" s="6945"/>
      <c r="V345" s="6946"/>
      <c r="X345" s="2884" t="str">
        <f t="shared" si="21"/>
        <v>Éléments de la garniture du cassoulet</v>
      </c>
      <c r="Y345" s="12"/>
      <c r="Z345" s="12" t="s">
        <v>7139</v>
      </c>
      <c r="AA345" s="12"/>
      <c r="AB345" s="12"/>
      <c r="AC345" s="12"/>
      <c r="AD345" s="2781"/>
      <c r="AF345" s="2730">
        <v>1</v>
      </c>
    </row>
    <row r="346" spans="2:32" ht="15.75">
      <c r="B346" s="6649"/>
      <c r="C346" s="1"/>
      <c r="D346" s="1"/>
      <c r="E346" s="1"/>
      <c r="F346" s="6649"/>
      <c r="G346" s="6649"/>
      <c r="H346" s="6649"/>
      <c r="I346" s="6649"/>
      <c r="J346" s="6649"/>
      <c r="K346" s="6649"/>
      <c r="L346" s="7299" t="str">
        <f>IF(ISBLANK(M346),"",LARGE(L333:L345,1)+1)</f>
        <v/>
      </c>
      <c r="M346" s="6873"/>
      <c r="N346" s="6944"/>
      <c r="O346" s="6944"/>
      <c r="P346" s="6944"/>
      <c r="Q346" s="6944"/>
      <c r="R346" s="6944"/>
      <c r="S346" s="6944"/>
      <c r="T346" s="6945"/>
      <c r="U346" s="6945"/>
      <c r="V346" s="6946"/>
      <c r="X346" s="2884" t="str">
        <f t="shared" si="21"/>
        <v>Poitrine fraîche</v>
      </c>
      <c r="Y346" s="12"/>
      <c r="Z346" s="12" t="s">
        <v>7140</v>
      </c>
      <c r="AA346" s="12"/>
      <c r="AB346" s="12"/>
      <c r="AC346" s="12"/>
      <c r="AD346" s="2781"/>
      <c r="AF346" s="2730">
        <v>1</v>
      </c>
    </row>
    <row r="347" spans="2:32" ht="15.75">
      <c r="B347" s="6649"/>
      <c r="C347" s="1"/>
      <c r="D347" s="1"/>
      <c r="E347" s="1"/>
      <c r="F347" s="6649"/>
      <c r="G347" s="6649"/>
      <c r="H347" s="6649"/>
      <c r="I347" s="6649"/>
      <c r="J347" s="6649"/>
      <c r="K347" s="6649"/>
      <c r="L347" s="7299" t="str">
        <f>IF(ISBLANK(M347),"",LARGE(L333:L346,1)+1)</f>
        <v/>
      </c>
      <c r="M347" s="6873"/>
      <c r="N347" s="6944"/>
      <c r="O347" s="6944"/>
      <c r="P347" s="6944"/>
      <c r="Q347" s="6944"/>
      <c r="R347" s="6944"/>
      <c r="S347" s="6944"/>
      <c r="T347" s="6945"/>
      <c r="U347" s="6945"/>
      <c r="V347" s="6946"/>
      <c r="X347" s="2884" t="str">
        <f t="shared" si="21"/>
        <v>Saucisson à l’ail</v>
      </c>
      <c r="Y347" s="12"/>
      <c r="Z347" s="12" t="s">
        <v>7141</v>
      </c>
      <c r="AA347" s="12"/>
      <c r="AB347" s="12"/>
      <c r="AC347" s="12"/>
      <c r="AD347" s="2781"/>
      <c r="AF347" s="2730">
        <v>1</v>
      </c>
    </row>
    <row r="348" spans="2:32" ht="15.75">
      <c r="B348" s="6649"/>
      <c r="C348" s="1"/>
      <c r="D348" s="1"/>
      <c r="E348" s="1"/>
      <c r="F348" s="6649"/>
      <c r="G348" s="6649"/>
      <c r="H348" s="6649"/>
      <c r="I348" s="6649"/>
      <c r="J348" s="6649"/>
      <c r="K348" s="6649"/>
      <c r="L348" s="7299" t="str">
        <f>IF(ISBLANK(M348),"",LARGE(L333:L347,1)+1)</f>
        <v/>
      </c>
      <c r="M348" s="6873"/>
      <c r="N348" s="6944"/>
      <c r="O348" s="6944"/>
      <c r="P348" s="6944"/>
      <c r="Q348" s="6944"/>
      <c r="R348" s="6944"/>
      <c r="S348" s="6944"/>
      <c r="T348" s="6945"/>
      <c r="U348" s="6945"/>
      <c r="V348" s="6946"/>
      <c r="X348" s="2884" t="str">
        <f t="shared" si="21"/>
        <v>ou saucisse de Toulouse</v>
      </c>
      <c r="Y348" s="12"/>
      <c r="Z348" s="12" t="s">
        <v>7142</v>
      </c>
      <c r="AA348" s="12"/>
      <c r="AB348" s="12"/>
      <c r="AC348" s="12"/>
      <c r="AD348" s="2781"/>
      <c r="AF348" s="2730">
        <v>1</v>
      </c>
    </row>
    <row r="349" spans="2:32" ht="15.75">
      <c r="B349" s="6649"/>
      <c r="C349" s="1"/>
      <c r="D349" s="1"/>
      <c r="E349" s="1"/>
      <c r="F349" s="6649"/>
      <c r="G349" s="6649"/>
      <c r="H349" s="6649"/>
      <c r="I349" s="6649"/>
      <c r="J349" s="6649"/>
      <c r="K349" s="6649"/>
      <c r="L349" s="7299" t="str">
        <f>IF(ISBLANK(M349),"",LARGE(L333:L348,1)+1)</f>
        <v/>
      </c>
      <c r="M349" s="6873"/>
      <c r="N349" s="6944"/>
      <c r="O349" s="6944"/>
      <c r="P349" s="6944"/>
      <c r="Q349" s="6944"/>
      <c r="R349" s="6944"/>
      <c r="S349" s="6944"/>
      <c r="T349" s="6945"/>
      <c r="U349" s="6945"/>
      <c r="V349" s="6946"/>
      <c r="X349" s="2884" t="str">
        <f t="shared" si="21"/>
        <v>Oignons</v>
      </c>
      <c r="Y349" s="12"/>
      <c r="Z349" s="12" t="s">
        <v>7128</v>
      </c>
      <c r="AA349" s="12"/>
      <c r="AB349" s="12"/>
      <c r="AC349" s="12"/>
      <c r="AD349" s="2781"/>
      <c r="AF349" s="2730">
        <v>1</v>
      </c>
    </row>
    <row r="350" spans="2:32" ht="15.75">
      <c r="B350" s="6649"/>
      <c r="C350" s="1"/>
      <c r="D350" s="1"/>
      <c r="E350" s="1"/>
      <c r="F350" s="6649"/>
      <c r="G350" s="6649"/>
      <c r="H350" s="6649"/>
      <c r="I350" s="6649"/>
      <c r="J350" s="6649"/>
      <c r="K350" s="6649"/>
      <c r="L350" s="7299" t="str">
        <f>IF(ISBLANK(M350),"",LARGE(L333:L349,1)+1)</f>
        <v/>
      </c>
      <c r="M350" s="6873"/>
      <c r="N350" s="6944"/>
      <c r="O350" s="6944"/>
      <c r="P350" s="6944"/>
      <c r="Q350" s="6944"/>
      <c r="R350" s="6944"/>
      <c r="S350" s="6944"/>
      <c r="T350" s="6945"/>
      <c r="U350" s="6945"/>
      <c r="V350" s="6946"/>
      <c r="X350" s="2884" t="str">
        <f t="shared" si="21"/>
        <v>Dés de tomates surgelés</v>
      </c>
      <c r="Y350" s="12"/>
      <c r="Z350" s="12" t="s">
        <v>7143</v>
      </c>
      <c r="AA350" s="12"/>
      <c r="AB350" s="12"/>
      <c r="AC350" s="12"/>
      <c r="AD350" s="2781"/>
      <c r="AF350" s="2730">
        <v>1</v>
      </c>
    </row>
    <row r="351" spans="2:32" ht="15.75">
      <c r="B351" s="6649"/>
      <c r="C351" s="1"/>
      <c r="D351" s="1"/>
      <c r="E351" s="1"/>
      <c r="F351" s="6649"/>
      <c r="G351" s="6649"/>
      <c r="H351" s="6649"/>
      <c r="I351" s="6649"/>
      <c r="J351" s="6649"/>
      <c r="K351" s="6649"/>
      <c r="L351" s="7299" t="str">
        <f>IF(ISBLANK(M351),"",LARGE(L333:L350,1)+1)</f>
        <v/>
      </c>
      <c r="M351" s="6873"/>
      <c r="N351" s="6944"/>
      <c r="O351" s="6944"/>
      <c r="P351" s="6944"/>
      <c r="Q351" s="6944"/>
      <c r="R351" s="6944"/>
      <c r="S351" s="6944"/>
      <c r="T351" s="6945"/>
      <c r="U351" s="6945"/>
      <c r="V351" s="6946"/>
      <c r="X351" s="2884" t="str">
        <f t="shared" si="21"/>
        <v>Tomate concentrée</v>
      </c>
      <c r="Y351" s="12"/>
      <c r="Z351" s="12" t="s">
        <v>7144</v>
      </c>
      <c r="AA351" s="12"/>
      <c r="AB351" s="12"/>
      <c r="AC351" s="12"/>
      <c r="AD351" s="2781"/>
      <c r="AF351" s="2730">
        <v>1</v>
      </c>
    </row>
    <row r="352" spans="2:32" ht="15.75">
      <c r="B352" s="6649"/>
      <c r="C352" s="1"/>
      <c r="D352" s="1"/>
      <c r="E352" s="1"/>
      <c r="F352" s="6649"/>
      <c r="G352" s="6649"/>
      <c r="H352" s="6649"/>
      <c r="I352" s="6649"/>
      <c r="J352" s="6649"/>
      <c r="K352" s="6649"/>
      <c r="L352" s="6875" t="s">
        <v>15809</v>
      </c>
      <c r="M352" s="6876"/>
      <c r="N352" s="6876"/>
      <c r="O352" s="6876"/>
      <c r="P352" s="6876"/>
      <c r="Q352" s="6876"/>
      <c r="R352" s="6876"/>
      <c r="S352" s="6876"/>
      <c r="T352" s="6876"/>
      <c r="U352" s="6876"/>
      <c r="V352" s="6877" t="s">
        <v>15809</v>
      </c>
      <c r="X352" s="2884" t="str">
        <f t="shared" si="21"/>
        <v>Ail haché surgelé</v>
      </c>
      <c r="Y352" s="12"/>
      <c r="Z352" s="12" t="s">
        <v>7145</v>
      </c>
      <c r="AA352" s="12"/>
      <c r="AB352" s="12"/>
      <c r="AC352" s="12"/>
      <c r="AD352" s="2781"/>
      <c r="AF352" s="2730">
        <v>1</v>
      </c>
    </row>
    <row r="353" spans="2:32" ht="15.75">
      <c r="B353" s="6649"/>
      <c r="C353" s="1"/>
      <c r="D353" s="1"/>
      <c r="E353" s="1"/>
      <c r="F353" s="6649"/>
      <c r="G353" s="6649"/>
      <c r="H353" s="6649"/>
      <c r="I353" s="6649"/>
      <c r="J353" s="6649"/>
      <c r="K353" s="6649"/>
      <c r="L353" s="6863" t="s">
        <v>15792</v>
      </c>
      <c r="M353" s="6792"/>
      <c r="N353" s="6908"/>
      <c r="O353" s="6908"/>
      <c r="P353" s="6908"/>
      <c r="Q353" s="6908"/>
      <c r="R353" s="6908"/>
      <c r="S353" s="6909"/>
      <c r="T353" s="6909"/>
      <c r="U353" s="6909"/>
      <c r="V353" s="6910" t="s">
        <v>15868</v>
      </c>
      <c r="X353" s="2884" t="str">
        <f t="shared" si="21"/>
        <v>Herbes de Provence</v>
      </c>
      <c r="Y353" s="12"/>
      <c r="Z353" s="12" t="s">
        <v>7146</v>
      </c>
      <c r="AA353" s="12"/>
      <c r="AB353" s="12"/>
      <c r="AC353" s="12"/>
      <c r="AD353" s="2781"/>
      <c r="AF353" s="2730">
        <v>1</v>
      </c>
    </row>
    <row r="354" spans="2:32" ht="15.75">
      <c r="B354" s="6649"/>
      <c r="C354" s="1"/>
      <c r="D354" s="1"/>
      <c r="E354" s="1"/>
      <c r="F354" s="6649"/>
      <c r="G354" s="6649"/>
      <c r="H354" s="6649"/>
      <c r="I354" s="6649"/>
      <c r="J354" s="6649"/>
      <c r="K354" s="6649"/>
      <c r="L354" s="6872">
        <v>0</v>
      </c>
      <c r="M354" s="8007"/>
      <c r="N354" s="8009" t="s">
        <v>15759</v>
      </c>
      <c r="O354" s="7614"/>
      <c r="P354" s="6706" t="s">
        <v>2091</v>
      </c>
      <c r="Q354" s="8011" t="s">
        <v>15752</v>
      </c>
      <c r="R354" s="8012" t="s">
        <v>15753</v>
      </c>
      <c r="S354" s="8014" t="s">
        <v>61</v>
      </c>
      <c r="T354" s="7971" t="s">
        <v>15758</v>
      </c>
      <c r="U354" s="7024"/>
      <c r="V354" s="7025"/>
      <c r="X354" s="2884" t="str">
        <f t="shared" si="21"/>
        <v>Sel</v>
      </c>
      <c r="Y354" s="12"/>
      <c r="Z354" s="12" t="s">
        <v>7147</v>
      </c>
      <c r="AA354" s="12"/>
      <c r="AB354" s="12"/>
      <c r="AC354" s="12"/>
      <c r="AD354" s="2781"/>
      <c r="AF354" s="2730">
        <v>1</v>
      </c>
    </row>
    <row r="355" spans="2:32" ht="15.75">
      <c r="B355" s="6649"/>
      <c r="C355" s="1"/>
      <c r="D355" s="1"/>
      <c r="E355" s="1"/>
      <c r="F355" s="6649"/>
      <c r="G355" s="6649"/>
      <c r="H355" s="6649"/>
      <c r="I355" s="6649"/>
      <c r="J355" s="6649"/>
      <c r="K355" s="6649"/>
      <c r="L355" s="6860" t="str">
        <f>IF(ISBLANK(M355),"",LARGE(L354:L354,1)+1)</f>
        <v/>
      </c>
      <c r="M355" s="8008"/>
      <c r="N355" s="8010"/>
      <c r="O355" s="7615"/>
      <c r="P355" s="6712" t="s">
        <v>59</v>
      </c>
      <c r="Q355" s="7960"/>
      <c r="R355" s="8013"/>
      <c r="S355" s="8015"/>
      <c r="T355" s="7972"/>
      <c r="U355" s="7024"/>
      <c r="V355" s="7025"/>
      <c r="X355" s="2884" t="str">
        <f t="shared" si="21"/>
        <v>Poivre</v>
      </c>
      <c r="Y355" s="12"/>
      <c r="Z355" s="12" t="s">
        <v>7148</v>
      </c>
      <c r="AA355" s="12"/>
      <c r="AB355" s="12"/>
      <c r="AC355" s="12"/>
      <c r="AD355" s="2781"/>
      <c r="AF355" s="2730">
        <v>1</v>
      </c>
    </row>
    <row r="356" spans="2:32" ht="15.75">
      <c r="B356" s="6649"/>
      <c r="C356" s="1"/>
      <c r="D356" s="1"/>
      <c r="E356" s="1"/>
      <c r="F356" s="6649"/>
      <c r="G356" s="6649"/>
      <c r="H356" s="6649"/>
      <c r="I356" s="6649"/>
      <c r="J356" s="6649"/>
      <c r="K356" s="6649"/>
      <c r="L356" s="6860" t="str">
        <f>IF(ISBLANK(M356),"",LARGE(L354:L355,1)+1)</f>
        <v/>
      </c>
      <c r="M356" s="7026"/>
      <c r="N356" s="7027"/>
      <c r="O356" s="7027" t="s">
        <v>15869</v>
      </c>
      <c r="P356" s="7028"/>
      <c r="Q356" s="7029">
        <v>350</v>
      </c>
      <c r="R356" s="7030" t="s">
        <v>1172</v>
      </c>
      <c r="S356" s="7031">
        <f>IFERROR(INDEX(P362:V362,MATCH(R356,P361:V361,0)) * Q356 * IF(ISBLANK(P356), 1, P356), 0)</f>
        <v>0.35000000000000003</v>
      </c>
      <c r="T356" s="7032" t="str">
        <f>IF(R356="","",IF(COUNTIF(R361:V361,SUBSTITUTE(TRIM(R356)," (s)",""))&gt;0,IF(ROUND(S356,3)&gt;=1,ROUND(S356,3)&amp;" L",MAX(1,ROUND(S356*100,0))&amp;" cl"),IF(COUNTIF(P361:Q361,SUBSTITUTE(TRIM(R356)," (s)",""))&gt;0,IF(ROUND(S356,3)&gt;=1,ROUND(S356,3)&amp;" Kg",MAX(1,ROUND(S356*1000,0))&amp;" g"),"")))</f>
        <v>350 g</v>
      </c>
      <c r="U356" s="7024"/>
      <c r="V356" s="7025"/>
      <c r="X356" s="2884" t="str">
        <f t="shared" si="21"/>
        <v>Chapelure</v>
      </c>
      <c r="Y356" s="12"/>
      <c r="Z356" s="12" t="s">
        <v>7149</v>
      </c>
      <c r="AA356" s="12"/>
      <c r="AB356" s="12"/>
      <c r="AC356" s="12"/>
      <c r="AD356" s="2781"/>
      <c r="AF356" s="2730">
        <v>1</v>
      </c>
    </row>
    <row r="357" spans="2:32" ht="15.75">
      <c r="B357" s="6649"/>
      <c r="C357" s="1"/>
      <c r="D357" s="1"/>
      <c r="E357" s="1"/>
      <c r="F357" s="6649"/>
      <c r="G357" s="6649"/>
      <c r="H357" s="6649"/>
      <c r="I357" s="6649"/>
      <c r="J357" s="6649"/>
      <c r="K357" s="6649"/>
      <c r="L357" s="6860" t="str">
        <f>IF(ISBLANK(M357),"",LARGE(L354:L356,1)+1)</f>
        <v/>
      </c>
      <c r="M357" s="7033"/>
      <c r="N357" s="7034"/>
      <c r="O357" s="7034" t="s">
        <v>15870</v>
      </c>
      <c r="P357" s="7035"/>
      <c r="Q357" s="7036">
        <v>1.2</v>
      </c>
      <c r="R357" s="6762" t="s">
        <v>373</v>
      </c>
      <c r="S357" s="7031">
        <f>IFERROR(INDEX(P362:V362,MATCH(R357,P361:V361,0)) * Q357 * IF(ISBLANK(P357), 1, P357), 0)</f>
        <v>1.2</v>
      </c>
      <c r="T357" s="7032" t="str">
        <f>IF(R357="","",IF(COUNTIF(R361:V361,SUBSTITUTE(TRIM(R357)," (s)",""))&gt;0,IF(ROUND(S357,3)&gt;=1,ROUND(S357,3)&amp;" L",MAX(1,ROUND(S357*100,0))&amp;" cl"),IF(COUNTIF(P361:Q361,SUBSTITUTE(TRIM(R357)," (s)",""))&gt;0,IF(ROUND(S357,3)&gt;=1,ROUND(S357,3)&amp;" Kg",MAX(1,ROUND(S357*1000,0))&amp;" g"),"")))</f>
        <v>1.2 Kg</v>
      </c>
      <c r="U357" s="7024"/>
      <c r="V357" s="7025"/>
      <c r="X357" s="2884"/>
      <c r="Y357" s="12"/>
      <c r="Z357" s="12"/>
      <c r="AA357" s="12"/>
      <c r="AB357" s="12"/>
      <c r="AC357" s="12"/>
      <c r="AD357" s="2781"/>
      <c r="AF357" s="2730">
        <v>1</v>
      </c>
    </row>
    <row r="358" spans="2:32" ht="15.75">
      <c r="B358" s="6649"/>
      <c r="C358" s="1"/>
      <c r="D358" s="1"/>
      <c r="E358" s="1"/>
      <c r="F358" s="6649"/>
      <c r="G358" s="6649"/>
      <c r="H358" s="6649"/>
      <c r="I358" s="6649"/>
      <c r="J358" s="6649"/>
      <c r="K358" s="6649"/>
      <c r="L358" s="6860" t="str">
        <f>IF(ISBLANK(M358),"",LARGE(L354:L357,1)+1)</f>
        <v/>
      </c>
      <c r="M358" s="7037"/>
      <c r="N358" s="7038"/>
      <c r="O358" s="7038" t="s">
        <v>68</v>
      </c>
      <c r="P358" s="7035">
        <v>2</v>
      </c>
      <c r="Q358" s="7039">
        <v>50</v>
      </c>
      <c r="R358" s="6755" t="s">
        <v>1172</v>
      </c>
      <c r="S358" s="7031">
        <f>IFERROR(INDEX(P362:V362,MATCH(R358,P361:V361,0)) * Q358 * IF(ISBLANK(P358), 1, P358), 0)</f>
        <v>0.1</v>
      </c>
      <c r="T358" s="7032" t="str">
        <f>IF(R358="","",IF(COUNTIF(R361:V361,SUBSTITUTE(TRIM(R358)," (s)",""))&gt;0,IF(ROUND(S358,3)&gt;=1,ROUND(S358,3)&amp;" L",MAX(1,ROUND(S358*100,0))&amp;" cl"),IF(COUNTIF(P361:Q361,SUBSTITUTE(TRIM(R358)," (s)",""))&gt;0,IF(ROUND(S358,3)&gt;=1,ROUND(S358,3)&amp;" Kg",MAX(1,ROUND(S358*1000,0))&amp;" g"),"")))</f>
        <v>100 g</v>
      </c>
      <c r="U358" s="7024"/>
      <c r="V358" s="7025"/>
      <c r="X358" s="2882" t="s">
        <v>7150</v>
      </c>
      <c r="Y358" s="12"/>
      <c r="Z358" s="12"/>
      <c r="AA358" s="12"/>
      <c r="AB358" s="12"/>
      <c r="AC358" s="12"/>
      <c r="AD358" s="2781"/>
      <c r="AF358" s="2730">
        <v>1</v>
      </c>
    </row>
    <row r="359" spans="2:32" ht="15.75">
      <c r="B359" s="6649"/>
      <c r="C359" s="1"/>
      <c r="D359" s="1"/>
      <c r="E359" s="1"/>
      <c r="F359" s="6649"/>
      <c r="G359" s="6649"/>
      <c r="H359" s="6649"/>
      <c r="I359" s="6649"/>
      <c r="J359" s="6649"/>
      <c r="K359" s="6649"/>
      <c r="L359" s="6860" t="str">
        <f>IF(ISBLANK(M359),"",LARGE(L354:L358,1)+1)</f>
        <v/>
      </c>
      <c r="M359" s="7033"/>
      <c r="N359" s="7034"/>
      <c r="O359" s="7034" t="s">
        <v>15871</v>
      </c>
      <c r="P359" s="7035"/>
      <c r="Q359" s="7039">
        <v>15</v>
      </c>
      <c r="R359" s="6760" t="s">
        <v>15771</v>
      </c>
      <c r="S359" s="7031">
        <f>IFERROR(INDEX(P362:V362,MATCH(R359,P361:V361,0)) * Q359 * IF(ISBLANK(P359), 1, P359), 0)</f>
        <v>7.5</v>
      </c>
      <c r="T359" s="7032" t="str">
        <f>IF(R359="","",IF(COUNTIF(R361:V361,SUBSTITUTE(TRIM(R359)," (s)",""))&gt;0,IF(ROUND(S359,3)&gt;=1,ROUND(S359,3)&amp;" L",MAX(1,ROUND(S359*100,0))&amp;" cl"),IF(COUNTIF(P361:Q361,SUBSTITUTE(TRIM(R359)," (s)",""))&gt;0,IF(ROUND(S359,3)&gt;=1,ROUND(S359,3)&amp;" Kg",MAX(1,ROUND(S359*1000,0))&amp;" g"),"")))</f>
        <v>7.5 L</v>
      </c>
      <c r="U359" s="7024"/>
      <c r="V359" s="7025"/>
      <c r="X359" s="2884" t="s">
        <v>7151</v>
      </c>
      <c r="Y359" s="12"/>
      <c r="Z359" s="12"/>
      <c r="AA359" s="12"/>
      <c r="AB359" s="12"/>
      <c r="AC359" s="12"/>
      <c r="AD359" s="2781"/>
      <c r="AF359" s="2730">
        <v>1</v>
      </c>
    </row>
    <row r="360" spans="2:32" ht="15.75">
      <c r="B360" s="6649"/>
      <c r="C360" s="1"/>
      <c r="D360" s="1"/>
      <c r="E360" s="1"/>
      <c r="F360" s="6649"/>
      <c r="G360" s="6649"/>
      <c r="H360" s="6649"/>
      <c r="I360" s="6649"/>
      <c r="J360" s="6649"/>
      <c r="K360" s="6649"/>
      <c r="L360" s="6860" t="str">
        <f>IF(ISBLANK(M360),"",LARGE(L354:L359,1)+1)</f>
        <v/>
      </c>
      <c r="M360" s="7040"/>
      <c r="N360" s="7041"/>
      <c r="O360" s="7041" t="s">
        <v>15872</v>
      </c>
      <c r="P360" s="7042"/>
      <c r="Q360" s="7043"/>
      <c r="R360" s="6936"/>
      <c r="S360" s="6936"/>
      <c r="T360" s="6936"/>
      <c r="U360" s="7044"/>
      <c r="V360" s="7045"/>
      <c r="X360" s="2884" t="e" cm="1">
        <f t="array" ref="X360">- La veille : faire tremper les haricots.</f>
        <v>#NAME?</v>
      </c>
      <c r="Y360" s="12"/>
      <c r="Z360" s="12" t="str">
        <f ca="1">_xlfn.FORMULATEXT(X360)</f>
        <v>=- La veille : faire tremper les haricots.</v>
      </c>
      <c r="AA360" s="12"/>
      <c r="AB360" s="12"/>
      <c r="AC360" s="12"/>
      <c r="AD360" s="2781"/>
      <c r="AF360" s="2730">
        <v>1</v>
      </c>
    </row>
    <row r="361" spans="2:32" ht="15.75">
      <c r="B361" s="6649"/>
      <c r="C361" s="1"/>
      <c r="D361" s="1"/>
      <c r="E361" s="1"/>
      <c r="F361" s="6649"/>
      <c r="G361" s="6649"/>
      <c r="H361" s="6649"/>
      <c r="I361" s="6649"/>
      <c r="J361" s="6649"/>
      <c r="K361" s="6649"/>
      <c r="L361" s="6860" t="str">
        <f>IF(ISBLANK(M361),"",LARGE(L354:L360,1)+1)</f>
        <v/>
      </c>
      <c r="M361" s="7046"/>
      <c r="N361" s="419" t="s">
        <v>15873</v>
      </c>
      <c r="O361" s="419"/>
      <c r="P361" s="6762" t="s">
        <v>373</v>
      </c>
      <c r="Q361" s="6755" t="s">
        <v>1172</v>
      </c>
      <c r="R361" s="7047" t="s">
        <v>34</v>
      </c>
      <c r="S361" s="6759" t="s">
        <v>33</v>
      </c>
      <c r="T361" s="6759" t="s">
        <v>32</v>
      </c>
      <c r="U361" s="7047" t="s">
        <v>31</v>
      </c>
      <c r="V361" s="6760" t="s">
        <v>15771</v>
      </c>
      <c r="X361" s="2884" t="s">
        <v>7152</v>
      </c>
      <c r="Y361" s="12"/>
      <c r="Z361" s="12"/>
      <c r="AA361" s="12"/>
      <c r="AB361" s="12"/>
      <c r="AC361" s="12"/>
      <c r="AD361" s="2781"/>
      <c r="AF361" s="2730">
        <v>1</v>
      </c>
    </row>
    <row r="362" spans="2:32" ht="15.75">
      <c r="B362" s="6649"/>
      <c r="C362" s="1"/>
      <c r="D362" s="1"/>
      <c r="E362" s="1"/>
      <c r="F362" s="6649"/>
      <c r="G362" s="6649"/>
      <c r="H362" s="6649"/>
      <c r="I362" s="6649"/>
      <c r="J362" s="6649"/>
      <c r="K362" s="6649"/>
      <c r="L362" s="6860" t="str">
        <f>IF(ISBLANK(M362),"",LARGE(L354:L361,1)+1)</f>
        <v/>
      </c>
      <c r="M362" s="7048"/>
      <c r="N362" s="1"/>
      <c r="O362" s="1"/>
      <c r="P362" s="7049">
        <v>1</v>
      </c>
      <c r="Q362" s="7050">
        <v>1E-3</v>
      </c>
      <c r="R362" s="6768">
        <v>1</v>
      </c>
      <c r="S362" s="6768">
        <v>0.1</v>
      </c>
      <c r="T362" s="6768">
        <v>0.01</v>
      </c>
      <c r="U362" s="6768">
        <v>1E-3</v>
      </c>
      <c r="V362" s="7051">
        <v>0.5</v>
      </c>
      <c r="X362" s="2810"/>
      <c r="Y362" s="6885"/>
      <c r="Z362" s="6885"/>
      <c r="AA362" s="6885"/>
      <c r="AB362" s="6885"/>
      <c r="AC362" s="6885"/>
      <c r="AD362" s="7311"/>
      <c r="AF362" s="2730">
        <v>1</v>
      </c>
    </row>
    <row r="363" spans="2:32" ht="15.75" customHeight="1">
      <c r="B363" s="6649"/>
      <c r="C363" s="1"/>
      <c r="D363" s="1"/>
      <c r="E363" s="1"/>
      <c r="F363" s="6649"/>
      <c r="G363" s="6649"/>
      <c r="H363" s="6649"/>
      <c r="I363" s="6649"/>
      <c r="J363" s="6649"/>
      <c r="K363" s="6649"/>
      <c r="L363" s="7299"/>
      <c r="M363" s="7000" t="s">
        <v>15793</v>
      </c>
      <c r="N363" s="7000"/>
      <c r="O363" s="7000"/>
      <c r="P363" s="7052"/>
      <c r="Q363" s="7052"/>
      <c r="R363" s="7052"/>
      <c r="S363" s="7052"/>
      <c r="T363" s="7052"/>
      <c r="U363" s="7052"/>
      <c r="V363" s="7053" t="s">
        <v>7099</v>
      </c>
      <c r="X363" s="294"/>
      <c r="Y363" s="7581" t="s">
        <v>213</v>
      </c>
      <c r="Z363" s="2885"/>
      <c r="AA363" s="2885"/>
      <c r="AB363" s="1"/>
      <c r="AC363" s="1"/>
      <c r="AD363" s="2241"/>
      <c r="AF363" s="2730">
        <v>1</v>
      </c>
    </row>
    <row r="364" spans="2:32" ht="18.75">
      <c r="B364" s="6649"/>
      <c r="C364" s="1"/>
      <c r="D364" s="1"/>
      <c r="E364" s="1"/>
      <c r="F364" s="6649"/>
      <c r="G364" s="6649"/>
      <c r="H364" s="6649"/>
      <c r="I364" s="6649"/>
      <c r="J364" s="6649"/>
      <c r="K364" s="6649"/>
      <c r="L364" s="7299"/>
      <c r="M364" s="7054" t="s">
        <v>15796</v>
      </c>
      <c r="N364" s="6944"/>
      <c r="O364" s="6944"/>
      <c r="P364" s="6944"/>
      <c r="Q364" s="6944"/>
      <c r="R364" s="6944"/>
      <c r="S364" s="6944"/>
      <c r="T364" s="6944"/>
      <c r="U364" s="6944"/>
      <c r="V364" s="6946"/>
      <c r="X364" s="294"/>
      <c r="Y364" s="7933" t="s">
        <v>16182</v>
      </c>
      <c r="Z364" s="7582" t="s">
        <v>16183</v>
      </c>
      <c r="AA364" s="7583"/>
      <c r="AB364" s="1"/>
      <c r="AC364" s="1"/>
      <c r="AD364" s="2241"/>
      <c r="AF364" s="2730">
        <v>1</v>
      </c>
    </row>
    <row r="365" spans="2:32" ht="15.75">
      <c r="B365" s="6649"/>
      <c r="C365" s="1"/>
      <c r="D365" s="1"/>
      <c r="E365" s="1"/>
      <c r="F365" s="6649"/>
      <c r="G365" s="6649"/>
      <c r="H365" s="6649"/>
      <c r="I365" s="6649"/>
      <c r="J365" s="6649"/>
      <c r="K365" s="6649"/>
      <c r="L365" s="7299" t="str">
        <f>IF(ISBLANK(M365),"",LARGE(L354:L364,1)+1)</f>
        <v/>
      </c>
      <c r="M365" s="6944"/>
      <c r="N365" s="6944"/>
      <c r="O365" s="6944"/>
      <c r="P365" s="6944"/>
      <c r="Q365" s="6944"/>
      <c r="R365" s="6944"/>
      <c r="S365" s="6944"/>
      <c r="T365" s="6945"/>
      <c r="U365" s="6945"/>
      <c r="V365" s="6946"/>
      <c r="X365" s="294"/>
      <c r="Y365" s="7933"/>
      <c r="Z365" s="7582" t="s">
        <v>16184</v>
      </c>
      <c r="AA365" s="7583"/>
      <c r="AB365" s="1"/>
      <c r="AC365" s="1"/>
      <c r="AD365" s="2241"/>
      <c r="AF365" s="2730">
        <v>1</v>
      </c>
    </row>
    <row r="366" spans="2:32" ht="15" customHeight="1">
      <c r="B366" s="6649"/>
      <c r="C366" s="1"/>
      <c r="D366" s="1"/>
      <c r="E366" s="1"/>
      <c r="F366" s="6649"/>
      <c r="G366" s="6649"/>
      <c r="H366" s="6649"/>
      <c r="I366" s="6649"/>
      <c r="J366" s="6649"/>
      <c r="K366" s="6649"/>
      <c r="L366" s="7299" t="str">
        <f>IF(ISBLANK(M366),"",LARGE(L354:L365,1)+1)</f>
        <v/>
      </c>
      <c r="M366" s="6944"/>
      <c r="N366" s="6944"/>
      <c r="O366" s="6944"/>
      <c r="P366" s="6944"/>
      <c r="Q366" s="6944"/>
      <c r="R366" s="6944"/>
      <c r="S366" s="6944"/>
      <c r="T366" s="6945"/>
      <c r="U366" s="6945"/>
      <c r="V366" s="6946"/>
      <c r="X366" s="294"/>
      <c r="Y366" s="7933"/>
      <c r="Z366" s="7582" t="s">
        <v>16185</v>
      </c>
      <c r="AA366" s="7583"/>
      <c r="AB366" s="1"/>
      <c r="AC366" s="1"/>
      <c r="AD366" s="2241"/>
      <c r="AF366" s="2730">
        <v>1</v>
      </c>
    </row>
    <row r="367" spans="2:32" ht="15.75">
      <c r="B367" s="6649"/>
      <c r="C367" s="1"/>
      <c r="D367" s="1"/>
      <c r="E367" s="1"/>
      <c r="F367" s="6649"/>
      <c r="G367" s="6649"/>
      <c r="H367" s="6649"/>
      <c r="I367" s="6649"/>
      <c r="J367" s="6649"/>
      <c r="K367" s="6649"/>
      <c r="L367" s="7299" t="str">
        <f>IF(ISBLANK(M367),"",LARGE(L354:L366,1)+1)</f>
        <v/>
      </c>
      <c r="M367" s="6944"/>
      <c r="N367" s="6944"/>
      <c r="O367" s="6944"/>
      <c r="P367" s="6944"/>
      <c r="Q367" s="6944"/>
      <c r="R367" s="6944"/>
      <c r="S367" s="6944"/>
      <c r="T367" s="6945"/>
      <c r="U367" s="6945"/>
      <c r="V367" s="6946"/>
      <c r="X367" s="294"/>
      <c r="Y367" s="7933"/>
      <c r="Z367" s="7934" t="s">
        <v>16186</v>
      </c>
      <c r="AA367" s="7934"/>
      <c r="AB367" s="1"/>
      <c r="AC367" s="1"/>
      <c r="AD367" s="2241"/>
      <c r="AF367" s="2730">
        <v>1</v>
      </c>
    </row>
    <row r="368" spans="2:32" ht="15.75">
      <c r="B368" s="6649"/>
      <c r="C368" s="1"/>
      <c r="D368" s="1"/>
      <c r="E368" s="1"/>
      <c r="F368" s="6649"/>
      <c r="G368" s="6649"/>
      <c r="H368" s="6649"/>
      <c r="I368" s="6649"/>
      <c r="J368" s="6649"/>
      <c r="K368" s="6649"/>
      <c r="L368" s="7299" t="str">
        <f>IF(ISBLANK(M368),"",LARGE(L354:L367,1)+1)</f>
        <v/>
      </c>
      <c r="M368" s="6944"/>
      <c r="N368" s="6944"/>
      <c r="O368" s="6944"/>
      <c r="P368" s="6944"/>
      <c r="Q368" s="6944"/>
      <c r="R368" s="6944"/>
      <c r="S368" s="6944"/>
      <c r="T368" s="6945"/>
      <c r="U368" s="6945"/>
      <c r="V368" s="6946"/>
      <c r="X368" s="294"/>
      <c r="Y368" s="7933"/>
      <c r="Z368" s="7934"/>
      <c r="AA368" s="7934"/>
      <c r="AB368" s="7584"/>
      <c r="AC368" s="1"/>
      <c r="AD368" s="2241"/>
      <c r="AF368" s="2730">
        <v>1</v>
      </c>
    </row>
    <row r="369" spans="2:32" ht="15.75">
      <c r="B369" s="6649"/>
      <c r="C369" s="1"/>
      <c r="D369" s="1"/>
      <c r="E369" s="1"/>
      <c r="F369" s="6649"/>
      <c r="G369" s="6649"/>
      <c r="H369" s="6649"/>
      <c r="I369" s="6649"/>
      <c r="J369" s="6649"/>
      <c r="K369" s="6649"/>
      <c r="L369" s="7299" t="str">
        <f>IF(ISBLANK(M369),"",LARGE(L354:L368,1)+1)</f>
        <v/>
      </c>
      <c r="M369" s="6944"/>
      <c r="N369" s="6944"/>
      <c r="O369" s="6944"/>
      <c r="P369" s="6944"/>
      <c r="Q369" s="6944"/>
      <c r="R369" s="6944"/>
      <c r="S369" s="6944"/>
      <c r="T369" s="6945"/>
      <c r="U369" s="6945"/>
      <c r="V369" s="6946"/>
      <c r="X369" s="294"/>
      <c r="Y369" s="7933"/>
      <c r="Z369" s="7585" t="s">
        <v>16187</v>
      </c>
      <c r="AA369" s="7583"/>
      <c r="AB369" s="7584"/>
      <c r="AC369" s="1"/>
      <c r="AD369" s="2241"/>
      <c r="AF369" s="2730">
        <v>1</v>
      </c>
    </row>
    <row r="370" spans="2:32" ht="15.75">
      <c r="B370" s="6649"/>
      <c r="C370" s="1"/>
      <c r="D370" s="1"/>
      <c r="E370" s="1"/>
      <c r="F370" s="6649"/>
      <c r="G370" s="6649"/>
      <c r="H370" s="6649"/>
      <c r="I370" s="6649"/>
      <c r="J370" s="6649"/>
      <c r="K370" s="6649"/>
      <c r="L370" s="7299" t="str">
        <f>IF(ISBLANK(M370),"",LARGE(L354:L369,1)+1)</f>
        <v/>
      </c>
      <c r="M370" s="6944"/>
      <c r="N370" s="6944"/>
      <c r="O370" s="6944"/>
      <c r="P370" s="6944"/>
      <c r="Q370" s="6944"/>
      <c r="R370" s="6944"/>
      <c r="S370" s="6944"/>
      <c r="T370" s="6945"/>
      <c r="U370" s="6945"/>
      <c r="V370" s="6946"/>
      <c r="X370" s="294"/>
      <c r="Y370" s="7933"/>
      <c r="Z370" s="7585" t="s">
        <v>16188</v>
      </c>
      <c r="AA370" s="7586"/>
      <c r="AB370" s="7584"/>
      <c r="AC370" s="1"/>
      <c r="AD370" s="2241"/>
      <c r="AF370" s="2730">
        <v>1</v>
      </c>
    </row>
    <row r="371" spans="2:32" ht="15.75">
      <c r="B371" s="6649"/>
      <c r="C371" s="1"/>
      <c r="D371" s="1"/>
      <c r="E371" s="1"/>
      <c r="F371" s="6649"/>
      <c r="G371" s="6649"/>
      <c r="H371" s="6649"/>
      <c r="I371" s="6649"/>
      <c r="J371" s="6649"/>
      <c r="K371" s="6649"/>
      <c r="L371" s="7299" t="str">
        <f>IF(ISBLANK(M371),"",LARGE(L354:L370,1)+1)</f>
        <v/>
      </c>
      <c r="M371" s="6944"/>
      <c r="N371" s="6944"/>
      <c r="O371" s="6944"/>
      <c r="P371" s="6944"/>
      <c r="Q371" s="6944"/>
      <c r="R371" s="6944"/>
      <c r="S371" s="6944"/>
      <c r="T371" s="6945"/>
      <c r="U371" s="6945"/>
      <c r="V371" s="6946"/>
      <c r="X371" s="294"/>
      <c r="Y371" s="7933"/>
      <c r="Z371" s="7587" t="s">
        <v>16189</v>
      </c>
      <c r="AA371" s="7586"/>
      <c r="AB371" s="7584"/>
      <c r="AC371" s="1"/>
      <c r="AD371" s="2241"/>
      <c r="AF371" s="2730">
        <v>1</v>
      </c>
    </row>
    <row r="372" spans="2:32" ht="15.75">
      <c r="B372" s="6649"/>
      <c r="C372" s="1"/>
      <c r="D372" s="1"/>
      <c r="E372" s="1"/>
      <c r="F372" s="6649"/>
      <c r="G372" s="6649"/>
      <c r="H372" s="6649"/>
      <c r="I372" s="6649"/>
      <c r="J372" s="6649"/>
      <c r="K372" s="6649"/>
      <c r="L372" s="7299" t="str">
        <f>IF(ISBLANK(M372),"",LARGE(L354:L371,1)+1)</f>
        <v/>
      </c>
      <c r="M372" s="6944"/>
      <c r="N372" s="6944"/>
      <c r="O372" s="6944"/>
      <c r="P372" s="6944"/>
      <c r="Q372" s="6944"/>
      <c r="R372" s="6944"/>
      <c r="S372" s="6944"/>
      <c r="T372" s="6945"/>
      <c r="U372" s="6945"/>
      <c r="V372" s="6946"/>
      <c r="X372" s="294"/>
      <c r="Y372" s="7933"/>
      <c r="Z372" s="7587" t="s">
        <v>16190</v>
      </c>
      <c r="AA372" s="7583"/>
      <c r="AB372" s="7584"/>
      <c r="AC372" s="1"/>
      <c r="AD372" s="2241"/>
      <c r="AF372" s="2730">
        <v>1</v>
      </c>
    </row>
    <row r="373" spans="2:32" ht="15.75">
      <c r="B373" s="6649"/>
      <c r="C373" s="1"/>
      <c r="D373" s="1"/>
      <c r="E373" s="1"/>
      <c r="F373" s="6649"/>
      <c r="G373" s="6649"/>
      <c r="H373" s="6649"/>
      <c r="I373" s="6649"/>
      <c r="J373" s="6649"/>
      <c r="K373" s="6649"/>
      <c r="L373" s="6875" t="s">
        <v>15809</v>
      </c>
      <c r="M373" s="6876"/>
      <c r="N373" s="6876"/>
      <c r="O373" s="6876"/>
      <c r="P373" s="6876"/>
      <c r="Q373" s="6876"/>
      <c r="R373" s="6876"/>
      <c r="S373" s="6876"/>
      <c r="T373" s="6876"/>
      <c r="U373" s="6876"/>
      <c r="V373" s="6877" t="s">
        <v>15809</v>
      </c>
      <c r="X373" s="294"/>
      <c r="Y373" s="7933"/>
      <c r="Z373" s="7588" t="s">
        <v>16191</v>
      </c>
      <c r="AA373" s="7583"/>
      <c r="AB373" s="7584"/>
      <c r="AC373" s="1"/>
      <c r="AD373" s="2241"/>
      <c r="AF373" s="2730">
        <v>1</v>
      </c>
    </row>
    <row r="374" spans="2:32" ht="15.75">
      <c r="B374" s="6649"/>
      <c r="C374" s="1"/>
      <c r="D374" s="1"/>
      <c r="E374" s="1"/>
      <c r="F374" s="6649"/>
      <c r="G374" s="6649"/>
      <c r="H374" s="6649"/>
      <c r="I374" s="6649"/>
      <c r="J374" s="6649"/>
      <c r="K374" s="6649"/>
      <c r="L374" s="6878" t="s">
        <v>15792</v>
      </c>
      <c r="M374" s="6879" t="s">
        <v>15793</v>
      </c>
      <c r="N374" s="6792"/>
      <c r="O374" s="6792"/>
      <c r="P374" s="6792"/>
      <c r="Q374" s="6792"/>
      <c r="R374" s="6908"/>
      <c r="S374" s="6909"/>
      <c r="T374" s="6909"/>
      <c r="U374" s="6909"/>
      <c r="V374" s="6910" t="s">
        <v>15794</v>
      </c>
      <c r="X374" s="294"/>
      <c r="Y374" s="7933"/>
      <c r="Z374" s="7588" t="s">
        <v>16192</v>
      </c>
      <c r="AA374" s="7583"/>
      <c r="AB374" s="7584"/>
      <c r="AC374" s="1"/>
      <c r="AD374" s="2241"/>
      <c r="AF374" s="2730">
        <v>1</v>
      </c>
    </row>
    <row r="375" spans="2:32" ht="18.75">
      <c r="B375" s="6649"/>
      <c r="C375" s="1"/>
      <c r="D375" s="1"/>
      <c r="E375" s="1"/>
      <c r="F375" s="6649"/>
      <c r="G375" s="6649"/>
      <c r="H375" s="6649"/>
      <c r="I375" s="6649"/>
      <c r="J375" s="6649"/>
      <c r="K375" s="6649"/>
      <c r="L375" s="6872">
        <v>0</v>
      </c>
      <c r="M375" s="6932" t="s">
        <v>15796</v>
      </c>
      <c r="N375" s="6937"/>
      <c r="O375" s="6937"/>
      <c r="P375" s="7055"/>
      <c r="Q375" s="7056"/>
      <c r="R375" s="7057" t="s">
        <v>15874</v>
      </c>
      <c r="S375" s="7058" t="s">
        <v>2411</v>
      </c>
      <c r="T375" s="7058" t="s">
        <v>15875</v>
      </c>
      <c r="U375" s="7058" t="s">
        <v>10449</v>
      </c>
      <c r="V375" s="7059"/>
      <c r="X375" s="294"/>
      <c r="Y375" s="7933"/>
      <c r="Z375" s="7589"/>
      <c r="AA375" s="7583"/>
      <c r="AB375" s="7584"/>
      <c r="AC375" s="1"/>
      <c r="AD375" s="2241"/>
      <c r="AF375" s="2730">
        <v>1</v>
      </c>
    </row>
    <row r="376" spans="2:32" ht="15.75">
      <c r="B376" s="6649"/>
      <c r="C376" s="1"/>
      <c r="D376" s="1"/>
      <c r="E376" s="1"/>
      <c r="F376" s="6649"/>
      <c r="G376" s="6649"/>
      <c r="H376" s="6649"/>
      <c r="I376" s="6649"/>
      <c r="J376" s="6649"/>
      <c r="K376" s="6649"/>
      <c r="L376" s="6860" t="str">
        <f>IF(ISBLANK(M376),"",LARGE(L375:L375,1)+1)</f>
        <v/>
      </c>
      <c r="M376" s="7060"/>
      <c r="N376" s="6944"/>
      <c r="O376" s="6944"/>
      <c r="P376" s="6944"/>
      <c r="Q376" s="6944"/>
      <c r="R376" s="7061" t="s">
        <v>15876</v>
      </c>
      <c r="S376" s="7062">
        <v>4.1666666666666699E-2</v>
      </c>
      <c r="T376" s="7063">
        <v>220</v>
      </c>
      <c r="U376" s="7064" t="s">
        <v>15877</v>
      </c>
      <c r="V376" s="7065"/>
      <c r="X376" s="294"/>
      <c r="Y376" s="7590" t="s">
        <v>16193</v>
      </c>
      <c r="Z376" s="7591"/>
      <c r="AA376" s="7591"/>
      <c r="AB376" s="7584"/>
      <c r="AC376" s="1"/>
      <c r="AD376" s="2241"/>
      <c r="AF376" s="2730">
        <v>1</v>
      </c>
    </row>
    <row r="377" spans="2:32" ht="15.75">
      <c r="B377" s="6649"/>
      <c r="C377" s="1"/>
      <c r="D377" s="1"/>
      <c r="E377" s="1"/>
      <c r="F377" s="6649"/>
      <c r="G377" s="6649"/>
      <c r="H377" s="6649"/>
      <c r="I377" s="6649"/>
      <c r="J377" s="6649"/>
      <c r="K377" s="6649"/>
      <c r="L377" s="6860" t="str">
        <f>IF(ISBLANK(M377),"",LARGE(L375:L376,1)+1)</f>
        <v/>
      </c>
      <c r="M377" s="7060"/>
      <c r="N377" s="6944"/>
      <c r="O377" s="6944"/>
      <c r="P377" s="6944"/>
      <c r="Q377" s="6944"/>
      <c r="R377" s="7066" t="s">
        <v>15874</v>
      </c>
      <c r="S377" s="7067"/>
      <c r="T377" s="7067" t="s">
        <v>15878</v>
      </c>
      <c r="U377" s="7068" t="s">
        <v>15879</v>
      </c>
      <c r="V377" s="7069"/>
      <c r="X377" s="294"/>
      <c r="Y377" s="1"/>
      <c r="Z377" s="1"/>
      <c r="AA377" s="1"/>
      <c r="AB377" s="1"/>
      <c r="AC377" s="1"/>
      <c r="AD377" s="2241"/>
      <c r="AF377" s="2730">
        <v>1</v>
      </c>
    </row>
    <row r="378" spans="2:32" ht="15.75">
      <c r="B378" s="6649"/>
      <c r="C378" s="1"/>
      <c r="D378" s="1"/>
      <c r="E378" s="1"/>
      <c r="F378" s="6649"/>
      <c r="G378" s="6649"/>
      <c r="H378" s="6649"/>
      <c r="I378" s="6649"/>
      <c r="J378" s="6649"/>
      <c r="K378" s="6649"/>
      <c r="L378" s="6860" t="str">
        <f>IF(ISBLANK(M378),"",LARGE(L375:L377,1)+1)</f>
        <v/>
      </c>
      <c r="M378" s="7060"/>
      <c r="N378" s="6944"/>
      <c r="O378" s="6944"/>
      <c r="P378" s="6944"/>
      <c r="Q378" s="6944"/>
      <c r="R378" s="7070" t="s">
        <v>15880</v>
      </c>
      <c r="S378" s="7071"/>
      <c r="T378" s="7072">
        <v>250</v>
      </c>
      <c r="U378" s="7073" t="s">
        <v>15881</v>
      </c>
      <c r="V378" s="7074"/>
      <c r="X378" s="294"/>
      <c r="Y378" s="2886" t="s">
        <v>7153</v>
      </c>
      <c r="Z378" s="2885"/>
      <c r="AA378" s="1"/>
      <c r="AB378" s="1"/>
      <c r="AC378" s="1"/>
      <c r="AD378" s="2241"/>
      <c r="AF378" s="2730">
        <v>1</v>
      </c>
    </row>
    <row r="379" spans="2:32" ht="15.75">
      <c r="B379" s="6649"/>
      <c r="C379" s="1"/>
      <c r="D379" s="1"/>
      <c r="E379" s="1"/>
      <c r="F379" s="6649"/>
      <c r="G379" s="6649"/>
      <c r="H379" s="6649"/>
      <c r="I379" s="6649"/>
      <c r="J379" s="6649"/>
      <c r="K379" s="6649"/>
      <c r="L379" s="6860" t="str">
        <f>IF(ISBLANK(M379),"",LARGE(L375:L378,1)+1)</f>
        <v/>
      </c>
      <c r="M379" s="7060"/>
      <c r="N379" s="6944"/>
      <c r="O379" s="6944"/>
      <c r="P379" s="6944"/>
      <c r="Q379" s="6944"/>
      <c r="R379" s="7066" t="s">
        <v>15874</v>
      </c>
      <c r="S379" s="7067"/>
      <c r="T379" s="7067" t="s">
        <v>15878</v>
      </c>
      <c r="U379" s="7068" t="s">
        <v>15879</v>
      </c>
      <c r="V379" s="7069"/>
      <c r="X379" s="294"/>
      <c r="Y379" s="2887" t="s">
        <v>7154</v>
      </c>
      <c r="Z379" s="2885"/>
      <c r="AA379" s="1"/>
      <c r="AB379" s="1"/>
      <c r="AC379" s="1"/>
      <c r="AD379" s="2241"/>
      <c r="AF379" s="2730">
        <v>1</v>
      </c>
    </row>
    <row r="380" spans="2:32" ht="15.75">
      <c r="B380" s="6649"/>
      <c r="C380" s="1"/>
      <c r="D380" s="1"/>
      <c r="E380" s="1"/>
      <c r="F380" s="6649"/>
      <c r="G380" s="6649"/>
      <c r="H380" s="6649"/>
      <c r="I380" s="6649"/>
      <c r="J380" s="6649"/>
      <c r="K380" s="6649"/>
      <c r="L380" s="6860" t="str">
        <f>IF(ISBLANK(M380),"",LARGE(L375:L379,1)+1)</f>
        <v/>
      </c>
      <c r="M380" s="7060"/>
      <c r="N380" s="6944"/>
      <c r="O380" s="6944"/>
      <c r="P380" s="6944"/>
      <c r="Q380" s="6944"/>
      <c r="R380" s="7070" t="s">
        <v>15880</v>
      </c>
      <c r="S380" s="7071">
        <v>4.8611111111111112E-3</v>
      </c>
      <c r="T380" s="7072">
        <v>250</v>
      </c>
      <c r="U380" s="7073" t="s">
        <v>15882</v>
      </c>
      <c r="V380" s="7074"/>
      <c r="X380" s="294"/>
      <c r="Y380" s="2885"/>
      <c r="Z380" s="2885"/>
      <c r="AA380" s="1"/>
      <c r="AB380" s="1"/>
      <c r="AC380" s="1"/>
      <c r="AD380" s="2241"/>
      <c r="AF380" s="2730">
        <v>1</v>
      </c>
    </row>
    <row r="381" spans="2:32" ht="15.75">
      <c r="B381" s="6649"/>
      <c r="C381" s="1"/>
      <c r="D381" s="1"/>
      <c r="E381" s="1"/>
      <c r="F381" s="6649"/>
      <c r="G381" s="6649"/>
      <c r="H381" s="6649"/>
      <c r="I381" s="6649"/>
      <c r="J381" s="6649"/>
      <c r="K381" s="6649"/>
      <c r="L381" s="6860" t="str">
        <f>IF(ISBLANK(M381),"",LARGE(L375:L380,1)+1)</f>
        <v/>
      </c>
      <c r="M381" s="7060"/>
      <c r="N381" s="6944"/>
      <c r="O381" s="6944"/>
      <c r="P381" s="6944"/>
      <c r="Q381" s="6944"/>
      <c r="R381" s="7066" t="s">
        <v>15874</v>
      </c>
      <c r="S381" s="7067"/>
      <c r="T381" s="7067" t="s">
        <v>15878</v>
      </c>
      <c r="U381" s="7068" t="s">
        <v>15879</v>
      </c>
      <c r="V381" s="7069"/>
      <c r="X381" s="2888"/>
      <c r="Y381" s="12" t="s">
        <v>2763</v>
      </c>
      <c r="Z381" s="12"/>
      <c r="AA381" s="12"/>
      <c r="AB381" s="1"/>
      <c r="AC381" s="1"/>
      <c r="AD381" s="2241"/>
      <c r="AF381" s="2730">
        <v>1</v>
      </c>
    </row>
    <row r="382" spans="2:32" ht="16.5" thickBot="1">
      <c r="B382" s="6649"/>
      <c r="C382" s="1"/>
      <c r="D382" s="1"/>
      <c r="E382" s="1"/>
      <c r="F382" s="6649"/>
      <c r="G382" s="6649"/>
      <c r="H382" s="6649"/>
      <c r="I382" s="6649"/>
      <c r="J382" s="6649"/>
      <c r="K382" s="6649"/>
      <c r="L382" s="6860" t="str">
        <f>IF(ISBLANK(M382),"",LARGE(L375:L381,1)+1)</f>
        <v/>
      </c>
      <c r="M382" s="7060"/>
      <c r="N382" s="6944"/>
      <c r="O382" s="6944"/>
      <c r="P382" s="6944"/>
      <c r="Q382" s="6944"/>
      <c r="R382" s="7070" t="s">
        <v>15880</v>
      </c>
      <c r="S382" s="7071">
        <v>0.10416666666666667</v>
      </c>
      <c r="T382" s="7072">
        <v>170</v>
      </c>
      <c r="U382" s="7075" t="s">
        <v>15883</v>
      </c>
      <c r="V382" s="7076"/>
      <c r="X382" s="2888"/>
      <c r="Y382" s="2889">
        <v>12</v>
      </c>
      <c r="Z382" s="12" t="s">
        <v>7155</v>
      </c>
      <c r="AA382" s="12"/>
      <c r="AB382" s="1"/>
      <c r="AC382" s="1"/>
      <c r="AD382" s="2241"/>
      <c r="AF382" s="2730">
        <v>1</v>
      </c>
    </row>
    <row r="383" spans="2:32" ht="15.75">
      <c r="B383" s="6649"/>
      <c r="C383" s="1"/>
      <c r="D383" s="1"/>
      <c r="E383" s="1"/>
      <c r="F383" s="6649"/>
      <c r="G383" s="6649"/>
      <c r="H383" s="6649"/>
      <c r="I383" s="6649"/>
      <c r="J383" s="6649"/>
      <c r="K383" s="6649"/>
      <c r="L383" s="6860" t="str">
        <f>IF(ISBLANK(M383),"",LARGE(L375:L382,1)+1)</f>
        <v/>
      </c>
      <c r="M383" s="7060"/>
      <c r="N383" s="6944"/>
      <c r="O383" s="6944"/>
      <c r="P383" s="6944"/>
      <c r="Q383" s="6944"/>
      <c r="R383" s="7066" t="s">
        <v>15874</v>
      </c>
      <c r="S383" s="7067"/>
      <c r="T383" s="7067" t="s">
        <v>15878</v>
      </c>
      <c r="U383" s="7068" t="s">
        <v>15884</v>
      </c>
      <c r="V383" s="7069"/>
      <c r="X383" s="2888"/>
      <c r="Y383" s="2890">
        <f ca="1">CELL("largeur",Y383)</f>
        <v>18</v>
      </c>
      <c r="Z383" s="12" t="s">
        <v>7156</v>
      </c>
      <c r="AA383" s="12"/>
      <c r="AB383" s="1"/>
      <c r="AC383" s="1"/>
      <c r="AD383" s="2241"/>
      <c r="AF383" s="2730">
        <v>1</v>
      </c>
    </row>
    <row r="384" spans="2:32" ht="15.75">
      <c r="B384" s="6649"/>
      <c r="C384" s="1"/>
      <c r="D384" s="1"/>
      <c r="E384" s="1"/>
      <c r="F384" s="6649"/>
      <c r="G384" s="6649"/>
      <c r="H384" s="6649"/>
      <c r="I384" s="6649"/>
      <c r="J384" s="6649"/>
      <c r="K384" s="6649"/>
      <c r="L384" s="6860" t="str">
        <f>IF(ISBLANK(M384),"",LARGE(L375:L383,1)+1)</f>
        <v/>
      </c>
      <c r="M384" s="7060"/>
      <c r="N384" s="6944"/>
      <c r="O384" s="6944"/>
      <c r="P384" s="6944"/>
      <c r="Q384" s="6944"/>
      <c r="R384" s="7070" t="s">
        <v>15880</v>
      </c>
      <c r="S384" s="7071">
        <v>4.8611111111111112E-3</v>
      </c>
      <c r="T384" s="7072">
        <v>100</v>
      </c>
      <c r="U384" s="7073"/>
      <c r="V384" s="7074"/>
      <c r="X384" s="2888"/>
      <c r="Y384" s="12" t="s">
        <v>7157</v>
      </c>
      <c r="Z384" s="12"/>
      <c r="AA384" s="12"/>
      <c r="AB384" s="1"/>
      <c r="AC384" s="1"/>
      <c r="AD384" s="2241"/>
      <c r="AF384" s="2730">
        <v>1</v>
      </c>
    </row>
    <row r="385" spans="2:32" ht="15.75">
      <c r="B385" s="6649"/>
      <c r="C385" s="1"/>
      <c r="D385" s="1"/>
      <c r="E385" s="1"/>
      <c r="F385" s="6649"/>
      <c r="G385" s="6649"/>
      <c r="H385" s="6649"/>
      <c r="I385" s="6649"/>
      <c r="J385" s="6649"/>
      <c r="K385" s="6649"/>
      <c r="L385" s="6860" t="str">
        <f>IF(ISBLANK(M385),"",LARGE(L375:L384,1)+1)</f>
        <v/>
      </c>
      <c r="M385" s="7060"/>
      <c r="N385" s="6944"/>
      <c r="O385" s="6944"/>
      <c r="P385" s="6944"/>
      <c r="Q385" s="6944"/>
      <c r="R385" s="7066" t="s">
        <v>15874</v>
      </c>
      <c r="S385" s="7067"/>
      <c r="T385" s="7067" t="s">
        <v>15878</v>
      </c>
      <c r="U385" s="7068" t="s">
        <v>15885</v>
      </c>
      <c r="V385" s="7069"/>
      <c r="X385" s="2888"/>
      <c r="Y385" s="12" t="s">
        <v>7158</v>
      </c>
      <c r="Z385" s="12"/>
      <c r="AA385" s="12"/>
      <c r="AB385" s="1"/>
      <c r="AC385" s="1"/>
      <c r="AD385" s="2241"/>
      <c r="AF385" s="2730">
        <v>1</v>
      </c>
    </row>
    <row r="386" spans="2:32" ht="15.75">
      <c r="B386" s="6649"/>
      <c r="C386" s="1"/>
      <c r="D386" s="1"/>
      <c r="E386" s="1"/>
      <c r="F386" s="6649"/>
      <c r="G386" s="6649"/>
      <c r="H386" s="6649"/>
      <c r="I386" s="6649"/>
      <c r="J386" s="6649"/>
      <c r="K386" s="6649"/>
      <c r="L386" s="6860" t="str">
        <f>IF(ISBLANK(M386),"",LARGE(L375:L385,1)+1)</f>
        <v/>
      </c>
      <c r="M386" s="7060"/>
      <c r="N386" s="6944"/>
      <c r="O386" s="6944"/>
      <c r="P386" s="6944"/>
      <c r="Q386" s="6944"/>
      <c r="R386" s="7061" t="s">
        <v>15880</v>
      </c>
      <c r="S386" s="7062">
        <v>4.8611111111111112E-3</v>
      </c>
      <c r="T386" s="7063">
        <v>110</v>
      </c>
      <c r="U386" s="7064"/>
      <c r="V386" s="7065"/>
      <c r="X386" s="2888"/>
      <c r="Y386" s="12" t="s">
        <v>7159</v>
      </c>
      <c r="Z386" s="2891"/>
      <c r="AA386" s="2891"/>
      <c r="AB386" s="1"/>
      <c r="AC386" s="1"/>
      <c r="AD386" s="2241"/>
      <c r="AF386" s="2730">
        <v>1</v>
      </c>
    </row>
    <row r="387" spans="2:32" ht="15.75">
      <c r="B387" s="6649"/>
      <c r="C387" s="1"/>
      <c r="D387" s="1"/>
      <c r="E387" s="1"/>
      <c r="F387" s="6649"/>
      <c r="G387" s="6649"/>
      <c r="H387" s="6649"/>
      <c r="I387" s="6649"/>
      <c r="J387" s="6649"/>
      <c r="K387" s="6649"/>
      <c r="L387" s="6860" t="str">
        <f>IF(ISBLANK(M387),"",LARGE(L375:L386,1)+1)</f>
        <v/>
      </c>
      <c r="M387" s="7060"/>
      <c r="N387" s="6944"/>
      <c r="O387" s="6944"/>
      <c r="P387" s="6944"/>
      <c r="Q387" s="6944"/>
      <c r="R387" s="7066" t="s">
        <v>15874</v>
      </c>
      <c r="S387" s="7067"/>
      <c r="T387" s="7067" t="s">
        <v>15878</v>
      </c>
      <c r="U387" s="7068" t="s">
        <v>15885</v>
      </c>
      <c r="V387" s="7069"/>
      <c r="X387" s="2888"/>
      <c r="Y387" s="2891"/>
      <c r="Z387" s="2891"/>
      <c r="AA387" s="2891"/>
      <c r="AB387" s="1"/>
      <c r="AC387" s="1"/>
      <c r="AD387" s="2241"/>
      <c r="AF387" s="2730">
        <v>1</v>
      </c>
    </row>
    <row r="388" spans="2:32" ht="15.75">
      <c r="B388" s="6649"/>
      <c r="C388" s="1"/>
      <c r="D388" s="1"/>
      <c r="E388" s="1"/>
      <c r="F388" s="6649"/>
      <c r="G388" s="6649"/>
      <c r="H388" s="6649"/>
      <c r="I388" s="6649"/>
      <c r="J388" s="6649"/>
      <c r="K388" s="6649"/>
      <c r="L388" s="6860" t="str">
        <f>IF(ISBLANK(M388),"",LARGE(L375:L387,1)+1)</f>
        <v/>
      </c>
      <c r="M388" s="7060"/>
      <c r="N388" s="6944"/>
      <c r="O388" s="6944"/>
      <c r="P388" s="6944"/>
      <c r="Q388" s="6944"/>
      <c r="R388" s="7061" t="s">
        <v>15880</v>
      </c>
      <c r="S388" s="7062">
        <v>4.8611111111111112E-3</v>
      </c>
      <c r="T388" s="7063">
        <v>110</v>
      </c>
      <c r="U388" s="7064"/>
      <c r="V388" s="7065"/>
      <c r="X388" s="2884"/>
      <c r="Y388" s="2892" t="s">
        <v>2370</v>
      </c>
      <c r="Z388" s="2893" t="s">
        <v>7160</v>
      </c>
      <c r="AA388" s="2891"/>
      <c r="AB388" s="1"/>
      <c r="AC388" s="1"/>
      <c r="AD388" s="2241"/>
      <c r="AF388" s="2730">
        <v>1</v>
      </c>
    </row>
    <row r="389" spans="2:32" ht="15.75">
      <c r="B389" s="6649"/>
      <c r="C389" s="1"/>
      <c r="D389" s="1"/>
      <c r="E389" s="1"/>
      <c r="F389" s="6649"/>
      <c r="G389" s="6649"/>
      <c r="H389" s="6649"/>
      <c r="I389" s="6649"/>
      <c r="J389" s="6649"/>
      <c r="K389" s="6649"/>
      <c r="L389" s="6860" t="str">
        <f>IF(ISBLANK(M389),"",LARGE(L375:L388,1)+1)</f>
        <v/>
      </c>
      <c r="M389" s="7060"/>
      <c r="N389" s="6944"/>
      <c r="O389" s="6944"/>
      <c r="P389" s="6944"/>
      <c r="Q389" s="6944"/>
      <c r="R389" s="7066" t="s">
        <v>15874</v>
      </c>
      <c r="S389" s="7067"/>
      <c r="T389" s="7067" t="s">
        <v>15878</v>
      </c>
      <c r="U389" s="7068" t="s">
        <v>15885</v>
      </c>
      <c r="V389" s="7069"/>
      <c r="X389" s="2884"/>
      <c r="Y389" s="2894" t="s">
        <v>7161</v>
      </c>
      <c r="Z389" s="1"/>
      <c r="AA389" s="2891"/>
      <c r="AB389" s="1"/>
      <c r="AC389" s="1"/>
      <c r="AD389" s="2241"/>
      <c r="AF389" s="2730">
        <v>1</v>
      </c>
    </row>
    <row r="390" spans="2:32" ht="15.75">
      <c r="B390" s="6649"/>
      <c r="C390" s="1"/>
      <c r="D390" s="1"/>
      <c r="E390" s="1"/>
      <c r="F390" s="6649"/>
      <c r="G390" s="6649"/>
      <c r="H390" s="6649"/>
      <c r="I390" s="6649"/>
      <c r="J390" s="6649"/>
      <c r="K390" s="6649"/>
      <c r="L390" s="6860" t="str">
        <f>IF(ISBLANK(M390),"",LARGE(L375:L389,1)+1)</f>
        <v/>
      </c>
      <c r="M390" s="7060"/>
      <c r="N390" s="6944"/>
      <c r="O390" s="6944"/>
      <c r="P390" s="6944"/>
      <c r="Q390" s="6944"/>
      <c r="R390" s="7070" t="s">
        <v>15880</v>
      </c>
      <c r="S390" s="7071">
        <v>4.8611111111111112E-3</v>
      </c>
      <c r="T390" s="7072">
        <v>110</v>
      </c>
      <c r="U390" s="7073"/>
      <c r="V390" s="7074"/>
      <c r="X390" s="2884"/>
      <c r="Y390" s="2895" t="s">
        <v>7162</v>
      </c>
      <c r="Z390" s="1"/>
      <c r="AA390" s="2891"/>
      <c r="AB390" s="1"/>
      <c r="AC390" s="1"/>
      <c r="AD390" s="2241"/>
      <c r="AF390" s="2730">
        <v>1</v>
      </c>
    </row>
    <row r="391" spans="2:32" ht="15.75">
      <c r="B391" s="6649"/>
      <c r="C391" s="1"/>
      <c r="D391" s="1"/>
      <c r="E391" s="1"/>
      <c r="F391" s="6649"/>
      <c r="G391" s="6649"/>
      <c r="H391" s="6649"/>
      <c r="I391" s="6649"/>
      <c r="J391" s="6649"/>
      <c r="K391" s="6649"/>
      <c r="L391" s="6860" t="str">
        <f>IF(ISBLANK(M391),"",LARGE(L375:L390,1)+1)</f>
        <v/>
      </c>
      <c r="M391" s="7060"/>
      <c r="N391" s="6944"/>
      <c r="O391" s="6944"/>
      <c r="P391" s="6944"/>
      <c r="Q391" s="6944"/>
      <c r="R391" s="6881"/>
      <c r="S391" s="6881"/>
      <c r="T391" s="6881"/>
      <c r="U391" s="6881"/>
      <c r="V391" s="7077"/>
      <c r="X391" s="2884"/>
      <c r="Y391" s="2896"/>
      <c r="Z391" s="2891"/>
      <c r="AA391" s="2891"/>
      <c r="AB391" s="1"/>
      <c r="AC391" s="1"/>
      <c r="AD391" s="2241"/>
      <c r="AF391" s="2730">
        <v>1</v>
      </c>
    </row>
    <row r="392" spans="2:32" ht="15.75">
      <c r="B392" s="6649"/>
      <c r="C392" s="1"/>
      <c r="D392" s="1"/>
      <c r="E392" s="1"/>
      <c r="F392" s="6649"/>
      <c r="G392" s="6649"/>
      <c r="H392" s="6649"/>
      <c r="I392" s="6649"/>
      <c r="J392" s="6649"/>
      <c r="K392" s="6649"/>
      <c r="L392" s="6860" t="str">
        <f>IF(ISBLANK(M392),"",LARGE(L375:L391,1)+1)</f>
        <v/>
      </c>
      <c r="M392" s="7060"/>
      <c r="N392" s="6944"/>
      <c r="O392" s="6944"/>
      <c r="P392" s="6944"/>
      <c r="Q392" s="6944"/>
      <c r="R392" s="6801"/>
      <c r="S392" s="6801"/>
      <c r="T392" s="6801"/>
      <c r="U392" s="6801"/>
      <c r="V392" s="6809"/>
      <c r="X392" s="2884"/>
      <c r="Y392" s="2894" t="s">
        <v>7163</v>
      </c>
      <c r="Z392" s="2891"/>
      <c r="AA392" s="1"/>
      <c r="AB392" s="1"/>
      <c r="AC392" s="1"/>
      <c r="AD392" s="2241"/>
      <c r="AF392" s="2730">
        <v>1</v>
      </c>
    </row>
    <row r="393" spans="2:32" ht="15.75">
      <c r="B393" s="6649"/>
      <c r="C393" s="1"/>
      <c r="D393" s="1"/>
      <c r="E393" s="1"/>
      <c r="F393" s="6649"/>
      <c r="G393" s="6649"/>
      <c r="H393" s="6649"/>
      <c r="I393" s="6649"/>
      <c r="J393" s="6649"/>
      <c r="K393" s="6649"/>
      <c r="L393" s="6860" t="str">
        <f>IF(ISBLANK(M393),"",LARGE(L375:L392,1)+1)</f>
        <v/>
      </c>
      <c r="M393" s="6888"/>
      <c r="N393" s="7055"/>
      <c r="O393" s="7055"/>
      <c r="P393" s="7055"/>
      <c r="Q393" s="7056"/>
      <c r="R393" s="6801"/>
      <c r="S393" s="6801"/>
      <c r="T393" s="6801"/>
      <c r="U393" s="6801"/>
      <c r="V393" s="6979" t="s">
        <v>7099</v>
      </c>
      <c r="X393" s="2884"/>
      <c r="Y393" s="2894"/>
      <c r="Z393" s="2891"/>
      <c r="AA393" s="1"/>
      <c r="AB393" s="1"/>
      <c r="AC393" s="1"/>
      <c r="AD393" s="2241"/>
      <c r="AF393" s="2730">
        <v>1</v>
      </c>
    </row>
    <row r="394" spans="2:32" ht="15.75">
      <c r="B394" s="6649"/>
      <c r="C394" s="1"/>
      <c r="D394" s="1"/>
      <c r="E394" s="1"/>
      <c r="F394" s="6649"/>
      <c r="G394" s="6649"/>
      <c r="H394" s="6649"/>
      <c r="I394" s="6649"/>
      <c r="J394" s="6649"/>
      <c r="K394" s="6649"/>
      <c r="L394" s="6875" t="s">
        <v>15809</v>
      </c>
      <c r="M394" s="6876"/>
      <c r="N394" s="6876"/>
      <c r="O394" s="6876"/>
      <c r="P394" s="6876"/>
      <c r="Q394" s="6876"/>
      <c r="R394" s="6876"/>
      <c r="S394" s="6876"/>
      <c r="T394" s="6876"/>
      <c r="U394" s="6876"/>
      <c r="V394" s="6877" t="s">
        <v>15809</v>
      </c>
      <c r="X394" s="2884"/>
      <c r="Y394" s="2894" t="s">
        <v>7164</v>
      </c>
      <c r="Z394" s="2891"/>
      <c r="AA394" s="1"/>
      <c r="AB394" s="1"/>
      <c r="AC394" s="1"/>
      <c r="AD394" s="2241"/>
      <c r="AF394" s="2730">
        <v>1</v>
      </c>
    </row>
    <row r="395" spans="2:32" ht="15.75">
      <c r="B395" s="6649"/>
      <c r="C395" s="1"/>
      <c r="D395" s="1"/>
      <c r="E395" s="1"/>
      <c r="F395" s="6649"/>
      <c r="G395" s="6649"/>
      <c r="H395" s="6649"/>
      <c r="I395" s="6649"/>
      <c r="J395" s="6649"/>
      <c r="K395" s="6649"/>
      <c r="L395" s="6863" t="s">
        <v>15792</v>
      </c>
      <c r="M395" s="6879" t="s">
        <v>15793</v>
      </c>
      <c r="N395" s="6792"/>
      <c r="O395" s="6792"/>
      <c r="P395" s="6792"/>
      <c r="Q395" s="6792"/>
      <c r="R395" s="6792"/>
      <c r="S395" s="6930"/>
      <c r="T395" s="6930"/>
      <c r="U395" s="6930"/>
      <c r="V395" s="6910" t="s">
        <v>15794</v>
      </c>
      <c r="X395" s="2884"/>
      <c r="Y395" s="2894" t="s">
        <v>7165</v>
      </c>
      <c r="Z395" s="2891"/>
      <c r="AA395" s="1"/>
      <c r="AB395" s="1"/>
      <c r="AC395" s="1"/>
      <c r="AD395" s="2241"/>
      <c r="AF395" s="2730">
        <v>1</v>
      </c>
    </row>
    <row r="396" spans="2:32" ht="18.75">
      <c r="B396" s="6649"/>
      <c r="C396" s="1"/>
      <c r="D396" s="1"/>
      <c r="E396" s="1"/>
      <c r="F396" s="6649"/>
      <c r="G396" s="6649"/>
      <c r="H396" s="6649"/>
      <c r="I396" s="6649"/>
      <c r="J396" s="6649"/>
      <c r="K396" s="6649"/>
      <c r="L396" s="6872">
        <v>0</v>
      </c>
      <c r="M396" s="6932" t="s">
        <v>15796</v>
      </c>
      <c r="N396" s="6937"/>
      <c r="O396" s="6937"/>
      <c r="P396" s="6944"/>
      <c r="Q396" s="6944"/>
      <c r="R396" s="6944"/>
      <c r="S396" s="7078" t="s">
        <v>15886</v>
      </c>
      <c r="T396" s="7079">
        <v>1.7361111111111112E-2</v>
      </c>
      <c r="U396" s="7080">
        <v>3</v>
      </c>
      <c r="V396" s="7081" t="s">
        <v>4357</v>
      </c>
      <c r="X396" s="2884"/>
      <c r="Y396" s="2897" t="s">
        <v>337</v>
      </c>
      <c r="Z396" s="2898" t="s">
        <v>2370</v>
      </c>
      <c r="AA396" s="1"/>
      <c r="AB396" s="1"/>
      <c r="AC396" s="1"/>
      <c r="AD396" s="2241"/>
      <c r="AF396" s="2730">
        <v>1</v>
      </c>
    </row>
    <row r="397" spans="2:32" ht="15.75">
      <c r="B397" s="6649"/>
      <c r="C397" s="1"/>
      <c r="D397" s="1"/>
      <c r="E397" s="1"/>
      <c r="F397" s="6649"/>
      <c r="G397" s="6649"/>
      <c r="H397" s="6649"/>
      <c r="I397" s="6649"/>
      <c r="J397" s="6649"/>
      <c r="K397" s="6649"/>
      <c r="L397" s="6860" t="str">
        <f>IF(ISBLANK(M397),"",LARGE(L396:L396,1)+1)</f>
        <v/>
      </c>
      <c r="M397" s="7060"/>
      <c r="N397" s="6944"/>
      <c r="O397" s="6944"/>
      <c r="P397" s="6944"/>
      <c r="Q397" s="6944"/>
      <c r="R397" s="6944"/>
      <c r="S397" s="7078" t="s">
        <v>15887</v>
      </c>
      <c r="T397" s="7079">
        <v>1.7361111111111112E-2</v>
      </c>
      <c r="U397" s="7080">
        <v>3</v>
      </c>
      <c r="V397" s="6964" t="s">
        <v>4357</v>
      </c>
      <c r="X397" s="2884"/>
      <c r="Y397" s="12"/>
      <c r="Z397" s="12"/>
      <c r="AA397" s="1"/>
      <c r="AB397" s="1"/>
      <c r="AC397" s="1"/>
      <c r="AD397" s="2241"/>
      <c r="AF397" s="2730">
        <v>1</v>
      </c>
    </row>
    <row r="398" spans="2:32" ht="15.75">
      <c r="B398" s="6649"/>
      <c r="C398" s="1"/>
      <c r="D398" s="1"/>
      <c r="E398" s="1"/>
      <c r="F398" s="6649"/>
      <c r="G398" s="6649"/>
      <c r="H398" s="6649"/>
      <c r="I398" s="6649"/>
      <c r="J398" s="6649"/>
      <c r="K398" s="6649"/>
      <c r="L398" s="6860" t="str">
        <f>IF(ISBLANK(M398),"",LARGE(L396:L397,1)+1)</f>
        <v/>
      </c>
      <c r="M398" s="7060"/>
      <c r="N398" s="6944"/>
      <c r="O398" s="6944"/>
      <c r="P398" s="6944"/>
      <c r="Q398" s="6944"/>
      <c r="R398" s="6944"/>
      <c r="S398" s="7078" t="s">
        <v>15888</v>
      </c>
      <c r="T398" s="7079">
        <v>5.9027777777777797E-2</v>
      </c>
      <c r="U398" s="7080">
        <v>3</v>
      </c>
      <c r="V398" s="6964" t="s">
        <v>4357</v>
      </c>
      <c r="X398" s="2899"/>
      <c r="Y398" s="2829" t="s">
        <v>7166</v>
      </c>
      <c r="Z398" s="2829"/>
      <c r="AA398" s="2829"/>
      <c r="AB398" s="1"/>
      <c r="AC398" s="1"/>
      <c r="AD398" s="2241"/>
      <c r="AF398" s="2730">
        <v>1</v>
      </c>
    </row>
    <row r="399" spans="2:32" ht="15.75">
      <c r="B399" s="6649"/>
      <c r="C399" s="1"/>
      <c r="D399" s="1"/>
      <c r="E399" s="1"/>
      <c r="F399" s="6649"/>
      <c r="G399" s="6649"/>
      <c r="H399" s="6649"/>
      <c r="I399" s="6649"/>
      <c r="J399" s="6649"/>
      <c r="K399" s="6649"/>
      <c r="L399" s="6860" t="str">
        <f>IF(ISBLANK(M399),"",LARGE(L396:L398,1)+1)</f>
        <v/>
      </c>
      <c r="M399" s="7060"/>
      <c r="N399" s="6944"/>
      <c r="O399" s="6944"/>
      <c r="P399" s="6944"/>
      <c r="Q399" s="6944"/>
      <c r="R399" s="6944"/>
      <c r="S399" s="7078" t="s">
        <v>15889</v>
      </c>
      <c r="T399" s="7079">
        <v>2.4305555555555556E-2</v>
      </c>
      <c r="U399" s="7080">
        <v>3</v>
      </c>
      <c r="V399" s="6964" t="s">
        <v>4357</v>
      </c>
      <c r="X399" s="2899"/>
      <c r="Y399" s="2829" t="s">
        <v>7167</v>
      </c>
      <c r="Z399" s="2829"/>
      <c r="AA399" s="2829"/>
      <c r="AB399" s="1"/>
      <c r="AC399" s="1"/>
      <c r="AD399" s="2241"/>
      <c r="AF399" s="2730">
        <v>1</v>
      </c>
    </row>
    <row r="400" spans="2:32" ht="15.75">
      <c r="B400" s="6649"/>
      <c r="C400" s="1"/>
      <c r="D400" s="1"/>
      <c r="E400" s="1"/>
      <c r="F400" s="6649"/>
      <c r="G400" s="6649"/>
      <c r="H400" s="6649"/>
      <c r="I400" s="6649"/>
      <c r="J400" s="6649"/>
      <c r="K400" s="6649"/>
      <c r="L400" s="6860" t="str">
        <f>IF(ISBLANK(M400),"",LARGE(L396:L399,1)+1)</f>
        <v/>
      </c>
      <c r="M400" s="7060"/>
      <c r="N400" s="6944"/>
      <c r="O400" s="6944"/>
      <c r="P400" s="6944"/>
      <c r="Q400" s="6944"/>
      <c r="R400" s="6944"/>
      <c r="S400" s="7078" t="s">
        <v>15890</v>
      </c>
      <c r="T400" s="7079">
        <v>1.0416666666666666E-2</v>
      </c>
      <c r="U400" s="7080">
        <v>170</v>
      </c>
      <c r="V400" s="6964" t="s">
        <v>4357</v>
      </c>
      <c r="X400" s="2792"/>
      <c r="Y400" s="2793"/>
      <c r="Z400" s="2794"/>
      <c r="AA400" s="2793"/>
      <c r="AB400" s="2793"/>
      <c r="AC400" s="2793"/>
      <c r="AD400" s="2795"/>
      <c r="AF400" s="2730">
        <v>1</v>
      </c>
    </row>
    <row r="401" spans="2:32" ht="15.75">
      <c r="B401" s="6649"/>
      <c r="C401" s="1"/>
      <c r="D401" s="1"/>
      <c r="E401" s="1"/>
      <c r="F401" s="6649"/>
      <c r="G401" s="6649"/>
      <c r="H401" s="6649"/>
      <c r="I401" s="6649"/>
      <c r="J401" s="6649"/>
      <c r="K401" s="6649"/>
      <c r="L401" s="6860" t="str">
        <f>IF(ISBLANK(M401),"",LARGE(L396:L400,1)+1)</f>
        <v/>
      </c>
      <c r="M401" s="7060"/>
      <c r="N401" s="6944"/>
      <c r="O401" s="6944"/>
      <c r="P401" s="6944"/>
      <c r="Q401" s="6944"/>
      <c r="R401" s="6944"/>
      <c r="S401" s="7078" t="s">
        <v>15881</v>
      </c>
      <c r="T401" s="7079">
        <v>6.9444444444444441E-3</v>
      </c>
      <c r="U401" s="7080">
        <v>150</v>
      </c>
      <c r="V401" s="6964" t="s">
        <v>4357</v>
      </c>
      <c r="X401" s="2884"/>
      <c r="Y401" s="2801" t="s">
        <v>16194</v>
      </c>
      <c r="Z401" s="12"/>
      <c r="AA401" s="12"/>
      <c r="AB401" s="12"/>
      <c r="AC401" s="12"/>
      <c r="AD401" s="2781"/>
      <c r="AF401" s="2730">
        <v>1</v>
      </c>
    </row>
    <row r="402" spans="2:32" ht="15.75">
      <c r="B402" s="6649"/>
      <c r="C402" s="1"/>
      <c r="D402" s="1"/>
      <c r="E402" s="1"/>
      <c r="F402" s="6649"/>
      <c r="G402" s="6649"/>
      <c r="H402" s="6649"/>
      <c r="I402" s="6649"/>
      <c r="J402" s="6649"/>
      <c r="K402" s="6649"/>
      <c r="L402" s="6860" t="str">
        <f>IF(ISBLANK(M402),"",LARGE(L396:L401,1)+1)</f>
        <v/>
      </c>
      <c r="M402" s="7060"/>
      <c r="N402" s="6944"/>
      <c r="O402" s="6944"/>
      <c r="P402" s="6944"/>
      <c r="Q402" s="6944"/>
      <c r="R402" s="6944"/>
      <c r="S402" s="7078" t="s">
        <v>8447</v>
      </c>
      <c r="T402" s="7079">
        <v>0.10069444444444445</v>
      </c>
      <c r="U402" s="7080">
        <v>120</v>
      </c>
      <c r="V402" s="6964" t="s">
        <v>4357</v>
      </c>
      <c r="X402" s="2884"/>
      <c r="Y402" s="12" t="s">
        <v>7169</v>
      </c>
      <c r="Z402" s="12"/>
      <c r="AA402" s="12"/>
      <c r="AB402" s="12"/>
      <c r="AC402" s="12"/>
      <c r="AD402" s="2781"/>
      <c r="AF402" s="2730">
        <v>1</v>
      </c>
    </row>
    <row r="403" spans="2:32" ht="15.75">
      <c r="B403" s="6649"/>
      <c r="C403" s="1"/>
      <c r="D403" s="1"/>
      <c r="E403" s="1"/>
      <c r="F403" s="6649"/>
      <c r="G403" s="6649"/>
      <c r="H403" s="6649"/>
      <c r="I403" s="6649"/>
      <c r="J403" s="6649"/>
      <c r="K403" s="6649"/>
      <c r="L403" s="6860" t="str">
        <f>IF(ISBLANK(M403),"",LARGE(L396:L402,1)+1)</f>
        <v/>
      </c>
      <c r="M403" s="7060"/>
      <c r="N403" s="6944"/>
      <c r="O403" s="6944"/>
      <c r="P403" s="6944"/>
      <c r="Q403" s="6944"/>
      <c r="R403" s="6944"/>
      <c r="S403" s="7078" t="s">
        <v>15891</v>
      </c>
      <c r="T403" s="7079">
        <v>1.3888888888888888E-2</v>
      </c>
      <c r="U403" s="7080">
        <v>120</v>
      </c>
      <c r="V403" s="6964" t="s">
        <v>4357</v>
      </c>
      <c r="X403" s="2884"/>
      <c r="Y403" s="12" t="s">
        <v>7170</v>
      </c>
      <c r="Z403" s="12"/>
      <c r="AA403" s="12"/>
      <c r="AB403" s="12"/>
      <c r="AC403" s="12"/>
      <c r="AD403" s="2781"/>
      <c r="AF403" s="2730">
        <v>1</v>
      </c>
    </row>
    <row r="404" spans="2:32" ht="15.75">
      <c r="B404" s="6649"/>
      <c r="C404" s="1"/>
      <c r="D404" s="1"/>
      <c r="E404" s="1"/>
      <c r="F404" s="6649"/>
      <c r="G404" s="6649"/>
      <c r="H404" s="6649"/>
      <c r="I404" s="6649"/>
      <c r="J404" s="6649"/>
      <c r="K404" s="6649"/>
      <c r="L404" s="6860" t="str">
        <f>IF(ISBLANK(M404),"",LARGE(L396:L403,1)+1)</f>
        <v/>
      </c>
      <c r="M404" s="7060"/>
      <c r="N404" s="6944"/>
      <c r="O404" s="6944"/>
      <c r="P404" s="6944"/>
      <c r="Q404" s="6944"/>
      <c r="R404" s="6944"/>
      <c r="S404" s="7078" t="s">
        <v>15892</v>
      </c>
      <c r="T404" s="7079">
        <v>2.4305555555555556E-2</v>
      </c>
      <c r="U404" s="7080"/>
      <c r="V404" s="6964" t="s">
        <v>4357</v>
      </c>
      <c r="X404" s="2884"/>
      <c r="Y404" s="12" t="s">
        <v>7171</v>
      </c>
      <c r="Z404" s="12"/>
      <c r="AA404" s="12"/>
      <c r="AB404" s="12"/>
      <c r="AC404" s="12"/>
      <c r="AD404" s="2781"/>
      <c r="AF404" s="2730">
        <v>1</v>
      </c>
    </row>
    <row r="405" spans="2:32" ht="15.75">
      <c r="B405" s="6649"/>
      <c r="C405" s="1"/>
      <c r="D405" s="1"/>
      <c r="E405" s="1"/>
      <c r="F405" s="6649"/>
      <c r="G405" s="6649"/>
      <c r="H405" s="6649"/>
      <c r="I405" s="6649"/>
      <c r="J405" s="6649"/>
      <c r="K405" s="6649"/>
      <c r="L405" s="6860" t="str">
        <f>IF(ISBLANK(M405),"",LARGE(L396:L404,1)+1)</f>
        <v/>
      </c>
      <c r="M405" s="7060"/>
      <c r="N405" s="6944"/>
      <c r="O405" s="6944"/>
      <c r="P405" s="6944"/>
      <c r="Q405" s="6944"/>
      <c r="R405" s="6944"/>
      <c r="S405" s="7078" t="s">
        <v>15893</v>
      </c>
      <c r="T405" s="7079">
        <v>7.2916666666666671E-2</v>
      </c>
      <c r="U405" s="7082" t="s">
        <v>15894</v>
      </c>
      <c r="V405" s="6964" t="s">
        <v>4357</v>
      </c>
      <c r="X405" s="2884"/>
      <c r="Y405" s="12" t="s">
        <v>7172</v>
      </c>
      <c r="Z405" s="12"/>
      <c r="AA405" s="12"/>
      <c r="AB405" s="12"/>
      <c r="AC405" s="12"/>
      <c r="AD405" s="2781"/>
      <c r="AF405" s="2730">
        <v>1</v>
      </c>
    </row>
    <row r="406" spans="2:32" ht="15.75">
      <c r="B406" s="6649"/>
      <c r="C406" s="1"/>
      <c r="D406" s="1"/>
      <c r="E406" s="1"/>
      <c r="F406" s="6649"/>
      <c r="G406" s="6649"/>
      <c r="H406" s="6649"/>
      <c r="I406" s="6649"/>
      <c r="J406" s="6649"/>
      <c r="K406" s="6649"/>
      <c r="L406" s="6860" t="str">
        <f>IF(ISBLANK(M406),"",LARGE(L396:L405,1)+1)</f>
        <v/>
      </c>
      <c r="M406" s="7060"/>
      <c r="N406" s="6944"/>
      <c r="O406" s="6944"/>
      <c r="P406" s="6944"/>
      <c r="Q406" s="6944"/>
      <c r="R406" s="6944"/>
      <c r="S406" s="7078"/>
      <c r="T406" s="6550" t="s">
        <v>15895</v>
      </c>
      <c r="U406" s="6990">
        <v>65</v>
      </c>
      <c r="V406" s="6964" t="s">
        <v>4357</v>
      </c>
      <c r="X406" s="2884"/>
      <c r="Y406" s="12" t="s">
        <v>7173</v>
      </c>
      <c r="Z406" s="12"/>
      <c r="AA406" s="12"/>
      <c r="AB406" s="12"/>
      <c r="AC406" s="12"/>
      <c r="AD406" s="2781"/>
      <c r="AF406" s="2730">
        <v>1</v>
      </c>
    </row>
    <row r="407" spans="2:32" ht="15.75">
      <c r="B407" s="6649"/>
      <c r="C407" s="1"/>
      <c r="D407" s="1"/>
      <c r="E407" s="1"/>
      <c r="F407" s="6649"/>
      <c r="G407" s="6649"/>
      <c r="H407" s="6649"/>
      <c r="I407" s="6649"/>
      <c r="J407" s="6649"/>
      <c r="K407" s="6649"/>
      <c r="L407" s="6860" t="str">
        <f>IF(ISBLANK(M407),"",LARGE(L396:L406,1)+1)</f>
        <v/>
      </c>
      <c r="M407" s="7060"/>
      <c r="N407" s="6944"/>
      <c r="O407" s="6944"/>
      <c r="P407" s="6944"/>
      <c r="Q407" s="6944"/>
      <c r="R407" s="6944"/>
      <c r="S407" s="7078"/>
      <c r="T407" s="7083" t="s">
        <v>15896</v>
      </c>
      <c r="U407" s="7008">
        <v>3</v>
      </c>
      <c r="V407" s="6964" t="s">
        <v>4357</v>
      </c>
      <c r="X407" s="2884"/>
      <c r="Y407" s="12" t="s">
        <v>7174</v>
      </c>
      <c r="Z407" s="12"/>
      <c r="AA407" s="12"/>
      <c r="AB407" s="12"/>
      <c r="AC407" s="12"/>
      <c r="AD407" s="2781"/>
      <c r="AF407" s="2730">
        <v>1</v>
      </c>
    </row>
    <row r="408" spans="2:32" ht="15.75">
      <c r="B408" s="6649"/>
      <c r="C408" s="1"/>
      <c r="D408" s="1"/>
      <c r="E408" s="1"/>
      <c r="F408" s="6649"/>
      <c r="G408" s="6649"/>
      <c r="H408" s="6649"/>
      <c r="I408" s="6649"/>
      <c r="J408" s="6649"/>
      <c r="K408" s="6649"/>
      <c r="L408" s="6860" t="str">
        <f>IF(ISBLANK(M408),"",LARGE(L396:L407,1)+1)</f>
        <v/>
      </c>
      <c r="M408" s="7060"/>
      <c r="N408" s="6944"/>
      <c r="O408" s="6944"/>
      <c r="P408" s="6944"/>
      <c r="Q408" s="6944"/>
      <c r="R408" s="6944"/>
      <c r="S408" s="7084" t="s">
        <v>20</v>
      </c>
      <c r="T408" s="7085">
        <f>SUM(T396:T405)</f>
        <v>0.34722222222222227</v>
      </c>
      <c r="U408" s="7086"/>
      <c r="V408" s="6921" t="s">
        <v>5342</v>
      </c>
      <c r="X408" s="2884"/>
      <c r="Y408" s="12" t="s">
        <v>7175</v>
      </c>
      <c r="Z408" s="12"/>
      <c r="AA408" s="12"/>
      <c r="AB408" s="12"/>
      <c r="AC408" s="12"/>
      <c r="AD408" s="2781"/>
      <c r="AF408" s="2730">
        <v>1</v>
      </c>
    </row>
    <row r="409" spans="2:32" ht="15.75">
      <c r="B409" s="6649"/>
      <c r="C409" s="1"/>
      <c r="D409" s="1"/>
      <c r="E409" s="1"/>
      <c r="F409" s="6649"/>
      <c r="G409" s="6649"/>
      <c r="H409" s="6649"/>
      <c r="I409" s="6649"/>
      <c r="J409" s="6649"/>
      <c r="K409" s="6649"/>
      <c r="L409" s="6860" t="str">
        <f>IF(ISBLANK(M409),"",LARGE(L396:L408,1)+1)</f>
        <v/>
      </c>
      <c r="M409" s="7060"/>
      <c r="N409" s="6944"/>
      <c r="O409" s="6944"/>
      <c r="P409" s="6944"/>
      <c r="Q409" s="6944"/>
      <c r="R409" s="6944"/>
      <c r="S409" s="6944"/>
      <c r="T409" s="6944"/>
      <c r="U409" s="6944"/>
      <c r="V409" s="7087"/>
      <c r="X409" s="2884"/>
      <c r="Y409" s="2900" t="s">
        <v>7176</v>
      </c>
      <c r="Z409" s="12"/>
      <c r="AA409" s="12"/>
      <c r="AB409" s="12"/>
      <c r="AC409" s="12"/>
      <c r="AD409" s="2781"/>
      <c r="AF409" s="2730">
        <v>1</v>
      </c>
    </row>
    <row r="410" spans="2:32" ht="15.75">
      <c r="B410" s="6649"/>
      <c r="C410" s="1"/>
      <c r="D410" s="1"/>
      <c r="E410" s="1"/>
      <c r="F410" s="6649"/>
      <c r="G410" s="6649"/>
      <c r="H410" s="6649"/>
      <c r="I410" s="6649"/>
      <c r="J410" s="6649"/>
      <c r="K410" s="6649"/>
      <c r="L410" s="6860" t="str">
        <f>IF(ISBLANK(M410),"",LARGE(L396:L409,1)+1)</f>
        <v/>
      </c>
      <c r="M410" s="7060"/>
      <c r="N410" s="6944"/>
      <c r="O410" s="6944"/>
      <c r="P410" s="6944"/>
      <c r="Q410" s="6944"/>
      <c r="R410" s="6944"/>
      <c r="S410" s="6944"/>
      <c r="T410" s="6944"/>
      <c r="U410" s="6944"/>
      <c r="V410" s="7088"/>
      <c r="X410" s="2884"/>
      <c r="Y410" s="2901" t="str">
        <f>ROWS(Y410:Y410)&amp;" ►"</f>
        <v>1 ►</v>
      </c>
      <c r="Z410" s="12" t="str">
        <f ca="1">_xlfn.FORMULATEXT(Y410)</f>
        <v>=LIGNES(Y410:Y410)&amp;" ►"</v>
      </c>
      <c r="AA410" s="12"/>
      <c r="AB410" s="12"/>
      <c r="AC410" s="12"/>
      <c r="AD410" s="2781"/>
      <c r="AF410" s="2730">
        <v>1</v>
      </c>
    </row>
    <row r="411" spans="2:32" ht="15.75">
      <c r="B411" s="1"/>
      <c r="C411" s="1"/>
      <c r="D411" s="1"/>
      <c r="E411" s="1"/>
      <c r="F411" s="1"/>
      <c r="G411" s="1"/>
      <c r="H411" s="6649"/>
      <c r="I411" s="6649"/>
      <c r="J411" s="6649"/>
      <c r="K411" s="6649"/>
      <c r="L411" s="6860" t="str">
        <f>IF(ISBLANK(M411),"",LARGE(L396:L410,1)+1)</f>
        <v/>
      </c>
      <c r="M411" s="7060"/>
      <c r="N411" s="6944"/>
      <c r="O411" s="6944"/>
      <c r="P411" s="6944"/>
      <c r="Q411" s="6944"/>
      <c r="R411" s="6944"/>
      <c r="S411" s="6944"/>
      <c r="T411" s="6944"/>
      <c r="U411" s="6944"/>
      <c r="V411" s="7088"/>
      <c r="X411" s="2884"/>
      <c r="Y411" s="2901" t="str">
        <f>ROWS(Y410:Y411)&amp;" ►"</f>
        <v>2 ►</v>
      </c>
      <c r="Z411" s="12" t="str">
        <f t="shared" ref="Z411:Z412" ca="1" si="22">_xlfn.FORMULATEXT(Y411)</f>
        <v>=LIGNES(Y410:Y411)&amp;" ►"</v>
      </c>
      <c r="AA411" s="12"/>
      <c r="AB411" s="12"/>
      <c r="AC411" s="12"/>
      <c r="AD411" s="2781"/>
      <c r="AF411" s="2730">
        <v>1</v>
      </c>
    </row>
    <row r="412" spans="2:32" ht="15.75">
      <c r="B412" s="1"/>
      <c r="C412" s="1"/>
      <c r="D412" s="1"/>
      <c r="E412" s="1"/>
      <c r="F412" s="1"/>
      <c r="G412" s="1"/>
      <c r="H412" s="6649"/>
      <c r="I412" s="6649"/>
      <c r="J412" s="6649"/>
      <c r="K412" s="6649"/>
      <c r="L412" s="6860" t="str">
        <f>IF(ISBLANK(M412),"",LARGE(L396:L411,1)+1)</f>
        <v/>
      </c>
      <c r="M412" s="7060"/>
      <c r="N412" s="6944"/>
      <c r="O412" s="6944"/>
      <c r="P412" s="6944"/>
      <c r="Q412" s="6944"/>
      <c r="R412" s="6944"/>
      <c r="S412" s="6944"/>
      <c r="T412" s="6944"/>
      <c r="U412" s="6944"/>
      <c r="V412" s="7088"/>
      <c r="X412" s="2884"/>
      <c r="Y412" s="2901" t="str">
        <f>ROWS(Y410:Y412)&amp;" ►"</f>
        <v>3 ►</v>
      </c>
      <c r="Z412" s="12" t="str">
        <f t="shared" ca="1" si="22"/>
        <v>=LIGNES(Y410:Y412)&amp;" ►"</v>
      </c>
      <c r="AA412" s="12"/>
      <c r="AB412" s="12"/>
      <c r="AC412" s="12"/>
      <c r="AD412" s="2781"/>
      <c r="AF412" s="2730">
        <v>1</v>
      </c>
    </row>
    <row r="413" spans="2:32" ht="15.75">
      <c r="B413" s="1"/>
      <c r="C413" s="1"/>
      <c r="D413" s="1"/>
      <c r="E413" s="1"/>
      <c r="F413" s="1"/>
      <c r="G413" s="1"/>
      <c r="H413" s="6649"/>
      <c r="I413" s="6649"/>
      <c r="J413" s="6649"/>
      <c r="K413" s="6649"/>
      <c r="L413" s="6860" t="str">
        <f>IF(ISBLANK(M413),"",LARGE(L396:L412,1)+1)</f>
        <v/>
      </c>
      <c r="M413" s="7060"/>
      <c r="N413" s="6944"/>
      <c r="O413" s="6944"/>
      <c r="P413" s="6944"/>
      <c r="Q413" s="6944"/>
      <c r="R413" s="6944"/>
      <c r="S413" s="6944"/>
      <c r="T413" s="6944"/>
      <c r="U413" s="6944"/>
      <c r="V413" s="7088"/>
      <c r="X413" s="2884"/>
      <c r="Y413" s="12"/>
      <c r="Z413" s="12"/>
      <c r="AA413" s="12"/>
      <c r="AB413" s="12"/>
      <c r="AC413" s="12"/>
      <c r="AD413" s="2781"/>
      <c r="AF413" s="2730">
        <v>1</v>
      </c>
    </row>
    <row r="414" spans="2:32" ht="16.5" thickBot="1">
      <c r="B414" s="1"/>
      <c r="C414" s="1"/>
      <c r="D414" s="1"/>
      <c r="E414" s="1"/>
      <c r="F414" s="1"/>
      <c r="G414" s="1"/>
      <c r="H414" s="6649"/>
      <c r="I414" s="6649"/>
      <c r="J414" s="6649"/>
      <c r="K414" s="6649"/>
      <c r="L414" s="6860" t="str">
        <f>IF(ISBLANK(M414),"",LARGE(L396:L413,1)+1)</f>
        <v/>
      </c>
      <c r="M414" s="7060"/>
      <c r="N414" s="6944"/>
      <c r="O414" s="6944"/>
      <c r="P414" s="6944"/>
      <c r="Q414" s="6944"/>
      <c r="R414" s="6944"/>
      <c r="S414" s="6944"/>
      <c r="T414" s="6944"/>
      <c r="U414" s="6944"/>
      <c r="V414" s="7088"/>
      <c r="X414" s="2792"/>
      <c r="Y414" s="2793"/>
      <c r="Z414" s="2794"/>
      <c r="AA414" s="2793"/>
      <c r="AB414" s="2793"/>
      <c r="AC414" s="2793"/>
      <c r="AD414" s="2795"/>
      <c r="AF414" s="2730">
        <v>1</v>
      </c>
    </row>
    <row r="415" spans="2:32" ht="15.75">
      <c r="B415" s="1"/>
      <c r="C415" s="1"/>
      <c r="D415" s="1"/>
      <c r="E415" s="1"/>
      <c r="F415" s="1"/>
      <c r="G415" s="1"/>
      <c r="H415" s="6649"/>
      <c r="I415" s="6649"/>
      <c r="J415" s="6649"/>
      <c r="K415" s="6649"/>
      <c r="L415" s="6875" t="s">
        <v>15809</v>
      </c>
      <c r="M415" s="6876"/>
      <c r="N415" s="6876"/>
      <c r="O415" s="6876"/>
      <c r="P415" s="6876"/>
      <c r="Q415" s="6876"/>
      <c r="R415" s="6876"/>
      <c r="S415" s="6876"/>
      <c r="T415" s="6876"/>
      <c r="U415" s="6876"/>
      <c r="V415" s="6877" t="s">
        <v>15809</v>
      </c>
      <c r="X415" s="2902"/>
      <c r="Y415" s="2903"/>
      <c r="Z415" s="2903"/>
      <c r="AA415" s="2903"/>
      <c r="AB415" s="2903"/>
      <c r="AC415" s="2903"/>
      <c r="AD415" s="2904"/>
      <c r="AF415" s="2730">
        <v>1</v>
      </c>
    </row>
    <row r="416" spans="2:32" ht="18.75">
      <c r="B416" s="1"/>
      <c r="C416" s="1"/>
      <c r="D416" s="1"/>
      <c r="E416" s="1"/>
      <c r="F416" s="1"/>
      <c r="G416" s="1"/>
      <c r="H416" s="6649"/>
      <c r="I416" s="6649"/>
      <c r="J416" s="6649"/>
      <c r="K416" s="6649"/>
      <c r="L416" s="6863" t="s">
        <v>15792</v>
      </c>
      <c r="M416" s="6792"/>
      <c r="N416" s="6792" t="s">
        <v>15897</v>
      </c>
      <c r="O416" s="6792"/>
      <c r="P416" s="6792"/>
      <c r="Q416" s="6792"/>
      <c r="R416" s="6792"/>
      <c r="S416" s="6930"/>
      <c r="T416" s="6930"/>
      <c r="U416" s="6930"/>
      <c r="V416" s="6931" t="s">
        <v>15898</v>
      </c>
      <c r="X416" s="2905" t="s">
        <v>7177</v>
      </c>
      <c r="Y416" s="12"/>
      <c r="Z416" s="12"/>
      <c r="AA416" s="12"/>
      <c r="AB416" s="12"/>
      <c r="AC416" s="12"/>
      <c r="AD416" s="2781"/>
      <c r="AF416" s="2730">
        <v>1</v>
      </c>
    </row>
    <row r="417" spans="2:32" ht="15.75">
      <c r="B417" s="1"/>
      <c r="C417" s="1"/>
      <c r="D417" s="1"/>
      <c r="E417" s="1"/>
      <c r="F417" s="1"/>
      <c r="G417" s="1"/>
      <c r="H417" s="6649"/>
      <c r="I417" s="6649"/>
      <c r="J417" s="6649"/>
      <c r="K417" s="6649"/>
      <c r="L417" s="6872">
        <v>0</v>
      </c>
      <c r="M417" s="6888"/>
      <c r="N417" s="6937"/>
      <c r="O417" s="6937"/>
      <c r="P417" s="3047"/>
      <c r="Q417" s="3047"/>
      <c r="R417" s="1"/>
      <c r="S417" s="7089" t="s">
        <v>15899</v>
      </c>
      <c r="T417" s="7089"/>
      <c r="V417" s="7090"/>
      <c r="X417" s="2884"/>
      <c r="Y417" s="12"/>
      <c r="Z417" s="12"/>
      <c r="AA417" s="12"/>
      <c r="AB417" s="12"/>
      <c r="AC417" s="12"/>
      <c r="AD417" s="2781"/>
      <c r="AF417" s="2730">
        <v>1</v>
      </c>
    </row>
    <row r="418" spans="2:32" ht="15.75">
      <c r="B418" s="1"/>
      <c r="C418" s="1"/>
      <c r="D418" s="1"/>
      <c r="E418" s="1"/>
      <c r="F418" s="1"/>
      <c r="G418" s="1"/>
      <c r="H418" s="6649"/>
      <c r="I418" s="6649"/>
      <c r="J418" s="6649"/>
      <c r="K418" s="6649"/>
      <c r="L418" s="6860" t="str">
        <f>IF(ISBLANK(M418),"",LARGE(L417:L417,1)+1)</f>
        <v/>
      </c>
      <c r="M418" s="6888"/>
      <c r="N418" s="7091" t="s">
        <v>15900</v>
      </c>
      <c r="O418" s="7091"/>
      <c r="P418" s="7092" t="s">
        <v>15901</v>
      </c>
      <c r="Q418" s="7093" t="s">
        <v>58</v>
      </c>
      <c r="R418" s="1"/>
      <c r="S418" s="7094" t="s">
        <v>15902</v>
      </c>
      <c r="T418" s="7094"/>
      <c r="U418" s="7089" t="s">
        <v>15852</v>
      </c>
      <c r="V418" s="7095"/>
      <c r="X418" s="2906" t="str">
        <f>"▼ colonne "&amp;SUBSTITUTE(ADDRESS(1,COLUMN(),4),"1","")</f>
        <v>▼ colonne X</v>
      </c>
      <c r="Y418" s="12"/>
      <c r="Z418" s="12"/>
      <c r="AA418" s="12"/>
      <c r="AB418" s="12"/>
      <c r="AC418" s="12"/>
      <c r="AD418" s="2781"/>
      <c r="AF418" s="2730">
        <v>1</v>
      </c>
    </row>
    <row r="419" spans="2:32" ht="15.75">
      <c r="B419" s="1"/>
      <c r="C419" s="1"/>
      <c r="D419" s="1"/>
      <c r="E419" s="1"/>
      <c r="F419" s="1"/>
      <c r="G419" s="1"/>
      <c r="H419" s="6649"/>
      <c r="I419" s="6649"/>
      <c r="J419" s="6649"/>
      <c r="K419" s="6649"/>
      <c r="L419" s="6860" t="str">
        <f>IF(ISBLANK(M419),"",LARGE(L417:L418,1)+1)</f>
        <v/>
      </c>
      <c r="M419" s="6888"/>
      <c r="N419" s="7990">
        <v>750</v>
      </c>
      <c r="O419" s="7091"/>
      <c r="P419" s="7096">
        <v>1</v>
      </c>
      <c r="Q419" s="6899" t="s">
        <v>15903</v>
      </c>
      <c r="R419" s="6286"/>
      <c r="S419" s="7097">
        <v>16</v>
      </c>
      <c r="T419" s="7098">
        <f>P419*N419</f>
        <v>750</v>
      </c>
      <c r="U419" s="6635" t="s">
        <v>15904</v>
      </c>
      <c r="V419" s="7099"/>
      <c r="X419" s="2907" t="s">
        <v>2657</v>
      </c>
      <c r="Y419" s="2908"/>
      <c r="Z419" s="2908"/>
      <c r="AA419" s="2908"/>
      <c r="AB419" s="2908"/>
      <c r="AC419" s="2908"/>
      <c r="AD419" s="2909"/>
      <c r="AF419" s="2730">
        <v>1</v>
      </c>
    </row>
    <row r="420" spans="2:32" ht="18.75">
      <c r="B420" s="1"/>
      <c r="C420" s="1"/>
      <c r="D420" s="1"/>
      <c r="E420" s="1"/>
      <c r="F420" s="1"/>
      <c r="G420" s="1"/>
      <c r="H420" s="6649"/>
      <c r="I420" s="6649"/>
      <c r="J420" s="6649"/>
      <c r="K420" s="6649"/>
      <c r="L420" s="6860" t="str">
        <f>IF(ISBLANK(M420),"",LARGE(L417:L419,1)+1)</f>
        <v/>
      </c>
      <c r="M420" s="6888"/>
      <c r="N420" s="7990"/>
      <c r="O420" s="7091"/>
      <c r="P420" s="7100">
        <v>120</v>
      </c>
      <c r="Q420" s="7101" t="s">
        <v>15905</v>
      </c>
      <c r="R420"/>
      <c r="S420" s="7102">
        <v>1.2</v>
      </c>
      <c r="T420" s="7103">
        <f>(P420*N419)/1000</f>
        <v>90</v>
      </c>
      <c r="U420" s="7991" t="s">
        <v>15906</v>
      </c>
      <c r="V420" s="7992"/>
      <c r="X420" s="2910" t="str">
        <f>"cliquez sur la colonne "&amp;SUBSTITUTE(ADDRESS(1,COLUMN(),4),"1","")</f>
        <v>cliquez sur la colonne X</v>
      </c>
      <c r="Y420" s="2911"/>
      <c r="Z420" s="2911"/>
      <c r="AA420" s="2911"/>
      <c r="AB420" s="2911"/>
      <c r="AC420" s="2908"/>
      <c r="AD420" s="2909"/>
      <c r="AF420" s="2730">
        <v>1</v>
      </c>
    </row>
    <row r="421" spans="2:32" ht="18.75">
      <c r="B421" s="1"/>
      <c r="C421" s="1"/>
      <c r="D421" s="1"/>
      <c r="E421" s="1"/>
      <c r="F421" s="1"/>
      <c r="G421" s="1"/>
      <c r="H421" s="6649"/>
      <c r="I421" s="6649"/>
      <c r="J421" s="6649"/>
      <c r="K421" s="6649"/>
      <c r="L421" s="6860" t="str">
        <f>IF(ISBLANK(M421),"",LARGE(L417:L420,1)+1)</f>
        <v/>
      </c>
      <c r="M421" s="6888"/>
      <c r="N421" s="5757" t="str">
        <f>INT(T419/S419) &amp; " " &amp; U419 &amp; " de " &amp; S419 &amp; " " &amp; Q419 &amp; IF(MOD(T419,S419)&gt;0, " + 1 "&amp;U419&amp;" de " &amp; TEXT(MOD(T419,S419), "0.00") &amp; " " &amp; Q419, "")</f>
        <v>46 Assiette(s) de 16 madeleine(s) + 1 Assiette(s) de 14.00 madeleine(s)</v>
      </c>
      <c r="O421" s="5757"/>
      <c r="P421" s="1"/>
      <c r="Q421" s="1"/>
      <c r="R421" s="1"/>
      <c r="S421" s="6936"/>
      <c r="T421" s="6936"/>
      <c r="U421" s="7991"/>
      <c r="V421" s="7992"/>
      <c r="X421" s="2912" t="s">
        <v>7178</v>
      </c>
      <c r="Y421" s="2911"/>
      <c r="Z421" s="2911"/>
      <c r="AA421" s="2911"/>
      <c r="AB421" s="2911"/>
      <c r="AC421" s="2908"/>
      <c r="AD421" s="2909"/>
      <c r="AF421" s="2730">
        <v>1</v>
      </c>
    </row>
    <row r="422" spans="2:32" ht="15.75">
      <c r="B422" s="1"/>
      <c r="C422" s="1"/>
      <c r="D422" s="1"/>
      <c r="E422" s="1"/>
      <c r="F422" s="1"/>
      <c r="G422" s="1"/>
      <c r="H422" s="6649"/>
      <c r="I422" s="6649"/>
      <c r="J422" s="6649"/>
      <c r="K422" s="6649"/>
      <c r="L422" s="6860" t="str">
        <f>IF(ISBLANK(M422),"",LARGE(L417:L421,1)+1)</f>
        <v/>
      </c>
      <c r="M422" s="6888"/>
      <c r="N422" s="3047" t="str">
        <f>IF(MOD(T420, S420) = 0, INT(T420/S420) &amp; " " &amp; U419 &amp; " de " &amp; S420 &amp; " kg", INT(T420/S420) &amp; " " &amp; U419 &amp; " de " &amp; S420 &amp; " kg" &amp; " + 1 "&amp;U419&amp;" de " &amp; TEXT(MOD(T420, S420), "0.00") &amp; " kg")</f>
        <v>75 Assiette(s) de 1.2 kg + 1 Assiette(s) de 0.00 kg</v>
      </c>
      <c r="O422" s="3047"/>
      <c r="P422" s="1"/>
      <c r="Q422" s="1"/>
      <c r="R422" s="1"/>
      <c r="S422" s="6936"/>
      <c r="T422" s="6936"/>
      <c r="U422" s="6936"/>
      <c r="V422" s="7104"/>
      <c r="X422" s="2913" t="s">
        <v>7179</v>
      </c>
      <c r="Y422" s="2911"/>
      <c r="Z422" s="2911"/>
      <c r="AA422" s="2911"/>
      <c r="AB422" s="2911"/>
      <c r="AC422" s="2908"/>
      <c r="AD422" s="2909"/>
      <c r="AF422" s="2730">
        <v>1</v>
      </c>
    </row>
    <row r="423" spans="2:32" ht="15.75">
      <c r="B423" s="1"/>
      <c r="C423" s="1"/>
      <c r="D423" s="1"/>
      <c r="E423" s="1"/>
      <c r="F423" s="1"/>
      <c r="G423" s="1"/>
      <c r="H423" s="6649"/>
      <c r="I423" s="6649"/>
      <c r="J423" s="6649"/>
      <c r="K423" s="6649"/>
      <c r="L423" s="6860" t="str">
        <f>IF(ISBLANK(M423),"",LARGE(L417:L422,1)+1)</f>
        <v/>
      </c>
      <c r="M423" s="7105"/>
      <c r="N423" s="6936"/>
      <c r="O423" s="6936"/>
      <c r="P423" s="6936"/>
      <c r="Q423" s="6936"/>
      <c r="R423" s="6936"/>
      <c r="S423" s="6936"/>
      <c r="T423" s="6936"/>
      <c r="U423" s="6936"/>
      <c r="V423" s="7106"/>
      <c r="X423" s="2914" t="s">
        <v>2660</v>
      </c>
      <c r="Y423" s="2915"/>
      <c r="Z423" s="2915"/>
      <c r="AA423" s="2915"/>
      <c r="AB423" s="2915"/>
      <c r="AC423" s="2908"/>
      <c r="AD423" s="2909"/>
      <c r="AF423" s="2730">
        <v>1</v>
      </c>
    </row>
    <row r="424" spans="2:32" ht="15.75">
      <c r="B424" s="1"/>
      <c r="C424" s="1"/>
      <c r="D424" s="1"/>
      <c r="E424" s="1"/>
      <c r="F424" s="1"/>
      <c r="G424" s="1"/>
      <c r="H424" s="6649"/>
      <c r="I424" s="6649"/>
      <c r="J424" s="6649"/>
      <c r="K424" s="6649"/>
      <c r="L424" s="6860"/>
      <c r="M424" s="6939" t="s">
        <v>15793</v>
      </c>
      <c r="N424" s="6926"/>
      <c r="O424" s="6926"/>
      <c r="P424" s="6926"/>
      <c r="Q424" s="6926"/>
      <c r="R424" s="6926"/>
      <c r="S424" s="6926"/>
      <c r="T424" s="6926"/>
      <c r="U424" s="6926"/>
      <c r="V424" s="7107" t="s">
        <v>7099</v>
      </c>
      <c r="X424" s="2916" t="s">
        <v>7180</v>
      </c>
      <c r="Y424" s="2917"/>
      <c r="Z424" s="2917"/>
      <c r="AA424" s="2917"/>
      <c r="AB424" s="2917"/>
      <c r="AC424" s="2908"/>
      <c r="AD424" s="2909"/>
      <c r="AF424" s="2730">
        <v>1</v>
      </c>
    </row>
    <row r="425" spans="2:32" ht="18.75">
      <c r="B425" s="1"/>
      <c r="C425" s="1"/>
      <c r="D425" s="1"/>
      <c r="E425" s="1"/>
      <c r="F425" s="1"/>
      <c r="G425" s="1"/>
      <c r="H425" s="6649"/>
      <c r="I425" s="6649"/>
      <c r="J425" s="6649"/>
      <c r="K425" s="6649"/>
      <c r="L425" s="6860"/>
      <c r="M425" s="6932" t="s">
        <v>15796</v>
      </c>
      <c r="N425" s="6937"/>
      <c r="O425" s="6937"/>
      <c r="P425" s="6944"/>
      <c r="Q425" s="6944"/>
      <c r="R425" s="6944"/>
      <c r="S425" s="6944"/>
      <c r="T425" s="6944"/>
      <c r="U425" s="6944"/>
      <c r="V425" s="7088"/>
      <c r="X425" s="2916" t="s">
        <v>7181</v>
      </c>
      <c r="Y425" s="2917"/>
      <c r="Z425" s="2917"/>
      <c r="AA425" s="2917"/>
      <c r="AB425" s="2917"/>
      <c r="AC425" s="2908"/>
      <c r="AD425" s="2909"/>
      <c r="AF425" s="2730">
        <v>1</v>
      </c>
    </row>
    <row r="426" spans="2:32" ht="15.75">
      <c r="B426" s="1"/>
      <c r="C426" s="1"/>
      <c r="D426" s="1"/>
      <c r="E426" s="1"/>
      <c r="F426" s="1"/>
      <c r="G426" s="1"/>
      <c r="H426" s="6649"/>
      <c r="I426" s="6649"/>
      <c r="J426" s="6649"/>
      <c r="K426" s="6649"/>
      <c r="L426" s="6860" t="str">
        <f>IF(ISBLANK(M426),"",LARGE(L417:L425,1)+1)</f>
        <v/>
      </c>
      <c r="M426" s="7060"/>
      <c r="N426" s="6944"/>
      <c r="O426" s="6944"/>
      <c r="P426" s="6944"/>
      <c r="Q426" s="6944"/>
      <c r="R426" s="6944"/>
      <c r="S426" s="6944"/>
      <c r="T426" s="6944"/>
      <c r="U426" s="6944"/>
      <c r="V426" s="7088"/>
      <c r="X426" s="2914" t="s">
        <v>7182</v>
      </c>
      <c r="Y426" s="2915"/>
      <c r="Z426" s="2915"/>
      <c r="AA426" s="2915"/>
      <c r="AB426" s="2915"/>
      <c r="AC426" s="2908"/>
      <c r="AD426" s="2909"/>
      <c r="AF426" s="2730">
        <v>1</v>
      </c>
    </row>
    <row r="427" spans="2:32" ht="15.75">
      <c r="B427" s="1"/>
      <c r="C427" s="1"/>
      <c r="D427" s="1"/>
      <c r="E427" s="1"/>
      <c r="F427" s="1"/>
      <c r="G427" s="1"/>
      <c r="H427" s="6649"/>
      <c r="I427" s="6649"/>
      <c r="J427" s="6649"/>
      <c r="K427" s="6649"/>
      <c r="L427" s="6860" t="str">
        <f>IF(ISBLANK(M427),"",LARGE(L417:L426,1)+1)</f>
        <v/>
      </c>
      <c r="M427" s="7060"/>
      <c r="N427" s="6944"/>
      <c r="O427" s="6944"/>
      <c r="P427" s="6944"/>
      <c r="Q427" s="6944"/>
      <c r="R427" s="6944"/>
      <c r="S427" s="6944"/>
      <c r="T427" s="6944"/>
      <c r="U427" s="6944"/>
      <c r="V427" s="7088"/>
      <c r="X427" s="2914" t="s">
        <v>7183</v>
      </c>
      <c r="Y427" s="2915"/>
      <c r="Z427" s="2915"/>
      <c r="AA427" s="2915"/>
      <c r="AB427" s="2915"/>
      <c r="AC427" s="2908"/>
      <c r="AD427" s="2909"/>
      <c r="AF427" s="2730">
        <v>1</v>
      </c>
    </row>
    <row r="428" spans="2:32" ht="15.75">
      <c r="B428" s="1"/>
      <c r="C428" s="1"/>
      <c r="D428" s="1"/>
      <c r="E428" s="1"/>
      <c r="F428" s="1"/>
      <c r="G428" s="1"/>
      <c r="H428" s="6649"/>
      <c r="I428" s="6649"/>
      <c r="J428" s="6649"/>
      <c r="K428" s="6649"/>
      <c r="L428" s="6860" t="str">
        <f>IF(ISBLANK(M428),"",LARGE(L417:L427,1)+1)</f>
        <v/>
      </c>
      <c r="M428" s="7060"/>
      <c r="N428" s="6944"/>
      <c r="O428" s="6944"/>
      <c r="P428" s="6944"/>
      <c r="Q428" s="6944"/>
      <c r="R428" s="6944"/>
      <c r="S428" s="6944"/>
      <c r="T428" s="6944"/>
      <c r="U428" s="6944"/>
      <c r="V428" s="7088"/>
      <c r="X428" s="2918"/>
      <c r="Y428" s="2919" t="s">
        <v>2370</v>
      </c>
      <c r="Z428" s="2919" t="s">
        <v>2371</v>
      </c>
      <c r="AA428" s="2919" t="s">
        <v>2372</v>
      </c>
      <c r="AB428" s="2919" t="s">
        <v>2373</v>
      </c>
      <c r="AC428" s="2908"/>
      <c r="AD428" s="2909"/>
      <c r="AF428" s="2730">
        <v>1</v>
      </c>
    </row>
    <row r="429" spans="2:32" ht="15.75">
      <c r="B429" s="6649"/>
      <c r="C429" s="1"/>
      <c r="D429" s="1"/>
      <c r="E429" s="1"/>
      <c r="F429" s="6649"/>
      <c r="G429" s="6649"/>
      <c r="H429" s="6649"/>
      <c r="I429" s="6649"/>
      <c r="J429" s="6649"/>
      <c r="K429" s="6649"/>
      <c r="L429" s="6860" t="str">
        <f>IF(ISBLANK(M429),"",LARGE(L417:L428,1)+1)</f>
        <v/>
      </c>
      <c r="M429" s="7060"/>
      <c r="N429" s="6944"/>
      <c r="O429" s="6944"/>
      <c r="P429" s="6944"/>
      <c r="Q429" s="6944"/>
      <c r="R429" s="6944"/>
      <c r="S429" s="6944"/>
      <c r="T429" s="6944"/>
      <c r="U429" s="6944"/>
      <c r="V429" s="7088"/>
      <c r="X429" s="2920">
        <v>19</v>
      </c>
      <c r="Y429" s="2921">
        <v>18</v>
      </c>
      <c r="Z429" s="2921">
        <v>25</v>
      </c>
      <c r="AA429" s="2921">
        <v>16</v>
      </c>
      <c r="AB429" s="2921">
        <v>16</v>
      </c>
      <c r="AC429" s="2921">
        <v>31</v>
      </c>
      <c r="AD429" s="2922">
        <v>36</v>
      </c>
      <c r="AF429" s="2730">
        <v>1</v>
      </c>
    </row>
    <row r="430" spans="2:32" ht="16.5" thickBot="1">
      <c r="B430" s="6649"/>
      <c r="C430" s="1"/>
      <c r="D430" s="1"/>
      <c r="E430" s="1"/>
      <c r="F430" s="6649"/>
      <c r="G430" s="6649"/>
      <c r="H430" s="6649"/>
      <c r="I430" s="6649"/>
      <c r="J430" s="6649"/>
      <c r="K430" s="6649"/>
      <c r="L430" s="6860" t="str">
        <f>IF(ISBLANK(M430),"",LARGE(L417:L429,1)+1)</f>
        <v/>
      </c>
      <c r="M430" s="7060"/>
      <c r="N430" s="6944"/>
      <c r="O430" s="6944"/>
      <c r="P430" s="6944"/>
      <c r="Q430" s="6944"/>
      <c r="R430" s="6944"/>
      <c r="S430" s="6944"/>
      <c r="T430" s="6944"/>
      <c r="U430" s="6944"/>
      <c r="V430" s="7088"/>
      <c r="X430" s="7592">
        <f t="shared" ref="X430:AD430" ca="1" si="23">CELL("largeur",X430)</f>
        <v>19</v>
      </c>
      <c r="Y430" s="7593">
        <f t="shared" ca="1" si="23"/>
        <v>18</v>
      </c>
      <c r="Z430" s="7593">
        <f t="shared" ca="1" si="23"/>
        <v>25</v>
      </c>
      <c r="AA430" s="7593">
        <f t="shared" ca="1" si="23"/>
        <v>18</v>
      </c>
      <c r="AB430" s="7593">
        <f t="shared" ca="1" si="23"/>
        <v>16</v>
      </c>
      <c r="AC430" s="7593">
        <f t="shared" ca="1" si="23"/>
        <v>31</v>
      </c>
      <c r="AD430" s="7594">
        <f t="shared" ca="1" si="23"/>
        <v>46</v>
      </c>
      <c r="AF430" s="2730">
        <v>1</v>
      </c>
    </row>
    <row r="431" spans="2:32" ht="15.75">
      <c r="B431" s="6649"/>
      <c r="C431" s="1"/>
      <c r="D431" s="1"/>
      <c r="E431" s="1"/>
      <c r="F431" s="6649"/>
      <c r="G431" s="6649"/>
      <c r="H431" s="6649"/>
      <c r="I431" s="6649"/>
      <c r="J431" s="6649"/>
      <c r="K431" s="6649"/>
      <c r="L431" s="6860" t="str">
        <f>IF(ISBLANK(M431),"",LARGE(L417:L430,1)+1)</f>
        <v/>
      </c>
      <c r="M431" s="7060"/>
      <c r="N431" s="6944"/>
      <c r="O431" s="6944"/>
      <c r="P431" s="6944"/>
      <c r="Q431" s="6944"/>
      <c r="R431" s="6944"/>
      <c r="S431" s="6944"/>
      <c r="T431" s="6944"/>
      <c r="U431" s="6944"/>
      <c r="V431" s="7088"/>
      <c r="AF431" s="2730">
        <v>1</v>
      </c>
    </row>
    <row r="432" spans="2:32" ht="15.75" customHeight="1">
      <c r="B432" s="6649"/>
      <c r="C432" s="1"/>
      <c r="D432" s="1"/>
      <c r="E432" s="1"/>
      <c r="F432" s="6649"/>
      <c r="G432" s="6649"/>
      <c r="H432" s="6649"/>
      <c r="I432" s="6649"/>
      <c r="J432" s="6649"/>
      <c r="K432" s="6649"/>
      <c r="L432" s="6860" t="str">
        <f>IF(ISBLANK(M432),"",LARGE(L417:L431,1)+1)</f>
        <v/>
      </c>
      <c r="M432" s="7060"/>
      <c r="N432" s="6944"/>
      <c r="O432" s="6944"/>
      <c r="P432" s="6944"/>
      <c r="Q432" s="6944"/>
      <c r="R432" s="6944"/>
      <c r="S432" s="6944"/>
      <c r="T432" s="6944"/>
      <c r="U432" s="6944"/>
      <c r="V432" s="7088"/>
      <c r="AF432" s="2730">
        <v>1</v>
      </c>
    </row>
    <row r="433" spans="2:32" ht="15.75">
      <c r="B433" s="6649"/>
      <c r="C433" s="1"/>
      <c r="D433" s="1"/>
      <c r="E433" s="1"/>
      <c r="F433" s="6649"/>
      <c r="G433" s="6649"/>
      <c r="H433" s="6649"/>
      <c r="I433" s="6649"/>
      <c r="J433" s="6649"/>
      <c r="K433" s="6649"/>
      <c r="L433" s="6860" t="str">
        <f>IF(ISBLANK(M433),"",LARGE(L417:L432,1)+1)</f>
        <v/>
      </c>
      <c r="M433" s="7060"/>
      <c r="N433" s="6944"/>
      <c r="O433" s="6944"/>
      <c r="P433" s="6944"/>
      <c r="Q433" s="6944"/>
      <c r="R433" s="6944"/>
      <c r="S433" s="6944"/>
      <c r="T433" s="6944"/>
      <c r="U433" s="6944"/>
      <c r="V433" s="7088"/>
      <c r="X433" s="2730">
        <v>1</v>
      </c>
      <c r="Y433" s="2730">
        <v>1</v>
      </c>
      <c r="Z433" s="2730">
        <v>1</v>
      </c>
      <c r="AA433" s="2730">
        <v>1</v>
      </c>
      <c r="AB433" s="2730">
        <v>1</v>
      </c>
      <c r="AC433" s="2730">
        <v>1</v>
      </c>
      <c r="AD433" s="2730">
        <v>1</v>
      </c>
      <c r="AF433" s="2730">
        <v>1</v>
      </c>
    </row>
    <row r="434" spans="2:32" ht="15.75">
      <c r="B434" s="6649"/>
      <c r="C434" s="1"/>
      <c r="D434" s="1"/>
      <c r="E434" s="1"/>
      <c r="F434" s="6649"/>
      <c r="G434" s="6649"/>
      <c r="H434" s="6649"/>
      <c r="I434" s="6649"/>
      <c r="J434" s="6649"/>
      <c r="K434" s="6649"/>
      <c r="L434" s="6860" t="str">
        <f>IF(ISBLANK(M434),"",LARGE(L417:L433,1)+1)</f>
        <v/>
      </c>
      <c r="M434" s="7060"/>
      <c r="N434" s="6944"/>
      <c r="O434" s="6944"/>
      <c r="P434" s="6944"/>
      <c r="Q434" s="6944"/>
      <c r="R434" s="6944"/>
      <c r="S434" s="6944"/>
      <c r="T434" s="6944"/>
      <c r="U434" s="6944"/>
      <c r="V434" s="7088"/>
      <c r="AF434" s="2730">
        <v>1</v>
      </c>
    </row>
    <row r="435" spans="2:32" ht="15.75">
      <c r="B435" s="6649"/>
      <c r="C435" s="1"/>
      <c r="D435" s="1"/>
      <c r="E435" s="1"/>
      <c r="F435" s="6649"/>
      <c r="G435" s="6649"/>
      <c r="H435" s="6649"/>
      <c r="I435" s="6649"/>
      <c r="J435" s="6649"/>
      <c r="K435" s="6649"/>
      <c r="L435" s="6860" t="str">
        <f>IF(ISBLANK(M435),"",LARGE(L417:L434,1)+1)</f>
        <v/>
      </c>
      <c r="M435" s="7060"/>
      <c r="N435" s="6944"/>
      <c r="O435" s="6944"/>
      <c r="P435" s="6978"/>
      <c r="Q435" s="6944"/>
      <c r="R435" s="6944"/>
      <c r="S435" s="6944"/>
      <c r="T435" s="6944"/>
      <c r="U435" s="6944"/>
      <c r="V435" s="7088"/>
      <c r="AF435" s="2730">
        <v>1</v>
      </c>
    </row>
    <row r="436" spans="2:32" ht="15.75">
      <c r="B436" s="6649"/>
      <c r="C436" s="1"/>
      <c r="D436" s="1"/>
      <c r="E436" s="1"/>
      <c r="F436" s="6649"/>
      <c r="G436" s="6649"/>
      <c r="H436" s="6649"/>
      <c r="I436" s="6649"/>
      <c r="J436" s="6649"/>
      <c r="K436" s="6649"/>
      <c r="L436" s="6875" t="s">
        <v>15809</v>
      </c>
      <c r="M436" s="6876"/>
      <c r="N436" s="6876"/>
      <c r="O436" s="6876"/>
      <c r="P436" s="6876"/>
      <c r="Q436" s="6876"/>
      <c r="R436" s="6876"/>
      <c r="S436" s="6876"/>
      <c r="T436" s="6876"/>
      <c r="U436" s="6876"/>
      <c r="V436" s="6877" t="s">
        <v>15809</v>
      </c>
      <c r="AF436" s="2730">
        <v>1</v>
      </c>
    </row>
    <row r="437" spans="2:32" ht="15.75">
      <c r="B437" s="6649"/>
      <c r="C437" s="1"/>
      <c r="D437" s="1"/>
      <c r="E437" s="1"/>
      <c r="F437" s="6649"/>
      <c r="G437" s="6649"/>
      <c r="H437" s="6649"/>
      <c r="I437" s="6649"/>
      <c r="J437" s="6649"/>
      <c r="K437" s="6649"/>
      <c r="L437" s="6863" t="s">
        <v>15792</v>
      </c>
      <c r="M437" s="6879" t="s">
        <v>15793</v>
      </c>
      <c r="N437" s="6867"/>
      <c r="O437" s="6867"/>
      <c r="P437" s="6792"/>
      <c r="Q437" s="6792"/>
      <c r="R437" s="6792"/>
      <c r="S437" s="6930"/>
      <c r="T437" s="6930"/>
      <c r="U437" s="6930" t="s">
        <v>15907</v>
      </c>
      <c r="V437" s="6931" t="s">
        <v>15908</v>
      </c>
      <c r="AF437" s="2730">
        <v>1</v>
      </c>
    </row>
    <row r="438" spans="2:32" ht="18.75">
      <c r="B438" s="6649"/>
      <c r="C438" s="1"/>
      <c r="D438" s="1"/>
      <c r="E438" s="1"/>
      <c r="F438" s="6649"/>
      <c r="G438" s="6649"/>
      <c r="H438" s="6649"/>
      <c r="I438" s="6649"/>
      <c r="J438" s="6649"/>
      <c r="K438" s="6649"/>
      <c r="L438" s="6872">
        <v>0</v>
      </c>
      <c r="M438" s="6932" t="s">
        <v>15796</v>
      </c>
      <c r="N438" s="6937"/>
      <c r="O438" s="6937"/>
      <c r="P438" s="6649"/>
      <c r="Q438" s="12"/>
      <c r="R438" s="12"/>
      <c r="S438" s="12"/>
      <c r="T438" s="12"/>
      <c r="U438" s="7108"/>
      <c r="V438" s="6924" t="s">
        <v>7099</v>
      </c>
      <c r="AF438" s="2730">
        <v>1</v>
      </c>
    </row>
    <row r="439" spans="2:32" ht="18.75">
      <c r="B439" s="6649"/>
      <c r="C439" s="1"/>
      <c r="D439" s="1"/>
      <c r="E439" s="1"/>
      <c r="F439" s="6649"/>
      <c r="G439" s="6649"/>
      <c r="H439" s="6649"/>
      <c r="I439" s="6649"/>
      <c r="J439" s="6649"/>
      <c r="K439" s="6649"/>
      <c r="L439" s="6860" t="str">
        <f>IF(ISBLANK(M439),"",LARGE(L438:L438,1)+1)</f>
        <v/>
      </c>
      <c r="M439" s="6932"/>
      <c r="N439" s="6937"/>
      <c r="O439" s="6937"/>
      <c r="P439" s="6944"/>
      <c r="Q439" s="6944"/>
      <c r="R439" s="6944"/>
      <c r="S439" s="6944"/>
      <c r="T439" s="6944"/>
      <c r="U439" s="7109">
        <v>10</v>
      </c>
      <c r="V439" s="7110" t="s">
        <v>324</v>
      </c>
      <c r="AF439" s="2730">
        <v>1</v>
      </c>
    </row>
    <row r="440" spans="2:32" ht="15.75">
      <c r="B440" s="6649"/>
      <c r="C440" s="1"/>
      <c r="D440" s="1"/>
      <c r="E440" s="1"/>
      <c r="F440" s="6649"/>
      <c r="G440" s="6649"/>
      <c r="H440" s="6649"/>
      <c r="I440" s="6649"/>
      <c r="J440" s="6649"/>
      <c r="K440" s="6649"/>
      <c r="L440" s="6860" t="str">
        <f>IF(ISBLANK(M440),"",LARGE(L438:L439,1)+1)</f>
        <v/>
      </c>
      <c r="M440" s="7060"/>
      <c r="N440" s="6944"/>
      <c r="O440" s="6944"/>
      <c r="P440" s="6944"/>
      <c r="Q440" s="6944"/>
      <c r="R440" s="6944"/>
      <c r="S440" s="6944"/>
      <c r="T440" s="6944"/>
      <c r="U440" s="7111">
        <v>15</v>
      </c>
      <c r="V440" s="7112" t="s">
        <v>325</v>
      </c>
      <c r="AF440" s="2730">
        <v>1</v>
      </c>
    </row>
    <row r="441" spans="2:32" ht="15.75">
      <c r="B441" s="6649"/>
      <c r="C441" s="1"/>
      <c r="D441" s="1"/>
      <c r="E441" s="1"/>
      <c r="F441" s="6649"/>
      <c r="G441" s="6649"/>
      <c r="H441" s="6649"/>
      <c r="I441" s="6649"/>
      <c r="J441" s="6649"/>
      <c r="K441" s="6649"/>
      <c r="L441" s="6860" t="str">
        <f>IF(ISBLANK(M441),"",LARGE(L438:L440,1)+1)</f>
        <v/>
      </c>
      <c r="M441" s="7060"/>
      <c r="N441" s="6944"/>
      <c r="O441" s="6944"/>
      <c r="P441" s="6944"/>
      <c r="Q441" s="6944"/>
      <c r="R441" s="6944"/>
      <c r="S441" s="6944"/>
      <c r="T441" s="6944"/>
      <c r="U441" s="7113">
        <f>IF(U439=0,0,IF(U440=0,0,U440-U439))</f>
        <v>5</v>
      </c>
      <c r="V441" s="7114" t="s">
        <v>327</v>
      </c>
      <c r="AF441" s="2730">
        <v>1</v>
      </c>
    </row>
    <row r="442" spans="2:32" ht="15.75">
      <c r="B442" s="6649"/>
      <c r="C442" s="1"/>
      <c r="D442" s="1"/>
      <c r="E442" s="1"/>
      <c r="F442" s="6649"/>
      <c r="G442" s="6649"/>
      <c r="H442" s="6649"/>
      <c r="I442" s="6649"/>
      <c r="J442" s="6649"/>
      <c r="K442" s="6649"/>
      <c r="L442" s="6860" t="str">
        <f>IF(ISBLANK(M442),"",LARGE(L438:L441,1)+1)</f>
        <v/>
      </c>
      <c r="M442" s="7060"/>
      <c r="N442" s="6944"/>
      <c r="O442" s="6944"/>
      <c r="P442" s="6944"/>
      <c r="Q442" s="6944"/>
      <c r="R442" s="6944"/>
      <c r="S442" s="6944"/>
      <c r="T442" s="6944"/>
      <c r="U442" s="7115">
        <f>IF(U439=0,0,IF(ISBLANK(U439),0,(U441/U439)*100))</f>
        <v>50</v>
      </c>
      <c r="V442" s="7114" t="s">
        <v>326</v>
      </c>
      <c r="AF442" s="2730">
        <v>1</v>
      </c>
    </row>
    <row r="443" spans="2:32" ht="15.75">
      <c r="B443" s="6649"/>
      <c r="C443" s="1"/>
      <c r="D443" s="1"/>
      <c r="E443" s="1"/>
      <c r="F443" s="6649"/>
      <c r="G443" s="6649"/>
      <c r="H443" s="6649"/>
      <c r="I443" s="6649"/>
      <c r="J443" s="6649"/>
      <c r="K443" s="6649"/>
      <c r="L443" s="6860" t="str">
        <f>IF(ISBLANK(M443),"",LARGE(L438:L442,1)+1)</f>
        <v/>
      </c>
      <c r="M443" s="7060"/>
      <c r="N443" s="6944"/>
      <c r="O443" s="6944"/>
      <c r="P443" s="6944"/>
      <c r="Q443" s="6944"/>
      <c r="R443" s="6944"/>
      <c r="S443" s="6944"/>
      <c r="T443" s="6944"/>
      <c r="U443" s="7109">
        <v>10</v>
      </c>
      <c r="V443" s="7110" t="s">
        <v>324</v>
      </c>
      <c r="AF443" s="2730">
        <v>1</v>
      </c>
    </row>
    <row r="444" spans="2:32" ht="15.75">
      <c r="B444" s="6649"/>
      <c r="C444" s="1"/>
      <c r="D444" s="1"/>
      <c r="E444" s="1"/>
      <c r="F444" s="6649"/>
      <c r="G444" s="6649"/>
      <c r="H444" s="6649"/>
      <c r="I444" s="6649"/>
      <c r="J444" s="6649"/>
      <c r="K444" s="6649"/>
      <c r="L444" s="6860" t="str">
        <f>IF(ISBLANK(M444),"",LARGE(L438:L443,1)+1)</f>
        <v/>
      </c>
      <c r="M444" s="7060"/>
      <c r="N444" s="6944"/>
      <c r="O444" s="6944"/>
      <c r="P444" s="6944"/>
      <c r="Q444" s="6944"/>
      <c r="R444" s="6944"/>
      <c r="S444" s="6944"/>
      <c r="T444" s="6944"/>
      <c r="U444" s="7116">
        <v>50</v>
      </c>
      <c r="V444" s="7117" t="s">
        <v>326</v>
      </c>
      <c r="AF444" s="2730">
        <v>1</v>
      </c>
    </row>
    <row r="445" spans="2:32" ht="15.75">
      <c r="B445" s="6649"/>
      <c r="C445" s="1"/>
      <c r="D445" s="1"/>
      <c r="E445" s="1"/>
      <c r="F445" s="6649"/>
      <c r="G445" s="6649"/>
      <c r="H445" s="6649"/>
      <c r="I445" s="6649"/>
      <c r="J445" s="6649"/>
      <c r="K445" s="6649"/>
      <c r="L445" s="6860" t="str">
        <f>IF(ISBLANK(M445),"",LARGE(L438:L444,1)+1)</f>
        <v/>
      </c>
      <c r="M445" s="7060"/>
      <c r="N445" s="6944"/>
      <c r="O445" s="6944"/>
      <c r="P445" s="6944"/>
      <c r="Q445" s="6944"/>
      <c r="R445" s="6944"/>
      <c r="S445" s="6944"/>
      <c r="T445" s="6944"/>
      <c r="U445" s="7113">
        <f>U443*U444%</f>
        <v>5</v>
      </c>
      <c r="V445" s="7114" t="s">
        <v>327</v>
      </c>
      <c r="AF445" s="2730">
        <v>1</v>
      </c>
    </row>
    <row r="446" spans="2:32" ht="15.75">
      <c r="B446" s="6649"/>
      <c r="C446" s="1"/>
      <c r="D446" s="1"/>
      <c r="E446" s="1"/>
      <c r="F446" s="6649"/>
      <c r="G446" s="6649"/>
      <c r="H446" s="6649"/>
      <c r="I446" s="6649"/>
      <c r="J446" s="6649"/>
      <c r="K446" s="6649"/>
      <c r="L446" s="6860" t="str">
        <f>IF(ISBLANK(M446),"",LARGE(L438:L445,1)+1)</f>
        <v/>
      </c>
      <c r="M446" s="7060"/>
      <c r="N446" s="6944"/>
      <c r="O446" s="6944"/>
      <c r="P446" s="6944"/>
      <c r="Q446" s="6944"/>
      <c r="R446" s="6944"/>
      <c r="S446" s="6944"/>
      <c r="T446" s="6944"/>
      <c r="U446" s="7118">
        <f>((U443*U444)/100)+U443</f>
        <v>15</v>
      </c>
      <c r="V446" s="7119" t="s">
        <v>325</v>
      </c>
      <c r="AF446" s="2730">
        <v>1</v>
      </c>
    </row>
    <row r="447" spans="2:32" ht="15.75">
      <c r="B447" s="6649"/>
      <c r="C447" s="1"/>
      <c r="D447" s="1"/>
      <c r="E447" s="1"/>
      <c r="F447" s="6649"/>
      <c r="G447" s="6649"/>
      <c r="H447" s="6649"/>
      <c r="I447" s="6649"/>
      <c r="J447" s="6649"/>
      <c r="K447" s="6649"/>
      <c r="L447" s="6860" t="str">
        <f>IF(ISBLANK(M447),"",LARGE(L438:L446,1)+1)</f>
        <v/>
      </c>
      <c r="M447" s="7060"/>
      <c r="N447" s="6944"/>
      <c r="O447" s="6944"/>
      <c r="P447" s="6944"/>
      <c r="Q447" s="6944"/>
      <c r="R447" s="6944"/>
      <c r="S447" s="6944"/>
      <c r="T447" s="6944"/>
      <c r="U447" s="7120"/>
      <c r="V447" s="7121"/>
      <c r="AF447" s="2730">
        <v>1</v>
      </c>
    </row>
    <row r="448" spans="2:32" ht="15.75">
      <c r="B448" s="6649"/>
      <c r="C448" s="1"/>
      <c r="D448" s="1"/>
      <c r="E448" s="1"/>
      <c r="F448" s="6649"/>
      <c r="G448" s="6649"/>
      <c r="H448" s="6649"/>
      <c r="I448" s="6649"/>
      <c r="J448" s="6649"/>
      <c r="K448" s="6649"/>
      <c r="L448" s="6860" t="str">
        <f>IF(ISBLANK(M448),"",LARGE(L438:L447,1)+1)</f>
        <v/>
      </c>
      <c r="M448" s="7060"/>
      <c r="N448" s="6944"/>
      <c r="O448" s="6944"/>
      <c r="P448" s="6944"/>
      <c r="Q448" s="6944"/>
      <c r="R448" s="6944"/>
      <c r="S448" s="6944"/>
      <c r="T448" s="6944"/>
      <c r="U448" s="7122">
        <v>2</v>
      </c>
      <c r="V448" s="7123" t="s">
        <v>53</v>
      </c>
      <c r="AF448" s="2730">
        <v>1</v>
      </c>
    </row>
    <row r="449" spans="2:32" ht="15.75">
      <c r="B449" s="6649"/>
      <c r="C449" s="1"/>
      <c r="D449" s="1"/>
      <c r="E449" s="1"/>
      <c r="F449" s="6649"/>
      <c r="G449" s="6649"/>
      <c r="H449" s="6649"/>
      <c r="I449" s="6649"/>
      <c r="J449" s="6649"/>
      <c r="K449" s="6649"/>
      <c r="L449" s="6860" t="str">
        <f>IF(ISBLANK(M449),"",LARGE(L438:L448,1)+1)</f>
        <v/>
      </c>
      <c r="M449" s="7060"/>
      <c r="N449" s="6944"/>
      <c r="O449" s="6944"/>
      <c r="P449" s="6944"/>
      <c r="Q449" s="6944"/>
      <c r="R449" s="6944"/>
      <c r="S449" s="6944"/>
      <c r="T449" s="6944"/>
      <c r="U449" s="7124">
        <v>1</v>
      </c>
      <c r="V449" s="7125" t="s">
        <v>52</v>
      </c>
      <c r="AF449" s="2730">
        <v>1</v>
      </c>
    </row>
    <row r="450" spans="2:32" ht="15.75">
      <c r="B450" s="6649"/>
      <c r="C450" s="1"/>
      <c r="D450" s="1"/>
      <c r="E450" s="1"/>
      <c r="F450" s="6649"/>
      <c r="G450" s="6649"/>
      <c r="H450" s="6649"/>
      <c r="I450" s="6649"/>
      <c r="J450" s="6649"/>
      <c r="K450" s="6649"/>
      <c r="L450" s="6860" t="str">
        <f>IF(ISBLANK(M450),"",LARGE(L438:L449,1)+1)</f>
        <v/>
      </c>
      <c r="M450" s="7060"/>
      <c r="N450" s="6944"/>
      <c r="O450" s="6944"/>
      <c r="P450" s="6944"/>
      <c r="Q450" s="6944"/>
      <c r="R450" s="6944"/>
      <c r="S450" s="6944"/>
      <c r="T450" s="6944"/>
      <c r="U450" s="7126">
        <f>IF(U448=0,0,IF(U449=0,0,U448-U449))</f>
        <v>1</v>
      </c>
      <c r="V450" s="7114" t="s">
        <v>49</v>
      </c>
      <c r="AF450" s="2730">
        <v>1</v>
      </c>
    </row>
    <row r="451" spans="2:32" ht="15.75">
      <c r="B451" s="6649"/>
      <c r="C451" s="1"/>
      <c r="D451" s="1"/>
      <c r="E451" s="1"/>
      <c r="F451" s="6649"/>
      <c r="G451" s="6649"/>
      <c r="H451" s="6649"/>
      <c r="I451" s="6649"/>
      <c r="J451" s="6649"/>
      <c r="K451" s="6649"/>
      <c r="L451" s="6860" t="str">
        <f>IF(ISBLANK(M451),"",LARGE(L438:L450,1)+1)</f>
        <v/>
      </c>
      <c r="M451" s="7060"/>
      <c r="N451" s="6944"/>
      <c r="O451" s="6944"/>
      <c r="P451" s="6944"/>
      <c r="Q451" s="6944"/>
      <c r="R451" s="6944"/>
      <c r="S451" s="6944"/>
      <c r="T451" s="6944"/>
      <c r="U451" s="7127">
        <f>IF(U448=0,0,U450/U448)</f>
        <v>0.5</v>
      </c>
      <c r="V451" s="7114" t="s">
        <v>48</v>
      </c>
      <c r="AF451" s="2730">
        <v>1</v>
      </c>
    </row>
    <row r="452" spans="2:32" ht="15.75">
      <c r="B452" s="6649"/>
      <c r="C452" s="1"/>
      <c r="D452" s="1"/>
      <c r="E452" s="1"/>
      <c r="F452" s="6649"/>
      <c r="G452" s="6649"/>
      <c r="H452" s="6649"/>
      <c r="I452" s="6649"/>
      <c r="J452" s="6649"/>
      <c r="K452" s="6649"/>
      <c r="L452" s="6860" t="str">
        <f>IF(ISBLANK(M452),"",LARGE(L438:L451,1)+1)</f>
        <v/>
      </c>
      <c r="M452" s="7060"/>
      <c r="N452" s="6944"/>
      <c r="O452" s="6944"/>
      <c r="P452" s="6944"/>
      <c r="Q452" s="6944"/>
      <c r="R452" s="6944"/>
      <c r="S452" s="6944"/>
      <c r="T452" s="6944"/>
      <c r="U452" s="7128">
        <v>50</v>
      </c>
      <c r="V452" s="7125" t="s">
        <v>50</v>
      </c>
      <c r="AF452" s="2730">
        <v>1</v>
      </c>
    </row>
    <row r="453" spans="2:32" ht="15.75">
      <c r="B453" s="6649"/>
      <c r="C453" s="1"/>
      <c r="D453" s="1"/>
      <c r="E453" s="1"/>
      <c r="F453" s="6649"/>
      <c r="G453" s="6649"/>
      <c r="H453" s="6649"/>
      <c r="I453" s="6649"/>
      <c r="J453" s="6649"/>
      <c r="K453" s="6649"/>
      <c r="L453" s="6860" t="str">
        <f>IF(ISBLANK(M453),"",LARGE(L438:L452,1)+1)</f>
        <v/>
      </c>
      <c r="M453" s="7060"/>
      <c r="N453" s="6944"/>
      <c r="O453" s="6944"/>
      <c r="P453" s="6944"/>
      <c r="Q453" s="6944"/>
      <c r="R453" s="6944"/>
      <c r="S453" s="6944"/>
      <c r="T453" s="6944"/>
      <c r="U453" s="7126">
        <f>U448*U452%</f>
        <v>1</v>
      </c>
      <c r="V453" s="7114" t="s">
        <v>49</v>
      </c>
      <c r="AF453" s="2730">
        <v>1</v>
      </c>
    </row>
    <row r="454" spans="2:32" ht="15.75">
      <c r="B454" s="6649"/>
      <c r="C454" s="1"/>
      <c r="D454" s="1"/>
      <c r="E454" s="1"/>
      <c r="F454" s="6649"/>
      <c r="G454" s="6649"/>
      <c r="H454" s="6649"/>
      <c r="I454" s="6649"/>
      <c r="J454" s="6649"/>
      <c r="K454" s="6649"/>
      <c r="L454" s="6860" t="str">
        <f>IF(ISBLANK(M454),"",LARGE(L438:L453,1)+1)</f>
        <v/>
      </c>
      <c r="M454" s="7060"/>
      <c r="N454" s="6944"/>
      <c r="O454" s="6944"/>
      <c r="P454" s="6944"/>
      <c r="Q454" s="6944"/>
      <c r="R454" s="6944"/>
      <c r="S454" s="6944"/>
      <c r="T454" s="6944"/>
      <c r="U454" s="7126">
        <f>U448-U453</f>
        <v>1</v>
      </c>
      <c r="V454" s="7114" t="s">
        <v>47</v>
      </c>
      <c r="AF454" s="2730">
        <v>1</v>
      </c>
    </row>
    <row r="455" spans="2:32" ht="15.75">
      <c r="B455" s="6649"/>
      <c r="C455" s="1"/>
      <c r="D455" s="1"/>
      <c r="E455" s="1"/>
      <c r="F455" s="6649"/>
      <c r="G455" s="6649"/>
      <c r="H455" s="6649"/>
      <c r="I455" s="6649"/>
      <c r="J455" s="6649"/>
      <c r="K455" s="6649"/>
      <c r="L455" s="6860"/>
      <c r="M455" s="7060"/>
      <c r="N455" s="6944"/>
      <c r="O455" s="6944"/>
      <c r="P455" s="6944"/>
      <c r="Q455" s="6944"/>
      <c r="R455" s="6944"/>
      <c r="S455" s="6944"/>
      <c r="T455" s="6944"/>
      <c r="U455" s="7129"/>
      <c r="V455" s="7130"/>
      <c r="AF455" s="2730">
        <v>1</v>
      </c>
    </row>
    <row r="456" spans="2:32" ht="15.75">
      <c r="B456" s="6649"/>
      <c r="C456" s="1"/>
      <c r="D456" s="1"/>
      <c r="E456" s="1"/>
      <c r="F456" s="6649"/>
      <c r="G456" s="6649"/>
      <c r="H456" s="6649"/>
      <c r="I456" s="6649"/>
      <c r="J456" s="6649"/>
      <c r="K456" s="6649"/>
      <c r="L456" s="6860"/>
      <c r="M456" s="7060"/>
      <c r="N456" s="6944"/>
      <c r="O456" s="6944"/>
      <c r="P456" s="6944"/>
      <c r="Q456" s="6944"/>
      <c r="R456" s="6944"/>
      <c r="S456" s="6944"/>
      <c r="T456" s="6944"/>
      <c r="U456" s="7129"/>
      <c r="V456" s="7130"/>
      <c r="AF456" s="2730">
        <v>1</v>
      </c>
    </row>
    <row r="457" spans="2:32" ht="15.75">
      <c r="B457" s="6649"/>
      <c r="C457" s="1"/>
      <c r="D457" s="1"/>
      <c r="E457" s="1"/>
      <c r="F457" s="6649"/>
      <c r="G457" s="6649"/>
      <c r="H457" s="6649"/>
      <c r="I457" s="6649"/>
      <c r="J457" s="6649"/>
      <c r="K457" s="6649"/>
      <c r="L457" s="6875" t="s">
        <v>15809</v>
      </c>
      <c r="M457" s="6876"/>
      <c r="N457" s="6876"/>
      <c r="O457" s="6876"/>
      <c r="P457" s="6876"/>
      <c r="Q457" s="6876"/>
      <c r="R457" s="6876"/>
      <c r="S457" s="6876"/>
      <c r="T457" s="6876"/>
      <c r="U457" s="6876"/>
      <c r="V457" s="6877" t="s">
        <v>15809</v>
      </c>
      <c r="AF457" s="2730">
        <v>1</v>
      </c>
    </row>
    <row r="458" spans="2:32" ht="15.75">
      <c r="B458" s="6649"/>
      <c r="C458" s="1"/>
      <c r="D458" s="1"/>
      <c r="E458" s="1"/>
      <c r="F458" s="6649"/>
      <c r="G458" s="6649"/>
      <c r="H458" s="6649"/>
      <c r="I458" s="6649"/>
      <c r="J458" s="6649"/>
      <c r="K458" s="6649"/>
      <c r="L458" s="7131" t="s">
        <v>15792</v>
      </c>
      <c r="M458" s="6879"/>
      <c r="N458" s="6792"/>
      <c r="O458" s="6792"/>
      <c r="P458" s="6792"/>
      <c r="Q458" s="6792"/>
      <c r="R458" s="6792"/>
      <c r="S458" s="6930"/>
      <c r="T458" s="6930"/>
      <c r="U458" s="6930"/>
      <c r="V458" s="6931" t="s">
        <v>15909</v>
      </c>
      <c r="AF458" s="2730">
        <v>1</v>
      </c>
    </row>
    <row r="459" spans="2:32" ht="18.75">
      <c r="B459" s="6649"/>
      <c r="C459" s="1"/>
      <c r="D459" s="1"/>
      <c r="E459" s="1"/>
      <c r="F459" s="6649"/>
      <c r="G459" s="6649"/>
      <c r="H459" s="6649"/>
      <c r="I459" s="6649"/>
      <c r="J459" s="6649"/>
      <c r="K459" s="6649"/>
      <c r="L459" s="7298">
        <v>0</v>
      </c>
      <c r="M459" s="7300"/>
      <c r="N459" s="7132"/>
      <c r="O459" s="7710"/>
      <c r="P459" s="7133" t="s">
        <v>15910</v>
      </c>
      <c r="Q459" s="7134">
        <v>175</v>
      </c>
      <c r="R459" s="7135" t="s">
        <v>209</v>
      </c>
      <c r="S459" s="6936"/>
      <c r="T459" s="6936"/>
      <c r="U459" s="6923"/>
      <c r="V459" s="6924"/>
      <c r="AF459" s="2730">
        <v>1</v>
      </c>
    </row>
    <row r="460" spans="2:32" ht="15.75">
      <c r="B460" s="6649"/>
      <c r="C460" s="1"/>
      <c r="D460" s="1"/>
      <c r="E460" s="1"/>
      <c r="F460" s="6649"/>
      <c r="G460" s="6649"/>
      <c r="H460" s="6649"/>
      <c r="I460" s="6649"/>
      <c r="J460" s="6649"/>
      <c r="K460" s="6649"/>
      <c r="L460" s="7299"/>
      <c r="M460" s="7136"/>
      <c r="N460" s="7137"/>
      <c r="O460" s="716"/>
      <c r="P460" s="7138" t="s">
        <v>15911</v>
      </c>
      <c r="Q460" s="7139" t="s">
        <v>15912</v>
      </c>
      <c r="R460" s="7140" t="s">
        <v>15913</v>
      </c>
      <c r="S460" s="6936"/>
      <c r="T460" s="6936"/>
      <c r="U460" s="7141"/>
      <c r="V460" s="7142" t="s">
        <v>15914</v>
      </c>
      <c r="AF460" s="2730">
        <v>1</v>
      </c>
    </row>
    <row r="461" spans="2:32" ht="15.75">
      <c r="B461" s="6649"/>
      <c r="C461" s="1"/>
      <c r="D461" s="1"/>
      <c r="E461" s="1"/>
      <c r="F461" s="6649"/>
      <c r="G461" s="6649"/>
      <c r="H461" s="6649"/>
      <c r="I461" s="6649"/>
      <c r="J461" s="6649"/>
      <c r="K461" s="6649"/>
      <c r="L461" s="7299"/>
      <c r="M461" s="7143">
        <f>Q461*Q459</f>
        <v>262.5</v>
      </c>
      <c r="N461" s="7144"/>
      <c r="O461" s="7144" t="s">
        <v>15915</v>
      </c>
      <c r="P461" s="7145">
        <v>12</v>
      </c>
      <c r="Q461" s="7146">
        <v>1.5</v>
      </c>
      <c r="R461" s="7147" t="s">
        <v>15916</v>
      </c>
      <c r="S461" s="7148" t="str">
        <f t="shared" ref="S461:S469" si="24">IF(OR(P461="",M461=0),"",INT(M461/P461) &amp;""&amp; " de " &amp; P461 &amp;" "&amp;R461&amp;  IF(MOD(M461,P461)&gt;0," + 1 " &amp; "de " &amp; TEXT(MOD(M461,P461)&amp;""&amp;R461,"0.00"),""))</f>
        <v>21 de 12 cuisse + 1 de 10.5cuisse</v>
      </c>
      <c r="T461" s="7148"/>
      <c r="U461" s="7149"/>
      <c r="V461" s="7150" t="s">
        <v>15917</v>
      </c>
      <c r="AF461" s="2730">
        <v>1</v>
      </c>
    </row>
    <row r="462" spans="2:32" ht="15.75">
      <c r="B462" s="6649"/>
      <c r="C462" s="1"/>
      <c r="D462" s="1"/>
      <c r="E462" s="1"/>
      <c r="F462" s="6649"/>
      <c r="G462" s="6649"/>
      <c r="H462" s="6649"/>
      <c r="I462" s="6649"/>
      <c r="J462" s="6649"/>
      <c r="K462" s="6649"/>
      <c r="L462" s="7299"/>
      <c r="M462" s="7143">
        <f>Q462*Q459</f>
        <v>175</v>
      </c>
      <c r="N462" s="7144"/>
      <c r="O462" s="7144" t="s">
        <v>15918</v>
      </c>
      <c r="P462" s="7145">
        <v>24</v>
      </c>
      <c r="Q462" s="7146">
        <v>1</v>
      </c>
      <c r="R462" s="7147" t="s">
        <v>15916</v>
      </c>
      <c r="S462" s="7148" t="str">
        <f t="shared" si="24"/>
        <v>7 de 24 cuisse + 1 de 7cuisse</v>
      </c>
      <c r="T462" s="7148"/>
      <c r="U462" s="7149"/>
      <c r="V462" s="7150" t="s">
        <v>15919</v>
      </c>
      <c r="AF462" s="2730">
        <v>1</v>
      </c>
    </row>
    <row r="463" spans="2:32" ht="15.75">
      <c r="B463" s="6649"/>
      <c r="C463" s="1"/>
      <c r="D463" s="1"/>
      <c r="E463" s="1"/>
      <c r="F463" s="6649"/>
      <c r="G463" s="6649"/>
      <c r="H463" s="6649"/>
      <c r="I463" s="6649"/>
      <c r="J463" s="6649"/>
      <c r="K463" s="6649"/>
      <c r="L463" s="7299"/>
      <c r="M463" s="7143">
        <f>Q463*Q459</f>
        <v>175</v>
      </c>
      <c r="N463" s="7144"/>
      <c r="O463" s="7144" t="s">
        <v>15920</v>
      </c>
      <c r="P463" s="7145">
        <v>25</v>
      </c>
      <c r="Q463" s="7146">
        <v>1</v>
      </c>
      <c r="R463" s="7147" t="s">
        <v>15921</v>
      </c>
      <c r="S463" s="7148" t="str">
        <f t="shared" si="24"/>
        <v>7 de 25 escalope</v>
      </c>
      <c r="T463" s="7148"/>
      <c r="U463" s="7149"/>
      <c r="V463" s="7150" t="s">
        <v>15922</v>
      </c>
      <c r="AF463" s="2730">
        <v>1</v>
      </c>
    </row>
    <row r="464" spans="2:32" ht="15.75">
      <c r="B464" s="6649"/>
      <c r="C464" s="1"/>
      <c r="D464" s="1"/>
      <c r="E464" s="1"/>
      <c r="F464" s="6649"/>
      <c r="G464" s="6649"/>
      <c r="H464" s="6649"/>
      <c r="I464" s="6649"/>
      <c r="J464" s="6649"/>
      <c r="K464" s="6649"/>
      <c r="L464" s="7299"/>
      <c r="M464" s="7143">
        <f>Q464*Q459</f>
        <v>175</v>
      </c>
      <c r="N464" s="7144"/>
      <c r="O464" s="7144" t="s">
        <v>15923</v>
      </c>
      <c r="P464" s="7145">
        <v>60</v>
      </c>
      <c r="Q464" s="7146">
        <v>1</v>
      </c>
      <c r="R464" s="7147" t="s">
        <v>15924</v>
      </c>
      <c r="S464" s="7148" t="str">
        <f t="shared" si="24"/>
        <v>2 de 60 tranche + 1 de 55tranche</v>
      </c>
      <c r="T464" s="7148"/>
      <c r="U464" s="7149"/>
      <c r="V464" s="7150" t="s">
        <v>15925</v>
      </c>
      <c r="AF464" s="2730">
        <v>1</v>
      </c>
    </row>
    <row r="465" spans="2:32" ht="15.75">
      <c r="B465" s="6649"/>
      <c r="C465" s="1"/>
      <c r="D465" s="1"/>
      <c r="E465" s="1"/>
      <c r="F465" s="6649"/>
      <c r="G465" s="6649"/>
      <c r="H465" s="6649"/>
      <c r="I465" s="6649"/>
      <c r="J465" s="6649"/>
      <c r="K465" s="6649"/>
      <c r="L465" s="7299"/>
      <c r="M465" s="7143">
        <f>Q465*Q459</f>
        <v>175</v>
      </c>
      <c r="N465" s="7144"/>
      <c r="O465" s="7144" t="s">
        <v>15926</v>
      </c>
      <c r="P465" s="7145">
        <v>25</v>
      </c>
      <c r="Q465" s="7146">
        <v>1</v>
      </c>
      <c r="R465" s="7147" t="s">
        <v>1758</v>
      </c>
      <c r="S465" s="7148" t="str">
        <f t="shared" si="24"/>
        <v>7 de 25 paupiettes</v>
      </c>
      <c r="T465" s="7148"/>
      <c r="U465" s="7149"/>
      <c r="V465" s="7150" t="s">
        <v>15927</v>
      </c>
      <c r="AF465" s="2730">
        <v>1</v>
      </c>
    </row>
    <row r="466" spans="2:32" ht="15.75">
      <c r="B466" s="6649"/>
      <c r="C466" s="1"/>
      <c r="D466" s="1"/>
      <c r="E466" s="1"/>
      <c r="F466" s="6649"/>
      <c r="G466" s="6649"/>
      <c r="H466" s="6649"/>
      <c r="I466" s="6649"/>
      <c r="J466" s="6649"/>
      <c r="K466" s="6649"/>
      <c r="L466" s="7299"/>
      <c r="M466" s="7143">
        <f>Q466*Q459</f>
        <v>175</v>
      </c>
      <c r="N466" s="7144"/>
      <c r="O466" s="7144" t="s">
        <v>15928</v>
      </c>
      <c r="P466" s="7145">
        <v>20</v>
      </c>
      <c r="Q466" s="7146">
        <v>1</v>
      </c>
      <c r="R466" s="7147" t="s">
        <v>1764</v>
      </c>
      <c r="S466" s="7148" t="str">
        <f t="shared" si="24"/>
        <v>8 de 20 tomates + 1 de 15tomates</v>
      </c>
      <c r="T466" s="7148"/>
      <c r="U466" s="6923"/>
      <c r="V466" s="7150" t="s">
        <v>15917</v>
      </c>
      <c r="AF466" s="2730">
        <v>1</v>
      </c>
    </row>
    <row r="467" spans="2:32" ht="15.75">
      <c r="B467" s="6649"/>
      <c r="C467" s="1"/>
      <c r="D467" s="1"/>
      <c r="E467" s="1"/>
      <c r="F467" s="6649"/>
      <c r="G467" s="6649"/>
      <c r="H467" s="6649"/>
      <c r="I467" s="6649"/>
      <c r="J467" s="6649"/>
      <c r="K467" s="6649"/>
      <c r="L467" s="7299"/>
      <c r="M467" s="7143">
        <f>Q467*Q459</f>
        <v>31.5</v>
      </c>
      <c r="N467" s="7144"/>
      <c r="O467" s="7144" t="s">
        <v>15929</v>
      </c>
      <c r="P467" s="7145">
        <v>7.2</v>
      </c>
      <c r="Q467" s="7146">
        <v>0.18</v>
      </c>
      <c r="R467" s="7147" t="s">
        <v>373</v>
      </c>
      <c r="S467" s="7148" t="str">
        <f t="shared" si="24"/>
        <v>4 de 7.2 kg + 1 de 2.7kg</v>
      </c>
      <c r="T467" s="7148"/>
      <c r="U467" s="6923"/>
      <c r="V467" s="7150" t="s">
        <v>15919</v>
      </c>
      <c r="AF467" s="2730">
        <v>1</v>
      </c>
    </row>
    <row r="468" spans="2:32" ht="15.75">
      <c r="B468" s="6649"/>
      <c r="C468" s="1"/>
      <c r="D468" s="1"/>
      <c r="E468" s="1"/>
      <c r="F468" s="6649"/>
      <c r="G468" s="6649"/>
      <c r="H468" s="6649"/>
      <c r="I468" s="6649"/>
      <c r="J468" s="6649"/>
      <c r="K468" s="6649"/>
      <c r="L468" s="7299"/>
      <c r="M468" s="7143">
        <f>Q468*Q459</f>
        <v>31.5</v>
      </c>
      <c r="N468" s="7144"/>
      <c r="O468" s="7144" t="s">
        <v>15930</v>
      </c>
      <c r="P468" s="7145">
        <v>4</v>
      </c>
      <c r="Q468" s="7146">
        <v>0.18</v>
      </c>
      <c r="R468" s="7147" t="s">
        <v>373</v>
      </c>
      <c r="S468" s="7148" t="str">
        <f t="shared" si="24"/>
        <v>7 de 4 kg + 1 de 3.5kg</v>
      </c>
      <c r="T468" s="7148"/>
      <c r="U468" s="6923"/>
      <c r="V468" s="7150" t="s">
        <v>15922</v>
      </c>
      <c r="AF468" s="2730">
        <v>1</v>
      </c>
    </row>
    <row r="469" spans="2:32" ht="15.75">
      <c r="B469" s="6649"/>
      <c r="C469" s="1"/>
      <c r="D469" s="1"/>
      <c r="E469" s="1"/>
      <c r="F469" s="6649"/>
      <c r="G469" s="6649"/>
      <c r="H469" s="6649"/>
      <c r="I469" s="6649"/>
      <c r="J469" s="6649"/>
      <c r="K469" s="6649"/>
      <c r="L469" s="7299"/>
      <c r="M469" s="7143">
        <f>Q469*Q459</f>
        <v>31.5</v>
      </c>
      <c r="N469" s="7144"/>
      <c r="O469" s="7144" t="s">
        <v>15931</v>
      </c>
      <c r="P469" s="7145">
        <v>3</v>
      </c>
      <c r="Q469" s="7146">
        <v>0.18</v>
      </c>
      <c r="R469" s="7147" t="s">
        <v>373</v>
      </c>
      <c r="S469" s="7148" t="str">
        <f t="shared" si="24"/>
        <v>10 de 3 kg + 1 de 1.5kg</v>
      </c>
      <c r="T469" s="7148"/>
      <c r="U469" s="6923"/>
      <c r="V469" s="7150" t="s">
        <v>15925</v>
      </c>
      <c r="AF469" s="2730">
        <v>1</v>
      </c>
    </row>
    <row r="470" spans="2:32" ht="15.75">
      <c r="B470" s="6649"/>
      <c r="C470" s="1"/>
      <c r="D470" s="1"/>
      <c r="E470" s="1"/>
      <c r="F470" s="6649"/>
      <c r="G470" s="6649"/>
      <c r="H470" s="6649"/>
      <c r="I470" s="6649"/>
      <c r="J470" s="6649"/>
      <c r="K470" s="6649"/>
      <c r="L470" s="7299"/>
      <c r="M470" s="6939" t="s">
        <v>15793</v>
      </c>
      <c r="N470" s="6926"/>
      <c r="O470" s="6926"/>
      <c r="P470" s="7151"/>
      <c r="Q470" s="7151"/>
      <c r="R470" s="7151"/>
      <c r="S470" s="7151"/>
      <c r="T470" s="7152" t="s">
        <v>7099</v>
      </c>
      <c r="U470" s="7153"/>
      <c r="V470" s="7154" t="s">
        <v>15932</v>
      </c>
      <c r="AF470" s="2730">
        <v>1</v>
      </c>
    </row>
    <row r="471" spans="2:32" ht="18.75">
      <c r="B471" s="6649"/>
      <c r="C471" s="1"/>
      <c r="D471" s="1"/>
      <c r="E471" s="1"/>
      <c r="F471" s="6649"/>
      <c r="G471" s="6649"/>
      <c r="H471" s="6649"/>
      <c r="I471" s="6649"/>
      <c r="J471" s="6649"/>
      <c r="K471" s="6649"/>
      <c r="L471" s="7299"/>
      <c r="M471" s="6932" t="s">
        <v>15796</v>
      </c>
      <c r="N471" s="6649"/>
      <c r="O471" s="6649"/>
      <c r="P471" s="6936"/>
      <c r="Q471" s="6936"/>
      <c r="R471" s="6936"/>
      <c r="S471" s="6936"/>
      <c r="T471" s="6944"/>
      <c r="U471" s="6944"/>
      <c r="V471" s="7150" t="s">
        <v>15919</v>
      </c>
      <c r="AF471" s="2730">
        <v>1</v>
      </c>
    </row>
    <row r="472" spans="2:32" ht="15.75">
      <c r="B472" s="6649"/>
      <c r="C472" s="1"/>
      <c r="D472" s="1"/>
      <c r="E472" s="1"/>
      <c r="F472" s="6649"/>
      <c r="G472" s="6649"/>
      <c r="H472" s="6649"/>
      <c r="I472" s="6649"/>
      <c r="J472" s="6649"/>
      <c r="K472" s="6649"/>
      <c r="L472" s="7299" t="str">
        <f>IF(ISBLANK(M472),"",LARGE(L459:L471,1)+1)</f>
        <v/>
      </c>
      <c r="M472" s="7060"/>
      <c r="N472" s="6944"/>
      <c r="O472" s="6944"/>
      <c r="P472" s="6944"/>
      <c r="Q472" s="6944"/>
      <c r="R472" s="6944"/>
      <c r="S472" s="6944"/>
      <c r="T472" s="6944"/>
      <c r="U472" s="6944"/>
      <c r="V472" s="7150" t="s">
        <v>15922</v>
      </c>
      <c r="AF472" s="2730">
        <v>1</v>
      </c>
    </row>
    <row r="473" spans="2:32" ht="15.75">
      <c r="B473" s="6649"/>
      <c r="C473" s="1"/>
      <c r="D473" s="1"/>
      <c r="E473" s="1"/>
      <c r="F473" s="6649"/>
      <c r="G473" s="6649"/>
      <c r="H473" s="6649"/>
      <c r="I473" s="6649"/>
      <c r="J473" s="6649"/>
      <c r="K473" s="6649"/>
      <c r="L473" s="7299" t="str">
        <f>IF(ISBLANK(M473),"",LARGE(L459:L472,1)+1)</f>
        <v/>
      </c>
      <c r="M473" s="7060"/>
      <c r="N473" s="6944"/>
      <c r="O473" s="6944"/>
      <c r="P473" s="6944"/>
      <c r="Q473" s="6944"/>
      <c r="R473" s="6944"/>
      <c r="S473" s="6944"/>
      <c r="T473" s="6944"/>
      <c r="U473" s="6944"/>
      <c r="V473" s="7150" t="s">
        <v>15925</v>
      </c>
      <c r="AF473" s="2730">
        <v>1</v>
      </c>
    </row>
    <row r="474" spans="2:32" ht="15.75">
      <c r="B474" s="6649"/>
      <c r="C474" s="1"/>
      <c r="D474" s="1"/>
      <c r="E474" s="1"/>
      <c r="F474" s="6649"/>
      <c r="G474" s="6649"/>
      <c r="H474" s="6649"/>
      <c r="I474" s="6649"/>
      <c r="J474" s="6649"/>
      <c r="K474" s="6649"/>
      <c r="L474" s="7299" t="str">
        <f>IF(ISBLANK(M474),"",LARGE(L459:L473,1)+1)</f>
        <v/>
      </c>
      <c r="M474" s="7060"/>
      <c r="N474" s="6944"/>
      <c r="O474" s="6944"/>
      <c r="P474" s="6944"/>
      <c r="Q474" s="6944"/>
      <c r="R474" s="6944"/>
      <c r="S474" s="6944"/>
      <c r="T474" s="6944"/>
      <c r="U474" s="6944"/>
      <c r="V474" s="7150" t="s">
        <v>15927</v>
      </c>
      <c r="AF474" s="2730">
        <v>1</v>
      </c>
    </row>
    <row r="475" spans="2:32" ht="15.75">
      <c r="B475" s="6649"/>
      <c r="C475" s="1"/>
      <c r="D475" s="1"/>
      <c r="E475" s="1"/>
      <c r="F475" s="6649"/>
      <c r="G475" s="6649"/>
      <c r="H475" s="6649"/>
      <c r="I475" s="6649"/>
      <c r="J475" s="6649"/>
      <c r="K475" s="6649"/>
      <c r="L475" s="7299" t="str">
        <f>IF(ISBLANK(M475),"",LARGE(L459:L474,1)+1)</f>
        <v/>
      </c>
      <c r="M475" s="7060"/>
      <c r="N475" s="6944"/>
      <c r="O475" s="6944"/>
      <c r="P475" s="6944"/>
      <c r="Q475" s="6944"/>
      <c r="R475" s="6944"/>
      <c r="S475" s="6944"/>
      <c r="T475" s="6944"/>
      <c r="U475" s="6944"/>
      <c r="V475" s="7150" t="s">
        <v>15917</v>
      </c>
      <c r="AF475" s="2730">
        <v>1</v>
      </c>
    </row>
    <row r="476" spans="2:32" ht="15.75">
      <c r="B476" s="6649"/>
      <c r="C476" s="1"/>
      <c r="D476" s="1"/>
      <c r="E476" s="1"/>
      <c r="F476" s="6649"/>
      <c r="G476" s="6649"/>
      <c r="H476" s="6649"/>
      <c r="I476" s="6649"/>
      <c r="J476" s="6649"/>
      <c r="K476" s="6649"/>
      <c r="L476" s="7299" t="str">
        <f>IF(ISBLANK(M476),"",LARGE(L459:L475,1)+1)</f>
        <v/>
      </c>
      <c r="M476" s="7060"/>
      <c r="N476" s="6944"/>
      <c r="O476" s="6944"/>
      <c r="P476" s="6944"/>
      <c r="Q476" s="6944"/>
      <c r="R476" s="6944"/>
      <c r="S476" s="6944"/>
      <c r="T476" s="6944"/>
      <c r="U476" s="6944"/>
      <c r="V476" s="7088"/>
      <c r="AF476" s="2730">
        <v>1</v>
      </c>
    </row>
    <row r="477" spans="2:32" ht="15.75">
      <c r="B477" s="6649"/>
      <c r="C477" s="1"/>
      <c r="D477" s="1"/>
      <c r="E477" s="1"/>
      <c r="F477" s="6649"/>
      <c r="G477" s="6649"/>
      <c r="H477" s="6649"/>
      <c r="I477" s="6649"/>
      <c r="J477" s="6649"/>
      <c r="K477" s="6649"/>
      <c r="L477" s="7299" t="str">
        <f>IF(ISBLANK(M477),"",LARGE(L459:L476,1)+1)</f>
        <v/>
      </c>
      <c r="M477" s="7060"/>
      <c r="N477" s="6944"/>
      <c r="O477" s="6944"/>
      <c r="P477" s="6944"/>
      <c r="Q477" s="6944"/>
      <c r="R477" s="6944"/>
      <c r="S477" s="6944"/>
      <c r="T477" s="6944"/>
      <c r="U477" s="6944"/>
      <c r="V477" s="7088"/>
      <c r="AF477" s="2730">
        <v>1</v>
      </c>
    </row>
    <row r="478" spans="2:32" ht="15.75">
      <c r="B478" s="6649"/>
      <c r="C478" s="1"/>
      <c r="D478" s="1"/>
      <c r="E478" s="1"/>
      <c r="F478" s="6649"/>
      <c r="G478" s="6649"/>
      <c r="H478" s="6649"/>
      <c r="I478" s="6649"/>
      <c r="J478" s="6649"/>
      <c r="K478" s="6649"/>
      <c r="L478" s="6875" t="s">
        <v>15809</v>
      </c>
      <c r="M478" s="6876"/>
      <c r="N478" s="6876"/>
      <c r="O478" s="6876"/>
      <c r="P478" s="6876"/>
      <c r="Q478" s="6876"/>
      <c r="R478" s="6876"/>
      <c r="S478" s="6876"/>
      <c r="T478" s="6876"/>
      <c r="U478" s="6876"/>
      <c r="V478" s="6877" t="s">
        <v>15809</v>
      </c>
      <c r="AF478" s="2730">
        <v>1</v>
      </c>
    </row>
    <row r="479" spans="2:32" ht="15.75">
      <c r="B479" s="6649"/>
      <c r="C479" s="1"/>
      <c r="D479" s="1"/>
      <c r="E479" s="1"/>
      <c r="F479" s="6649"/>
      <c r="G479" s="6649"/>
      <c r="H479" s="6649"/>
      <c r="I479" s="6649"/>
      <c r="J479" s="6649"/>
      <c r="K479" s="6649"/>
      <c r="L479" s="6863" t="s">
        <v>15792</v>
      </c>
      <c r="M479" s="6908"/>
      <c r="N479" s="6908"/>
      <c r="O479" s="6908"/>
      <c r="P479" s="6908"/>
      <c r="Q479" s="7155" t="s">
        <v>15907</v>
      </c>
      <c r="R479" s="6908"/>
      <c r="S479" s="6909"/>
      <c r="T479" s="6909"/>
      <c r="U479" s="6909"/>
      <c r="V479" s="6910" t="s">
        <v>15933</v>
      </c>
      <c r="AF479" s="2730">
        <v>1</v>
      </c>
    </row>
    <row r="480" spans="2:32">
      <c r="B480" s="6649"/>
      <c r="C480" s="1"/>
      <c r="D480" s="1"/>
      <c r="E480" s="1"/>
      <c r="F480" s="6649"/>
      <c r="G480" s="6649"/>
      <c r="H480" s="6649"/>
      <c r="I480" s="6649"/>
      <c r="J480" s="6649"/>
      <c r="K480" s="6649"/>
      <c r="L480" s="6872">
        <v>0</v>
      </c>
      <c r="M480" s="7156"/>
      <c r="N480" s="2775"/>
      <c r="O480" s="2775"/>
      <c r="P480" s="2775"/>
      <c r="Q480" s="7157" t="s">
        <v>15934</v>
      </c>
      <c r="R480" s="7158" t="s">
        <v>537</v>
      </c>
      <c r="S480" s="7159" t="s">
        <v>620</v>
      </c>
      <c r="T480" s="7160" t="s">
        <v>15935</v>
      </c>
      <c r="U480" s="7159" t="s">
        <v>337</v>
      </c>
      <c r="V480" s="7161" t="s">
        <v>1318</v>
      </c>
      <c r="AF480" s="2730">
        <v>1</v>
      </c>
    </row>
    <row r="481" spans="2:32" ht="15.75">
      <c r="B481" s="6649"/>
      <c r="C481" s="1"/>
      <c r="D481" s="1"/>
      <c r="E481" s="1"/>
      <c r="F481" s="6649"/>
      <c r="G481" s="6649"/>
      <c r="H481" s="6649"/>
      <c r="I481" s="6649"/>
      <c r="J481" s="6649"/>
      <c r="K481" s="6649"/>
      <c r="L481" s="6860" t="str">
        <f>IF(ISBLANK(M481),"",LARGE(L480:L480,1)+1)</f>
        <v/>
      </c>
      <c r="M481" s="7048"/>
      <c r="N481" s="1"/>
      <c r="O481" s="1"/>
      <c r="P481" s="1"/>
      <c r="Q481" s="7162">
        <v>1</v>
      </c>
      <c r="R481" s="7163" t="str">
        <f>"◄ cellule "&amp;ADDRESS(ROW(Q481),COLUMN(Q481),4)&amp;"  vous pouvez saisir un autre poids"</f>
        <v>◄ cellule Q481  vous pouvez saisir un autre poids</v>
      </c>
      <c r="S481" s="7164"/>
      <c r="T481" s="3047"/>
      <c r="U481" s="7164"/>
      <c r="V481" s="2240"/>
      <c r="AF481" s="2730">
        <v>1</v>
      </c>
    </row>
    <row r="482" spans="2:32" ht="15.75">
      <c r="B482" s="6649"/>
      <c r="C482" s="1"/>
      <c r="D482" s="1"/>
      <c r="E482" s="1"/>
      <c r="F482" s="6649"/>
      <c r="G482" s="6649"/>
      <c r="H482" s="6649"/>
      <c r="I482" s="6649"/>
      <c r="J482" s="6649"/>
      <c r="K482" s="6649"/>
      <c r="L482" s="6860" t="str">
        <f>IF(ISBLANK(M482),"",LARGE(L480:L481,1)+1)</f>
        <v/>
      </c>
      <c r="M482" s="7048"/>
      <c r="N482" s="1"/>
      <c r="O482" s="1"/>
      <c r="P482" s="1"/>
      <c r="Q482" s="7165" t="s">
        <v>15936</v>
      </c>
      <c r="R482" s="7166">
        <v>100</v>
      </c>
      <c r="S482" s="7167">
        <v>120</v>
      </c>
      <c r="T482" s="7167">
        <v>180</v>
      </c>
      <c r="U482" s="7167">
        <v>180</v>
      </c>
      <c r="V482" s="7168">
        <v>200</v>
      </c>
      <c r="AF482" s="2730">
        <v>1</v>
      </c>
    </row>
    <row r="483" spans="2:32" ht="15.75">
      <c r="B483" s="6649"/>
      <c r="C483" s="1"/>
      <c r="D483" s="1"/>
      <c r="E483" s="1"/>
      <c r="F483" s="6649"/>
      <c r="G483" s="6649"/>
      <c r="H483" s="6649"/>
      <c r="I483" s="6649"/>
      <c r="J483" s="6649"/>
      <c r="K483" s="6649"/>
      <c r="L483" s="6860" t="str">
        <f>IF(ISBLANK(M483),"",LARGE(L480:L482,1)+1)</f>
        <v/>
      </c>
      <c r="M483" s="7048"/>
      <c r="N483" s="1"/>
      <c r="O483" s="1"/>
      <c r="P483" s="1"/>
      <c r="Q483" s="7169" t="s">
        <v>15937</v>
      </c>
      <c r="R483" s="7170">
        <f>IF(MOD(Q481*1000/R482,1)=0,Q481*1000/R482,IF(MOD(Q481*1000/R482,1)&lt;0.5,INT(Q481*1000/R482),INT(Q481*1000/R482)+1))</f>
        <v>10</v>
      </c>
      <c r="S483" s="7171">
        <f>IF(MOD(Q481*1000/S482,1)=0,Q481*1000/S482,IF(MOD(Q481*1000/S482,1)&lt;0.5,INT(Q481*1000/S482),INT(Q481*1000/S482)+1))</f>
        <v>8</v>
      </c>
      <c r="T483" s="7171">
        <f>IF(MOD(Q481*1000/T482,1)=0,Q481*1000/T482,IF(MOD(Q481*1000/T482,1)&lt;0.5,INT(Q481*1000/T482),INT(Q481*1000/T482)+1))</f>
        <v>6</v>
      </c>
      <c r="U483" s="7171">
        <f>IF(MOD(Q481*1000/U482,1)=0,Q481*1000/U482,IF(MOD(Q481*1000/U482,1)&lt;0.5,INT(Q481*1000/U482),INT(Q481*1000/U482)+1))</f>
        <v>6</v>
      </c>
      <c r="V483" s="7172">
        <f>IF(MOD(Q481*1000/V482,1)=0,Q481*1000/V482,IF(MOD(Q481*1000/V482,1)&lt;0.5,INT(Q481*1000/V482),INT(Q481*1000/V482)+1))</f>
        <v>5</v>
      </c>
      <c r="AF483" s="2730">
        <v>1</v>
      </c>
    </row>
    <row r="484" spans="2:32" ht="15.75">
      <c r="B484" s="6649"/>
      <c r="C484" s="1"/>
      <c r="D484" s="1"/>
      <c r="E484" s="1"/>
      <c r="F484" s="6649"/>
      <c r="G484" s="6649"/>
      <c r="H484" s="6649"/>
      <c r="I484" s="6649"/>
      <c r="J484" s="6649"/>
      <c r="K484" s="6649"/>
      <c r="L484" s="6860" t="str">
        <f>IF(ISBLANK(M484),"",LARGE(L480:L483,1)+1)</f>
        <v/>
      </c>
      <c r="M484" s="7048"/>
      <c r="N484" s="1"/>
      <c r="O484" s="1"/>
      <c r="P484" s="1"/>
      <c r="Q484" s="7173">
        <v>1</v>
      </c>
      <c r="R484" s="7163" t="str">
        <f>"◄ cellule "&amp;ADDRESS(ROW(Q484),COLUMN(Q484),4)&amp;"  vous pouvez saisir un autre poids"</f>
        <v>◄ cellule Q484  vous pouvez saisir un autre poids</v>
      </c>
      <c r="S484" s="7174"/>
      <c r="T484" s="1"/>
      <c r="U484" s="7174"/>
      <c r="V484" s="2240"/>
      <c r="AF484" s="2730">
        <v>1</v>
      </c>
    </row>
    <row r="485" spans="2:32" ht="15.75">
      <c r="B485" s="6649"/>
      <c r="C485" s="1"/>
      <c r="D485" s="1"/>
      <c r="E485" s="1"/>
      <c r="F485" s="6649"/>
      <c r="G485" s="6649"/>
      <c r="H485" s="6649"/>
      <c r="I485" s="6649"/>
      <c r="J485" s="6649"/>
      <c r="K485" s="6649"/>
      <c r="L485" s="6860" t="str">
        <f>IF(ISBLANK(M485),"",LARGE(L480:L484,1)+1)</f>
        <v/>
      </c>
      <c r="M485" s="7048"/>
      <c r="N485" s="1"/>
      <c r="O485" s="1"/>
      <c r="P485" s="1"/>
      <c r="Q485" s="7175" t="s">
        <v>15938</v>
      </c>
      <c r="R485" s="7176">
        <v>10</v>
      </c>
      <c r="S485" s="7177">
        <v>8</v>
      </c>
      <c r="T485" s="7177">
        <v>5</v>
      </c>
      <c r="U485" s="7177">
        <v>6</v>
      </c>
      <c r="V485" s="7178">
        <v>10</v>
      </c>
      <c r="AF485" s="2730">
        <v>1</v>
      </c>
    </row>
    <row r="486" spans="2:32" ht="15.75">
      <c r="B486" s="6649"/>
      <c r="C486" s="1"/>
      <c r="D486" s="1"/>
      <c r="E486" s="1"/>
      <c r="F486" s="6649"/>
      <c r="G486" s="6649"/>
      <c r="H486" s="6649"/>
      <c r="I486" s="6649"/>
      <c r="J486" s="6649"/>
      <c r="K486" s="6649"/>
      <c r="L486" s="6860" t="str">
        <f>IF(ISBLANK(M486),"",LARGE(L480:L485,1)+1)</f>
        <v/>
      </c>
      <c r="M486" s="7048"/>
      <c r="N486" s="1"/>
      <c r="O486" s="1"/>
      <c r="P486" s="1"/>
      <c r="Q486" s="7179" t="s">
        <v>15939</v>
      </c>
      <c r="R486" s="7180">
        <f>Q484/R485*1000</f>
        <v>100</v>
      </c>
      <c r="S486" s="7181">
        <f>Q484/S485*1000</f>
        <v>125</v>
      </c>
      <c r="T486" s="7181">
        <f>Q484/T485*1000</f>
        <v>200</v>
      </c>
      <c r="U486" s="7181">
        <f>Q484/U485*1000</f>
        <v>166.66666666666666</v>
      </c>
      <c r="V486" s="7182">
        <f>Q484/V485*1000</f>
        <v>100</v>
      </c>
      <c r="AF486" s="2730">
        <v>1</v>
      </c>
    </row>
    <row r="487" spans="2:32" ht="15.75">
      <c r="B487" s="6649"/>
      <c r="C487" s="1"/>
      <c r="D487" s="1"/>
      <c r="E487" s="1"/>
      <c r="F487" s="6649"/>
      <c r="G487" s="6649"/>
      <c r="H487" s="6649"/>
      <c r="I487" s="6649"/>
      <c r="J487" s="6649"/>
      <c r="K487" s="6649"/>
      <c r="L487" s="6860" t="str">
        <f>IF(ISBLANK(M487),"",LARGE(L480:L486,1)+1)</f>
        <v/>
      </c>
      <c r="M487" s="7048"/>
      <c r="N487" s="1"/>
      <c r="O487" s="1"/>
      <c r="P487" s="7183" t="s">
        <v>15940</v>
      </c>
      <c r="Q487" s="7184" t="s">
        <v>15941</v>
      </c>
      <c r="R487" s="7185"/>
      <c r="S487" s="7184" t="s">
        <v>15942</v>
      </c>
      <c r="T487" s="7184"/>
      <c r="U487" s="7186" t="s">
        <v>15943</v>
      </c>
      <c r="V487" s="7187"/>
      <c r="AF487" s="2730">
        <v>1</v>
      </c>
    </row>
    <row r="488" spans="2:32" ht="15.75">
      <c r="B488" s="6649"/>
      <c r="C488" s="1"/>
      <c r="D488" s="1"/>
      <c r="E488" s="1"/>
      <c r="F488" s="6649"/>
      <c r="G488" s="6649"/>
      <c r="H488" s="6649"/>
      <c r="I488" s="6649"/>
      <c r="J488" s="6649"/>
      <c r="K488" s="6649"/>
      <c r="L488" s="6860" t="str">
        <f>IF(ISBLANK(M488),"",LARGE(L480:L487,1)+1)</f>
        <v/>
      </c>
      <c r="M488" s="7188"/>
      <c r="N488" s="7183"/>
      <c r="O488" s="7183"/>
      <c r="P488" s="7184"/>
      <c r="Q488" s="7108"/>
      <c r="R488" s="7185"/>
      <c r="S488" s="7184" t="s">
        <v>15944</v>
      </c>
      <c r="T488" s="7184"/>
      <c r="U488" s="7184" t="s">
        <v>15945</v>
      </c>
      <c r="V488" s="7189"/>
      <c r="AF488" s="2730">
        <v>1</v>
      </c>
    </row>
    <row r="489" spans="2:32" ht="15.75">
      <c r="B489" s="6649"/>
      <c r="C489" s="1"/>
      <c r="D489" s="1"/>
      <c r="E489" s="1"/>
      <c r="F489" s="6649"/>
      <c r="G489" s="6649"/>
      <c r="H489" s="6649"/>
      <c r="I489" s="6649"/>
      <c r="J489" s="6649"/>
      <c r="K489" s="6649"/>
      <c r="L489" s="6860"/>
      <c r="M489" s="6939" t="s">
        <v>15793</v>
      </c>
      <c r="N489" s="6926"/>
      <c r="O489" s="6926"/>
      <c r="P489" s="7151"/>
      <c r="Q489" s="7151"/>
      <c r="R489" s="7151"/>
      <c r="S489" s="7151"/>
      <c r="T489" s="7151"/>
      <c r="U489" s="7151"/>
      <c r="V489" s="7190" t="s">
        <v>7099</v>
      </c>
      <c r="AF489" s="2730">
        <v>1</v>
      </c>
    </row>
    <row r="490" spans="2:32" ht="18.75">
      <c r="B490" s="6649"/>
      <c r="C490" s="1"/>
      <c r="D490" s="1"/>
      <c r="E490" s="1"/>
      <c r="F490" s="6649"/>
      <c r="G490" s="6649"/>
      <c r="H490" s="6649"/>
      <c r="I490" s="6649"/>
      <c r="J490" s="6649"/>
      <c r="K490" s="6649"/>
      <c r="L490" s="6860"/>
      <c r="M490" s="6932" t="s">
        <v>15796</v>
      </c>
      <c r="N490" s="6649"/>
      <c r="O490" s="6649"/>
      <c r="P490" s="6944"/>
      <c r="Q490" s="6944"/>
      <c r="R490" s="6944"/>
      <c r="S490" s="6944"/>
      <c r="T490" s="6944"/>
      <c r="U490" s="6944"/>
      <c r="V490" s="7088"/>
      <c r="AF490" s="2730">
        <v>1</v>
      </c>
    </row>
    <row r="491" spans="2:32" ht="15.75">
      <c r="B491" s="6649"/>
      <c r="C491" s="1"/>
      <c r="D491" s="1"/>
      <c r="E491" s="1"/>
      <c r="F491" s="6649"/>
      <c r="G491" s="6649"/>
      <c r="H491" s="6649"/>
      <c r="I491" s="6649"/>
      <c r="J491" s="6649"/>
      <c r="K491" s="6649"/>
      <c r="L491" s="6860" t="str">
        <f>IF(ISBLANK(M491),"",LARGE(L480:L490,1)+1)</f>
        <v/>
      </c>
      <c r="M491" s="7060"/>
      <c r="N491" s="6944"/>
      <c r="O491" s="6944"/>
      <c r="P491" s="6944"/>
      <c r="Q491" s="6944"/>
      <c r="R491" s="6944"/>
      <c r="S491" s="6944"/>
      <c r="T491" s="6944"/>
      <c r="U491" s="6944"/>
      <c r="V491" s="7088"/>
      <c r="AF491" s="2730">
        <v>1</v>
      </c>
    </row>
    <row r="492" spans="2:32" ht="15.75">
      <c r="B492" s="6649"/>
      <c r="C492" s="1"/>
      <c r="D492" s="1"/>
      <c r="E492" s="1"/>
      <c r="F492" s="6649"/>
      <c r="G492" s="6649"/>
      <c r="H492" s="6649"/>
      <c r="I492" s="6649"/>
      <c r="J492" s="6649"/>
      <c r="K492" s="6649"/>
      <c r="L492" s="6860" t="str">
        <f>IF(ISBLANK(M492),"",LARGE(L480:L491,1)+1)</f>
        <v/>
      </c>
      <c r="M492" s="7060"/>
      <c r="N492" s="6944"/>
      <c r="O492" s="6944"/>
      <c r="P492" s="6944"/>
      <c r="Q492" s="6944"/>
      <c r="R492" s="6944"/>
      <c r="S492" s="6944"/>
      <c r="T492" s="6944"/>
      <c r="U492" s="6944"/>
      <c r="V492" s="7088"/>
      <c r="AF492" s="2730">
        <v>1</v>
      </c>
    </row>
    <row r="493" spans="2:32" ht="15.75">
      <c r="B493" s="6649"/>
      <c r="C493" s="1"/>
      <c r="D493" s="1"/>
      <c r="E493" s="1"/>
      <c r="F493" s="6649"/>
      <c r="G493" s="6649"/>
      <c r="H493" s="6649"/>
      <c r="I493" s="6649"/>
      <c r="J493" s="6649"/>
      <c r="K493" s="6649"/>
      <c r="L493" s="6860" t="str">
        <f>IF(ISBLANK(M493),"",LARGE(L480:L492,1)+1)</f>
        <v/>
      </c>
      <c r="M493" s="7060"/>
      <c r="N493" s="6944"/>
      <c r="O493" s="6944"/>
      <c r="P493" s="6944"/>
      <c r="Q493" s="6944"/>
      <c r="R493" s="6944"/>
      <c r="S493" s="6944"/>
      <c r="T493" s="6944"/>
      <c r="U493" s="6944"/>
      <c r="V493" s="7088"/>
      <c r="AF493" s="2730">
        <v>1</v>
      </c>
    </row>
    <row r="494" spans="2:32" ht="15.75">
      <c r="B494" s="6649"/>
      <c r="C494" s="1"/>
      <c r="D494" s="1"/>
      <c r="E494" s="1"/>
      <c r="F494" s="6649"/>
      <c r="G494" s="6649"/>
      <c r="H494" s="6649"/>
      <c r="I494" s="6649"/>
      <c r="J494" s="6649"/>
      <c r="K494" s="6649"/>
      <c r="L494" s="6860" t="str">
        <f>IF(ISBLANK(M494),"",LARGE(L480:L493,1)+1)</f>
        <v/>
      </c>
      <c r="M494" s="7060"/>
      <c r="N494" s="6944"/>
      <c r="O494" s="6944"/>
      <c r="P494" s="6944"/>
      <c r="Q494" s="6944"/>
      <c r="R494" s="6944"/>
      <c r="S494" s="6944"/>
      <c r="T494" s="6944"/>
      <c r="U494" s="6944"/>
      <c r="V494" s="7088"/>
      <c r="AF494" s="2730">
        <v>1</v>
      </c>
    </row>
    <row r="495" spans="2:32" ht="15.75">
      <c r="B495" s="6649"/>
      <c r="C495" s="1"/>
      <c r="D495" s="1"/>
      <c r="E495" s="1"/>
      <c r="F495" s="6649"/>
      <c r="G495" s="6649"/>
      <c r="H495" s="6649"/>
      <c r="I495" s="6649"/>
      <c r="J495" s="6649"/>
      <c r="K495" s="6649"/>
      <c r="L495" s="6860" t="str">
        <f>IF(ISBLANK(M495),"",LARGE(L480:L494,1)+1)</f>
        <v/>
      </c>
      <c r="M495" s="7060"/>
      <c r="N495" s="6944"/>
      <c r="O495" s="6944"/>
      <c r="P495" s="6944"/>
      <c r="Q495" s="6944"/>
      <c r="R495" s="6944"/>
      <c r="S495" s="6944"/>
      <c r="T495" s="6944"/>
      <c r="U495" s="6944"/>
      <c r="V495" s="7088"/>
      <c r="AF495" s="2730">
        <v>1</v>
      </c>
    </row>
    <row r="496" spans="2:32" ht="15.75">
      <c r="B496" s="6649"/>
      <c r="C496" s="1"/>
      <c r="D496" s="1"/>
      <c r="E496" s="1"/>
      <c r="F496" s="6649"/>
      <c r="G496" s="6649"/>
      <c r="H496" s="6649"/>
      <c r="I496" s="6649"/>
      <c r="J496" s="6649"/>
      <c r="K496" s="6649"/>
      <c r="L496" s="6860" t="str">
        <f>IF(ISBLANK(M496),"",LARGE(L480:L495,1)+1)</f>
        <v/>
      </c>
      <c r="M496" s="7060"/>
      <c r="N496" s="6944"/>
      <c r="O496" s="6944"/>
      <c r="P496" s="6944"/>
      <c r="Q496" s="6944"/>
      <c r="R496" s="6944"/>
      <c r="S496" s="6944"/>
      <c r="T496" s="6944"/>
      <c r="U496" s="6944"/>
      <c r="V496" s="7088"/>
      <c r="AF496" s="2730">
        <v>1</v>
      </c>
    </row>
    <row r="497" spans="2:32" ht="15.75">
      <c r="B497" s="6649"/>
      <c r="C497" s="1"/>
      <c r="D497" s="1"/>
      <c r="E497" s="1"/>
      <c r="F497" s="6649"/>
      <c r="G497" s="6649"/>
      <c r="H497" s="6649"/>
      <c r="I497" s="6649"/>
      <c r="J497" s="6649"/>
      <c r="K497" s="6649"/>
      <c r="L497" s="6860" t="str">
        <f>IF(ISBLANK(M497),"",LARGE(L480:L496,1)+1)</f>
        <v/>
      </c>
      <c r="M497" s="7060"/>
      <c r="N497" s="6944"/>
      <c r="O497" s="6944"/>
      <c r="P497" s="6944"/>
      <c r="Q497" s="6944"/>
      <c r="R497" s="6944"/>
      <c r="S497" s="6944"/>
      <c r="T497" s="6944"/>
      <c r="U497" s="6944"/>
      <c r="V497" s="7088"/>
      <c r="AF497" s="2730">
        <v>1</v>
      </c>
    </row>
    <row r="498" spans="2:32" ht="15.75">
      <c r="B498" s="6649"/>
      <c r="C498" s="1"/>
      <c r="D498" s="1"/>
      <c r="E498" s="1"/>
      <c r="F498" s="6649"/>
      <c r="G498" s="6649"/>
      <c r="H498" s="6649"/>
      <c r="I498" s="6649"/>
      <c r="J498" s="6649"/>
      <c r="K498" s="6649"/>
      <c r="L498" s="6860" t="str">
        <f>IF(ISBLANK(M498),"",LARGE(L480:L497,1)+1)</f>
        <v/>
      </c>
      <c r="M498" s="7060"/>
      <c r="N498" s="6944"/>
      <c r="O498" s="6944"/>
      <c r="P498" s="6944"/>
      <c r="Q498" s="6944"/>
      <c r="R498" s="6944"/>
      <c r="S498" s="6944"/>
      <c r="T498" s="6944"/>
      <c r="U498" s="6944"/>
      <c r="V498" s="7088"/>
      <c r="AF498" s="2730">
        <v>1</v>
      </c>
    </row>
    <row r="499" spans="2:32" ht="15.75">
      <c r="B499" s="6649"/>
      <c r="C499" s="1"/>
      <c r="D499" s="1"/>
      <c r="E499" s="1"/>
      <c r="F499" s="6649"/>
      <c r="G499" s="6649"/>
      <c r="H499" s="6649"/>
      <c r="I499" s="6649"/>
      <c r="J499" s="6649"/>
      <c r="K499" s="6649"/>
      <c r="L499" s="6875" t="s">
        <v>15809</v>
      </c>
      <c r="M499" s="6876"/>
      <c r="N499" s="6876"/>
      <c r="O499" s="6876"/>
      <c r="P499" s="6876"/>
      <c r="Q499" s="6876"/>
      <c r="R499" s="6876"/>
      <c r="S499" s="6876"/>
      <c r="T499" s="6876"/>
      <c r="U499" s="6876"/>
      <c r="V499" s="6877" t="s">
        <v>15809</v>
      </c>
      <c r="AF499" s="2730">
        <v>1</v>
      </c>
    </row>
    <row r="500" spans="2:32" ht="15.75">
      <c r="B500" s="6649"/>
      <c r="C500" s="1"/>
      <c r="D500" s="1"/>
      <c r="E500" s="1"/>
      <c r="F500" s="6649"/>
      <c r="G500" s="6649"/>
      <c r="H500" s="6649"/>
      <c r="I500" s="6649"/>
      <c r="J500" s="6649"/>
      <c r="K500" s="6649"/>
      <c r="L500" s="6863" t="s">
        <v>15792</v>
      </c>
      <c r="M500" s="6792"/>
      <c r="N500" s="6792"/>
      <c r="O500" s="6792"/>
      <c r="P500" s="6792"/>
      <c r="Q500" s="6792"/>
      <c r="R500" s="6792"/>
      <c r="S500" s="6930"/>
      <c r="T500" s="6930"/>
      <c r="U500" s="6930"/>
      <c r="V500" s="6931" t="s">
        <v>15909</v>
      </c>
      <c r="AF500" s="2730">
        <v>1</v>
      </c>
    </row>
    <row r="501" spans="2:32" ht="18.75">
      <c r="B501" s="6649"/>
      <c r="C501" s="1"/>
      <c r="D501" s="1"/>
      <c r="E501" s="1"/>
      <c r="F501" s="6649"/>
      <c r="G501" s="6649"/>
      <c r="H501" s="6649"/>
      <c r="I501" s="6649"/>
      <c r="J501" s="6649"/>
      <c r="K501" s="6649"/>
      <c r="L501" s="6872">
        <v>0</v>
      </c>
      <c r="M501" s="7191"/>
      <c r="N501" s="7192" t="s">
        <v>15946</v>
      </c>
      <c r="O501" s="7192"/>
      <c r="P501" s="7193" t="s">
        <v>15947</v>
      </c>
      <c r="Q501" s="2309"/>
      <c r="R501" s="2309"/>
      <c r="S501" s="7194">
        <v>25</v>
      </c>
      <c r="T501" s="7194"/>
      <c r="U501" s="7195" t="str">
        <f>"&lt; ③ quantité dans 1"&amp;" "&amp;P502</f>
        <v>&lt; ③ quantité dans 1 Gastro 1/1</v>
      </c>
      <c r="V501" s="7196"/>
      <c r="AF501" s="2730">
        <v>1</v>
      </c>
    </row>
    <row r="502" spans="2:32" ht="15.75">
      <c r="B502" s="6649"/>
      <c r="C502" s="1"/>
      <c r="D502" s="1"/>
      <c r="E502" s="1"/>
      <c r="F502" s="6649"/>
      <c r="G502" s="6649"/>
      <c r="H502" s="6649"/>
      <c r="I502" s="6649"/>
      <c r="J502" s="6649"/>
      <c r="K502" s="6649"/>
      <c r="L502" s="6860" t="str">
        <f>IF(ISBLANK(M502),"",LARGE(L501:L501,1)+1)</f>
        <v/>
      </c>
      <c r="M502" s="7197"/>
      <c r="N502" s="7199" t="s">
        <v>15948</v>
      </c>
      <c r="O502" s="7199"/>
      <c r="P502" s="7200" t="s">
        <v>1838</v>
      </c>
      <c r="Q502" s="1"/>
      <c r="R502" s="1"/>
      <c r="S502" s="7201" t="s">
        <v>1790</v>
      </c>
      <c r="T502" s="7201"/>
      <c r="U502" s="7198" t="s">
        <v>15949</v>
      </c>
      <c r="V502" s="2241"/>
      <c r="AF502" s="2730">
        <v>1</v>
      </c>
    </row>
    <row r="503" spans="2:32" ht="15.75">
      <c r="B503" s="6649"/>
      <c r="C503" s="1"/>
      <c r="D503" s="1"/>
      <c r="E503" s="1"/>
      <c r="F503" s="6649"/>
      <c r="G503" s="6649"/>
      <c r="H503" s="6649"/>
      <c r="I503" s="6649"/>
      <c r="J503" s="6649"/>
      <c r="K503" s="6649"/>
      <c r="L503" s="6860" t="str">
        <f>IF(ISBLANK(M503),"",LARGE(L501:L502,1)+1)</f>
        <v/>
      </c>
      <c r="M503" s="7202"/>
      <c r="N503"/>
      <c r="O503"/>
      <c r="P503" s="7203"/>
      <c r="Q503" s="7204" t="s">
        <v>15950</v>
      </c>
      <c r="R503" s="7205">
        <v>120</v>
      </c>
      <c r="S503" s="7206">
        <v>2.7</v>
      </c>
      <c r="T503" s="7206"/>
      <c r="U503" s="7207" t="str">
        <f>"&lt; ⑥ poids par "&amp; P502</f>
        <v>&lt; ⑥ poids par Gastro 1/1</v>
      </c>
      <c r="V503" s="2241"/>
      <c r="AF503" s="2730">
        <v>1</v>
      </c>
    </row>
    <row r="504" spans="2:32" ht="15.75">
      <c r="B504" s="6649"/>
      <c r="C504" s="1"/>
      <c r="D504" s="1"/>
      <c r="E504" s="1"/>
      <c r="F504" s="6649"/>
      <c r="G504" s="6649"/>
      <c r="H504" s="6649"/>
      <c r="I504" s="6649"/>
      <c r="J504" s="6649"/>
      <c r="K504" s="6649"/>
      <c r="L504" s="6860" t="str">
        <f>IF(ISBLANK(M504),"",LARGE(L501:L503,1)+1)</f>
        <v/>
      </c>
      <c r="M504" s="7208"/>
      <c r="N504" s="7209" t="s">
        <v>15951</v>
      </c>
      <c r="O504" s="7209"/>
      <c r="P504" s="7210" t="s">
        <v>15952</v>
      </c>
      <c r="Q504" s="7211" t="s">
        <v>15953</v>
      </c>
      <c r="R504" s="7212" t="s">
        <v>15954</v>
      </c>
      <c r="S504" s="7993" t="s">
        <v>198</v>
      </c>
      <c r="T504" s="7213"/>
      <c r="U504" s="7214">
        <f>N506*N505</f>
        <v>225</v>
      </c>
      <c r="V504" s="7215" t="str">
        <f>N507</f>
        <v>escalopes</v>
      </c>
      <c r="AF504" s="2730">
        <v>1</v>
      </c>
    </row>
    <row r="505" spans="2:32" ht="18.75">
      <c r="B505" s="6649"/>
      <c r="C505" s="1"/>
      <c r="D505" s="1"/>
      <c r="E505" s="1"/>
      <c r="F505" s="6649"/>
      <c r="G505" s="6649"/>
      <c r="H505" s="6649"/>
      <c r="I505" s="6649"/>
      <c r="J505" s="6649"/>
      <c r="K505" s="6649"/>
      <c r="L505" s="6860" t="str">
        <f>IF(ISBLANK(M505),"",LARGE(L501:L504,1)+1)</f>
        <v/>
      </c>
      <c r="M505" s="7216"/>
      <c r="N505" s="7217">
        <v>450</v>
      </c>
      <c r="O505" s="7217"/>
      <c r="P505" s="7218">
        <v>1230</v>
      </c>
      <c r="Q505" s="7218">
        <v>220</v>
      </c>
      <c r="R505" s="7219">
        <v>95</v>
      </c>
      <c r="S505" s="7994"/>
      <c r="T505" s="7220"/>
      <c r="U505" s="7221"/>
      <c r="V505" s="7222">
        <f>R512</f>
        <v>54</v>
      </c>
      <c r="AF505" s="2730">
        <v>1</v>
      </c>
    </row>
    <row r="506" spans="2:32" ht="15.75">
      <c r="B506" s="6649"/>
      <c r="C506" s="1"/>
      <c r="D506" s="1"/>
      <c r="E506" s="1"/>
      <c r="F506" s="6649"/>
      <c r="G506" s="6649"/>
      <c r="H506" s="6649"/>
      <c r="I506" s="6649"/>
      <c r="J506" s="6649"/>
      <c r="K506" s="6649"/>
      <c r="L506" s="6860" t="str">
        <f>IF(ISBLANK(M506),"",LARGE(L501:L505,1)+1)</f>
        <v/>
      </c>
      <c r="M506" s="7223"/>
      <c r="N506" s="7224">
        <v>0.5</v>
      </c>
      <c r="O506" s="7224"/>
      <c r="P506" s="7225">
        <v>0.75</v>
      </c>
      <c r="Q506" s="7225">
        <v>1</v>
      </c>
      <c r="R506" s="7225">
        <v>1</v>
      </c>
      <c r="S506" s="7995" t="s">
        <v>199</v>
      </c>
      <c r="T506" s="7226"/>
      <c r="U506" s="7227">
        <f>P506*P505</f>
        <v>922.5</v>
      </c>
      <c r="V506" s="7228" t="str">
        <f>P507</f>
        <v>escalopes</v>
      </c>
      <c r="AF506" s="2730">
        <v>1</v>
      </c>
    </row>
    <row r="507" spans="2:32" ht="18.75">
      <c r="B507" s="6649"/>
      <c r="C507" s="1"/>
      <c r="D507" s="1"/>
      <c r="E507" s="1"/>
      <c r="F507" s="6649"/>
      <c r="G507" s="6649"/>
      <c r="H507" s="6649"/>
      <c r="I507" s="6649"/>
      <c r="J507" s="6649"/>
      <c r="K507" s="6649"/>
      <c r="L507" s="6860" t="str">
        <f>IF(ISBLANK(M507),"",LARGE(L501:L506,1)+1)</f>
        <v/>
      </c>
      <c r="M507" s="7229"/>
      <c r="N507" s="7230" t="str">
        <f>S502</f>
        <v>escalopes</v>
      </c>
      <c r="O507" s="7230"/>
      <c r="P507" s="7231" t="str">
        <f>S502</f>
        <v>escalopes</v>
      </c>
      <c r="Q507" s="7231" t="str">
        <f>S502</f>
        <v>escalopes</v>
      </c>
      <c r="R507" s="7231" t="str">
        <f>S502</f>
        <v>escalopes</v>
      </c>
      <c r="S507" s="7996"/>
      <c r="T507" s="7232"/>
      <c r="U507" s="7233"/>
      <c r="V507" s="7234">
        <f>R513</f>
        <v>147.6</v>
      </c>
      <c r="AF507" s="2730">
        <v>1</v>
      </c>
    </row>
    <row r="508" spans="2:32" ht="15.75">
      <c r="B508" s="6649"/>
      <c r="C508" s="1"/>
      <c r="D508" s="1"/>
      <c r="E508" s="1"/>
      <c r="F508" s="6649"/>
      <c r="G508" s="6649"/>
      <c r="H508" s="6649"/>
      <c r="I508" s="6649"/>
      <c r="J508" s="6649"/>
      <c r="K508" s="6649"/>
      <c r="L508" s="6860" t="str">
        <f>IF(ISBLANK(M508),"",LARGE(L501:L507,1)+1)</f>
        <v/>
      </c>
      <c r="M508" s="7235"/>
      <c r="N508" s="7236">
        <f>N506*N505</f>
        <v>225</v>
      </c>
      <c r="O508" s="7236"/>
      <c r="P508" s="7237">
        <f>P506*P505</f>
        <v>922.5</v>
      </c>
      <c r="Q508" s="7237">
        <f>Q506*Q505</f>
        <v>220</v>
      </c>
      <c r="R508" s="7237">
        <f>R506*R505</f>
        <v>95</v>
      </c>
      <c r="S508" s="7997" t="s">
        <v>216</v>
      </c>
      <c r="T508" s="7238"/>
      <c r="U508" s="7239">
        <f>Q506*Q505</f>
        <v>220</v>
      </c>
      <c r="V508" s="7240" t="str">
        <f>Q507</f>
        <v>escalopes</v>
      </c>
      <c r="AF508" s="2730">
        <v>1</v>
      </c>
    </row>
    <row r="509" spans="2:32" ht="18.75">
      <c r="B509" s="6649"/>
      <c r="C509" s="1"/>
      <c r="D509" s="1"/>
      <c r="E509" s="1"/>
      <c r="F509" s="6649"/>
      <c r="G509" s="6649"/>
      <c r="H509" s="6649"/>
      <c r="I509" s="6649"/>
      <c r="J509" s="6649"/>
      <c r="K509" s="6649"/>
      <c r="L509" s="6860" t="str">
        <f>IF(ISBLANK(M509),"",LARGE(L501:L508,1)+1)</f>
        <v/>
      </c>
      <c r="M509" s="7241"/>
      <c r="N509" s="7242"/>
      <c r="O509" s="7242"/>
      <c r="P509" s="7243">
        <f>IFERROR(SUM(N505:R505),0)</f>
        <v>1995</v>
      </c>
      <c r="Q509" s="7244" t="s">
        <v>15955</v>
      </c>
      <c r="R509" s="7245"/>
      <c r="S509" s="7998"/>
      <c r="T509" s="7246"/>
      <c r="U509" s="7247"/>
      <c r="V509" s="7248">
        <f>R514</f>
        <v>26.4</v>
      </c>
      <c r="AF509" s="2730">
        <v>1</v>
      </c>
    </row>
    <row r="510" spans="2:32" ht="15.75">
      <c r="B510" s="6649"/>
      <c r="C510" s="1"/>
      <c r="D510" s="1"/>
      <c r="E510" s="1"/>
      <c r="F510" s="6649"/>
      <c r="G510" s="6649"/>
      <c r="H510" s="6649"/>
      <c r="I510" s="6649"/>
      <c r="J510" s="6649"/>
      <c r="K510" s="6649"/>
      <c r="L510" s="6860" t="str">
        <f>IF(ISBLANK(M510),"",LARGE(L501:L509,1)+1)</f>
        <v/>
      </c>
      <c r="M510" s="7249"/>
      <c r="N510" s="7250">
        <f>R516</f>
        <v>239.4</v>
      </c>
      <c r="O510" s="7250"/>
      <c r="P510" s="7251">
        <f>IFERROR(SUM(U504,U506,U508,U510),0)</f>
        <v>1462.5</v>
      </c>
      <c r="Q510" s="7244" t="str">
        <f>S502</f>
        <v>escalopes</v>
      </c>
      <c r="R510" s="7252"/>
      <c r="S510" s="7999" t="s">
        <v>243</v>
      </c>
      <c r="T510" s="7253"/>
      <c r="U510" s="7254">
        <f>R506*R505</f>
        <v>95</v>
      </c>
      <c r="V510" s="7255" t="str">
        <f>R507</f>
        <v>escalopes</v>
      </c>
      <c r="AF510" s="2730">
        <v>1</v>
      </c>
    </row>
    <row r="511" spans="2:32" ht="18.75">
      <c r="B511" s="6649"/>
      <c r="C511" s="1"/>
      <c r="D511" s="1"/>
      <c r="E511" s="1"/>
      <c r="F511" s="6649"/>
      <c r="G511" s="6649"/>
      <c r="H511" s="6649"/>
      <c r="I511" s="6649"/>
      <c r="J511" s="6649"/>
      <c r="K511" s="6649"/>
      <c r="L511" s="6860" t="str">
        <f>IF(ISBLANK(M511),"",LARGE(L501:L510,1)+1)</f>
        <v/>
      </c>
      <c r="M511" s="7256"/>
      <c r="N511" s="7257" t="str">
        <f>"Saisissez ①②③④⑤⑥⑦ plus effectifs ligne "&amp;ROW(N505)&amp;" et quantité ligne " &amp; ROW(N506)</f>
        <v>Saisissez ①②③④⑤⑥⑦ plus effectifs ligne 505 et quantité ligne 506</v>
      </c>
      <c r="O511" s="7257"/>
      <c r="P511" s="6804"/>
      <c r="Q511" s="7258"/>
      <c r="R511" s="7259"/>
      <c r="S511" s="8000"/>
      <c r="T511" s="7260"/>
      <c r="U511" s="7261"/>
      <c r="V511" s="7262">
        <f>R515</f>
        <v>11.4</v>
      </c>
      <c r="AF511" s="2730">
        <v>1</v>
      </c>
    </row>
    <row r="512" spans="2:32" ht="15.75">
      <c r="B512" s="6649"/>
      <c r="C512" s="1"/>
      <c r="D512" s="1"/>
      <c r="E512" s="1"/>
      <c r="F512" s="6649"/>
      <c r="G512" s="6649"/>
      <c r="H512" s="6649"/>
      <c r="I512" s="6649"/>
      <c r="J512" s="6649"/>
      <c r="K512" s="6649"/>
      <c r="L512" s="6860" t="str">
        <f>IF(ISBLANK(M512),"",LARGE(L501:L511,1)+1)</f>
        <v/>
      </c>
      <c r="M512" s="7263"/>
      <c r="N512" s="7264" t="str">
        <f>IF(OR(S501="",N508=0),"",INT(N508/S501) &amp; " " &amp; P502 &amp; " de " &amp; S501 &amp; " " &amp; S502 &amp; IF(MOD(N508,S501)&gt;0," + 1 " &amp; P502 &amp; " de " &amp; TEXT(MOD(N508,S501),"0.00") &amp; " " &amp; S502,""))</f>
        <v>9 Gastro 1/1 de 25 escalopes</v>
      </c>
      <c r="O512" s="7264"/>
      <c r="P512" s="7264"/>
      <c r="Q512" s="7265"/>
      <c r="R512" s="7266">
        <f>(R503*N505)/1000</f>
        <v>54</v>
      </c>
      <c r="S512" s="7267" t="str">
        <f>IF(OR(R512&lt;=0,S503&lt;=0),"",_xlfn.LET(_xlpm.n,ROUND(R512/S503,9),_xlpm.q,INT(_xlpm.n),_xlpm.r,ROUND(R512-_xlpm.q*S503,9),_xlpm.base,_xlpm.q&amp;" "&amp;P502&amp;" de "&amp;TEXT(S503,"0.000")&amp;" kg",IF(_xlpm.r&lt;=0.000000001,_xlpm.base,_xlpm.base&amp;" + 1 "&amp;P502&amp;" de "&amp;TEXT(_xlpm.r,"0.000")&amp;" kg")))</f>
        <v>20 Gastro 1/1 de 2.700 kg</v>
      </c>
      <c r="T512" s="7267"/>
      <c r="U512" s="7268"/>
      <c r="V512" s="7269"/>
      <c r="AF512" s="2730">
        <v>1</v>
      </c>
    </row>
    <row r="513" spans="2:32" ht="15.75">
      <c r="B513" s="6649"/>
      <c r="C513" s="1"/>
      <c r="D513" s="1"/>
      <c r="E513" s="1"/>
      <c r="F513" s="6649"/>
      <c r="G513" s="6649"/>
      <c r="H513" s="6649"/>
      <c r="I513" s="6649"/>
      <c r="J513" s="6649"/>
      <c r="K513" s="6649"/>
      <c r="L513" s="6860" t="str">
        <f>IF(ISBLANK(M513),"",LARGE(L501:L512,1)+1)</f>
        <v/>
      </c>
      <c r="M513" s="7270"/>
      <c r="N513" s="7271" t="str">
        <f>IF(OR(S501="",P508=0),"",INT(P508/S501) &amp; " " &amp; P502 &amp; " de " &amp; S501 &amp; " " &amp; S502 &amp; IF(MOD(P508,S501)&gt;0," + 1 " &amp; P502 &amp; " de " &amp; TEXT(MOD(P508,S501),"0.00") &amp; " " &amp; S502,""))</f>
        <v>36 Gastro 1/1 de 25 escalopes + 1 Gastro 1/1 de 22.50 escalopes</v>
      </c>
      <c r="O513" s="7271"/>
      <c r="P513" s="7271"/>
      <c r="Q513" s="7272"/>
      <c r="R513" s="7273">
        <f>(R503*P505)/1000</f>
        <v>147.6</v>
      </c>
      <c r="S513" s="7274" t="str">
        <f>IF(OR(R513&lt;=0,S503&lt;=0),"",_xlfn.LET(_xlpm.n,ROUND(R513/S503,9),_xlpm.q,INT(_xlpm.n),_xlpm.r,ROUND(R513-_xlpm.q*S503,9),_xlpm.base,_xlpm.q&amp;" "&amp;P502&amp;" de "&amp;TEXT(S503,"0.000")&amp;" kg",IF(_xlpm.r&lt;=0.000000001,_xlpm.base,_xlpm.base&amp;" + 1 "&amp;P502&amp;" de "&amp;TEXT(_xlpm.r,"0.000")&amp;" kg")))</f>
        <v>54 Gastro 1/1 de 2.700 kg + 1 Gastro 1/1 de 1.800 kg</v>
      </c>
      <c r="T513" s="7274"/>
      <c r="U513" s="7275"/>
      <c r="V513" s="7276"/>
      <c r="AF513" s="2730">
        <v>1</v>
      </c>
    </row>
    <row r="514" spans="2:32" ht="15.75">
      <c r="B514" s="6649"/>
      <c r="C514" s="1"/>
      <c r="D514" s="1"/>
      <c r="E514" s="1"/>
      <c r="F514" s="6649"/>
      <c r="G514" s="6649"/>
      <c r="H514" s="6649"/>
      <c r="I514" s="6649"/>
      <c r="J514" s="6649"/>
      <c r="K514" s="6649"/>
      <c r="L514" s="6860" t="str">
        <f>IF(ISBLANK(M514),"",LARGE(L501:L513,1)+1)</f>
        <v/>
      </c>
      <c r="M514" s="7277"/>
      <c r="N514" s="7278" t="str">
        <f>IF(OR(S501="",Q508=0),"",INT(Q508/S501) &amp; " " &amp; P502 &amp; " de " &amp; S501 &amp; " " &amp; S502 &amp; IF(MOD(Q508,S501)&gt;0," + 1 " &amp; P502 &amp; " de " &amp; TEXT(MOD(Q508,S501),"0.00") &amp; " " &amp; S502,""))</f>
        <v>8 Gastro 1/1 de 25 escalopes + 1 Gastro 1/1 de 20.00 escalopes</v>
      </c>
      <c r="O514" s="7278"/>
      <c r="P514" s="7278"/>
      <c r="Q514" s="7279"/>
      <c r="R514" s="7280">
        <f>(R503*Q505)/1000</f>
        <v>26.4</v>
      </c>
      <c r="S514" s="7281" t="str">
        <f>IF(OR(R514&lt;=0,S503&lt;=0),"",_xlfn.LET(_xlpm.n,ROUND(R514/S503,9),_xlpm.q,INT(_xlpm.n),_xlpm.r,ROUND(R514-_xlpm.q*S503,9),_xlpm.base,_xlpm.q&amp;" "&amp;P502&amp;" de "&amp;TEXT(S503,"0.000")&amp;" kg",IF(_xlpm.r&lt;=0.000000001,_xlpm.base,_xlpm.base&amp;" + 1 "&amp;P502&amp;" de "&amp;TEXT(_xlpm.r,"0.000")&amp;" kg")))</f>
        <v>9 Gastro 1/1 de 2.700 kg + 1 Gastro 1/1 de 2.100 kg</v>
      </c>
      <c r="T514" s="7281"/>
      <c r="U514" s="7282"/>
      <c r="V514" s="7283"/>
      <c r="AF514" s="2730">
        <v>1</v>
      </c>
    </row>
    <row r="515" spans="2:32" ht="15.75">
      <c r="B515" s="6649"/>
      <c r="C515" s="1"/>
      <c r="D515" s="1"/>
      <c r="E515" s="1"/>
      <c r="F515" s="6649"/>
      <c r="G515" s="6649"/>
      <c r="H515" s="6649"/>
      <c r="I515" s="6649"/>
      <c r="J515" s="6649"/>
      <c r="K515" s="6649"/>
      <c r="L515" s="6860" t="str">
        <f>IF(ISBLANK(M515),"",LARGE(L501:L514,1)+1)</f>
        <v/>
      </c>
      <c r="M515" s="7284"/>
      <c r="N515" s="7285" t="str">
        <f>IF(OR(S501="",R508=0),"",INT(R508/S501) &amp; " " &amp; P502 &amp; " de " &amp; S501 &amp; " " &amp; S502 &amp; IF(MOD(R508,S501)&gt;0," + 1 " &amp; P502 &amp; " de " &amp; TEXT(MOD(R508,S501),"0.00") &amp; " " &amp; S502,""))</f>
        <v>3 Gastro 1/1 de 25 escalopes + 1 Gastro 1/1 de 20.00 escalopes</v>
      </c>
      <c r="O515" s="7285"/>
      <c r="P515" s="7285"/>
      <c r="Q515" s="7286"/>
      <c r="R515" s="7287">
        <f>(R503*R505)/1000</f>
        <v>11.4</v>
      </c>
      <c r="S515" s="7288" t="str">
        <f>IF(OR(R515&lt;=0,S503&lt;=0),"",_xlfn.LET(_xlpm.n,ROUND(R515/S503,9),_xlpm.q,INT(_xlpm.n),_xlpm.r,ROUND(R515-_xlpm.q*S503,9),_xlpm.base,_xlpm.q&amp;" "&amp;P502&amp;" de "&amp;TEXT(S503,"0.000")&amp;" kg",IF(_xlpm.r&lt;=0.000000001,_xlpm.base,_xlpm.base&amp;" + 1 "&amp;P502&amp;" de "&amp;TEXT(_xlpm.r,"0.000")&amp;" kg")))</f>
        <v>4 Gastro 1/1 de 2.700 kg + 1 Gastro 1/1 de 0.600 kg</v>
      </c>
      <c r="T515" s="7288"/>
      <c r="U515" s="7289"/>
      <c r="V515" s="7290"/>
      <c r="AF515" s="2730">
        <v>1</v>
      </c>
    </row>
    <row r="516" spans="2:32" ht="15.75">
      <c r="B516" s="6649"/>
      <c r="C516" s="1"/>
      <c r="D516" s="1"/>
      <c r="E516" s="1"/>
      <c r="F516" s="6649"/>
      <c r="G516" s="6649"/>
      <c r="H516" s="6649"/>
      <c r="I516" s="6649"/>
      <c r="J516" s="6649"/>
      <c r="K516" s="6649"/>
      <c r="L516" s="6860" t="str">
        <f>IF(ISBLANK(M516),"",LARGE(L501:L515,1)+1)</f>
        <v/>
      </c>
      <c r="M516" s="7973"/>
      <c r="N516" s="7975" t="str">
        <f>P510&amp;" "&amp;Q510&amp;" "&amp;SUM(
   IFERROR(LEFT(N512, FIND(" ", N512) - 1), 0) + IFERROR(IF(FIND("+", N512), MID(N512, FIND("+", N512) + 2, FIND(" ", N512, FIND("+", N512) + 2) - FIND("+", N512) - 2), 0), 0),
   IFERROR(LEFT(N513, FIND(" ", N513) - 1), 0) + IFERROR(IF(FIND("+", N513), MID(N513, FIND("+", N513) + 2, FIND(" ", N513, FIND("+", N513) + 2) - FIND("+", N513) - 2), 0), 0),
   IFERROR(LEFT(N514, FIND(" ", N514) - 1), 0) + IFERROR(IF(FIND("+", N514), MID(N514, FIND("+", N514) + 2, FIND(" ", N514, FIND("+", N514) + 2) - FIND("+", N514) - 2), 0), 0),
   IFERROR(LEFT(N515, FIND(" ", N515) - 1), 0) + IFERROR(IF(FIND("+", N515), MID(N515, FIND("+", N515) + 2, FIND(" ", N515, FIND("+", N515) + 2) - FIND("+", N515) - 2), 0), 0))&amp;" "&amp;P502</f>
        <v>1462.5 escalopes 59 Gastro 1/1</v>
      </c>
      <c r="O516" s="7975"/>
      <c r="P516" s="7975"/>
      <c r="Q516" s="7976"/>
      <c r="R516" s="7977">
        <f>SUM(R512:R515)</f>
        <v>239.4</v>
      </c>
      <c r="S516" s="7975" t="str">
        <f>SUM(
   IFERROR(LEFT(S512, FIND(" ", S512) - 1), 0) + IFERROR(IF(FIND("+", S512), MID(S512, FIND("+", S512) + 2, FIND(" ", S512, FIND("+", S512) + 2) - FIND("+", S512) - 2), 0), 0),
   IFERROR(LEFT(S513, FIND(" ", S513) - 1), 0) + IFERROR(IF(FIND("+", S513), MID(S513, FIND("+", S513) + 2, FIND(" ", S513, FIND("+", S513) + 2) - FIND("+", S513) - 2), 0), 0),
   IFERROR(LEFT(S514, FIND(" ", S514) - 1), 0) + IFERROR(IF(FIND("+", S514), MID(S514, FIND("+", S514) + 2, FIND(" ", S514, FIND("+", S514) + 2) - FIND("+", S514) - 2), 0), 0),
   IFERROR(LEFT(S515, FIND(" ", S515) - 1), 0) + IFERROR(IF(FIND("+", S515), MID(S515, FIND("+", S515) + 2, FIND(" ", S515, FIND("+", S515) + 2) - FIND("+", S515) - 2), 0), 0))&amp;" "&amp;P502</f>
        <v>90 Gastro 1/1</v>
      </c>
      <c r="T516" s="7975"/>
      <c r="U516" s="7975"/>
      <c r="V516" s="7979"/>
      <c r="AF516" s="2730">
        <v>1</v>
      </c>
    </row>
    <row r="517" spans="2:32" ht="15.75">
      <c r="B517" s="6649"/>
      <c r="C517" s="1"/>
      <c r="D517" s="1"/>
      <c r="E517" s="1"/>
      <c r="F517" s="6649"/>
      <c r="G517" s="6649"/>
      <c r="H517" s="6649"/>
      <c r="I517" s="6649"/>
      <c r="J517" s="6649"/>
      <c r="K517" s="6649"/>
      <c r="L517" s="6860" t="str">
        <f>IF(ISBLANK(M517),"",LARGE(L501:L516,1)+1)</f>
        <v/>
      </c>
      <c r="M517" s="7974"/>
      <c r="N517" s="7975"/>
      <c r="O517" s="7975"/>
      <c r="P517" s="7975"/>
      <c r="Q517" s="7976"/>
      <c r="R517" s="7978"/>
      <c r="S517" s="7980"/>
      <c r="T517" s="7980"/>
      <c r="U517" s="7980"/>
      <c r="V517" s="7981"/>
      <c r="AF517" s="2730">
        <v>1</v>
      </c>
    </row>
    <row r="518" spans="2:32" ht="15.75">
      <c r="B518"/>
      <c r="C518"/>
      <c r="D518"/>
      <c r="E518"/>
      <c r="F518"/>
      <c r="G518"/>
      <c r="H518"/>
      <c r="I518"/>
      <c r="J518"/>
      <c r="K518"/>
      <c r="L518" s="6860"/>
      <c r="M518" s="6939" t="s">
        <v>15793</v>
      </c>
      <c r="N518" s="6926"/>
      <c r="O518" s="6926"/>
      <c r="P518" s="7151"/>
      <c r="Q518" s="7151"/>
      <c r="R518" s="7151"/>
      <c r="S518" s="7151"/>
      <c r="T518" s="7151"/>
      <c r="U518" s="7151"/>
      <c r="V518" s="7190" t="s">
        <v>7099</v>
      </c>
      <c r="AF518" s="2730">
        <v>1</v>
      </c>
    </row>
    <row r="519" spans="2:32" ht="18.75">
      <c r="B519"/>
      <c r="C519"/>
      <c r="D519"/>
      <c r="E519"/>
      <c r="F519"/>
      <c r="G519"/>
      <c r="H519"/>
      <c r="I519"/>
      <c r="J519"/>
      <c r="K519"/>
      <c r="L519" s="6860"/>
      <c r="M519" s="6932" t="s">
        <v>15796</v>
      </c>
      <c r="N519" s="6649"/>
      <c r="O519" s="6649"/>
      <c r="P519" s="6944"/>
      <c r="Q519" s="6944"/>
      <c r="R519" s="6944"/>
      <c r="S519" s="6944"/>
      <c r="T519" s="6944"/>
      <c r="U519" s="6944"/>
      <c r="V519" s="7088"/>
      <c r="AF519" s="2730">
        <v>1</v>
      </c>
    </row>
    <row r="520" spans="2:32" ht="15.75">
      <c r="B520"/>
      <c r="C520"/>
      <c r="D520"/>
      <c r="E520"/>
      <c r="F520"/>
      <c r="G520"/>
      <c r="H520"/>
      <c r="I520"/>
      <c r="J520"/>
      <c r="K520"/>
      <c r="L520" s="6875" t="s">
        <v>15809</v>
      </c>
      <c r="M520" s="6876"/>
      <c r="N520" s="6876"/>
      <c r="O520" s="6876"/>
      <c r="P520" s="6876"/>
      <c r="Q520" s="6876"/>
      <c r="R520" s="6876"/>
      <c r="S520" s="6876"/>
      <c r="T520" s="6876"/>
      <c r="U520" s="6876"/>
      <c r="V520" s="6877" t="s">
        <v>15809</v>
      </c>
      <c r="AF520" s="3191" t="s">
        <v>7037</v>
      </c>
    </row>
    <row r="521" spans="2:32">
      <c r="B521" s="2730">
        <v>1</v>
      </c>
      <c r="C521" s="2730">
        <v>1</v>
      </c>
      <c r="D521" s="2730">
        <v>1</v>
      </c>
      <c r="E521" s="2730">
        <v>1</v>
      </c>
      <c r="F521" s="2730">
        <v>1</v>
      </c>
      <c r="G521" s="2730">
        <v>1</v>
      </c>
      <c r="H521" s="2730">
        <v>1</v>
      </c>
      <c r="I521" s="2730">
        <v>1</v>
      </c>
      <c r="J521" s="2730">
        <v>1</v>
      </c>
      <c r="K521" s="2730">
        <v>1</v>
      </c>
      <c r="L521" s="2730">
        <v>1</v>
      </c>
      <c r="M521" s="2730">
        <v>1</v>
      </c>
      <c r="N521" s="2730">
        <v>1</v>
      </c>
      <c r="O521" s="2730"/>
      <c r="P521" s="2730">
        <v>1</v>
      </c>
      <c r="Q521" s="2730">
        <v>1</v>
      </c>
      <c r="R521" s="2730">
        <v>1</v>
      </c>
      <c r="S521" s="2730">
        <v>1</v>
      </c>
      <c r="T521" s="2730">
        <v>1</v>
      </c>
      <c r="U521" s="2730">
        <v>1</v>
      </c>
      <c r="V521" s="2730">
        <v>1</v>
      </c>
      <c r="W521" s="2730">
        <v>1</v>
      </c>
      <c r="X521" s="2730">
        <v>1</v>
      </c>
      <c r="Y521" s="2730">
        <v>1</v>
      </c>
      <c r="Z521" s="2730">
        <v>1</v>
      </c>
      <c r="AA521" s="2730">
        <v>1</v>
      </c>
      <c r="AB521" s="2730">
        <v>1</v>
      </c>
      <c r="AC521" s="2730">
        <v>1</v>
      </c>
      <c r="AD521" s="2730">
        <v>1</v>
      </c>
      <c r="AE521" s="2730">
        <v>1</v>
      </c>
      <c r="AF521" s="2732" t="str">
        <f>ADDRESS(ROW(),COLUMN(),4)</f>
        <v>AF521</v>
      </c>
    </row>
  </sheetData>
  <mergeCells count="110">
    <mergeCell ref="W1:W2"/>
    <mergeCell ref="P5:V6"/>
    <mergeCell ref="J8:S9"/>
    <mergeCell ref="T8:U9"/>
    <mergeCell ref="V8:V9"/>
    <mergeCell ref="K11:R12"/>
    <mergeCell ref="I13:J13"/>
    <mergeCell ref="I14:K14"/>
    <mergeCell ref="J16:J17"/>
    <mergeCell ref="K16:K17"/>
    <mergeCell ref="Y217:AD217"/>
    <mergeCell ref="X224:AD226"/>
    <mergeCell ref="X229:X235"/>
    <mergeCell ref="AB111:AD113"/>
    <mergeCell ref="Y119:AA120"/>
    <mergeCell ref="AB119:AB120"/>
    <mergeCell ref="K84:R85"/>
    <mergeCell ref="V16:V17"/>
    <mergeCell ref="P66:T66"/>
    <mergeCell ref="P68:T68"/>
    <mergeCell ref="P70:T70"/>
    <mergeCell ref="P72:T72"/>
    <mergeCell ref="J81:S82"/>
    <mergeCell ref="T81:U82"/>
    <mergeCell ref="V81:V82"/>
    <mergeCell ref="L16:L17"/>
    <mergeCell ref="M16:M17"/>
    <mergeCell ref="R16:R17"/>
    <mergeCell ref="S16:S17"/>
    <mergeCell ref="T16:T17"/>
    <mergeCell ref="U16:U17"/>
    <mergeCell ref="R89:R90"/>
    <mergeCell ref="S89:S90"/>
    <mergeCell ref="T89:T90"/>
    <mergeCell ref="U89:U90"/>
    <mergeCell ref="V89:V90"/>
    <mergeCell ref="J141:S142"/>
    <mergeCell ref="T141:U142"/>
    <mergeCell ref="V141:V142"/>
    <mergeCell ref="I86:J86"/>
    <mergeCell ref="I87:K87"/>
    <mergeCell ref="J89:J90"/>
    <mergeCell ref="K89:K90"/>
    <mergeCell ref="L89:L90"/>
    <mergeCell ref="M89:M90"/>
    <mergeCell ref="S149:S150"/>
    <mergeCell ref="T149:T150"/>
    <mergeCell ref="U149:U150"/>
    <mergeCell ref="V149:V150"/>
    <mergeCell ref="R239:V240"/>
    <mergeCell ref="R243:V244"/>
    <mergeCell ref="K144:R145"/>
    <mergeCell ref="I146:J146"/>
    <mergeCell ref="I147:K147"/>
    <mergeCell ref="J149:J150"/>
    <mergeCell ref="K149:K150"/>
    <mergeCell ref="L149:L150"/>
    <mergeCell ref="M149:M150"/>
    <mergeCell ref="R149:R150"/>
    <mergeCell ref="M516:M517"/>
    <mergeCell ref="N516:Q517"/>
    <mergeCell ref="R516:R517"/>
    <mergeCell ref="S516:V517"/>
    <mergeCell ref="X8:AD10"/>
    <mergeCell ref="AD51:AD53"/>
    <mergeCell ref="Y53:AB54"/>
    <mergeCell ref="Y62:Y67"/>
    <mergeCell ref="X77:X80"/>
    <mergeCell ref="Y77:AD78"/>
    <mergeCell ref="N419:N420"/>
    <mergeCell ref="U420:V421"/>
    <mergeCell ref="S504:S505"/>
    <mergeCell ref="S506:S507"/>
    <mergeCell ref="S508:S509"/>
    <mergeCell ref="S510:S511"/>
    <mergeCell ref="N271:V273"/>
    <mergeCell ref="N276:V279"/>
    <mergeCell ref="M354:M355"/>
    <mergeCell ref="N354:N355"/>
    <mergeCell ref="Q354:Q355"/>
    <mergeCell ref="R354:R355"/>
    <mergeCell ref="S354:S355"/>
    <mergeCell ref="T354:T355"/>
    <mergeCell ref="AC119:AD120"/>
    <mergeCell ref="AA130:AA131"/>
    <mergeCell ref="AB130:AB131"/>
    <mergeCell ref="Y144:Z144"/>
    <mergeCell ref="AA144:AB144"/>
    <mergeCell ref="X159:X166"/>
    <mergeCell ref="AA98:AA99"/>
    <mergeCell ref="AB98:AB99"/>
    <mergeCell ref="AC98:AC99"/>
    <mergeCell ref="Z103:Z104"/>
    <mergeCell ref="AA103:AA104"/>
    <mergeCell ref="AB103:AB104"/>
    <mergeCell ref="AC103:AC104"/>
    <mergeCell ref="Y310:AB311"/>
    <mergeCell ref="Y314:AB315"/>
    <mergeCell ref="Y364:Y375"/>
    <mergeCell ref="Z367:AA368"/>
    <mergeCell ref="X238:AD239"/>
    <mergeCell ref="AA247:AA248"/>
    <mergeCell ref="Y272:Y279"/>
    <mergeCell ref="Z272:Z278"/>
    <mergeCell ref="AA272:AA278"/>
    <mergeCell ref="AB272:AB279"/>
    <mergeCell ref="Y304:AB304"/>
    <mergeCell ref="AA306:AB306"/>
    <mergeCell ref="Y307:Z307"/>
    <mergeCell ref="X282:AD283"/>
  </mergeCells>
  <conditionalFormatting sqref="L18:L32 L91:L105">
    <cfRule type="cellIs" dxfId="44" priority="20" operator="notEqual">
      <formula>1</formula>
    </cfRule>
  </conditionalFormatting>
  <conditionalFormatting sqref="L151:L162">
    <cfRule type="cellIs" dxfId="43" priority="19" operator="notEqual">
      <formula>1</formula>
    </cfRule>
  </conditionalFormatting>
  <conditionalFormatting sqref="O18:O32">
    <cfRule type="expression" dxfId="42" priority="13">
      <formula>LEFT(O18,1)="⚠"</formula>
    </cfRule>
    <cfRule type="expression" dxfId="41" priority="14">
      <formula>LEFT(O18,4)="info"</formula>
    </cfRule>
    <cfRule type="expression" dxfId="40" priority="15">
      <formula>LEFT(O18,1)="⚠"</formula>
    </cfRule>
    <cfRule type="expression" dxfId="39" priority="16">
      <formula>LEFT(O18,4)="info"</formula>
    </cfRule>
  </conditionalFormatting>
  <conditionalFormatting sqref="O91:O92">
    <cfRule type="expression" dxfId="38" priority="5">
      <formula>LEFT(O91,1)="⚠"</formula>
    </cfRule>
    <cfRule type="expression" dxfId="37" priority="6">
      <formula>LEFT(O91,4)="info"</formula>
    </cfRule>
  </conditionalFormatting>
  <conditionalFormatting sqref="O91:O105">
    <cfRule type="expression" dxfId="36" priority="7">
      <formula>LEFT(O91,1)="⚠"</formula>
    </cfRule>
    <cfRule type="expression" dxfId="35" priority="8">
      <formula>LEFT(O91,4)="info"</formula>
    </cfRule>
  </conditionalFormatting>
  <conditionalFormatting sqref="O93:O105">
    <cfRule type="expression" dxfId="34" priority="11">
      <formula>LEFT(O93,1)="⚠"</formula>
    </cfRule>
    <cfRule type="expression" dxfId="33" priority="12">
      <formula>LEFT(O93,4)="info"</formula>
    </cfRule>
  </conditionalFormatting>
  <conditionalFormatting sqref="O151:O162">
    <cfRule type="expression" dxfId="32" priority="1">
      <formula>LEFT(O151,1)="⚠"</formula>
    </cfRule>
    <cfRule type="expression" dxfId="31" priority="2">
      <formula>LEFT(O151,4)="info"</formula>
    </cfRule>
    <cfRule type="expression" dxfId="30" priority="3">
      <formula>LEFT(O151,1)="⚠"</formula>
    </cfRule>
    <cfRule type="expression" dxfId="29" priority="4">
      <formula>LEFT(O151,4)="info"</formula>
    </cfRule>
  </conditionalFormatting>
  <conditionalFormatting sqref="Y159:Y160">
    <cfRule type="cellIs" dxfId="28" priority="18" operator="notEqual">
      <formula>1</formula>
    </cfRule>
  </conditionalFormatting>
  <conditionalFormatting sqref="AC100:AC101">
    <cfRule type="cellIs" dxfId="27" priority="17" operator="notEqual">
      <formula>1</formula>
    </cfRule>
  </conditionalFormatting>
  <hyperlinks>
    <hyperlink ref="M77" r:id="rId1" xr:uid="{82B983EE-1EAE-4C15-BEAF-31AD9B25A582}"/>
    <hyperlink ref="P66" r:id="rId2" xr:uid="{1B992214-FA58-4618-B747-5E71EE1C4869}"/>
    <hyperlink ref="P68" r:id="rId3" xr:uid="{DDB55C47-98D8-40E5-AAC1-6A6EB3505480}"/>
    <hyperlink ref="P70" r:id="rId4" xr:uid="{6A27BE30-3F74-4429-BA23-8178B668EB07}"/>
    <hyperlink ref="P72" r:id="rId5" xr:uid="{781541C2-4096-4D27-9C31-2158F387F357}"/>
    <hyperlink ref="M201" r:id="rId6" xr:uid="{AFFFA5F8-0383-45B4-86C6-94A4CA23FBBB}"/>
    <hyperlink ref="P195" r:id="rId7" xr:uid="{B526F85A-DFB8-4B0A-9654-AE692E8A5FD3}"/>
    <hyperlink ref="P196:R196" r:id="rId8" display="Visuellement, ça représente quoi 100 calories ?" xr:uid="{A77C807C-CA79-4FE5-9E53-F566800E3F8F}"/>
    <hyperlink ref="AB280" r:id="rId9" xr:uid="{2B566D7B-05AE-4A89-B588-A571C5194C44}"/>
    <hyperlink ref="Y379" r:id="rId10" xr:uid="{B5A7FE0D-C509-4A6A-BF3C-EABE4F146829}"/>
  </hyperlinks>
  <pageMargins left="0.7" right="0.7" top="0.75" bottom="0.75" header="0.3" footer="0.3"/>
  <drawing r:id="rId1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8576D-DC10-4EFA-BD3F-F6EB8153C5C7}">
  <dimension ref="B2:L39"/>
  <sheetViews>
    <sheetView showGridLines="0" workbookViewId="0">
      <selection activeCell="C6" sqref="C6:C17"/>
    </sheetView>
  </sheetViews>
  <sheetFormatPr baseColWidth="10" defaultColWidth="13" defaultRowHeight="17.45" customHeight="1"/>
  <cols>
    <col min="1" max="1" width="6.85546875" style="1610" customWidth="1"/>
    <col min="2" max="2" width="36.28515625" style="1610" customWidth="1"/>
    <col min="3" max="3" width="17" style="1610" customWidth="1"/>
    <col min="4" max="9" width="17.5703125" style="1610" customWidth="1"/>
    <col min="10" max="16384" width="13" style="1610"/>
  </cols>
  <sheetData>
    <row r="2" spans="2:12" s="1599" customFormat="1" ht="19.899999999999999" customHeight="1">
      <c r="B2" s="1597" t="s">
        <v>2391</v>
      </c>
      <c r="C2" s="1597"/>
      <c r="D2" s="1598"/>
      <c r="E2" s="1597" t="s">
        <v>2392</v>
      </c>
      <c r="G2" s="1600"/>
      <c r="H2" s="1600" t="s">
        <v>2393</v>
      </c>
      <c r="I2" s="1601"/>
      <c r="J2" s="1602"/>
      <c r="K2" s="1603"/>
      <c r="L2" s="1600"/>
    </row>
    <row r="3" spans="2:12" s="1605" customFormat="1" ht="17.45" customHeight="1">
      <c r="B3" s="1604" t="s">
        <v>2394</v>
      </c>
      <c r="C3" s="1604"/>
    </row>
    <row r="4" spans="2:12" s="1607" customFormat="1" ht="17.45" customHeight="1">
      <c r="B4" s="1606"/>
      <c r="C4" s="1606"/>
      <c r="G4" s="1608" t="s">
        <v>2395</v>
      </c>
    </row>
    <row r="5" spans="2:12" ht="17.45" customHeight="1">
      <c r="B5" s="1609"/>
      <c r="C5" s="1609"/>
      <c r="D5" s="1609"/>
      <c r="E5" s="1609"/>
      <c r="G5" s="1611">
        <v>60</v>
      </c>
      <c r="H5" s="1612"/>
      <c r="I5" s="1613"/>
      <c r="J5" s="1614"/>
      <c r="K5" s="1614"/>
      <c r="L5" s="1614"/>
    </row>
    <row r="6" spans="2:12" ht="17.45" customHeight="1">
      <c r="B6" s="7716" t="s">
        <v>1253</v>
      </c>
      <c r="C6" s="7715" t="s">
        <v>16246</v>
      </c>
      <c r="D6" s="1616" t="s">
        <v>2396</v>
      </c>
      <c r="E6" s="1617" t="s">
        <v>2397</v>
      </c>
      <c r="F6" s="1618" t="s">
        <v>19</v>
      </c>
      <c r="G6" s="1619" t="s">
        <v>2398</v>
      </c>
      <c r="H6" s="1616" t="s">
        <v>2399</v>
      </c>
      <c r="I6" s="1616" t="s">
        <v>1254</v>
      </c>
      <c r="K6" s="1609"/>
      <c r="L6" s="1609"/>
    </row>
    <row r="7" spans="2:12" ht="17.45" customHeight="1">
      <c r="B7" s="7717" t="s">
        <v>1255</v>
      </c>
      <c r="C7" s="7719" t="s">
        <v>10486</v>
      </c>
      <c r="D7" s="1621">
        <v>32</v>
      </c>
      <c r="E7" s="1622">
        <f>D7/D17*1000</f>
        <v>308.59732870437341</v>
      </c>
      <c r="F7" s="1623">
        <f>D7/D17</f>
        <v>0.3085973287043734</v>
      </c>
      <c r="G7" s="1624">
        <f>F7*G5</f>
        <v>18.515839722262402</v>
      </c>
      <c r="H7" s="1625">
        <v>0</v>
      </c>
      <c r="I7" s="1626">
        <f>G7*H7</f>
        <v>0</v>
      </c>
      <c r="J7" s="1627"/>
      <c r="K7" s="1609"/>
      <c r="L7" s="1609"/>
    </row>
    <row r="8" spans="2:12" ht="17.45" customHeight="1">
      <c r="B8" s="7717" t="s">
        <v>1256</v>
      </c>
      <c r="C8" s="7719" t="s">
        <v>10486</v>
      </c>
      <c r="D8" s="1621">
        <v>16</v>
      </c>
      <c r="E8" s="1622">
        <f>D8/D17*1000</f>
        <v>154.29866435218671</v>
      </c>
      <c r="F8" s="1628">
        <f>D8/D17</f>
        <v>0.1542986643521867</v>
      </c>
      <c r="G8" s="1624">
        <f>F8*G5</f>
        <v>9.2579198611312012</v>
      </c>
      <c r="H8" s="1625">
        <v>0</v>
      </c>
      <c r="I8" s="1626">
        <f t="shared" ref="I8:I16" si="0">G8*H8</f>
        <v>0</v>
      </c>
      <c r="K8" s="1609"/>
      <c r="L8" s="1609"/>
    </row>
    <row r="9" spans="2:12" ht="17.45" customHeight="1">
      <c r="B9" s="1629" t="s">
        <v>1257</v>
      </c>
      <c r="C9" s="7720" t="s">
        <v>10486</v>
      </c>
      <c r="D9" s="1621">
        <v>16</v>
      </c>
      <c r="E9" s="1622">
        <f>D9/D17*1000</f>
        <v>154.29866435218671</v>
      </c>
      <c r="F9" s="1628">
        <f>D9/D17</f>
        <v>0.1542986643521867</v>
      </c>
      <c r="G9" s="1624">
        <f>F9*G5</f>
        <v>9.2579198611312012</v>
      </c>
      <c r="H9" s="1625">
        <v>0</v>
      </c>
      <c r="I9" s="1626">
        <f t="shared" si="0"/>
        <v>0</v>
      </c>
      <c r="K9" s="1609"/>
      <c r="L9" s="1609"/>
    </row>
    <row r="10" spans="2:12" ht="17.45" customHeight="1">
      <c r="B10" s="7717" t="s">
        <v>17871</v>
      </c>
      <c r="C10" s="7719" t="s">
        <v>17874</v>
      </c>
      <c r="D10" s="1621">
        <v>30</v>
      </c>
      <c r="E10" s="1622">
        <f>D10/D17*1000</f>
        <v>289.30999566035001</v>
      </c>
      <c r="F10" s="1628">
        <f>D10/D17</f>
        <v>0.28930999566035004</v>
      </c>
      <c r="G10" s="1624">
        <f>F10*G5</f>
        <v>17.358599739621003</v>
      </c>
      <c r="H10" s="1625">
        <v>0</v>
      </c>
      <c r="I10" s="1626">
        <f t="shared" si="0"/>
        <v>0</v>
      </c>
      <c r="K10" s="1609"/>
      <c r="L10" s="1609"/>
    </row>
    <row r="11" spans="2:12" ht="17.45" customHeight="1">
      <c r="B11" s="7717" t="s">
        <v>17872</v>
      </c>
      <c r="C11" s="7719" t="s">
        <v>17875</v>
      </c>
      <c r="D11" s="1621">
        <v>6</v>
      </c>
      <c r="E11" s="1622">
        <f>D11/D17*1000</f>
        <v>57.861999132070011</v>
      </c>
      <c r="F11" s="1628">
        <f>D11/D17</f>
        <v>5.7861999132070012E-2</v>
      </c>
      <c r="G11" s="1624">
        <f>F11*G5</f>
        <v>3.4717199479242007</v>
      </c>
      <c r="H11" s="1625">
        <v>0</v>
      </c>
      <c r="I11" s="1626">
        <f t="shared" si="0"/>
        <v>0</v>
      </c>
      <c r="K11" s="1609"/>
      <c r="L11" s="1609"/>
    </row>
    <row r="12" spans="2:12" ht="17.45" customHeight="1">
      <c r="B12" s="7717" t="s">
        <v>1259</v>
      </c>
      <c r="C12" s="7719" t="s">
        <v>10486</v>
      </c>
      <c r="D12" s="1621">
        <v>1.65</v>
      </c>
      <c r="E12" s="1622">
        <f>D12/D17*1000</f>
        <v>15.912049761319251</v>
      </c>
      <c r="F12" s="1628">
        <f>D12/D17</f>
        <v>1.5912049761319252E-2</v>
      </c>
      <c r="G12" s="1624">
        <f>F12*G5</f>
        <v>0.95472298567915515</v>
      </c>
      <c r="H12" s="1625">
        <v>0</v>
      </c>
      <c r="I12" s="1626">
        <f t="shared" si="0"/>
        <v>0</v>
      </c>
      <c r="K12" s="1609"/>
      <c r="L12" s="1609"/>
    </row>
    <row r="13" spans="2:12" ht="17.45" customHeight="1">
      <c r="B13" s="7717" t="s">
        <v>1260</v>
      </c>
      <c r="C13" s="7719" t="s">
        <v>10486</v>
      </c>
      <c r="D13" s="1621">
        <v>0.12</v>
      </c>
      <c r="E13" s="1622">
        <f>D13/D17*1000</f>
        <v>1.1572399826414002</v>
      </c>
      <c r="F13" s="1628">
        <f>D13/D17</f>
        <v>1.1572399826414001E-3</v>
      </c>
      <c r="G13" s="1624">
        <f>F13*G5</f>
        <v>6.9434398958484009E-2</v>
      </c>
      <c r="H13" s="1625">
        <v>0</v>
      </c>
      <c r="I13" s="1626">
        <f t="shared" si="0"/>
        <v>0</v>
      </c>
      <c r="K13" s="1609"/>
      <c r="L13" s="1609"/>
    </row>
    <row r="14" spans="2:12" ht="17.45" customHeight="1">
      <c r="B14" s="7717" t="s">
        <v>1261</v>
      </c>
      <c r="C14" s="7719" t="s">
        <v>10486</v>
      </c>
      <c r="D14" s="1621">
        <v>0.1</v>
      </c>
      <c r="E14" s="1622">
        <f>D14/D17*1000</f>
        <v>0.96436665220116691</v>
      </c>
      <c r="F14" s="1628">
        <f>D14/D17</f>
        <v>9.6436665220116691E-4</v>
      </c>
      <c r="G14" s="1624">
        <f>F14*G5</f>
        <v>5.7861999132070012E-2</v>
      </c>
      <c r="H14" s="1625">
        <v>0</v>
      </c>
      <c r="I14" s="1626">
        <f t="shared" si="0"/>
        <v>0</v>
      </c>
      <c r="K14" s="1609"/>
      <c r="L14" s="1609"/>
    </row>
    <row r="15" spans="2:12" ht="17.45" customHeight="1">
      <c r="B15" s="7717" t="s">
        <v>2400</v>
      </c>
      <c r="C15" s="7719" t="s">
        <v>17879</v>
      </c>
      <c r="D15" s="1621">
        <v>1.8</v>
      </c>
      <c r="E15" s="1622">
        <f>D15/D17*1000</f>
        <v>17.358599739621003</v>
      </c>
      <c r="F15" s="1628">
        <f>D15/D17</f>
        <v>1.7358599739621002E-2</v>
      </c>
      <c r="G15" s="1624">
        <f>F15*G5</f>
        <v>1.0415159843772601</v>
      </c>
      <c r="H15" s="1625">
        <v>0</v>
      </c>
      <c r="I15" s="1626">
        <f t="shared" si="0"/>
        <v>0</v>
      </c>
    </row>
    <row r="16" spans="2:12" ht="17.45" customHeight="1">
      <c r="B16" s="7717" t="s">
        <v>17873</v>
      </c>
      <c r="C16" s="7719" t="s">
        <v>10486</v>
      </c>
      <c r="D16" s="1621">
        <v>2.5000000000000001E-2</v>
      </c>
      <c r="E16" s="1622">
        <f>D16/D17*1000</f>
        <v>0.24109166305029173</v>
      </c>
      <c r="F16" s="1628">
        <f>D16/D17</f>
        <v>2.4109166305029173E-4</v>
      </c>
      <c r="G16" s="1624">
        <f>F16*G5</f>
        <v>1.4465499783017503E-2</v>
      </c>
      <c r="H16" s="1625">
        <v>0</v>
      </c>
      <c r="I16" s="1626">
        <f t="shared" si="0"/>
        <v>0</v>
      </c>
    </row>
    <row r="17" spans="2:12" ht="17.45" customHeight="1">
      <c r="B17" s="7718" t="s">
        <v>20</v>
      </c>
      <c r="C17" s="7721"/>
      <c r="D17" s="1631">
        <f>SUM(D7:D16)</f>
        <v>103.69500000000001</v>
      </c>
      <c r="E17" s="1632">
        <f>SUM(E7:E16)</f>
        <v>999.99999999999989</v>
      </c>
      <c r="F17" s="1628">
        <f>SUM(F7:F16)</f>
        <v>0.99999999999999978</v>
      </c>
      <c r="G17" s="1633">
        <f>SUM(G7:G16)</f>
        <v>60</v>
      </c>
      <c r="H17" s="1626">
        <f>I17/G17</f>
        <v>0</v>
      </c>
      <c r="I17" s="1626">
        <f>SUM(I7:I16)</f>
        <v>0</v>
      </c>
      <c r="K17" s="1609"/>
      <c r="L17" s="1609"/>
    </row>
    <row r="18" spans="2:12" ht="17.45" customHeight="1">
      <c r="B18" s="1634"/>
      <c r="C18" s="1634"/>
      <c r="D18" s="1635"/>
      <c r="E18" s="1635"/>
      <c r="F18" s="1634"/>
      <c r="G18" s="1636"/>
      <c r="H18" s="1636"/>
      <c r="I18" s="1636"/>
      <c r="J18" s="1637"/>
      <c r="K18" s="1609"/>
      <c r="L18" s="1609"/>
    </row>
    <row r="19" spans="2:12" ht="17.45" customHeight="1">
      <c r="B19" s="1638" t="s">
        <v>2401</v>
      </c>
      <c r="C19" s="1638"/>
      <c r="D19" s="1609"/>
      <c r="E19" s="1639"/>
      <c r="I19" s="1639"/>
      <c r="J19" s="1637"/>
      <c r="K19" s="1609"/>
      <c r="L19" s="1609"/>
    </row>
    <row r="20" spans="2:12" ht="17.45" customHeight="1">
      <c r="B20" s="1610" t="s">
        <v>2402</v>
      </c>
      <c r="D20" s="1640"/>
      <c r="E20" s="1640"/>
      <c r="I20" s="1639"/>
      <c r="J20" s="1637"/>
      <c r="K20" s="1609"/>
      <c r="L20" s="1609"/>
    </row>
    <row r="21" spans="2:12" ht="17.45" customHeight="1">
      <c r="B21" s="1610" t="s">
        <v>2403</v>
      </c>
      <c r="D21" s="1640"/>
      <c r="E21" s="1640"/>
      <c r="I21" s="1639"/>
      <c r="J21" s="1637"/>
      <c r="K21" s="1609"/>
      <c r="L21" s="1609"/>
    </row>
    <row r="22" spans="2:12" ht="17.45" customHeight="1">
      <c r="B22" s="1641" t="s">
        <v>2404</v>
      </c>
      <c r="C22" s="1641"/>
      <c r="D22" s="1642"/>
      <c r="E22" s="1642"/>
      <c r="F22" s="1643"/>
      <c r="G22" s="1644"/>
      <c r="H22" s="1644"/>
      <c r="I22" s="1645"/>
      <c r="J22" s="1645"/>
      <c r="K22" s="1609"/>
      <c r="L22" s="1609"/>
    </row>
    <row r="23" spans="2:12" ht="17.45" customHeight="1">
      <c r="B23" s="1610" t="s">
        <v>2405</v>
      </c>
      <c r="D23" s="1609"/>
      <c r="J23" s="1609"/>
      <c r="K23" s="1609"/>
      <c r="L23" s="1609"/>
    </row>
    <row r="24" spans="2:12" ht="17.45" customHeight="1">
      <c r="B24" s="1610" t="s">
        <v>2406</v>
      </c>
      <c r="D24" s="1646"/>
      <c r="J24" s="1609"/>
      <c r="K24" s="1609"/>
      <c r="L24" s="1609"/>
    </row>
    <row r="25" spans="2:12" ht="17.45" customHeight="1">
      <c r="B25" s="1647" t="s">
        <v>2407</v>
      </c>
      <c r="C25" s="1647"/>
      <c r="D25" s="1609"/>
      <c r="E25" s="1609"/>
      <c r="F25" s="1609"/>
      <c r="G25" s="1614"/>
      <c r="H25" s="1614"/>
      <c r="I25" s="1638" t="s">
        <v>2408</v>
      </c>
      <c r="J25" s="1609"/>
      <c r="K25" s="1609"/>
      <c r="L25" s="1609"/>
    </row>
    <row r="26" spans="2:12" ht="17.45" customHeight="1">
      <c r="B26" s="1647" t="s">
        <v>2409</v>
      </c>
      <c r="C26" s="1647"/>
      <c r="D26" s="1648" t="s">
        <v>2410</v>
      </c>
      <c r="E26" s="1648" t="s">
        <v>2411</v>
      </c>
      <c r="F26" s="1649"/>
      <c r="G26" s="1609"/>
      <c r="H26" s="1609"/>
      <c r="J26" s="1609"/>
      <c r="K26" s="1609"/>
      <c r="L26" s="1609"/>
    </row>
    <row r="27" spans="2:12" ht="17.45" customHeight="1">
      <c r="B27" s="1650"/>
      <c r="C27" s="1650"/>
      <c r="D27" s="1648" t="s">
        <v>2412</v>
      </c>
      <c r="E27" s="1648" t="s">
        <v>2413</v>
      </c>
      <c r="F27" s="1649"/>
      <c r="G27" s="1609"/>
      <c r="H27" s="1609"/>
      <c r="J27" s="1609"/>
      <c r="K27" s="1609"/>
      <c r="L27" s="1609"/>
    </row>
    <row r="28" spans="2:12" ht="17.45" customHeight="1">
      <c r="B28" s="1647" t="s">
        <v>2414</v>
      </c>
      <c r="C28" s="1647"/>
      <c r="F28" s="1609"/>
      <c r="G28" s="1614"/>
      <c r="H28" s="1614"/>
      <c r="J28" s="1609"/>
      <c r="K28" s="1609"/>
      <c r="L28" s="1609"/>
    </row>
    <row r="30" spans="2:12" ht="17.45" customHeight="1">
      <c r="B30" s="1638" t="s">
        <v>2415</v>
      </c>
      <c r="C30" s="1638"/>
    </row>
    <row r="31" spans="2:12" ht="17.45" customHeight="1">
      <c r="B31" s="1610" t="s">
        <v>2416</v>
      </c>
      <c r="I31" s="1638" t="s">
        <v>2417</v>
      </c>
    </row>
    <row r="32" spans="2:12" ht="17.45" customHeight="1">
      <c r="B32" s="1610" t="s">
        <v>2418</v>
      </c>
    </row>
    <row r="33" spans="2:2" ht="17.45" customHeight="1">
      <c r="B33" s="1610" t="s">
        <v>2419</v>
      </c>
    </row>
    <row r="34" spans="2:2" ht="17.45" customHeight="1">
      <c r="B34" s="1610" t="s">
        <v>2420</v>
      </c>
    </row>
    <row r="36" spans="2:2" ht="17.45" customHeight="1">
      <c r="B36" s="1610" t="s">
        <v>2421</v>
      </c>
    </row>
    <row r="37" spans="2:2" ht="17.45" customHeight="1">
      <c r="B37" s="1610" t="s">
        <v>2422</v>
      </c>
    </row>
    <row r="38" spans="2:2" ht="17.45" customHeight="1">
      <c r="B38" s="1610" t="s">
        <v>2423</v>
      </c>
    </row>
    <row r="39" spans="2:2" ht="17.45" customHeight="1">
      <c r="B39" s="1610" t="s">
        <v>2424</v>
      </c>
    </row>
  </sheetData>
  <printOptions horizontalCentered="1"/>
  <pageMargins left="0.23622047244094491" right="7.874015748031496E-2" top="7.874015748031496E-2" bottom="0.11811023622047245" header="0.11811023622047245" footer="7.874015748031496E-2"/>
  <pageSetup paperSize="9" orientation="portrait" blackAndWhite="1" horizontalDpi="240" verticalDpi="144"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6F4B7-B3AF-4F0D-95A6-7543FBB584A1}">
  <dimension ref="B2:L39"/>
  <sheetViews>
    <sheetView showGridLines="0" workbookViewId="0">
      <selection activeCell="C6" sqref="C6:C17"/>
    </sheetView>
  </sheetViews>
  <sheetFormatPr baseColWidth="10" defaultColWidth="35.5703125" defaultRowHeight="17.45" customHeight="1"/>
  <cols>
    <col min="1" max="1" width="5.28515625" style="1610" customWidth="1"/>
    <col min="2" max="2" width="35.5703125" style="1610" customWidth="1"/>
    <col min="3" max="3" width="17.7109375" style="1610" customWidth="1"/>
    <col min="4" max="10" width="17.42578125" style="1610" customWidth="1"/>
    <col min="11" max="16384" width="35.5703125" style="1610"/>
  </cols>
  <sheetData>
    <row r="2" spans="2:12" s="1599" customFormat="1" ht="19.149999999999999" customHeight="1">
      <c r="B2" s="1597" t="s">
        <v>2391</v>
      </c>
      <c r="C2" s="1597"/>
      <c r="D2" s="1598"/>
      <c r="E2" s="1597" t="s">
        <v>2425</v>
      </c>
      <c r="G2" s="1600"/>
      <c r="H2" s="1600" t="s">
        <v>2393</v>
      </c>
      <c r="I2" s="1601"/>
      <c r="J2" s="1602"/>
      <c r="K2" s="1603"/>
      <c r="L2" s="1600"/>
    </row>
    <row r="3" spans="2:12" s="1599" customFormat="1" ht="17.45" customHeight="1">
      <c r="B3" s="1651" t="s">
        <v>2426</v>
      </c>
      <c r="C3" s="1651"/>
    </row>
    <row r="4" spans="2:12" ht="17.45" customHeight="1">
      <c r="B4" s="1641"/>
      <c r="C4" s="1641"/>
      <c r="G4" s="1608" t="s">
        <v>2395</v>
      </c>
    </row>
    <row r="5" spans="2:12" ht="17.45" customHeight="1">
      <c r="B5" s="1609"/>
      <c r="C5" s="1609"/>
      <c r="D5" s="1609"/>
      <c r="E5" s="1609"/>
      <c r="G5" s="1611">
        <v>50</v>
      </c>
      <c r="H5" s="1612"/>
      <c r="I5" s="1613"/>
      <c r="J5" s="1614"/>
      <c r="K5" s="1614"/>
      <c r="L5" s="1614"/>
    </row>
    <row r="6" spans="2:12" ht="17.45" customHeight="1">
      <c r="B6" s="1630" t="s">
        <v>1253</v>
      </c>
      <c r="C6" s="7715" t="s">
        <v>16246</v>
      </c>
      <c r="D6" s="1652" t="s">
        <v>2396</v>
      </c>
      <c r="E6" s="1653" t="s">
        <v>2397</v>
      </c>
      <c r="F6" s="1654" t="s">
        <v>19</v>
      </c>
      <c r="G6" s="1655" t="s">
        <v>2398</v>
      </c>
      <c r="H6" s="1652" t="s">
        <v>2399</v>
      </c>
      <c r="I6" s="1652" t="s">
        <v>1254</v>
      </c>
      <c r="K6" s="1609"/>
      <c r="L6" s="1609"/>
    </row>
    <row r="7" spans="2:12" ht="17.45" customHeight="1">
      <c r="B7" s="1656" t="s">
        <v>1255</v>
      </c>
      <c r="C7" s="7719" t="s">
        <v>10486</v>
      </c>
      <c r="D7" s="1621">
        <v>32.200000000000003</v>
      </c>
      <c r="E7" s="1622">
        <f>D7/D17*1000</f>
        <v>309.89846494393919</v>
      </c>
      <c r="F7" s="1623">
        <f>D7/D17</f>
        <v>0.30989846494393919</v>
      </c>
      <c r="G7" s="1657">
        <f>F7*G5</f>
        <v>15.49492324719696</v>
      </c>
      <c r="H7" s="1625">
        <v>0</v>
      </c>
      <c r="I7" s="1626">
        <f t="shared" ref="I7:I16" si="0">G7*H7</f>
        <v>0</v>
      </c>
      <c r="K7" s="1609"/>
      <c r="L7" s="1609"/>
    </row>
    <row r="8" spans="2:12" ht="17.45" customHeight="1">
      <c r="B8" s="1656" t="s">
        <v>2427</v>
      </c>
      <c r="C8" s="7719" t="s">
        <v>10486</v>
      </c>
      <c r="D8" s="1621">
        <v>6</v>
      </c>
      <c r="E8" s="1622">
        <f>D8/D17*1000</f>
        <v>57.745055579616</v>
      </c>
      <c r="F8" s="1628">
        <f>D8/D17</f>
        <v>5.7745055579615998E-2</v>
      </c>
      <c r="G8" s="1657">
        <f>F8*G5</f>
        <v>2.8872527789808</v>
      </c>
      <c r="H8" s="1625">
        <v>0</v>
      </c>
      <c r="I8" s="1626">
        <f t="shared" si="0"/>
        <v>0</v>
      </c>
      <c r="K8" s="1609"/>
      <c r="L8" s="1609"/>
    </row>
    <row r="9" spans="2:12" ht="17.45" customHeight="1">
      <c r="B9" s="1610" t="s">
        <v>1257</v>
      </c>
      <c r="C9" s="7720" t="s">
        <v>10486</v>
      </c>
      <c r="D9" s="1621">
        <v>26</v>
      </c>
      <c r="E9" s="1622">
        <f>D9/D17*1000</f>
        <v>250.228574178336</v>
      </c>
      <c r="F9" s="1628">
        <f>D9/D17</f>
        <v>0.25022857417833599</v>
      </c>
      <c r="G9" s="1657">
        <f>F9*G5</f>
        <v>12.511428708916799</v>
      </c>
      <c r="H9" s="1625">
        <v>0</v>
      </c>
      <c r="I9" s="1626">
        <f t="shared" si="0"/>
        <v>0</v>
      </c>
      <c r="K9" s="1609"/>
      <c r="L9" s="1609"/>
    </row>
    <row r="10" spans="2:12" ht="17.45" customHeight="1">
      <c r="B10" s="1656" t="s">
        <v>17871</v>
      </c>
      <c r="C10" s="7719" t="s">
        <v>17874</v>
      </c>
      <c r="D10" s="1621">
        <v>30</v>
      </c>
      <c r="E10" s="1622">
        <f>D10/D17*1000</f>
        <v>288.72527789807992</v>
      </c>
      <c r="F10" s="1628">
        <f>D10/D17</f>
        <v>0.28872527789807995</v>
      </c>
      <c r="G10" s="1657">
        <f>F10*G5</f>
        <v>14.436263894903997</v>
      </c>
      <c r="H10" s="1625">
        <v>0</v>
      </c>
      <c r="I10" s="1626">
        <f t="shared" si="0"/>
        <v>0</v>
      </c>
      <c r="K10" s="1609"/>
      <c r="L10" s="1609"/>
    </row>
    <row r="11" spans="2:12" ht="17.45" customHeight="1">
      <c r="B11" s="1656" t="s">
        <v>17872</v>
      </c>
      <c r="C11" s="7719" t="s">
        <v>17875</v>
      </c>
      <c r="D11" s="1621">
        <v>6</v>
      </c>
      <c r="E11" s="1622">
        <f>D11/D17*1000</f>
        <v>57.745055579616</v>
      </c>
      <c r="F11" s="1628">
        <f>D11/D17</f>
        <v>5.7745055579615998E-2</v>
      </c>
      <c r="G11" s="1657">
        <f>F11*G5</f>
        <v>2.8872527789808</v>
      </c>
      <c r="H11" s="1625">
        <v>0</v>
      </c>
      <c r="I11" s="1626">
        <f t="shared" si="0"/>
        <v>0</v>
      </c>
      <c r="K11" s="1609"/>
      <c r="L11" s="1609"/>
    </row>
    <row r="12" spans="2:12" ht="17.45" customHeight="1">
      <c r="B12" s="1656" t="s">
        <v>1259</v>
      </c>
      <c r="C12" s="7719" t="s">
        <v>10486</v>
      </c>
      <c r="D12" s="1621">
        <v>1.65</v>
      </c>
      <c r="E12" s="1622">
        <f>D12/D17*1000</f>
        <v>15.879890284394397</v>
      </c>
      <c r="F12" s="1628">
        <f>D12/D17</f>
        <v>1.5879890284394398E-2</v>
      </c>
      <c r="G12" s="1657">
        <f>F12*G5</f>
        <v>0.79399451421971989</v>
      </c>
      <c r="H12" s="1625">
        <v>0</v>
      </c>
      <c r="I12" s="1626">
        <f t="shared" si="0"/>
        <v>0</v>
      </c>
      <c r="K12" s="1609"/>
      <c r="L12" s="1609"/>
    </row>
    <row r="13" spans="2:12" ht="17.45" customHeight="1">
      <c r="B13" s="1656" t="s">
        <v>1260</v>
      </c>
      <c r="C13" s="7719" t="s">
        <v>10486</v>
      </c>
      <c r="D13" s="1621">
        <v>0.13</v>
      </c>
      <c r="E13" s="1622">
        <f>D13/D17*1000</f>
        <v>1.2511428708916799</v>
      </c>
      <c r="F13" s="1628">
        <f>D13/D17</f>
        <v>1.25114287089168E-3</v>
      </c>
      <c r="G13" s="1657">
        <f>F13*G5</f>
        <v>6.2557143544583999E-2</v>
      </c>
      <c r="H13" s="1625">
        <v>0</v>
      </c>
      <c r="I13" s="1626">
        <f t="shared" si="0"/>
        <v>0</v>
      </c>
      <c r="K13" s="1609"/>
      <c r="L13" s="1609"/>
    </row>
    <row r="14" spans="2:12" ht="17.45" customHeight="1">
      <c r="B14" s="1656" t="s">
        <v>1261</v>
      </c>
      <c r="C14" s="7719" t="s">
        <v>10486</v>
      </c>
      <c r="D14" s="1621">
        <v>0.1</v>
      </c>
      <c r="E14" s="1622">
        <f>D14/D17*1000</f>
        <v>0.96241759299359997</v>
      </c>
      <c r="F14" s="1628">
        <f>D14/D17</f>
        <v>9.624175929936E-4</v>
      </c>
      <c r="G14" s="1657">
        <f>F14*G5</f>
        <v>4.8120879649680003E-2</v>
      </c>
      <c r="H14" s="1625">
        <v>0</v>
      </c>
      <c r="I14" s="1626">
        <f t="shared" si="0"/>
        <v>0</v>
      </c>
      <c r="K14" s="1609"/>
      <c r="L14" s="1609"/>
    </row>
    <row r="15" spans="2:12" ht="17.45" customHeight="1">
      <c r="B15" s="1656" t="s">
        <v>848</v>
      </c>
      <c r="C15" s="7719" t="s">
        <v>17879</v>
      </c>
      <c r="D15" s="1621">
        <v>1.8</v>
      </c>
      <c r="E15" s="1622">
        <f>D15/D17*1000</f>
        <v>17.3235166738848</v>
      </c>
      <c r="F15" s="1628">
        <f>D15/D17</f>
        <v>1.7323516673884799E-2</v>
      </c>
      <c r="G15" s="1657">
        <f>F15*G5</f>
        <v>0.86617583369424</v>
      </c>
      <c r="H15" s="1625">
        <v>0</v>
      </c>
      <c r="I15" s="1626">
        <f t="shared" si="0"/>
        <v>0</v>
      </c>
    </row>
    <row r="16" spans="2:12" ht="17.45" customHeight="1">
      <c r="B16" s="1656" t="s">
        <v>17873</v>
      </c>
      <c r="C16" s="7719" t="s">
        <v>10486</v>
      </c>
      <c r="D16" s="1621">
        <v>2.5000000000000001E-2</v>
      </c>
      <c r="E16" s="1622">
        <f>D16/D17*1000</f>
        <v>0.24060439824839999</v>
      </c>
      <c r="F16" s="1628">
        <f>D16/D17</f>
        <v>2.406043982484E-4</v>
      </c>
      <c r="G16" s="1657">
        <f>F16*G5</f>
        <v>1.2030219912420001E-2</v>
      </c>
      <c r="H16" s="1625">
        <v>0</v>
      </c>
      <c r="I16" s="1626">
        <f t="shared" si="0"/>
        <v>0</v>
      </c>
    </row>
    <row r="17" spans="2:12" ht="17.45" customHeight="1">
      <c r="B17" s="1630" t="s">
        <v>20</v>
      </c>
      <c r="C17" s="7721"/>
      <c r="D17" s="1631">
        <f>SUM(D7:D16)</f>
        <v>103.905</v>
      </c>
      <c r="E17" s="1632">
        <f>SUM(E7:E16)</f>
        <v>999.99999999999989</v>
      </c>
      <c r="F17" s="1628">
        <f>SUM(F7:F16)</f>
        <v>1</v>
      </c>
      <c r="G17" s="1658">
        <f>SUM(G7:G16)</f>
        <v>50</v>
      </c>
      <c r="H17" s="1626">
        <f>I17/G17</f>
        <v>0</v>
      </c>
      <c r="I17" s="1626">
        <f>SUM(I7:I16)</f>
        <v>0</v>
      </c>
      <c r="K17" s="1609"/>
      <c r="L17" s="1609"/>
    </row>
    <row r="18" spans="2:12" ht="17.45" customHeight="1">
      <c r="B18" s="1634"/>
      <c r="C18" s="1634"/>
      <c r="D18" s="1635"/>
      <c r="E18" s="1635"/>
      <c r="F18" s="1634"/>
      <c r="G18" s="1636"/>
      <c r="H18" s="1636"/>
      <c r="I18" s="1636"/>
      <c r="J18" s="1637"/>
      <c r="K18" s="1609"/>
      <c r="L18" s="1609"/>
    </row>
    <row r="19" spans="2:12" ht="17.45" customHeight="1">
      <c r="B19" s="1638" t="s">
        <v>2401</v>
      </c>
      <c r="C19" s="1638"/>
      <c r="D19" s="1609"/>
      <c r="E19" s="1639"/>
      <c r="I19" s="1639"/>
      <c r="J19" s="1637"/>
      <c r="K19" s="1609"/>
      <c r="L19" s="1609"/>
    </row>
    <row r="20" spans="2:12" ht="17.45" customHeight="1">
      <c r="B20" s="1610" t="s">
        <v>2402</v>
      </c>
      <c r="D20" s="1640"/>
      <c r="E20" s="1640"/>
      <c r="I20" s="1639"/>
      <c r="J20" s="1637"/>
      <c r="K20" s="1609"/>
      <c r="L20" s="1609"/>
    </row>
    <row r="21" spans="2:12" ht="17.45" customHeight="1">
      <c r="B21" s="1610" t="s">
        <v>2403</v>
      </c>
      <c r="D21" s="1640"/>
      <c r="E21" s="1640"/>
      <c r="I21" s="1639"/>
      <c r="J21" s="1637"/>
      <c r="K21" s="1609"/>
      <c r="L21" s="1609"/>
    </row>
    <row r="22" spans="2:12" ht="17.45" customHeight="1">
      <c r="B22" s="1641" t="s">
        <v>2404</v>
      </c>
      <c r="C22" s="1641"/>
      <c r="D22" s="1642"/>
      <c r="E22" s="1642"/>
      <c r="F22" s="1643"/>
      <c r="G22" s="1644"/>
      <c r="H22" s="1644"/>
      <c r="I22" s="1645"/>
      <c r="J22" s="1645"/>
      <c r="K22" s="1609"/>
      <c r="L22" s="1609"/>
    </row>
    <row r="23" spans="2:12" ht="17.45" customHeight="1">
      <c r="B23" s="1610" t="s">
        <v>2428</v>
      </c>
      <c r="D23" s="1609"/>
      <c r="J23" s="1609"/>
      <c r="K23" s="1609"/>
      <c r="L23" s="1609"/>
    </row>
    <row r="24" spans="2:12" ht="17.45" customHeight="1">
      <c r="B24" s="1610" t="s">
        <v>2429</v>
      </c>
      <c r="D24" s="1646"/>
      <c r="J24" s="1609"/>
      <c r="K24" s="1609"/>
      <c r="L24" s="1609"/>
    </row>
    <row r="25" spans="2:12" ht="17.45" customHeight="1">
      <c r="B25" s="1647" t="s">
        <v>2407</v>
      </c>
      <c r="C25" s="1647"/>
      <c r="D25" s="1609"/>
      <c r="E25" s="1609"/>
      <c r="F25" s="1609"/>
      <c r="G25" s="1614"/>
      <c r="H25" s="1614"/>
      <c r="J25" s="1609"/>
      <c r="K25" s="1609"/>
      <c r="L25" s="1609"/>
    </row>
    <row r="26" spans="2:12" ht="17.45" customHeight="1">
      <c r="B26" s="1647" t="s">
        <v>2409</v>
      </c>
      <c r="C26" s="1647"/>
      <c r="D26" s="1648" t="s">
        <v>2410</v>
      </c>
      <c r="E26" s="1648" t="s">
        <v>2411</v>
      </c>
      <c r="F26" s="1649"/>
      <c r="G26" s="1609"/>
      <c r="H26" s="1609"/>
      <c r="I26" s="1638" t="s">
        <v>2408</v>
      </c>
      <c r="J26" s="1609"/>
      <c r="K26" s="1609"/>
      <c r="L26" s="1609"/>
    </row>
    <row r="27" spans="2:12" ht="17.45" customHeight="1">
      <c r="B27" s="1650"/>
      <c r="C27" s="1650"/>
      <c r="D27" s="1648" t="s">
        <v>2412</v>
      </c>
      <c r="E27" s="1648" t="s">
        <v>2413</v>
      </c>
      <c r="F27" s="1649"/>
      <c r="G27" s="1609"/>
      <c r="H27" s="1609"/>
      <c r="J27" s="1609"/>
      <c r="K27" s="1609"/>
      <c r="L27" s="1609"/>
    </row>
    <row r="28" spans="2:12" ht="17.45" customHeight="1">
      <c r="B28" s="1647" t="s">
        <v>2414</v>
      </c>
      <c r="C28" s="1647"/>
      <c r="F28" s="1609"/>
      <c r="G28" s="1614"/>
      <c r="H28" s="1614"/>
      <c r="J28" s="1609"/>
      <c r="K28" s="1609"/>
      <c r="L28" s="1609"/>
    </row>
    <row r="30" spans="2:12" ht="17.45" customHeight="1">
      <c r="B30" s="1638" t="s">
        <v>2415</v>
      </c>
      <c r="C30" s="1638"/>
    </row>
    <row r="31" spans="2:12" ht="17.45" customHeight="1">
      <c r="B31" s="1610" t="s">
        <v>2416</v>
      </c>
      <c r="I31" s="1638" t="s">
        <v>2417</v>
      </c>
    </row>
    <row r="32" spans="2:12" ht="17.45" customHeight="1">
      <c r="B32" s="1610" t="s">
        <v>2418</v>
      </c>
    </row>
    <row r="33" spans="2:2" ht="17.45" customHeight="1">
      <c r="B33" s="1610" t="s">
        <v>2419</v>
      </c>
    </row>
    <row r="34" spans="2:2" ht="17.45" customHeight="1">
      <c r="B34" s="1610" t="s">
        <v>2420</v>
      </c>
    </row>
    <row r="36" spans="2:2" ht="17.45" customHeight="1">
      <c r="B36" s="1610" t="s">
        <v>2421</v>
      </c>
    </row>
    <row r="37" spans="2:2" ht="17.45" customHeight="1">
      <c r="B37" s="1610" t="s">
        <v>2422</v>
      </c>
    </row>
    <row r="38" spans="2:2" ht="17.45" customHeight="1">
      <c r="B38" s="1610" t="s">
        <v>2423</v>
      </c>
    </row>
    <row r="39" spans="2:2" ht="17.45" customHeight="1">
      <c r="B39" s="1610" t="s">
        <v>2424</v>
      </c>
    </row>
  </sheetData>
  <printOptions horizontalCentered="1"/>
  <pageMargins left="0.23622047244094491" right="7.874015748031496E-2" top="7.874015748031496E-2" bottom="0.11811023622047245" header="0.11811023622047245" footer="7.874015748031496E-2"/>
  <pageSetup paperSize="9" scale="85" orientation="portrait" blackAndWhite="1" horizontalDpi="240" verticalDpi="144" copies="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37B94-3F3C-4ABF-82C8-BDB144937505}">
  <dimension ref="B2:L39"/>
  <sheetViews>
    <sheetView showGridLines="0" workbookViewId="0">
      <selection activeCell="C6" sqref="C6:C17"/>
    </sheetView>
  </sheetViews>
  <sheetFormatPr baseColWidth="10" defaultColWidth="16.140625" defaultRowHeight="15.6" customHeight="1"/>
  <cols>
    <col min="1" max="1" width="5" style="1610" customWidth="1"/>
    <col min="2" max="2" width="36.140625" style="1610" customWidth="1"/>
    <col min="3" max="3" width="17.7109375" style="1610" customWidth="1"/>
    <col min="4" max="6" width="18.7109375" style="1610" customWidth="1"/>
    <col min="7" max="16384" width="16.140625" style="1610"/>
  </cols>
  <sheetData>
    <row r="2" spans="2:12" s="1599" customFormat="1" ht="19.899999999999999" customHeight="1">
      <c r="B2" s="1597" t="s">
        <v>2391</v>
      </c>
      <c r="C2" s="1597"/>
      <c r="D2" s="1598"/>
      <c r="E2" s="1597" t="s">
        <v>2392</v>
      </c>
      <c r="G2" s="1600"/>
      <c r="H2" s="1600" t="s">
        <v>2393</v>
      </c>
      <c r="I2" s="1601"/>
      <c r="J2" s="1602"/>
      <c r="K2" s="1603"/>
      <c r="L2" s="1600"/>
    </row>
    <row r="3" spans="2:12" s="1599" customFormat="1" ht="15.6" customHeight="1">
      <c r="B3" s="1651" t="s">
        <v>2430</v>
      </c>
      <c r="C3" s="1651"/>
    </row>
    <row r="4" spans="2:12" ht="15.6" customHeight="1">
      <c r="B4" s="1641"/>
      <c r="C4" s="1641"/>
      <c r="G4" s="1608" t="s">
        <v>2395</v>
      </c>
    </row>
    <row r="5" spans="2:12" ht="15.6" customHeight="1">
      <c r="B5" s="1609"/>
      <c r="C5" s="1609"/>
      <c r="D5" s="1609"/>
      <c r="E5" s="1609"/>
      <c r="G5" s="1611">
        <v>40</v>
      </c>
      <c r="H5" s="1612"/>
      <c r="I5" s="1613"/>
      <c r="J5" s="1614"/>
      <c r="K5" s="1614"/>
      <c r="L5" s="1614"/>
    </row>
    <row r="6" spans="2:12" ht="15.6" customHeight="1">
      <c r="B6" s="1630" t="s">
        <v>1253</v>
      </c>
      <c r="C6" s="7715" t="s">
        <v>16246</v>
      </c>
      <c r="D6" s="1616" t="s">
        <v>2396</v>
      </c>
      <c r="E6" s="1617" t="s">
        <v>2397</v>
      </c>
      <c r="F6" s="1618" t="s">
        <v>19</v>
      </c>
      <c r="G6" s="1659" t="s">
        <v>2398</v>
      </c>
      <c r="H6" s="1616" t="s">
        <v>2399</v>
      </c>
      <c r="I6" s="1616" t="s">
        <v>1254</v>
      </c>
      <c r="K6" s="1609"/>
      <c r="L6" s="1609"/>
    </row>
    <row r="7" spans="2:12" ht="15.6" customHeight="1">
      <c r="B7" s="1656" t="s">
        <v>2431</v>
      </c>
      <c r="C7" s="7719" t="s">
        <v>10486</v>
      </c>
      <c r="D7" s="1621">
        <v>20.7</v>
      </c>
      <c r="E7" s="1622">
        <f>D7/D17*1000</f>
        <v>199.81659346493552</v>
      </c>
      <c r="F7" s="1623">
        <f>D7/D17</f>
        <v>0.19981659346493552</v>
      </c>
      <c r="G7" s="1660">
        <f>F7*G5</f>
        <v>7.9926637385974209</v>
      </c>
      <c r="H7" s="1625">
        <v>0</v>
      </c>
      <c r="I7" s="1626">
        <f t="shared" ref="I7:I16" si="0">G7*H7</f>
        <v>0</v>
      </c>
      <c r="K7" s="1609"/>
      <c r="L7" s="1609"/>
    </row>
    <row r="8" spans="2:12" ht="15.6" customHeight="1">
      <c r="B8" s="1656" t="s">
        <v>2427</v>
      </c>
      <c r="C8" s="7719" t="s">
        <v>10486</v>
      </c>
      <c r="D8" s="1621">
        <v>18</v>
      </c>
      <c r="E8" s="1622">
        <f>D8/D17*1000</f>
        <v>173.75355953472658</v>
      </c>
      <c r="F8" s="1628">
        <f>D8/D17</f>
        <v>0.17375355953472657</v>
      </c>
      <c r="G8" s="1660">
        <f>F8*G5</f>
        <v>6.950142381389063</v>
      </c>
      <c r="H8" s="1625">
        <v>0</v>
      </c>
      <c r="I8" s="1626">
        <f t="shared" si="0"/>
        <v>0</v>
      </c>
      <c r="K8" s="1609"/>
      <c r="L8" s="1609"/>
    </row>
    <row r="9" spans="2:12" ht="15.6" customHeight="1">
      <c r="B9" s="1610" t="s">
        <v>1257</v>
      </c>
      <c r="C9" s="7720" t="s">
        <v>10486</v>
      </c>
      <c r="D9" s="1621">
        <v>26</v>
      </c>
      <c r="E9" s="1622">
        <f>D9/D17*1000</f>
        <v>250.97736377238277</v>
      </c>
      <c r="F9" s="1628">
        <f>D9/D17</f>
        <v>0.25097736377238278</v>
      </c>
      <c r="G9" s="1660">
        <f>F9*G5</f>
        <v>10.03909455089531</v>
      </c>
      <c r="H9" s="1625">
        <v>0</v>
      </c>
      <c r="I9" s="1626">
        <f t="shared" si="0"/>
        <v>0</v>
      </c>
      <c r="K9" s="1609"/>
      <c r="L9" s="1609"/>
    </row>
    <row r="10" spans="2:12" ht="15.6" customHeight="1">
      <c r="B10" s="1656" t="s">
        <v>17871</v>
      </c>
      <c r="C10" s="7719" t="s">
        <v>17874</v>
      </c>
      <c r="D10" s="1621">
        <v>30</v>
      </c>
      <c r="E10" s="1622">
        <f>D10/D17*1000</f>
        <v>289.58926589121091</v>
      </c>
      <c r="F10" s="1628">
        <f>D10/D17</f>
        <v>0.28958926589121092</v>
      </c>
      <c r="G10" s="1660">
        <f>F10*G5</f>
        <v>11.583570635648437</v>
      </c>
      <c r="H10" s="1625">
        <v>0</v>
      </c>
      <c r="I10" s="1626">
        <f t="shared" si="0"/>
        <v>0</v>
      </c>
      <c r="K10" s="1609"/>
      <c r="L10" s="1609"/>
    </row>
    <row r="11" spans="2:12" ht="15.6" customHeight="1">
      <c r="B11" s="1656" t="s">
        <v>17872</v>
      </c>
      <c r="C11" s="7719" t="s">
        <v>17875</v>
      </c>
      <c r="D11" s="1621">
        <v>6</v>
      </c>
      <c r="E11" s="1622">
        <f>D11/D17*1000</f>
        <v>57.917853178242183</v>
      </c>
      <c r="F11" s="1628">
        <f>D11/D17</f>
        <v>5.7917853178242183E-2</v>
      </c>
      <c r="G11" s="1660">
        <f>F11*G5</f>
        <v>2.3167141271296874</v>
      </c>
      <c r="H11" s="1625">
        <v>0</v>
      </c>
      <c r="I11" s="1626">
        <f t="shared" si="0"/>
        <v>0</v>
      </c>
      <c r="K11" s="1609"/>
      <c r="L11" s="1609"/>
    </row>
    <row r="12" spans="2:12" ht="15.6" customHeight="1">
      <c r="B12" s="1656" t="s">
        <v>1259</v>
      </c>
      <c r="C12" s="7719" t="s">
        <v>10486</v>
      </c>
      <c r="D12" s="1621">
        <v>1.65</v>
      </c>
      <c r="E12" s="1622">
        <f>D12/D17*1000</f>
        <v>15.927409624016599</v>
      </c>
      <c r="F12" s="1628">
        <f>D12/D17</f>
        <v>1.5927409624016599E-2</v>
      </c>
      <c r="G12" s="1660">
        <f>F12*G5</f>
        <v>0.6370963849606639</v>
      </c>
      <c r="H12" s="1625">
        <v>0</v>
      </c>
      <c r="I12" s="1626">
        <f t="shared" si="0"/>
        <v>0</v>
      </c>
      <c r="K12" s="1609"/>
      <c r="L12" s="1609"/>
    </row>
    <row r="13" spans="2:12" ht="15.6" customHeight="1">
      <c r="B13" s="1656" t="s">
        <v>1260</v>
      </c>
      <c r="C13" s="7719" t="s">
        <v>10486</v>
      </c>
      <c r="D13" s="1621">
        <v>0.12</v>
      </c>
      <c r="E13" s="1622">
        <f>D13/D17*1000</f>
        <v>1.1583570635648437</v>
      </c>
      <c r="F13" s="1628">
        <f>D13/D17</f>
        <v>1.1583570635648438E-3</v>
      </c>
      <c r="G13" s="1660">
        <f>F13*G5</f>
        <v>4.6334282542593752E-2</v>
      </c>
      <c r="H13" s="1625">
        <v>0</v>
      </c>
      <c r="I13" s="1626">
        <f t="shared" si="0"/>
        <v>0</v>
      </c>
      <c r="K13" s="1609"/>
      <c r="L13" s="1609"/>
    </row>
    <row r="14" spans="2:12" ht="15.6" customHeight="1">
      <c r="B14" s="1656" t="s">
        <v>1261</v>
      </c>
      <c r="C14" s="7719" t="s">
        <v>10486</v>
      </c>
      <c r="D14" s="1621">
        <v>0.1</v>
      </c>
      <c r="E14" s="1622">
        <f>D14/D17*1000</f>
        <v>0.96529755297070319</v>
      </c>
      <c r="F14" s="1628">
        <f>D14/D17</f>
        <v>9.6529755297070313E-4</v>
      </c>
      <c r="G14" s="1660">
        <f>F14*G5</f>
        <v>3.8611902118828124E-2</v>
      </c>
      <c r="H14" s="1625">
        <v>0</v>
      </c>
      <c r="I14" s="1626">
        <f t="shared" si="0"/>
        <v>0</v>
      </c>
      <c r="K14" s="1609"/>
      <c r="L14" s="1609"/>
    </row>
    <row r="15" spans="2:12" ht="15.6" customHeight="1">
      <c r="B15" s="1656" t="s">
        <v>2432</v>
      </c>
      <c r="C15" s="7719" t="s">
        <v>10486</v>
      </c>
      <c r="D15" s="1621">
        <v>1</v>
      </c>
      <c r="E15" s="1622">
        <f>D15/D17*1000</f>
        <v>9.6529755297070317</v>
      </c>
      <c r="F15" s="1628">
        <f>D15/D17</f>
        <v>9.6529755297070311E-3</v>
      </c>
      <c r="G15" s="1660">
        <f>F15*G5</f>
        <v>0.38611902118828123</v>
      </c>
      <c r="H15" s="1625">
        <v>0</v>
      </c>
      <c r="I15" s="1626">
        <f t="shared" si="0"/>
        <v>0</v>
      </c>
    </row>
    <row r="16" spans="2:12" ht="15.6" customHeight="1">
      <c r="B16" s="1656" t="s">
        <v>17873</v>
      </c>
      <c r="C16" s="7719" t="s">
        <v>10486</v>
      </c>
      <c r="D16" s="1621">
        <v>2.5000000000000001E-2</v>
      </c>
      <c r="E16" s="1622">
        <f>D16/D17*1000</f>
        <v>0.2413243882426758</v>
      </c>
      <c r="F16" s="1628">
        <f>D16/D17</f>
        <v>2.4132438824267578E-4</v>
      </c>
      <c r="G16" s="1660">
        <f>F16*G5</f>
        <v>9.6529755297070311E-3</v>
      </c>
      <c r="H16" s="1625">
        <v>0</v>
      </c>
      <c r="I16" s="1626">
        <f t="shared" si="0"/>
        <v>0</v>
      </c>
    </row>
    <row r="17" spans="2:12" ht="15.6" customHeight="1">
      <c r="B17" s="1630" t="s">
        <v>20</v>
      </c>
      <c r="C17" s="7721"/>
      <c r="D17" s="1631">
        <f>SUM(D7:D16)</f>
        <v>103.59500000000001</v>
      </c>
      <c r="E17" s="1632">
        <f>SUM(E7:E16)</f>
        <v>1000</v>
      </c>
      <c r="F17" s="1628">
        <f>SUM(F7:F16)</f>
        <v>0.99999999999999978</v>
      </c>
      <c r="G17" s="1661">
        <f>SUM(G7:G16)</f>
        <v>39.999999999999986</v>
      </c>
      <c r="H17" s="1626">
        <f>I17/G17</f>
        <v>0</v>
      </c>
      <c r="I17" s="1626">
        <f>SUM(I7:I16)</f>
        <v>0</v>
      </c>
      <c r="K17" s="1609"/>
      <c r="L17" s="1609"/>
    </row>
    <row r="18" spans="2:12" ht="15.6" customHeight="1">
      <c r="B18" s="1634"/>
      <c r="C18" s="1634"/>
      <c r="D18" s="1635"/>
      <c r="E18" s="1635"/>
      <c r="F18" s="1634"/>
      <c r="G18" s="1636"/>
      <c r="H18" s="1636"/>
      <c r="I18" s="1636"/>
      <c r="J18" s="1637"/>
      <c r="K18" s="1609"/>
      <c r="L18" s="1609"/>
    </row>
    <row r="19" spans="2:12" ht="15.6" customHeight="1">
      <c r="B19" s="1638" t="s">
        <v>2401</v>
      </c>
      <c r="C19" s="1638"/>
      <c r="D19" s="1609"/>
      <c r="E19" s="1639"/>
      <c r="I19" s="1639"/>
      <c r="J19" s="1637"/>
      <c r="K19" s="1609"/>
      <c r="L19" s="1609"/>
    </row>
    <row r="20" spans="2:12" ht="15.6" customHeight="1">
      <c r="B20" s="1610" t="s">
        <v>2402</v>
      </c>
      <c r="D20" s="1640"/>
      <c r="E20" s="1640"/>
      <c r="I20" s="1639"/>
      <c r="J20" s="1637"/>
      <c r="K20" s="1609"/>
      <c r="L20" s="1609"/>
    </row>
    <row r="21" spans="2:12" ht="15.6" customHeight="1">
      <c r="B21" s="1610" t="s">
        <v>2403</v>
      </c>
      <c r="D21" s="1640"/>
      <c r="E21" s="1640"/>
      <c r="I21" s="1639"/>
      <c r="J21" s="1637"/>
      <c r="K21" s="1609"/>
      <c r="L21" s="1609"/>
    </row>
    <row r="22" spans="2:12" ht="15.6" customHeight="1">
      <c r="B22" s="1641" t="s">
        <v>2404</v>
      </c>
      <c r="C22" s="1641"/>
      <c r="D22" s="1642"/>
      <c r="E22" s="1642"/>
      <c r="F22" s="1643"/>
      <c r="G22" s="1644"/>
      <c r="H22" s="1644"/>
      <c r="I22" s="1645"/>
      <c r="J22" s="1645"/>
      <c r="K22" s="1609"/>
      <c r="L22" s="1609"/>
    </row>
    <row r="23" spans="2:12" ht="15.6" customHeight="1">
      <c r="B23" s="1610" t="s">
        <v>2433</v>
      </c>
      <c r="D23" s="1609"/>
      <c r="J23" s="1609"/>
      <c r="K23" s="1609"/>
      <c r="L23" s="1609"/>
    </row>
    <row r="24" spans="2:12" ht="15.6" customHeight="1">
      <c r="B24" s="1610" t="s">
        <v>2434</v>
      </c>
      <c r="D24" s="1646"/>
      <c r="J24" s="1609"/>
      <c r="K24" s="1609"/>
      <c r="L24" s="1609"/>
    </row>
    <row r="25" spans="2:12" ht="15.6" customHeight="1">
      <c r="B25" s="1647" t="s">
        <v>2407</v>
      </c>
      <c r="C25" s="1647"/>
      <c r="D25" s="1609"/>
      <c r="E25" s="1609"/>
      <c r="F25" s="1609"/>
      <c r="G25" s="1614"/>
      <c r="H25" s="1614"/>
      <c r="I25" s="1638" t="s">
        <v>2408</v>
      </c>
      <c r="J25" s="1609"/>
      <c r="K25" s="1609"/>
      <c r="L25" s="1609"/>
    </row>
    <row r="26" spans="2:12" ht="15.6" customHeight="1">
      <c r="B26" s="1647" t="s">
        <v>2409</v>
      </c>
      <c r="C26" s="1647"/>
      <c r="D26" s="1648" t="s">
        <v>2410</v>
      </c>
      <c r="E26" s="1648" t="s">
        <v>2411</v>
      </c>
      <c r="F26" s="1649"/>
      <c r="G26" s="1609"/>
      <c r="H26" s="1609"/>
      <c r="J26" s="1609"/>
      <c r="K26" s="1609"/>
      <c r="L26" s="1609"/>
    </row>
    <row r="27" spans="2:12" ht="15.6" customHeight="1">
      <c r="B27" s="1650"/>
      <c r="C27" s="1650"/>
      <c r="D27" s="1648" t="s">
        <v>2412</v>
      </c>
      <c r="E27" s="1648" t="s">
        <v>2413</v>
      </c>
      <c r="F27" s="1649"/>
      <c r="G27" s="1609"/>
      <c r="H27" s="1609"/>
      <c r="J27" s="1609"/>
      <c r="K27" s="1609"/>
      <c r="L27" s="1609"/>
    </row>
    <row r="28" spans="2:12" ht="15.6" customHeight="1">
      <c r="B28" s="1647" t="s">
        <v>2414</v>
      </c>
      <c r="C28" s="1647"/>
      <c r="F28" s="1609"/>
      <c r="G28" s="1614"/>
      <c r="H28" s="1614"/>
      <c r="J28" s="1609"/>
      <c r="K28" s="1609"/>
      <c r="L28" s="1609"/>
    </row>
    <row r="30" spans="2:12" ht="15.6" customHeight="1">
      <c r="B30" s="1638" t="s">
        <v>2415</v>
      </c>
      <c r="C30" s="1638"/>
    </row>
    <row r="31" spans="2:12" ht="15.6" customHeight="1">
      <c r="B31" s="1610" t="s">
        <v>2416</v>
      </c>
      <c r="I31" s="1638" t="s">
        <v>2417</v>
      </c>
    </row>
    <row r="32" spans="2:12" ht="15.6" customHeight="1">
      <c r="B32" s="1610" t="s">
        <v>2418</v>
      </c>
    </row>
    <row r="33" spans="2:2" ht="15.6" customHeight="1">
      <c r="B33" s="1610" t="s">
        <v>2419</v>
      </c>
    </row>
    <row r="34" spans="2:2" ht="15.6" customHeight="1">
      <c r="B34" s="1610" t="s">
        <v>2420</v>
      </c>
    </row>
    <row r="36" spans="2:2" ht="15.6" customHeight="1">
      <c r="B36" s="1610" t="s">
        <v>2421</v>
      </c>
    </row>
    <row r="37" spans="2:2" ht="15.6" customHeight="1">
      <c r="B37" s="1610" t="s">
        <v>2422</v>
      </c>
    </row>
    <row r="38" spans="2:2" ht="15.6" customHeight="1">
      <c r="B38" s="1610" t="s">
        <v>2423</v>
      </c>
    </row>
    <row r="39" spans="2:2" ht="15.6" customHeight="1">
      <c r="B39" s="1610" t="s">
        <v>2424</v>
      </c>
    </row>
  </sheetData>
  <printOptions horizontalCentered="1"/>
  <pageMargins left="0.23622047244094491" right="7.874015748031496E-2" top="7.874015748031496E-2" bottom="0.11811023622047245" header="0.11811023622047245" footer="7.874015748031496E-2"/>
  <pageSetup paperSize="9" scale="85" orientation="portrait" blackAndWhite="1" horizontalDpi="240" verticalDpi="144" copies="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C0574-E19B-4F1E-9B3B-C56A63C10580}">
  <dimension ref="B2:L39"/>
  <sheetViews>
    <sheetView showGridLines="0" workbookViewId="0">
      <selection activeCell="C6" sqref="C6:C17"/>
    </sheetView>
  </sheetViews>
  <sheetFormatPr baseColWidth="10" defaultColWidth="11.7109375" defaultRowHeight="16.899999999999999" customHeight="1"/>
  <cols>
    <col min="1" max="1" width="4.7109375" style="1610" customWidth="1"/>
    <col min="2" max="2" width="36.42578125" style="1610" customWidth="1"/>
    <col min="3" max="3" width="17.7109375" style="1610" customWidth="1"/>
    <col min="4" max="8" width="17.5703125" style="1610" customWidth="1"/>
    <col min="9" max="9" width="14.85546875" style="1610" customWidth="1"/>
    <col min="10" max="16384" width="11.7109375" style="1610"/>
  </cols>
  <sheetData>
    <row r="2" spans="2:12" s="1599" customFormat="1" ht="19.899999999999999" customHeight="1">
      <c r="B2" s="1597" t="s">
        <v>2391</v>
      </c>
      <c r="C2" s="1597"/>
      <c r="D2" s="1598"/>
      <c r="E2" s="1597" t="s">
        <v>2425</v>
      </c>
      <c r="G2" s="1600"/>
      <c r="H2" s="1600" t="s">
        <v>2393</v>
      </c>
      <c r="I2" s="1601"/>
      <c r="J2" s="1602"/>
      <c r="K2" s="1603"/>
      <c r="L2" s="1600"/>
    </row>
    <row r="3" spans="2:12" s="1599" customFormat="1" ht="16.899999999999999" customHeight="1">
      <c r="B3" s="1651" t="s">
        <v>2435</v>
      </c>
      <c r="C3" s="1651"/>
    </row>
    <row r="4" spans="2:12" ht="16.899999999999999" customHeight="1">
      <c r="B4" s="1641"/>
      <c r="C4" s="1641"/>
      <c r="G4" s="1608" t="s">
        <v>2395</v>
      </c>
    </row>
    <row r="5" spans="2:12" ht="16.149999999999999" customHeight="1">
      <c r="B5" s="1609"/>
      <c r="C5" s="1609"/>
      <c r="D5" s="1609"/>
      <c r="E5" s="1609"/>
      <c r="G5" s="1611">
        <v>30</v>
      </c>
      <c r="H5" s="1612"/>
      <c r="I5" s="1613"/>
      <c r="J5" s="1614"/>
      <c r="K5" s="1614"/>
      <c r="L5" s="1614"/>
    </row>
    <row r="6" spans="2:12" ht="16.899999999999999" customHeight="1">
      <c r="B6" s="1630" t="s">
        <v>1253</v>
      </c>
      <c r="C6" s="7715" t="s">
        <v>16246</v>
      </c>
      <c r="D6" s="1652" t="s">
        <v>2396</v>
      </c>
      <c r="E6" s="1653" t="s">
        <v>2397</v>
      </c>
      <c r="F6" s="1654" t="s">
        <v>19</v>
      </c>
      <c r="G6" s="1662" t="s">
        <v>2398</v>
      </c>
      <c r="H6" s="1652" t="s">
        <v>2399</v>
      </c>
      <c r="I6" s="1652" t="s">
        <v>1254</v>
      </c>
      <c r="K6" s="1609"/>
      <c r="L6" s="1609"/>
    </row>
    <row r="7" spans="2:12" ht="16.899999999999999" customHeight="1">
      <c r="B7" s="1656" t="s">
        <v>1255</v>
      </c>
      <c r="C7" s="7719" t="s">
        <v>10486</v>
      </c>
      <c r="D7" s="1621">
        <v>21</v>
      </c>
      <c r="E7" s="1622">
        <f>D7/D17*1000</f>
        <v>202.16606498194943</v>
      </c>
      <c r="F7" s="1623">
        <f>D7/D17</f>
        <v>0.20216606498194944</v>
      </c>
      <c r="G7" s="1663">
        <f>F7*G5</f>
        <v>6.0649819494584829</v>
      </c>
      <c r="H7" s="1625">
        <v>0</v>
      </c>
      <c r="I7" s="1626">
        <f t="shared" ref="I7:I16" si="0">G7*H7</f>
        <v>0</v>
      </c>
      <c r="K7" s="1609"/>
      <c r="L7" s="1609"/>
    </row>
    <row r="8" spans="2:12" ht="16.899999999999999" customHeight="1">
      <c r="B8" s="1656" t="s">
        <v>2436</v>
      </c>
      <c r="C8" s="7719" t="s">
        <v>10486</v>
      </c>
      <c r="D8" s="1621">
        <v>18</v>
      </c>
      <c r="E8" s="1622">
        <f>D8/D17*1000</f>
        <v>173.28519855595667</v>
      </c>
      <c r="F8" s="1628">
        <f>D8/D17</f>
        <v>0.17328519855595667</v>
      </c>
      <c r="G8" s="1663">
        <f>F8*G5</f>
        <v>5.1985559566787005</v>
      </c>
      <c r="H8" s="1625">
        <v>0</v>
      </c>
      <c r="I8" s="1626">
        <f t="shared" si="0"/>
        <v>0</v>
      </c>
      <c r="K8" s="1609"/>
      <c r="L8" s="1609"/>
    </row>
    <row r="9" spans="2:12" ht="16.899999999999999" customHeight="1">
      <c r="B9" s="1610" t="s">
        <v>1257</v>
      </c>
      <c r="C9" s="7720" t="s">
        <v>10486</v>
      </c>
      <c r="D9" s="1621">
        <v>26</v>
      </c>
      <c r="E9" s="1622">
        <f>D9/D17*1000</f>
        <v>250.30084235860411</v>
      </c>
      <c r="F9" s="1628">
        <f>D9/D17</f>
        <v>0.25030084235860411</v>
      </c>
      <c r="G9" s="1663">
        <f>F9*G5</f>
        <v>7.5090252707581238</v>
      </c>
      <c r="H9" s="1625">
        <v>0</v>
      </c>
      <c r="I9" s="1626">
        <f t="shared" si="0"/>
        <v>0</v>
      </c>
      <c r="K9" s="1609"/>
      <c r="L9" s="1609"/>
    </row>
    <row r="10" spans="2:12" ht="16.899999999999999" customHeight="1">
      <c r="B10" s="1656" t="s">
        <v>1258</v>
      </c>
      <c r="C10" s="7719" t="s">
        <v>17874</v>
      </c>
      <c r="D10" s="1621">
        <v>30</v>
      </c>
      <c r="E10" s="1622">
        <f>D10/D17*1000</f>
        <v>288.80866425992781</v>
      </c>
      <c r="F10" s="1628">
        <f>D10/D17</f>
        <v>0.28880866425992779</v>
      </c>
      <c r="G10" s="1663">
        <f>F10*G5</f>
        <v>8.6642599277978345</v>
      </c>
      <c r="H10" s="1625">
        <v>0</v>
      </c>
      <c r="I10" s="1626">
        <f t="shared" si="0"/>
        <v>0</v>
      </c>
      <c r="K10" s="1609"/>
      <c r="L10" s="1609"/>
    </row>
    <row r="11" spans="2:12" ht="16.899999999999999" customHeight="1">
      <c r="B11" s="1656" t="s">
        <v>374</v>
      </c>
      <c r="C11" s="7719" t="s">
        <v>17875</v>
      </c>
      <c r="D11" s="1621">
        <v>6</v>
      </c>
      <c r="E11" s="1622">
        <f>D11/D17*1000</f>
        <v>57.761732851985563</v>
      </c>
      <c r="F11" s="1628">
        <f>D11/D17</f>
        <v>5.7761732851985562E-2</v>
      </c>
      <c r="G11" s="1663">
        <f>F11*G5</f>
        <v>1.7328519855595668</v>
      </c>
      <c r="H11" s="1625">
        <v>0</v>
      </c>
      <c r="I11" s="1626">
        <f t="shared" si="0"/>
        <v>0</v>
      </c>
      <c r="K11" s="1609"/>
      <c r="L11" s="1609"/>
    </row>
    <row r="12" spans="2:12" ht="16.899999999999999" customHeight="1">
      <c r="B12" s="1656" t="s">
        <v>1259</v>
      </c>
      <c r="C12" s="7719" t="s">
        <v>10486</v>
      </c>
      <c r="D12" s="1621">
        <v>1.65</v>
      </c>
      <c r="E12" s="1622">
        <f>D12/D17*1000</f>
        <v>15.884476534296029</v>
      </c>
      <c r="F12" s="1628">
        <f>D12/D17</f>
        <v>1.5884476534296029E-2</v>
      </c>
      <c r="G12" s="1663">
        <f>F12*G5</f>
        <v>0.47653429602888087</v>
      </c>
      <c r="H12" s="1625">
        <v>0</v>
      </c>
      <c r="I12" s="1626">
        <f t="shared" si="0"/>
        <v>0</v>
      </c>
      <c r="K12" s="1609"/>
      <c r="L12" s="1609"/>
    </row>
    <row r="13" spans="2:12" ht="16.899999999999999" customHeight="1">
      <c r="B13" s="1656" t="s">
        <v>1260</v>
      </c>
      <c r="C13" s="7719" t="s">
        <v>10486</v>
      </c>
      <c r="D13" s="1621">
        <v>0.1</v>
      </c>
      <c r="E13" s="1622">
        <f>D13/D17*1000</f>
        <v>0.96269554753309272</v>
      </c>
      <c r="F13" s="1628">
        <f>D13/D17</f>
        <v>9.6269554753309272E-4</v>
      </c>
      <c r="G13" s="1663">
        <f>F13*G5</f>
        <v>2.8880866425992781E-2</v>
      </c>
      <c r="H13" s="1625">
        <v>0</v>
      </c>
      <c r="I13" s="1626">
        <f t="shared" si="0"/>
        <v>0</v>
      </c>
      <c r="K13" s="1609"/>
      <c r="L13" s="1609"/>
    </row>
    <row r="14" spans="2:12" ht="16.899999999999999" customHeight="1">
      <c r="B14" s="1656" t="s">
        <v>1261</v>
      </c>
      <c r="C14" s="7719" t="s">
        <v>10486</v>
      </c>
      <c r="D14" s="1621">
        <v>0.1</v>
      </c>
      <c r="E14" s="1622">
        <f>D14/D17*1000</f>
        <v>0.96269554753309272</v>
      </c>
      <c r="F14" s="1628">
        <f>D14/D17</f>
        <v>9.6269554753309272E-4</v>
      </c>
      <c r="G14" s="1663">
        <f>F14*G5</f>
        <v>2.8880866425992781E-2</v>
      </c>
      <c r="H14" s="1625">
        <v>0</v>
      </c>
      <c r="I14" s="1626">
        <f t="shared" si="0"/>
        <v>0</v>
      </c>
      <c r="K14" s="1609"/>
      <c r="L14" s="1609"/>
    </row>
    <row r="15" spans="2:12" ht="16.899999999999999" customHeight="1">
      <c r="B15" s="1656" t="s">
        <v>2437</v>
      </c>
      <c r="C15" s="7719" t="s">
        <v>10486</v>
      </c>
      <c r="D15" s="1621">
        <v>1</v>
      </c>
      <c r="E15" s="1622">
        <f>D15/D17*1000</f>
        <v>9.6269554753309272</v>
      </c>
      <c r="F15" s="1628">
        <f>D15/D17</f>
        <v>9.6269554753309269E-3</v>
      </c>
      <c r="G15" s="1663">
        <f>F15*G5</f>
        <v>0.28880866425992779</v>
      </c>
      <c r="H15" s="1625">
        <v>0</v>
      </c>
      <c r="I15" s="1626">
        <f t="shared" si="0"/>
        <v>0</v>
      </c>
    </row>
    <row r="16" spans="2:12" ht="16.899999999999999" customHeight="1">
      <c r="B16" s="1656" t="s">
        <v>1262</v>
      </c>
      <c r="C16" s="7719" t="s">
        <v>10486</v>
      </c>
      <c r="D16" s="1621">
        <v>2.5000000000000001E-2</v>
      </c>
      <c r="E16" s="1622">
        <f>D16/D17*1000</f>
        <v>0.24067388688327318</v>
      </c>
      <c r="F16" s="1628">
        <f>D16/D17</f>
        <v>2.4067388688327318E-4</v>
      </c>
      <c r="G16" s="1663">
        <f>F16*G5</f>
        <v>7.2202166064981952E-3</v>
      </c>
      <c r="H16" s="1625">
        <v>0</v>
      </c>
      <c r="I16" s="1626">
        <f t="shared" si="0"/>
        <v>0</v>
      </c>
    </row>
    <row r="17" spans="2:12" ht="16.899999999999999" customHeight="1">
      <c r="B17" s="1630" t="s">
        <v>20</v>
      </c>
      <c r="C17" s="7721"/>
      <c r="D17" s="1631">
        <f>SUM(D7:D16)</f>
        <v>103.875</v>
      </c>
      <c r="E17" s="1632">
        <f>SUM(E7:E16)</f>
        <v>1000.0000000000001</v>
      </c>
      <c r="F17" s="1628">
        <f>SUM(F7:F16)</f>
        <v>1.0000000000000002</v>
      </c>
      <c r="G17" s="1664">
        <f>SUM(G7:G16)</f>
        <v>30</v>
      </c>
      <c r="H17" s="1626">
        <f>I17/G17</f>
        <v>0</v>
      </c>
      <c r="I17" s="1626">
        <f>SUM(I7:I16)</f>
        <v>0</v>
      </c>
      <c r="K17" s="1609"/>
      <c r="L17" s="1609"/>
    </row>
    <row r="18" spans="2:12" ht="16.899999999999999" customHeight="1">
      <c r="B18" s="1634"/>
      <c r="C18" s="1634"/>
      <c r="D18" s="1635"/>
      <c r="E18" s="1635"/>
      <c r="F18" s="1634"/>
      <c r="G18" s="1636"/>
      <c r="H18" s="1636"/>
      <c r="I18" s="1636"/>
      <c r="J18" s="1637"/>
      <c r="K18" s="1609"/>
      <c r="L18" s="1609"/>
    </row>
    <row r="19" spans="2:12" ht="16.899999999999999" customHeight="1">
      <c r="B19" s="1638" t="s">
        <v>2401</v>
      </c>
      <c r="C19" s="1638"/>
      <c r="D19" s="1609"/>
      <c r="E19" s="1639"/>
      <c r="I19" s="1639"/>
      <c r="J19" s="1637"/>
      <c r="K19" s="1609"/>
      <c r="L19" s="1609"/>
    </row>
    <row r="20" spans="2:12" ht="16.899999999999999" customHeight="1">
      <c r="B20" s="1610" t="s">
        <v>2402</v>
      </c>
      <c r="D20" s="1640"/>
      <c r="E20" s="1640"/>
      <c r="I20" s="1639"/>
      <c r="J20" s="1637"/>
      <c r="K20" s="1609"/>
      <c r="L20" s="1609"/>
    </row>
    <row r="21" spans="2:12" ht="16.899999999999999" customHeight="1">
      <c r="B21" s="1610" t="s">
        <v>2403</v>
      </c>
      <c r="D21" s="1640"/>
      <c r="E21" s="1640"/>
      <c r="I21" s="1639"/>
      <c r="J21" s="1637"/>
      <c r="K21" s="1609"/>
      <c r="L21" s="1609"/>
    </row>
    <row r="22" spans="2:12" ht="16.899999999999999" customHeight="1">
      <c r="B22" s="1641" t="s">
        <v>2404</v>
      </c>
      <c r="C22" s="1641"/>
      <c r="D22" s="1642"/>
      <c r="E22" s="1642"/>
      <c r="F22" s="1643"/>
      <c r="G22" s="1644"/>
      <c r="H22" s="1644"/>
      <c r="I22" s="1645"/>
      <c r="J22" s="1645"/>
      <c r="K22" s="1609"/>
      <c r="L22" s="1609"/>
    </row>
    <row r="23" spans="2:12" ht="16.899999999999999" customHeight="1">
      <c r="B23" s="1610" t="s">
        <v>2438</v>
      </c>
      <c r="D23" s="1609"/>
      <c r="J23" s="1609"/>
      <c r="K23" s="1609"/>
      <c r="L23" s="1609"/>
    </row>
    <row r="24" spans="2:12" ht="16.899999999999999" customHeight="1">
      <c r="B24" s="1610" t="s">
        <v>2434</v>
      </c>
      <c r="D24" s="1646"/>
      <c r="J24" s="1609"/>
      <c r="K24" s="1609"/>
      <c r="L24" s="1609"/>
    </row>
    <row r="25" spans="2:12" ht="16.899999999999999" customHeight="1">
      <c r="B25" s="1647" t="s">
        <v>2407</v>
      </c>
      <c r="C25" s="1647"/>
      <c r="D25" s="1609"/>
      <c r="E25" s="1609"/>
      <c r="F25" s="1609"/>
      <c r="G25" s="1614"/>
      <c r="H25" s="1614"/>
      <c r="J25" s="1609"/>
      <c r="K25" s="1609"/>
      <c r="L25" s="1609"/>
    </row>
    <row r="26" spans="2:12" ht="16.899999999999999" customHeight="1">
      <c r="B26" s="1647" t="s">
        <v>2409</v>
      </c>
      <c r="C26" s="1647"/>
      <c r="D26" s="1648" t="s">
        <v>2410</v>
      </c>
      <c r="E26" s="1648" t="s">
        <v>2411</v>
      </c>
      <c r="F26" s="1649"/>
      <c r="G26" s="1609"/>
      <c r="H26" s="1609"/>
      <c r="I26" s="1638" t="s">
        <v>2408</v>
      </c>
      <c r="J26" s="1609"/>
      <c r="K26" s="1609"/>
      <c r="L26" s="1609"/>
    </row>
    <row r="27" spans="2:12" ht="16.899999999999999" customHeight="1">
      <c r="B27" s="1650"/>
      <c r="C27" s="1650"/>
      <c r="D27" s="1648" t="s">
        <v>2412</v>
      </c>
      <c r="E27" s="1648" t="s">
        <v>2413</v>
      </c>
      <c r="F27" s="1649"/>
      <c r="G27" s="1609"/>
      <c r="H27" s="1609"/>
      <c r="J27" s="1609"/>
      <c r="K27" s="1609"/>
      <c r="L27" s="1609"/>
    </row>
    <row r="28" spans="2:12" ht="16.899999999999999" customHeight="1">
      <c r="B28" s="1647" t="s">
        <v>2414</v>
      </c>
      <c r="C28" s="1647"/>
      <c r="F28" s="1609"/>
      <c r="G28" s="1614"/>
      <c r="H28" s="1614"/>
      <c r="J28" s="1609"/>
      <c r="K28" s="1609"/>
      <c r="L28" s="1609"/>
    </row>
    <row r="30" spans="2:12" ht="16.899999999999999" customHeight="1">
      <c r="B30" s="1638" t="s">
        <v>2415</v>
      </c>
      <c r="C30" s="1638"/>
    </row>
    <row r="31" spans="2:12" ht="16.899999999999999" customHeight="1">
      <c r="B31" s="1610" t="s">
        <v>2416</v>
      </c>
      <c r="I31" s="1638" t="s">
        <v>2417</v>
      </c>
    </row>
    <row r="32" spans="2:12" ht="16.899999999999999" customHeight="1">
      <c r="B32" s="1610" t="s">
        <v>2418</v>
      </c>
    </row>
    <row r="33" spans="2:2" ht="16.899999999999999" customHeight="1">
      <c r="B33" s="1610" t="s">
        <v>2419</v>
      </c>
    </row>
    <row r="34" spans="2:2" ht="16.899999999999999" customHeight="1">
      <c r="B34" s="1610" t="s">
        <v>2420</v>
      </c>
    </row>
    <row r="36" spans="2:2" ht="16.899999999999999" customHeight="1">
      <c r="B36" s="1610" t="s">
        <v>2421</v>
      </c>
    </row>
    <row r="37" spans="2:2" ht="16.899999999999999" customHeight="1">
      <c r="B37" s="1610" t="s">
        <v>2422</v>
      </c>
    </row>
    <row r="38" spans="2:2" ht="16.899999999999999" customHeight="1">
      <c r="B38" s="1610" t="s">
        <v>2423</v>
      </c>
    </row>
    <row r="39" spans="2:2" ht="16.899999999999999" customHeight="1">
      <c r="B39" s="1610" t="s">
        <v>2424</v>
      </c>
    </row>
  </sheetData>
  <printOptions horizontalCentered="1"/>
  <pageMargins left="0.23622047244094491" right="7.874015748031496E-2" top="7.874015748031496E-2" bottom="0.11811023622047245" header="0.11811023622047245" footer="7.874015748031496E-2"/>
  <pageSetup paperSize="9" scale="85" orientation="portrait" blackAndWhite="1" horizontalDpi="240" verticalDpi="144" copies="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A2DBA-5FCA-45A7-ADFD-E32FD18907BE}">
  <dimension ref="B2:L40"/>
  <sheetViews>
    <sheetView showGridLines="0" workbookViewId="0">
      <selection activeCell="C6" sqref="C6:C15"/>
    </sheetView>
  </sheetViews>
  <sheetFormatPr baseColWidth="10" defaultColWidth="18.85546875" defaultRowHeight="16.899999999999999" customHeight="1"/>
  <cols>
    <col min="1" max="1" width="4.42578125" style="1648" customWidth="1"/>
    <col min="2" max="2" width="37.140625" style="1674" customWidth="1"/>
    <col min="3" max="3" width="17.7109375" style="1674" customWidth="1"/>
    <col min="4" max="16384" width="18.85546875" style="1648"/>
  </cols>
  <sheetData>
    <row r="2" spans="2:12" s="1598" customFormat="1" ht="21" customHeight="1">
      <c r="B2" s="1597" t="s">
        <v>2391</v>
      </c>
      <c r="C2" s="1597"/>
      <c r="E2" s="1665" t="s">
        <v>2425</v>
      </c>
      <c r="H2" s="1598" t="s">
        <v>2393</v>
      </c>
      <c r="J2" s="1666"/>
      <c r="K2" s="1667"/>
    </row>
    <row r="3" spans="2:12" s="1598" customFormat="1" ht="16.899999999999999" customHeight="1">
      <c r="B3" s="1651" t="s">
        <v>2439</v>
      </c>
      <c r="C3" s="1651"/>
    </row>
    <row r="4" spans="2:12" ht="16.899999999999999" customHeight="1">
      <c r="B4" s="1641"/>
      <c r="C4" s="1641"/>
      <c r="G4" s="1608" t="s">
        <v>2395</v>
      </c>
    </row>
    <row r="5" spans="2:12" ht="16.899999999999999" customHeight="1">
      <c r="B5" s="1668"/>
      <c r="C5" s="1668"/>
      <c r="D5" s="1669"/>
      <c r="E5" s="1669"/>
      <c r="G5" s="1611">
        <v>15</v>
      </c>
      <c r="H5" s="1670"/>
      <c r="I5" s="1671"/>
      <c r="J5" s="1649"/>
      <c r="K5" s="1649"/>
      <c r="L5" s="1649"/>
    </row>
    <row r="6" spans="2:12" ht="16.899999999999999" customHeight="1">
      <c r="B6" s="1630" t="s">
        <v>1253</v>
      </c>
      <c r="C6" s="7715" t="s">
        <v>16246</v>
      </c>
      <c r="D6" s="1616" t="s">
        <v>2396</v>
      </c>
      <c r="E6" s="1617" t="s">
        <v>2397</v>
      </c>
      <c r="F6" s="1618" t="s">
        <v>19</v>
      </c>
      <c r="G6" s="1672" t="s">
        <v>2398</v>
      </c>
      <c r="H6" s="1616" t="s">
        <v>2399</v>
      </c>
      <c r="I6" s="1616" t="s">
        <v>1254</v>
      </c>
      <c r="K6" s="1669"/>
      <c r="L6" s="1669"/>
    </row>
    <row r="7" spans="2:12" ht="16.899999999999999" customHeight="1">
      <c r="B7" s="1656" t="s">
        <v>1255</v>
      </c>
      <c r="C7" s="7719" t="s">
        <v>10486</v>
      </c>
      <c r="D7" s="1621">
        <v>21</v>
      </c>
      <c r="E7" s="1622">
        <f>D7/D18*1000</f>
        <v>202.55606462503016</v>
      </c>
      <c r="F7" s="1623">
        <f>D7/D18</f>
        <v>0.20255606462503015</v>
      </c>
      <c r="G7" s="1673">
        <f>F7*G5</f>
        <v>3.0383409693754522</v>
      </c>
      <c r="H7" s="1625">
        <v>0</v>
      </c>
      <c r="I7" s="1626">
        <f t="shared" ref="I7:I17" si="0">G7*H7</f>
        <v>0</v>
      </c>
      <c r="K7" s="1669"/>
      <c r="L7" s="1669"/>
    </row>
    <row r="8" spans="2:12" ht="16.899999999999999" customHeight="1">
      <c r="B8" s="1656" t="s">
        <v>2440</v>
      </c>
      <c r="C8" s="7719" t="s">
        <v>10486</v>
      </c>
      <c r="D8" s="1621">
        <v>18</v>
      </c>
      <c r="E8" s="1622">
        <f>D8/D18*1000</f>
        <v>173.61948396431157</v>
      </c>
      <c r="F8" s="1628">
        <f>D8/D18</f>
        <v>0.17361948396431157</v>
      </c>
      <c r="G8" s="1673">
        <f>F8*G5</f>
        <v>2.6042922594646734</v>
      </c>
      <c r="H8" s="1625">
        <v>0</v>
      </c>
      <c r="I8" s="1626">
        <f t="shared" si="0"/>
        <v>0</v>
      </c>
      <c r="K8" s="1669"/>
      <c r="L8" s="1669"/>
    </row>
    <row r="9" spans="2:12" ht="16.899999999999999" customHeight="1">
      <c r="B9" s="1674" t="s">
        <v>1257</v>
      </c>
      <c r="C9" s="7720" t="s">
        <v>10486</v>
      </c>
      <c r="D9" s="1621">
        <v>26</v>
      </c>
      <c r="E9" s="1622">
        <f>D9/D18*1000</f>
        <v>250.78369905956117</v>
      </c>
      <c r="F9" s="1628">
        <f>D9/D18</f>
        <v>0.25078369905956116</v>
      </c>
      <c r="G9" s="1673">
        <f>F9*G5</f>
        <v>3.7617554858934175</v>
      </c>
      <c r="H9" s="1625">
        <v>0</v>
      </c>
      <c r="I9" s="1626">
        <f t="shared" si="0"/>
        <v>0</v>
      </c>
      <c r="K9" s="1669"/>
      <c r="L9" s="1669"/>
    </row>
    <row r="10" spans="2:12" ht="16.899999999999999" customHeight="1">
      <c r="B10" s="1656" t="s">
        <v>17871</v>
      </c>
      <c r="C10" s="7719" t="s">
        <v>17874</v>
      </c>
      <c r="D10" s="1621">
        <v>30</v>
      </c>
      <c r="E10" s="1622">
        <f>D10/D18*1000</f>
        <v>289.3658066071859</v>
      </c>
      <c r="F10" s="1628">
        <f>D10/D18</f>
        <v>0.28936580660718592</v>
      </c>
      <c r="G10" s="1673">
        <f>F10*G5</f>
        <v>4.3404870991077891</v>
      </c>
      <c r="H10" s="1625">
        <v>0</v>
      </c>
      <c r="I10" s="1626">
        <f t="shared" si="0"/>
        <v>0</v>
      </c>
      <c r="K10" s="1669"/>
      <c r="L10" s="1669"/>
    </row>
    <row r="11" spans="2:12" ht="16.899999999999999" customHeight="1">
      <c r="B11" s="1656" t="s">
        <v>17872</v>
      </c>
      <c r="C11" s="7719" t="s">
        <v>17875</v>
      </c>
      <c r="D11" s="1621">
        <v>6</v>
      </c>
      <c r="E11" s="1622">
        <f>D11/D18*1000</f>
        <v>57.873161321437181</v>
      </c>
      <c r="F11" s="1628">
        <f>D11/D18</f>
        <v>5.7873161321437182E-2</v>
      </c>
      <c r="G11" s="1673">
        <f>F11*G5</f>
        <v>0.86809741982155775</v>
      </c>
      <c r="H11" s="1625">
        <v>0</v>
      </c>
      <c r="I11" s="1626">
        <f t="shared" si="0"/>
        <v>0</v>
      </c>
      <c r="K11" s="1669"/>
      <c r="L11" s="1669"/>
    </row>
    <row r="12" spans="2:12" ht="16.899999999999999" customHeight="1">
      <c r="B12" s="1656" t="s">
        <v>1259</v>
      </c>
      <c r="C12" s="7719" t="s">
        <v>10486</v>
      </c>
      <c r="D12" s="1621">
        <v>1.65</v>
      </c>
      <c r="E12" s="1622">
        <f>D12/D18*1000</f>
        <v>15.915119363395226</v>
      </c>
      <c r="F12" s="1628">
        <f>D12/D18</f>
        <v>1.5915119363395226E-2</v>
      </c>
      <c r="G12" s="1673">
        <f>F12*G5</f>
        <v>0.23872679045092837</v>
      </c>
      <c r="H12" s="1625">
        <v>0</v>
      </c>
      <c r="I12" s="1626">
        <f t="shared" si="0"/>
        <v>0</v>
      </c>
      <c r="K12" s="1669"/>
      <c r="L12" s="1669"/>
    </row>
    <row r="13" spans="2:12" ht="16.899999999999999" customHeight="1">
      <c r="B13" s="1656" t="s">
        <v>1260</v>
      </c>
      <c r="C13" s="7719" t="s">
        <v>10486</v>
      </c>
      <c r="D13" s="1621">
        <v>0.1</v>
      </c>
      <c r="E13" s="1622">
        <f>D13/D18*1000</f>
        <v>0.96455268869061972</v>
      </c>
      <c r="F13" s="1628">
        <f>D13/D18</f>
        <v>9.6455268869061975E-4</v>
      </c>
      <c r="G13" s="1673">
        <f>F13*G5</f>
        <v>1.4468290330359297E-2</v>
      </c>
      <c r="H13" s="1625">
        <v>0</v>
      </c>
      <c r="I13" s="1626">
        <f t="shared" si="0"/>
        <v>0</v>
      </c>
      <c r="K13" s="1669"/>
      <c r="L13" s="1669"/>
    </row>
    <row r="14" spans="2:12" ht="16.899999999999999" customHeight="1">
      <c r="B14" s="1656" t="s">
        <v>1261</v>
      </c>
      <c r="C14" s="7719" t="s">
        <v>10486</v>
      </c>
      <c r="D14" s="1621">
        <v>0.1</v>
      </c>
      <c r="E14" s="1622">
        <f>D14/D18*1000</f>
        <v>0.96455268869061972</v>
      </c>
      <c r="F14" s="1628">
        <f>D14/D18</f>
        <v>9.6455268869061975E-4</v>
      </c>
      <c r="G14" s="1673">
        <f>F14*G5</f>
        <v>1.4468290330359297E-2</v>
      </c>
      <c r="H14" s="1625">
        <v>0</v>
      </c>
      <c r="I14" s="1626">
        <f t="shared" si="0"/>
        <v>0</v>
      </c>
      <c r="K14" s="1669"/>
      <c r="L14" s="1669"/>
    </row>
    <row r="15" spans="2:12" ht="16.899999999999999" customHeight="1">
      <c r="B15" s="1656" t="s">
        <v>1264</v>
      </c>
      <c r="C15" s="7719" t="s">
        <v>10486</v>
      </c>
      <c r="D15" s="1621">
        <v>0.6</v>
      </c>
      <c r="E15" s="1622">
        <f>D15/D18*1000</f>
        <v>5.7873161321437188</v>
      </c>
      <c r="F15" s="1628">
        <f>D15/D18</f>
        <v>5.7873161321437185E-3</v>
      </c>
      <c r="G15" s="1673">
        <f>F15*G5</f>
        <v>8.6809741982155783E-2</v>
      </c>
      <c r="H15" s="1625">
        <v>0</v>
      </c>
      <c r="I15" s="1626">
        <f t="shared" si="0"/>
        <v>0</v>
      </c>
    </row>
    <row r="16" spans="2:12" ht="16.899999999999999" customHeight="1">
      <c r="B16" s="1656" t="s">
        <v>17873</v>
      </c>
      <c r="C16" s="7719" t="s">
        <v>10486</v>
      </c>
      <c r="D16" s="1621">
        <v>2.5000000000000001E-2</v>
      </c>
      <c r="E16" s="1622">
        <f>D16/D18*1000</f>
        <v>0.24113817217265493</v>
      </c>
      <c r="F16" s="1628">
        <f>D16/D18</f>
        <v>2.4113817217265494E-4</v>
      </c>
      <c r="G16" s="1673">
        <f>F16*G5</f>
        <v>3.6170725825898243E-3</v>
      </c>
      <c r="H16" s="1625">
        <v>0</v>
      </c>
      <c r="I16" s="1626">
        <f t="shared" si="0"/>
        <v>0</v>
      </c>
    </row>
    <row r="17" spans="2:12" ht="16.899999999999999" customHeight="1">
      <c r="B17" s="1656" t="s">
        <v>2441</v>
      </c>
      <c r="C17" s="7721" t="s">
        <v>10486</v>
      </c>
      <c r="D17" s="1621">
        <v>0.2</v>
      </c>
      <c r="E17" s="1622">
        <f>D17/D18*1000</f>
        <v>1.9291053773812394</v>
      </c>
      <c r="F17" s="1628">
        <f>D17/D18</f>
        <v>1.9291053773812395E-3</v>
      </c>
      <c r="G17" s="1673">
        <f>F17*G5</f>
        <v>2.8936580660718594E-2</v>
      </c>
      <c r="H17" s="1625">
        <v>0</v>
      </c>
      <c r="I17" s="1626">
        <f t="shared" si="0"/>
        <v>0</v>
      </c>
    </row>
    <row r="18" spans="2:12" ht="16.899999999999999" customHeight="1">
      <c r="B18" s="1630" t="s">
        <v>20</v>
      </c>
      <c r="C18" s="7714"/>
      <c r="D18" s="1631">
        <f>SUM(D7:D17)</f>
        <v>103.675</v>
      </c>
      <c r="E18" s="1632">
        <f>SUM(E7:E17)</f>
        <v>1000.0000000000002</v>
      </c>
      <c r="F18" s="1628">
        <f>SUM(F7:F17)</f>
        <v>1</v>
      </c>
      <c r="G18" s="1675">
        <f>SUM(G7:G17)</f>
        <v>15.000000000000002</v>
      </c>
      <c r="H18" s="1626">
        <f>I18/G18</f>
        <v>0</v>
      </c>
      <c r="I18" s="1626">
        <f>SUM(I7:I17)</f>
        <v>0</v>
      </c>
      <c r="K18" s="1669"/>
      <c r="L18" s="1669"/>
    </row>
    <row r="19" spans="2:12" ht="16.899999999999999" customHeight="1">
      <c r="B19" s="1676"/>
      <c r="C19" s="1676"/>
      <c r="D19" s="1677"/>
      <c r="E19" s="1677"/>
      <c r="F19" s="1678"/>
      <c r="J19" s="1679"/>
      <c r="K19" s="1669"/>
      <c r="L19" s="1669"/>
    </row>
    <row r="20" spans="2:12" ht="16.899999999999999" customHeight="1">
      <c r="B20" s="1680" t="s">
        <v>2401</v>
      </c>
      <c r="C20" s="1680"/>
      <c r="D20" s="1669"/>
      <c r="E20" s="1681"/>
      <c r="I20" s="1681"/>
      <c r="J20" s="1679"/>
      <c r="K20" s="1669"/>
      <c r="L20" s="1669"/>
    </row>
    <row r="21" spans="2:12" ht="16.899999999999999" customHeight="1">
      <c r="B21" s="1674" t="s">
        <v>2402</v>
      </c>
      <c r="D21" s="1677"/>
      <c r="E21" s="1677"/>
      <c r="I21" s="1681"/>
      <c r="J21" s="1679"/>
      <c r="K21" s="1669"/>
      <c r="L21" s="1669"/>
    </row>
    <row r="22" spans="2:12" ht="16.899999999999999" customHeight="1">
      <c r="B22" s="1674" t="s">
        <v>2403</v>
      </c>
      <c r="D22" s="1677"/>
      <c r="E22" s="1677"/>
      <c r="I22" s="1681"/>
      <c r="J22" s="1679"/>
      <c r="K22" s="1669"/>
      <c r="L22" s="1669"/>
    </row>
    <row r="23" spans="2:12" ht="16.899999999999999" customHeight="1">
      <c r="B23" s="1641" t="s">
        <v>2404</v>
      </c>
      <c r="C23" s="1641"/>
      <c r="D23" s="1682"/>
      <c r="E23" s="1682"/>
      <c r="F23" s="1683"/>
      <c r="G23" s="1684"/>
      <c r="H23" s="1684"/>
      <c r="I23" s="1669"/>
      <c r="J23" s="1669"/>
      <c r="K23" s="1669"/>
      <c r="L23" s="1669"/>
    </row>
    <row r="24" spans="2:12" ht="16.899999999999999" customHeight="1">
      <c r="B24" s="1674" t="s">
        <v>2442</v>
      </c>
      <c r="D24" s="1669"/>
      <c r="J24" s="1669"/>
      <c r="K24" s="1669"/>
      <c r="L24" s="1669"/>
    </row>
    <row r="25" spans="2:12" ht="16.899999999999999" customHeight="1">
      <c r="B25" s="1674" t="s">
        <v>2434</v>
      </c>
      <c r="D25" s="1684"/>
      <c r="I25" s="1685" t="s">
        <v>2408</v>
      </c>
      <c r="J25" s="1669"/>
      <c r="K25" s="1669"/>
      <c r="L25" s="1669"/>
    </row>
    <row r="26" spans="2:12" ht="16.899999999999999" customHeight="1">
      <c r="B26" s="1676" t="s">
        <v>2407</v>
      </c>
      <c r="C26" s="1676"/>
      <c r="D26" s="1669"/>
      <c r="E26" s="1669"/>
      <c r="F26" s="1669"/>
      <c r="G26" s="1649"/>
      <c r="H26" s="1649"/>
      <c r="J26" s="1669"/>
      <c r="K26" s="1669"/>
      <c r="L26" s="1669"/>
    </row>
    <row r="27" spans="2:12" ht="16.899999999999999" customHeight="1">
      <c r="B27" s="1676" t="s">
        <v>2409</v>
      </c>
      <c r="C27" s="1676"/>
      <c r="D27" s="1648" t="s">
        <v>2410</v>
      </c>
      <c r="E27" s="1648" t="s">
        <v>2411</v>
      </c>
      <c r="F27" s="1649"/>
      <c r="G27" s="1669"/>
      <c r="H27" s="1669"/>
      <c r="J27" s="1669"/>
      <c r="K27" s="1669"/>
      <c r="L27" s="1669"/>
    </row>
    <row r="28" spans="2:12" ht="16.899999999999999" customHeight="1">
      <c r="B28" s="1686"/>
      <c r="C28" s="1686"/>
      <c r="D28" s="1648" t="s">
        <v>2412</v>
      </c>
      <c r="E28" s="1648" t="s">
        <v>2413</v>
      </c>
      <c r="F28" s="1649"/>
      <c r="G28" s="1669"/>
      <c r="H28" s="1669"/>
      <c r="J28" s="1669"/>
      <c r="K28" s="1669"/>
      <c r="L28" s="1669"/>
    </row>
    <row r="29" spans="2:12" ht="16.899999999999999" customHeight="1">
      <c r="B29" s="1676" t="s">
        <v>2414</v>
      </c>
      <c r="C29" s="1676"/>
      <c r="F29" s="1669"/>
      <c r="G29" s="1649"/>
      <c r="H29" s="1649"/>
      <c r="J29" s="1669"/>
      <c r="K29" s="1669"/>
      <c r="L29" s="1669"/>
    </row>
    <row r="31" spans="2:12" ht="16.899999999999999" customHeight="1">
      <c r="B31" s="1680" t="s">
        <v>2415</v>
      </c>
      <c r="C31" s="1680"/>
    </row>
    <row r="32" spans="2:12" ht="16.899999999999999" customHeight="1">
      <c r="B32" s="1674" t="s">
        <v>2416</v>
      </c>
      <c r="I32" s="1685" t="s">
        <v>2417</v>
      </c>
    </row>
    <row r="33" spans="2:2" ht="16.899999999999999" customHeight="1">
      <c r="B33" s="1674" t="s">
        <v>2418</v>
      </c>
    </row>
    <row r="34" spans="2:2" ht="16.899999999999999" customHeight="1">
      <c r="B34" s="1674" t="s">
        <v>2419</v>
      </c>
    </row>
    <row r="35" spans="2:2" ht="16.899999999999999" customHeight="1">
      <c r="B35" s="1674" t="s">
        <v>2420</v>
      </c>
    </row>
    <row r="37" spans="2:2" ht="16.899999999999999" customHeight="1">
      <c r="B37" s="1674" t="s">
        <v>2421</v>
      </c>
    </row>
    <row r="38" spans="2:2" ht="16.899999999999999" customHeight="1">
      <c r="B38" s="1674" t="s">
        <v>2422</v>
      </c>
    </row>
    <row r="39" spans="2:2" ht="16.899999999999999" customHeight="1">
      <c r="B39" s="1674" t="s">
        <v>2423</v>
      </c>
    </row>
    <row r="40" spans="2:2" ht="16.899999999999999" customHeight="1">
      <c r="B40" s="1674" t="s">
        <v>2424</v>
      </c>
    </row>
  </sheetData>
  <printOptions horizontalCentered="1"/>
  <pageMargins left="0.23622047244094491" right="7.874015748031496E-2" top="7.874015748031496E-2" bottom="0.11811023622047245" header="0.11811023622047245" footer="7.874015748031496E-2"/>
  <pageSetup paperSize="9" scale="85" orientation="portrait" blackAndWhite="1" horizontalDpi="240" verticalDpi="144" copies="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A0CFB-E157-4584-B8F6-92450D8B58EE}">
  <dimension ref="B2:L40"/>
  <sheetViews>
    <sheetView showGridLines="0" workbookViewId="0">
      <selection activeCell="C6" sqref="C6:C17"/>
    </sheetView>
  </sheetViews>
  <sheetFormatPr baseColWidth="10" defaultColWidth="13" defaultRowHeight="17.45" customHeight="1"/>
  <cols>
    <col min="1" max="1" width="5.7109375" style="1610" customWidth="1"/>
    <col min="2" max="2" width="38.140625" style="1610" customWidth="1"/>
    <col min="3" max="3" width="17.7109375" style="1610" customWidth="1"/>
    <col min="4" max="6" width="18.28515625" style="1610" customWidth="1"/>
    <col min="7" max="7" width="18.28515625" style="1693" customWidth="1"/>
    <col min="8" max="9" width="16.5703125" style="1610" customWidth="1"/>
    <col min="10" max="16384" width="13" style="1610"/>
  </cols>
  <sheetData>
    <row r="2" spans="2:12" s="1599" customFormat="1" ht="19.149999999999999" customHeight="1">
      <c r="B2" s="1597" t="s">
        <v>2391</v>
      </c>
      <c r="C2" s="1597"/>
      <c r="D2" s="1598"/>
      <c r="E2" s="1597" t="s">
        <v>2392</v>
      </c>
      <c r="G2" s="1687"/>
      <c r="H2" s="1600" t="s">
        <v>2393</v>
      </c>
      <c r="I2" s="1601"/>
      <c r="J2" s="1602"/>
      <c r="K2" s="1603"/>
      <c r="L2" s="1600"/>
    </row>
    <row r="3" spans="2:12" s="1599" customFormat="1" ht="17.45" customHeight="1">
      <c r="B3" s="1651" t="s">
        <v>2443</v>
      </c>
      <c r="C3" s="1651"/>
      <c r="G3" s="1688"/>
    </row>
    <row r="4" spans="2:12" ht="17.45" customHeight="1">
      <c r="B4" s="1641"/>
      <c r="C4" s="1641"/>
      <c r="G4" s="1608" t="s">
        <v>2395</v>
      </c>
    </row>
    <row r="5" spans="2:12" ht="17.45" customHeight="1">
      <c r="B5" s="1609"/>
      <c r="C5" s="1609"/>
      <c r="D5" s="1609"/>
      <c r="E5" s="1609"/>
      <c r="G5" s="1611">
        <v>10</v>
      </c>
      <c r="H5" s="1612"/>
      <c r="I5" s="1613"/>
      <c r="J5" s="1614"/>
      <c r="K5" s="1614"/>
      <c r="L5" s="1614"/>
    </row>
    <row r="6" spans="2:12" ht="17.45" customHeight="1">
      <c r="B6" s="1630" t="s">
        <v>1253</v>
      </c>
      <c r="C6" s="7715" t="s">
        <v>16246</v>
      </c>
      <c r="D6" s="1616" t="s">
        <v>2396</v>
      </c>
      <c r="E6" s="1617" t="s">
        <v>2397</v>
      </c>
      <c r="F6" s="1618" t="s">
        <v>19</v>
      </c>
      <c r="G6" s="1689" t="s">
        <v>2398</v>
      </c>
      <c r="H6" s="1616" t="s">
        <v>2399</v>
      </c>
      <c r="I6" s="1616" t="s">
        <v>1254</v>
      </c>
      <c r="K6" s="1609"/>
      <c r="L6" s="1609"/>
    </row>
    <row r="7" spans="2:12" ht="17.45" customHeight="1">
      <c r="B7" s="1656" t="s">
        <v>1255</v>
      </c>
      <c r="C7" s="7719" t="s">
        <v>10486</v>
      </c>
      <c r="D7" s="1621">
        <v>34</v>
      </c>
      <c r="E7" s="1622">
        <f>D7/D18*1000</f>
        <v>324.19547079856977</v>
      </c>
      <c r="F7" s="1623">
        <f>D7/D18</f>
        <v>0.32419547079856975</v>
      </c>
      <c r="G7" s="1690">
        <f>F7*G5</f>
        <v>3.2419547079856974</v>
      </c>
      <c r="H7" s="1625">
        <v>0</v>
      </c>
      <c r="I7" s="1626">
        <f t="shared" ref="I7:I17" si="0">G7*H7</f>
        <v>0</v>
      </c>
      <c r="K7" s="1609"/>
      <c r="L7" s="1609"/>
    </row>
    <row r="8" spans="2:12" ht="17.45" customHeight="1">
      <c r="B8" s="1656" t="s">
        <v>1256</v>
      </c>
      <c r="C8" s="7719" t="s">
        <v>10486</v>
      </c>
      <c r="D8" s="1621">
        <v>16</v>
      </c>
      <c r="E8" s="1622">
        <f>D8/D18*1000</f>
        <v>152.56257449344457</v>
      </c>
      <c r="F8" s="1628">
        <f>D8/D18</f>
        <v>0.15256257449344457</v>
      </c>
      <c r="G8" s="1690">
        <f>F8*G5</f>
        <v>1.5256257449344457</v>
      </c>
      <c r="H8" s="1625">
        <v>0</v>
      </c>
      <c r="I8" s="1626">
        <f t="shared" si="0"/>
        <v>0</v>
      </c>
      <c r="K8" s="1609"/>
      <c r="L8" s="1609"/>
    </row>
    <row r="9" spans="2:12" ht="17.45" customHeight="1">
      <c r="B9" s="1610" t="s">
        <v>1257</v>
      </c>
      <c r="C9" s="7720" t="s">
        <v>10486</v>
      </c>
      <c r="D9" s="1621">
        <v>16</v>
      </c>
      <c r="E9" s="1622">
        <f>D9/D18*1000</f>
        <v>152.56257449344457</v>
      </c>
      <c r="F9" s="1628">
        <f>D9/D18</f>
        <v>0.15256257449344457</v>
      </c>
      <c r="G9" s="1690">
        <f>F9*G5</f>
        <v>1.5256257449344457</v>
      </c>
      <c r="H9" s="1625">
        <v>0</v>
      </c>
      <c r="I9" s="1626">
        <f t="shared" si="0"/>
        <v>0</v>
      </c>
      <c r="K9" s="1609"/>
      <c r="L9" s="1609"/>
    </row>
    <row r="10" spans="2:12" ht="17.45" customHeight="1">
      <c r="B10" s="1656" t="s">
        <v>17871</v>
      </c>
      <c r="C10" s="7719" t="s">
        <v>17874</v>
      </c>
      <c r="D10" s="1621">
        <v>30</v>
      </c>
      <c r="E10" s="1622">
        <f>D10/D18*1000</f>
        <v>286.05482717520857</v>
      </c>
      <c r="F10" s="1628">
        <f>D10/D18</f>
        <v>0.28605482717520858</v>
      </c>
      <c r="G10" s="1690">
        <f>F10*G5</f>
        <v>2.8605482717520858</v>
      </c>
      <c r="H10" s="1625">
        <v>0</v>
      </c>
      <c r="I10" s="1626">
        <f t="shared" si="0"/>
        <v>0</v>
      </c>
      <c r="K10" s="1609"/>
      <c r="L10" s="1609"/>
    </row>
    <row r="11" spans="2:12" ht="17.45" customHeight="1">
      <c r="B11" s="1656" t="s">
        <v>17872</v>
      </c>
      <c r="C11" s="7719" t="s">
        <v>17875</v>
      </c>
      <c r="D11" s="1621">
        <v>6</v>
      </c>
      <c r="E11" s="1622">
        <f>D11/D18*1000</f>
        <v>57.210965435041714</v>
      </c>
      <c r="F11" s="1628">
        <f>D11/D18</f>
        <v>5.7210965435041714E-2</v>
      </c>
      <c r="G11" s="1690">
        <f>F11*G5</f>
        <v>0.57210965435041716</v>
      </c>
      <c r="H11" s="1625">
        <v>0</v>
      </c>
      <c r="I11" s="1626">
        <f t="shared" si="0"/>
        <v>0</v>
      </c>
      <c r="K11" s="1609"/>
      <c r="L11" s="1609"/>
    </row>
    <row r="12" spans="2:12" ht="17.45" customHeight="1">
      <c r="B12" s="1656" t="s">
        <v>1259</v>
      </c>
      <c r="C12" s="7719" t="s">
        <v>10486</v>
      </c>
      <c r="D12" s="1621">
        <v>1.65</v>
      </c>
      <c r="E12" s="1622">
        <f>D12/D18*1000</f>
        <v>15.73301549463647</v>
      </c>
      <c r="F12" s="1628">
        <f>D12/D18</f>
        <v>1.573301549463647E-2</v>
      </c>
      <c r="G12" s="1690">
        <f>F12*G5</f>
        <v>0.15733015494636471</v>
      </c>
      <c r="H12" s="1625">
        <v>0</v>
      </c>
      <c r="I12" s="1626">
        <f t="shared" si="0"/>
        <v>0</v>
      </c>
      <c r="K12" s="1609"/>
      <c r="L12" s="1609"/>
    </row>
    <row r="13" spans="2:12" ht="17.45" customHeight="1">
      <c r="B13" s="1656" t="s">
        <v>1260</v>
      </c>
      <c r="C13" s="7719" t="s">
        <v>10486</v>
      </c>
      <c r="D13" s="1621">
        <v>0.1</v>
      </c>
      <c r="E13" s="1622">
        <f>D13/D18*1000</f>
        <v>0.95351609058402864</v>
      </c>
      <c r="F13" s="1628">
        <f>D13/D18</f>
        <v>9.5351609058402862E-4</v>
      </c>
      <c r="G13" s="1690">
        <f>F13*G5</f>
        <v>9.5351609058402856E-3</v>
      </c>
      <c r="H13" s="1625">
        <v>0</v>
      </c>
      <c r="I13" s="1626">
        <f t="shared" si="0"/>
        <v>0</v>
      </c>
      <c r="K13" s="1609"/>
      <c r="L13" s="1609"/>
    </row>
    <row r="14" spans="2:12" ht="17.45" customHeight="1">
      <c r="B14" s="1656" t="s">
        <v>1261</v>
      </c>
      <c r="C14" s="7719" t="s">
        <v>10486</v>
      </c>
      <c r="D14" s="1621">
        <v>0.1</v>
      </c>
      <c r="E14" s="1622">
        <f>D14/D18*1000</f>
        <v>0.95351609058402864</v>
      </c>
      <c r="F14" s="1628">
        <f>D14/D18</f>
        <v>9.5351609058402862E-4</v>
      </c>
      <c r="G14" s="1690">
        <f>F14*G5</f>
        <v>9.5351609058402856E-3</v>
      </c>
      <c r="H14" s="1625">
        <v>0</v>
      </c>
      <c r="I14" s="1626">
        <f t="shared" si="0"/>
        <v>0</v>
      </c>
      <c r="K14" s="1609"/>
      <c r="L14" s="1609"/>
    </row>
    <row r="15" spans="2:12" ht="17.45" customHeight="1">
      <c r="B15" s="1656" t="s">
        <v>1265</v>
      </c>
      <c r="C15" s="7719" t="s">
        <v>10486</v>
      </c>
      <c r="D15" s="1621">
        <v>1</v>
      </c>
      <c r="E15" s="1622">
        <f>D15/D18*1000</f>
        <v>9.5351609058402857</v>
      </c>
      <c r="F15" s="1628">
        <f>D15/D18</f>
        <v>9.5351609058402856E-3</v>
      </c>
      <c r="G15" s="1690">
        <f>F15*G5</f>
        <v>9.5351609058402856E-2</v>
      </c>
      <c r="H15" s="1625">
        <v>0</v>
      </c>
      <c r="I15" s="1626">
        <f t="shared" si="0"/>
        <v>0</v>
      </c>
    </row>
    <row r="16" spans="2:12" ht="17.45" customHeight="1">
      <c r="B16" s="1656" t="s">
        <v>17873</v>
      </c>
      <c r="C16" s="7722"/>
      <c r="D16" s="1621">
        <v>2.5000000000000001E-2</v>
      </c>
      <c r="E16" s="1622">
        <f>D16/D18*1000</f>
        <v>0.23837902264600716</v>
      </c>
      <c r="F16" s="1628">
        <f>D16/D18</f>
        <v>2.3837902264600716E-4</v>
      </c>
      <c r="G16" s="1690">
        <f>F16*G5</f>
        <v>2.3837902264600714E-3</v>
      </c>
      <c r="H16" s="1625">
        <v>0</v>
      </c>
      <c r="I16" s="1626">
        <f t="shared" si="0"/>
        <v>0</v>
      </c>
    </row>
    <row r="17" spans="2:12" ht="17.45" customHeight="1">
      <c r="B17" s="1656"/>
      <c r="C17" s="7722"/>
      <c r="D17" s="1621">
        <v>0</v>
      </c>
      <c r="E17" s="1622">
        <f>D17/D18*1000</f>
        <v>0</v>
      </c>
      <c r="F17" s="1628">
        <f>D17/D18</f>
        <v>0</v>
      </c>
      <c r="G17" s="1690">
        <f>F17*G5</f>
        <v>0</v>
      </c>
      <c r="H17" s="1625">
        <v>0</v>
      </c>
      <c r="I17" s="1626">
        <f t="shared" si="0"/>
        <v>0</v>
      </c>
    </row>
    <row r="18" spans="2:12" ht="17.45" customHeight="1">
      <c r="B18" s="1630" t="s">
        <v>20</v>
      </c>
      <c r="C18" s="7714"/>
      <c r="D18" s="1631">
        <f>SUM(D7:D17)</f>
        <v>104.875</v>
      </c>
      <c r="E18" s="1632">
        <f>SUM(E7:E17)</f>
        <v>999.99999999999989</v>
      </c>
      <c r="F18" s="1628">
        <f>SUM(F7:F17)</f>
        <v>0.99999999999999989</v>
      </c>
      <c r="G18" s="1691">
        <f>SUM(G7:G17)</f>
        <v>10.000000000000002</v>
      </c>
      <c r="H18" s="1626">
        <f>I18/G18</f>
        <v>0</v>
      </c>
      <c r="I18" s="1626">
        <f>SUM(I7:I17)</f>
        <v>0</v>
      </c>
      <c r="K18" s="1609"/>
      <c r="L18" s="1609"/>
    </row>
    <row r="19" spans="2:12" ht="17.45" customHeight="1">
      <c r="B19" s="1634"/>
      <c r="C19" s="1634"/>
      <c r="D19" s="1635"/>
      <c r="E19" s="1635"/>
      <c r="F19" s="1634"/>
      <c r="G19" s="1692"/>
      <c r="H19" s="1636"/>
      <c r="I19" s="1636"/>
      <c r="J19" s="1637"/>
      <c r="K19" s="1609"/>
      <c r="L19" s="1609"/>
    </row>
    <row r="20" spans="2:12" ht="17.45" customHeight="1">
      <c r="B20" s="1638" t="s">
        <v>2401</v>
      </c>
      <c r="C20" s="1638"/>
      <c r="D20" s="1609"/>
      <c r="E20" s="1639"/>
      <c r="I20" s="1639"/>
      <c r="J20" s="1637"/>
      <c r="K20" s="1609"/>
      <c r="L20" s="1609"/>
    </row>
    <row r="21" spans="2:12" ht="17.45" customHeight="1">
      <c r="B21" s="1610" t="s">
        <v>2402</v>
      </c>
      <c r="D21" s="1640"/>
      <c r="E21" s="1640"/>
      <c r="I21" s="1639"/>
      <c r="J21" s="1637"/>
      <c r="K21" s="1609"/>
      <c r="L21" s="1609"/>
    </row>
    <row r="22" spans="2:12" ht="17.45" customHeight="1">
      <c r="B22" s="1610" t="s">
        <v>2403</v>
      </c>
      <c r="D22" s="1640"/>
      <c r="E22" s="1640"/>
      <c r="I22" s="1639"/>
      <c r="J22" s="1637"/>
      <c r="K22" s="1609"/>
      <c r="L22" s="1609"/>
    </row>
    <row r="23" spans="2:12" ht="17.45" customHeight="1">
      <c r="B23" s="1641" t="s">
        <v>2404</v>
      </c>
      <c r="C23" s="1641"/>
      <c r="D23" s="1642"/>
      <c r="E23" s="1642"/>
      <c r="F23" s="1643"/>
      <c r="G23" s="1694"/>
      <c r="H23" s="1644"/>
      <c r="I23" s="1645"/>
      <c r="J23" s="1645"/>
      <c r="K23" s="1609"/>
      <c r="L23" s="1609"/>
    </row>
    <row r="24" spans="2:12" ht="17.45" customHeight="1">
      <c r="B24" s="1610" t="s">
        <v>2444</v>
      </c>
      <c r="D24" s="1609"/>
      <c r="J24" s="1609"/>
      <c r="K24" s="1609"/>
      <c r="L24" s="1609"/>
    </row>
    <row r="25" spans="2:12" ht="17.45" customHeight="1">
      <c r="B25" s="1610" t="s">
        <v>2434</v>
      </c>
      <c r="D25" s="1646"/>
      <c r="I25" s="1638" t="s">
        <v>2408</v>
      </c>
      <c r="K25" s="1609"/>
      <c r="L25" s="1609"/>
    </row>
    <row r="26" spans="2:12" ht="17.45" customHeight="1">
      <c r="B26" s="1647" t="s">
        <v>2407</v>
      </c>
      <c r="C26" s="1647"/>
      <c r="D26" s="1609"/>
      <c r="E26" s="1609"/>
      <c r="F26" s="1609"/>
      <c r="G26" s="1695"/>
      <c r="H26" s="1614"/>
      <c r="J26" s="1609"/>
      <c r="K26" s="1609"/>
      <c r="L26" s="1609"/>
    </row>
    <row r="27" spans="2:12" ht="17.45" customHeight="1">
      <c r="B27" s="1647" t="s">
        <v>2409</v>
      </c>
      <c r="C27" s="1647"/>
      <c r="D27" s="1648" t="s">
        <v>2410</v>
      </c>
      <c r="E27" s="1648" t="s">
        <v>2411</v>
      </c>
      <c r="F27" s="1649"/>
      <c r="G27" s="1696"/>
      <c r="H27" s="1609"/>
      <c r="J27" s="1609"/>
      <c r="K27" s="1609"/>
      <c r="L27" s="1609"/>
    </row>
    <row r="28" spans="2:12" ht="17.45" customHeight="1">
      <c r="B28" s="1650"/>
      <c r="C28" s="1650"/>
      <c r="D28" s="1648" t="s">
        <v>2412</v>
      </c>
      <c r="E28" s="1648" t="s">
        <v>2413</v>
      </c>
      <c r="F28" s="1649"/>
      <c r="G28" s="1696"/>
      <c r="H28" s="1609"/>
      <c r="J28" s="1609"/>
      <c r="K28" s="1609"/>
      <c r="L28" s="1609"/>
    </row>
    <row r="29" spans="2:12" ht="17.45" customHeight="1">
      <c r="B29" s="1647" t="s">
        <v>2414</v>
      </c>
      <c r="C29" s="1647"/>
      <c r="F29" s="1609"/>
      <c r="G29" s="1695"/>
      <c r="H29" s="1614"/>
      <c r="J29" s="1609"/>
      <c r="K29" s="1609"/>
      <c r="L29" s="1609"/>
    </row>
    <row r="31" spans="2:12" ht="17.45" customHeight="1">
      <c r="B31" s="1638" t="s">
        <v>2415</v>
      </c>
      <c r="C31" s="1638"/>
    </row>
    <row r="32" spans="2:12" ht="17.45" customHeight="1">
      <c r="B32" s="1610" t="s">
        <v>2416</v>
      </c>
      <c r="I32" s="1638" t="s">
        <v>2417</v>
      </c>
    </row>
    <row r="33" spans="2:2" ht="17.45" customHeight="1">
      <c r="B33" s="1610" t="s">
        <v>2418</v>
      </c>
    </row>
    <row r="34" spans="2:2" ht="17.45" customHeight="1">
      <c r="B34" s="1610" t="s">
        <v>2419</v>
      </c>
    </row>
    <row r="35" spans="2:2" ht="17.45" customHeight="1">
      <c r="B35" s="1610" t="s">
        <v>2420</v>
      </c>
    </row>
    <row r="37" spans="2:2" ht="17.45" customHeight="1">
      <c r="B37" s="1610" t="s">
        <v>2421</v>
      </c>
    </row>
    <row r="38" spans="2:2" ht="17.45" customHeight="1">
      <c r="B38" s="1610" t="s">
        <v>2422</v>
      </c>
    </row>
    <row r="39" spans="2:2" ht="17.45" customHeight="1">
      <c r="B39" s="1610" t="s">
        <v>2423</v>
      </c>
    </row>
    <row r="40" spans="2:2" ht="17.45" customHeight="1">
      <c r="B40" s="1610" t="s">
        <v>2424</v>
      </c>
    </row>
  </sheetData>
  <printOptions horizontalCentered="1"/>
  <pageMargins left="0.23622047244094491" right="7.874015748031496E-2" top="7.874015748031496E-2" bottom="0.11811023622047245" header="0.11811023622047245" footer="7.874015748031496E-2"/>
  <pageSetup paperSize="9" scale="85" orientation="portrait" blackAndWhite="1" horizontalDpi="240" verticalDpi="144" copies="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B3903-D218-4011-9138-E2B4602558DA}">
  <dimension ref="B2:L40"/>
  <sheetViews>
    <sheetView showGridLines="0" workbookViewId="0">
      <selection activeCell="K24" sqref="K24"/>
    </sheetView>
  </sheetViews>
  <sheetFormatPr baseColWidth="10" defaultColWidth="13" defaultRowHeight="17.45" customHeight="1"/>
  <cols>
    <col min="1" max="1" width="4.7109375" style="1610" customWidth="1"/>
    <col min="2" max="2" width="36.28515625" style="1610" customWidth="1"/>
    <col min="3" max="3" width="17.7109375" style="1610" customWidth="1"/>
    <col min="4" max="9" width="17.5703125" style="1610" customWidth="1"/>
    <col min="10" max="16384" width="13" style="1610"/>
  </cols>
  <sheetData>
    <row r="2" spans="2:12" s="1599" customFormat="1" ht="19.899999999999999" customHeight="1">
      <c r="B2" s="1597" t="s">
        <v>2391</v>
      </c>
      <c r="C2" s="1597"/>
      <c r="D2" s="1598"/>
      <c r="E2" s="1597" t="s">
        <v>2392</v>
      </c>
      <c r="G2" s="1600"/>
      <c r="H2" s="1600" t="s">
        <v>2393</v>
      </c>
      <c r="I2" s="1601"/>
      <c r="J2" s="1602"/>
      <c r="K2" s="1603"/>
      <c r="L2" s="1600"/>
    </row>
    <row r="3" spans="2:12" s="1605" customFormat="1" ht="17.45" customHeight="1">
      <c r="B3" s="1604" t="s">
        <v>2445</v>
      </c>
      <c r="C3" s="1604"/>
    </row>
    <row r="4" spans="2:12" s="1607" customFormat="1" ht="17.45" customHeight="1">
      <c r="B4" s="1606"/>
      <c r="C4" s="1606"/>
      <c r="G4" s="1608" t="s">
        <v>2395</v>
      </c>
    </row>
    <row r="5" spans="2:12" ht="17.45" customHeight="1">
      <c r="B5" s="1609"/>
      <c r="C5" s="1609"/>
      <c r="D5" s="1609"/>
      <c r="E5" s="1609"/>
      <c r="G5" s="1611">
        <v>10</v>
      </c>
      <c r="H5" s="1612"/>
      <c r="I5" s="1613"/>
      <c r="J5" s="1614"/>
      <c r="K5" s="1614"/>
      <c r="L5" s="1614"/>
    </row>
    <row r="6" spans="2:12" ht="17.45" customHeight="1">
      <c r="B6" s="1615" t="s">
        <v>1253</v>
      </c>
      <c r="C6" s="7715" t="s">
        <v>16246</v>
      </c>
      <c r="D6" s="1616" t="s">
        <v>2396</v>
      </c>
      <c r="E6" s="1617" t="s">
        <v>2397</v>
      </c>
      <c r="F6" s="1618" t="s">
        <v>19</v>
      </c>
      <c r="G6" s="1619" t="s">
        <v>2398</v>
      </c>
      <c r="H6" s="1616" t="s">
        <v>2399</v>
      </c>
      <c r="I6" s="1616" t="s">
        <v>1254</v>
      </c>
      <c r="K6" s="1609"/>
      <c r="L6" s="1609"/>
    </row>
    <row r="7" spans="2:12" ht="17.45" customHeight="1">
      <c r="B7" s="1620" t="s">
        <v>1255</v>
      </c>
      <c r="C7" s="7719" t="s">
        <v>10486</v>
      </c>
      <c r="D7" s="1621">
        <v>32</v>
      </c>
      <c r="E7" s="1622">
        <f>D7/D18*1000</f>
        <v>308.00327253477064</v>
      </c>
      <c r="F7" s="1623">
        <f>D7/D18</f>
        <v>0.30800327253477067</v>
      </c>
      <c r="G7" s="1624">
        <f>F7*G5</f>
        <v>3.0800327253477064</v>
      </c>
      <c r="H7" s="1625">
        <v>0</v>
      </c>
      <c r="I7" s="1626">
        <f>G7*H7</f>
        <v>0</v>
      </c>
      <c r="J7" s="1627"/>
      <c r="K7" s="1609"/>
      <c r="L7" s="1609"/>
    </row>
    <row r="8" spans="2:12" ht="17.45" customHeight="1">
      <c r="B8" s="1620" t="s">
        <v>2427</v>
      </c>
      <c r="C8" s="7719" t="s">
        <v>10486</v>
      </c>
      <c r="D8" s="1621">
        <v>6</v>
      </c>
      <c r="E8" s="1622">
        <f>D8/D18*1000</f>
        <v>57.750613600269503</v>
      </c>
      <c r="F8" s="1628">
        <f>D8/D18</f>
        <v>5.77506136002695E-2</v>
      </c>
      <c r="G8" s="1624">
        <f>F8*G5</f>
        <v>0.57750613600269496</v>
      </c>
      <c r="H8" s="1625">
        <v>0</v>
      </c>
      <c r="I8" s="1626">
        <f t="shared" ref="I8:I17" si="0">G8*H8</f>
        <v>0</v>
      </c>
      <c r="K8" s="1609"/>
      <c r="L8" s="1609"/>
    </row>
    <row r="9" spans="2:12" ht="17.45" customHeight="1">
      <c r="B9" s="1629" t="s">
        <v>1257</v>
      </c>
      <c r="C9" s="7720" t="s">
        <v>10486</v>
      </c>
      <c r="D9" s="1621">
        <v>24</v>
      </c>
      <c r="E9" s="1622">
        <f>D9/D18*1000</f>
        <v>231.00245440107801</v>
      </c>
      <c r="F9" s="1628">
        <f>D9/D18</f>
        <v>0.231002454401078</v>
      </c>
      <c r="G9" s="1624">
        <f>F9*G5</f>
        <v>2.3100245440107798</v>
      </c>
      <c r="H9" s="1625">
        <v>0</v>
      </c>
      <c r="I9" s="1626">
        <f t="shared" si="0"/>
        <v>0</v>
      </c>
      <c r="K9" s="1609"/>
      <c r="L9" s="1609"/>
    </row>
    <row r="10" spans="2:12" ht="17.45" customHeight="1">
      <c r="B10" s="1620" t="s">
        <v>17871</v>
      </c>
      <c r="C10" s="7719" t="s">
        <v>17874</v>
      </c>
      <c r="D10" s="1621">
        <v>30</v>
      </c>
      <c r="E10" s="1622">
        <f>D10/D18*1000</f>
        <v>288.75306800134746</v>
      </c>
      <c r="F10" s="1628">
        <f>D10/D18</f>
        <v>0.28875306800134748</v>
      </c>
      <c r="G10" s="1624">
        <f>F10*G5</f>
        <v>2.8875306800134748</v>
      </c>
      <c r="H10" s="1625">
        <v>0</v>
      </c>
      <c r="I10" s="1626">
        <f t="shared" si="0"/>
        <v>0</v>
      </c>
      <c r="K10" s="1609"/>
      <c r="L10" s="1609"/>
    </row>
    <row r="11" spans="2:12" ht="17.45" customHeight="1">
      <c r="B11" s="1620" t="s">
        <v>17872</v>
      </c>
      <c r="C11" s="7719" t="s">
        <v>17875</v>
      </c>
      <c r="D11" s="1621">
        <v>6</v>
      </c>
      <c r="E11" s="1622">
        <f>D11/D18*1000</f>
        <v>57.750613600269503</v>
      </c>
      <c r="F11" s="1628">
        <f>D11/D18</f>
        <v>5.77506136002695E-2</v>
      </c>
      <c r="G11" s="1624">
        <f>F11*G5</f>
        <v>0.57750613600269496</v>
      </c>
      <c r="H11" s="1625">
        <v>0</v>
      </c>
      <c r="I11" s="1626">
        <f t="shared" si="0"/>
        <v>0</v>
      </c>
      <c r="K11" s="1609"/>
      <c r="L11" s="1609"/>
    </row>
    <row r="12" spans="2:12" ht="17.45" customHeight="1">
      <c r="B12" s="1620" t="s">
        <v>1259</v>
      </c>
      <c r="C12" s="7719" t="s">
        <v>10486</v>
      </c>
      <c r="D12" s="1621">
        <v>1.65</v>
      </c>
      <c r="E12" s="1622">
        <f>D12/D18*1000</f>
        <v>15.88141874007411</v>
      </c>
      <c r="F12" s="1628">
        <f>D12/D18</f>
        <v>1.5881418740074111E-2</v>
      </c>
      <c r="G12" s="1624">
        <f>F12*G5</f>
        <v>0.1588141874007411</v>
      </c>
      <c r="H12" s="1625">
        <v>0</v>
      </c>
      <c r="I12" s="1626">
        <f t="shared" si="0"/>
        <v>0</v>
      </c>
      <c r="K12" s="1609"/>
      <c r="L12" s="1609"/>
    </row>
    <row r="13" spans="2:12" ht="17.45" customHeight="1">
      <c r="B13" s="1620" t="s">
        <v>1260</v>
      </c>
      <c r="C13" s="7719" t="s">
        <v>10486</v>
      </c>
      <c r="D13" s="1621">
        <v>0.12</v>
      </c>
      <c r="E13" s="1622">
        <f>D13/D18*1000</f>
        <v>1.1550122720053899</v>
      </c>
      <c r="F13" s="1628">
        <f>D13/D18</f>
        <v>1.15501227200539E-3</v>
      </c>
      <c r="G13" s="1624">
        <f>F13*G5</f>
        <v>1.15501227200539E-2</v>
      </c>
      <c r="H13" s="1625">
        <v>0</v>
      </c>
      <c r="I13" s="1626">
        <f t="shared" si="0"/>
        <v>0</v>
      </c>
      <c r="K13" s="1609"/>
      <c r="L13" s="1609"/>
    </row>
    <row r="14" spans="2:12" ht="17.45" customHeight="1">
      <c r="B14" s="1620" t="s">
        <v>1261</v>
      </c>
      <c r="C14" s="7719" t="s">
        <v>10486</v>
      </c>
      <c r="D14" s="1621">
        <v>0.1</v>
      </c>
      <c r="E14" s="1622">
        <f>D14/D18*1000</f>
        <v>0.96251022667115838</v>
      </c>
      <c r="F14" s="1628">
        <f>D14/D18</f>
        <v>9.6251022667115838E-4</v>
      </c>
      <c r="G14" s="1624">
        <f>F14*G5</f>
        <v>9.6251022667115833E-3</v>
      </c>
      <c r="H14" s="1625">
        <v>0</v>
      </c>
      <c r="I14" s="1626">
        <f t="shared" si="0"/>
        <v>0</v>
      </c>
      <c r="K14" s="1609"/>
      <c r="L14" s="1609"/>
    </row>
    <row r="15" spans="2:12" ht="17.45" customHeight="1">
      <c r="B15" s="1620" t="s">
        <v>2400</v>
      </c>
      <c r="C15" s="7719" t="s">
        <v>17879</v>
      </c>
      <c r="D15" s="1621">
        <v>0.8</v>
      </c>
      <c r="E15" s="1622">
        <f>D15/D18*1000</f>
        <v>7.700081813369267</v>
      </c>
      <c r="F15" s="1628">
        <f>D15/D18</f>
        <v>7.700081813369267E-3</v>
      </c>
      <c r="G15" s="1624">
        <f>F15*G5</f>
        <v>7.7000818133692667E-2</v>
      </c>
      <c r="H15" s="1625">
        <v>0</v>
      </c>
      <c r="I15" s="1626">
        <f t="shared" si="0"/>
        <v>0</v>
      </c>
    </row>
    <row r="16" spans="2:12" ht="17.45" customHeight="1">
      <c r="B16" s="1620" t="s">
        <v>17873</v>
      </c>
      <c r="C16" s="7722" t="s">
        <v>10486</v>
      </c>
      <c r="D16" s="1621">
        <v>2.5000000000000001E-2</v>
      </c>
      <c r="E16" s="1622">
        <f>D16/D18*1000</f>
        <v>0.24062755666778959</v>
      </c>
      <c r="F16" s="1628">
        <f>D16/D18</f>
        <v>2.4062755666778959E-4</v>
      </c>
      <c r="G16" s="1624">
        <f>F16*G5</f>
        <v>2.4062755666778958E-3</v>
      </c>
      <c r="H16" s="1625">
        <v>0</v>
      </c>
      <c r="I16" s="1626">
        <f t="shared" si="0"/>
        <v>0</v>
      </c>
    </row>
    <row r="17" spans="2:12" ht="17.45" customHeight="1">
      <c r="B17" s="1620" t="s">
        <v>2446</v>
      </c>
      <c r="C17" s="7722"/>
      <c r="D17" s="1621">
        <v>3.2</v>
      </c>
      <c r="E17" s="1622">
        <f>D17/D18*1000</f>
        <v>30.800327253477068</v>
      </c>
      <c r="F17" s="1628">
        <f>D17/D18</f>
        <v>3.0800327253477068E-2</v>
      </c>
      <c r="G17" s="1624">
        <f>F17*G5</f>
        <v>0.30800327253477067</v>
      </c>
      <c r="H17" s="1625">
        <v>0</v>
      </c>
      <c r="I17" s="1626">
        <f t="shared" si="0"/>
        <v>0</v>
      </c>
    </row>
    <row r="18" spans="2:12" ht="17.45" customHeight="1">
      <c r="B18" s="1630" t="s">
        <v>20</v>
      </c>
      <c r="C18" s="7714"/>
      <c r="D18" s="1631">
        <f>SUM(D7:D17)</f>
        <v>103.89500000000001</v>
      </c>
      <c r="E18" s="1632">
        <f>SUM(E7:E17)</f>
        <v>999.99999999999989</v>
      </c>
      <c r="F18" s="1628">
        <f>SUM(F7:F17)</f>
        <v>0.99999999999999978</v>
      </c>
      <c r="G18" s="1633">
        <f>SUM(G7:G17)</f>
        <v>10</v>
      </c>
      <c r="H18" s="1626">
        <f>I18/G18</f>
        <v>0</v>
      </c>
      <c r="I18" s="1626">
        <f>SUM(I7:I17)</f>
        <v>0</v>
      </c>
      <c r="K18" s="1609"/>
      <c r="L18" s="1609"/>
    </row>
    <row r="19" spans="2:12" ht="17.45" customHeight="1">
      <c r="B19" s="1634"/>
      <c r="C19" s="1634"/>
      <c r="D19" s="1635"/>
      <c r="E19" s="1635"/>
      <c r="F19" s="1634"/>
      <c r="G19" s="1636"/>
      <c r="H19" s="1636"/>
      <c r="I19" s="1636"/>
      <c r="J19" s="1637"/>
      <c r="K19" s="1609"/>
      <c r="L19" s="1609"/>
    </row>
    <row r="20" spans="2:12" ht="17.45" customHeight="1">
      <c r="B20" s="1638" t="s">
        <v>2401</v>
      </c>
      <c r="C20" s="1638"/>
      <c r="D20" s="1609"/>
      <c r="E20" s="1639"/>
      <c r="I20" s="1639"/>
      <c r="J20" s="1637"/>
      <c r="K20" s="1609"/>
      <c r="L20" s="1609"/>
    </row>
    <row r="21" spans="2:12" ht="17.45" customHeight="1">
      <c r="B21" s="1610" t="s">
        <v>2402</v>
      </c>
      <c r="D21" s="1640"/>
      <c r="E21" s="1640"/>
      <c r="I21" s="1639"/>
      <c r="J21" s="1637"/>
      <c r="K21" s="1609"/>
      <c r="L21" s="1609"/>
    </row>
    <row r="22" spans="2:12" ht="17.45" customHeight="1">
      <c r="B22" s="1610" t="s">
        <v>2403</v>
      </c>
      <c r="D22" s="1640"/>
      <c r="E22" s="1640"/>
      <c r="I22" s="1639"/>
      <c r="J22" s="1637"/>
      <c r="K22" s="1609"/>
      <c r="L22" s="1609"/>
    </row>
    <row r="23" spans="2:12" ht="17.45" customHeight="1">
      <c r="B23" s="1641" t="s">
        <v>2404</v>
      </c>
      <c r="C23" s="1641"/>
      <c r="D23" s="1642"/>
      <c r="E23" s="1642"/>
      <c r="F23" s="1643"/>
      <c r="G23" s="1644"/>
      <c r="H23" s="1644"/>
      <c r="I23" s="1645"/>
      <c r="J23" s="1645"/>
      <c r="K23" s="1609"/>
      <c r="L23" s="1609"/>
    </row>
    <row r="24" spans="2:12" ht="17.45" customHeight="1">
      <c r="B24" s="1610" t="s">
        <v>2447</v>
      </c>
      <c r="D24" s="1609"/>
      <c r="J24" s="1609"/>
      <c r="K24" s="1609"/>
      <c r="L24" s="1609"/>
    </row>
    <row r="25" spans="2:12" ht="17.45" customHeight="1">
      <c r="B25" s="1610" t="s">
        <v>2448</v>
      </c>
      <c r="D25" s="1646"/>
      <c r="J25" s="1609"/>
      <c r="K25" s="1609"/>
      <c r="L25" s="1609"/>
    </row>
    <row r="26" spans="2:12" ht="17.45" customHeight="1">
      <c r="B26" s="1647" t="s">
        <v>2407</v>
      </c>
      <c r="C26" s="1647"/>
      <c r="D26" s="1609"/>
      <c r="E26" s="1609"/>
      <c r="F26" s="1609"/>
      <c r="G26" s="1614"/>
      <c r="H26" s="1614"/>
      <c r="I26" s="1638" t="s">
        <v>2408</v>
      </c>
      <c r="J26" s="1609"/>
      <c r="K26" s="1609"/>
      <c r="L26" s="1609"/>
    </row>
    <row r="27" spans="2:12" ht="17.45" customHeight="1">
      <c r="B27" s="1647" t="s">
        <v>2409</v>
      </c>
      <c r="C27" s="1647"/>
      <c r="D27" s="1648" t="s">
        <v>2410</v>
      </c>
      <c r="E27" s="1648" t="s">
        <v>2411</v>
      </c>
      <c r="F27" s="1649"/>
      <c r="G27" s="1609"/>
      <c r="H27" s="1609"/>
      <c r="J27" s="1609"/>
      <c r="K27" s="1609"/>
      <c r="L27" s="1609"/>
    </row>
    <row r="28" spans="2:12" ht="17.45" customHeight="1">
      <c r="B28" s="1650"/>
      <c r="C28" s="1650"/>
      <c r="D28" s="1648" t="s">
        <v>2412</v>
      </c>
      <c r="E28" s="1648" t="s">
        <v>2413</v>
      </c>
      <c r="F28" s="1649"/>
      <c r="G28" s="1609"/>
      <c r="H28" s="1609"/>
      <c r="J28" s="1609"/>
      <c r="K28" s="1609"/>
      <c r="L28" s="1609"/>
    </row>
    <row r="29" spans="2:12" ht="17.45" customHeight="1">
      <c r="B29" s="1647" t="s">
        <v>2414</v>
      </c>
      <c r="C29" s="1647"/>
      <c r="F29" s="1609"/>
      <c r="G29" s="1614"/>
      <c r="H29" s="1614"/>
      <c r="J29" s="1609"/>
      <c r="K29" s="1609"/>
      <c r="L29" s="1609"/>
    </row>
    <row r="31" spans="2:12" ht="17.45" customHeight="1">
      <c r="B31" s="1638" t="s">
        <v>2415</v>
      </c>
      <c r="C31" s="1638"/>
    </row>
    <row r="32" spans="2:12" ht="17.45" customHeight="1">
      <c r="B32" s="1610" t="s">
        <v>2416</v>
      </c>
      <c r="I32" s="1638" t="s">
        <v>2417</v>
      </c>
    </row>
    <row r="33" spans="2:2" ht="17.45" customHeight="1">
      <c r="B33" s="1610" t="s">
        <v>2418</v>
      </c>
    </row>
    <row r="34" spans="2:2" ht="17.45" customHeight="1">
      <c r="B34" s="1610" t="s">
        <v>2419</v>
      </c>
    </row>
    <row r="35" spans="2:2" ht="17.45" customHeight="1">
      <c r="B35" s="1610" t="s">
        <v>2420</v>
      </c>
    </row>
    <row r="37" spans="2:2" ht="17.45" customHeight="1">
      <c r="B37" s="1610" t="s">
        <v>2421</v>
      </c>
    </row>
    <row r="38" spans="2:2" ht="17.45" customHeight="1">
      <c r="B38" s="1610" t="s">
        <v>2422</v>
      </c>
    </row>
    <row r="39" spans="2:2" ht="17.45" customHeight="1">
      <c r="B39" s="1610" t="s">
        <v>2423</v>
      </c>
    </row>
    <row r="40" spans="2:2" ht="17.45" customHeight="1">
      <c r="B40" s="1610" t="s">
        <v>2424</v>
      </c>
    </row>
  </sheetData>
  <printOptions horizontalCentered="1"/>
  <pageMargins left="0.23622047244094491" right="7.874015748031496E-2" top="7.874015748031496E-2" bottom="0.11811023622047245" header="0.11811023622047245" footer="7.874015748031496E-2"/>
  <pageSetup paperSize="9" orientation="portrait" blackAndWhite="1" horizontalDpi="240" verticalDpi="144"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1"/>
  <dimension ref="A1:Q74"/>
  <sheetViews>
    <sheetView showGridLines="0" zoomScaleNormal="100" workbookViewId="0">
      <selection activeCell="R33" sqref="R33"/>
    </sheetView>
  </sheetViews>
  <sheetFormatPr baseColWidth="10" defaultRowHeight="16.149999999999999" customHeight="1"/>
  <cols>
    <col min="1" max="1" width="1.7109375" style="478" customWidth="1"/>
    <col min="2" max="16384" width="11.42578125" style="478"/>
  </cols>
  <sheetData>
    <row r="1" spans="1:17" customFormat="1" ht="83.25" customHeight="1">
      <c r="B1" s="8056" t="s">
        <v>1267</v>
      </c>
      <c r="C1" s="8057"/>
      <c r="D1" s="8057"/>
      <c r="E1" s="8057"/>
      <c r="F1" s="8057"/>
      <c r="G1" s="8057"/>
      <c r="H1" s="8057"/>
      <c r="I1" s="8057"/>
      <c r="J1" s="8057"/>
      <c r="K1" s="8057"/>
      <c r="L1" s="8057"/>
      <c r="M1" s="8057"/>
      <c r="N1" s="8057"/>
      <c r="O1" s="8057"/>
      <c r="P1" s="8057"/>
      <c r="Q1" s="8057"/>
    </row>
    <row r="2" spans="1:17" ht="20.100000000000001" customHeight="1">
      <c r="A2" s="486"/>
      <c r="B2" s="486"/>
      <c r="C2" s="486"/>
      <c r="D2" s="486"/>
      <c r="E2" s="486"/>
      <c r="F2" s="486"/>
      <c r="G2" s="486"/>
      <c r="H2" s="486"/>
      <c r="I2" s="486"/>
      <c r="J2" s="486"/>
      <c r="K2" s="486"/>
      <c r="L2" s="486"/>
    </row>
    <row r="3" spans="1:17" ht="24.95" customHeight="1">
      <c r="A3" s="486"/>
      <c r="B3" s="485" t="s">
        <v>1267</v>
      </c>
      <c r="C3" s="486"/>
      <c r="D3" s="486"/>
      <c r="E3" s="486"/>
      <c r="F3" s="486"/>
      <c r="G3" s="486"/>
      <c r="H3" s="486"/>
      <c r="I3" s="486"/>
      <c r="J3" s="486"/>
      <c r="K3" s="486"/>
      <c r="L3" s="486"/>
    </row>
    <row r="4" spans="1:17" ht="24.95" customHeight="1">
      <c r="A4" s="486"/>
      <c r="B4" s="486" t="s">
        <v>1268</v>
      </c>
      <c r="C4" s="486"/>
      <c r="D4" s="486"/>
      <c r="E4" s="486"/>
      <c r="F4" s="486"/>
      <c r="G4" s="486"/>
      <c r="H4" s="486"/>
      <c r="I4" s="486"/>
      <c r="J4" s="486"/>
      <c r="K4" s="486"/>
      <c r="L4" s="486"/>
    </row>
    <row r="5" spans="1:17" ht="24.95" customHeight="1">
      <c r="A5" s="486"/>
      <c r="B5" s="486" t="s">
        <v>1269</v>
      </c>
      <c r="C5" s="486"/>
      <c r="D5" s="486"/>
      <c r="E5" s="486"/>
      <c r="F5" s="486"/>
      <c r="G5" s="486"/>
      <c r="H5" s="486"/>
      <c r="I5" s="486"/>
      <c r="J5" s="486"/>
      <c r="K5" s="486"/>
      <c r="L5" s="486"/>
    </row>
    <row r="6" spans="1:17" ht="24.95" customHeight="1">
      <c r="A6" s="486"/>
      <c r="B6" s="486" t="s">
        <v>1270</v>
      </c>
      <c r="C6" s="486"/>
      <c r="D6" s="486"/>
      <c r="E6" s="486"/>
      <c r="F6" s="486"/>
      <c r="G6" s="486"/>
      <c r="H6" s="486"/>
      <c r="I6" s="486"/>
      <c r="J6" s="486"/>
      <c r="K6" s="486"/>
      <c r="L6" s="486"/>
    </row>
    <row r="7" spans="1:17" ht="24.95" customHeight="1">
      <c r="A7" s="486"/>
      <c r="B7" s="8058" t="s">
        <v>1271</v>
      </c>
      <c r="C7" s="8058"/>
      <c r="D7" s="8058"/>
      <c r="E7" s="8058"/>
      <c r="F7" s="8058"/>
      <c r="G7" s="8058"/>
      <c r="H7" s="8058"/>
      <c r="I7" s="8058"/>
      <c r="J7" s="8058"/>
      <c r="K7" s="486"/>
      <c r="L7" s="486"/>
    </row>
    <row r="8" spans="1:17" ht="24.95" customHeight="1">
      <c r="A8" s="486"/>
      <c r="B8" s="489"/>
      <c r="C8" s="486"/>
      <c r="D8" s="486"/>
      <c r="E8" s="486"/>
      <c r="F8" s="486"/>
      <c r="G8" s="486"/>
      <c r="H8" s="486"/>
      <c r="I8" s="486"/>
      <c r="J8" s="486"/>
      <c r="K8" s="486"/>
      <c r="L8" s="486"/>
    </row>
    <row r="9" spans="1:17" ht="24.95" customHeight="1">
      <c r="A9" s="487"/>
      <c r="B9" s="8059" t="s">
        <v>1274</v>
      </c>
      <c r="C9" s="8059"/>
      <c r="D9" s="8059"/>
      <c r="E9" s="8059"/>
      <c r="F9" s="8059"/>
      <c r="G9" s="486"/>
      <c r="H9" s="486"/>
      <c r="I9" s="486"/>
      <c r="J9" s="486"/>
      <c r="K9" s="486"/>
      <c r="L9" s="486"/>
    </row>
    <row r="10" spans="1:17" ht="24.95" customHeight="1">
      <c r="A10" s="486"/>
      <c r="B10" s="489"/>
      <c r="C10" s="486"/>
      <c r="D10" s="486"/>
      <c r="E10" s="486"/>
      <c r="F10" s="486"/>
      <c r="G10" s="486"/>
      <c r="H10" s="486"/>
      <c r="I10" s="486"/>
      <c r="J10" s="486"/>
      <c r="K10" s="486"/>
      <c r="L10" s="486"/>
    </row>
    <row r="11" spans="1:17" ht="24.95" customHeight="1">
      <c r="A11" s="487"/>
      <c r="B11" s="8058" t="s">
        <v>1275</v>
      </c>
      <c r="C11" s="8058"/>
      <c r="D11" s="8058"/>
      <c r="E11" s="8058"/>
      <c r="F11" s="8058"/>
      <c r="G11" s="8058"/>
      <c r="H11" s="8058"/>
      <c r="I11" s="8058"/>
      <c r="J11" s="487"/>
      <c r="K11" s="487"/>
      <c r="L11" s="487"/>
      <c r="M11" s="487"/>
      <c r="N11" s="487"/>
    </row>
    <row r="12" spans="1:17" ht="24.95" customHeight="1">
      <c r="A12" s="487"/>
      <c r="B12" s="489"/>
      <c r="C12" s="487"/>
      <c r="D12" s="487"/>
      <c r="E12" s="487"/>
      <c r="F12" s="487"/>
      <c r="G12" s="487"/>
      <c r="H12" s="487"/>
      <c r="I12" s="487"/>
      <c r="J12" s="487"/>
      <c r="K12" s="487"/>
      <c r="L12" s="487"/>
      <c r="M12" s="487"/>
      <c r="N12" s="487"/>
    </row>
    <row r="13" spans="1:17" ht="24.95" customHeight="1">
      <c r="A13" s="487"/>
      <c r="B13" s="8058" t="s">
        <v>1276</v>
      </c>
      <c r="C13" s="8058"/>
      <c r="D13" s="8058"/>
      <c r="E13" s="8058"/>
      <c r="F13" s="8058"/>
      <c r="G13" s="8058"/>
      <c r="H13" s="8058"/>
      <c r="I13" s="8058"/>
      <c r="J13" s="8058"/>
      <c r="K13" s="8058"/>
      <c r="L13" s="8058"/>
      <c r="M13" s="8058"/>
      <c r="N13" s="8058"/>
    </row>
    <row r="14" spans="1:17" ht="24.95" customHeight="1">
      <c r="A14" s="487"/>
      <c r="B14" s="489"/>
      <c r="C14" s="487"/>
      <c r="D14" s="487"/>
      <c r="E14" s="487"/>
      <c r="F14" s="487"/>
      <c r="G14" s="487"/>
      <c r="H14" s="487"/>
      <c r="I14" s="487"/>
      <c r="J14" s="487"/>
      <c r="K14" s="487"/>
      <c r="L14" s="487"/>
      <c r="M14" s="487"/>
      <c r="N14" s="487"/>
    </row>
    <row r="15" spans="1:17" ht="24.95" customHeight="1">
      <c r="A15" s="487"/>
      <c r="B15" s="8058" t="s">
        <v>1276</v>
      </c>
      <c r="C15" s="8058"/>
      <c r="D15" s="8058"/>
      <c r="E15" s="8058"/>
      <c r="F15" s="8058"/>
      <c r="G15" s="8058"/>
      <c r="H15" s="8058"/>
      <c r="I15" s="8058"/>
      <c r="J15" s="8058"/>
      <c r="K15" s="8058"/>
      <c r="L15" s="8058"/>
      <c r="M15" s="8058"/>
      <c r="N15" s="8058"/>
    </row>
    <row r="16" spans="1:17" ht="24.95" customHeight="1">
      <c r="A16" s="486"/>
      <c r="B16" s="489"/>
      <c r="C16" s="486"/>
      <c r="D16" s="486"/>
      <c r="E16" s="486"/>
      <c r="F16" s="486"/>
      <c r="G16" s="486"/>
      <c r="H16" s="486"/>
      <c r="I16" s="486"/>
      <c r="J16" s="486"/>
      <c r="K16" s="486"/>
      <c r="L16" s="486"/>
    </row>
    <row r="17" spans="1:17" ht="24.95" customHeight="1">
      <c r="A17" s="487"/>
      <c r="B17" s="8058" t="s">
        <v>1277</v>
      </c>
      <c r="C17" s="8058"/>
      <c r="D17" s="8058"/>
      <c r="E17" s="8058"/>
      <c r="F17" s="8058"/>
      <c r="G17" s="8058"/>
      <c r="H17" s="8058"/>
      <c r="I17" s="8058"/>
      <c r="J17" s="8058"/>
      <c r="K17" s="8058"/>
      <c r="L17" s="8058"/>
      <c r="M17" s="8058"/>
      <c r="N17" s="8058"/>
      <c r="O17" s="8058"/>
      <c r="P17" s="8058"/>
    </row>
    <row r="18" spans="1:17" ht="24.95" customHeight="1">
      <c r="A18" s="486"/>
      <c r="B18" s="489"/>
      <c r="C18" s="486"/>
      <c r="D18" s="486"/>
      <c r="E18" s="486"/>
      <c r="F18" s="486"/>
      <c r="G18" s="486"/>
      <c r="H18" s="486"/>
      <c r="I18" s="486"/>
      <c r="J18" s="486"/>
      <c r="K18" s="486"/>
      <c r="L18" s="486"/>
    </row>
    <row r="19" spans="1:17" ht="24.95" customHeight="1">
      <c r="A19" s="486"/>
      <c r="B19" s="487" t="s">
        <v>1272</v>
      </c>
      <c r="C19" s="487"/>
      <c r="D19" s="488" t="s">
        <v>1273</v>
      </c>
      <c r="E19" s="487"/>
      <c r="F19" s="487"/>
      <c r="G19" s="487"/>
      <c r="H19" s="487"/>
      <c r="I19" s="486"/>
      <c r="J19" s="486"/>
      <c r="K19" s="486"/>
      <c r="L19" s="486"/>
    </row>
    <row r="20" spans="1:17" ht="16.149999999999999" customHeight="1">
      <c r="A20" s="486"/>
      <c r="B20" s="486"/>
      <c r="C20" s="486"/>
      <c r="D20" s="486"/>
      <c r="E20" s="486"/>
      <c r="F20" s="486"/>
      <c r="G20" s="486"/>
      <c r="H20" s="486"/>
      <c r="I20" s="486"/>
      <c r="J20" s="486"/>
      <c r="K20" s="486"/>
      <c r="L20" s="486"/>
    </row>
    <row r="21" spans="1:17" ht="16.149999999999999" customHeight="1">
      <c r="B21" s="483"/>
    </row>
    <row r="31" spans="1:17" ht="16.149999999999999" customHeight="1">
      <c r="A31" s="476" t="s">
        <v>1252</v>
      </c>
      <c r="B31" s="477"/>
      <c r="C31" s="477"/>
      <c r="D31" s="477"/>
      <c r="E31" s="477"/>
      <c r="F31" s="476"/>
      <c r="G31" s="477"/>
      <c r="H31" s="477"/>
      <c r="I31" s="477"/>
      <c r="J31" s="477"/>
      <c r="K31" s="477"/>
      <c r="L31" s="477"/>
      <c r="M31" s="476"/>
      <c r="N31" s="477"/>
      <c r="O31" s="477"/>
    </row>
    <row r="32" spans="1:17" ht="21.6" customHeight="1">
      <c r="K32" s="479"/>
      <c r="L32" s="479"/>
      <c r="M32" s="479"/>
      <c r="N32" s="479"/>
      <c r="O32" s="479"/>
      <c r="P32" s="479"/>
      <c r="Q32" s="479"/>
    </row>
    <row r="33" spans="10:17" ht="16.149999999999999" customHeight="1">
      <c r="K33" s="480"/>
      <c r="L33" s="480"/>
      <c r="M33" s="480"/>
      <c r="N33" s="480"/>
      <c r="O33" s="480"/>
      <c r="P33" s="480"/>
      <c r="Q33" s="480"/>
    </row>
    <row r="34" spans="10:17" ht="16.149999999999999" customHeight="1">
      <c r="K34" s="480"/>
      <c r="L34" s="480"/>
      <c r="M34" s="480"/>
      <c r="N34" s="480"/>
      <c r="O34" s="480"/>
      <c r="P34" s="480"/>
      <c r="Q34" s="480"/>
    </row>
    <row r="35" spans="10:17" ht="16.149999999999999" customHeight="1">
      <c r="J35" s="481"/>
      <c r="K35" s="481"/>
      <c r="L35" s="481"/>
      <c r="M35" s="481"/>
      <c r="N35" s="481"/>
      <c r="O35" s="481"/>
      <c r="P35" s="481"/>
      <c r="Q35" s="481"/>
    </row>
    <row r="49" spans="1:15" ht="16.149999999999999" customHeight="1">
      <c r="A49" s="476" t="s">
        <v>1252</v>
      </c>
      <c r="B49" s="477"/>
      <c r="C49" s="477"/>
      <c r="D49" s="477"/>
      <c r="E49" s="477"/>
      <c r="F49" s="476"/>
      <c r="G49" s="477"/>
      <c r="H49" s="477"/>
      <c r="I49" s="477"/>
      <c r="J49" s="477"/>
      <c r="K49" s="477"/>
      <c r="L49" s="477"/>
      <c r="M49" s="476"/>
      <c r="N49" s="477"/>
      <c r="O49" s="477"/>
    </row>
    <row r="72" spans="1:15" ht="16.149999999999999" customHeight="1">
      <c r="A72" s="484" t="s">
        <v>1266</v>
      </c>
    </row>
    <row r="74" spans="1:15" ht="16.149999999999999" customHeight="1">
      <c r="A74" s="482" t="s">
        <v>1263</v>
      </c>
      <c r="B74" s="482"/>
      <c r="C74" s="482"/>
      <c r="D74" s="482"/>
      <c r="E74" s="482"/>
      <c r="F74" s="482"/>
      <c r="G74" s="482"/>
      <c r="H74" s="482"/>
      <c r="I74" s="482"/>
      <c r="J74" s="482"/>
      <c r="K74" s="482"/>
      <c r="L74" s="482"/>
      <c r="M74" s="482"/>
      <c r="N74" s="482"/>
      <c r="O74" s="482"/>
    </row>
  </sheetData>
  <mergeCells count="7">
    <mergeCell ref="B1:Q1"/>
    <mergeCell ref="B7:J7"/>
    <mergeCell ref="B17:P17"/>
    <mergeCell ref="B15:N15"/>
    <mergeCell ref="B13:N13"/>
    <mergeCell ref="B11:I11"/>
    <mergeCell ref="B9:F9"/>
  </mergeCells>
  <hyperlinks>
    <hyperlink ref="B7" r:id="rId1" display="http://michelmariette.over-blog.fr/" xr:uid="{00000000-0004-0000-0400-000000000000}"/>
    <hyperlink ref="D19" r:id="rId2" xr:uid="{00000000-0004-0000-0400-000001000000}"/>
    <hyperlink ref="B9" r:id="rId3" tooltip="GPAO SALAISON jambon cuit -" display="http://michelmariette.over-blog.fr/2016/12/gpao-salaison.html" xr:uid="{00000000-0004-0000-0400-000002000000}"/>
    <hyperlink ref="B17" r:id="rId4" xr:uid="{00000000-0004-0000-0400-000003000000}"/>
    <hyperlink ref="B15" r:id="rId5" xr:uid="{00000000-0004-0000-0400-000004000000}"/>
    <hyperlink ref="B13" r:id="rId6" xr:uid="{00000000-0004-0000-0400-000005000000}"/>
    <hyperlink ref="B11" r:id="rId7" xr:uid="{00000000-0004-0000-0400-000006000000}"/>
  </hyperlinks>
  <pageMargins left="0.7" right="0.7" top="0.75" bottom="0.75" header="0.3" footer="0.3"/>
  <pageSetup paperSize="9" orientation="portrait" r:id="rId8"/>
  <drawing r:id="rId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F2E96-9646-4E37-81E9-0AD223DAEF0B}">
  <dimension ref="A1"/>
  <sheetViews>
    <sheetView showGridLines="0" workbookViewId="0">
      <selection activeCell="J38" sqref="J38"/>
    </sheetView>
  </sheetViews>
  <sheetFormatPr baseColWidth="10" defaultRowHeight="12"/>
  <cols>
    <col min="1" max="16384" width="11.42578125" style="478"/>
  </cols>
  <sheetData>
    <row r="1" spans="1:1" s="482" customFormat="1" ht="19.149999999999999" customHeight="1">
      <c r="A1" s="482" t="s">
        <v>1263</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83EE4-DFCA-461D-A7CB-15A86EE8F747}">
  <dimension ref="A1:O107"/>
  <sheetViews>
    <sheetView workbookViewId="0">
      <selection activeCell="O26" sqref="O26"/>
    </sheetView>
  </sheetViews>
  <sheetFormatPr baseColWidth="10" defaultRowHeight="15"/>
  <cols>
    <col min="1" max="12" width="11.42578125" style="3170"/>
    <col min="15" max="15" width="86" customWidth="1"/>
    <col min="16" max="16384" width="11.42578125" style="3170"/>
  </cols>
  <sheetData>
    <row r="1" spans="1:15">
      <c r="A1" s="2732" t="str">
        <f>ADDRESS(ROW(),COLUMN(),4)</f>
        <v>A1</v>
      </c>
      <c r="B1" s="12"/>
      <c r="C1" s="12"/>
      <c r="D1" s="12"/>
      <c r="E1" s="12"/>
      <c r="F1" s="12"/>
      <c r="G1" s="12"/>
      <c r="H1" s="12"/>
      <c r="I1" s="12"/>
      <c r="J1" s="12"/>
      <c r="K1" s="12"/>
      <c r="L1" s="12"/>
      <c r="M1" s="2730">
        <v>1</v>
      </c>
      <c r="N1" s="2953" t="str">
        <f>SUBSTITUTE(ADDRESS(1,COLUMN(),4),"1","")</f>
        <v>N</v>
      </c>
      <c r="O1" s="2954" t="str">
        <f>SUBSTITUTE(ADDRESS(1,COLUMN(),4),"1","")</f>
        <v>O</v>
      </c>
    </row>
    <row r="2" spans="1:15">
      <c r="A2" s="12"/>
      <c r="B2" s="12"/>
      <c r="C2" s="12"/>
      <c r="D2" s="12"/>
      <c r="E2" s="12"/>
      <c r="F2" s="12"/>
      <c r="G2" s="12"/>
      <c r="H2" s="12"/>
      <c r="I2" s="12"/>
      <c r="J2" s="12"/>
      <c r="K2" s="12"/>
      <c r="L2" s="12"/>
      <c r="M2" s="2730">
        <v>1</v>
      </c>
      <c r="N2" s="2955" t="s">
        <v>7185</v>
      </c>
      <c r="O2" s="2956"/>
    </row>
    <row r="3" spans="1:15" ht="15.75">
      <c r="A3" s="12"/>
      <c r="B3" s="12"/>
      <c r="C3" s="12"/>
      <c r="D3" s="12"/>
      <c r="E3" s="12"/>
      <c r="F3" s="12"/>
      <c r="G3" s="12"/>
      <c r="H3" s="12"/>
      <c r="I3" s="12"/>
      <c r="J3" s="12"/>
      <c r="K3" s="12"/>
      <c r="L3" s="12"/>
      <c r="M3" s="2730">
        <v>1</v>
      </c>
      <c r="N3" s="2958">
        <f>COUNTA(A1:M107) + COUNTBLANK(A1:M107)</f>
        <v>1391</v>
      </c>
      <c r="O3" s="2959" t="str">
        <f>"cellules entre -cells -celdas  "&amp;" " &amp;A1&amp;" et  "&amp;M107</f>
        <v>cellules entre -cells -celdas   A1 et  M107</v>
      </c>
    </row>
    <row r="4" spans="1:15" ht="15.75">
      <c r="A4" s="12"/>
      <c r="B4" s="12"/>
      <c r="C4" s="12"/>
      <c r="D4" s="12"/>
      <c r="E4" s="12"/>
      <c r="F4" s="12"/>
      <c r="G4" s="12"/>
      <c r="H4" s="12"/>
      <c r="I4" s="12"/>
      <c r="J4" s="12"/>
      <c r="K4" s="12"/>
      <c r="L4" s="12"/>
      <c r="M4" s="2730">
        <v>1</v>
      </c>
      <c r="N4" s="2958">
        <f>COUNTA(A1:M107)</f>
        <v>172</v>
      </c>
      <c r="O4" s="2959" t="s">
        <v>7190</v>
      </c>
    </row>
    <row r="5" spans="1:15" ht="15.75">
      <c r="A5" s="12"/>
      <c r="B5" s="12"/>
      <c r="C5" s="12"/>
      <c r="D5" s="12"/>
      <c r="E5" s="12"/>
      <c r="F5" s="12"/>
      <c r="G5" s="12"/>
      <c r="H5" s="12"/>
      <c r="I5" s="12"/>
      <c r="J5" s="12"/>
      <c r="K5" s="12"/>
      <c r="L5" s="12"/>
      <c r="M5" s="2730">
        <v>1</v>
      </c>
      <c r="N5" s="2958">
        <f>COUNTBLANK(A1:M107)</f>
        <v>1219</v>
      </c>
      <c r="O5" s="2959" t="s">
        <v>7191</v>
      </c>
    </row>
    <row r="6" spans="1:15" ht="15.75">
      <c r="A6" s="12"/>
      <c r="B6" s="12"/>
      <c r="C6" s="12"/>
      <c r="D6" s="12"/>
      <c r="E6" s="12"/>
      <c r="F6" s="12"/>
      <c r="G6" s="12"/>
      <c r="H6" s="12"/>
      <c r="I6" s="12"/>
      <c r="J6" s="12"/>
      <c r="K6" s="12"/>
      <c r="L6" s="12"/>
      <c r="M6" s="2730">
        <v>1</v>
      </c>
      <c r="N6" s="2958">
        <f>SUM(M1:M105)+2</f>
        <v>107</v>
      </c>
      <c r="O6" s="2959" t="s">
        <v>7194</v>
      </c>
    </row>
    <row r="7" spans="1:15" ht="15.75">
      <c r="A7" s="12"/>
      <c r="B7" s="12"/>
      <c r="C7" s="12"/>
      <c r="D7" s="12"/>
      <c r="E7" s="12"/>
      <c r="F7" s="12"/>
      <c r="G7" s="12"/>
      <c r="H7" s="12"/>
      <c r="I7" s="12"/>
      <c r="J7" s="12"/>
      <c r="K7" s="12"/>
      <c r="L7" s="12"/>
      <c r="M7" s="2730">
        <v>1</v>
      </c>
      <c r="N7" s="2958" cm="1">
        <f t="array" ref="N7">SUM(A107:L107+1)</f>
        <v>24</v>
      </c>
      <c r="O7" s="2959" t="s">
        <v>7197</v>
      </c>
    </row>
    <row r="8" spans="1:15" ht="18.75">
      <c r="A8" s="739"/>
      <c r="B8" s="744" t="s">
        <v>16195</v>
      </c>
      <c r="C8" s="12"/>
      <c r="D8" s="12"/>
      <c r="E8" s="12"/>
      <c r="F8" s="12"/>
      <c r="G8" s="12"/>
      <c r="H8" s="12"/>
      <c r="I8" s="12"/>
      <c r="J8" s="12"/>
      <c r="K8" s="12"/>
      <c r="L8" s="12"/>
      <c r="M8" s="2730">
        <v>1</v>
      </c>
      <c r="N8" s="2958"/>
      <c r="O8" s="2959"/>
    </row>
    <row r="9" spans="1:15" ht="31.5">
      <c r="A9" s="12"/>
      <c r="B9" s="7611" t="s">
        <v>16196</v>
      </c>
      <c r="C9" s="12"/>
      <c r="D9" s="12"/>
      <c r="E9" s="12"/>
      <c r="F9" s="12"/>
      <c r="G9" s="12"/>
      <c r="H9" s="12"/>
      <c r="I9" s="12"/>
      <c r="J9" s="12"/>
      <c r="K9" s="12"/>
      <c r="L9" s="12"/>
      <c r="M9" s="2730">
        <v>1</v>
      </c>
    </row>
    <row r="10" spans="1:15">
      <c r="A10" s="12"/>
      <c r="B10" s="12"/>
      <c r="C10" s="12"/>
      <c r="D10" s="12"/>
      <c r="E10" s="12"/>
      <c r="F10" s="12"/>
      <c r="G10" s="12"/>
      <c r="H10" s="12"/>
      <c r="I10" s="12"/>
      <c r="J10" s="12"/>
      <c r="K10" s="12"/>
      <c r="L10" s="12"/>
      <c r="M10" s="2730">
        <v>1</v>
      </c>
    </row>
    <row r="11" spans="1:15" ht="23.25">
      <c r="A11" s="12"/>
      <c r="B11" s="3187" t="s">
        <v>16197</v>
      </c>
      <c r="C11" s="12"/>
      <c r="D11" s="12"/>
      <c r="E11" s="12"/>
      <c r="F11" s="12"/>
      <c r="G11" s="12"/>
      <c r="H11" s="12"/>
      <c r="I11" s="12"/>
      <c r="J11" s="12"/>
      <c r="K11" s="12"/>
      <c r="L11" s="12"/>
      <c r="M11" s="2730">
        <v>1</v>
      </c>
    </row>
    <row r="12" spans="1:15">
      <c r="A12" s="12"/>
      <c r="B12" s="12"/>
      <c r="C12" s="12"/>
      <c r="D12" s="12"/>
      <c r="E12" s="12"/>
      <c r="F12" s="12"/>
      <c r="G12" s="12"/>
      <c r="H12" s="12"/>
      <c r="I12" s="12"/>
      <c r="J12" s="12"/>
      <c r="K12" s="12"/>
      <c r="L12" s="12"/>
      <c r="M12" s="2730">
        <v>1</v>
      </c>
    </row>
    <row r="13" spans="1:15">
      <c r="A13" s="12"/>
      <c r="B13" s="12" t="s">
        <v>16198</v>
      </c>
      <c r="C13" s="12"/>
      <c r="D13" s="12"/>
      <c r="E13" s="12"/>
      <c r="F13" s="12"/>
      <c r="G13" s="12"/>
      <c r="H13" s="12"/>
      <c r="I13" s="12"/>
      <c r="J13" s="12"/>
      <c r="K13" s="12"/>
      <c r="L13" s="12"/>
      <c r="M13" s="2730">
        <v>1</v>
      </c>
    </row>
    <row r="14" spans="1:15">
      <c r="A14" s="12"/>
      <c r="B14" s="12"/>
      <c r="C14" s="12"/>
      <c r="D14" s="12"/>
      <c r="E14" s="12"/>
      <c r="F14" s="12"/>
      <c r="G14" s="12"/>
      <c r="H14" s="12"/>
      <c r="I14" s="12"/>
      <c r="J14" s="12"/>
      <c r="K14" s="12"/>
      <c r="L14" s="12"/>
      <c r="M14" s="2730">
        <v>1</v>
      </c>
    </row>
    <row r="15" spans="1:15">
      <c r="A15" s="12"/>
      <c r="B15" s="3183" t="s">
        <v>16199</v>
      </c>
      <c r="C15" s="12"/>
      <c r="D15" s="12"/>
      <c r="E15" s="12"/>
      <c r="F15" s="12"/>
      <c r="G15" s="12"/>
      <c r="H15" s="12"/>
      <c r="I15" s="12"/>
      <c r="J15" s="12"/>
      <c r="K15" s="12"/>
      <c r="L15" s="12"/>
      <c r="M15" s="2730">
        <v>1</v>
      </c>
    </row>
    <row r="16" spans="1:15">
      <c r="A16" s="12"/>
      <c r="B16" s="12"/>
      <c r="C16" s="12"/>
      <c r="D16" s="12"/>
      <c r="E16" s="12"/>
      <c r="F16" s="12"/>
      <c r="G16" s="12"/>
      <c r="H16" s="12"/>
      <c r="I16" s="12"/>
      <c r="J16" s="12"/>
      <c r="K16" s="12"/>
      <c r="L16" s="12"/>
      <c r="M16" s="2730">
        <v>1</v>
      </c>
    </row>
    <row r="17" spans="1:13">
      <c r="A17" s="12"/>
      <c r="B17" s="7752" t="s">
        <v>16200</v>
      </c>
      <c r="C17" s="7752"/>
      <c r="D17" s="7752"/>
      <c r="E17" s="7752"/>
      <c r="F17" s="7752"/>
      <c r="G17" s="7752"/>
      <c r="H17" s="7752"/>
      <c r="I17" s="7752"/>
      <c r="J17" s="7752"/>
      <c r="K17" s="7752"/>
      <c r="L17" s="12"/>
      <c r="M17" s="2730">
        <v>1</v>
      </c>
    </row>
    <row r="18" spans="1:13">
      <c r="A18" s="12"/>
      <c r="B18" s="7752"/>
      <c r="C18" s="7752"/>
      <c r="D18" s="7752"/>
      <c r="E18" s="7752"/>
      <c r="F18" s="7752"/>
      <c r="G18" s="7752"/>
      <c r="H18" s="7752"/>
      <c r="I18" s="7752"/>
      <c r="J18" s="7752"/>
      <c r="K18" s="7752"/>
      <c r="L18" s="12"/>
      <c r="M18" s="2730">
        <v>1</v>
      </c>
    </row>
    <row r="19" spans="1:13">
      <c r="A19" s="12"/>
      <c r="B19" s="7752"/>
      <c r="C19" s="7752"/>
      <c r="D19" s="7752"/>
      <c r="E19" s="7752"/>
      <c r="F19" s="7752"/>
      <c r="G19" s="7752"/>
      <c r="H19" s="7752"/>
      <c r="I19" s="7752"/>
      <c r="J19" s="7752"/>
      <c r="K19" s="7752"/>
      <c r="L19" s="12"/>
      <c r="M19" s="2730">
        <v>1</v>
      </c>
    </row>
    <row r="20" spans="1:13">
      <c r="A20" s="12"/>
      <c r="B20" s="12"/>
      <c r="C20" s="12"/>
      <c r="D20" s="12"/>
      <c r="E20" s="12"/>
      <c r="F20" s="12"/>
      <c r="G20" s="12"/>
      <c r="H20" s="12"/>
      <c r="I20" s="12"/>
      <c r="J20" s="12"/>
      <c r="K20" s="12"/>
      <c r="L20" s="12"/>
      <c r="M20" s="2730">
        <v>1</v>
      </c>
    </row>
    <row r="21" spans="1:13">
      <c r="A21" s="12"/>
      <c r="B21" s="7751" t="s">
        <v>16201</v>
      </c>
      <c r="C21" s="7751"/>
      <c r="D21" s="7751"/>
      <c r="E21" s="7751"/>
      <c r="F21" s="7751"/>
      <c r="G21" s="7751"/>
      <c r="H21" s="7751"/>
      <c r="I21" s="7751"/>
      <c r="J21" s="7751"/>
      <c r="K21" s="7751"/>
      <c r="L21" s="12"/>
      <c r="M21" s="2730">
        <v>1</v>
      </c>
    </row>
    <row r="22" spans="1:13">
      <c r="A22" s="12"/>
      <c r="B22" s="7751"/>
      <c r="C22" s="7751"/>
      <c r="D22" s="7751"/>
      <c r="E22" s="7751"/>
      <c r="F22" s="7751"/>
      <c r="G22" s="7751"/>
      <c r="H22" s="7751"/>
      <c r="I22" s="7751"/>
      <c r="J22" s="7751"/>
      <c r="K22" s="7751"/>
      <c r="L22" s="12"/>
      <c r="M22" s="2730">
        <v>1</v>
      </c>
    </row>
    <row r="23" spans="1:13">
      <c r="A23" s="12"/>
      <c r="B23" s="7751"/>
      <c r="C23" s="7751"/>
      <c r="D23" s="7751"/>
      <c r="E23" s="7751"/>
      <c r="F23" s="7751"/>
      <c r="G23" s="7751"/>
      <c r="H23" s="7751"/>
      <c r="I23" s="7751"/>
      <c r="J23" s="7751"/>
      <c r="K23" s="7751"/>
      <c r="L23" s="12"/>
      <c r="M23" s="2730">
        <v>1</v>
      </c>
    </row>
    <row r="24" spans="1:13">
      <c r="A24" s="12"/>
      <c r="B24" s="7751"/>
      <c r="C24" s="7751"/>
      <c r="D24" s="7751"/>
      <c r="E24" s="7751"/>
      <c r="F24" s="7751"/>
      <c r="G24" s="7751"/>
      <c r="H24" s="7751"/>
      <c r="I24" s="7751"/>
      <c r="J24" s="7751"/>
      <c r="K24" s="7751"/>
      <c r="L24" s="12"/>
      <c r="M24" s="2730">
        <v>1</v>
      </c>
    </row>
    <row r="25" spans="1:13">
      <c r="A25" s="12"/>
      <c r="B25" s="7751"/>
      <c r="C25" s="7751"/>
      <c r="D25" s="7751"/>
      <c r="E25" s="7751"/>
      <c r="F25" s="7751"/>
      <c r="G25" s="7751"/>
      <c r="H25" s="7751"/>
      <c r="I25" s="7751"/>
      <c r="J25" s="7751"/>
      <c r="K25" s="7751"/>
      <c r="L25" s="12"/>
      <c r="M25" s="2730">
        <v>1</v>
      </c>
    </row>
    <row r="26" spans="1:13">
      <c r="A26" s="12"/>
      <c r="B26" s="12"/>
      <c r="C26" s="12"/>
      <c r="D26" s="12"/>
      <c r="E26" s="12"/>
      <c r="F26" s="12"/>
      <c r="G26" s="12"/>
      <c r="H26" s="12"/>
      <c r="I26" s="12"/>
      <c r="J26" s="12"/>
      <c r="K26" s="12"/>
      <c r="L26" s="12"/>
      <c r="M26" s="2730">
        <v>1</v>
      </c>
    </row>
    <row r="27" spans="1:13" ht="18">
      <c r="A27" s="12"/>
      <c r="B27" s="3173" t="s">
        <v>16197</v>
      </c>
      <c r="C27" s="12"/>
      <c r="D27" s="12"/>
      <c r="E27" s="12"/>
      <c r="F27" s="12"/>
      <c r="G27" s="12"/>
      <c r="H27" s="12"/>
      <c r="I27" s="12"/>
      <c r="J27" s="12"/>
      <c r="K27" s="12"/>
      <c r="L27" s="12"/>
      <c r="M27" s="2730">
        <v>1</v>
      </c>
    </row>
    <row r="28" spans="1:13">
      <c r="A28" s="12"/>
      <c r="B28" s="12"/>
      <c r="C28" s="12"/>
      <c r="D28" s="12"/>
      <c r="E28" s="12"/>
      <c r="F28" s="12"/>
      <c r="G28" s="12"/>
      <c r="H28" s="12"/>
      <c r="I28" s="12"/>
      <c r="J28" s="12"/>
      <c r="K28" s="12"/>
      <c r="L28" s="12"/>
      <c r="M28" s="2730">
        <v>1</v>
      </c>
    </row>
    <row r="29" spans="1:13">
      <c r="A29" s="12"/>
      <c r="B29" s="12" t="s">
        <v>16202</v>
      </c>
      <c r="C29" s="12"/>
      <c r="D29" s="12"/>
      <c r="E29" s="12"/>
      <c r="F29" s="12"/>
      <c r="G29" s="12"/>
      <c r="H29" s="12"/>
      <c r="I29" s="12"/>
      <c r="J29" s="12"/>
      <c r="K29" s="12"/>
      <c r="L29" s="12"/>
      <c r="M29" s="2730">
        <v>1</v>
      </c>
    </row>
    <row r="30" spans="1:13">
      <c r="A30" s="12"/>
      <c r="B30" s="716"/>
      <c r="C30" s="12"/>
      <c r="D30" s="12"/>
      <c r="E30" s="12"/>
      <c r="F30" s="12"/>
      <c r="G30" s="12"/>
      <c r="H30" s="12"/>
      <c r="I30" s="12"/>
      <c r="J30" s="12"/>
      <c r="K30" s="12"/>
      <c r="L30" s="12"/>
      <c r="M30" s="2730">
        <v>1</v>
      </c>
    </row>
    <row r="31" spans="1:13">
      <c r="A31" s="12"/>
      <c r="B31" s="716" t="s">
        <v>16203</v>
      </c>
      <c r="C31" s="12"/>
      <c r="D31" s="12"/>
      <c r="E31" s="12"/>
      <c r="F31" s="12"/>
      <c r="G31" s="12"/>
      <c r="H31" s="12"/>
      <c r="I31" s="12"/>
      <c r="J31" s="12"/>
      <c r="K31" s="12"/>
      <c r="L31" s="12"/>
      <c r="M31" s="2730">
        <v>1</v>
      </c>
    </row>
    <row r="32" spans="1:13">
      <c r="A32" s="12"/>
      <c r="B32" s="716" t="s">
        <v>16204</v>
      </c>
      <c r="C32" s="12"/>
      <c r="D32" s="12"/>
      <c r="E32" s="12"/>
      <c r="F32" s="12"/>
      <c r="G32" s="12"/>
      <c r="H32" s="12"/>
      <c r="I32" s="12"/>
      <c r="J32" s="12"/>
      <c r="K32" s="12"/>
      <c r="L32" s="12"/>
      <c r="M32" s="2730">
        <v>1</v>
      </c>
    </row>
    <row r="33" spans="1:13">
      <c r="A33" s="12"/>
      <c r="B33" s="716" t="s">
        <v>16205</v>
      </c>
      <c r="C33" s="12"/>
      <c r="D33" s="12"/>
      <c r="E33" s="12"/>
      <c r="F33" s="12"/>
      <c r="G33" s="12"/>
      <c r="H33" s="12"/>
      <c r="I33" s="12"/>
      <c r="J33" s="12"/>
      <c r="K33" s="12"/>
      <c r="L33" s="12"/>
      <c r="M33" s="2730">
        <v>1</v>
      </c>
    </row>
    <row r="34" spans="1:13">
      <c r="A34" s="12"/>
      <c r="B34" s="716" t="s">
        <v>16206</v>
      </c>
      <c r="C34" s="12"/>
      <c r="D34" s="12"/>
      <c r="E34" s="12"/>
      <c r="F34" s="12"/>
      <c r="G34" s="12"/>
      <c r="H34" s="12"/>
      <c r="I34" s="12"/>
      <c r="J34" s="12"/>
      <c r="K34" s="12"/>
      <c r="L34" s="12"/>
      <c r="M34" s="2730">
        <v>1</v>
      </c>
    </row>
    <row r="35" spans="1:13">
      <c r="A35" s="12"/>
      <c r="B35" s="716" t="s">
        <v>16207</v>
      </c>
      <c r="C35" s="12"/>
      <c r="D35" s="12"/>
      <c r="E35" s="12"/>
      <c r="F35" s="12"/>
      <c r="G35" s="12"/>
      <c r="H35" s="12"/>
      <c r="I35" s="12"/>
      <c r="J35" s="12"/>
      <c r="K35" s="12"/>
      <c r="L35" s="12"/>
      <c r="M35" s="2730">
        <v>1</v>
      </c>
    </row>
    <row r="36" spans="1:13">
      <c r="A36" s="12"/>
      <c r="B36" s="716" t="s">
        <v>16208</v>
      </c>
      <c r="C36" s="12"/>
      <c r="D36" s="12"/>
      <c r="E36" s="12"/>
      <c r="F36" s="12"/>
      <c r="G36" s="12"/>
      <c r="H36" s="12"/>
      <c r="I36" s="12"/>
      <c r="J36" s="12"/>
      <c r="K36" s="12"/>
      <c r="L36" s="12"/>
      <c r="M36" s="2730">
        <v>1</v>
      </c>
    </row>
    <row r="37" spans="1:13">
      <c r="A37" s="12"/>
      <c r="B37" s="12"/>
      <c r="C37" s="12"/>
      <c r="D37" s="12"/>
      <c r="E37" s="12"/>
      <c r="F37" s="12"/>
      <c r="G37" s="12"/>
      <c r="H37" s="12"/>
      <c r="I37" s="12"/>
      <c r="J37" s="12"/>
      <c r="K37" s="12"/>
      <c r="L37" s="12"/>
      <c r="M37" s="2730">
        <v>1</v>
      </c>
    </row>
    <row r="38" spans="1:13">
      <c r="A38" s="12"/>
      <c r="B38" s="7751" t="s">
        <v>16209</v>
      </c>
      <c r="C38" s="7751"/>
      <c r="D38" s="7751"/>
      <c r="E38" s="7751"/>
      <c r="F38" s="7751"/>
      <c r="G38" s="7751"/>
      <c r="H38" s="7751"/>
      <c r="I38" s="7751"/>
      <c r="J38" s="7751"/>
      <c r="K38" s="7751"/>
      <c r="L38" s="12"/>
      <c r="M38" s="2730">
        <v>1</v>
      </c>
    </row>
    <row r="39" spans="1:13">
      <c r="A39" s="12"/>
      <c r="B39" s="7751"/>
      <c r="C39" s="7751"/>
      <c r="D39" s="7751"/>
      <c r="E39" s="7751"/>
      <c r="F39" s="7751"/>
      <c r="G39" s="7751"/>
      <c r="H39" s="7751"/>
      <c r="I39" s="7751"/>
      <c r="J39" s="7751"/>
      <c r="K39" s="7751"/>
      <c r="L39" s="12"/>
      <c r="M39" s="2730">
        <v>1</v>
      </c>
    </row>
    <row r="40" spans="1:13">
      <c r="A40" s="12"/>
      <c r="B40" s="716"/>
      <c r="C40" s="12"/>
      <c r="D40" s="12"/>
      <c r="E40" s="12"/>
      <c r="F40" s="12"/>
      <c r="G40" s="12"/>
      <c r="H40" s="12"/>
      <c r="I40" s="12"/>
      <c r="J40" s="12"/>
      <c r="K40" s="12"/>
      <c r="L40" s="12"/>
      <c r="M40" s="2730">
        <v>1</v>
      </c>
    </row>
    <row r="41" spans="1:13">
      <c r="A41" s="12"/>
      <c r="B41" s="423" t="s">
        <v>16210</v>
      </c>
      <c r="C41" s="12"/>
      <c r="D41" s="12"/>
      <c r="E41" s="12"/>
      <c r="F41" s="12"/>
      <c r="G41" s="12"/>
      <c r="H41" s="12"/>
      <c r="I41" s="12"/>
      <c r="J41" s="12"/>
      <c r="K41" s="12"/>
      <c r="L41" s="12"/>
      <c r="M41" s="2730">
        <v>1</v>
      </c>
    </row>
    <row r="42" spans="1:13">
      <c r="A42" s="12"/>
      <c r="B42" s="423" t="s">
        <v>16211</v>
      </c>
      <c r="C42" s="12"/>
      <c r="D42" s="12"/>
      <c r="E42" s="12"/>
      <c r="F42" s="12"/>
      <c r="G42" s="12"/>
      <c r="H42" s="12"/>
      <c r="I42" s="12"/>
      <c r="J42" s="12"/>
      <c r="K42" s="12"/>
      <c r="L42" s="12"/>
      <c r="M42" s="2730">
        <v>1</v>
      </c>
    </row>
    <row r="43" spans="1:13">
      <c r="A43" s="12"/>
      <c r="B43" s="423" t="s">
        <v>16212</v>
      </c>
      <c r="C43" s="12"/>
      <c r="D43" s="12"/>
      <c r="E43" s="12"/>
      <c r="F43" s="12"/>
      <c r="G43" s="12"/>
      <c r="H43" s="12"/>
      <c r="I43" s="12"/>
      <c r="J43" s="12"/>
      <c r="K43" s="12"/>
      <c r="L43" s="12"/>
      <c r="M43" s="2730">
        <v>1</v>
      </c>
    </row>
    <row r="44" spans="1:13">
      <c r="A44" s="12"/>
      <c r="B44" s="423" t="s">
        <v>16213</v>
      </c>
      <c r="C44" s="12"/>
      <c r="D44" s="12"/>
      <c r="E44" s="12"/>
      <c r="F44" s="12"/>
      <c r="G44" s="12"/>
      <c r="H44" s="12"/>
      <c r="I44" s="12"/>
      <c r="J44" s="12"/>
      <c r="K44" s="12"/>
      <c r="L44" s="12"/>
      <c r="M44" s="2730">
        <v>1</v>
      </c>
    </row>
    <row r="45" spans="1:13">
      <c r="A45" s="12"/>
      <c r="B45" s="423" t="s">
        <v>16214</v>
      </c>
      <c r="C45" s="12"/>
      <c r="D45" s="12"/>
      <c r="E45" s="12"/>
      <c r="F45" s="12"/>
      <c r="G45" s="12"/>
      <c r="H45" s="12"/>
      <c r="I45" s="12"/>
      <c r="J45" s="12"/>
      <c r="K45" s="12"/>
      <c r="L45" s="12"/>
      <c r="M45" s="2730">
        <v>1</v>
      </c>
    </row>
    <row r="46" spans="1:13">
      <c r="A46" s="12"/>
      <c r="B46" s="423" t="s">
        <v>16215</v>
      </c>
      <c r="C46" s="12"/>
      <c r="D46" s="12"/>
      <c r="E46" s="12"/>
      <c r="F46" s="12"/>
      <c r="G46" s="12"/>
      <c r="H46" s="12"/>
      <c r="I46" s="12"/>
      <c r="J46" s="12"/>
      <c r="K46" s="12"/>
      <c r="L46" s="12"/>
      <c r="M46" s="2730">
        <v>1</v>
      </c>
    </row>
    <row r="47" spans="1:13">
      <c r="A47" s="12"/>
      <c r="B47" s="423" t="s">
        <v>16216</v>
      </c>
      <c r="C47" s="12"/>
      <c r="D47" s="12"/>
      <c r="E47" s="12"/>
      <c r="F47" s="12"/>
      <c r="G47" s="12"/>
      <c r="H47" s="12"/>
      <c r="I47" s="12"/>
      <c r="J47" s="12"/>
      <c r="K47" s="12"/>
      <c r="L47" s="12"/>
      <c r="M47" s="2730">
        <v>1</v>
      </c>
    </row>
    <row r="48" spans="1:13">
      <c r="A48" s="12"/>
      <c r="B48" s="12"/>
      <c r="C48" s="12"/>
      <c r="D48" s="12"/>
      <c r="E48" s="12"/>
      <c r="F48" s="12"/>
      <c r="G48" s="12"/>
      <c r="H48" s="12"/>
      <c r="I48" s="12"/>
      <c r="J48" s="12"/>
      <c r="K48" s="12"/>
      <c r="L48" s="12"/>
      <c r="M48" s="2730">
        <v>1</v>
      </c>
    </row>
    <row r="49" spans="1:13">
      <c r="A49" s="12"/>
      <c r="B49" s="12" t="s">
        <v>16217</v>
      </c>
      <c r="C49" s="12"/>
      <c r="D49" s="12"/>
      <c r="E49" s="12"/>
      <c r="F49" s="12"/>
      <c r="G49" s="12"/>
      <c r="H49" s="12"/>
      <c r="I49" s="12"/>
      <c r="J49" s="12"/>
      <c r="K49" s="12"/>
      <c r="L49" s="12"/>
      <c r="M49" s="2730">
        <v>1</v>
      </c>
    </row>
    <row r="50" spans="1:13">
      <c r="A50" s="12"/>
      <c r="B50" s="12" t="s">
        <v>16218</v>
      </c>
      <c r="C50" s="12"/>
      <c r="D50" s="12"/>
      <c r="E50" s="12"/>
      <c r="F50" s="12"/>
      <c r="G50" s="12"/>
      <c r="H50" s="12"/>
      <c r="I50" s="12"/>
      <c r="J50" s="12"/>
      <c r="K50" s="12"/>
      <c r="L50" s="12"/>
      <c r="M50" s="2730">
        <v>1</v>
      </c>
    </row>
    <row r="51" spans="1:13">
      <c r="A51" s="12"/>
      <c r="B51" s="12"/>
      <c r="C51" s="12"/>
      <c r="D51" s="12"/>
      <c r="E51" s="12"/>
      <c r="F51" s="12"/>
      <c r="G51" s="12"/>
      <c r="H51" s="12"/>
      <c r="I51" s="12"/>
      <c r="J51" s="12"/>
      <c r="K51" s="12"/>
      <c r="L51" s="12"/>
      <c r="M51" s="2730">
        <v>1</v>
      </c>
    </row>
    <row r="52" spans="1:13" ht="18">
      <c r="A52" s="12"/>
      <c r="B52" s="3173" t="s">
        <v>16219</v>
      </c>
      <c r="C52" s="12"/>
      <c r="D52" s="12"/>
      <c r="E52" s="12"/>
      <c r="F52" s="12"/>
      <c r="G52" s="12"/>
      <c r="H52" s="12"/>
      <c r="I52" s="12"/>
      <c r="J52" s="12"/>
      <c r="K52" s="12"/>
      <c r="L52" s="12"/>
      <c r="M52" s="2730">
        <v>1</v>
      </c>
    </row>
    <row r="53" spans="1:13">
      <c r="A53" s="12"/>
      <c r="B53" s="12"/>
      <c r="C53" s="12"/>
      <c r="D53" s="12"/>
      <c r="E53" s="12"/>
      <c r="F53" s="12"/>
      <c r="G53" s="12"/>
      <c r="H53" s="12"/>
      <c r="I53" s="12"/>
      <c r="J53" s="12"/>
      <c r="K53" s="12"/>
      <c r="L53" s="12"/>
      <c r="M53" s="2730">
        <v>1</v>
      </c>
    </row>
    <row r="54" spans="1:13">
      <c r="A54" s="12"/>
      <c r="B54" s="12" t="s">
        <v>16220</v>
      </c>
      <c r="C54" s="12"/>
      <c r="D54" s="12"/>
      <c r="E54" s="12"/>
      <c r="F54" s="12"/>
      <c r="G54" s="12"/>
      <c r="H54" s="12"/>
      <c r="I54" s="12"/>
      <c r="J54" s="12"/>
      <c r="K54" s="12"/>
      <c r="L54" s="12"/>
      <c r="M54" s="2730">
        <v>1</v>
      </c>
    </row>
    <row r="55" spans="1:13">
      <c r="A55" s="12"/>
      <c r="B55" s="716" t="s">
        <v>16221</v>
      </c>
      <c r="C55" s="12"/>
      <c r="D55" s="12"/>
      <c r="E55" s="12"/>
      <c r="F55" s="12"/>
      <c r="G55" s="12"/>
      <c r="H55" s="12"/>
      <c r="I55" s="12"/>
      <c r="J55" s="12"/>
      <c r="K55" s="12"/>
      <c r="L55" s="12"/>
      <c r="M55" s="2730">
        <v>1</v>
      </c>
    </row>
    <row r="56" spans="1:13">
      <c r="A56" s="12"/>
      <c r="B56" s="716"/>
      <c r="C56" s="12"/>
      <c r="D56" s="12"/>
      <c r="E56" s="12"/>
      <c r="F56" s="12"/>
      <c r="G56" s="12"/>
      <c r="H56" s="12"/>
      <c r="I56" s="12"/>
      <c r="J56" s="12"/>
      <c r="K56" s="12"/>
      <c r="L56" s="12"/>
      <c r="M56" s="2730">
        <v>1</v>
      </c>
    </row>
    <row r="57" spans="1:13">
      <c r="A57" s="12"/>
      <c r="B57" s="716" t="s">
        <v>16222</v>
      </c>
      <c r="C57" s="12"/>
      <c r="D57" s="12"/>
      <c r="E57" s="12"/>
      <c r="F57" s="12"/>
      <c r="G57" s="12"/>
      <c r="H57" s="12"/>
      <c r="I57" s="12"/>
      <c r="J57" s="12"/>
      <c r="K57" s="12"/>
      <c r="L57" s="12"/>
      <c r="M57" s="2730">
        <v>1</v>
      </c>
    </row>
    <row r="58" spans="1:13">
      <c r="A58" s="12"/>
      <c r="B58" s="716" t="s">
        <v>16223</v>
      </c>
      <c r="C58" s="12"/>
      <c r="D58" s="12"/>
      <c r="E58" s="12"/>
      <c r="F58" s="12"/>
      <c r="G58" s="12"/>
      <c r="H58" s="12"/>
      <c r="I58" s="12"/>
      <c r="J58" s="12"/>
      <c r="K58" s="12"/>
      <c r="L58" s="12"/>
      <c r="M58" s="2730">
        <v>1</v>
      </c>
    </row>
    <row r="59" spans="1:13">
      <c r="A59" s="12"/>
      <c r="B59" s="716" t="s">
        <v>16224</v>
      </c>
      <c r="C59" s="12"/>
      <c r="D59" s="12"/>
      <c r="E59" s="12"/>
      <c r="F59" s="12"/>
      <c r="G59" s="12"/>
      <c r="H59" s="12"/>
      <c r="I59" s="12"/>
      <c r="J59" s="12"/>
      <c r="K59" s="12"/>
      <c r="L59" s="12"/>
      <c r="M59" s="2730">
        <v>1</v>
      </c>
    </row>
    <row r="60" spans="1:13">
      <c r="A60" s="12"/>
      <c r="B60" s="12"/>
      <c r="C60" s="12"/>
      <c r="D60" s="12"/>
      <c r="E60" s="12"/>
      <c r="F60" s="12"/>
      <c r="G60" s="12"/>
      <c r="H60" s="12"/>
      <c r="I60" s="12"/>
      <c r="J60" s="12"/>
      <c r="K60" s="12"/>
      <c r="L60" s="12"/>
      <c r="M60" s="2730">
        <v>1</v>
      </c>
    </row>
    <row r="61" spans="1:13">
      <c r="A61" s="12"/>
      <c r="B61" s="2783" t="s">
        <v>16225</v>
      </c>
      <c r="C61" s="12"/>
      <c r="D61" s="12"/>
      <c r="E61" s="12"/>
      <c r="F61" s="12"/>
      <c r="G61" s="12"/>
      <c r="H61" s="12"/>
      <c r="I61" s="12"/>
      <c r="J61" s="12"/>
      <c r="K61" s="12"/>
      <c r="L61" s="12"/>
      <c r="M61" s="2730">
        <v>1</v>
      </c>
    </row>
    <row r="62" spans="1:13">
      <c r="A62" s="12"/>
      <c r="B62" s="12" t="s">
        <v>16226</v>
      </c>
      <c r="C62" s="12"/>
      <c r="D62" s="12"/>
      <c r="E62" s="12"/>
      <c r="F62" s="12"/>
      <c r="G62" s="12"/>
      <c r="H62" s="12"/>
      <c r="I62" s="12"/>
      <c r="J62" s="12"/>
      <c r="K62" s="12"/>
      <c r="L62" s="12"/>
      <c r="M62" s="2730">
        <v>1</v>
      </c>
    </row>
    <row r="63" spans="1:13">
      <c r="A63" s="12"/>
      <c r="B63" s="12"/>
      <c r="C63" s="12"/>
      <c r="D63" s="12"/>
      <c r="E63" s="12"/>
      <c r="F63" s="12"/>
      <c r="G63" s="12"/>
      <c r="H63" s="12"/>
      <c r="I63" s="12"/>
      <c r="J63" s="12"/>
      <c r="K63" s="12"/>
      <c r="L63" s="12"/>
      <c r="M63" s="2730">
        <v>1</v>
      </c>
    </row>
    <row r="64" spans="1:13">
      <c r="A64" s="12"/>
      <c r="B64" s="12" t="s">
        <v>16227</v>
      </c>
      <c r="C64" s="12"/>
      <c r="D64" s="12"/>
      <c r="E64" s="12"/>
      <c r="F64" s="12"/>
      <c r="G64" s="12"/>
      <c r="H64" s="12"/>
      <c r="I64" s="12"/>
      <c r="J64" s="12"/>
      <c r="K64" s="12"/>
      <c r="L64" s="12"/>
      <c r="M64" s="2730">
        <v>1</v>
      </c>
    </row>
    <row r="65" spans="1:13">
      <c r="A65" s="12"/>
      <c r="B65" s="12"/>
      <c r="C65" s="12"/>
      <c r="D65" s="12"/>
      <c r="E65" s="12"/>
      <c r="F65" s="12"/>
      <c r="G65" s="12"/>
      <c r="H65" s="12"/>
      <c r="I65" s="12"/>
      <c r="J65" s="12"/>
      <c r="K65" s="12"/>
      <c r="L65" s="12"/>
      <c r="M65" s="2730">
        <v>1</v>
      </c>
    </row>
    <row r="66" spans="1:13" ht="18">
      <c r="A66" s="12"/>
      <c r="B66" s="3173" t="s">
        <v>16228</v>
      </c>
      <c r="C66" s="12"/>
      <c r="D66" s="12"/>
      <c r="E66" s="12"/>
      <c r="F66" s="12"/>
      <c r="G66" s="12"/>
      <c r="H66" s="12"/>
      <c r="I66" s="12"/>
      <c r="J66" s="12"/>
      <c r="K66" s="12"/>
      <c r="L66" s="12"/>
      <c r="M66" s="2730">
        <v>1</v>
      </c>
    </row>
    <row r="67" spans="1:13">
      <c r="A67" s="12"/>
      <c r="B67" s="12"/>
      <c r="C67" s="12"/>
      <c r="D67" s="12"/>
      <c r="E67" s="12"/>
      <c r="F67" s="12"/>
      <c r="G67" s="12"/>
      <c r="H67" s="12"/>
      <c r="I67" s="12"/>
      <c r="J67" s="12"/>
      <c r="K67" s="12"/>
      <c r="L67" s="12"/>
      <c r="M67" s="2730">
        <v>1</v>
      </c>
    </row>
    <row r="68" spans="1:13">
      <c r="A68" s="12"/>
      <c r="B68" s="12"/>
      <c r="C68" s="12"/>
      <c r="D68" s="12"/>
      <c r="E68" s="12"/>
      <c r="F68" s="12"/>
      <c r="G68" s="12"/>
      <c r="H68" s="12"/>
      <c r="I68" s="12"/>
      <c r="J68" s="12"/>
      <c r="K68" s="12"/>
      <c r="L68" s="12"/>
      <c r="M68" s="2730">
        <v>1</v>
      </c>
    </row>
    <row r="69" spans="1:13">
      <c r="A69" s="12"/>
      <c r="B69" s="12"/>
      <c r="C69" s="12"/>
      <c r="D69" s="12"/>
      <c r="E69" s="12"/>
      <c r="F69" s="12"/>
      <c r="G69" s="12"/>
      <c r="H69" s="12"/>
      <c r="I69" s="12"/>
      <c r="J69" s="12"/>
      <c r="K69" s="12"/>
      <c r="L69" s="12"/>
      <c r="M69" s="2730">
        <v>1</v>
      </c>
    </row>
    <row r="70" spans="1:13">
      <c r="A70" s="12"/>
      <c r="B70" s="12"/>
      <c r="C70" s="12"/>
      <c r="D70" s="12"/>
      <c r="E70" s="12"/>
      <c r="F70" s="12"/>
      <c r="G70" s="12"/>
      <c r="H70" s="12"/>
      <c r="I70" s="12"/>
      <c r="J70" s="12"/>
      <c r="K70" s="12"/>
      <c r="L70" s="12"/>
      <c r="M70" s="2730">
        <v>1</v>
      </c>
    </row>
    <row r="71" spans="1:13">
      <c r="A71" s="12"/>
      <c r="B71" s="12"/>
      <c r="C71" s="12"/>
      <c r="D71" s="12"/>
      <c r="E71" s="12"/>
      <c r="F71" s="12"/>
      <c r="G71" s="12"/>
      <c r="H71" s="12"/>
      <c r="I71" s="12"/>
      <c r="J71" s="12"/>
      <c r="K71" s="12"/>
      <c r="L71" s="12"/>
      <c r="M71" s="2730">
        <v>1</v>
      </c>
    </row>
    <row r="72" spans="1:13">
      <c r="A72" s="12"/>
      <c r="B72" s="12"/>
      <c r="C72" s="12"/>
      <c r="D72" s="12"/>
      <c r="E72" s="12"/>
      <c r="F72" s="12"/>
      <c r="G72" s="12"/>
      <c r="H72" s="12"/>
      <c r="I72" s="12"/>
      <c r="J72" s="12"/>
      <c r="K72" s="12"/>
      <c r="L72" s="12"/>
      <c r="M72" s="2730">
        <v>1</v>
      </c>
    </row>
    <row r="73" spans="1:13">
      <c r="A73" s="12"/>
      <c r="B73" s="12"/>
      <c r="C73" s="12"/>
      <c r="D73" s="12"/>
      <c r="E73" s="12"/>
      <c r="F73" s="12"/>
      <c r="G73" s="12"/>
      <c r="H73" s="12"/>
      <c r="I73" s="12"/>
      <c r="J73" s="12"/>
      <c r="K73" s="12"/>
      <c r="L73" s="12"/>
      <c r="M73" s="2730">
        <v>1</v>
      </c>
    </row>
    <row r="74" spans="1:13">
      <c r="A74" s="12"/>
      <c r="B74" s="7752" t="s">
        <v>16229</v>
      </c>
      <c r="C74" s="7752"/>
      <c r="D74" s="7752"/>
      <c r="E74" s="7752"/>
      <c r="F74" s="7752"/>
      <c r="G74" s="7752"/>
      <c r="H74" s="7752"/>
      <c r="I74" s="7752"/>
      <c r="J74" s="7752"/>
      <c r="K74" s="7752"/>
      <c r="L74" s="12"/>
      <c r="M74" s="2730">
        <v>1</v>
      </c>
    </row>
    <row r="75" spans="1:13">
      <c r="A75" s="12"/>
      <c r="B75" s="7752"/>
      <c r="C75" s="7752"/>
      <c r="D75" s="7752"/>
      <c r="E75" s="7752"/>
      <c r="F75" s="7752"/>
      <c r="G75" s="7752"/>
      <c r="H75" s="7752"/>
      <c r="I75" s="7752"/>
      <c r="J75" s="7752"/>
      <c r="K75" s="7752"/>
      <c r="L75" s="12"/>
      <c r="M75" s="2730">
        <v>1</v>
      </c>
    </row>
    <row r="76" spans="1:13">
      <c r="A76" s="12"/>
      <c r="B76" s="7752"/>
      <c r="C76" s="7752"/>
      <c r="D76" s="7752"/>
      <c r="E76" s="7752"/>
      <c r="F76" s="7752"/>
      <c r="G76" s="7752"/>
      <c r="H76" s="7752"/>
      <c r="I76" s="7752"/>
      <c r="J76" s="7752"/>
      <c r="K76" s="7752"/>
      <c r="L76" s="12"/>
      <c r="M76" s="2730">
        <v>1</v>
      </c>
    </row>
    <row r="77" spans="1:13">
      <c r="A77" s="12"/>
      <c r="B77" s="7752"/>
      <c r="C77" s="7752"/>
      <c r="D77" s="7752"/>
      <c r="E77" s="7752"/>
      <c r="F77" s="7752"/>
      <c r="G77" s="7752"/>
      <c r="H77" s="7752"/>
      <c r="I77" s="7752"/>
      <c r="J77" s="7752"/>
      <c r="K77" s="7752"/>
      <c r="L77" s="12"/>
      <c r="M77" s="2730">
        <v>1</v>
      </c>
    </row>
    <row r="78" spans="1:13">
      <c r="A78" s="12"/>
      <c r="B78" s="716"/>
      <c r="C78" s="12"/>
      <c r="D78" s="12"/>
      <c r="E78" s="12"/>
      <c r="F78" s="12"/>
      <c r="G78" s="12"/>
      <c r="H78" s="12"/>
      <c r="I78" s="12"/>
      <c r="J78" s="12"/>
      <c r="K78" s="12"/>
      <c r="L78" s="12"/>
      <c r="M78" s="2730">
        <v>1</v>
      </c>
    </row>
    <row r="79" spans="1:13">
      <c r="A79" s="12"/>
      <c r="B79" s="716" t="s">
        <v>16230</v>
      </c>
      <c r="C79" s="12"/>
      <c r="D79" s="12"/>
      <c r="E79" s="12"/>
      <c r="F79" s="12"/>
      <c r="G79" s="12"/>
      <c r="H79" s="12"/>
      <c r="I79" s="12"/>
      <c r="J79" s="12"/>
      <c r="K79" s="12"/>
      <c r="L79" s="12"/>
      <c r="M79" s="2730">
        <v>1</v>
      </c>
    </row>
    <row r="80" spans="1:13">
      <c r="A80" s="12"/>
      <c r="B80" s="716" t="s">
        <v>16231</v>
      </c>
      <c r="C80" s="12"/>
      <c r="D80" s="12"/>
      <c r="E80" s="12"/>
      <c r="F80" s="12"/>
      <c r="G80" s="12"/>
      <c r="H80" s="12"/>
      <c r="I80" s="12"/>
      <c r="J80" s="12"/>
      <c r="K80" s="12"/>
      <c r="L80" s="12"/>
      <c r="M80" s="2730">
        <v>1</v>
      </c>
    </row>
    <row r="81" spans="1:13">
      <c r="A81" s="12"/>
      <c r="B81" s="716" t="s">
        <v>16232</v>
      </c>
      <c r="C81" s="12"/>
      <c r="D81" s="12"/>
      <c r="E81" s="12"/>
      <c r="F81" s="12"/>
      <c r="G81" s="12"/>
      <c r="H81" s="12"/>
      <c r="I81" s="12"/>
      <c r="J81" s="12"/>
      <c r="K81" s="12"/>
      <c r="L81" s="12"/>
      <c r="M81" s="2730">
        <v>1</v>
      </c>
    </row>
    <row r="82" spans="1:13">
      <c r="A82" s="12"/>
      <c r="B82" s="716" t="s">
        <v>16233</v>
      </c>
      <c r="C82" s="12"/>
      <c r="D82" s="12"/>
      <c r="E82" s="12"/>
      <c r="F82" s="12"/>
      <c r="G82" s="12"/>
      <c r="H82" s="12"/>
      <c r="I82" s="12"/>
      <c r="J82" s="12"/>
      <c r="K82" s="12"/>
      <c r="L82" s="12"/>
      <c r="M82" s="2730">
        <v>1</v>
      </c>
    </row>
    <row r="83" spans="1:13">
      <c r="A83" s="12"/>
      <c r="B83" s="12"/>
      <c r="C83" s="12"/>
      <c r="D83" s="12"/>
      <c r="E83" s="12"/>
      <c r="F83" s="12"/>
      <c r="G83" s="12"/>
      <c r="H83" s="12"/>
      <c r="I83" s="12"/>
      <c r="J83" s="12"/>
      <c r="K83" s="12"/>
      <c r="L83" s="12"/>
      <c r="M83" s="2730">
        <v>1</v>
      </c>
    </row>
    <row r="84" spans="1:13">
      <c r="A84" s="12"/>
      <c r="B84" s="12" t="s">
        <v>16234</v>
      </c>
      <c r="C84" s="12"/>
      <c r="D84" s="12"/>
      <c r="E84" s="12"/>
      <c r="F84" s="12"/>
      <c r="G84" s="12"/>
      <c r="H84" s="12"/>
      <c r="I84" s="12"/>
      <c r="J84" s="12"/>
      <c r="K84" s="12"/>
      <c r="L84" s="12"/>
      <c r="M84" s="2730">
        <v>1</v>
      </c>
    </row>
    <row r="85" spans="1:13">
      <c r="A85" s="12"/>
      <c r="B85" s="7751" t="s">
        <v>16235</v>
      </c>
      <c r="C85" s="7751"/>
      <c r="D85" s="7751"/>
      <c r="E85" s="7751"/>
      <c r="F85" s="7751"/>
      <c r="G85" s="7751"/>
      <c r="H85" s="7751"/>
      <c r="I85" s="7751"/>
      <c r="J85" s="7751"/>
      <c r="K85" s="7751"/>
      <c r="L85" s="12"/>
      <c r="M85" s="2730">
        <v>1</v>
      </c>
    </row>
    <row r="86" spans="1:13">
      <c r="A86" s="12"/>
      <c r="B86" s="7751"/>
      <c r="C86" s="7751"/>
      <c r="D86" s="7751"/>
      <c r="E86" s="7751"/>
      <c r="F86" s="7751"/>
      <c r="G86" s="7751"/>
      <c r="H86" s="7751"/>
      <c r="I86" s="7751"/>
      <c r="J86" s="7751"/>
      <c r="K86" s="7751"/>
      <c r="L86" s="12"/>
      <c r="M86" s="2730">
        <v>1</v>
      </c>
    </row>
    <row r="87" spans="1:13">
      <c r="A87" s="12"/>
      <c r="B87" s="7751"/>
      <c r="C87" s="7751"/>
      <c r="D87" s="7751"/>
      <c r="E87" s="7751"/>
      <c r="F87" s="7751"/>
      <c r="G87" s="7751"/>
      <c r="H87" s="7751"/>
      <c r="I87" s="7751"/>
      <c r="J87" s="7751"/>
      <c r="K87" s="7751"/>
      <c r="L87" s="12"/>
      <c r="M87" s="2730">
        <v>1</v>
      </c>
    </row>
    <row r="88" spans="1:13" ht="18">
      <c r="A88" s="12"/>
      <c r="B88" s="3173" t="s">
        <v>16236</v>
      </c>
      <c r="C88" s="12"/>
      <c r="D88" s="12"/>
      <c r="E88" s="12"/>
      <c r="F88" s="12"/>
      <c r="G88" s="12"/>
      <c r="H88" s="12"/>
      <c r="I88" s="12"/>
      <c r="J88" s="12"/>
      <c r="K88" s="12"/>
      <c r="L88" s="12"/>
      <c r="M88" s="2730">
        <v>1</v>
      </c>
    </row>
    <row r="89" spans="1:13">
      <c r="A89" s="12"/>
      <c r="B89" s="12"/>
      <c r="C89" s="12"/>
      <c r="D89" s="12"/>
      <c r="E89" s="12"/>
      <c r="F89" s="12"/>
      <c r="G89" s="12"/>
      <c r="H89" s="12"/>
      <c r="I89" s="12"/>
      <c r="J89" s="12"/>
      <c r="K89" s="12"/>
      <c r="L89" s="12"/>
      <c r="M89" s="2730">
        <v>1</v>
      </c>
    </row>
    <row r="90" spans="1:13">
      <c r="A90" s="12"/>
      <c r="B90" s="7751" t="s">
        <v>16237</v>
      </c>
      <c r="C90" s="7751"/>
      <c r="D90" s="7751"/>
      <c r="E90" s="7751"/>
      <c r="F90" s="7751"/>
      <c r="G90" s="7751"/>
      <c r="H90" s="7751"/>
      <c r="I90" s="7751"/>
      <c r="J90" s="7751"/>
      <c r="K90" s="7751"/>
      <c r="L90" s="12"/>
      <c r="M90" s="2730">
        <v>1</v>
      </c>
    </row>
    <row r="91" spans="1:13">
      <c r="A91" s="12"/>
      <c r="B91" s="7751"/>
      <c r="C91" s="7751"/>
      <c r="D91" s="7751"/>
      <c r="E91" s="7751"/>
      <c r="F91" s="7751"/>
      <c r="G91" s="7751"/>
      <c r="H91" s="7751"/>
      <c r="I91" s="7751"/>
      <c r="J91" s="7751"/>
      <c r="K91" s="7751"/>
      <c r="L91" s="12"/>
      <c r="M91" s="2730">
        <v>1</v>
      </c>
    </row>
    <row r="92" spans="1:13">
      <c r="A92" s="12"/>
      <c r="B92" s="7751"/>
      <c r="C92" s="7751"/>
      <c r="D92" s="7751"/>
      <c r="E92" s="7751"/>
      <c r="F92" s="7751"/>
      <c r="G92" s="7751"/>
      <c r="H92" s="7751"/>
      <c r="I92" s="7751"/>
      <c r="J92" s="7751"/>
      <c r="K92" s="7751"/>
      <c r="L92" s="12"/>
      <c r="M92" s="2730">
        <v>1</v>
      </c>
    </row>
    <row r="93" spans="1:13">
      <c r="A93" s="12"/>
      <c r="B93" s="716"/>
      <c r="C93" s="12"/>
      <c r="D93" s="12"/>
      <c r="E93" s="12"/>
      <c r="F93" s="12"/>
      <c r="G93" s="12"/>
      <c r="H93" s="12"/>
      <c r="I93" s="12"/>
      <c r="J93" s="12"/>
      <c r="K93" s="12"/>
      <c r="L93" s="12"/>
      <c r="M93" s="2730">
        <v>1</v>
      </c>
    </row>
    <row r="94" spans="1:13">
      <c r="A94" s="12"/>
      <c r="B94" s="716" t="s">
        <v>16238</v>
      </c>
      <c r="C94" s="12"/>
      <c r="D94" s="12"/>
      <c r="E94" s="12"/>
      <c r="F94" s="12"/>
      <c r="G94" s="12"/>
      <c r="H94" s="12"/>
      <c r="I94" s="12"/>
      <c r="J94" s="12"/>
      <c r="K94" s="12"/>
      <c r="L94" s="12"/>
      <c r="M94" s="2730">
        <v>1</v>
      </c>
    </row>
    <row r="95" spans="1:13">
      <c r="A95" s="12"/>
      <c r="B95" s="716" t="s">
        <v>16239</v>
      </c>
      <c r="C95" s="12"/>
      <c r="D95" s="12"/>
      <c r="E95" s="12"/>
      <c r="F95" s="12"/>
      <c r="G95" s="12"/>
      <c r="H95" s="12"/>
      <c r="I95" s="12"/>
      <c r="J95" s="12"/>
      <c r="K95" s="12"/>
      <c r="L95" s="12"/>
      <c r="M95" s="2730">
        <v>1</v>
      </c>
    </row>
    <row r="96" spans="1:13">
      <c r="A96" s="12"/>
      <c r="B96" s="716" t="s">
        <v>16240</v>
      </c>
      <c r="C96" s="12"/>
      <c r="D96" s="12"/>
      <c r="E96" s="12"/>
      <c r="F96" s="12"/>
      <c r="G96" s="12"/>
      <c r="H96" s="12"/>
      <c r="I96" s="12"/>
      <c r="J96" s="12"/>
      <c r="K96" s="12"/>
      <c r="L96" s="12"/>
      <c r="M96" s="2730">
        <v>1</v>
      </c>
    </row>
    <row r="97" spans="1:15">
      <c r="A97" s="12"/>
      <c r="B97" s="12"/>
      <c r="C97" s="12"/>
      <c r="D97" s="12"/>
      <c r="E97" s="12"/>
      <c r="F97" s="12"/>
      <c r="G97" s="12"/>
      <c r="H97" s="12"/>
      <c r="I97" s="12"/>
      <c r="J97" s="12"/>
      <c r="K97" s="12"/>
      <c r="L97" s="12"/>
      <c r="M97" s="2730">
        <v>1</v>
      </c>
    </row>
    <row r="98" spans="1:15">
      <c r="A98" s="12"/>
      <c r="B98" s="7751" t="s">
        <v>16241</v>
      </c>
      <c r="C98" s="7751"/>
      <c r="D98" s="7751"/>
      <c r="E98" s="7751"/>
      <c r="F98" s="7751"/>
      <c r="G98" s="7751"/>
      <c r="H98" s="7751"/>
      <c r="I98" s="7751"/>
      <c r="J98" s="7751"/>
      <c r="K98" s="7751"/>
      <c r="L98" s="7751"/>
      <c r="M98" s="2730">
        <v>1</v>
      </c>
    </row>
    <row r="99" spans="1:15">
      <c r="A99" s="12"/>
      <c r="B99" s="7751"/>
      <c r="C99" s="7751"/>
      <c r="D99" s="7751"/>
      <c r="E99" s="7751"/>
      <c r="F99" s="7751"/>
      <c r="G99" s="7751"/>
      <c r="H99" s="7751"/>
      <c r="I99" s="7751"/>
      <c r="J99" s="7751"/>
      <c r="K99" s="7751"/>
      <c r="L99" s="7751"/>
      <c r="M99" s="2730">
        <v>1</v>
      </c>
    </row>
    <row r="100" spans="1:15" ht="23.25">
      <c r="A100" s="12"/>
      <c r="B100" s="3187" t="s">
        <v>14824</v>
      </c>
      <c r="C100" s="12"/>
      <c r="D100" s="12"/>
      <c r="E100" s="12"/>
      <c r="F100" s="12"/>
      <c r="G100" s="12"/>
      <c r="H100" s="12"/>
      <c r="I100" s="12"/>
      <c r="J100" s="12"/>
      <c r="K100" s="12"/>
      <c r="L100" s="12"/>
      <c r="M100" s="2730">
        <v>1</v>
      </c>
    </row>
    <row r="101" spans="1:15">
      <c r="A101" s="12"/>
      <c r="B101" s="12"/>
      <c r="C101" s="12"/>
      <c r="D101" s="12"/>
      <c r="E101" s="12"/>
      <c r="F101" s="12"/>
      <c r="G101" s="12"/>
      <c r="H101" s="12"/>
      <c r="I101" s="12"/>
      <c r="J101" s="12"/>
      <c r="K101" s="12"/>
      <c r="L101" s="12"/>
      <c r="M101" s="2730">
        <v>1</v>
      </c>
    </row>
    <row r="102" spans="1:15">
      <c r="A102" s="12"/>
      <c r="B102" s="3183" t="s">
        <v>16242</v>
      </c>
      <c r="C102" s="12"/>
      <c r="D102" s="12"/>
      <c r="E102" s="12"/>
      <c r="F102" s="12"/>
      <c r="G102" s="12"/>
      <c r="H102" s="12"/>
      <c r="I102" s="12"/>
      <c r="J102" s="12"/>
      <c r="K102" s="12"/>
      <c r="L102" s="12"/>
      <c r="M102" s="2730">
        <v>1</v>
      </c>
    </row>
    <row r="103" spans="1:15">
      <c r="A103" s="12"/>
      <c r="B103" s="3183" t="s">
        <v>16243</v>
      </c>
      <c r="C103" s="12"/>
      <c r="D103" s="12"/>
      <c r="E103" s="12"/>
      <c r="F103" s="12"/>
      <c r="G103" s="12"/>
      <c r="H103" s="12"/>
      <c r="I103" s="12"/>
      <c r="J103" s="12"/>
      <c r="K103" s="12"/>
      <c r="L103" s="12"/>
      <c r="M103" s="2730">
        <v>1</v>
      </c>
    </row>
    <row r="104" spans="1:15">
      <c r="A104" s="12"/>
      <c r="B104" s="3183" t="s">
        <v>16244</v>
      </c>
      <c r="C104" s="12"/>
      <c r="D104" s="12"/>
      <c r="E104" s="12"/>
      <c r="F104" s="12"/>
      <c r="G104" s="12"/>
      <c r="H104" s="12"/>
      <c r="I104" s="12"/>
      <c r="J104" s="12"/>
      <c r="K104" s="12"/>
      <c r="L104" s="12"/>
      <c r="M104" s="2730">
        <v>1</v>
      </c>
    </row>
    <row r="105" spans="1:15">
      <c r="A105" s="12"/>
      <c r="B105" s="12"/>
      <c r="C105" s="12"/>
      <c r="D105" s="12"/>
      <c r="E105" s="12"/>
      <c r="F105" s="12"/>
      <c r="G105" s="12"/>
      <c r="H105" s="12"/>
      <c r="I105" s="12"/>
      <c r="J105" s="12"/>
      <c r="K105" s="12"/>
      <c r="L105" s="12"/>
      <c r="M105" s="2730">
        <v>1</v>
      </c>
    </row>
    <row r="106" spans="1:15">
      <c r="A106" s="12"/>
      <c r="B106" s="12"/>
      <c r="C106" s="12"/>
      <c r="D106" s="12"/>
      <c r="E106" s="12"/>
      <c r="F106" s="12"/>
      <c r="G106" s="12"/>
      <c r="H106" s="12"/>
      <c r="I106" s="12"/>
      <c r="J106" s="12"/>
      <c r="K106" s="12"/>
      <c r="L106" s="12"/>
      <c r="M106" s="2731" t="s">
        <v>7037</v>
      </c>
    </row>
    <row r="107" spans="1:15">
      <c r="A107" s="2730">
        <v>1</v>
      </c>
      <c r="B107" s="2730">
        <v>1</v>
      </c>
      <c r="C107" s="2730">
        <v>1</v>
      </c>
      <c r="D107" s="2730">
        <v>1</v>
      </c>
      <c r="E107" s="2730">
        <v>1</v>
      </c>
      <c r="F107" s="2730">
        <v>1</v>
      </c>
      <c r="G107" s="2730">
        <v>1</v>
      </c>
      <c r="H107" s="2730">
        <v>1</v>
      </c>
      <c r="I107" s="2730">
        <v>1</v>
      </c>
      <c r="J107" s="2730">
        <v>1</v>
      </c>
      <c r="K107" s="2730">
        <v>1</v>
      </c>
      <c r="L107" s="2730">
        <v>1</v>
      </c>
      <c r="M107" s="2732" t="str">
        <f>ADDRESS(ROW(),COLUMN(),4)</f>
        <v>M107</v>
      </c>
      <c r="N107" s="3095"/>
      <c r="O107" s="3096" t="str">
        <f>ADDRESS(ROW(),COLUMN(),4)</f>
        <v>O107</v>
      </c>
    </row>
  </sheetData>
  <mergeCells count="7">
    <mergeCell ref="B98:L99"/>
    <mergeCell ref="B17:K19"/>
    <mergeCell ref="B21:K25"/>
    <mergeCell ref="B38:K39"/>
    <mergeCell ref="B74:K77"/>
    <mergeCell ref="B85:K87"/>
    <mergeCell ref="B90:K92"/>
  </mergeCells>
  <hyperlinks>
    <hyperlink ref="B15" r:id="rId1" display="https://www.hotellerie-restauration.ac-versailles.fr/spip.php?auteur69" xr:uid="{DDF06D91-2292-45F0-BFA4-38960B6F8242}"/>
    <hyperlink ref="B17" r:id="rId2" display="https://cuisine-centrale17.fr/" xr:uid="{A88D2D54-CDAF-4A84-85C1-145B50A77FD5}"/>
    <hyperlink ref="B74" r:id="rId3" display="https://cuisine-centrale17.fr/" xr:uid="{A7273CB7-E566-4019-A600-C51BB87573EE}"/>
    <hyperlink ref="B102" r:id="rId4" display="mailto: cuisine.centrale17@gmail.com" xr:uid="{36D661D7-F294-49AD-835C-CDAAE71542CF}"/>
    <hyperlink ref="B103" r:id="rId5" display="https://cuisine-centrale17.fr/" xr:uid="{5D350311-258B-4305-82D5-B760EA667BE5}"/>
    <hyperlink ref="B104" r:id="rId6" display="https://www.facebook.com/UPRT.fr" xr:uid="{BB39FF94-E515-4058-929F-B47914AB46AA}"/>
    <hyperlink ref="B8" r:id="rId7" xr:uid="{6121E5A0-D42D-41A9-910C-148BEC92BB45}"/>
  </hyperlinks>
  <pageMargins left="0.7" right="0.7" top="0.75" bottom="0.75" header="0.3" footer="0.3"/>
  <drawing r:id="rId8"/>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E9F59-9456-4F5B-AAF4-0E2927988E68}">
  <dimension ref="F1"/>
  <sheetViews>
    <sheetView showGridLines="0" workbookViewId="0">
      <selection activeCell="P37" sqref="P37"/>
    </sheetView>
  </sheetViews>
  <sheetFormatPr baseColWidth="10" defaultRowHeight="12"/>
  <cols>
    <col min="1" max="16384" width="11.42578125" style="478"/>
  </cols>
  <sheetData>
    <row r="1" spans="6:6" ht="26.45" customHeight="1">
      <c r="F1" s="484" t="s">
        <v>1266</v>
      </c>
    </row>
  </sheetData>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25F23-2959-4B93-9D23-D4A7187878DD}">
  <dimension ref="A2:AN56"/>
  <sheetViews>
    <sheetView workbookViewId="0">
      <selection activeCell="J12" sqref="J12"/>
    </sheetView>
  </sheetViews>
  <sheetFormatPr baseColWidth="10" defaultRowHeight="12.75"/>
  <cols>
    <col min="1" max="1" width="3.5703125" style="1697" customWidth="1"/>
    <col min="2" max="2" width="8.7109375" style="1697" customWidth="1"/>
    <col min="3" max="3" width="25.7109375" style="1697" customWidth="1"/>
    <col min="4" max="5" width="8.7109375" style="1697" customWidth="1"/>
    <col min="6" max="8" width="18.7109375" style="1697" customWidth="1"/>
    <col min="9" max="9" width="3.42578125" style="1697" customWidth="1"/>
    <col min="10" max="18" width="11.42578125" style="1697"/>
    <col min="19" max="19" width="20.7109375" style="1697" customWidth="1"/>
    <col min="20" max="16384" width="11.42578125" style="1697"/>
  </cols>
  <sheetData>
    <row r="2" spans="1:33" ht="12.75" customHeight="1">
      <c r="B2" s="8094" t="s">
        <v>2469</v>
      </c>
      <c r="C2" s="8095"/>
      <c r="D2" s="8095"/>
      <c r="E2" s="8095"/>
      <c r="F2" s="8095"/>
      <c r="G2" s="8095"/>
      <c r="H2" s="8095"/>
      <c r="I2" s="8096"/>
    </row>
    <row r="3" spans="1:33" ht="12.75" customHeight="1">
      <c r="B3" s="8097"/>
      <c r="C3" s="8098"/>
      <c r="D3" s="8098"/>
      <c r="E3" s="8098"/>
      <c r="F3" s="8098"/>
      <c r="G3" s="8098"/>
      <c r="H3" s="8098"/>
      <c r="I3" s="8099"/>
    </row>
    <row r="4" spans="1:33" ht="12.75" customHeight="1">
      <c r="B4" s="8097"/>
      <c r="C4" s="8098"/>
      <c r="D4" s="8098"/>
      <c r="E4" s="8098"/>
      <c r="F4" s="8098"/>
      <c r="G4" s="8098"/>
      <c r="H4" s="8098"/>
      <c r="I4" s="8099"/>
    </row>
    <row r="5" spans="1:33" ht="12.75" customHeight="1">
      <c r="B5" s="8097"/>
      <c r="C5" s="8098"/>
      <c r="D5" s="8098"/>
      <c r="E5" s="8098"/>
      <c r="F5" s="8098"/>
      <c r="G5" s="8098"/>
      <c r="H5" s="8098"/>
      <c r="I5" s="8099"/>
    </row>
    <row r="6" spans="1:33" ht="12.75" customHeight="1">
      <c r="B6" s="8100"/>
      <c r="C6" s="8101"/>
      <c r="D6" s="8101"/>
      <c r="E6" s="8101"/>
      <c r="F6" s="8101"/>
      <c r="G6" s="8101"/>
      <c r="H6" s="8101"/>
      <c r="I6" s="8102"/>
    </row>
    <row r="7" spans="1:33" ht="13.5" thickBot="1"/>
    <row r="8" spans="1:33" ht="15" customHeight="1">
      <c r="A8" s="8060" t="s">
        <v>67</v>
      </c>
      <c r="B8" s="8062" t="s">
        <v>2470</v>
      </c>
      <c r="C8" s="8062"/>
      <c r="D8" s="8062"/>
      <c r="E8" s="8062"/>
      <c r="F8" s="8062"/>
      <c r="G8" s="8062"/>
      <c r="H8" s="8062"/>
      <c r="I8" s="8063"/>
      <c r="K8" s="8104" t="s">
        <v>2652</v>
      </c>
      <c r="L8" s="8105"/>
      <c r="M8" s="8105"/>
      <c r="N8" s="8105"/>
      <c r="O8" s="1698"/>
      <c r="P8" s="1698"/>
      <c r="Q8" s="1698"/>
      <c r="R8" s="1699"/>
      <c r="T8" s="8106" t="s">
        <v>67</v>
      </c>
      <c r="U8" s="8090" t="s">
        <v>2472</v>
      </c>
      <c r="V8" s="8090"/>
      <c r="W8" s="8090"/>
      <c r="X8" s="8090"/>
      <c r="Y8" s="8090"/>
      <c r="Z8" s="8090"/>
      <c r="AA8" s="8090"/>
      <c r="AB8" s="8090"/>
      <c r="AC8" s="8090"/>
      <c r="AD8" s="8090"/>
      <c r="AE8" s="8090"/>
      <c r="AF8" s="8090"/>
      <c r="AG8" s="8091"/>
    </row>
    <row r="9" spans="1:33" ht="15" customHeight="1">
      <c r="A9" s="8103"/>
      <c r="B9" s="8064"/>
      <c r="C9" s="8064"/>
      <c r="D9" s="8064"/>
      <c r="E9" s="8064"/>
      <c r="F9" s="8064"/>
      <c r="G9" s="8064"/>
      <c r="H9" s="8064"/>
      <c r="I9" s="8065"/>
      <c r="K9" s="1700"/>
      <c r="L9" s="1701"/>
      <c r="M9" s="1702"/>
      <c r="N9" s="1702"/>
      <c r="O9" s="1702"/>
      <c r="P9" s="1702"/>
      <c r="Q9" s="1702"/>
      <c r="R9" s="1703"/>
      <c r="T9" s="8107"/>
      <c r="U9" s="8092"/>
      <c r="V9" s="8092"/>
      <c r="W9" s="8092"/>
      <c r="X9" s="8092"/>
      <c r="Y9" s="8092"/>
      <c r="Z9" s="8092"/>
      <c r="AA9" s="8092"/>
      <c r="AB9" s="8092"/>
      <c r="AC9" s="8092"/>
      <c r="AD9" s="8092"/>
      <c r="AE9" s="8092"/>
      <c r="AF9" s="8092"/>
      <c r="AG9" s="8093"/>
    </row>
    <row r="10" spans="1:33" s="1704" customFormat="1" ht="15" customHeight="1">
      <c r="A10" s="8081" t="s">
        <v>2473</v>
      </c>
      <c r="B10" s="8070" t="s">
        <v>2738</v>
      </c>
      <c r="C10" s="8070"/>
      <c r="D10" s="8083" t="s">
        <v>2471</v>
      </c>
      <c r="E10" s="8083"/>
      <c r="F10" s="8083"/>
      <c r="G10" s="8083"/>
      <c r="H10" s="8084"/>
      <c r="I10" s="8073">
        <v>1</v>
      </c>
      <c r="K10" s="1705"/>
      <c r="L10" s="1706" t="s">
        <v>2474</v>
      </c>
      <c r="M10" s="1707"/>
      <c r="N10" s="1707"/>
      <c r="O10" s="1707"/>
      <c r="P10" s="1707"/>
      <c r="Q10" s="1707"/>
      <c r="R10" s="1708"/>
      <c r="T10" s="8081" t="s">
        <v>2473</v>
      </c>
      <c r="U10" s="1709" t="s">
        <v>64</v>
      </c>
      <c r="V10" s="1710" t="s">
        <v>2475</v>
      </c>
      <c r="W10" s="1710"/>
      <c r="X10" s="1711"/>
      <c r="Y10" s="1712"/>
      <c r="Z10" s="1712"/>
      <c r="AA10" s="1712"/>
      <c r="AB10" s="1712"/>
      <c r="AC10" s="1712"/>
      <c r="AD10" s="1712"/>
      <c r="AE10" s="1712"/>
      <c r="AF10" s="1712"/>
      <c r="AG10" s="1713"/>
    </row>
    <row r="11" spans="1:33" s="1704" customFormat="1" ht="15" customHeight="1" thickBot="1">
      <c r="A11" s="8081"/>
      <c r="B11" s="1714" t="s">
        <v>2476</v>
      </c>
      <c r="C11" s="1715"/>
      <c r="D11" s="1715"/>
      <c r="E11" s="1715"/>
      <c r="F11" s="1716"/>
      <c r="G11" s="1716" t="s">
        <v>2477</v>
      </c>
      <c r="H11" s="2073"/>
      <c r="I11" s="8085"/>
      <c r="K11" s="1717"/>
      <c r="L11" s="1707" t="s">
        <v>2478</v>
      </c>
      <c r="M11" s="1707"/>
      <c r="N11" s="1707"/>
      <c r="O11" s="1707"/>
      <c r="P11" s="1707"/>
      <c r="Q11" s="1707"/>
      <c r="R11" s="1708"/>
      <c r="T11" s="8081"/>
      <c r="U11" s="1718"/>
      <c r="V11" s="1719"/>
      <c r="W11" s="1719"/>
      <c r="X11" s="1720"/>
      <c r="Y11" s="1720"/>
      <c r="Z11" s="1720"/>
      <c r="AA11" s="1720"/>
      <c r="AB11" s="1720"/>
      <c r="AC11" s="1720"/>
      <c r="AD11" s="1720"/>
      <c r="AE11" s="1720"/>
      <c r="AF11" s="1720"/>
      <c r="AG11" s="1721"/>
    </row>
    <row r="12" spans="1:33" s="1704" customFormat="1" ht="15" customHeight="1">
      <c r="A12" s="8081"/>
      <c r="B12" s="1722">
        <v>6</v>
      </c>
      <c r="C12" s="1723"/>
      <c r="D12" s="1723"/>
      <c r="E12" s="1724"/>
      <c r="F12" s="1725"/>
      <c r="G12" s="8086">
        <v>7</v>
      </c>
      <c r="H12" s="8087" t="s">
        <v>309</v>
      </c>
      <c r="I12" s="8088" t="str">
        <f>B8</f>
        <v>NOM DE LA RECETTE</v>
      </c>
      <c r="K12" s="1700"/>
      <c r="L12" s="1707"/>
      <c r="M12" s="1707" t="s">
        <v>2479</v>
      </c>
      <c r="N12" s="1707"/>
      <c r="O12" s="1707"/>
      <c r="P12" s="1707"/>
      <c r="Q12" s="1707"/>
      <c r="R12" s="1708"/>
      <c r="T12" s="8081"/>
      <c r="U12" s="1726" t="s">
        <v>2055</v>
      </c>
      <c r="V12" s="1727" t="s">
        <v>2480</v>
      </c>
      <c r="W12" s="1728"/>
      <c r="X12" s="1728" t="s">
        <v>2481</v>
      </c>
      <c r="Y12" s="1720"/>
      <c r="Z12" s="1720"/>
      <c r="AA12" s="1720"/>
      <c r="AB12" s="1720"/>
      <c r="AC12" s="1720"/>
      <c r="AD12" s="1720"/>
      <c r="AE12" s="1720"/>
      <c r="AF12" s="1720"/>
      <c r="AG12" s="1721"/>
    </row>
    <row r="13" spans="1:33" s="1704" customFormat="1" ht="15" customHeight="1" thickBot="1">
      <c r="A13" s="8081"/>
      <c r="B13" s="1729" t="s">
        <v>309</v>
      </c>
      <c r="C13" s="1723"/>
      <c r="D13" s="1723"/>
      <c r="E13" s="1724"/>
      <c r="F13" s="1725"/>
      <c r="G13" s="8086"/>
      <c r="H13" s="8087"/>
      <c r="I13" s="8088"/>
      <c r="K13" s="1700"/>
      <c r="L13" s="1707"/>
      <c r="M13" s="1707" t="s">
        <v>2482</v>
      </c>
      <c r="N13" s="1707"/>
      <c r="O13" s="1707"/>
      <c r="P13" s="1707"/>
      <c r="Q13" s="1707"/>
      <c r="R13" s="1708"/>
      <c r="T13" s="8081"/>
      <c r="U13" s="1730"/>
      <c r="V13" s="1727"/>
      <c r="W13" s="1728"/>
      <c r="X13" s="1719"/>
      <c r="Y13" s="1720"/>
      <c r="Z13" s="1720"/>
      <c r="AA13" s="1720"/>
      <c r="AB13" s="1720"/>
      <c r="AC13" s="1720"/>
      <c r="AD13" s="1720"/>
      <c r="AE13" s="1720"/>
      <c r="AF13" s="1720"/>
      <c r="AG13" s="1721"/>
    </row>
    <row r="14" spans="1:33" s="1704" customFormat="1" ht="15" customHeight="1">
      <c r="A14" s="8081"/>
      <c r="B14" s="1731"/>
      <c r="C14" s="1732" t="s">
        <v>58</v>
      </c>
      <c r="D14" s="1732" t="s">
        <v>2483</v>
      </c>
      <c r="E14" s="8078" t="s">
        <v>2484</v>
      </c>
      <c r="F14" s="8078"/>
      <c r="G14" s="1733"/>
      <c r="H14" s="2074"/>
      <c r="I14" s="8088"/>
      <c r="K14" s="1717"/>
      <c r="L14" s="1707" t="s">
        <v>2485</v>
      </c>
      <c r="M14" s="1707"/>
      <c r="N14" s="1707"/>
      <c r="O14" s="1707"/>
      <c r="P14" s="1707"/>
      <c r="Q14" s="1707"/>
      <c r="R14" s="1708"/>
      <c r="T14" s="8081"/>
      <c r="U14" s="1730" t="s">
        <v>2066</v>
      </c>
      <c r="V14" s="1727" t="s">
        <v>2486</v>
      </c>
      <c r="W14" s="1728" t="s">
        <v>2487</v>
      </c>
      <c r="X14" s="1719"/>
      <c r="Y14" s="1720"/>
      <c r="Z14" s="1720"/>
      <c r="AA14" s="1720"/>
      <c r="AB14" s="1720"/>
      <c r="AC14" s="1720"/>
      <c r="AD14" s="1720"/>
      <c r="AE14" s="1720"/>
      <c r="AF14" s="1720"/>
      <c r="AG14" s="1721"/>
    </row>
    <row r="15" spans="1:33" s="1704" customFormat="1" ht="15" customHeight="1">
      <c r="A15" s="8081"/>
      <c r="B15" s="1734" t="s">
        <v>2066</v>
      </c>
      <c r="C15" s="1735" t="s">
        <v>2055</v>
      </c>
      <c r="D15" s="1736"/>
      <c r="E15" s="1734" t="s">
        <v>2077</v>
      </c>
      <c r="F15" s="2075"/>
      <c r="G15" s="2075"/>
      <c r="H15" s="2076"/>
      <c r="I15" s="8088"/>
      <c r="K15" s="1717"/>
      <c r="L15" s="1707"/>
      <c r="M15" s="1739"/>
      <c r="N15" s="1739" t="s">
        <v>2488</v>
      </c>
      <c r="O15" s="1740">
        <f>B12</f>
        <v>6</v>
      </c>
      <c r="P15" s="1707" t="s">
        <v>309</v>
      </c>
      <c r="Q15" s="1707"/>
      <c r="R15" s="1708"/>
      <c r="S15" s="2077" t="s">
        <v>1177</v>
      </c>
      <c r="T15" s="8081"/>
      <c r="U15" s="1730"/>
      <c r="V15" s="1727"/>
      <c r="W15" s="1741" t="s">
        <v>132</v>
      </c>
      <c r="X15" s="1719"/>
      <c r="Y15" s="1720"/>
      <c r="Z15" s="1720"/>
      <c r="AA15" s="1720"/>
      <c r="AB15" s="1720"/>
      <c r="AC15" s="1720"/>
      <c r="AD15" s="1720"/>
      <c r="AE15" s="1720"/>
      <c r="AF15" s="1720"/>
      <c r="AG15" s="1721"/>
    </row>
    <row r="16" spans="1:33" s="1704" customFormat="1" ht="15" customHeight="1">
      <c r="A16" s="8081"/>
      <c r="B16" s="1742">
        <v>1.8</v>
      </c>
      <c r="C16" s="2078" t="s">
        <v>2739</v>
      </c>
      <c r="D16" s="2079">
        <f>IF(B16="","",IF(ISTEXT(B16),B16,(B16/B12)*G12))</f>
        <v>2.1</v>
      </c>
      <c r="E16" s="2080" t="s">
        <v>1172</v>
      </c>
      <c r="F16" s="2081" t="s">
        <v>2740</v>
      </c>
      <c r="G16" s="2082"/>
      <c r="H16" s="2083"/>
      <c r="I16" s="8088"/>
      <c r="K16" s="1700"/>
      <c r="L16" s="1701"/>
      <c r="M16" s="1739"/>
      <c r="N16" s="1739" t="s">
        <v>2489</v>
      </c>
      <c r="O16" s="1743">
        <f>G12</f>
        <v>7</v>
      </c>
      <c r="P16" s="1707" t="s">
        <v>309</v>
      </c>
      <c r="Q16" s="1707"/>
      <c r="R16" s="1708"/>
      <c r="S16" s="2084" t="s">
        <v>2741</v>
      </c>
      <c r="T16" s="8081"/>
      <c r="U16" s="1719"/>
      <c r="V16" s="1719"/>
      <c r="W16" s="1728" t="s">
        <v>2490</v>
      </c>
      <c r="X16" s="1719"/>
      <c r="Y16" s="1720"/>
      <c r="Z16" s="1720"/>
      <c r="AA16" s="1720"/>
      <c r="AB16" s="1720"/>
      <c r="AC16" s="1744"/>
      <c r="AD16" s="1728"/>
      <c r="AE16" s="1720"/>
      <c r="AF16" s="1745"/>
      <c r="AG16" s="1746"/>
    </row>
    <row r="17" spans="1:40" s="1704" customFormat="1" ht="15" customHeight="1">
      <c r="A17" s="8081"/>
      <c r="B17" s="1742">
        <v>2</v>
      </c>
      <c r="C17" s="2078"/>
      <c r="D17" s="2079">
        <f>IF(B17="","",IF(ISTEXT(B17),B17,(B17/B12)*G12))</f>
        <v>2.333333333333333</v>
      </c>
      <c r="E17" s="2080"/>
      <c r="F17" s="2081"/>
      <c r="G17" s="2082"/>
      <c r="H17" s="2083"/>
      <c r="I17" s="8088"/>
      <c r="K17" s="1700"/>
      <c r="L17" s="1747" t="s">
        <v>2491</v>
      </c>
      <c r="M17" s="1707"/>
      <c r="N17" s="1707"/>
      <c r="O17" s="1707"/>
      <c r="P17" s="1707"/>
      <c r="Q17" s="1707"/>
      <c r="R17" s="1708"/>
      <c r="T17" s="8081"/>
      <c r="U17" s="1719"/>
      <c r="V17" s="1719"/>
      <c r="W17" s="1719"/>
      <c r="X17" s="1719"/>
      <c r="Y17" s="1720"/>
      <c r="Z17" s="1720"/>
      <c r="AA17" s="1720"/>
      <c r="AB17" s="1720"/>
      <c r="AC17" s="1720"/>
      <c r="AD17" s="1720"/>
      <c r="AE17" s="1720"/>
      <c r="AF17" s="1720"/>
      <c r="AG17" s="1721"/>
    </row>
    <row r="18" spans="1:40" s="1704" customFormat="1" ht="15" customHeight="1" thickBot="1">
      <c r="A18" s="8081"/>
      <c r="B18" s="1742"/>
      <c r="C18" s="2085"/>
      <c r="D18" s="2079" t="str">
        <f>IF(B18="","",IF(ISTEXT(B18),B18,(B18/B12)*G12))</f>
        <v/>
      </c>
      <c r="E18" s="2080"/>
      <c r="F18" s="2081"/>
      <c r="G18" s="2082"/>
      <c r="H18" s="2083"/>
      <c r="I18" s="8088"/>
      <c r="K18" s="1700"/>
      <c r="L18" s="8079" t="s">
        <v>2492</v>
      </c>
      <c r="M18" s="8079"/>
      <c r="N18" s="8079"/>
      <c r="O18" s="1707" t="s">
        <v>2493</v>
      </c>
      <c r="P18" s="1707"/>
      <c r="Q18" s="1707"/>
      <c r="R18" s="1708"/>
      <c r="T18" s="8081"/>
      <c r="U18" s="1730" t="s">
        <v>2077</v>
      </c>
      <c r="V18" s="1727" t="s">
        <v>59</v>
      </c>
      <c r="W18" s="1744" t="s">
        <v>43</v>
      </c>
      <c r="X18" s="1744" t="s">
        <v>34</v>
      </c>
      <c r="Y18" s="1744" t="s">
        <v>1172</v>
      </c>
      <c r="Z18" s="1744" t="s">
        <v>2494</v>
      </c>
      <c r="AA18" s="1728" t="s">
        <v>2495</v>
      </c>
      <c r="AB18" s="1720"/>
      <c r="AC18" s="1744" t="s">
        <v>2496</v>
      </c>
      <c r="AD18" s="1728" t="s">
        <v>2497</v>
      </c>
      <c r="AE18" s="1720"/>
      <c r="AF18" s="1720"/>
      <c r="AG18" s="1721"/>
    </row>
    <row r="19" spans="1:40" s="1704" customFormat="1" ht="15" customHeight="1">
      <c r="A19" s="8081"/>
      <c r="B19" s="1742">
        <v>3</v>
      </c>
      <c r="C19" s="2085"/>
      <c r="D19" s="2079">
        <f>IF(B19="","",IF(ISTEXT(B19),B19,(B19/B12)*G12))</f>
        <v>3.5</v>
      </c>
      <c r="E19" s="2080"/>
      <c r="F19" s="2081"/>
      <c r="G19" s="2082"/>
      <c r="H19" s="2083"/>
      <c r="I19" s="8088"/>
      <c r="K19" s="1700"/>
      <c r="L19" s="8080" t="s">
        <v>2498</v>
      </c>
      <c r="M19" s="8080"/>
      <c r="N19" s="8080"/>
      <c r="O19" s="1737"/>
      <c r="P19" s="1737"/>
      <c r="Q19" s="1707"/>
      <c r="R19" s="1708"/>
      <c r="T19" s="8081"/>
      <c r="U19" s="1748"/>
      <c r="V19" s="1727"/>
      <c r="W19" s="1728"/>
      <c r="X19" s="1719"/>
      <c r="Y19" s="1720"/>
      <c r="Z19" s="1720"/>
      <c r="AA19" s="1720"/>
      <c r="AB19" s="1720"/>
      <c r="AC19" s="1720"/>
      <c r="AD19" s="1720"/>
      <c r="AE19" s="1720"/>
      <c r="AF19" s="1720"/>
      <c r="AG19" s="1721"/>
    </row>
    <row r="20" spans="1:40" s="1704" customFormat="1" ht="15" customHeight="1">
      <c r="A20" s="8081"/>
      <c r="B20" s="1742">
        <v>8</v>
      </c>
      <c r="C20" s="2078"/>
      <c r="D20" s="2079">
        <f>IF(B20="","",IF(ISTEXT(B20),B20,(B20/B12)*G12))</f>
        <v>9.3333333333333321</v>
      </c>
      <c r="E20" s="2080"/>
      <c r="F20" s="2081"/>
      <c r="G20" s="2082"/>
      <c r="H20" s="2083"/>
      <c r="I20" s="8088"/>
      <c r="K20" s="1749" t="s">
        <v>2499</v>
      </c>
      <c r="L20" s="1737" t="s">
        <v>2500</v>
      </c>
      <c r="M20" s="1707"/>
      <c r="N20" s="1707"/>
      <c r="O20" s="1707"/>
      <c r="P20" s="1707"/>
      <c r="Q20" s="1707"/>
      <c r="R20" s="1708"/>
      <c r="T20" s="8081"/>
      <c r="U20" s="1750"/>
      <c r="V20" s="1751">
        <v>10</v>
      </c>
      <c r="W20" s="1727" t="s">
        <v>2501</v>
      </c>
      <c r="X20" s="1719"/>
      <c r="Y20" s="1728" t="s">
        <v>2502</v>
      </c>
      <c r="Z20" s="1752"/>
      <c r="AA20" s="1752"/>
      <c r="AB20" s="1752"/>
      <c r="AC20" s="1752"/>
      <c r="AD20" s="1752"/>
      <c r="AE20" s="1752"/>
      <c r="AF20" s="1719"/>
      <c r="AG20" s="1753"/>
    </row>
    <row r="21" spans="1:40" s="1704" customFormat="1" ht="15" customHeight="1">
      <c r="A21" s="8081"/>
      <c r="B21" s="1742">
        <v>1</v>
      </c>
      <c r="C21" s="2078"/>
      <c r="D21" s="2079">
        <f>IF(B21="","",IF(ISTEXT(B21),B21,(B21/B12)*G12))</f>
        <v>1.1666666666666665</v>
      </c>
      <c r="E21" s="2080"/>
      <c r="F21" s="2081"/>
      <c r="G21" s="2082"/>
      <c r="H21" s="2083"/>
      <c r="I21" s="8088"/>
      <c r="K21" s="1717"/>
      <c r="L21" s="1737" t="s">
        <v>2503</v>
      </c>
      <c r="M21" s="1707"/>
      <c r="N21" s="1707"/>
      <c r="O21" s="1707"/>
      <c r="P21" s="1707"/>
      <c r="Q21" s="1707"/>
      <c r="R21" s="1708"/>
      <c r="T21" s="8081"/>
      <c r="U21" s="1754"/>
      <c r="V21" s="1719"/>
      <c r="W21" s="1719"/>
      <c r="X21" s="1719"/>
      <c r="Y21" s="1754" t="s">
        <v>309</v>
      </c>
      <c r="Z21" s="1719"/>
      <c r="AA21" s="1754" t="s">
        <v>43</v>
      </c>
      <c r="AB21" s="1719"/>
      <c r="AC21" s="1754" t="s">
        <v>347</v>
      </c>
      <c r="AD21" s="1719"/>
      <c r="AE21" s="1754" t="s">
        <v>2504</v>
      </c>
      <c r="AF21" s="1719"/>
      <c r="AG21" s="1753"/>
    </row>
    <row r="22" spans="1:40" s="1704" customFormat="1" ht="15" customHeight="1" thickBot="1">
      <c r="A22" s="8081"/>
      <c r="B22" s="1742"/>
      <c r="C22" s="2078"/>
      <c r="D22" s="2079" t="str">
        <f>IF(B22="","",IF(ISTEXT(B22),B22,(B22/B12)*G12))</f>
        <v/>
      </c>
      <c r="E22" s="2080"/>
      <c r="F22" s="2081"/>
      <c r="G22" s="2082"/>
      <c r="H22" s="2083"/>
      <c r="I22" s="8088"/>
      <c r="K22" s="1700"/>
      <c r="L22" s="1737" t="s">
        <v>2505</v>
      </c>
      <c r="M22" s="1707"/>
      <c r="N22" s="1707"/>
      <c r="O22" s="1707"/>
      <c r="P22" s="1707"/>
      <c r="Q22" s="1707"/>
      <c r="R22" s="1708"/>
      <c r="T22" s="8081"/>
      <c r="U22" s="1714" t="s">
        <v>2476</v>
      </c>
      <c r="V22" s="1719"/>
      <c r="W22" s="1719"/>
      <c r="X22" s="1719"/>
      <c r="Y22" s="1719"/>
      <c r="Z22" s="1719"/>
      <c r="AA22" s="1719"/>
      <c r="AB22" s="1719"/>
      <c r="AC22" s="1719"/>
      <c r="AD22" s="1719"/>
      <c r="AE22" s="1719"/>
      <c r="AF22" s="1719"/>
      <c r="AG22" s="1708"/>
    </row>
    <row r="23" spans="1:40" s="1704" customFormat="1" ht="15" customHeight="1" thickBot="1">
      <c r="A23" s="8081"/>
      <c r="B23" s="1742"/>
      <c r="C23" s="2078"/>
      <c r="D23" s="2079" t="str">
        <f>IF(B23="","",IF(ISTEXT(B23),B23,(B23/B12)*G12))</f>
        <v/>
      </c>
      <c r="E23" s="2080"/>
      <c r="F23" s="2081"/>
      <c r="G23" s="2082"/>
      <c r="H23" s="2083"/>
      <c r="I23" s="8088"/>
      <c r="K23" s="1700"/>
      <c r="L23" s="1737" t="s">
        <v>2506</v>
      </c>
      <c r="M23" s="1707"/>
      <c r="N23" s="1707"/>
      <c r="O23" s="1707"/>
      <c r="P23" s="1707"/>
      <c r="Q23" s="1707"/>
      <c r="R23" s="1708"/>
      <c r="T23" s="8081"/>
      <c r="U23" s="1755">
        <v>10</v>
      </c>
      <c r="V23" s="1756" t="s">
        <v>2507</v>
      </c>
      <c r="W23" s="1756"/>
      <c r="X23" s="1757"/>
      <c r="Y23" s="1719"/>
      <c r="Z23" s="1719"/>
      <c r="AA23" s="1719"/>
      <c r="AB23" s="1719"/>
      <c r="AC23" s="1719"/>
      <c r="AD23" s="1719"/>
      <c r="AE23" s="1719"/>
      <c r="AF23" s="1719"/>
      <c r="AG23" s="1708"/>
    </row>
    <row r="24" spans="1:40" s="1704" customFormat="1" ht="15" customHeight="1" thickBot="1">
      <c r="A24" s="8082"/>
      <c r="B24" s="2086">
        <f>SUM(B16:B23)</f>
        <v>15.8</v>
      </c>
      <c r="C24" s="2087" t="s">
        <v>2742</v>
      </c>
      <c r="D24" s="2088">
        <f>SUM(D16:D23)</f>
        <v>18.433333333333334</v>
      </c>
      <c r="E24" s="2089"/>
      <c r="F24" s="2090"/>
      <c r="G24" s="2091" t="s">
        <v>2743</v>
      </c>
      <c r="H24" s="2092" t="str">
        <f>ADDRESS(ROW(B12),COLUMN(B12),4)</f>
        <v>B12</v>
      </c>
      <c r="I24" s="8089"/>
      <c r="K24" s="2093"/>
      <c r="L24" s="1758"/>
      <c r="M24" s="1758"/>
      <c r="N24" s="1758"/>
      <c r="O24" s="1758"/>
      <c r="P24" s="1758"/>
      <c r="Q24" s="1758"/>
      <c r="R24" s="1759"/>
      <c r="T24" s="8082"/>
      <c r="U24" s="1760"/>
      <c r="V24" s="1761"/>
      <c r="W24" s="1761"/>
      <c r="X24" s="1761"/>
      <c r="Y24" s="1760"/>
      <c r="Z24" s="1761"/>
      <c r="AA24" s="1760"/>
      <c r="AB24" s="1761"/>
      <c r="AC24" s="1760"/>
      <c r="AD24" s="1761"/>
      <c r="AE24" s="1760"/>
      <c r="AF24" s="1761"/>
      <c r="AG24" s="1762"/>
    </row>
    <row r="25" spans="1:40">
      <c r="B25" s="1697">
        <v>10.71</v>
      </c>
      <c r="C25" s="1697">
        <v>10.71</v>
      </c>
      <c r="D25" s="1697">
        <v>18</v>
      </c>
      <c r="E25" s="1697">
        <v>10.71</v>
      </c>
      <c r="F25" s="1697">
        <v>10.71</v>
      </c>
      <c r="G25" s="1697">
        <v>10.71</v>
      </c>
      <c r="H25" s="1697">
        <v>10.71</v>
      </c>
      <c r="T25" s="1704"/>
      <c r="U25" s="1704"/>
      <c r="V25" s="1704"/>
      <c r="W25" s="1704"/>
      <c r="X25" s="1704"/>
      <c r="Y25" s="1704"/>
      <c r="Z25" s="1704"/>
      <c r="AA25" s="1704"/>
      <c r="AB25" s="1704"/>
      <c r="AC25" s="1704"/>
      <c r="AD25" s="1704"/>
      <c r="AE25" s="1704"/>
      <c r="AF25" s="1704"/>
      <c r="AG25" s="1704"/>
      <c r="AH25" s="1704"/>
      <c r="AI25" s="1704"/>
      <c r="AJ25" s="1704"/>
      <c r="AK25" s="1704"/>
      <c r="AL25" s="1704"/>
    </row>
    <row r="26" spans="1:40" ht="15.75" thickBot="1">
      <c r="T26" s="2094"/>
      <c r="U26" s="2095"/>
      <c r="V26" s="2095"/>
      <c r="W26" s="2095"/>
      <c r="X26" s="2095"/>
      <c r="Y26" s="2095"/>
      <c r="Z26" s="2095"/>
      <c r="AA26" s="2095"/>
      <c r="AB26" s="2095"/>
      <c r="AC26" s="2095"/>
      <c r="AD26" s="2095"/>
      <c r="AE26" s="2095"/>
      <c r="AF26" s="2096"/>
      <c r="AH26" s="1704"/>
      <c r="AI26" s="1704"/>
      <c r="AJ26" s="1704"/>
      <c r="AK26" s="1704"/>
      <c r="AL26" s="1704"/>
    </row>
    <row r="27" spans="1:40" ht="15" customHeight="1">
      <c r="A27" s="8060" t="s">
        <v>67</v>
      </c>
      <c r="B27" s="8062" t="s">
        <v>2470</v>
      </c>
      <c r="C27" s="8062"/>
      <c r="D27" s="8062"/>
      <c r="E27" s="8062"/>
      <c r="F27" s="8062"/>
      <c r="G27" s="8062"/>
      <c r="H27" s="8062"/>
      <c r="I27" s="8063"/>
      <c r="K27" s="8066" t="s">
        <v>2653</v>
      </c>
      <c r="L27" s="8067"/>
      <c r="M27" s="8067"/>
      <c r="N27" s="8067"/>
      <c r="O27" s="1763"/>
      <c r="P27" s="1763"/>
      <c r="Q27" s="1763"/>
      <c r="R27" s="1764"/>
      <c r="T27" s="2097"/>
      <c r="U27" s="2098" t="s">
        <v>2744</v>
      </c>
      <c r="V27" s="2098"/>
      <c r="W27" s="2098"/>
      <c r="X27" s="2098"/>
      <c r="Y27" s="2098"/>
      <c r="Z27" s="2098"/>
      <c r="AA27" s="2098"/>
      <c r="AB27" s="2098"/>
      <c r="AC27" s="2098"/>
      <c r="AD27" s="2098"/>
      <c r="AE27" s="2098"/>
      <c r="AF27" s="2099"/>
      <c r="AH27" s="1704"/>
      <c r="AI27" s="1704"/>
      <c r="AJ27" s="1704"/>
      <c r="AK27" s="1704"/>
      <c r="AL27" s="1704"/>
    </row>
    <row r="28" spans="1:40" ht="15" customHeight="1">
      <c r="A28" s="8061"/>
      <c r="B28" s="8064"/>
      <c r="C28" s="8064"/>
      <c r="D28" s="8064"/>
      <c r="E28" s="8064"/>
      <c r="F28" s="8064"/>
      <c r="G28" s="8064"/>
      <c r="H28" s="8064"/>
      <c r="I28" s="8065"/>
      <c r="K28" s="1765"/>
      <c r="L28" s="1766"/>
      <c r="M28" s="1767"/>
      <c r="N28" s="1767"/>
      <c r="O28" s="1767"/>
      <c r="P28" s="1767"/>
      <c r="Q28" s="1767"/>
      <c r="R28" s="1768"/>
      <c r="T28" s="2100"/>
      <c r="U28" s="2101" t="s">
        <v>2745</v>
      </c>
      <c r="V28" s="2101"/>
      <c r="W28" s="2101"/>
      <c r="X28" s="2101"/>
      <c r="Y28" s="2101"/>
      <c r="Z28" s="2101"/>
      <c r="AA28" s="2101"/>
      <c r="AB28" s="2101"/>
      <c r="AC28" s="2101"/>
      <c r="AD28" s="2101"/>
      <c r="AE28" s="2101"/>
      <c r="AF28" s="2102"/>
      <c r="AH28" s="1704"/>
      <c r="AI28" s="1704"/>
      <c r="AJ28" s="1704"/>
      <c r="AK28" s="1704"/>
      <c r="AL28" s="1704"/>
    </row>
    <row r="29" spans="1:40" s="1704" customFormat="1" ht="15" customHeight="1">
      <c r="A29" s="8068" t="s">
        <v>2509</v>
      </c>
      <c r="B29" s="8070" t="s">
        <v>2738</v>
      </c>
      <c r="C29" s="8070"/>
      <c r="D29" s="8071" t="s">
        <v>2508</v>
      </c>
      <c r="E29" s="8071"/>
      <c r="F29" s="8071"/>
      <c r="G29" s="8071"/>
      <c r="H29" s="8072"/>
      <c r="I29" s="8073">
        <v>2</v>
      </c>
      <c r="K29" s="1769"/>
      <c r="L29" s="1770" t="s">
        <v>2510</v>
      </c>
      <c r="M29" s="1737"/>
      <c r="N29" s="1737"/>
      <c r="O29" s="1737"/>
      <c r="P29" s="1737"/>
      <c r="Q29" s="1737"/>
      <c r="R29" s="1738"/>
      <c r="T29" s="2100"/>
      <c r="U29" s="2103" t="s">
        <v>2686</v>
      </c>
      <c r="V29" s="2104" t="s">
        <v>2746</v>
      </c>
      <c r="W29" s="2101"/>
      <c r="X29" s="2101"/>
      <c r="Y29" s="2101"/>
      <c r="Z29" s="2101"/>
      <c r="AA29" s="2101"/>
      <c r="AB29" s="2101"/>
      <c r="AC29" s="2101"/>
      <c r="AD29" s="2101"/>
      <c r="AE29" s="2101"/>
      <c r="AF29" s="2102"/>
      <c r="AG29" s="1697"/>
      <c r="AM29" s="1697"/>
      <c r="AN29" s="1697"/>
    </row>
    <row r="30" spans="1:40" s="1704" customFormat="1" ht="15" customHeight="1" thickBot="1">
      <c r="A30" s="8068"/>
      <c r="B30" s="1771" t="s">
        <v>2511</v>
      </c>
      <c r="C30" s="1715"/>
      <c r="D30" s="1715"/>
      <c r="E30" s="1715"/>
      <c r="F30" s="1716"/>
      <c r="G30" s="1716" t="s">
        <v>2477</v>
      </c>
      <c r="H30" s="2105"/>
      <c r="I30" s="8073"/>
      <c r="K30" s="1765"/>
      <c r="L30" s="1767" t="s">
        <v>2512</v>
      </c>
      <c r="M30" s="1737"/>
      <c r="N30" s="1737"/>
      <c r="O30" s="1737"/>
      <c r="P30" s="1737"/>
      <c r="Q30" s="1737"/>
      <c r="R30" s="1738"/>
      <c r="T30" s="2106"/>
      <c r="U30" s="2107" t="s">
        <v>2747</v>
      </c>
      <c r="V30" s="2098"/>
      <c r="W30" s="2098"/>
      <c r="X30" s="2098"/>
      <c r="Y30" s="2098"/>
      <c r="Z30" s="2098"/>
      <c r="AA30" s="2098"/>
      <c r="AB30" s="2098"/>
      <c r="AC30" s="2098"/>
      <c r="AD30" s="2098"/>
      <c r="AE30" s="2098"/>
      <c r="AF30" s="2099"/>
      <c r="AG30" s="1697"/>
      <c r="AM30" s="1697"/>
      <c r="AN30" s="1697"/>
    </row>
    <row r="31" spans="1:40" s="1704" customFormat="1" ht="15" customHeight="1">
      <c r="A31" s="8068"/>
      <c r="B31" s="1772">
        <v>1.8</v>
      </c>
      <c r="C31" s="1723"/>
      <c r="D31" s="1723"/>
      <c r="E31" s="1724"/>
      <c r="F31" s="1725"/>
      <c r="G31" s="8074">
        <v>5</v>
      </c>
      <c r="H31" s="8075" t="s">
        <v>43</v>
      </c>
      <c r="I31" s="8076" t="str">
        <f>B27</f>
        <v>NOM DE LA RECETTE</v>
      </c>
      <c r="K31" s="1765"/>
      <c r="L31" s="1701"/>
      <c r="M31" s="1737"/>
      <c r="N31" s="1773" t="s">
        <v>2513</v>
      </c>
      <c r="O31" s="1774">
        <f>B43</f>
        <v>16.2</v>
      </c>
      <c r="P31" s="1773" t="s">
        <v>2514</v>
      </c>
      <c r="Q31" s="1770" t="str">
        <f>C43</f>
        <v>si vous voulez refaire la</v>
      </c>
      <c r="R31" s="1738"/>
      <c r="T31" s="2108"/>
      <c r="U31" s="2109" t="s">
        <v>2748</v>
      </c>
      <c r="V31" s="2101"/>
      <c r="W31" s="2101"/>
      <c r="X31" s="2101"/>
      <c r="Y31" s="2110"/>
      <c r="Z31" s="2101"/>
      <c r="AA31" s="2101"/>
      <c r="AB31" s="2101"/>
      <c r="AC31" s="2101"/>
      <c r="AD31" s="2110"/>
      <c r="AE31" s="2110"/>
      <c r="AF31" s="2111"/>
      <c r="AG31" s="1697"/>
      <c r="AM31" s="1697"/>
      <c r="AN31" s="1697"/>
    </row>
    <row r="32" spans="1:40" s="1704" customFormat="1" ht="15" customHeight="1" thickBot="1">
      <c r="A32" s="8068"/>
      <c r="B32" s="1775" t="s">
        <v>43</v>
      </c>
      <c r="C32" s="1723"/>
      <c r="D32" s="1723"/>
      <c r="E32" s="1724"/>
      <c r="F32" s="1725"/>
      <c r="G32" s="8074"/>
      <c r="H32" s="8075"/>
      <c r="I32" s="8076"/>
      <c r="K32" s="1765"/>
      <c r="L32" s="1767" t="s">
        <v>2515</v>
      </c>
      <c r="M32" s="1737"/>
      <c r="N32" s="1737"/>
      <c r="O32" s="1737"/>
      <c r="P32" s="1737"/>
      <c r="Q32" s="1737"/>
      <c r="R32" s="1738"/>
      <c r="T32" s="2108"/>
      <c r="U32" s="2109" t="s">
        <v>2749</v>
      </c>
      <c r="V32" s="2101"/>
      <c r="W32" s="2101"/>
      <c r="X32" s="2101"/>
      <c r="Y32" s="2110"/>
      <c r="Z32" s="2101"/>
      <c r="AA32" s="2101"/>
      <c r="AB32" s="2101"/>
      <c r="AC32" s="2101"/>
      <c r="AD32" s="2110"/>
      <c r="AE32" s="2110"/>
      <c r="AF32" s="2111"/>
      <c r="AG32" s="1697"/>
      <c r="AM32" s="1697"/>
      <c r="AN32" s="1697"/>
    </row>
    <row r="33" spans="1:40" s="1704" customFormat="1" ht="15" customHeight="1">
      <c r="A33" s="8068"/>
      <c r="B33" s="1731"/>
      <c r="C33" s="1733" t="s">
        <v>58</v>
      </c>
      <c r="D33" s="1732" t="s">
        <v>2483</v>
      </c>
      <c r="E33" s="8078" t="s">
        <v>2484</v>
      </c>
      <c r="F33" s="8078"/>
      <c r="G33" s="1776" t="s">
        <v>2516</v>
      </c>
      <c r="H33" s="1776"/>
      <c r="I33" s="8076"/>
      <c r="K33" s="1765"/>
      <c r="L33" s="1767" t="s">
        <v>2517</v>
      </c>
      <c r="M33" s="1737"/>
      <c r="N33" s="1737"/>
      <c r="O33" s="1737"/>
      <c r="P33" s="1737"/>
      <c r="Q33" s="1737"/>
      <c r="R33" s="1738"/>
      <c r="T33" s="2112"/>
      <c r="U33" s="2113" t="s">
        <v>2750</v>
      </c>
      <c r="V33" s="2114"/>
      <c r="W33" s="2114"/>
      <c r="X33" s="2114"/>
      <c r="Y33" s="2114"/>
      <c r="Z33" s="2114"/>
      <c r="AA33" s="2114"/>
      <c r="AB33" s="2114"/>
      <c r="AC33" s="2114"/>
      <c r="AD33" s="2114"/>
      <c r="AE33" s="2114"/>
      <c r="AF33" s="2115"/>
      <c r="AG33" s="1697"/>
      <c r="AM33" s="1697"/>
      <c r="AN33" s="1697"/>
    </row>
    <row r="34" spans="1:40" s="1704" customFormat="1" ht="15" customHeight="1">
      <c r="A34" s="8068"/>
      <c r="B34" s="1734" t="s">
        <v>2066</v>
      </c>
      <c r="C34" s="1735" t="s">
        <v>2055</v>
      </c>
      <c r="D34" s="1736"/>
      <c r="E34" s="1734" t="s">
        <v>2077</v>
      </c>
      <c r="F34" s="2075"/>
      <c r="G34" s="2075"/>
      <c r="H34" s="2076"/>
      <c r="I34" s="8076"/>
      <c r="K34" s="1765"/>
      <c r="L34" s="1701"/>
      <c r="M34" s="1737"/>
      <c r="N34" s="1737"/>
      <c r="O34" s="1737"/>
      <c r="P34" s="1737"/>
      <c r="Q34" s="1737"/>
      <c r="R34" s="1738"/>
      <c r="T34" s="2112"/>
      <c r="U34" s="2113" t="s">
        <v>2751</v>
      </c>
      <c r="V34" s="2114"/>
      <c r="W34" s="2114"/>
      <c r="X34" s="2114"/>
      <c r="Y34" s="2116"/>
      <c r="Z34" s="2114"/>
      <c r="AA34" s="2114"/>
      <c r="AB34" s="2114"/>
      <c r="AC34" s="2114"/>
      <c r="AD34" s="2116"/>
      <c r="AE34" s="2116"/>
      <c r="AF34" s="2117"/>
      <c r="AG34" s="1697"/>
      <c r="AM34" s="1697"/>
      <c r="AN34" s="1697"/>
    </row>
    <row r="35" spans="1:40" s="1704" customFormat="1" ht="15" customHeight="1">
      <c r="A35" s="8068"/>
      <c r="B35" s="1742">
        <v>1.8</v>
      </c>
      <c r="C35" s="2078" t="s">
        <v>2739</v>
      </c>
      <c r="D35" s="2079">
        <f>IF(B35="","",IF(ISTEXT(B35),B35,(B35/B31)*G31))</f>
        <v>5</v>
      </c>
      <c r="E35" s="2080" t="s">
        <v>1172</v>
      </c>
      <c r="F35" s="2081" t="s">
        <v>2740</v>
      </c>
      <c r="G35" s="2082"/>
      <c r="H35" s="2083"/>
      <c r="I35" s="8076"/>
      <c r="K35" s="1765"/>
      <c r="L35" s="1701" t="s">
        <v>2518</v>
      </c>
      <c r="M35" s="1737"/>
      <c r="N35" s="1737"/>
      <c r="O35" s="1737"/>
      <c r="P35" s="1737"/>
      <c r="Q35" s="1737"/>
      <c r="R35" s="1738"/>
      <c r="T35" s="2112"/>
      <c r="U35" s="2113" t="s">
        <v>2752</v>
      </c>
      <c r="V35" s="2114"/>
      <c r="W35" s="2114"/>
      <c r="X35" s="2114"/>
      <c r="Y35" s="2116"/>
      <c r="Z35" s="2114"/>
      <c r="AA35" s="2114"/>
      <c r="AB35" s="2114"/>
      <c r="AC35" s="2114"/>
      <c r="AD35" s="2116"/>
      <c r="AE35" s="2116"/>
      <c r="AF35" s="2117"/>
      <c r="AG35" s="1697"/>
      <c r="AM35" s="1697"/>
      <c r="AN35" s="1697"/>
    </row>
    <row r="36" spans="1:40" s="1704" customFormat="1" ht="15" customHeight="1">
      <c r="A36" s="8068"/>
      <c r="B36" s="1742">
        <v>2</v>
      </c>
      <c r="C36" s="2078"/>
      <c r="D36" s="2079">
        <f>IF(B36="","",IF(ISTEXT(B36),B36,(B36/B31)*G31))</f>
        <v>5.5555555555555554</v>
      </c>
      <c r="E36" s="2080"/>
      <c r="F36" s="2081"/>
      <c r="G36" s="2082"/>
      <c r="H36" s="2083"/>
      <c r="I36" s="8076"/>
      <c r="K36" s="1765"/>
      <c r="L36" s="1701"/>
      <c r="M36" s="1737"/>
      <c r="N36" s="1737"/>
      <c r="O36" s="1737"/>
      <c r="P36" s="1737"/>
      <c r="Q36" s="1737"/>
      <c r="R36" s="1738"/>
      <c r="T36" s="2118"/>
      <c r="U36" s="2119" t="s">
        <v>2753</v>
      </c>
      <c r="V36" s="2120"/>
      <c r="W36" s="2120"/>
      <c r="X36" s="2120"/>
      <c r="Y36" s="2120"/>
      <c r="Z36" s="2120"/>
      <c r="AA36" s="2120"/>
      <c r="AB36" s="2120"/>
      <c r="AC36" s="2120"/>
      <c r="AD36" s="2120"/>
      <c r="AE36" s="2120"/>
      <c r="AF36" s="2121"/>
      <c r="AG36" s="1697"/>
      <c r="AM36" s="1697"/>
      <c r="AN36" s="1697"/>
    </row>
    <row r="37" spans="1:40" s="1704" customFormat="1" ht="15" customHeight="1">
      <c r="A37" s="8068"/>
      <c r="B37" s="1742"/>
      <c r="C37" s="2085"/>
      <c r="D37" s="2079" t="str">
        <f>IF(B37="","",IF(ISTEXT(B37),B37,(B37/B31)*G31))</f>
        <v/>
      </c>
      <c r="E37" s="2080"/>
      <c r="F37" s="2081"/>
      <c r="G37" s="2082"/>
      <c r="H37" s="2083"/>
      <c r="I37" s="8076"/>
      <c r="K37" s="1717"/>
      <c r="L37" s="1702" t="s">
        <v>2491</v>
      </c>
      <c r="M37" s="1701"/>
      <c r="N37" s="1707"/>
      <c r="O37" s="1707"/>
      <c r="P37" s="1737"/>
      <c r="Q37" s="1737"/>
      <c r="R37" s="1738"/>
      <c r="T37" s="2118"/>
      <c r="U37" s="2119" t="s">
        <v>2754</v>
      </c>
      <c r="V37" s="2120"/>
      <c r="W37" s="2120"/>
      <c r="X37" s="2120"/>
      <c r="Y37" s="2120"/>
      <c r="Z37" s="2120"/>
      <c r="AA37" s="2120"/>
      <c r="AB37" s="2120"/>
      <c r="AC37" s="2120"/>
      <c r="AD37" s="2120"/>
      <c r="AE37" s="2120"/>
      <c r="AF37" s="2121"/>
      <c r="AG37" s="1697"/>
      <c r="AM37" s="1697"/>
      <c r="AN37" s="1697"/>
    </row>
    <row r="38" spans="1:40" s="1704" customFormat="1" ht="15" customHeight="1" thickBot="1">
      <c r="A38" s="8068"/>
      <c r="B38" s="1742">
        <v>3</v>
      </c>
      <c r="C38" s="2085"/>
      <c r="D38" s="2079">
        <f>IF(B38="","",IF(ISTEXT(B38),B38,(B38/B31)*G31))</f>
        <v>8.3333333333333321</v>
      </c>
      <c r="E38" s="2080"/>
      <c r="F38" s="2081"/>
      <c r="G38" s="2082"/>
      <c r="H38" s="2083"/>
      <c r="I38" s="8076"/>
      <c r="K38" s="1717"/>
      <c r="L38" s="8079" t="s">
        <v>2492</v>
      </c>
      <c r="M38" s="8079"/>
      <c r="N38" s="8079"/>
      <c r="O38" s="1707" t="s">
        <v>2519</v>
      </c>
      <c r="P38" s="1737"/>
      <c r="Q38" s="1737"/>
      <c r="R38" s="1738"/>
      <c r="T38" s="2118"/>
      <c r="U38" s="2119" t="s">
        <v>2755</v>
      </c>
      <c r="V38" s="2120"/>
      <c r="W38" s="2120"/>
      <c r="X38" s="2120"/>
      <c r="Y38" s="2120"/>
      <c r="Z38" s="2120"/>
      <c r="AA38" s="2120"/>
      <c r="AB38" s="2120"/>
      <c r="AC38" s="2120"/>
      <c r="AD38" s="2120"/>
      <c r="AE38" s="2120"/>
      <c r="AF38" s="2121"/>
      <c r="AG38" s="1697"/>
      <c r="AM38" s="1697"/>
      <c r="AN38" s="1697"/>
    </row>
    <row r="39" spans="1:40" s="1704" customFormat="1" ht="15" customHeight="1">
      <c r="A39" s="8068"/>
      <c r="B39" s="1742">
        <v>8</v>
      </c>
      <c r="C39" s="2078"/>
      <c r="D39" s="2079">
        <f>IF(B39="","",IF(ISTEXT(B39),B39,(B39/B31)*G31))</f>
        <v>22.222222222222221</v>
      </c>
      <c r="E39" s="2080"/>
      <c r="F39" s="2081"/>
      <c r="G39" s="2082"/>
      <c r="H39" s="2083"/>
      <c r="I39" s="8076"/>
      <c r="K39" s="1717"/>
      <c r="L39" s="8080" t="s">
        <v>2520</v>
      </c>
      <c r="M39" s="8080"/>
      <c r="N39" s="8080"/>
      <c r="O39" s="1737"/>
      <c r="P39" s="1737"/>
      <c r="Q39" s="1737"/>
      <c r="R39" s="1738"/>
      <c r="T39" s="2118"/>
      <c r="U39" s="2119" t="s">
        <v>2756</v>
      </c>
      <c r="V39" s="2120"/>
      <c r="W39" s="2120"/>
      <c r="X39" s="2120"/>
      <c r="Y39" s="2120"/>
      <c r="Z39" s="2120"/>
      <c r="AA39" s="2120"/>
      <c r="AB39" s="2120"/>
      <c r="AC39" s="2120"/>
      <c r="AD39" s="2120"/>
      <c r="AE39" s="2120"/>
      <c r="AF39" s="2121"/>
      <c r="AG39" s="1697"/>
      <c r="AM39" s="1697"/>
      <c r="AN39" s="1697"/>
    </row>
    <row r="40" spans="1:40" s="1704" customFormat="1" ht="15" customHeight="1">
      <c r="A40" s="8068"/>
      <c r="B40" s="1742">
        <v>1</v>
      </c>
      <c r="C40" s="2078"/>
      <c r="D40" s="2079">
        <f>IF(B40="","",IF(ISTEXT(B40),B40,(B40/B31)*G31))</f>
        <v>2.7777777777777777</v>
      </c>
      <c r="E40" s="2080"/>
      <c r="F40" s="2081"/>
      <c r="G40" s="2082"/>
      <c r="H40" s="2083"/>
      <c r="I40" s="8076"/>
      <c r="K40" s="1765"/>
      <c r="L40" s="1737"/>
      <c r="M40" s="1737"/>
      <c r="N40" s="1737"/>
      <c r="O40" s="1737"/>
      <c r="P40" s="1737"/>
      <c r="Q40" s="1737"/>
      <c r="R40" s="1738"/>
      <c r="T40" s="2118"/>
      <c r="U40" s="2119" t="s">
        <v>2757</v>
      </c>
      <c r="V40" s="2120"/>
      <c r="W40" s="2120"/>
      <c r="X40" s="2120"/>
      <c r="Y40" s="2122"/>
      <c r="Z40" s="2120"/>
      <c r="AA40" s="2120"/>
      <c r="AB40" s="2120"/>
      <c r="AC40" s="2120"/>
      <c r="AD40" s="2122"/>
      <c r="AE40" s="2122"/>
      <c r="AF40" s="2123"/>
      <c r="AG40" s="1697"/>
      <c r="AM40" s="1697"/>
      <c r="AN40" s="1697"/>
    </row>
    <row r="41" spans="1:40" s="1704" customFormat="1" ht="15" customHeight="1">
      <c r="A41" s="8068"/>
      <c r="B41" s="1742">
        <v>0.2</v>
      </c>
      <c r="C41" s="2078"/>
      <c r="D41" s="2079">
        <f>IF(B41="","",IF(ISTEXT(B41),B41,(B41/B$31)*G$31))</f>
        <v>0.55555555555555558</v>
      </c>
      <c r="E41" s="2080"/>
      <c r="F41" s="2081"/>
      <c r="G41" s="2082"/>
      <c r="H41" s="2083"/>
      <c r="I41" s="8076"/>
      <c r="K41" s="1765"/>
      <c r="L41" s="1737"/>
      <c r="M41" s="1737"/>
      <c r="N41" s="1737"/>
      <c r="O41" s="1737"/>
      <c r="P41" s="1739" t="s">
        <v>2521</v>
      </c>
      <c r="Q41" s="1777">
        <f>B43</f>
        <v>16.2</v>
      </c>
      <c r="R41" s="1738"/>
      <c r="T41" s="2118"/>
      <c r="U41" s="2124" t="s">
        <v>2758</v>
      </c>
      <c r="V41" s="2125"/>
      <c r="W41" s="2126"/>
      <c r="X41" s="2126"/>
      <c r="Y41" s="2126"/>
      <c r="Z41" s="2126"/>
      <c r="AA41" s="2126"/>
      <c r="AB41" s="2126"/>
      <c r="AC41" s="2126"/>
      <c r="AD41" s="2126"/>
      <c r="AE41" s="2126"/>
      <c r="AF41" s="2127"/>
      <c r="AG41" s="1697"/>
      <c r="AM41" s="1697"/>
      <c r="AN41" s="1697"/>
    </row>
    <row r="42" spans="1:40" s="1704" customFormat="1" ht="15" customHeight="1">
      <c r="A42" s="8068"/>
      <c r="B42" s="1742">
        <v>0.2</v>
      </c>
      <c r="C42" s="2078"/>
      <c r="D42" s="2079">
        <f>IF(B42="","",IF(ISTEXT(B42),B42,(B42/B$31)*G$31))</f>
        <v>0.55555555555555558</v>
      </c>
      <c r="E42" s="2080"/>
      <c r="F42" s="2081"/>
      <c r="G42" s="2082"/>
      <c r="H42" s="2083"/>
      <c r="I42" s="8076"/>
      <c r="K42" s="1765"/>
      <c r="L42" s="1737"/>
      <c r="M42" s="1737"/>
      <c r="N42" s="1737"/>
      <c r="O42" s="1737"/>
      <c r="P42" s="1737" t="s">
        <v>2522</v>
      </c>
      <c r="Q42" s="1737" t="str">
        <f>C43</f>
        <v>si vous voulez refaire la</v>
      </c>
      <c r="R42" s="1738"/>
      <c r="T42" s="2118"/>
      <c r="U42" s="2124" t="s">
        <v>2759</v>
      </c>
      <c r="V42" s="2125"/>
      <c r="W42" s="2126"/>
      <c r="X42" s="2126"/>
      <c r="Y42" s="2126"/>
      <c r="Z42" s="2126"/>
      <c r="AA42" s="2126"/>
      <c r="AB42" s="2126"/>
      <c r="AC42" s="2126"/>
      <c r="AD42" s="2126"/>
      <c r="AE42" s="2126"/>
      <c r="AF42" s="2127"/>
      <c r="AG42" s="1697"/>
      <c r="AM42" s="1697"/>
      <c r="AN42" s="1697"/>
    </row>
    <row r="43" spans="1:40" s="1704" customFormat="1" ht="15" customHeight="1" thickBot="1">
      <c r="A43" s="8069"/>
      <c r="B43" s="2086">
        <f>SUM(B35:B42)</f>
        <v>16.2</v>
      </c>
      <c r="C43" s="2087" t="s">
        <v>2742</v>
      </c>
      <c r="D43" s="2088">
        <f>SUM(D35:D42)</f>
        <v>45</v>
      </c>
      <c r="E43" s="2089"/>
      <c r="F43" s="2090"/>
      <c r="G43" s="2091" t="s">
        <v>2743</v>
      </c>
      <c r="H43" s="2092" t="str">
        <f>ADDRESS(ROW(B31),COLUMN(B31),4)</f>
        <v>B31</v>
      </c>
      <c r="I43" s="8077"/>
      <c r="K43" s="2128"/>
      <c r="L43" s="1778"/>
      <c r="M43" s="1778"/>
      <c r="N43" s="1778"/>
      <c r="O43" s="1778"/>
      <c r="P43" s="1778"/>
      <c r="Q43" s="1778"/>
      <c r="R43" s="1779"/>
      <c r="T43" s="2118"/>
      <c r="U43" s="524"/>
      <c r="V43" s="524"/>
      <c r="W43" s="524"/>
      <c r="X43" s="524"/>
      <c r="Y43" s="524"/>
      <c r="Z43" s="524"/>
      <c r="AA43" s="524"/>
      <c r="AB43" s="524"/>
      <c r="AC43" s="361"/>
      <c r="AD43" s="2129" t="s">
        <v>2760</v>
      </c>
      <c r="AE43" s="2130" t="s">
        <v>67</v>
      </c>
      <c r="AF43" s="2131" t="s">
        <v>67</v>
      </c>
      <c r="AG43" s="1697"/>
      <c r="AM43" s="1697"/>
      <c r="AN43" s="1697"/>
    </row>
    <row r="44" spans="1:40" ht="18.75">
      <c r="T44" s="2108"/>
      <c r="U44" s="2109" t="s">
        <v>2761</v>
      </c>
      <c r="V44" s="2132"/>
      <c r="W44" s="2132"/>
      <c r="X44" s="2132"/>
      <c r="Y44" s="2133"/>
      <c r="Z44" s="2132"/>
      <c r="AA44" s="2132"/>
      <c r="AB44" s="2132"/>
      <c r="AC44" s="2132"/>
      <c r="AD44" s="2132"/>
      <c r="AE44" s="2132"/>
      <c r="AF44" s="2134"/>
      <c r="AH44" s="1704"/>
      <c r="AI44" s="1704"/>
      <c r="AJ44" s="1704"/>
      <c r="AK44" s="1704"/>
      <c r="AL44" s="1704"/>
    </row>
    <row r="45" spans="1:40" ht="18.75">
      <c r="T45" s="2108"/>
      <c r="U45" s="2109" t="s">
        <v>2762</v>
      </c>
      <c r="V45" s="2101"/>
      <c r="W45" s="2110"/>
      <c r="X45" s="2110"/>
      <c r="Y45" s="2110"/>
      <c r="Z45" s="2110"/>
      <c r="AA45" s="2110"/>
      <c r="AB45" s="2110"/>
      <c r="AC45" s="2110"/>
      <c r="AD45" s="2110"/>
      <c r="AE45" s="2110"/>
      <c r="AF45" s="2111"/>
      <c r="AH45" s="1704"/>
      <c r="AI45" s="1704"/>
      <c r="AJ45" s="1704"/>
      <c r="AK45" s="1704"/>
      <c r="AL45" s="1704"/>
    </row>
    <row r="46" spans="1:40" ht="18.75">
      <c r="A46" s="2135">
        <v>2.86</v>
      </c>
      <c r="B46" s="2136">
        <v>8</v>
      </c>
      <c r="C46" s="2136">
        <v>25</v>
      </c>
      <c r="D46" s="2136">
        <v>8</v>
      </c>
      <c r="E46" s="2136">
        <v>8</v>
      </c>
      <c r="F46" s="2136">
        <v>18</v>
      </c>
      <c r="G46" s="2136">
        <v>18</v>
      </c>
      <c r="H46" s="2136">
        <v>18</v>
      </c>
      <c r="I46" s="2135">
        <v>2.86</v>
      </c>
      <c r="J46" s="2137" t="s">
        <v>2763</v>
      </c>
      <c r="T46" s="2138"/>
      <c r="U46" s="2139" t="s">
        <v>2764</v>
      </c>
      <c r="V46" s="2110"/>
      <c r="W46" s="2110"/>
      <c r="X46" s="2110"/>
      <c r="Y46" s="2110"/>
      <c r="Z46" s="2110"/>
      <c r="AA46" s="2110"/>
      <c r="AB46" s="2110"/>
      <c r="AC46" s="2110"/>
      <c r="AD46" s="2110"/>
      <c r="AE46" s="2110"/>
      <c r="AF46" s="2111"/>
      <c r="AH46" s="1704"/>
      <c r="AI46" s="1704"/>
      <c r="AJ46" s="1704"/>
      <c r="AK46" s="1704"/>
      <c r="AL46" s="1704"/>
    </row>
    <row r="47" spans="1:40" ht="15">
      <c r="T47" s="2140"/>
      <c r="U47" s="2141" t="s">
        <v>2765</v>
      </c>
      <c r="V47" s="2141"/>
      <c r="W47" s="2141"/>
      <c r="X47" s="2141"/>
      <c r="Y47" s="2141"/>
      <c r="Z47" s="2141"/>
      <c r="AA47" s="2141"/>
      <c r="AB47" s="2141"/>
      <c r="AC47" s="2141"/>
      <c r="AD47" s="2141"/>
      <c r="AE47" s="2141"/>
      <c r="AF47" s="2142"/>
      <c r="AH47" s="1704"/>
      <c r="AI47" s="1704"/>
      <c r="AJ47" s="1704"/>
      <c r="AK47" s="1704"/>
      <c r="AL47" s="1704"/>
    </row>
    <row r="48" spans="1:40">
      <c r="AH48" s="1704"/>
      <c r="AI48" s="1704"/>
      <c r="AJ48" s="1704"/>
      <c r="AK48" s="1704"/>
      <c r="AL48" s="1704"/>
    </row>
    <row r="49" spans="34:38">
      <c r="AH49" s="1704"/>
      <c r="AI49" s="1704"/>
      <c r="AJ49" s="1704"/>
      <c r="AK49" s="1704"/>
      <c r="AL49" s="1704"/>
    </row>
    <row r="50" spans="34:38">
      <c r="AH50" s="1704"/>
      <c r="AI50" s="1704"/>
      <c r="AJ50" s="1704"/>
      <c r="AK50" s="1704"/>
      <c r="AL50" s="1704"/>
    </row>
    <row r="51" spans="34:38">
      <c r="AH51" s="1704"/>
      <c r="AI51" s="1704"/>
      <c r="AJ51" s="1704"/>
      <c r="AK51" s="1704"/>
      <c r="AL51" s="1704"/>
    </row>
    <row r="52" spans="34:38">
      <c r="AH52" s="1704"/>
      <c r="AI52" s="1704"/>
      <c r="AJ52" s="1704"/>
      <c r="AK52" s="1704"/>
      <c r="AL52" s="1704"/>
    </row>
    <row r="53" spans="34:38">
      <c r="AH53" s="1704"/>
      <c r="AI53" s="1704"/>
      <c r="AJ53" s="1704"/>
      <c r="AK53" s="1704"/>
      <c r="AL53" s="1704"/>
    </row>
    <row r="54" spans="34:38">
      <c r="AH54" s="1704"/>
      <c r="AI54" s="1704"/>
      <c r="AJ54" s="1704"/>
      <c r="AK54" s="1704"/>
      <c r="AL54" s="1704"/>
    </row>
    <row r="55" spans="34:38">
      <c r="AH55" s="1704"/>
      <c r="AI55" s="1704"/>
      <c r="AJ55" s="1704"/>
      <c r="AK55" s="1704"/>
      <c r="AL55" s="1704"/>
    </row>
    <row r="56" spans="34:38">
      <c r="AH56" s="1704"/>
      <c r="AI56" s="1704"/>
      <c r="AJ56" s="1704"/>
      <c r="AK56" s="1704"/>
      <c r="AL56" s="1704"/>
    </row>
  </sheetData>
  <mergeCells count="30">
    <mergeCell ref="U8:AG9"/>
    <mergeCell ref="B2:I6"/>
    <mergeCell ref="A8:A9"/>
    <mergeCell ref="B8:I9"/>
    <mergeCell ref="K8:N8"/>
    <mergeCell ref="T8:T9"/>
    <mergeCell ref="A10:A24"/>
    <mergeCell ref="B10:C10"/>
    <mergeCell ref="D10:H10"/>
    <mergeCell ref="I10:I11"/>
    <mergeCell ref="T10:T24"/>
    <mergeCell ref="G12:G13"/>
    <mergeCell ref="H12:H13"/>
    <mergeCell ref="I12:I24"/>
    <mergeCell ref="E14:F14"/>
    <mergeCell ref="L18:N18"/>
    <mergeCell ref="L19:N19"/>
    <mergeCell ref="A27:A28"/>
    <mergeCell ref="B27:I28"/>
    <mergeCell ref="K27:N27"/>
    <mergeCell ref="A29:A43"/>
    <mergeCell ref="B29:C29"/>
    <mergeCell ref="D29:H29"/>
    <mergeCell ref="I29:I30"/>
    <mergeCell ref="G31:G32"/>
    <mergeCell ref="H31:H32"/>
    <mergeCell ref="I31:I43"/>
    <mergeCell ref="E33:F33"/>
    <mergeCell ref="L38:N38"/>
    <mergeCell ref="L39:N39"/>
  </mergeCells>
  <hyperlinks>
    <hyperlink ref="V29" r:id="rId1" xr:uid="{F90ED028-5708-4133-A702-7CD1C719FBA2}"/>
  </hyperlinks>
  <pageMargins left="0.7" right="0.7" top="0.75" bottom="0.75" header="0.3" footer="0.3"/>
  <pageSetup paperSize="9"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41CA9-1C99-4FD0-8DCE-98BEEB1E2B1B}">
  <dimension ref="A1:V300"/>
  <sheetViews>
    <sheetView showZeros="0" topLeftCell="F1" workbookViewId="0">
      <selection activeCell="G12" sqref="G12"/>
    </sheetView>
  </sheetViews>
  <sheetFormatPr baseColWidth="10" defaultRowHeight="15"/>
  <cols>
    <col min="1" max="2" width="5.7109375" customWidth="1"/>
    <col min="3" max="3" width="9.7109375" customWidth="1"/>
    <col min="4" max="4" width="7.7109375" customWidth="1"/>
    <col min="5" max="5" width="103.7109375" customWidth="1"/>
    <col min="6" max="6" width="11.7109375" customWidth="1"/>
    <col min="7" max="7" width="10.5703125" customWidth="1"/>
    <col min="8" max="8" width="9.7109375" customWidth="1"/>
    <col min="9" max="9" width="3.7109375" customWidth="1"/>
    <col min="10" max="10" width="102.5703125" customWidth="1"/>
    <col min="11" max="11" width="6.7109375" customWidth="1"/>
    <col min="12" max="12" width="4.7109375" customWidth="1"/>
    <col min="13" max="16" width="10.7109375" customWidth="1"/>
    <col min="17" max="17" width="15.7109375" customWidth="1"/>
    <col min="18" max="18" width="11.7109375" customWidth="1"/>
    <col min="19" max="19" width="19.5703125" customWidth="1"/>
    <col min="20" max="20" width="8.7109375" customWidth="1"/>
    <col min="22" max="22" width="76.85546875" customWidth="1"/>
  </cols>
  <sheetData>
    <row r="1" spans="1:22" ht="15.75" customHeight="1" thickTop="1">
      <c r="A1" s="2732" t="str">
        <f>ADDRESS(ROW(),COLUMN(),4)</f>
        <v>A1</v>
      </c>
      <c r="B1" s="6530" t="str">
        <f t="shared" ref="B1:R1" si="0">SUBSTITUTE(ADDRESS(1,COLUMN(),4),"1","")</f>
        <v>B</v>
      </c>
      <c r="C1" s="6530" t="str">
        <f t="shared" si="0"/>
        <v>C</v>
      </c>
      <c r="D1" s="6530" t="str">
        <f t="shared" si="0"/>
        <v>D</v>
      </c>
      <c r="E1" s="6530" t="str">
        <f t="shared" si="0"/>
        <v>E</v>
      </c>
      <c r="F1" s="6530" t="str">
        <f t="shared" si="0"/>
        <v>F</v>
      </c>
      <c r="G1" s="6530" t="str">
        <f t="shared" si="0"/>
        <v>G</v>
      </c>
      <c r="H1" s="6530" t="str">
        <f t="shared" si="0"/>
        <v>H</v>
      </c>
      <c r="I1" s="6530" t="str">
        <f t="shared" si="0"/>
        <v>I</v>
      </c>
      <c r="J1" s="6530" t="str">
        <f t="shared" si="0"/>
        <v>J</v>
      </c>
      <c r="K1" s="6530" t="str">
        <f t="shared" si="0"/>
        <v>K</v>
      </c>
      <c r="L1" s="6530" t="str">
        <f t="shared" si="0"/>
        <v>L</v>
      </c>
      <c r="M1" s="6530" t="str">
        <f t="shared" si="0"/>
        <v>M</v>
      </c>
      <c r="N1" s="6530" t="str">
        <f t="shared" si="0"/>
        <v>N</v>
      </c>
      <c r="O1" s="6530" t="str">
        <f t="shared" si="0"/>
        <v>O</v>
      </c>
      <c r="P1" s="6530" t="str">
        <f t="shared" si="0"/>
        <v>P</v>
      </c>
      <c r="Q1" s="6530" t="str">
        <f t="shared" si="0"/>
        <v>Q</v>
      </c>
      <c r="R1" s="6530" t="str">
        <f t="shared" si="0"/>
        <v>R</v>
      </c>
      <c r="S1" s="6531"/>
      <c r="T1" s="2730">
        <v>1</v>
      </c>
      <c r="U1" s="2953" t="str">
        <f>SUBSTITUTE(ADDRESS(1,COLUMN(),4),"1","")</f>
        <v>U</v>
      </c>
      <c r="V1" s="2954" t="str">
        <f>SUBSTITUTE(ADDRESS(1,COLUMN(),4),"1","")</f>
        <v>V</v>
      </c>
    </row>
    <row r="2" spans="1:22" ht="21" customHeight="1" thickBot="1">
      <c r="B2" s="2924">
        <v>5</v>
      </c>
      <c r="C2" s="6532">
        <v>9</v>
      </c>
      <c r="D2" s="6532">
        <v>7</v>
      </c>
      <c r="E2" s="2890">
        <f t="shared" ref="E2" ca="1" si="1">CELL("largeur",E2)</f>
        <v>103</v>
      </c>
      <c r="F2" s="6532">
        <v>11</v>
      </c>
      <c r="G2" s="6532">
        <v>10</v>
      </c>
      <c r="H2" s="6532">
        <v>9</v>
      </c>
      <c r="I2" s="6532">
        <v>3</v>
      </c>
      <c r="J2" s="2890">
        <f t="shared" ref="J2" ca="1" si="2">CELL("largeur",J2)</f>
        <v>102</v>
      </c>
      <c r="K2" s="6532">
        <v>6</v>
      </c>
      <c r="L2" s="6532">
        <v>4</v>
      </c>
      <c r="M2" s="6532">
        <v>10</v>
      </c>
      <c r="N2" s="6532">
        <v>10</v>
      </c>
      <c r="O2" s="6532">
        <v>10</v>
      </c>
      <c r="P2" s="6532">
        <v>10</v>
      </c>
      <c r="Q2" s="2924">
        <v>15</v>
      </c>
      <c r="R2" s="2924">
        <v>11</v>
      </c>
      <c r="S2" s="6533" t="s">
        <v>7036</v>
      </c>
      <c r="T2" s="2730">
        <v>1</v>
      </c>
      <c r="U2" s="2955" t="s">
        <v>7185</v>
      </c>
      <c r="V2" s="2956"/>
    </row>
    <row r="3" spans="1:22" ht="21" customHeight="1">
      <c r="B3" s="6534" t="s">
        <v>337</v>
      </c>
      <c r="C3" s="6535"/>
      <c r="D3" s="6535"/>
      <c r="E3" s="8118" t="s">
        <v>15454</v>
      </c>
      <c r="F3" s="8118"/>
      <c r="G3" s="8118"/>
      <c r="H3" s="8118"/>
      <c r="I3" s="6536"/>
      <c r="J3" s="6536"/>
      <c r="K3" s="6536"/>
      <c r="L3" s="6536"/>
      <c r="M3" s="6536"/>
      <c r="N3" s="6536"/>
      <c r="O3" s="6536"/>
      <c r="P3" s="6536"/>
      <c r="Q3" s="6536"/>
      <c r="R3" s="6537"/>
      <c r="S3" s="6533"/>
      <c r="T3" s="2730">
        <v>1</v>
      </c>
      <c r="U3" s="2958">
        <f ca="1">COUNTA(A1:T300) + COUNTBLANK(A1:T300)</f>
        <v>7632</v>
      </c>
      <c r="V3" s="2959" t="str">
        <f>"cellules entre -cells -celdas  "&amp;" " &amp;A1&amp;" et  "&amp;T300</f>
        <v>cellules entre -cells -celdas   A1 et  T300</v>
      </c>
    </row>
    <row r="4" spans="1:22" ht="21" customHeight="1">
      <c r="B4" s="6534" t="s">
        <v>337</v>
      </c>
      <c r="C4" s="6538"/>
      <c r="D4" s="6538"/>
      <c r="E4" s="8119"/>
      <c r="F4" s="8119"/>
      <c r="G4" s="8119"/>
      <c r="H4" s="8119"/>
      <c r="I4" s="6539"/>
      <c r="J4" s="6539"/>
      <c r="K4" s="6539"/>
      <c r="L4" s="6539"/>
      <c r="M4" s="6539" t="s">
        <v>15455</v>
      </c>
      <c r="N4" s="6539"/>
      <c r="O4" s="6539"/>
      <c r="P4" s="6539"/>
      <c r="Q4" s="6539"/>
      <c r="R4" s="6540"/>
      <c r="T4" s="2730">
        <v>1</v>
      </c>
      <c r="U4" s="2958">
        <f ca="1">COUNTA(A1:T300)</f>
        <v>2554</v>
      </c>
      <c r="V4" s="2959" t="s">
        <v>7190</v>
      </c>
    </row>
    <row r="5" spans="1:22" ht="21" customHeight="1">
      <c r="B5" s="6534" t="s">
        <v>337</v>
      </c>
      <c r="C5" s="6538"/>
      <c r="D5" s="6538"/>
      <c r="E5" s="8119"/>
      <c r="F5" s="8119"/>
      <c r="G5" s="8119"/>
      <c r="H5" s="8119"/>
      <c r="I5" s="6541"/>
      <c r="J5" s="8120" t="s">
        <v>15456</v>
      </c>
      <c r="K5" s="6541"/>
      <c r="L5" s="6541"/>
      <c r="M5" s="6541"/>
      <c r="N5" s="6541"/>
      <c r="O5" s="6541"/>
      <c r="P5" s="6541"/>
      <c r="Q5" s="6542"/>
      <c r="R5" s="6543"/>
      <c r="T5" s="2730">
        <v>1</v>
      </c>
      <c r="U5" s="2958">
        <f ca="1">COUNTBLANK(A1:T300)</f>
        <v>5078</v>
      </c>
      <c r="V5" s="2959" t="s">
        <v>7191</v>
      </c>
    </row>
    <row r="6" spans="1:22" ht="21" customHeight="1">
      <c r="B6" s="6534" t="s">
        <v>337</v>
      </c>
      <c r="C6" s="6544" t="s">
        <v>15457</v>
      </c>
      <c r="D6" s="6538"/>
      <c r="E6" s="6539"/>
      <c r="F6" s="6539"/>
      <c r="G6" s="6539"/>
      <c r="H6" s="6545"/>
      <c r="I6" s="6541"/>
      <c r="J6" s="8120"/>
      <c r="K6" s="6541"/>
      <c r="L6" s="6541"/>
      <c r="M6" s="6541"/>
      <c r="N6" s="6541"/>
      <c r="O6" s="6541"/>
      <c r="P6" s="6541"/>
      <c r="Q6" s="6542"/>
      <c r="R6" s="6543"/>
      <c r="T6" s="2730">
        <v>1</v>
      </c>
      <c r="U6" s="2958">
        <f>SUM(T1:T298)+2</f>
        <v>300</v>
      </c>
      <c r="V6" s="2959" t="s">
        <v>7194</v>
      </c>
    </row>
    <row r="7" spans="1:22" ht="21" customHeight="1">
      <c r="B7" s="6534" t="s">
        <v>337</v>
      </c>
      <c r="C7" s="1"/>
      <c r="D7" s="1"/>
      <c r="E7" s="6546"/>
      <c r="F7" s="6546"/>
      <c r="G7" s="6546"/>
      <c r="H7" s="6546"/>
      <c r="I7" s="6547"/>
      <c r="J7" s="6548" t="s">
        <v>15458</v>
      </c>
      <c r="K7" s="6549">
        <f>120</f>
        <v>120</v>
      </c>
      <c r="L7" s="6547"/>
      <c r="M7" s="6547"/>
      <c r="N7" s="6547"/>
      <c r="O7" s="6547"/>
      <c r="P7" s="6547"/>
      <c r="Q7" s="6550" t="s">
        <v>7044</v>
      </c>
      <c r="R7" s="6551" t="str">
        <f>T300</f>
        <v>T300</v>
      </c>
      <c r="T7" s="2730">
        <v>1</v>
      </c>
      <c r="U7" s="2958">
        <f>SUM(A300:S300)+1</f>
        <v>20</v>
      </c>
      <c r="V7" s="2959" t="s">
        <v>7197</v>
      </c>
    </row>
    <row r="8" spans="1:22" ht="21" customHeight="1">
      <c r="B8" s="6534" t="s">
        <v>337</v>
      </c>
      <c r="C8" s="1"/>
      <c r="D8" s="1"/>
      <c r="E8" s="6552" t="s">
        <v>15459</v>
      </c>
      <c r="F8" s="6547"/>
      <c r="G8" s="6547"/>
      <c r="H8" s="6547"/>
      <c r="I8" s="6547"/>
      <c r="J8" s="8121" t="str">
        <f ca="1">"Largeur de cette colonne : " &amp; J2 &amp; IF(J2 &gt; K7, " - Colonne trop large de " &amp; (J2 - K7), IF(K7 &gt; J2, " - Élargissez la colonne à " &amp; K7, ""))</f>
        <v>Largeur de cette colonne : 102 - Élargissez la colonne à 120</v>
      </c>
      <c r="K8" s="6547"/>
      <c r="L8" s="6547"/>
      <c r="M8" s="6547"/>
      <c r="N8" s="6547"/>
      <c r="O8" s="6547"/>
      <c r="P8" s="6547"/>
      <c r="Q8" s="6553"/>
      <c r="R8" s="6554"/>
      <c r="T8" s="2730">
        <v>1</v>
      </c>
    </row>
    <row r="9" spans="1:22" ht="21" customHeight="1">
      <c r="B9" s="6534" t="s">
        <v>337</v>
      </c>
      <c r="C9" s="1"/>
      <c r="D9" s="1"/>
      <c r="E9" s="6552" t="str">
        <f>"❶  collez le texte brut à découper colonne "&amp;E29</f>
        <v>❶  collez le texte brut à découper colonne E</v>
      </c>
      <c r="F9" s="6547"/>
      <c r="G9" s="6547"/>
      <c r="H9" s="6547"/>
      <c r="I9" s="6547"/>
      <c r="J9" s="8121"/>
      <c r="K9" s="6547"/>
      <c r="L9" s="6547"/>
      <c r="M9" s="6547"/>
      <c r="N9" s="6547"/>
      <c r="O9" s="6547"/>
      <c r="P9" s="6547"/>
      <c r="Q9" s="6553"/>
      <c r="R9" s="6554"/>
      <c r="T9" s="2730">
        <v>1</v>
      </c>
    </row>
    <row r="10" spans="1:22" ht="21" customHeight="1">
      <c r="B10" s="6534" t="s">
        <v>337</v>
      </c>
      <c r="C10" s="1"/>
      <c r="D10" s="1"/>
      <c r="E10" s="6555" t="s">
        <v>2370</v>
      </c>
      <c r="F10" s="6547"/>
      <c r="G10" s="6547"/>
      <c r="H10" s="6547"/>
      <c r="I10" s="6547"/>
      <c r="J10" s="6552" t="s">
        <v>15456</v>
      </c>
      <c r="K10" s="6547"/>
      <c r="L10" s="6547"/>
      <c r="M10" s="6547"/>
      <c r="N10" s="6547"/>
      <c r="O10" s="6547"/>
      <c r="P10" s="6547"/>
      <c r="Q10" s="6553"/>
      <c r="R10" s="6554"/>
      <c r="T10" s="2730">
        <v>1</v>
      </c>
    </row>
    <row r="11" spans="1:22" ht="21" customHeight="1">
      <c r="B11" s="6534" t="s">
        <v>337</v>
      </c>
      <c r="C11" s="1"/>
      <c r="D11" s="1"/>
      <c r="E11" s="8122" t="s">
        <v>15460</v>
      </c>
      <c r="F11" s="6547"/>
      <c r="G11" s="6547"/>
      <c r="H11" s="6547"/>
      <c r="I11" s="6547"/>
      <c r="J11" s="6552" t="s">
        <v>15461</v>
      </c>
      <c r="K11" s="6547"/>
      <c r="L11" s="6547"/>
      <c r="M11" s="6547"/>
      <c r="N11" s="6547"/>
      <c r="O11" s="6547"/>
      <c r="P11" s="6547"/>
      <c r="Q11" s="6553"/>
      <c r="R11" s="6554"/>
      <c r="T11" s="2730">
        <v>1</v>
      </c>
    </row>
    <row r="12" spans="1:22" ht="21" customHeight="1">
      <c r="B12" s="6534" t="s">
        <v>337</v>
      </c>
      <c r="C12" s="1"/>
      <c r="D12" s="1"/>
      <c r="E12" s="8122"/>
      <c r="F12" s="6556"/>
      <c r="G12" s="6556"/>
      <c r="H12" s="6556"/>
      <c r="I12" s="6556"/>
      <c r="J12" s="6552" t="s">
        <v>15462</v>
      </c>
      <c r="K12" s="6556"/>
      <c r="L12" s="6556"/>
      <c r="M12" s="6556"/>
      <c r="N12" s="6556"/>
      <c r="O12" s="6556"/>
      <c r="P12" s="6556"/>
      <c r="Q12" s="6553"/>
      <c r="R12" s="6554"/>
      <c r="T12" s="2730">
        <v>1</v>
      </c>
    </row>
    <row r="13" spans="1:22" ht="21" customHeight="1">
      <c r="B13" s="6534" t="s">
        <v>337</v>
      </c>
      <c r="C13" s="12"/>
      <c r="D13" s="12"/>
      <c r="E13" s="8122" t="s">
        <v>15463</v>
      </c>
      <c r="F13" s="12"/>
      <c r="G13" s="12"/>
      <c r="H13" s="12"/>
      <c r="I13" s="12"/>
      <c r="J13" s="1"/>
      <c r="K13" s="6557"/>
      <c r="L13" s="8123" t="s">
        <v>15464</v>
      </c>
      <c r="M13" s="8123"/>
      <c r="N13" s="8123"/>
      <c r="O13" s="8123"/>
      <c r="P13" s="8123"/>
      <c r="Q13" s="8123"/>
      <c r="R13" s="6554"/>
      <c r="T13" s="2730">
        <v>1</v>
      </c>
    </row>
    <row r="14" spans="1:22" ht="21" customHeight="1">
      <c r="B14" s="6534" t="s">
        <v>337</v>
      </c>
      <c r="C14" s="12"/>
      <c r="D14" s="12"/>
      <c r="E14" s="8122"/>
      <c r="F14" s="12"/>
      <c r="G14" s="12"/>
      <c r="H14" s="12"/>
      <c r="I14" s="12"/>
      <c r="J14" s="8124" t="s">
        <v>15465</v>
      </c>
      <c r="K14" s="6557"/>
      <c r="L14" s="8123"/>
      <c r="M14" s="8123"/>
      <c r="N14" s="8123"/>
      <c r="O14" s="8123"/>
      <c r="P14" s="8123"/>
      <c r="Q14" s="8123"/>
      <c r="R14" s="6554"/>
      <c r="T14" s="2730">
        <v>1</v>
      </c>
    </row>
    <row r="15" spans="1:22" ht="21" customHeight="1">
      <c r="B15" s="6534" t="s">
        <v>337</v>
      </c>
      <c r="C15" s="12"/>
      <c r="D15" s="12"/>
      <c r="E15" s="8122" t="s">
        <v>15466</v>
      </c>
      <c r="F15" s="12"/>
      <c r="G15" s="12"/>
      <c r="H15" s="12"/>
      <c r="I15" s="12"/>
      <c r="J15" s="8124"/>
      <c r="K15" s="6557"/>
      <c r="L15" s="8123"/>
      <c r="M15" s="8123"/>
      <c r="N15" s="8123"/>
      <c r="O15" s="8123"/>
      <c r="P15" s="8123"/>
      <c r="Q15" s="8123"/>
      <c r="R15" s="6554"/>
      <c r="T15" s="2730">
        <v>1</v>
      </c>
    </row>
    <row r="16" spans="1:22" ht="21" customHeight="1">
      <c r="B16" s="6534" t="s">
        <v>337</v>
      </c>
      <c r="C16" s="12"/>
      <c r="D16" s="12"/>
      <c r="E16" s="8122"/>
      <c r="F16" s="12"/>
      <c r="G16" s="12"/>
      <c r="H16" s="12"/>
      <c r="I16" s="12"/>
      <c r="J16" s="6558" t="s">
        <v>2373</v>
      </c>
      <c r="K16" s="6557"/>
      <c r="L16" s="8125" t="s">
        <v>15467</v>
      </c>
      <c r="M16" s="8125"/>
      <c r="N16" s="8125"/>
      <c r="O16" s="8125"/>
      <c r="P16" s="8125"/>
      <c r="Q16" s="8125"/>
      <c r="R16" s="6554"/>
      <c r="T16" s="2730">
        <v>1</v>
      </c>
    </row>
    <row r="17" spans="2:20" ht="21" customHeight="1">
      <c r="B17" s="6534" t="s">
        <v>337</v>
      </c>
      <c r="C17" s="12"/>
      <c r="D17" s="12"/>
      <c r="E17" s="8126" t="str">
        <f>"❶ COLLEZ LE TEXTE BRUT  A DÉCOUPER  DANS CETTE COLONNE ▼ "&amp;SUBSTITUTE(ADDRESS(1,COLUMN(),4),"1","")</f>
        <v>❶ COLLEZ LE TEXTE BRUT  A DÉCOUPER  DANS CETTE COLONNE ▼ E</v>
      </c>
      <c r="F17" s="12"/>
      <c r="G17" s="12"/>
      <c r="H17" s="12"/>
      <c r="I17" s="12"/>
      <c r="J17" s="8112">
        <v>50</v>
      </c>
      <c r="K17" s="6559"/>
      <c r="L17" s="8125"/>
      <c r="M17" s="8125"/>
      <c r="N17" s="8125"/>
      <c r="O17" s="8125"/>
      <c r="P17" s="8125"/>
      <c r="Q17" s="8125"/>
      <c r="R17" s="6554"/>
      <c r="T17" s="2730">
        <v>1</v>
      </c>
    </row>
    <row r="18" spans="2:20" ht="21" customHeight="1">
      <c r="B18" s="6534" t="s">
        <v>337</v>
      </c>
      <c r="C18" s="12"/>
      <c r="D18" s="12"/>
      <c r="E18" s="8126"/>
      <c r="F18" s="12"/>
      <c r="G18" s="12"/>
      <c r="H18" s="12"/>
      <c r="I18" s="12"/>
      <c r="J18" s="8112"/>
      <c r="K18" s="6559"/>
      <c r="L18" s="8125"/>
      <c r="M18" s="8125"/>
      <c r="N18" s="8125"/>
      <c r="O18" s="8125"/>
      <c r="P18" s="8125"/>
      <c r="Q18" s="8125"/>
      <c r="R18" s="6554"/>
      <c r="T18" s="2730">
        <v>1</v>
      </c>
    </row>
    <row r="19" spans="2:20" ht="21" customHeight="1">
      <c r="B19" s="6534" t="s">
        <v>337</v>
      </c>
      <c r="C19" s="12"/>
      <c r="D19" s="12"/>
      <c r="E19" s="6560" t="s">
        <v>15468</v>
      </c>
      <c r="F19" s="12"/>
      <c r="G19" s="12"/>
      <c r="H19" s="12"/>
      <c r="I19" s="12"/>
      <c r="K19" s="1"/>
      <c r="L19" s="1"/>
      <c r="M19" s="1"/>
      <c r="N19" s="1"/>
      <c r="O19" s="1"/>
      <c r="P19" s="1"/>
      <c r="Q19" s="6553"/>
      <c r="R19" s="6554"/>
      <c r="T19" s="2730">
        <v>1</v>
      </c>
    </row>
    <row r="20" spans="2:20" ht="21" customHeight="1">
      <c r="B20" s="6534" t="s">
        <v>337</v>
      </c>
      <c r="C20" s="12"/>
      <c r="D20" s="12"/>
      <c r="E20" s="8113" t="s">
        <v>15469</v>
      </c>
      <c r="F20" s="12"/>
      <c r="G20" s="12"/>
      <c r="H20" s="12"/>
      <c r="I20" s="12"/>
      <c r="J20" s="8114" t="s">
        <v>15470</v>
      </c>
      <c r="K20" s="12"/>
      <c r="L20" s="8115" t="s">
        <v>15471</v>
      </c>
      <c r="M20" s="8115"/>
      <c r="N20" s="8115"/>
      <c r="O20" s="6561"/>
      <c r="P20" s="6561"/>
      <c r="Q20" s="6553"/>
      <c r="R20" s="6554"/>
      <c r="T20" s="2730">
        <v>1</v>
      </c>
    </row>
    <row r="21" spans="2:20" ht="21" customHeight="1">
      <c r="B21" s="6534" t="s">
        <v>337</v>
      </c>
      <c r="C21" s="12"/>
      <c r="D21" s="12"/>
      <c r="E21" s="8113"/>
      <c r="F21" s="12"/>
      <c r="G21" s="12"/>
      <c r="H21" s="12"/>
      <c r="I21" s="12"/>
      <c r="J21" s="8114"/>
      <c r="K21" s="12"/>
      <c r="L21" s="8115"/>
      <c r="M21" s="8115"/>
      <c r="N21" s="8115"/>
      <c r="O21" s="6561"/>
      <c r="P21" s="6561"/>
      <c r="Q21" s="6553"/>
      <c r="R21" s="6554"/>
      <c r="T21" s="2730">
        <v>1</v>
      </c>
    </row>
    <row r="22" spans="2:20" ht="21" customHeight="1">
      <c r="B22" s="6534" t="s">
        <v>337</v>
      </c>
      <c r="C22" s="6562"/>
      <c r="D22" s="6562"/>
      <c r="E22" s="6563" t="s">
        <v>15472</v>
      </c>
      <c r="F22" s="12"/>
      <c r="G22" s="12"/>
      <c r="H22" s="12"/>
      <c r="I22" s="12"/>
      <c r="J22" s="6563" t="s">
        <v>15473</v>
      </c>
      <c r="K22" s="12"/>
      <c r="L22" s="8115"/>
      <c r="M22" s="8115"/>
      <c r="N22" s="8115"/>
      <c r="O22" s="6564"/>
      <c r="P22" s="6561"/>
      <c r="Q22" s="6553"/>
      <c r="R22" s="6554"/>
      <c r="T22" s="2730">
        <v>1</v>
      </c>
    </row>
    <row r="23" spans="2:20" ht="21" customHeight="1">
      <c r="B23" s="6534" t="s">
        <v>337</v>
      </c>
      <c r="C23" s="6562"/>
      <c r="D23" s="6562"/>
      <c r="E23" s="6565"/>
      <c r="F23" s="12"/>
      <c r="G23" s="12"/>
      <c r="H23" s="12"/>
      <c r="I23" s="12"/>
      <c r="J23" s="6553"/>
      <c r="K23" s="12"/>
      <c r="L23" s="8115"/>
      <c r="M23" s="8115"/>
      <c r="N23" s="8115"/>
      <c r="O23" s="6564"/>
      <c r="P23" s="6561"/>
      <c r="Q23" s="6553"/>
      <c r="R23" s="6554"/>
      <c r="T23" s="2730">
        <v>1</v>
      </c>
    </row>
    <row r="24" spans="2:20" ht="21" customHeight="1">
      <c r="B24" s="6534" t="s">
        <v>337</v>
      </c>
      <c r="C24" s="6562"/>
      <c r="D24" s="6562"/>
      <c r="E24" s="6565"/>
      <c r="F24" s="12"/>
      <c r="G24" s="12"/>
      <c r="H24" s="12"/>
      <c r="I24" s="12"/>
      <c r="J24" s="8116" t="s">
        <v>15474</v>
      </c>
      <c r="K24" s="12"/>
      <c r="L24" s="12"/>
      <c r="M24" s="6561"/>
      <c r="N24" s="6564"/>
      <c r="O24" s="6564"/>
      <c r="P24" s="6561"/>
      <c r="Q24" s="6553"/>
      <c r="R24" s="6554"/>
      <c r="T24" s="2730">
        <v>1</v>
      </c>
    </row>
    <row r="25" spans="2:20" ht="21" customHeight="1">
      <c r="B25" s="6534" t="s">
        <v>337</v>
      </c>
      <c r="C25" s="6562"/>
      <c r="D25" s="6562"/>
      <c r="E25" s="6566" t="s">
        <v>15475</v>
      </c>
      <c r="F25" s="12"/>
      <c r="G25" s="12"/>
      <c r="H25" s="12"/>
      <c r="I25" s="12"/>
      <c r="J25" s="8116"/>
      <c r="K25" s="12"/>
      <c r="L25" s="12"/>
      <c r="M25" s="6561"/>
      <c r="N25" s="6564"/>
      <c r="O25" s="6564"/>
      <c r="P25" s="6561"/>
      <c r="Q25" s="6553"/>
      <c r="R25" s="6554"/>
      <c r="T25" s="2730">
        <v>1</v>
      </c>
    </row>
    <row r="26" spans="2:20" ht="21" customHeight="1">
      <c r="B26" s="6534" t="s">
        <v>337</v>
      </c>
      <c r="C26" s="6562"/>
      <c r="D26" s="6562"/>
      <c r="E26" s="6567" t="str">
        <f ca="1">"Largeur de cette colonne : "&amp;CELL("largeur",E26)</f>
        <v>Largeur de cette colonne : 103</v>
      </c>
      <c r="F26" s="12"/>
      <c r="G26" s="12"/>
      <c r="H26" s="12"/>
      <c r="I26" s="12"/>
      <c r="J26" s="6567" t="str">
        <f ca="1">"Largeur de cette colonne : "&amp;CELL("largeur",J26)</f>
        <v>Largeur de cette colonne : 102</v>
      </c>
      <c r="K26" s="12"/>
      <c r="L26" s="12"/>
      <c r="M26" s="6561"/>
      <c r="N26" s="6564"/>
      <c r="O26" s="6564"/>
      <c r="P26" s="6561"/>
      <c r="Q26" s="6553"/>
      <c r="R26" s="6554"/>
      <c r="T26" s="2730">
        <v>1</v>
      </c>
    </row>
    <row r="27" spans="2:20" ht="21" customHeight="1">
      <c r="B27" s="6534" t="s">
        <v>337</v>
      </c>
      <c r="C27" s="6562"/>
      <c r="D27" s="6562"/>
      <c r="E27" s="6568"/>
      <c r="F27" s="12"/>
      <c r="G27" s="12"/>
      <c r="H27" s="12"/>
      <c r="I27" s="12"/>
      <c r="J27" s="8117" t="s">
        <v>15476</v>
      </c>
      <c r="K27" s="6569"/>
      <c r="L27" s="6569"/>
      <c r="M27" s="6561"/>
      <c r="N27" s="6561"/>
      <c r="O27" s="6561"/>
      <c r="P27" s="6561"/>
      <c r="Q27" s="6561"/>
      <c r="R27" s="6554"/>
      <c r="T27" s="2730">
        <v>1</v>
      </c>
    </row>
    <row r="28" spans="2:20" ht="21" customHeight="1">
      <c r="B28" s="6534" t="s">
        <v>337</v>
      </c>
      <c r="C28" s="8108" t="s">
        <v>15477</v>
      </c>
      <c r="D28" s="8108"/>
      <c r="E28" s="6571" t="s">
        <v>15468</v>
      </c>
      <c r="F28" s="6562"/>
      <c r="G28" s="6562"/>
      <c r="H28" s="6562"/>
      <c r="I28" s="6562"/>
      <c r="J28" s="8117"/>
      <c r="K28" s="6569"/>
      <c r="L28" s="6569"/>
      <c r="M28" s="8109" t="s">
        <v>15478</v>
      </c>
      <c r="N28" s="8109"/>
      <c r="O28" s="8109"/>
      <c r="P28" s="8109"/>
      <c r="Q28" s="8110" t="str">
        <f>"vous auriez dû coupez le texte de la col."&amp;E29&amp;" en ▼"</f>
        <v>vous auriez dû coupez le texte de la col.E en ▼</v>
      </c>
      <c r="R28" s="8111"/>
      <c r="T28" s="2730">
        <v>1</v>
      </c>
    </row>
    <row r="29" spans="2:20" ht="21" customHeight="1">
      <c r="B29" s="6534" t="s">
        <v>337</v>
      </c>
      <c r="C29" s="6572"/>
      <c r="D29" s="6570" t="s">
        <v>15479</v>
      </c>
      <c r="E29" s="6573" t="str">
        <f t="shared" ref="E29" si="3">SUBSTITUTE(ADDRESS(1,COLUMN(),4),"1","")</f>
        <v>E</v>
      </c>
      <c r="F29" s="6574" t="s">
        <v>2</v>
      </c>
      <c r="G29" s="6575"/>
      <c r="H29" s="6575"/>
      <c r="I29" s="6575">
        <v>0</v>
      </c>
      <c r="J29" s="6575"/>
      <c r="K29" s="6576"/>
      <c r="L29" s="6569"/>
      <c r="M29" s="8109"/>
      <c r="N29" s="8109"/>
      <c r="O29" s="8109"/>
      <c r="P29" s="8109"/>
      <c r="Q29" s="8110"/>
      <c r="R29" s="8111"/>
      <c r="T29" s="2730">
        <v>1</v>
      </c>
    </row>
    <row r="30" spans="2:20" ht="21" customHeight="1">
      <c r="B30" s="6534" t="s">
        <v>337</v>
      </c>
      <c r="C30" s="6577" t="str">
        <f>IF(E30="","",(LEN(TRIM(SUBSTITUTE(E30,CHAR(160)," ")))-LEN(SUBSTITUTE(TRIM(SUBSTITUTE(E30,CHAR(160)," "))," ",""))+1)&amp;" mot"&amp;IF((LEN(TRIM(SUBSTITUTE(E30,CHAR(160)," ")))-LEN(SUBSTITUTE(TRIM(SUBSTITUTE(E30,CHAR(160)," "))," ",""))+1)&gt;1,"s",""))</f>
        <v>4 mots</v>
      </c>
      <c r="D30" s="6578">
        <f>IF(E30="","",LEN(TRIM(SUBSTITUTE(E30,CHAR(160),""))))</f>
        <v>30</v>
      </c>
      <c r="E30" s="6579" t="s">
        <v>15480</v>
      </c>
      <c r="F30" s="6580" t="str">
        <f>" ◄ ligne "&amp;ROW()</f>
        <v xml:space="preserve"> ◄ ligne 30</v>
      </c>
      <c r="G30" s="6577" t="str">
        <f>IF(J30="","",(LEN(TRIM(SUBSTITUTE(J30,CHAR(160)," ")))-LEN(SUBSTITUTE(TRIM(SUBSTITUTE(J30,CHAR(160)," "))," ",""))+1)&amp;" mot"&amp;IF((LEN(TRIM(SUBSTITUTE(J30,CHAR(160)," ")))-LEN(SUBSTITUTE(TRIM(SUBSTITUTE(J30,CHAR(160)," "))," ",""))+1)&gt;1,"s",""))</f>
        <v>4 mots</v>
      </c>
      <c r="H30" s="6581" t="str">
        <f>IF(J30="","",LEN(TRIM(SUBSTITUTE(J30,CHAR(160),"")))&amp;" car. ►")</f>
        <v>30 car. ►</v>
      </c>
      <c r="I30" s="6582">
        <f>IF(LEN(TRIM(N30))&gt;0,MAX(I29:I29)+1,"")</f>
        <v>1</v>
      </c>
      <c r="J30" s="2873" t="str">
        <f>IFERROR(INDEX(N30:N299,MATCH(ROW()-ROW(N30)+1,I30:I299,0)),"")</f>
        <v>bœuf bourguignon de grand-mère</v>
      </c>
      <c r="K30" s="6576"/>
      <c r="L30" s="6569"/>
      <c r="M30" s="6583" t="str">
        <f>(SUBSTITUTE(SUBSTITUTE(E30,CHAR(13)&amp;CHAR(10)," "),CHAR(10)," "))</f>
        <v>bœuf bourguignon de grand-mère</v>
      </c>
      <c r="N30" s="6584" t="str">
        <f>IF(OR(M31="",M32=""),"",IF(LEN(M31)&lt;=M32,M31,IFERROR(LEFT(M31,FIND("♦",SUBSTITUTE(LEFT(M31,M32+1)," ","♦",LEN(LEFT(M31,M32+1))-LEN(SUBSTITUTE(LEFT(M31,M32+1)," ",""))))),LEFT(M31,IFERROR(FIND(" ",M31)-1,LEN(M31))))))</f>
        <v>bœuf bourguignon de grand-mère</v>
      </c>
      <c r="O30" s="6585" t="str">
        <f>IF(N30="","",TRIM(RIGHT(M31,LEN(M31)-LEN(N30))))</f>
        <v/>
      </c>
      <c r="P30" s="6586" t="str">
        <f>F30</f>
        <v xml:space="preserve"> ◄ ligne 30</v>
      </c>
      <c r="Q30" s="6587">
        <f>IF(D30="","",IF(OR(D30=0,D30&lt;J17),0,IF(D30&gt;J17,(D30-J17)&amp;" car. en trop",(D30-J17)&amp;" car.")))</f>
        <v>0</v>
      </c>
      <c r="R30" s="6588" t="str">
        <f>IF(D30="","",ROUNDUP(D30/J17,0)&amp;" ligne(s)")</f>
        <v>1 ligne(s)</v>
      </c>
      <c r="T30" s="2730">
        <v>1</v>
      </c>
    </row>
    <row r="31" spans="2:20" ht="21" customHeight="1">
      <c r="B31" s="6589" t="str">
        <f>IF(OR(LEN(J31)&gt;1),"A", "►")</f>
        <v>A</v>
      </c>
      <c r="C31" s="6577" t="str">
        <f t="shared" ref="C31:C74" si="4">IF(E31="","",(LEN(TRIM(SUBSTITUTE(E31,CHAR(160)," ")))-LEN(SUBSTITUTE(TRIM(SUBSTITUTE(E31,CHAR(160)," "))," ",""))+1)&amp;" mot"&amp;IF((LEN(TRIM(SUBSTITUTE(E31,CHAR(160)," ")))-LEN(SUBSTITUTE(TRIM(SUBSTITUTE(E31,CHAR(160)," "))," ",""))+1)&gt;1,"s",""))</f>
        <v>1 mot</v>
      </c>
      <c r="D31" s="6578">
        <f>IF(E31="","",LEN(TRIM(SUBSTITUTE(E31,CHAR(160),""))))</f>
        <v>11</v>
      </c>
      <c r="E31" s="6579" t="s">
        <v>11754</v>
      </c>
      <c r="F31" s="6590" t="str">
        <f t="shared" ref="F31:F74" si="5">" ◄ ligne "&amp;ROW()</f>
        <v xml:space="preserve"> ◄ ligne 31</v>
      </c>
      <c r="G31" s="6577" t="str">
        <f>IF(J31="","",(LEN(TRIM(SUBSTITUTE(J31,CHAR(160)," ")))-LEN(SUBSTITUTE(TRIM(SUBSTITUTE(J31,CHAR(160)," "))," ",""))+1)&amp;" mot"&amp;IF((LEN(TRIM(SUBSTITUTE(J31,CHAR(160)," ")))-LEN(SUBSTITUTE(TRIM(SUBSTITUTE(J31,CHAR(160)," "))," ",""))+1)&gt;1,"s",""))</f>
        <v>1 mot</v>
      </c>
      <c r="H31" s="6581" t="str">
        <f>IF(J31="","",LEN(TRIM(SUBSTITUTE(J31,CHAR(160),"")))&amp;" car. ►")</f>
        <v>11 car. ►</v>
      </c>
      <c r="I31" s="6582" t="str">
        <f>IF(LEN(TRIM(N31))&gt;0,MAX(I29:I30)+1,"")</f>
        <v/>
      </c>
      <c r="J31" s="2873" t="str">
        <f>IFERROR(INDEX(N30:N299,MATCH(ROW()-ROW(N30)+1,I30:I299,0)),"")</f>
        <v>Préparation</v>
      </c>
      <c r="K31" s="6576"/>
      <c r="L31" s="6569"/>
      <c r="M31" s="6584" t="str">
        <f>TRIM(SUBSTITUTE(SUBSTITUTE(SUBSTITUTE(SUBSTITUTE(IF(OR(LEFT(M30,1)="-",LEFT(M30,1)="="),MID(M30,2,9999),M30),CHAR(160)," "),","," "),";"," "),"."," "))</f>
        <v>bœuf bourguignon de grand-mère</v>
      </c>
      <c r="N31" s="6585" t="str">
        <f>IF(OR(O30="",M32=""),"",IF(LEN(O30)&lt;=M32,O30,IFERROR(LEFT(O30,FIND("♦",SUBSTITUTE(LEFT(O30,M32+1)," ","♦",LEN(LEFT(O30,M32+1))-LEN(SUBSTITUTE(LEFT(O30,M32+1)," ",""))))),LEFT(O30,IFERROR(FIND(" ",O30)-1,LEN(O30))))))</f>
        <v/>
      </c>
      <c r="O31" s="6585" t="str">
        <f>IF(N31="","",TRIM(RIGHT(O30,LEN(O30)-LEN(N31))))</f>
        <v/>
      </c>
      <c r="P31" s="6591" t="str">
        <f>"ligne "&amp;ROW()&amp;" ►"</f>
        <v>ligne 31 ►</v>
      </c>
      <c r="Q31" s="6587">
        <f>IF(D31="","",IF(OR(D31=0,D31&lt;J17),0,IF(D31&gt;J17,(D31-J17)&amp;" car. en trop",(D31-J17)&amp;" car.")))</f>
        <v>0</v>
      </c>
      <c r="R31" s="6588" t="str">
        <f>IF(D31="","",ROUNDUP(D31/J17,0)&amp;" ligne(s)")</f>
        <v>1 ligne(s)</v>
      </c>
      <c r="T31" s="2730">
        <v>1</v>
      </c>
    </row>
    <row r="32" spans="2:20" ht="21" customHeight="1">
      <c r="B32" s="6589" t="str">
        <f t="shared" ref="B32:B74" si="6">IF(OR(LEN(J32)&gt;1),"A", "►")</f>
        <v>A</v>
      </c>
      <c r="C32" s="6577" t="str">
        <f t="shared" si="4"/>
        <v/>
      </c>
      <c r="D32" s="6578" t="str">
        <f>IF(E32="","",LEN(TRIM(SUBSTITUTE(E32,CHAR(160),""))))</f>
        <v/>
      </c>
      <c r="E32" s="6579"/>
      <c r="F32" s="6580" t="str">
        <f t="shared" si="5"/>
        <v xml:space="preserve"> ◄ ligne 32</v>
      </c>
      <c r="G32" s="6577" t="str">
        <f t="shared" ref="G32:G95" si="7">IF(J32="","",(LEN(TRIM(SUBSTITUTE(J32,CHAR(160)," ")))-LEN(SUBSTITUTE(TRIM(SUBSTITUTE(J32,CHAR(160)," "))," ",""))+1)&amp;" mot"&amp;IF((LEN(TRIM(SUBSTITUTE(J32,CHAR(160)," ")))-LEN(SUBSTITUTE(TRIM(SUBSTITUTE(J32,CHAR(160)," "))," ",""))+1)&gt;1,"s",""))</f>
        <v>8 mots</v>
      </c>
      <c r="H32" s="6581" t="str">
        <f t="shared" ref="H32:H95" si="8">IF(J32="","",LEN(TRIM(SUBSTITUTE(J32,CHAR(160),"")))&amp;" car. ►")</f>
        <v>42 car. ►</v>
      </c>
      <c r="I32" s="6582" t="str">
        <f>IF(LEN(TRIM(N32))&gt;0,MAX(I29:I31)+1,"")</f>
        <v/>
      </c>
      <c r="J32" s="2873" t="str">
        <f>IFERROR(INDEX(N30:N299,MATCH(ROW()-ROW(N30)+1,I30:I299,0)),"")</f>
        <v>Portez à ébullition puis baissez le feu et</v>
      </c>
      <c r="K32" s="6576"/>
      <c r="L32" s="6569"/>
      <c r="M32" s="6592">
        <f>J17</f>
        <v>50</v>
      </c>
      <c r="N32" s="6585" t="str">
        <f>IF(OR(O31="",M32=""),"",IF(LEN(O31)&lt;=M32,O31,IFERROR(LEFT(O31,FIND("♦",SUBSTITUTE(LEFT(O31,M32+1)," ","♦",LEN(LEFT(O31,M32+1))-LEN(SUBSTITUTE(LEFT(O31,M32+1)," ",""))))),LEFT(O31,IFERROR(FIND(" ",O31)-1,LEN(O31))))))</f>
        <v/>
      </c>
      <c r="O32" s="6585" t="str">
        <f t="shared" ref="O32:O35" si="9">IF(N32="","",TRIM(RIGHT(O31,LEN(O31)-LEN(N32))))</f>
        <v/>
      </c>
      <c r="P32" s="6591" t="str">
        <f t="shared" ref="P32:P35" si="10">"ligne "&amp;ROW()&amp;" ►"</f>
        <v>ligne 32 ►</v>
      </c>
      <c r="Q32" s="6587" t="str">
        <f>IF(D32="","",IF(OR(D32=0,D32&lt;J17),0,IF(D32&gt;J17,(D32-J17)&amp;" car. en trop",(D32-J17)&amp;" car.")))</f>
        <v/>
      </c>
      <c r="R32" s="6588" t="str">
        <f>IF(D32="","",ROUNDUP(D32/J17,0)&amp;" ligne(s)")</f>
        <v/>
      </c>
      <c r="T32" s="2730">
        <v>1</v>
      </c>
    </row>
    <row r="33" spans="2:20" ht="21" customHeight="1">
      <c r="B33" s="6589" t="str">
        <f t="shared" si="6"/>
        <v>A</v>
      </c>
      <c r="C33" s="6577" t="str">
        <f t="shared" si="4"/>
        <v>8 mots</v>
      </c>
      <c r="D33" s="6578">
        <f t="shared" ref="D33:D74" si="11">IF(E33="","",LEN(TRIM(SUBSTITUTE(E33,CHAR(160),""))))</f>
        <v>43</v>
      </c>
      <c r="E33" s="6579" t="s">
        <v>15481</v>
      </c>
      <c r="F33" s="6590" t="str">
        <f t="shared" si="5"/>
        <v xml:space="preserve"> ◄ ligne 33</v>
      </c>
      <c r="G33" s="6577" t="str">
        <f t="shared" si="7"/>
        <v>10 mots</v>
      </c>
      <c r="H33" s="6581" t="str">
        <f t="shared" si="8"/>
        <v>45 car. ►</v>
      </c>
      <c r="I33" s="6582" t="str">
        <f>IF(LEN(TRIM(N33))&gt;0,MAX(I29:I32)+1,"")</f>
        <v/>
      </c>
      <c r="J33" s="2873" t="str">
        <f>IFERROR(INDEX(N30:N299,MATCH(ROW()-ROW(N30)+1,I30:I299,0)),"")</f>
        <v xml:space="preserve">1 Coupez la viande en cubes d’environ 4 cm et </v>
      </c>
      <c r="K33" s="6576"/>
      <c r="L33" s="6569"/>
      <c r="M33" s="6584"/>
      <c r="N33" s="6585" t="str">
        <f>IF(OR(O32="",M32=""),"",IF(LEN(O32)&lt;=M32,O32,IFERROR(LEFT(O32,FIND("♦",SUBSTITUTE(LEFT(O32,M32+1)," ","♦",LEN(LEFT(O32,M32+1))-LEN(SUBSTITUTE(LEFT(O32,M32+1)," ",""))))),LEFT(O32,IFERROR(FIND(" ",O32)-1,LEN(O32))))))</f>
        <v/>
      </c>
      <c r="O33" s="6585" t="str">
        <f t="shared" si="9"/>
        <v/>
      </c>
      <c r="P33" s="6591" t="str">
        <f t="shared" si="10"/>
        <v>ligne 33 ►</v>
      </c>
      <c r="Q33" s="6587">
        <f>IF(D33="","",IF(OR(D33=0,D33&lt;J17),0,IF(D33&gt;J17,(D33-J17)&amp;" car. en trop",(D33-J17)&amp;" car.")))</f>
        <v>0</v>
      </c>
      <c r="R33" s="6588" t="str">
        <f>IF(D33="","",ROUNDUP(D33/J17,0)&amp;" ligne(s)")</f>
        <v>1 ligne(s)</v>
      </c>
      <c r="T33" s="2730">
        <v>1</v>
      </c>
    </row>
    <row r="34" spans="2:20" ht="21" customHeight="1">
      <c r="B34" s="6589" t="str">
        <f t="shared" si="6"/>
        <v>A</v>
      </c>
      <c r="C34" s="6577" t="str">
        <f t="shared" si="4"/>
        <v/>
      </c>
      <c r="D34" s="6578" t="str">
        <f t="shared" si="11"/>
        <v/>
      </c>
      <c r="E34" s="6593"/>
      <c r="F34" s="6580" t="str">
        <f t="shared" si="5"/>
        <v xml:space="preserve"> ◄ ligne 34</v>
      </c>
      <c r="G34" s="6577" t="str">
        <f t="shared" si="7"/>
        <v>7 mots</v>
      </c>
      <c r="H34" s="6581" t="str">
        <f t="shared" si="8"/>
        <v>46 car. ►</v>
      </c>
      <c r="I34" s="6582" t="str">
        <f>IF(LEN(TRIM(N34))&gt;0,MAX(I29:I33)+1,"")</f>
        <v/>
      </c>
      <c r="J34" s="2873" t="str">
        <f>IFERROR(INDEX(N30:N299,MATCH(ROW()-ROW(N30)+1,I30:I299,0)),"")</f>
        <v xml:space="preserve">mettez-la dans un grand saladier Ajoutez-y les </v>
      </c>
      <c r="K34" s="6576"/>
      <c r="L34" s="6569"/>
      <c r="M34" s="6594"/>
      <c r="N34" s="6585" t="str">
        <f>IF(OR(O33="",M32=""),"",IF(LEN(O33)&lt;=M32,O33,IFERROR(LEFT(O33,FIND("♦",SUBSTITUTE(LEFT(O33,M32+1)," ","♦",LEN(LEFT(O33,M32+1))-LEN(SUBSTITUTE(LEFT(O33,M32+1)," ",""))))),LEFT(O33,IFERROR(FIND(" ",O33)-1,LEN(O33))))))</f>
        <v/>
      </c>
      <c r="O34" s="6585" t="str">
        <f t="shared" si="9"/>
        <v/>
      </c>
      <c r="P34" s="6591" t="str">
        <f t="shared" si="10"/>
        <v>ligne 34 ►</v>
      </c>
      <c r="Q34" s="6587" t="str">
        <f>IF(D34="","",IF(OR(D34=0,D34&lt;J17),0,IF(D34&gt;J17,(D34-J17)&amp;" car. en trop",(D34-J17)&amp;" car.")))</f>
        <v/>
      </c>
      <c r="R34" s="6588" t="str">
        <f>IF(D34="","",ROUNDUP(D34/J17,0)&amp;" ligne(s)")</f>
        <v/>
      </c>
      <c r="T34" s="2730">
        <v>1</v>
      </c>
    </row>
    <row r="35" spans="2:20" ht="21" customHeight="1">
      <c r="B35" s="6589" t="str">
        <f t="shared" si="6"/>
        <v>A</v>
      </c>
      <c r="C35" s="6577" t="str">
        <f t="shared" si="4"/>
        <v>49 mots</v>
      </c>
      <c r="D35" s="6578">
        <f t="shared" si="11"/>
        <v>284</v>
      </c>
      <c r="E35" s="6593" t="s">
        <v>15482</v>
      </c>
      <c r="F35" s="6590" t="str">
        <f t="shared" si="5"/>
        <v xml:space="preserve"> ◄ ligne 35</v>
      </c>
      <c r="G35" s="6577" t="str">
        <f t="shared" si="7"/>
        <v>7 mots</v>
      </c>
      <c r="H35" s="6581" t="str">
        <f t="shared" si="8"/>
        <v>48 car. ►</v>
      </c>
      <c r="I35" s="6582" t="str">
        <f>IF(LEN(TRIM(N35))&gt;0,MAX(I29:I34)+1,"")</f>
        <v/>
      </c>
      <c r="J35" s="2873" t="str">
        <f>IFERROR(INDEX(N30:N299,MATCH(ROW()-ROW(N30)+1,I30:I299,0)),"")</f>
        <v xml:space="preserve">oignons coupés en rondelles les carottes coupées </v>
      </c>
      <c r="K35" s="6576"/>
      <c r="L35" s="6569"/>
      <c r="M35" s="6595"/>
      <c r="N35" s="6585" t="str">
        <f>IF(OR(O34="",M32=""),"",IF(LEN(O34)&lt;=M32,O34,IFERROR(LEFT(O34,FIND("♦",SUBSTITUTE(LEFT(O34,M32+1)," ","♦",LEN(LEFT(O34,M32+1))-LEN(SUBSTITUTE(LEFT(O34,M32+1)," ",""))))),LEFT(O34,IFERROR(FIND(" ",O34)-1,LEN(O34))))))</f>
        <v/>
      </c>
      <c r="O35" s="6585" t="str">
        <f t="shared" si="9"/>
        <v/>
      </c>
      <c r="P35" s="6591" t="str">
        <f t="shared" si="10"/>
        <v>ligne 35 ►</v>
      </c>
      <c r="Q35" s="6587" t="str">
        <f>IF(D35="","",IF(OR(D35=0,D35&lt;J17),0,IF(D35&gt;J17,(D35-J17)&amp;" car. en trop",(D35-J17)&amp;" car.")))</f>
        <v>234 car. en trop</v>
      </c>
      <c r="R35" s="6588" t="str">
        <f>IF(D35="","",ROUNDUP(D35/J17,0)&amp;" ligne(s)")</f>
        <v>6 ligne(s)</v>
      </c>
      <c r="T35" s="2730">
        <v>1</v>
      </c>
    </row>
    <row r="36" spans="2:20" ht="21" customHeight="1">
      <c r="B36" s="6589" t="str">
        <f t="shared" si="6"/>
        <v>A</v>
      </c>
      <c r="C36" s="6577" t="str">
        <f t="shared" si="4"/>
        <v>17 mots</v>
      </c>
      <c r="D36" s="6578">
        <f t="shared" si="11"/>
        <v>102</v>
      </c>
      <c r="E36" s="6593" t="s">
        <v>15483</v>
      </c>
      <c r="F36" s="6580" t="str">
        <f t="shared" si="5"/>
        <v xml:space="preserve"> ◄ ligne 36</v>
      </c>
      <c r="G36" s="6577" t="str">
        <f t="shared" si="7"/>
        <v>8 mots</v>
      </c>
      <c r="H36" s="6581" t="str">
        <f t="shared" si="8"/>
        <v>43 car. ►</v>
      </c>
      <c r="I36" s="6582">
        <f>IF(LEN(TRIM(N36))&gt;0,MAX(I29:I35)+1,"")</f>
        <v>2</v>
      </c>
      <c r="J36" s="2873" t="str">
        <f>IFERROR(INDEX(N30:N299,MATCH(ROW()-ROW(N30)+1,I30:I299,0)),"")</f>
        <v xml:space="preserve">en rondelles les lardons l’ail émincé et le </v>
      </c>
      <c r="K36" s="6576"/>
      <c r="L36" s="6569"/>
      <c r="M36" s="6583" t="str">
        <f>(SUBSTITUTE(SUBSTITUTE(E31,CHAR(13)&amp;CHAR(10)," "),CHAR(10)," "))</f>
        <v>Préparation</v>
      </c>
      <c r="N36" s="6596" t="str">
        <f>IF(OR(M37="",M38=""),"",IF(LEN(M37)&lt;=M38,M37,IFERROR(LEFT(M37,FIND("♦",SUBSTITUTE(LEFT(M37,M38+1)," ","♦",LEN(LEFT(M37,M38+1))-LEN(SUBSTITUTE(LEFT(M37,M38+1)," ",""))))),LEFT(M37,IFERROR(FIND(" ",M37)-1,LEN(M37))))))</f>
        <v>Préparation</v>
      </c>
      <c r="O36" s="6597" t="str">
        <f>IF(N36="","",TRIM(RIGHT(M37,LEN(M37)-LEN(N36))))</f>
        <v/>
      </c>
      <c r="P36" s="6586" t="str">
        <f>F31</f>
        <v xml:space="preserve"> ◄ ligne 31</v>
      </c>
      <c r="Q36" s="6587" t="str">
        <f>IF(D36="","",IF(OR(D36=0,D36&lt;J17),0,IF(D36&gt;J17,(D36-J17)&amp;" car. en trop",(D36-J17)&amp;" car.")))</f>
        <v>52 car. en trop</v>
      </c>
      <c r="R36" s="6588" t="str">
        <f>IF(D36="","",ROUNDUP(D36/J17,0)&amp;" ligne(s)")</f>
        <v>3 ligne(s)</v>
      </c>
      <c r="T36" s="2730">
        <v>1</v>
      </c>
    </row>
    <row r="37" spans="2:20" ht="21" customHeight="1">
      <c r="B37" s="6589" t="str">
        <f t="shared" si="6"/>
        <v>A</v>
      </c>
      <c r="C37" s="6577" t="str">
        <f t="shared" si="4"/>
        <v>29 mots</v>
      </c>
      <c r="D37" s="6578">
        <f t="shared" si="11"/>
        <v>171</v>
      </c>
      <c r="E37" s="6593" t="s">
        <v>15484</v>
      </c>
      <c r="F37" s="6590" t="str">
        <f t="shared" si="5"/>
        <v xml:space="preserve"> ◄ ligne 37</v>
      </c>
      <c r="G37" s="6577" t="str">
        <f t="shared" si="7"/>
        <v>10 mots</v>
      </c>
      <c r="H37" s="6581" t="str">
        <f t="shared" si="8"/>
        <v>48 car. ►</v>
      </c>
      <c r="I37" s="6582" t="str">
        <f>IF(LEN(TRIM(N37))&gt;0,MAX(I29:I36)+1,"")</f>
        <v/>
      </c>
      <c r="J37" s="2873" t="str">
        <f>IFERROR(INDEX(N30:N299,MATCH(ROW()-ROW(N30)+1,I30:I299,0)),"")</f>
        <v xml:space="preserve">bouquet garni Versez le vin rouge sur le tout et </v>
      </c>
      <c r="K37" s="6576"/>
      <c r="L37" s="6569"/>
      <c r="M37" s="6596" t="str">
        <f>TRIM(SUBSTITUTE(SUBSTITUTE(SUBSTITUTE(SUBSTITUTE(IF(OR(LEFT(M36,1)="-",LEFT(M36,1)="="),MID(M36,2,9999),M36),CHAR(160)," "),","," "),";"," "),"."," "))</f>
        <v>Préparation</v>
      </c>
      <c r="N37" s="6597" t="str">
        <f>IF(OR(O36="",M38=""),"",IF(LEN(O36)&lt;=M38,O36,IFERROR(LEFT(O36,FIND("♦",SUBSTITUTE(LEFT(O36,M38+1)," ","♦",LEN(LEFT(O36,M38+1))-LEN(SUBSTITUTE(LEFT(O36,M38+1)," ",""))))),LEFT(O36,IFERROR(FIND(" ",O36)-1,LEN(O36))))))</f>
        <v/>
      </c>
      <c r="O37" s="6597" t="str">
        <f>IF(N37="","",TRIM(RIGHT(O36,LEN(O36)-LEN(N37))))</f>
        <v/>
      </c>
      <c r="P37" s="6598" t="str">
        <f t="shared" ref="P37:P41" si="12">"ligne "&amp;ROW()&amp;" ►"</f>
        <v>ligne 37 ►</v>
      </c>
      <c r="Q37" s="6587" t="str">
        <f>IF(D37="","",IF(OR(D37=0,D37&lt;J17),0,IF(D37&gt;J17,(D37-J17)&amp;" car. en trop",(D37-J17)&amp;" car.")))</f>
        <v>121 car. en trop</v>
      </c>
      <c r="R37" s="6588" t="str">
        <f>IF(D37="","",ROUNDUP(D37/J17,0)&amp;" ligne(s)")</f>
        <v>4 ligne(s)</v>
      </c>
      <c r="T37" s="2730">
        <v>1</v>
      </c>
    </row>
    <row r="38" spans="2:20" ht="21" customHeight="1">
      <c r="B38" s="6589" t="str">
        <f t="shared" si="6"/>
        <v>A</v>
      </c>
      <c r="C38" s="6577" t="str">
        <f t="shared" si="4"/>
        <v>22 mots</v>
      </c>
      <c r="D38" s="6578">
        <f t="shared" si="11"/>
        <v>132</v>
      </c>
      <c r="E38" s="6593" t="s">
        <v>15485</v>
      </c>
      <c r="F38" s="6580" t="str">
        <f t="shared" si="5"/>
        <v xml:space="preserve"> ◄ ligne 38</v>
      </c>
      <c r="G38" s="6577" t="str">
        <f t="shared" si="7"/>
        <v>7 mots</v>
      </c>
      <c r="H38" s="6581" t="str">
        <f t="shared" si="8"/>
        <v>42 car. ►</v>
      </c>
      <c r="I38" s="6582" t="str">
        <f>IF(LEN(TRIM(N38))&gt;0,MAX(I29:I37)+1,"")</f>
        <v/>
      </c>
      <c r="J38" s="2873" t="str">
        <f>IFERROR(INDEX(N30:N299,MATCH(ROW()-ROW(N30)+1,I30:I299,0)),"")</f>
        <v>laissez mariner au frais pendant 24 heures</v>
      </c>
      <c r="K38" s="6576"/>
      <c r="L38" s="6569"/>
      <c r="M38" s="6592">
        <f>J17</f>
        <v>50</v>
      </c>
      <c r="N38" s="6597" t="str">
        <f>IF(OR(O37="",M38=""),"",IF(LEN(O37)&lt;=M38,O37,IFERROR(LEFT(O37,FIND("♦",SUBSTITUTE(LEFT(O37,M38+1)," ","♦",LEN(LEFT(O37,M38+1))-LEN(SUBSTITUTE(LEFT(O37,M38+1)," ",""))))),LEFT(O37,IFERROR(FIND(" ",O37)-1,LEN(O37))))))</f>
        <v/>
      </c>
      <c r="O38" s="6597" t="str">
        <f t="shared" ref="O38:O41" si="13">IF(N38="","",TRIM(RIGHT(O37,LEN(O37)-LEN(N38))))</f>
        <v/>
      </c>
      <c r="P38" s="6598" t="str">
        <f t="shared" si="12"/>
        <v>ligne 38 ►</v>
      </c>
      <c r="Q38" s="6587" t="str">
        <f>IF(D38="","",IF(OR(D38=0,D38&lt;J17),0,IF(D38&gt;J17,(D38-J17)&amp;" car. en trop",(D38-J17)&amp;" car.")))</f>
        <v>82 car. en trop</v>
      </c>
      <c r="R38" s="6588" t="str">
        <f>IF(D38="","",ROUNDUP(D38/J17,0)&amp;" ligne(s)")</f>
        <v>3 ligne(s)</v>
      </c>
      <c r="T38" s="2730">
        <v>1</v>
      </c>
    </row>
    <row r="39" spans="2:20" ht="21" customHeight="1">
      <c r="B39" s="6589" t="str">
        <f t="shared" si="6"/>
        <v>A</v>
      </c>
      <c r="C39" s="6577" t="str">
        <f t="shared" si="4"/>
        <v>25 mots</v>
      </c>
      <c r="D39" s="6578">
        <f t="shared" si="11"/>
        <v>154</v>
      </c>
      <c r="E39" s="6593" t="s">
        <v>15486</v>
      </c>
      <c r="F39" s="6590" t="str">
        <f t="shared" si="5"/>
        <v xml:space="preserve"> ◄ ligne 39</v>
      </c>
      <c r="G39" s="6577" t="str">
        <f t="shared" si="7"/>
        <v>10 mots</v>
      </c>
      <c r="H39" s="6581" t="str">
        <f t="shared" si="8"/>
        <v>49 car. ►</v>
      </c>
      <c r="I39" s="6582" t="str">
        <f>IF(LEN(TRIM(N39))&gt;0,MAX(I29:I38)+1,"")</f>
        <v/>
      </c>
      <c r="J39" s="2873" t="str">
        <f>IFERROR(INDEX(N30:N299,MATCH(ROW()-ROW(N30)+1,I30:I299,0)),"")</f>
        <v xml:space="preserve">2 Le lendemain sortez la viande et les légumes de </v>
      </c>
      <c r="K39" s="6576"/>
      <c r="L39" s="6569"/>
      <c r="M39" s="6596"/>
      <c r="N39" s="6597" t="str">
        <f>IF(OR(O38="",M38=""),"",IF(LEN(O38)&lt;=M38,O38,IFERROR(LEFT(O38,FIND("♦",SUBSTITUTE(LEFT(O38,M38+1)," ","♦",LEN(LEFT(O38,M38+1))-LEN(SUBSTITUTE(LEFT(O38,M38+1)," ",""))))),LEFT(O38,IFERROR(FIND(" ",O38)-1,LEN(O38))))))</f>
        <v/>
      </c>
      <c r="O39" s="6597" t="str">
        <f t="shared" si="13"/>
        <v/>
      </c>
      <c r="P39" s="6598" t="str">
        <f t="shared" si="12"/>
        <v>ligne 39 ►</v>
      </c>
      <c r="Q39" s="6587" t="str">
        <f>IF(D39="","",IF(OR(D39=0,D39&lt;J17),0,IF(D39&gt;J17,(D39-J17)&amp;" car. en trop",(D39-J17)&amp;" car.")))</f>
        <v>104 car. en trop</v>
      </c>
      <c r="R39" s="6588" t="str">
        <f>IF(D39="","",ROUNDUP(D39/J17,0)&amp;" ligne(s)")</f>
        <v>4 ligne(s)</v>
      </c>
      <c r="T39" s="2730">
        <v>1</v>
      </c>
    </row>
    <row r="40" spans="2:20" ht="21" customHeight="1">
      <c r="B40" s="6589" t="str">
        <f t="shared" si="6"/>
        <v>A</v>
      </c>
      <c r="C40" s="6577" t="str">
        <f t="shared" si="4"/>
        <v>33 mots</v>
      </c>
      <c r="D40" s="6578">
        <f t="shared" si="11"/>
        <v>179</v>
      </c>
      <c r="E40" s="6593" t="s">
        <v>15487</v>
      </c>
      <c r="F40" s="6580" t="str">
        <f t="shared" si="5"/>
        <v xml:space="preserve"> ◄ ligne 40</v>
      </c>
      <c r="G40" s="6577" t="str">
        <f t="shared" si="7"/>
        <v>7 mots</v>
      </c>
      <c r="H40" s="6581" t="str">
        <f t="shared" si="8"/>
        <v>48 car. ►</v>
      </c>
      <c r="I40" s="6582" t="str">
        <f>IF(LEN(TRIM(N40))&gt;0,MAX(I29:I39)+1,"")</f>
        <v/>
      </c>
      <c r="J40" s="2873" t="str">
        <f>IFERROR(INDEX(N30:N299,MATCH(ROW()-ROW(N30)+1,I30:I299,0)),"")</f>
        <v>la marinade et égouttez-les Réservez la marinade</v>
      </c>
      <c r="K40" s="6576"/>
      <c r="L40" s="6569"/>
      <c r="M40" s="6599"/>
      <c r="N40" s="6597" t="str">
        <f>IF(OR(O39="",M38=""),"",IF(LEN(O39)&lt;=M38,O39,IFERROR(LEFT(O39,FIND("♦",SUBSTITUTE(LEFT(O39,M38+1)," ","♦",LEN(LEFT(O39,M38+1))-LEN(SUBSTITUTE(LEFT(O39,M38+1)," ",""))))),LEFT(O39,IFERROR(FIND(" ",O39)-1,LEN(O39))))))</f>
        <v/>
      </c>
      <c r="O40" s="6597" t="str">
        <f t="shared" si="13"/>
        <v/>
      </c>
      <c r="P40" s="6598" t="str">
        <f t="shared" si="12"/>
        <v>ligne 40 ►</v>
      </c>
      <c r="Q40" s="6587" t="str">
        <f>IF(D40="","",IF(OR(D40=0,D40&lt;J17),0,IF(D40&gt;J17,(D40-J17)&amp;" car. en trop",(D40-J17)&amp;" car.")))</f>
        <v>129 car. en trop</v>
      </c>
      <c r="R40" s="6588" t="str">
        <f>IF(D40="","",ROUNDUP(D40/J17,0)&amp;" ligne(s)")</f>
        <v>4 ligne(s)</v>
      </c>
      <c r="T40" s="2730">
        <v>1</v>
      </c>
    </row>
    <row r="41" spans="2:20" ht="21" customHeight="1">
      <c r="B41" s="6589" t="str">
        <f t="shared" si="6"/>
        <v>A</v>
      </c>
      <c r="C41" s="6577" t="str">
        <f t="shared" si="4"/>
        <v>20 mots</v>
      </c>
      <c r="D41" s="6578">
        <f t="shared" si="11"/>
        <v>121</v>
      </c>
      <c r="E41" s="6593" t="s">
        <v>15488</v>
      </c>
      <c r="F41" s="6590" t="str">
        <f t="shared" si="5"/>
        <v xml:space="preserve"> ◄ ligne 41</v>
      </c>
      <c r="G41" s="6577" t="str">
        <f t="shared" si="7"/>
        <v>8 mots</v>
      </c>
      <c r="H41" s="6581" t="str">
        <f t="shared" si="8"/>
        <v>43 car. ►</v>
      </c>
      <c r="I41" s="6582" t="str">
        <f>IF(LEN(TRIM(N41))&gt;0,MAX(I29:I40)+1,"")</f>
        <v/>
      </c>
      <c r="J41" s="2873" t="str">
        <f>IFERROR(INDEX(N30:N299,MATCH(ROW()-ROW(N30)+1,I30:I299,0)),"")</f>
        <v xml:space="preserve">3 Dans une cocotte en fonte faites chauffer </v>
      </c>
      <c r="K41" s="6576"/>
      <c r="L41" s="6569"/>
      <c r="M41" s="6600"/>
      <c r="N41" s="6597" t="str">
        <f>IF(OR(O40="",M38=""),"",IF(LEN(O40)&lt;=M38,O40,IFERROR(LEFT(O40,FIND("♦",SUBSTITUTE(LEFT(O40,M38+1)," ","♦",LEN(LEFT(O40,M38+1))-LEN(SUBSTITUTE(LEFT(O40,M38+1)," ",""))))),LEFT(O40,IFERROR(FIND(" ",O40)-1,LEN(O40))))))</f>
        <v/>
      </c>
      <c r="O41" s="6597" t="str">
        <f t="shared" si="13"/>
        <v/>
      </c>
      <c r="P41" s="6598" t="str">
        <f t="shared" si="12"/>
        <v>ligne 41 ►</v>
      </c>
      <c r="Q41" s="6587" t="str">
        <f>IF(D41="","",IF(OR(D41=0,D41&lt;J17),0,IF(D41&gt;J17,(D41-J17)&amp;" car. en trop",(D41-J17)&amp;" car.")))</f>
        <v>71 car. en trop</v>
      </c>
      <c r="R41" s="6588" t="str">
        <f>IF(D41="","",ROUNDUP(D41/J17,0)&amp;" ligne(s)")</f>
        <v>3 ligne(s)</v>
      </c>
      <c r="T41" s="2730">
        <v>1</v>
      </c>
    </row>
    <row r="42" spans="2:20" ht="21" customHeight="1">
      <c r="B42" s="6589" t="str">
        <f t="shared" si="6"/>
        <v>A</v>
      </c>
      <c r="C42" s="6577" t="str">
        <f t="shared" si="4"/>
        <v>16 mots</v>
      </c>
      <c r="D42" s="6578">
        <f t="shared" si="11"/>
        <v>89</v>
      </c>
      <c r="E42" s="6593" t="s">
        <v>15489</v>
      </c>
      <c r="F42" s="6580" t="str">
        <f t="shared" si="5"/>
        <v xml:space="preserve"> ◄ ligne 42</v>
      </c>
      <c r="G42" s="6577" t="str">
        <f t="shared" si="7"/>
        <v>9 mots</v>
      </c>
      <c r="H42" s="6581" t="str">
        <f t="shared" si="8"/>
        <v>48 car. ►</v>
      </c>
      <c r="I42" s="6582" t="str">
        <f>IF(LEN(TRIM(N42))&gt;0,MAX(I29:I41)+1,"")</f>
        <v/>
      </c>
      <c r="J42" s="2873" t="str">
        <f>IFERROR(INDEX(N30:N299,MATCH(ROW()-ROW(N30)+1,I30:I299,0)),"")</f>
        <v xml:space="preserve">l’huile d’olive à feu moyen Ajoutez la viande et </v>
      </c>
      <c r="K42" s="6576"/>
      <c r="L42" s="6569"/>
      <c r="M42" s="6583" t="str">
        <f>(SUBSTITUTE(SUBSTITUTE(E32,CHAR(13)&amp;CHAR(10)," "),CHAR(10)," "))</f>
        <v/>
      </c>
      <c r="N42" s="6584" t="str">
        <f>IF(OR(M43="",M44=""),"",IF(LEN(M43)&lt;=M44,M43,IFERROR(LEFT(M43,FIND("♦",SUBSTITUTE(LEFT(M43,M44+1)," ","♦",LEN(LEFT(M43,M44+1))-LEN(SUBSTITUTE(LEFT(M43,M44+1)," ",""))))),LEFT(M43,IFERROR(FIND(" ",M43)-1,LEN(M43))))))</f>
        <v/>
      </c>
      <c r="O42" s="6585" t="str">
        <f>IF(N42="","",TRIM(RIGHT(M43,LEN(M43)-LEN(N42))))</f>
        <v/>
      </c>
      <c r="P42" s="6586" t="str">
        <f>F32</f>
        <v xml:space="preserve"> ◄ ligne 32</v>
      </c>
      <c r="Q42" s="6587" t="str">
        <f>IF(D42="","",IF(OR(D42=0,D42&lt;J17),0,IF(D42&gt;J17,(D42-J17)&amp;" car. en trop",(D42-J17)&amp;" car.")))</f>
        <v>39 car. en trop</v>
      </c>
      <c r="R42" s="6588" t="str">
        <f>IF(D42="","",ROUNDUP(D42/J17,0)&amp;" ligne(s)")</f>
        <v>2 ligne(s)</v>
      </c>
      <c r="T42" s="2730">
        <v>1</v>
      </c>
    </row>
    <row r="43" spans="2:20" ht="21" customHeight="1">
      <c r="B43" s="6589" t="str">
        <f t="shared" si="6"/>
        <v>A</v>
      </c>
      <c r="C43" s="6577" t="str">
        <f t="shared" si="4"/>
        <v>17 mots</v>
      </c>
      <c r="D43" s="6578">
        <f t="shared" si="11"/>
        <v>91</v>
      </c>
      <c r="E43" s="6593" t="s">
        <v>15490</v>
      </c>
      <c r="F43" s="6590" t="str">
        <f t="shared" si="5"/>
        <v xml:space="preserve"> ◄ ligne 43</v>
      </c>
      <c r="G43" s="6577" t="str">
        <f t="shared" si="7"/>
        <v>9 mots</v>
      </c>
      <c r="H43" s="6581" t="str">
        <f t="shared" si="8"/>
        <v>50 car. ►</v>
      </c>
      <c r="I43" s="6582" t="str">
        <f>IF(LEN(TRIM(N43))&gt;0,MAX(I29:I42)+1,"")</f>
        <v/>
      </c>
      <c r="J43" s="2873" t="str">
        <f>IFERROR(INDEX(N30:N299,MATCH(ROW()-ROW(N30)+1,I30:I299,0)),"")</f>
        <v xml:space="preserve">faites-la dorer de tous les côtés Retirez-la de la </v>
      </c>
      <c r="K43" s="6576"/>
      <c r="L43" s="6569"/>
      <c r="M43" s="6584" t="str">
        <f>TRIM(SUBSTITUTE(SUBSTITUTE(SUBSTITUTE(SUBSTITUTE(IF(OR(LEFT(M42,1)="-",LEFT(M42,1)="="),MID(M42,2,9999),M42),CHAR(160)," "),","," "),";"," "),"."," "))</f>
        <v/>
      </c>
      <c r="N43" s="6585" t="str">
        <f>IF(OR(O42="",M44=""),"",IF(LEN(O42)&lt;=M44,O42,IFERROR(LEFT(O42,FIND("♦",SUBSTITUTE(LEFT(O42,M44+1)," ","♦",LEN(LEFT(O42,M44+1))-LEN(SUBSTITUTE(LEFT(O42,M44+1)," ",""))))),LEFT(O42,IFERROR(FIND(" ",O42)-1,LEN(O42))))))</f>
        <v/>
      </c>
      <c r="O43" s="6585" t="str">
        <f>IF(N43="","",TRIM(RIGHT(O42,LEN(O42)-LEN(N43))))</f>
        <v/>
      </c>
      <c r="P43" s="6591" t="str">
        <f t="shared" ref="P43:P47" si="14">"ligne "&amp;ROW()&amp;" ►"</f>
        <v>ligne 43 ►</v>
      </c>
      <c r="Q43" s="6587" t="str">
        <f>IF(D43="","",IF(OR(D43=0,D43&lt;J17),0,IF(D43&gt;J17,(D43-J17)&amp;" car. en trop",(D43-J17)&amp;" car.")))</f>
        <v>41 car. en trop</v>
      </c>
      <c r="R43" s="6588" t="str">
        <f>IF(D43="","",ROUNDUP(D43/J17,0)&amp;" ligne(s)")</f>
        <v>2 ligne(s)</v>
      </c>
      <c r="T43" s="2730">
        <v>1</v>
      </c>
    </row>
    <row r="44" spans="2:20" ht="21" customHeight="1">
      <c r="B44" s="6589" t="str">
        <f t="shared" si="6"/>
        <v>A</v>
      </c>
      <c r="C44" s="6577" t="str">
        <f t="shared" si="4"/>
        <v/>
      </c>
      <c r="D44" s="6578" t="str">
        <f t="shared" si="11"/>
        <v/>
      </c>
      <c r="E44" s="6593"/>
      <c r="F44" s="6580" t="str">
        <f t="shared" si="5"/>
        <v xml:space="preserve"> ◄ ligne 44</v>
      </c>
      <c r="G44" s="6577" t="str">
        <f t="shared" si="7"/>
        <v>3 mots</v>
      </c>
      <c r="H44" s="6581" t="str">
        <f t="shared" si="8"/>
        <v>22 car. ►</v>
      </c>
      <c r="I44" s="6582" t="str">
        <f>IF(LEN(TRIM(N44))&gt;0,MAX(I29:I43)+1,"")</f>
        <v/>
      </c>
      <c r="J44" s="2873" t="str">
        <f>IFERROR(INDEX(N30:N299,MATCH(ROW()-ROW(N30)+1,I30:I299,0)),"")</f>
        <v>cocotte et réservez-la</v>
      </c>
      <c r="K44" s="6576"/>
      <c r="L44" s="6569"/>
      <c r="M44" s="6592">
        <f>J17</f>
        <v>50</v>
      </c>
      <c r="N44" s="6585" t="str">
        <f>IF(OR(O43="",M44=""),"",IF(LEN(O43)&lt;=M44,O43,IFERROR(LEFT(O43,FIND("♦",SUBSTITUTE(LEFT(O43,M44+1)," ","♦",LEN(LEFT(O43,M44+1))-LEN(SUBSTITUTE(LEFT(O43,M44+1)," ",""))))),LEFT(O43,IFERROR(FIND(" ",O43)-1,LEN(O43))))))</f>
        <v/>
      </c>
      <c r="O44" s="6585" t="str">
        <f t="shared" ref="O44:O47" si="15">IF(N44="","",TRIM(RIGHT(O43,LEN(O43)-LEN(N44))))</f>
        <v/>
      </c>
      <c r="P44" s="6591" t="str">
        <f t="shared" si="14"/>
        <v>ligne 44 ►</v>
      </c>
      <c r="Q44" s="6587" t="str">
        <f>IF(D44="","",IF(OR(D44=0,D44&lt;J17),0,IF(D44&gt;J17,(D44-J17)&amp;" car. en trop",(D44-J17)&amp;" car.")))</f>
        <v/>
      </c>
      <c r="R44" s="6588" t="str">
        <f>IF(D44="","",ROUNDUP(D44/J17,0)&amp;" ligne(s)")</f>
        <v/>
      </c>
      <c r="T44" s="2730">
        <v>1</v>
      </c>
    </row>
    <row r="45" spans="2:20" ht="21" customHeight="1">
      <c r="B45" s="6589" t="str">
        <f t="shared" si="6"/>
        <v>A</v>
      </c>
      <c r="C45" s="6577" t="str">
        <f t="shared" si="4"/>
        <v/>
      </c>
      <c r="D45" s="6578" t="str">
        <f t="shared" si="11"/>
        <v/>
      </c>
      <c r="E45" s="6593"/>
      <c r="F45" s="6590" t="str">
        <f t="shared" si="5"/>
        <v xml:space="preserve"> ◄ ligne 45</v>
      </c>
      <c r="G45" s="6577" t="str">
        <f t="shared" si="7"/>
        <v>9 mots</v>
      </c>
      <c r="H45" s="6581" t="str">
        <f t="shared" si="8"/>
        <v>49 car. ►</v>
      </c>
      <c r="I45" s="6582" t="str">
        <f>IF(LEN(TRIM(N45))&gt;0,MAX(I29:I44)+1,"")</f>
        <v/>
      </c>
      <c r="J45" s="2873" t="str">
        <f>IFERROR(INDEX(N30:N299,MATCH(ROW()-ROW(N30)+1,I30:I299,0)),"")</f>
        <v xml:space="preserve">4 Dans la même cocotte faites revenir les légumes </v>
      </c>
      <c r="K45" s="6576"/>
      <c r="L45" s="6569"/>
      <c r="M45" s="6584"/>
      <c r="N45" s="6585" t="str">
        <f>IF(OR(O44="",M44=""),"",IF(LEN(O44)&lt;=M44,O44,IFERROR(LEFT(O44,FIND("♦",SUBSTITUTE(LEFT(O44,M44+1)," ","♦",LEN(LEFT(O44,M44+1))-LEN(SUBSTITUTE(LEFT(O44,M44+1)," ",""))))),LEFT(O44,IFERROR(FIND(" ",O44)-1,LEN(O44))))))</f>
        <v/>
      </c>
      <c r="O45" s="6585" t="str">
        <f t="shared" si="15"/>
        <v/>
      </c>
      <c r="P45" s="6591" t="str">
        <f t="shared" si="14"/>
        <v>ligne 45 ►</v>
      </c>
      <c r="Q45" s="6587" t="str">
        <f>IF(D45="","",IF(OR(D45=0,D45&lt;J17),0,IF(D45&gt;J17,(D45-J17)&amp;" car. en trop",(D45-J17)&amp;" car.")))</f>
        <v/>
      </c>
      <c r="R45" s="6588" t="str">
        <f>IF(D45="","",ROUNDUP(D45/J17,0)&amp;" ligne(s)")</f>
        <v/>
      </c>
      <c r="T45" s="2730">
        <v>1</v>
      </c>
    </row>
    <row r="46" spans="2:20" ht="21" customHeight="1">
      <c r="B46" s="6589" t="str">
        <f t="shared" si="6"/>
        <v>A</v>
      </c>
      <c r="C46" s="6577" t="str">
        <f t="shared" si="4"/>
        <v/>
      </c>
      <c r="D46" s="6578" t="str">
        <f t="shared" si="11"/>
        <v/>
      </c>
      <c r="E46" s="6593"/>
      <c r="F46" s="6580" t="str">
        <f t="shared" si="5"/>
        <v xml:space="preserve"> ◄ ligne 46</v>
      </c>
      <c r="G46" s="6577" t="str">
        <f t="shared" si="7"/>
        <v>7 mots</v>
      </c>
      <c r="H46" s="6581" t="str">
        <f t="shared" si="8"/>
        <v>40 car. ►</v>
      </c>
      <c r="I46" s="6582" t="str">
        <f>IF(LEN(TRIM(N46))&gt;0,MAX(I29:I45)+1,"")</f>
        <v/>
      </c>
      <c r="J46" s="2873" t="str">
        <f>IFERROR(INDEX(N30:N299,MATCH(ROW()-ROW(N30)+1,I30:I299,0)),"")</f>
        <v xml:space="preserve">et les lardons pendant environ 5 minutes </v>
      </c>
      <c r="K46" s="6576"/>
      <c r="L46" s="6569"/>
      <c r="M46" s="6594"/>
      <c r="N46" s="6585" t="str">
        <f>IF(OR(O45="",M44=""),"",IF(LEN(O45)&lt;=M44,O45,IFERROR(LEFT(O45,FIND("♦",SUBSTITUTE(LEFT(O45,M44+1)," ","♦",LEN(LEFT(O45,M44+1))-LEN(SUBSTITUTE(LEFT(O45,M44+1)," ",""))))),LEFT(O45,IFERROR(FIND(" ",O45)-1,LEN(O45))))))</f>
        <v/>
      </c>
      <c r="O46" s="6585" t="str">
        <f t="shared" si="15"/>
        <v/>
      </c>
      <c r="P46" s="6591" t="str">
        <f t="shared" si="14"/>
        <v>ligne 46 ►</v>
      </c>
      <c r="Q46" s="6587" t="str">
        <f>IF(D46="","",IF(OR(D46=0,D46&lt;J17),0,IF(D46&gt;J17,(D46-J17)&amp;" car. en trop",(D46-J17)&amp;" car.")))</f>
        <v/>
      </c>
      <c r="R46" s="6588" t="str">
        <f>IF(D46="","",ROUNDUP(D46/J17,0)&amp;" ligne(s)")</f>
        <v/>
      </c>
      <c r="T46" s="2730">
        <v>1</v>
      </c>
    </row>
    <row r="47" spans="2:20" ht="21" customHeight="1">
      <c r="B47" s="6589" t="str">
        <f t="shared" si="6"/>
        <v>A</v>
      </c>
      <c r="C47" s="6577" t="str">
        <f t="shared" si="4"/>
        <v/>
      </c>
      <c r="D47" s="6578" t="str">
        <f t="shared" si="11"/>
        <v/>
      </c>
      <c r="E47" s="6593"/>
      <c r="F47" s="6590" t="str">
        <f t="shared" si="5"/>
        <v xml:space="preserve"> ◄ ligne 47</v>
      </c>
      <c r="G47" s="6577" t="str">
        <f t="shared" si="7"/>
        <v>6 mots</v>
      </c>
      <c r="H47" s="6581" t="str">
        <f t="shared" si="8"/>
        <v>37 car. ►</v>
      </c>
      <c r="I47" s="6582" t="str">
        <f>IF(LEN(TRIM(N47))&gt;0,MAX(I29:I46)+1,"")</f>
        <v/>
      </c>
      <c r="J47" s="2873" t="str">
        <f>IFERROR(INDEX(N30:N299,MATCH(ROW()-ROW(N30)+1,I30:I299,0)),"")</f>
        <v>Saupoudrez de farine et mélangez bien</v>
      </c>
      <c r="K47" s="6576"/>
      <c r="L47" s="6569"/>
      <c r="M47" s="6595"/>
      <c r="N47" s="6585" t="str">
        <f>IF(OR(O46="",M44=""),"",IF(LEN(O46)&lt;=M44,O46,IFERROR(LEFT(O46,FIND("♦",SUBSTITUTE(LEFT(O46,M44+1)," ","♦",LEN(LEFT(O46,M44+1))-LEN(SUBSTITUTE(LEFT(O46,M44+1)," ",""))))),LEFT(O46,IFERROR(FIND(" ",O46)-1,LEN(O46))))))</f>
        <v/>
      </c>
      <c r="O47" s="6585" t="str">
        <f t="shared" si="15"/>
        <v/>
      </c>
      <c r="P47" s="6591" t="str">
        <f t="shared" si="14"/>
        <v>ligne 47 ►</v>
      </c>
      <c r="Q47" s="6587" t="str">
        <f>IF(D47="","",IF(OR(D47=0,D47&lt;J17),0,IF(D47&gt;J17,(D47-J17)&amp;" car. en trop",(D47-J17)&amp;" car.")))</f>
        <v/>
      </c>
      <c r="R47" s="6588" t="str">
        <f>IF(D47="","",ROUNDUP(D47/J17,0)&amp;" ligne(s)")</f>
        <v/>
      </c>
      <c r="T47" s="2730">
        <v>1</v>
      </c>
    </row>
    <row r="48" spans="2:20" ht="21" customHeight="1">
      <c r="B48" s="6589" t="str">
        <f t="shared" si="6"/>
        <v>A</v>
      </c>
      <c r="C48" s="6577" t="str">
        <f t="shared" si="4"/>
        <v/>
      </c>
      <c r="D48" s="6578" t="str">
        <f t="shared" si="11"/>
        <v/>
      </c>
      <c r="E48" s="6593"/>
      <c r="F48" s="6580" t="str">
        <f t="shared" si="5"/>
        <v xml:space="preserve"> ◄ ligne 48</v>
      </c>
      <c r="G48" s="6577" t="str">
        <f t="shared" si="7"/>
        <v>10 mots</v>
      </c>
      <c r="H48" s="6581" t="str">
        <f t="shared" si="8"/>
        <v>49 car. ►</v>
      </c>
      <c r="I48" s="6582">
        <f>IF(LEN(TRIM(N48))&gt;0,MAX(I29:I47)+1,"")</f>
        <v>3</v>
      </c>
      <c r="J48" s="2873" t="str">
        <f>IFERROR(INDEX(N30:N299,MATCH(ROW()-ROW(N30)+1,I30:I299,0)),"")</f>
        <v xml:space="preserve">5 Remettez la viande dans la cocotte et versez la </v>
      </c>
      <c r="K48" s="6576"/>
      <c r="L48" s="6569"/>
      <c r="M48" s="6583" t="str">
        <f>(SUBSTITUTE(SUBSTITUTE(E33,CHAR(13)&amp;CHAR(10)," "),CHAR(10)," "))</f>
        <v>Portez à ébullition, puis baissez le feu et</v>
      </c>
      <c r="N48" s="6596" t="str">
        <f>IF(OR(M49="",M50=""),"",IF(LEN(M49)&lt;=M50,M49,IFERROR(LEFT(M49,FIND("♦",SUBSTITUTE(LEFT(M49,M50+1)," ","♦",LEN(LEFT(M49,M50+1))-LEN(SUBSTITUTE(LEFT(M49,M50+1)," ",""))))),LEFT(M49,IFERROR(FIND(" ",M49)-1,LEN(M49))))))</f>
        <v>Portez à ébullition puis baissez le feu et</v>
      </c>
      <c r="O48" s="6597" t="str">
        <f>IF(N48="","",TRIM(RIGHT(M49,LEN(M49)-LEN(N48))))</f>
        <v/>
      </c>
      <c r="P48" s="6586" t="str">
        <f>F33</f>
        <v xml:space="preserve"> ◄ ligne 33</v>
      </c>
      <c r="Q48" s="6587" t="str">
        <f>IF(D48="","",IF(OR(D48=0,D48&lt;J17),0,IF(D48&gt;J17,(D48-J17)&amp;" car. en trop",(D48-J17)&amp;" car.")))</f>
        <v/>
      </c>
      <c r="R48" s="6588" t="str">
        <f>IF(D48="","",ROUNDUP(D48/J17,0)&amp;" ligne(s)")</f>
        <v/>
      </c>
      <c r="T48" s="2730">
        <v>1</v>
      </c>
    </row>
    <row r="49" spans="2:20" ht="21" customHeight="1">
      <c r="B49" s="6589" t="str">
        <f t="shared" si="6"/>
        <v>A</v>
      </c>
      <c r="C49" s="6577" t="str">
        <f t="shared" si="4"/>
        <v/>
      </c>
      <c r="D49" s="6578" t="str">
        <f t="shared" si="11"/>
        <v/>
      </c>
      <c r="E49" s="6593"/>
      <c r="F49" s="6590" t="str">
        <f t="shared" si="5"/>
        <v xml:space="preserve"> ◄ ligne 49</v>
      </c>
      <c r="G49" s="6577" t="str">
        <f t="shared" si="7"/>
        <v>7 mots</v>
      </c>
      <c r="H49" s="6581" t="str">
        <f t="shared" si="8"/>
        <v>47 car. ►</v>
      </c>
      <c r="I49" s="6582" t="str">
        <f>IF(LEN(TRIM(N49))&gt;0,MAX(I29:I48)+1,"")</f>
        <v/>
      </c>
      <c r="J49" s="2873" t="str">
        <f>IFERROR(INDEX(N30:N299,MATCH(ROW()-ROW(N30)+1,I30:I299,0)),"")</f>
        <v xml:space="preserve">marinade filtrée par-dessus Ajoutez de l’eau si </v>
      </c>
      <c r="K49" s="6576"/>
      <c r="L49" s="6569"/>
      <c r="M49" s="6596" t="str">
        <f>TRIM(SUBSTITUTE(SUBSTITUTE(SUBSTITUTE(SUBSTITUTE(IF(OR(LEFT(M48,1)="-",LEFT(M48,1)="="),MID(M48,2,9999),M48),CHAR(160)," "),","," "),";"," "),"."," "))</f>
        <v>Portez à ébullition puis baissez le feu et</v>
      </c>
      <c r="N49" s="6597" t="str">
        <f>IF(OR(O48="",M50=""),"",IF(LEN(O48)&lt;=M50,O48,IFERROR(LEFT(O48,FIND("♦",SUBSTITUTE(LEFT(O48,M50+1)," ","♦",LEN(LEFT(O48,M50+1))-LEN(SUBSTITUTE(LEFT(O48,M50+1)," ",""))))),LEFT(O48,IFERROR(FIND(" ",O48)-1,LEN(O48))))))</f>
        <v/>
      </c>
      <c r="O49" s="6597" t="str">
        <f>IF(N49="","",TRIM(RIGHT(O48,LEN(O48)-LEN(N49))))</f>
        <v/>
      </c>
      <c r="P49" s="6598" t="str">
        <f t="shared" ref="P49:P53" si="16">"ligne "&amp;ROW()&amp;" ►"</f>
        <v>ligne 49 ►</v>
      </c>
      <c r="Q49" s="6587" t="str">
        <f>IF(D49="","",IF(OR(D49=0,D49&lt;J17),0,IF(D49&gt;J17,(D49-J17)&amp;" car. en trop",(D49-J17)&amp;" car.")))</f>
        <v/>
      </c>
      <c r="R49" s="6588" t="str">
        <f>IF(D49="","",ROUNDUP(D49/J17,0)&amp;" ligne(s)")</f>
        <v/>
      </c>
      <c r="T49" s="2730">
        <v>1</v>
      </c>
    </row>
    <row r="50" spans="2:20" ht="21" customHeight="1">
      <c r="B50" s="6589" t="str">
        <f t="shared" si="6"/>
        <v>A</v>
      </c>
      <c r="C50" s="6577" t="str">
        <f t="shared" si="4"/>
        <v/>
      </c>
      <c r="D50" s="6578" t="str">
        <f t="shared" si="11"/>
        <v/>
      </c>
      <c r="E50" s="6593"/>
      <c r="F50" s="6580" t="str">
        <f t="shared" si="5"/>
        <v xml:space="preserve"> ◄ ligne 50</v>
      </c>
      <c r="G50" s="6577" t="str">
        <f t="shared" si="7"/>
        <v>7 mots</v>
      </c>
      <c r="H50" s="6581" t="str">
        <f t="shared" si="8"/>
        <v>44 car. ►</v>
      </c>
      <c r="I50" s="6582" t="str">
        <f>IF(LEN(TRIM(N50))&gt;0,MAX(I29:I49)+1,"")</f>
        <v/>
      </c>
      <c r="J50" s="2873" t="str">
        <f>IFERROR(INDEX(N30:N299,MATCH(ROW()-ROW(N30)+1,I30:I299,0)),"")</f>
        <v xml:space="preserve">nécessaire pour recouvrir la viande Salez et </v>
      </c>
      <c r="K50" s="6576"/>
      <c r="L50" s="6569"/>
      <c r="M50" s="6592">
        <f>J17</f>
        <v>50</v>
      </c>
      <c r="N50" s="6597" t="str">
        <f>IF(OR(O49="",M50=""),"",IF(LEN(O49)&lt;=M50,O49,IFERROR(LEFT(O49,FIND("♦",SUBSTITUTE(LEFT(O49,M50+1)," ","♦",LEN(LEFT(O49,M50+1))-LEN(SUBSTITUTE(LEFT(O49,M50+1)," ",""))))),LEFT(O49,IFERROR(FIND(" ",O49)-1,LEN(O49))))))</f>
        <v/>
      </c>
      <c r="O50" s="6597" t="str">
        <f t="shared" ref="O50:O53" si="17">IF(N50="","",TRIM(RIGHT(O49,LEN(O49)-LEN(N50))))</f>
        <v/>
      </c>
      <c r="P50" s="6598" t="str">
        <f t="shared" si="16"/>
        <v>ligne 50 ►</v>
      </c>
      <c r="Q50" s="6587" t="str">
        <f>IF(D50="","",IF(OR(D50=0,D50&lt;J17),0,IF(D50&gt;J17,(D50-J17)&amp;" car. en trop",(D50-J17)&amp;" car.")))</f>
        <v/>
      </c>
      <c r="R50" s="6588" t="str">
        <f>IF(D50="","",ROUNDUP(D50/J17,0)&amp;" ligne(s)")</f>
        <v/>
      </c>
      <c r="T50" s="2730">
        <v>1</v>
      </c>
    </row>
    <row r="51" spans="2:20" ht="21" customHeight="1">
      <c r="B51" s="6589" t="str">
        <f t="shared" si="6"/>
        <v>A</v>
      </c>
      <c r="C51" s="6577" t="str">
        <f t="shared" si="4"/>
        <v/>
      </c>
      <c r="D51" s="6578" t="str">
        <f t="shared" si="11"/>
        <v/>
      </c>
      <c r="E51" s="6593"/>
      <c r="F51" s="6590" t="str">
        <f t="shared" si="5"/>
        <v xml:space="preserve"> ◄ ligne 51</v>
      </c>
      <c r="G51" s="6577" t="str">
        <f t="shared" si="7"/>
        <v>1 mot</v>
      </c>
      <c r="H51" s="6581" t="str">
        <f t="shared" si="8"/>
        <v>7 car. ►</v>
      </c>
      <c r="I51" s="6582" t="str">
        <f>IF(LEN(TRIM(N51))&gt;0,MAX(I29:I50)+1,"")</f>
        <v/>
      </c>
      <c r="J51" s="2873" t="str">
        <f>IFERROR(INDEX(N30:N299,MATCH(ROW()-ROW(N30)+1,I30:I299,0)),"")</f>
        <v>poivrez</v>
      </c>
      <c r="K51" s="6576"/>
      <c r="L51" s="6569"/>
      <c r="M51" s="6596"/>
      <c r="N51" s="6597" t="str">
        <f>IF(OR(O50="",M50=""),"",IF(LEN(O50)&lt;=M50,O50,IFERROR(LEFT(O50,FIND("♦",SUBSTITUTE(LEFT(O50,M50+1)," ","♦",LEN(LEFT(O50,M50+1))-LEN(SUBSTITUTE(LEFT(O50,M50+1)," ",""))))),LEFT(O50,IFERROR(FIND(" ",O50)-1,LEN(O50))))))</f>
        <v/>
      </c>
      <c r="O51" s="6597" t="str">
        <f t="shared" si="17"/>
        <v/>
      </c>
      <c r="P51" s="6598" t="str">
        <f t="shared" si="16"/>
        <v>ligne 51 ►</v>
      </c>
      <c r="Q51" s="6587" t="str">
        <f>IF(D51="","",IF(OR(D51=0,D51&lt;J17),0,IF(D51&gt;J17,(D51-J17)&amp;" car. en trop",(D51-J17)&amp;" car.")))</f>
        <v/>
      </c>
      <c r="R51" s="6588" t="str">
        <f>IF(D51="","",ROUNDUP(D51/J17,0)&amp;" ligne(s)")</f>
        <v/>
      </c>
      <c r="T51" s="2730">
        <v>1</v>
      </c>
    </row>
    <row r="52" spans="2:20" ht="21" customHeight="1">
      <c r="B52" s="6589" t="str">
        <f t="shared" si="6"/>
        <v>A</v>
      </c>
      <c r="C52" s="6577" t="str">
        <f t="shared" si="4"/>
        <v/>
      </c>
      <c r="D52" s="6578" t="str">
        <f t="shared" si="11"/>
        <v/>
      </c>
      <c r="E52" s="6593"/>
      <c r="F52" s="6580" t="str">
        <f t="shared" si="5"/>
        <v xml:space="preserve"> ◄ ligne 52</v>
      </c>
      <c r="G52" s="6577" t="str">
        <f t="shared" si="7"/>
        <v>9 mots</v>
      </c>
      <c r="H52" s="6581" t="str">
        <f t="shared" si="8"/>
        <v>44 car. ►</v>
      </c>
      <c r="I52" s="6582" t="str">
        <f>IF(LEN(TRIM(N52))&gt;0,MAX(I29:I51)+1,"")</f>
        <v/>
      </c>
      <c r="J52" s="2873" t="str">
        <f>IFERROR(INDEX(N30:N299,MATCH(ROW()-ROW(N30)+1,I30:I299,0)),"")</f>
        <v xml:space="preserve">6 Portez à ébullition puis baissez le feu et </v>
      </c>
      <c r="K52" s="6576"/>
      <c r="L52" s="6569"/>
      <c r="M52" s="6599"/>
      <c r="N52" s="6597" t="str">
        <f>IF(OR(O51="",M50=""),"",IF(LEN(O51)&lt;=M50,O51,IFERROR(LEFT(O51,FIND("♦",SUBSTITUTE(LEFT(O51,M50+1)," ","♦",LEN(LEFT(O51,M50+1))-LEN(SUBSTITUTE(LEFT(O51,M50+1)," ",""))))),LEFT(O51,IFERROR(FIND(" ",O51)-1,LEN(O51))))))</f>
        <v/>
      </c>
      <c r="O52" s="6597" t="str">
        <f t="shared" si="17"/>
        <v/>
      </c>
      <c r="P52" s="6598" t="str">
        <f t="shared" si="16"/>
        <v>ligne 52 ►</v>
      </c>
      <c r="Q52" s="6587" t="str">
        <f>IF(D52="","",IF(OR(D52=0,D52&lt;J17),0,IF(D52&gt;J17,(D52-J17)&amp;" car. en trop",(D52-J17)&amp;" car.")))</f>
        <v/>
      </c>
      <c r="R52" s="6588" t="str">
        <f>IF(D52="","",ROUNDUP(D52/J17,0)&amp;" ligne(s)")</f>
        <v/>
      </c>
      <c r="T52" s="2730">
        <v>1</v>
      </c>
    </row>
    <row r="53" spans="2:20" ht="21" customHeight="1">
      <c r="B53" s="6589" t="str">
        <f t="shared" si="6"/>
        <v>A</v>
      </c>
      <c r="C53" s="6577" t="str">
        <f t="shared" si="4"/>
        <v/>
      </c>
      <c r="D53" s="6578" t="str">
        <f t="shared" si="11"/>
        <v/>
      </c>
      <c r="E53" s="6593"/>
      <c r="F53" s="6590" t="str">
        <f t="shared" si="5"/>
        <v xml:space="preserve"> ◄ ligne 53</v>
      </c>
      <c r="G53" s="6577" t="str">
        <f t="shared" si="7"/>
        <v>8 mots</v>
      </c>
      <c r="H53" s="6581" t="str">
        <f t="shared" si="8"/>
        <v>44 car. ►</v>
      </c>
      <c r="I53" s="6582" t="str">
        <f>IF(LEN(TRIM(N53))&gt;0,MAX(I29:I52)+1,"")</f>
        <v/>
      </c>
      <c r="J53" s="2873" t="str">
        <f>IFERROR(INDEX(N30:N299,MATCH(ROW()-ROW(N30)+1,I30:I299,0)),"")</f>
        <v xml:space="preserve">laissez mijoter à feu doux pendant environ 3 </v>
      </c>
      <c r="K53" s="6576"/>
      <c r="L53" s="6569"/>
      <c r="M53" s="6600"/>
      <c r="N53" s="6597" t="str">
        <f>IF(OR(O52="",M50=""),"",IF(LEN(O52)&lt;=M50,O52,IFERROR(LEFT(O52,FIND("♦",SUBSTITUTE(LEFT(O52,M50+1)," ","♦",LEN(LEFT(O52,M50+1))-LEN(SUBSTITUTE(LEFT(O52,M50+1)," ",""))))),LEFT(O52,IFERROR(FIND(" ",O52)-1,LEN(O52))))))</f>
        <v/>
      </c>
      <c r="O53" s="6597" t="str">
        <f t="shared" si="17"/>
        <v/>
      </c>
      <c r="P53" s="6598" t="str">
        <f t="shared" si="16"/>
        <v>ligne 53 ►</v>
      </c>
      <c r="Q53" s="6587" t="str">
        <f>IF(D53="","",IF(OR(D53=0,D53&lt;J17),0,IF(D53&gt;J17,(D53-J17)&amp;" car. en trop",(D53-J17)&amp;" car.")))</f>
        <v/>
      </c>
      <c r="R53" s="6588" t="str">
        <f>IF(D53="","",ROUNDUP(D53/J17,0)&amp;" ligne(s)")</f>
        <v/>
      </c>
      <c r="T53" s="2730">
        <v>1</v>
      </c>
    </row>
    <row r="54" spans="2:20" ht="21" customHeight="1">
      <c r="B54" s="6589" t="str">
        <f t="shared" si="6"/>
        <v>A</v>
      </c>
      <c r="C54" s="6577" t="str">
        <f t="shared" si="4"/>
        <v/>
      </c>
      <c r="D54" s="6578" t="str">
        <f t="shared" si="11"/>
        <v/>
      </c>
      <c r="E54" s="6593"/>
      <c r="F54" s="6580" t="str">
        <f t="shared" si="5"/>
        <v xml:space="preserve"> ◄ ligne 54</v>
      </c>
      <c r="G54" s="6577" t="str">
        <f t="shared" si="7"/>
        <v>10 mots</v>
      </c>
      <c r="H54" s="6581" t="str">
        <f t="shared" si="8"/>
        <v>50 car. ►</v>
      </c>
      <c r="I54" s="6582" t="str">
        <f>IF(LEN(TRIM(N54))&gt;0,MAX(I29:I53)+1,"")</f>
        <v/>
      </c>
      <c r="J54" s="2873" t="str">
        <f>IFERROR(INDEX(N30:N299,MATCH(ROW()-ROW(N30)+1,I30:I299,0)),"")</f>
        <v xml:space="preserve">heures en remuant de temps en temps La viande doit </v>
      </c>
      <c r="K54" s="6576"/>
      <c r="L54" s="6569"/>
      <c r="M54" s="6583" t="str">
        <f>(SUBSTITUTE(SUBSTITUTE(E34,CHAR(13)&amp;CHAR(10)," "),CHAR(10)," "))</f>
        <v/>
      </c>
      <c r="N54" s="6584" t="str">
        <f>IF(OR(M55="",M56=""),"",IF(LEN(M55)&lt;=M56,M55,IFERROR(LEFT(M55,FIND("♦",SUBSTITUTE(LEFT(M55,M56+1)," ","♦",LEN(LEFT(M55,M56+1))-LEN(SUBSTITUTE(LEFT(M55,M56+1)," ",""))))),LEFT(M55,IFERROR(FIND(" ",M55)-1,LEN(M55))))))</f>
        <v/>
      </c>
      <c r="O54" s="6585" t="str">
        <f>IF(N54="","",TRIM(RIGHT(M55,LEN(M55)-LEN(N54))))</f>
        <v/>
      </c>
      <c r="P54" s="6586" t="str">
        <f>F34</f>
        <v xml:space="preserve"> ◄ ligne 34</v>
      </c>
      <c r="Q54" s="6587" t="str">
        <f>IF(D54="","",IF(OR(D54=0,D54&lt;J17),0,IF(D54&gt;J17,(D54-J17)&amp;" car. en trop",(D54-J17)&amp;" car.")))</f>
        <v/>
      </c>
      <c r="R54" s="6588" t="str">
        <f>IF(D54="","",ROUNDUP(D54/J17,0)&amp;" ligne(s)")</f>
        <v/>
      </c>
      <c r="T54" s="2730">
        <v>1</v>
      </c>
    </row>
    <row r="55" spans="2:20" ht="21" customHeight="1">
      <c r="B55" s="6589" t="str">
        <f t="shared" si="6"/>
        <v>A</v>
      </c>
      <c r="C55" s="6577" t="str">
        <f t="shared" si="4"/>
        <v/>
      </c>
      <c r="D55" s="6578" t="str">
        <f t="shared" si="11"/>
        <v/>
      </c>
      <c r="E55" s="6593"/>
      <c r="F55" s="6590" t="str">
        <f t="shared" si="5"/>
        <v xml:space="preserve"> ◄ ligne 55</v>
      </c>
      <c r="G55" s="6577" t="str">
        <f t="shared" si="7"/>
        <v>6 mots</v>
      </c>
      <c r="H55" s="6581" t="str">
        <f t="shared" si="8"/>
        <v>33 car. ►</v>
      </c>
      <c r="I55" s="6582" t="str">
        <f>IF(LEN(TRIM(N55))&gt;0,MAX(I29:I54)+1,"")</f>
        <v/>
      </c>
      <c r="J55" s="2873" t="str">
        <f>IFERROR(INDEX(N30:N299,MATCH(ROW()-ROW(N30)+1,I30:I299,0)),"")</f>
        <v>être tendre et la sauce onctueuse</v>
      </c>
      <c r="K55" s="6576"/>
      <c r="L55" s="6569"/>
      <c r="M55" s="6584" t="str">
        <f>TRIM(SUBSTITUTE(SUBSTITUTE(SUBSTITUTE(SUBSTITUTE(IF(OR(LEFT(M54,1)="-",LEFT(M54,1)="="),MID(M54,2,9999),M54),CHAR(160)," "),","," "),";"," "),"."," "))</f>
        <v/>
      </c>
      <c r="N55" s="6585" t="str">
        <f>IF(OR(O54="",M56=""),"",IF(LEN(O54)&lt;=M56,O54,IFERROR(LEFT(O54,FIND("♦",SUBSTITUTE(LEFT(O54,M56+1)," ","♦",LEN(LEFT(O54,M56+1))-LEN(SUBSTITUTE(LEFT(O54,M56+1)," ",""))))),LEFT(O54,IFERROR(FIND(" ",O54)-1,LEN(O54))))))</f>
        <v/>
      </c>
      <c r="O55" s="6585" t="str">
        <f>IF(N55="","",TRIM(RIGHT(O54,LEN(O54)-LEN(N55))))</f>
        <v/>
      </c>
      <c r="P55" s="6591" t="str">
        <f t="shared" ref="P55:P59" si="18">"ligne "&amp;ROW()&amp;" ►"</f>
        <v>ligne 55 ►</v>
      </c>
      <c r="Q55" s="6587" t="str">
        <f>IF(D55="","",IF(OR(D55=0,D55&lt;J17),0,IF(D55&gt;J17,(D55-J17)&amp;" car. en trop",(D55-J17)&amp;" car.")))</f>
        <v/>
      </c>
      <c r="R55" s="6588" t="str">
        <f>IF(D55="","",ROUNDUP(D55/J17,0)&amp;" ligne(s)")</f>
        <v/>
      </c>
      <c r="T55" s="2730">
        <v>1</v>
      </c>
    </row>
    <row r="56" spans="2:20" ht="21" customHeight="1">
      <c r="B56" s="6589" t="str">
        <f t="shared" si="6"/>
        <v>A</v>
      </c>
      <c r="C56" s="6577" t="str">
        <f t="shared" si="4"/>
        <v/>
      </c>
      <c r="D56" s="6578" t="str">
        <f t="shared" si="11"/>
        <v/>
      </c>
      <c r="E56" s="6593"/>
      <c r="F56" s="6580" t="str">
        <f t="shared" si="5"/>
        <v xml:space="preserve"> ◄ ligne 56</v>
      </c>
      <c r="G56" s="6577" t="str">
        <f t="shared" si="7"/>
        <v>8 mots</v>
      </c>
      <c r="H56" s="6581" t="str">
        <f t="shared" si="8"/>
        <v>49 car. ►</v>
      </c>
      <c r="I56" s="6582" t="str">
        <f>IF(LEN(TRIM(N56))&gt;0,MAX(I29:I55)+1,"")</f>
        <v/>
      </c>
      <c r="J56" s="2873" t="str">
        <f>IFERROR(INDEX(N30:N299,MATCH(ROW()-ROW(N30)+1,I30:I299,0)),"")</f>
        <v xml:space="preserve">7 Pendant ce temps faites revenir les champignons </v>
      </c>
      <c r="K56" s="6576"/>
      <c r="L56" s="6569"/>
      <c r="M56" s="6592">
        <f>J17</f>
        <v>50</v>
      </c>
      <c r="N56" s="6585" t="str">
        <f>IF(OR(O55="",M56=""),"",IF(LEN(O55)&lt;=M56,O55,IFERROR(LEFT(O55,FIND("♦",SUBSTITUTE(LEFT(O55,M56+1)," ","♦",LEN(LEFT(O55,M56+1))-LEN(SUBSTITUTE(LEFT(O55,M56+1)," ",""))))),LEFT(O55,IFERROR(FIND(" ",O55)-1,LEN(O55))))))</f>
        <v/>
      </c>
      <c r="O56" s="6585" t="str">
        <f t="shared" ref="O56:O59" si="19">IF(N56="","",TRIM(RIGHT(O55,LEN(O55)-LEN(N56))))</f>
        <v/>
      </c>
      <c r="P56" s="6591" t="str">
        <f t="shared" si="18"/>
        <v>ligne 56 ►</v>
      </c>
      <c r="Q56" s="6587" t="str">
        <f>IF(D56="","",IF(OR(D56=0,D56&lt;J17),0,IF(D56&gt;J17,(D56-J17)&amp;" car. en trop",(D56-J17)&amp;" car.")))</f>
        <v/>
      </c>
      <c r="R56" s="6588" t="str">
        <f>IF(D56="","",ROUNDUP(D56/J17,0)&amp;" ligne(s)")</f>
        <v/>
      </c>
      <c r="T56" s="2730">
        <v>1</v>
      </c>
    </row>
    <row r="57" spans="2:20" ht="21" customHeight="1">
      <c r="B57" s="6589" t="str">
        <f t="shared" si="6"/>
        <v>A</v>
      </c>
      <c r="C57" s="6577" t="str">
        <f t="shared" si="4"/>
        <v/>
      </c>
      <c r="D57" s="6578" t="str">
        <f t="shared" si="11"/>
        <v/>
      </c>
      <c r="E57" s="6593"/>
      <c r="F57" s="6590" t="str">
        <f t="shared" si="5"/>
        <v xml:space="preserve"> ◄ ligne 57</v>
      </c>
      <c r="G57" s="6577" t="str">
        <f t="shared" si="7"/>
        <v>9 mots</v>
      </c>
      <c r="H57" s="6581" t="str">
        <f t="shared" si="8"/>
        <v>50 car. ►</v>
      </c>
      <c r="I57" s="6582" t="str">
        <f>IF(LEN(TRIM(N57))&gt;0,MAX(I29:I56)+1,"")</f>
        <v/>
      </c>
      <c r="J57" s="2873" t="str">
        <f>IFERROR(INDEX(N30:N299,MATCH(ROW()-ROW(N30)+1,I30:I299,0)),"")</f>
        <v xml:space="preserve">dans une poêle avec un peu d’huile d’olive pendant </v>
      </c>
      <c r="K57" s="6576"/>
      <c r="L57" s="6569"/>
      <c r="M57" s="6584"/>
      <c r="N57" s="6585" t="str">
        <f>IF(OR(O56="",M56=""),"",IF(LEN(O56)&lt;=M56,O56,IFERROR(LEFT(O56,FIND("♦",SUBSTITUTE(LEFT(O56,M56+1)," ","♦",LEN(LEFT(O56,M56+1))-LEN(SUBSTITUTE(LEFT(O56,M56+1)," ",""))))),LEFT(O56,IFERROR(FIND(" ",O56)-1,LEN(O56))))))</f>
        <v/>
      </c>
      <c r="O57" s="6585" t="str">
        <f t="shared" si="19"/>
        <v/>
      </c>
      <c r="P57" s="6591" t="str">
        <f t="shared" si="18"/>
        <v>ligne 57 ►</v>
      </c>
      <c r="Q57" s="6587" t="str">
        <f>IF(D57="","",IF(OR(D57=0,D57&lt;J17),0,IF(D57&gt;J17,(D57-J17)&amp;" car. en trop",(D57-J17)&amp;" car.")))</f>
        <v/>
      </c>
      <c r="R57" s="6588" t="str">
        <f>IF(D57="","",ROUNDUP(D57/J17,0)&amp;" ligne(s)")</f>
        <v/>
      </c>
      <c r="T57" s="2730">
        <v>1</v>
      </c>
    </row>
    <row r="58" spans="2:20" ht="21" customHeight="1">
      <c r="B58" s="6589" t="str">
        <f t="shared" si="6"/>
        <v>A</v>
      </c>
      <c r="C58" s="6577" t="str">
        <f t="shared" si="4"/>
        <v/>
      </c>
      <c r="D58" s="6578" t="str">
        <f t="shared" si="11"/>
        <v/>
      </c>
      <c r="E58" s="6593"/>
      <c r="F58" s="6580" t="str">
        <f t="shared" si="5"/>
        <v xml:space="preserve"> ◄ ligne 58</v>
      </c>
      <c r="G58" s="6577" t="str">
        <f t="shared" si="7"/>
        <v>3 mots</v>
      </c>
      <c r="H58" s="6581" t="str">
        <f t="shared" si="8"/>
        <v>17 car. ►</v>
      </c>
      <c r="I58" s="6582" t="str">
        <f>IF(LEN(TRIM(N58))&gt;0,MAX(I29:I57)+1,"")</f>
        <v/>
      </c>
      <c r="J58" s="2873" t="str">
        <f>IFERROR(INDEX(N30:N299,MATCH(ROW()-ROW(N30)+1,I30:I299,0)),"")</f>
        <v>environ 5 minutes</v>
      </c>
      <c r="K58" s="6576"/>
      <c r="L58" s="6569"/>
      <c r="M58" s="6594"/>
      <c r="N58" s="6585" t="str">
        <f>IF(OR(O57="",M56=""),"",IF(LEN(O57)&lt;=M56,O57,IFERROR(LEFT(O57,FIND("♦",SUBSTITUTE(LEFT(O57,M56+1)," ","♦",LEN(LEFT(O57,M56+1))-LEN(SUBSTITUTE(LEFT(O57,M56+1)," ",""))))),LEFT(O57,IFERROR(FIND(" ",O57)-1,LEN(O57))))))</f>
        <v/>
      </c>
      <c r="O58" s="6585" t="str">
        <f t="shared" si="19"/>
        <v/>
      </c>
      <c r="P58" s="6591" t="str">
        <f t="shared" si="18"/>
        <v>ligne 58 ►</v>
      </c>
      <c r="Q58" s="6587" t="str">
        <f>IF(D58="","",IF(OR(D58=0,D58&lt;J17),0,IF(D58&gt;J17,(D58-J17)&amp;" car. en trop",(D58-J17)&amp;" car.")))</f>
        <v/>
      </c>
      <c r="R58" s="6588" t="str">
        <f>IF(D58="","",ROUNDUP(D58/J17,0)&amp;" ligne(s)")</f>
        <v/>
      </c>
      <c r="T58" s="2730">
        <v>1</v>
      </c>
    </row>
    <row r="59" spans="2:20" ht="21" customHeight="1">
      <c r="B59" s="6589" t="str">
        <f t="shared" si="6"/>
        <v>A</v>
      </c>
      <c r="C59" s="6577" t="str">
        <f t="shared" si="4"/>
        <v/>
      </c>
      <c r="D59" s="6578" t="str">
        <f t="shared" si="11"/>
        <v/>
      </c>
      <c r="E59" s="6593"/>
      <c r="F59" s="6590" t="str">
        <f t="shared" si="5"/>
        <v xml:space="preserve"> ◄ ligne 59</v>
      </c>
      <c r="G59" s="6577" t="str">
        <f t="shared" si="7"/>
        <v>8 mots</v>
      </c>
      <c r="H59" s="6581" t="str">
        <f t="shared" si="8"/>
        <v>49 car. ►</v>
      </c>
      <c r="I59" s="6582" t="str">
        <f>IF(LEN(TRIM(N59))&gt;0,MAX(I29:I58)+1,"")</f>
        <v/>
      </c>
      <c r="J59" s="2873" t="str">
        <f>IFERROR(INDEX(N30:N299,MATCH(ROW()-ROW(N30)+1,I30:I299,0)),"")</f>
        <v xml:space="preserve">8 Ajoutez les champignons dans la cocotte environ </v>
      </c>
      <c r="K59" s="6576"/>
      <c r="L59" s="6569"/>
      <c r="M59" s="6595"/>
      <c r="N59" s="6585" t="str">
        <f>IF(OR(O58="",M56=""),"",IF(LEN(O58)&lt;=M56,O58,IFERROR(LEFT(O58,FIND("♦",SUBSTITUTE(LEFT(O58,M56+1)," ","♦",LEN(LEFT(O58,M56+1))-LEN(SUBSTITUTE(LEFT(O58,M56+1)," ",""))))),LEFT(O58,IFERROR(FIND(" ",O58)-1,LEN(O58))))))</f>
        <v/>
      </c>
      <c r="O59" s="6585" t="str">
        <f t="shared" si="19"/>
        <v/>
      </c>
      <c r="P59" s="6591" t="str">
        <f t="shared" si="18"/>
        <v>ligne 59 ►</v>
      </c>
      <c r="Q59" s="6587" t="str">
        <f>IF(D59="","",IF(OR(D59=0,D59&lt;J17),0,IF(D59&gt;J17,(D59-J17)&amp;" car. en trop",(D59-J17)&amp;" car.")))</f>
        <v/>
      </c>
      <c r="R59" s="6588" t="str">
        <f>IF(D59="","",ROUNDUP(D59/J17,0)&amp;" ligne(s)")</f>
        <v/>
      </c>
      <c r="T59" s="2730">
        <v>1</v>
      </c>
    </row>
    <row r="60" spans="2:20" ht="21" customHeight="1">
      <c r="B60" s="6589" t="str">
        <f t="shared" si="6"/>
        <v>A</v>
      </c>
      <c r="C60" s="6577" t="str">
        <f t="shared" si="4"/>
        <v/>
      </c>
      <c r="D60" s="6578" t="str">
        <f t="shared" si="11"/>
        <v/>
      </c>
      <c r="E60" s="6593"/>
      <c r="F60" s="6580" t="str">
        <f t="shared" si="5"/>
        <v xml:space="preserve"> ◄ ligne 60</v>
      </c>
      <c r="G60" s="6577" t="str">
        <f t="shared" si="7"/>
        <v>8 mots</v>
      </c>
      <c r="H60" s="6581" t="str">
        <f t="shared" si="8"/>
        <v>37 car. ►</v>
      </c>
      <c r="I60" s="6582">
        <f>IF(LEN(TRIM(N60))&gt;0,MAX(I29:I59)+1,"")</f>
        <v>4</v>
      </c>
      <c r="J60" s="2873" t="str">
        <f>IFERROR(INDEX(N30:N299,MATCH(ROW()-ROW(N30)+1,I30:I299,0)),"")</f>
        <v>30 minutes avant la fin de la cuisson</v>
      </c>
      <c r="K60" s="6576"/>
      <c r="L60" s="6569"/>
      <c r="M60" s="6583" t="str">
        <f>(SUBSTITUTE(SUBSTITUTE(E35,CHAR(13)&amp;CHAR(10)," "),CHAR(10)," "))</f>
        <v>1. Coupez la viande en cubes d’environ 4 cm et mettez-la dans un grand saladier. Ajoutez-y les oignons coupés en rondelles, les carottes coupées en rondelles, les lardons, l’ail émincé et le bouquet garni. Versez le vin rouge sur le tout et laissez mariner au frais pendant 24 heures.</v>
      </c>
      <c r="N60" s="6596" t="str">
        <f>IF(OR(M61="",M62=""),"",IF(LEN(M61)&lt;=M62,M61,IFERROR(LEFT(M61,FIND("♦",SUBSTITUTE(LEFT(M61,M62+1)," ","♦",LEN(LEFT(M61,M62+1))-LEN(SUBSTITUTE(LEFT(M61,M62+1)," ",""))))),LEFT(M61,IFERROR(FIND(" ",M61)-1,LEN(M61))))))</f>
        <v xml:space="preserve">1 Coupez la viande en cubes d’environ 4 cm et </v>
      </c>
      <c r="O60" s="6597" t="str">
        <f>IF(N60="","",TRIM(RIGHT(M61,LEN(M61)-LEN(N60))))</f>
        <v>mettez-la dans un grand saladier Ajoutez-y les oignons coupés en rondelles les carottes coupées en rondelles les lardons l’ail émincé et le bouquet garni Versez le vin rouge sur le tout et laissez mariner au frais pendant 24 heures</v>
      </c>
      <c r="P60" s="6586" t="str">
        <f>F35</f>
        <v xml:space="preserve"> ◄ ligne 35</v>
      </c>
      <c r="Q60" s="6587" t="str">
        <f>IF(D60="","",IF(OR(D60=0,D60&lt;J17),0,IF(D60&gt;J17,(D60-J17)&amp;" car. en trop",(D60-J17)&amp;" car.")))</f>
        <v/>
      </c>
      <c r="R60" s="6588" t="str">
        <f>IF(D60="","",ROUNDUP(D60/J17,0)&amp;" ligne(s)")</f>
        <v/>
      </c>
      <c r="T60" s="2730">
        <v>1</v>
      </c>
    </row>
    <row r="61" spans="2:20" ht="21" customHeight="1">
      <c r="B61" s="6589" t="str">
        <f t="shared" si="6"/>
        <v>A</v>
      </c>
      <c r="C61" s="6577" t="str">
        <f t="shared" si="4"/>
        <v/>
      </c>
      <c r="D61" s="6578" t="str">
        <f t="shared" si="11"/>
        <v/>
      </c>
      <c r="E61" s="6593"/>
      <c r="F61" s="6590" t="str">
        <f t="shared" si="5"/>
        <v xml:space="preserve"> ◄ ligne 61</v>
      </c>
      <c r="G61" s="6577" t="str">
        <f t="shared" si="7"/>
        <v>8 mots</v>
      </c>
      <c r="H61" s="6581" t="str">
        <f t="shared" si="8"/>
        <v>50 car. ►</v>
      </c>
      <c r="I61" s="6582">
        <f>IF(LEN(TRIM(N61))&gt;0,MAX(I29:I60)+1,"")</f>
        <v>5</v>
      </c>
      <c r="J61" s="2873" t="str">
        <f>IFERROR(INDEX(N30:N299,MATCH(ROW()-ROW(N30)+1,I30:I299,0)),"")</f>
        <v xml:space="preserve">9 Servez le bœuf bourguignon bien chaud accompagné </v>
      </c>
      <c r="K61" s="6576"/>
      <c r="L61" s="6569"/>
      <c r="M61" s="6596" t="str">
        <f>TRIM(SUBSTITUTE(SUBSTITUTE(SUBSTITUTE(SUBSTITUTE(IF(OR(LEFT(M60,1)="-",LEFT(M60,1)="="),MID(M60,2,9999),M60),CHAR(160)," "),","," "),";"," "),"."," "))</f>
        <v>1 Coupez la viande en cubes d’environ 4 cm et mettez-la dans un grand saladier Ajoutez-y les oignons coupés en rondelles les carottes coupées en rondelles les lardons l’ail émincé et le bouquet garni Versez le vin rouge sur le tout et laissez mariner au frais pendant 24 heures</v>
      </c>
      <c r="N61" s="6597" t="str">
        <f>IF(OR(O60="",M62=""),"",IF(LEN(O60)&lt;=M62,O60,IFERROR(LEFT(O60,FIND("♦",SUBSTITUTE(LEFT(O60,M62+1)," ","♦",LEN(LEFT(O60,M62+1))-LEN(SUBSTITUTE(LEFT(O60,M62+1)," ",""))))),LEFT(O60,IFERROR(FIND(" ",O60)-1,LEN(O60))))))</f>
        <v xml:space="preserve">mettez-la dans un grand saladier Ajoutez-y les </v>
      </c>
      <c r="O61" s="6597" t="str">
        <f>IF(N61="","",TRIM(RIGHT(O60,LEN(O60)-LEN(N61))))</f>
        <v>oignons coupés en rondelles les carottes coupées en rondelles les lardons l’ail émincé et le bouquet garni Versez le vin rouge sur le tout et laissez mariner au frais pendant 24 heures</v>
      </c>
      <c r="P61" s="6598" t="str">
        <f t="shared" ref="P61:P65" si="20">"ligne "&amp;ROW()&amp;" ►"</f>
        <v>ligne 61 ►</v>
      </c>
      <c r="Q61" s="6587" t="str">
        <f>IF(D61="","",IF(OR(D61=0,D61&lt;J17),0,IF(D61&gt;J17,(D61-J17)&amp;" car. en trop",(D61-J17)&amp;" car.")))</f>
        <v/>
      </c>
      <c r="R61" s="6588" t="str">
        <f>IF(D61="","",ROUNDUP(D61/J17,0)&amp;" ligne(s)")</f>
        <v/>
      </c>
      <c r="T61" s="2730">
        <v>1</v>
      </c>
    </row>
    <row r="62" spans="2:20" ht="21" customHeight="1">
      <c r="B62" s="6589" t="str">
        <f t="shared" si="6"/>
        <v>A</v>
      </c>
      <c r="C62" s="6577" t="str">
        <f t="shared" si="4"/>
        <v/>
      </c>
      <c r="D62" s="6578" t="str">
        <f t="shared" si="11"/>
        <v/>
      </c>
      <c r="E62" s="6593"/>
      <c r="F62" s="6580" t="str">
        <f t="shared" si="5"/>
        <v xml:space="preserve"> ◄ ligne 62</v>
      </c>
      <c r="G62" s="6577" t="str">
        <f t="shared" si="7"/>
        <v>9 mots</v>
      </c>
      <c r="H62" s="6581" t="str">
        <f t="shared" si="8"/>
        <v>37 car. ►</v>
      </c>
      <c r="I62" s="6582">
        <f>IF(LEN(TRIM(N62))&gt;0,MAX(I29:I61)+1,"")</f>
        <v>6</v>
      </c>
      <c r="J62" s="2873" t="str">
        <f>IFERROR(INDEX(N30:N299,MATCH(ROW()-ROW(N30)+1,I30:I299,0)),"")</f>
        <v>de pommes de terre de pâtes ou de riz</v>
      </c>
      <c r="K62" s="6576"/>
      <c r="L62" s="6569"/>
      <c r="M62" s="6592">
        <f>J17</f>
        <v>50</v>
      </c>
      <c r="N62" s="6597" t="str">
        <f>IF(OR(O61="",M62=""),"",IF(LEN(O61)&lt;=M62,O61,IFERROR(LEFT(O61,FIND("♦",SUBSTITUTE(LEFT(O61,M62+1)," ","♦",LEN(LEFT(O61,M62+1))-LEN(SUBSTITUTE(LEFT(O61,M62+1)," ",""))))),LEFT(O61,IFERROR(FIND(" ",O61)-1,LEN(O61))))))</f>
        <v xml:space="preserve">oignons coupés en rondelles les carottes coupées </v>
      </c>
      <c r="O62" s="6597" t="str">
        <f t="shared" ref="O62:O65" si="21">IF(N62="","",TRIM(RIGHT(O61,LEN(O61)-LEN(N62))))</f>
        <v>en rondelles les lardons l’ail émincé et le bouquet garni Versez le vin rouge sur le tout et laissez mariner au frais pendant 24 heures</v>
      </c>
      <c r="P62" s="6598" t="str">
        <f t="shared" si="20"/>
        <v>ligne 62 ►</v>
      </c>
      <c r="Q62" s="6587" t="str">
        <f>IF(D62="","",IF(OR(D62=0,D62&lt;J17),0,IF(D62&gt;J17,(D62-J17)&amp;" car. en trop",(D62-J17)&amp;" car.")))</f>
        <v/>
      </c>
      <c r="R62" s="6588" t="str">
        <f>IF(D62="","",ROUNDUP(D62/J17,0)&amp;" ligne(s)")</f>
        <v/>
      </c>
      <c r="T62" s="2730">
        <v>1</v>
      </c>
    </row>
    <row r="63" spans="2:20" ht="21" customHeight="1">
      <c r="B63" s="6589" t="str">
        <f>IF(OR(LEN(J63)&gt;1),"A", "►")</f>
        <v>►</v>
      </c>
      <c r="C63" s="6577" t="str">
        <f t="shared" si="4"/>
        <v/>
      </c>
      <c r="D63" s="6578" t="str">
        <f t="shared" si="11"/>
        <v/>
      </c>
      <c r="E63" s="6593"/>
      <c r="F63" s="6590" t="str">
        <f t="shared" si="5"/>
        <v xml:space="preserve"> ◄ ligne 63</v>
      </c>
      <c r="G63" s="6577" t="str">
        <f t="shared" si="7"/>
        <v/>
      </c>
      <c r="H63" s="6581" t="str">
        <f t="shared" si="8"/>
        <v/>
      </c>
      <c r="I63" s="6582">
        <f>IF(LEN(TRIM(N63))&gt;0,MAX(I29:I62)+1,"")</f>
        <v>7</v>
      </c>
      <c r="J63" s="2873" t="str">
        <f>IFERROR(INDEX(N30:N299,MATCH(ROW()-ROW(N30)+1,I30:I299,0)),"")</f>
        <v/>
      </c>
      <c r="K63" s="6576"/>
      <c r="L63" s="6569"/>
      <c r="M63" s="6596"/>
      <c r="N63" s="6597" t="str">
        <f>IF(OR(O62="",M62=""),"",IF(LEN(O62)&lt;=M62,O62,IFERROR(LEFT(O62,FIND("♦",SUBSTITUTE(LEFT(O62,M62+1)," ","♦",LEN(LEFT(O62,M62+1))-LEN(SUBSTITUTE(LEFT(O62,M62+1)," ",""))))),LEFT(O62,IFERROR(FIND(" ",O62)-1,LEN(O62))))))</f>
        <v xml:space="preserve">en rondelles les lardons l’ail émincé et le </v>
      </c>
      <c r="O63" s="6597" t="str">
        <f t="shared" si="21"/>
        <v>bouquet garni Versez le vin rouge sur le tout et laissez mariner au frais pendant 24 heures</v>
      </c>
      <c r="P63" s="6598" t="str">
        <f t="shared" si="20"/>
        <v>ligne 63 ►</v>
      </c>
      <c r="Q63" s="6587" t="str">
        <f>IF(D63="","",IF(OR(D63=0,D63&lt;J17),0,IF(D63&gt;J17,(D63-J17)&amp;" car. en trop",(D63-J17)&amp;" car.")))</f>
        <v/>
      </c>
      <c r="R63" s="6588" t="str">
        <f>IF(D63="","",ROUNDUP(D63/J17,0)&amp;" ligne(s)")</f>
        <v/>
      </c>
      <c r="T63" s="2730">
        <v>1</v>
      </c>
    </row>
    <row r="64" spans="2:20" ht="21" customHeight="1">
      <c r="B64" s="6589" t="str">
        <f t="shared" si="6"/>
        <v>►</v>
      </c>
      <c r="C64" s="6577" t="str">
        <f t="shared" si="4"/>
        <v/>
      </c>
      <c r="D64" s="6578" t="str">
        <f t="shared" si="11"/>
        <v/>
      </c>
      <c r="E64" s="6593"/>
      <c r="F64" s="6580" t="str">
        <f t="shared" si="5"/>
        <v xml:space="preserve"> ◄ ligne 64</v>
      </c>
      <c r="G64" s="6577" t="str">
        <f t="shared" si="7"/>
        <v/>
      </c>
      <c r="H64" s="6581" t="str">
        <f t="shared" si="8"/>
        <v/>
      </c>
      <c r="I64" s="6582">
        <f>IF(LEN(TRIM(N64))&gt;0,MAX(I29:I63)+1,"")</f>
        <v>8</v>
      </c>
      <c r="J64" s="2873" t="str">
        <f>IFERROR(INDEX(N30:N299,MATCH(ROW()-ROW(N30)+1,I30:I299,0)),"")</f>
        <v/>
      </c>
      <c r="K64" s="6576"/>
      <c r="L64" s="6569"/>
      <c r="M64" s="6599"/>
      <c r="N64" s="6597" t="str">
        <f>IF(OR(O63="",M62=""),"",IF(LEN(O63)&lt;=M62,O63,IFERROR(LEFT(O63,FIND("♦",SUBSTITUTE(LEFT(O63,M62+1)," ","♦",LEN(LEFT(O63,M62+1))-LEN(SUBSTITUTE(LEFT(O63,M62+1)," ",""))))),LEFT(O63,IFERROR(FIND(" ",O63)-1,LEN(O63))))))</f>
        <v xml:space="preserve">bouquet garni Versez le vin rouge sur le tout et </v>
      </c>
      <c r="O64" s="6597" t="str">
        <f t="shared" si="21"/>
        <v>laissez mariner au frais pendant 24 heures</v>
      </c>
      <c r="P64" s="6598" t="str">
        <f t="shared" si="20"/>
        <v>ligne 64 ►</v>
      </c>
      <c r="Q64" s="6587" t="str">
        <f>IF(D64="","",IF(OR(D64=0,D64&lt;J17),0,IF(D64&gt;J17,(D64-J17)&amp;" car. en trop",(D64-J17)&amp;" car.")))</f>
        <v/>
      </c>
      <c r="R64" s="6588" t="str">
        <f>IF(D64="","",ROUNDUP(D64/J17,0)&amp;" ligne(s)")</f>
        <v/>
      </c>
      <c r="T64" s="2730">
        <v>1</v>
      </c>
    </row>
    <row r="65" spans="2:20" ht="21" customHeight="1">
      <c r="B65" s="6589" t="str">
        <f t="shared" si="6"/>
        <v>►</v>
      </c>
      <c r="C65" s="6577" t="str">
        <f t="shared" si="4"/>
        <v/>
      </c>
      <c r="D65" s="6578" t="str">
        <f t="shared" si="11"/>
        <v/>
      </c>
      <c r="E65" s="6593"/>
      <c r="F65" s="6590" t="str">
        <f t="shared" si="5"/>
        <v xml:space="preserve"> ◄ ligne 65</v>
      </c>
      <c r="G65" s="6577" t="str">
        <f t="shared" si="7"/>
        <v/>
      </c>
      <c r="H65" s="6581" t="str">
        <f t="shared" si="8"/>
        <v/>
      </c>
      <c r="I65" s="6582">
        <f>IF(LEN(TRIM(N65))&gt;0,MAX(I29:I64)+1,"")</f>
        <v>9</v>
      </c>
      <c r="J65" s="2873" t="str">
        <f>IFERROR(INDEX(N30:N299,MATCH(ROW()-ROW(N30)+1,I30:I299,0)),"")</f>
        <v/>
      </c>
      <c r="K65" s="6576"/>
      <c r="L65" s="6569"/>
      <c r="M65" s="6600"/>
      <c r="N65" s="6597" t="str">
        <f>IF(OR(O64="",M62=""),"",IF(LEN(O64)&lt;=M62,O64,IFERROR(LEFT(O64,FIND("♦",SUBSTITUTE(LEFT(O64,M62+1)," ","♦",LEN(LEFT(O64,M62+1))-LEN(SUBSTITUTE(LEFT(O64,M62+1)," ",""))))),LEFT(O64,IFERROR(FIND(" ",O64)-1,LEN(O64))))))</f>
        <v>laissez mariner au frais pendant 24 heures</v>
      </c>
      <c r="O65" s="6597" t="str">
        <f t="shared" si="21"/>
        <v/>
      </c>
      <c r="P65" s="6598" t="str">
        <f t="shared" si="20"/>
        <v>ligne 65 ►</v>
      </c>
      <c r="Q65" s="6587" t="str">
        <f>IF(D65="","",IF(OR(D65=0,D65&lt;J17),0,IF(D65&gt;J17,(D65-J17)&amp;" car. en trop",(D65-J17)&amp;" car.")))</f>
        <v/>
      </c>
      <c r="R65" s="6588" t="str">
        <f>IF(D65="","",ROUNDUP(D65/J17,0)&amp;" ligne(s)")</f>
        <v/>
      </c>
      <c r="T65" s="2730">
        <v>1</v>
      </c>
    </row>
    <row r="66" spans="2:20" ht="21" customHeight="1">
      <c r="B66" s="6589" t="str">
        <f t="shared" si="6"/>
        <v>►</v>
      </c>
      <c r="C66" s="6577" t="str">
        <f t="shared" si="4"/>
        <v/>
      </c>
      <c r="D66" s="6578" t="str">
        <f t="shared" si="11"/>
        <v/>
      </c>
      <c r="E66" s="6593"/>
      <c r="F66" s="6580" t="str">
        <f t="shared" si="5"/>
        <v xml:space="preserve"> ◄ ligne 66</v>
      </c>
      <c r="G66" s="6577" t="str">
        <f t="shared" si="7"/>
        <v/>
      </c>
      <c r="H66" s="6581" t="str">
        <f t="shared" si="8"/>
        <v/>
      </c>
      <c r="I66" s="6582">
        <f>IF(LEN(TRIM(N66))&gt;0,MAX(I29:I65)+1,"")</f>
        <v>10</v>
      </c>
      <c r="J66" s="2873" t="str">
        <f>IFERROR(INDEX(N30:N299,MATCH(ROW()-ROW(N30)+1,I30:I299,0)),"")</f>
        <v/>
      </c>
      <c r="K66" s="6576"/>
      <c r="L66" s="6569"/>
      <c r="M66" s="6583" t="str">
        <f>(SUBSTITUTE(SUBSTITUTE(E36,CHAR(13)&amp;CHAR(10)," "),CHAR(10)," "))</f>
        <v>2. Le lendemain, sortez la viande et les légumes de la marinade et égouttez-les. Réservez la marinade.</v>
      </c>
      <c r="N66" s="6584" t="str">
        <f>IF(OR(M67="",M68=""),"",IF(LEN(M67)&lt;=M68,M67,IFERROR(LEFT(M67,FIND("♦",SUBSTITUTE(LEFT(M67,M68+1)," ","♦",LEN(LEFT(M67,M68+1))-LEN(SUBSTITUTE(LEFT(M67,M68+1)," ",""))))),LEFT(M67,IFERROR(FIND(" ",M67)-1,LEN(M67))))))</f>
        <v xml:space="preserve">2 Le lendemain sortez la viande et les légumes de </v>
      </c>
      <c r="O66" s="6585" t="str">
        <f>IF(N66="","",TRIM(RIGHT(M67,LEN(M67)-LEN(N66))))</f>
        <v>la marinade et égouttez-les Réservez la marinade</v>
      </c>
      <c r="P66" s="6586" t="str">
        <f>F36</f>
        <v xml:space="preserve"> ◄ ligne 36</v>
      </c>
      <c r="Q66" s="6587" t="str">
        <f>IF(D66="","",IF(OR(D66=0,D66&lt;J17),0,IF(D66&gt;J17,(D66-J17)&amp;" car. en trop",(D66-J17)&amp;" car.")))</f>
        <v/>
      </c>
      <c r="R66" s="6588" t="str">
        <f>IF(D66="","",ROUNDUP(D66/J17,0)&amp;" ligne(s)")</f>
        <v/>
      </c>
      <c r="T66" s="2730">
        <v>1</v>
      </c>
    </row>
    <row r="67" spans="2:20" ht="21" customHeight="1">
      <c r="B67" s="6589" t="str">
        <f t="shared" si="6"/>
        <v>►</v>
      </c>
      <c r="C67" s="6577" t="str">
        <f t="shared" si="4"/>
        <v/>
      </c>
      <c r="D67" s="6578" t="str">
        <f t="shared" si="11"/>
        <v/>
      </c>
      <c r="E67" s="6593"/>
      <c r="F67" s="6590" t="str">
        <f t="shared" si="5"/>
        <v xml:space="preserve"> ◄ ligne 67</v>
      </c>
      <c r="G67" s="6577" t="str">
        <f t="shared" si="7"/>
        <v/>
      </c>
      <c r="H67" s="6581" t="str">
        <f t="shared" si="8"/>
        <v/>
      </c>
      <c r="I67" s="6582">
        <f>IF(LEN(TRIM(N67))&gt;0,MAX(I29:I66)+1,"")</f>
        <v>11</v>
      </c>
      <c r="J67" s="2873" t="str">
        <f>IFERROR(INDEX(N30:N299,MATCH(ROW()-ROW(N30)+1,I30:I299,0)),"")</f>
        <v/>
      </c>
      <c r="K67" s="6576"/>
      <c r="L67" s="6569"/>
      <c r="M67" s="6584" t="str">
        <f>TRIM(SUBSTITUTE(SUBSTITUTE(SUBSTITUTE(SUBSTITUTE(IF(OR(LEFT(M66,1)="-",LEFT(M66,1)="="),MID(M66,2,9999),M66),CHAR(160)," "),","," "),";"," "),"."," "))</f>
        <v>2 Le lendemain sortez la viande et les légumes de la marinade et égouttez-les Réservez la marinade</v>
      </c>
      <c r="N67" s="6585" t="str">
        <f>IF(OR(O66="",M68=""),"",IF(LEN(O66)&lt;=M68,O66,IFERROR(LEFT(O66,FIND("♦",SUBSTITUTE(LEFT(O66,M68+1)," ","♦",LEN(LEFT(O66,M68+1))-LEN(SUBSTITUTE(LEFT(O66,M68+1)," ",""))))),LEFT(O66,IFERROR(FIND(" ",O66)-1,LEN(O66))))))</f>
        <v>la marinade et égouttez-les Réservez la marinade</v>
      </c>
      <c r="O67" s="6585" t="str">
        <f>IF(N67="","",TRIM(RIGHT(O66,LEN(O66)-LEN(N67))))</f>
        <v/>
      </c>
      <c r="P67" s="6591" t="str">
        <f t="shared" ref="P67:P71" si="22">"ligne "&amp;ROW()&amp;" ►"</f>
        <v>ligne 67 ►</v>
      </c>
      <c r="Q67" s="6587" t="str">
        <f>IF(D67="","",IF(OR(D67=0,D67&lt;J17),0,IF(D67&gt;J17,(D67-J17)&amp;" car. en trop",(D67-J17)&amp;" car.")))</f>
        <v/>
      </c>
      <c r="R67" s="6588" t="str">
        <f>IF(D67="","",ROUNDUP(D67/J17,0)&amp;" ligne(s)")</f>
        <v/>
      </c>
      <c r="T67" s="2730">
        <v>1</v>
      </c>
    </row>
    <row r="68" spans="2:20" ht="21" customHeight="1">
      <c r="B68" s="6589" t="str">
        <f t="shared" si="6"/>
        <v>►</v>
      </c>
      <c r="C68" s="6577" t="str">
        <f t="shared" si="4"/>
        <v/>
      </c>
      <c r="D68" s="6578" t="str">
        <f t="shared" si="11"/>
        <v/>
      </c>
      <c r="E68" s="6593"/>
      <c r="F68" s="6580" t="str">
        <f t="shared" si="5"/>
        <v xml:space="preserve"> ◄ ligne 68</v>
      </c>
      <c r="G68" s="6577" t="str">
        <f t="shared" si="7"/>
        <v/>
      </c>
      <c r="H68" s="6581" t="str">
        <f t="shared" si="8"/>
        <v/>
      </c>
      <c r="I68" s="6582" t="str">
        <f>IF(LEN(TRIM(N68))&gt;0,MAX(I29:I67)+1,"")</f>
        <v/>
      </c>
      <c r="J68" s="2873" t="str">
        <f>IFERROR(INDEX(N30:N299,MATCH(ROW()-ROW(N30)+1,I30:I299,0)),"")</f>
        <v/>
      </c>
      <c r="K68" s="6576"/>
      <c r="L68" s="6569"/>
      <c r="M68" s="6592">
        <f>J17</f>
        <v>50</v>
      </c>
      <c r="N68" s="6585" t="str">
        <f>IF(OR(O67="",M68=""),"",IF(LEN(O67)&lt;=M68,O67,IFERROR(LEFT(O67,FIND("♦",SUBSTITUTE(LEFT(O67,M68+1)," ","♦",LEN(LEFT(O67,M68+1))-LEN(SUBSTITUTE(LEFT(O67,M68+1)," ",""))))),LEFT(O67,IFERROR(FIND(" ",O67)-1,LEN(O67))))))</f>
        <v/>
      </c>
      <c r="O68" s="6585" t="str">
        <f t="shared" ref="O68:O71" si="23">IF(N68="","",TRIM(RIGHT(O67,LEN(O67)-LEN(N68))))</f>
        <v/>
      </c>
      <c r="P68" s="6591" t="str">
        <f t="shared" si="22"/>
        <v>ligne 68 ►</v>
      </c>
      <c r="Q68" s="6587" t="str">
        <f>IF(D68="","",IF(OR(D68=0,D68&lt;J17),0,IF(D68&gt;J17,(D68-J17)&amp;" car. en trop",(D68-J17)&amp;" car.")))</f>
        <v/>
      </c>
      <c r="R68" s="6588" t="str">
        <f>IF(D68="","",ROUNDUP(D68/J17,0)&amp;" ligne(s)")</f>
        <v/>
      </c>
      <c r="T68" s="2730">
        <v>1</v>
      </c>
    </row>
    <row r="69" spans="2:20" ht="21" customHeight="1">
      <c r="B69" s="6589" t="str">
        <f t="shared" si="6"/>
        <v>►</v>
      </c>
      <c r="C69" s="6577" t="str">
        <f t="shared" si="4"/>
        <v/>
      </c>
      <c r="D69" s="6578" t="str">
        <f t="shared" si="11"/>
        <v/>
      </c>
      <c r="E69" s="6593"/>
      <c r="F69" s="6590" t="str">
        <f t="shared" si="5"/>
        <v xml:space="preserve"> ◄ ligne 69</v>
      </c>
      <c r="G69" s="6577" t="str">
        <f t="shared" si="7"/>
        <v/>
      </c>
      <c r="H69" s="6581" t="str">
        <f t="shared" si="8"/>
        <v/>
      </c>
      <c r="I69" s="6582" t="str">
        <f>IF(LEN(TRIM(N69))&gt;0,MAX(I29:I68)+1,"")</f>
        <v/>
      </c>
      <c r="J69" s="2873" t="str">
        <f>IFERROR(INDEX(N30:N299,MATCH(ROW()-ROW(N30)+1,I30:I299,0)),"")</f>
        <v/>
      </c>
      <c r="K69" s="6576"/>
      <c r="L69" s="6569"/>
      <c r="M69" s="6584"/>
      <c r="N69" s="6585" t="str">
        <f>IF(OR(O68="",M68=""),"",IF(LEN(O68)&lt;=M68,O68,IFERROR(LEFT(O68,FIND("♦",SUBSTITUTE(LEFT(O68,M68+1)," ","♦",LEN(LEFT(O68,M68+1))-LEN(SUBSTITUTE(LEFT(O68,M68+1)," ",""))))),LEFT(O68,IFERROR(FIND(" ",O68)-1,LEN(O68))))))</f>
        <v/>
      </c>
      <c r="O69" s="6585" t="str">
        <f t="shared" si="23"/>
        <v/>
      </c>
      <c r="P69" s="6591" t="str">
        <f t="shared" si="22"/>
        <v>ligne 69 ►</v>
      </c>
      <c r="Q69" s="6587" t="str">
        <f>IF(D69="","",IF(OR(D69=0,D69&lt;J17),0,IF(D69&gt;J17,(D69-J17)&amp;" car. en trop",(D69-J17)&amp;" car.")))</f>
        <v/>
      </c>
      <c r="R69" s="6588" t="str">
        <f>IF(D69="","",ROUNDUP(D69/J17,0)&amp;" ligne(s)")</f>
        <v/>
      </c>
      <c r="T69" s="2730">
        <v>1</v>
      </c>
    </row>
    <row r="70" spans="2:20" ht="21" customHeight="1">
      <c r="B70" s="6589" t="str">
        <f t="shared" si="6"/>
        <v>►</v>
      </c>
      <c r="C70" s="6577" t="str">
        <f t="shared" si="4"/>
        <v/>
      </c>
      <c r="D70" s="6578" t="str">
        <f t="shared" si="11"/>
        <v/>
      </c>
      <c r="E70" s="6593"/>
      <c r="F70" s="6580" t="str">
        <f t="shared" si="5"/>
        <v xml:space="preserve"> ◄ ligne 70</v>
      </c>
      <c r="G70" s="6577" t="str">
        <f t="shared" si="7"/>
        <v/>
      </c>
      <c r="H70" s="6581" t="str">
        <f t="shared" si="8"/>
        <v/>
      </c>
      <c r="I70" s="6582" t="str">
        <f>IF(LEN(TRIM(N70))&gt;0,MAX(I29:I69)+1,"")</f>
        <v/>
      </c>
      <c r="J70" s="2873" t="str">
        <f>IFERROR(INDEX(N30:N299,MATCH(ROW()-ROW(N30)+1,I30:I299,0)),"")</f>
        <v/>
      </c>
      <c r="K70" s="6576"/>
      <c r="L70" s="6569"/>
      <c r="M70" s="6594"/>
      <c r="N70" s="6585" t="str">
        <f>IF(OR(O69="",M68=""),"",IF(LEN(O69)&lt;=M68,O69,IFERROR(LEFT(O69,FIND("♦",SUBSTITUTE(LEFT(O69,M68+1)," ","♦",LEN(LEFT(O69,M68+1))-LEN(SUBSTITUTE(LEFT(O69,M68+1)," ",""))))),LEFT(O69,IFERROR(FIND(" ",O69)-1,LEN(O69))))))</f>
        <v/>
      </c>
      <c r="O70" s="6585" t="str">
        <f t="shared" si="23"/>
        <v/>
      </c>
      <c r="P70" s="6591" t="str">
        <f t="shared" si="22"/>
        <v>ligne 70 ►</v>
      </c>
      <c r="Q70" s="6587" t="str">
        <f>IF(D70="","",IF(OR(D70=0,D70&lt;J17),0,IF(D70&gt;J17,(D70-J17)&amp;" car. en trop",(D70-J17)&amp;" car.")))</f>
        <v/>
      </c>
      <c r="R70" s="6588" t="str">
        <f>IF(D70="","",ROUNDUP(D70/J17,0)&amp;" ligne(s)")</f>
        <v/>
      </c>
      <c r="T70" s="2730">
        <v>1</v>
      </c>
    </row>
    <row r="71" spans="2:20" ht="21" customHeight="1">
      <c r="B71" s="6589" t="str">
        <f t="shared" si="6"/>
        <v>►</v>
      </c>
      <c r="C71" s="6577" t="str">
        <f t="shared" si="4"/>
        <v/>
      </c>
      <c r="D71" s="6578" t="str">
        <f t="shared" si="11"/>
        <v/>
      </c>
      <c r="E71" s="6593"/>
      <c r="F71" s="6590" t="str">
        <f t="shared" si="5"/>
        <v xml:space="preserve"> ◄ ligne 71</v>
      </c>
      <c r="G71" s="6577" t="str">
        <f t="shared" si="7"/>
        <v/>
      </c>
      <c r="H71" s="6581" t="str">
        <f t="shared" si="8"/>
        <v/>
      </c>
      <c r="I71" s="6582" t="str">
        <f>IF(LEN(TRIM(N71))&gt;0,MAX(I29:I70)+1,"")</f>
        <v/>
      </c>
      <c r="J71" s="2873" t="str">
        <f>IFERROR(INDEX(N30:N299,MATCH(ROW()-ROW(N30)+1,I30:I299,0)),"")</f>
        <v/>
      </c>
      <c r="K71" s="6576"/>
      <c r="L71" s="6569"/>
      <c r="M71" s="6595"/>
      <c r="N71" s="6585" t="str">
        <f>IF(OR(O70="",M68=""),"",IF(LEN(O70)&lt;=M68,O70,IFERROR(LEFT(O70,FIND("♦",SUBSTITUTE(LEFT(O70,M68+1)," ","♦",LEN(LEFT(O70,M68+1))-LEN(SUBSTITUTE(LEFT(O70,M68+1)," ",""))))),LEFT(O70,IFERROR(FIND(" ",O70)-1,LEN(O70))))))</f>
        <v/>
      </c>
      <c r="O71" s="6585" t="str">
        <f t="shared" si="23"/>
        <v/>
      </c>
      <c r="P71" s="6591" t="str">
        <f t="shared" si="22"/>
        <v>ligne 71 ►</v>
      </c>
      <c r="Q71" s="6587" t="str">
        <f>IF(D71="","",IF(OR(D71=0,D71&lt;J17),0,IF(D71&gt;J17,(D71-J17)&amp;" car. en trop",(D71-J17)&amp;" car.")))</f>
        <v/>
      </c>
      <c r="R71" s="6588" t="str">
        <f>IF(D71="","",ROUNDUP(D71/J17,0)&amp;" ligne(s)")</f>
        <v/>
      </c>
      <c r="T71" s="2730">
        <v>1</v>
      </c>
    </row>
    <row r="72" spans="2:20" ht="21" customHeight="1">
      <c r="B72" s="6589" t="str">
        <f t="shared" si="6"/>
        <v>►</v>
      </c>
      <c r="C72" s="6577" t="str">
        <f t="shared" si="4"/>
        <v/>
      </c>
      <c r="D72" s="6578" t="str">
        <f t="shared" si="11"/>
        <v/>
      </c>
      <c r="E72" s="6593"/>
      <c r="F72" s="6580" t="str">
        <f t="shared" si="5"/>
        <v xml:space="preserve"> ◄ ligne 72</v>
      </c>
      <c r="G72" s="6577" t="str">
        <f t="shared" si="7"/>
        <v/>
      </c>
      <c r="H72" s="6581" t="str">
        <f t="shared" si="8"/>
        <v/>
      </c>
      <c r="I72" s="6582">
        <f>IF(LEN(TRIM(N72))&gt;0,MAX(I29:I71)+1,"")</f>
        <v>12</v>
      </c>
      <c r="J72" s="2873" t="str">
        <f>IFERROR(INDEX(N30:N299,MATCH(ROW()-ROW(N30)+1,I30:I299,0)),"")</f>
        <v/>
      </c>
      <c r="K72" s="6576"/>
      <c r="L72" s="6569"/>
      <c r="M72" s="6583" t="str">
        <f>(SUBSTITUTE(SUBSTITUTE(E37,CHAR(13)&amp;CHAR(10)," "),CHAR(10)," "))</f>
        <v>3. Dans une cocotte en fonte, faites chauffer l’huile d’olive à feu moyen. Ajoutez la viande et faites-la dorer de tous les côtés. Retirez-la de la cocotte et réservez-la.</v>
      </c>
      <c r="N72" s="6596" t="str">
        <f>IF(OR(M73="",M74=""),"",IF(LEN(M73)&lt;=M74,M73,IFERROR(LEFT(M73,FIND("♦",SUBSTITUTE(LEFT(M73,M74+1)," ","♦",LEN(LEFT(M73,M74+1))-LEN(SUBSTITUTE(LEFT(M73,M74+1)," ",""))))),LEFT(M73,IFERROR(FIND(" ",M73)-1,LEN(M73))))))</f>
        <v xml:space="preserve">3 Dans une cocotte en fonte faites chauffer </v>
      </c>
      <c r="O72" s="6597" t="str">
        <f>IF(N72="","",TRIM(RIGHT(M73,LEN(M73)-LEN(N72))))</f>
        <v>l’huile d’olive à feu moyen Ajoutez la viande et faites-la dorer de tous les côtés Retirez-la de la cocotte et réservez-la</v>
      </c>
      <c r="P72" s="6586" t="str">
        <f>F37</f>
        <v xml:space="preserve"> ◄ ligne 37</v>
      </c>
      <c r="Q72" s="6587" t="str">
        <f>IF(D72="","",IF(OR(D72=0,D72&lt;J17),0,IF(D72&gt;J17,(D72-J17)&amp;" car. en trop",(D72-J17)&amp;" car.")))</f>
        <v/>
      </c>
      <c r="R72" s="6588" t="str">
        <f>IF(D72="","",ROUNDUP(D72/J17,0)&amp;" ligne(s)")</f>
        <v/>
      </c>
      <c r="T72" s="2730">
        <v>1</v>
      </c>
    </row>
    <row r="73" spans="2:20" ht="21" customHeight="1">
      <c r="B73" s="6589" t="str">
        <f t="shared" si="6"/>
        <v>►</v>
      </c>
      <c r="C73" s="6577" t="str">
        <f t="shared" si="4"/>
        <v/>
      </c>
      <c r="D73" s="6578" t="str">
        <f t="shared" si="11"/>
        <v/>
      </c>
      <c r="E73" s="6593"/>
      <c r="F73" s="6590" t="str">
        <f t="shared" si="5"/>
        <v xml:space="preserve"> ◄ ligne 73</v>
      </c>
      <c r="G73" s="6577" t="str">
        <f t="shared" si="7"/>
        <v/>
      </c>
      <c r="H73" s="6581" t="str">
        <f t="shared" si="8"/>
        <v/>
      </c>
      <c r="I73" s="6582">
        <f>IF(LEN(TRIM(N73))&gt;0,MAX(I29:I72)+1,"")</f>
        <v>13</v>
      </c>
      <c r="J73" s="2873" t="str">
        <f>IFERROR(INDEX(N30:N299,MATCH(ROW()-ROW(N30)+1,I30:I299,0)),"")</f>
        <v/>
      </c>
      <c r="K73" s="6576"/>
      <c r="L73" s="6569"/>
      <c r="M73" s="6596" t="str">
        <f>TRIM(SUBSTITUTE(SUBSTITUTE(SUBSTITUTE(SUBSTITUTE(IF(OR(LEFT(M72,1)="-",LEFT(M72,1)="="),MID(M72,2,9999),M72),CHAR(160)," "),","," "),";"," "),"."," "))</f>
        <v>3 Dans une cocotte en fonte faites chauffer l’huile d’olive à feu moyen Ajoutez la viande et faites-la dorer de tous les côtés Retirez-la de la cocotte et réservez-la</v>
      </c>
      <c r="N73" s="6597" t="str">
        <f>IF(OR(O72="",M74=""),"",IF(LEN(O72)&lt;=M74,O72,IFERROR(LEFT(O72,FIND("♦",SUBSTITUTE(LEFT(O72,M74+1)," ","♦",LEN(LEFT(O72,M74+1))-LEN(SUBSTITUTE(LEFT(O72,M74+1)," ",""))))),LEFT(O72,IFERROR(FIND(" ",O72)-1,LEN(O72))))))</f>
        <v xml:space="preserve">l’huile d’olive à feu moyen Ajoutez la viande et </v>
      </c>
      <c r="O73" s="6597" t="str">
        <f>IF(N73="","",TRIM(RIGHT(O72,LEN(O72)-LEN(N73))))</f>
        <v>faites-la dorer de tous les côtés Retirez-la de la cocotte et réservez-la</v>
      </c>
      <c r="P73" s="6598" t="str">
        <f t="shared" ref="P73:P74" si="24">"ligne "&amp;ROW()&amp;" ►"</f>
        <v>ligne 73 ►</v>
      </c>
      <c r="Q73" s="6587" t="str">
        <f>IF(D73="","",IF(OR(D73=0,D73&lt;J17),0,IF(D73&gt;J17,(D73-J17)&amp;" car. en trop",(D73-J17)&amp;" car.")))</f>
        <v/>
      </c>
      <c r="R73" s="6588" t="str">
        <f>IF(D73="","",ROUNDUP(D73/J17,0)&amp;" ligne(s)")</f>
        <v/>
      </c>
      <c r="T73" s="2730">
        <v>1</v>
      </c>
    </row>
    <row r="74" spans="2:20" ht="21" customHeight="1">
      <c r="B74" s="6589" t="str">
        <f t="shared" si="6"/>
        <v>►</v>
      </c>
      <c r="C74" s="6577" t="str">
        <f t="shared" si="4"/>
        <v/>
      </c>
      <c r="D74" s="6578" t="str">
        <f t="shared" si="11"/>
        <v/>
      </c>
      <c r="E74" s="6593"/>
      <c r="F74" s="6580" t="str">
        <f t="shared" si="5"/>
        <v xml:space="preserve"> ◄ ligne 74</v>
      </c>
      <c r="G74" s="6577" t="str">
        <f t="shared" si="7"/>
        <v/>
      </c>
      <c r="H74" s="6581" t="str">
        <f t="shared" si="8"/>
        <v/>
      </c>
      <c r="I74" s="6582">
        <f>IF(LEN(TRIM(N74))&gt;0,MAX(I29:I73)+1,"")</f>
        <v>14</v>
      </c>
      <c r="J74" s="2873" t="str">
        <f>IFERROR(INDEX(N30:N299,MATCH(ROW()-ROW(N30)+1,I30:I299,0)),"")</f>
        <v/>
      </c>
      <c r="K74" s="6576"/>
      <c r="L74" s="6569"/>
      <c r="M74" s="6592">
        <f>J17</f>
        <v>50</v>
      </c>
      <c r="N74" s="6597" t="str">
        <f>IF(OR(O73="",M74=""),"",IF(LEN(O73)&lt;=M74,O73,IFERROR(LEFT(O73,FIND("♦",SUBSTITUTE(LEFT(O73,M74+1)," ","♦",LEN(LEFT(O73,M74+1))-LEN(SUBSTITUTE(LEFT(O73,M74+1)," ",""))))),LEFT(O73,IFERROR(FIND(" ",O73)-1,LEN(O73))))))</f>
        <v xml:space="preserve">faites-la dorer de tous les côtés Retirez-la de la </v>
      </c>
      <c r="O74" s="6597" t="str">
        <f t="shared" ref="O74:O77" si="25">IF(N74="","",TRIM(RIGHT(O73,LEN(O73)-LEN(N74))))</f>
        <v>cocotte et réservez-la</v>
      </c>
      <c r="P74" s="6598" t="str">
        <f t="shared" si="24"/>
        <v>ligne 74 ►</v>
      </c>
      <c r="Q74" s="6587" t="str">
        <f>IF(D74="","",IF(OR(D74=0,D74&lt;J17),0,IF(D74&gt;J17,(D74-J17)&amp;" car. en trop",(D74-J17)&amp;" car.")))</f>
        <v/>
      </c>
      <c r="R74" s="6588" t="str">
        <f>IF(D74="","",ROUNDUP(D74/J17,0)&amp;" ligne(s)")</f>
        <v/>
      </c>
      <c r="T74" s="2730">
        <v>1</v>
      </c>
    </row>
    <row r="75" spans="2:20" ht="21" customHeight="1">
      <c r="B75" s="6601">
        <v>5</v>
      </c>
      <c r="C75" s="6602">
        <v>12</v>
      </c>
      <c r="D75" s="6602">
        <v>12</v>
      </c>
      <c r="E75" s="6603">
        <f ca="1">E76</f>
        <v>103</v>
      </c>
      <c r="F75" s="6574" t="s">
        <v>2</v>
      </c>
      <c r="G75" s="6577" t="str">
        <f t="shared" si="7"/>
        <v/>
      </c>
      <c r="H75" s="6581" t="str">
        <f t="shared" si="8"/>
        <v/>
      </c>
      <c r="I75" s="6582">
        <f>IF(LEN(TRIM(N75))&gt;0,MAX(I29:I74)+1,"")</f>
        <v>15</v>
      </c>
      <c r="J75" s="2873" t="str">
        <f>IFERROR(INDEX(N30:N299,MATCH(ROW()-ROW(N30)+1,I30:I299,0)),"")</f>
        <v/>
      </c>
      <c r="K75" s="6576"/>
      <c r="L75" s="6569"/>
      <c r="M75" s="6596"/>
      <c r="N75" s="6597" t="str">
        <f>IF(OR(O74="",M74=""),"",IF(LEN(O74)&lt;=M74,O74,IFERROR(LEFT(O74,FIND("♦",SUBSTITUTE(LEFT(O74,M74+1)," ","♦",LEN(LEFT(O74,M74+1))-LEN(SUBSTITUTE(LEFT(O74,M74+1)," ",""))))),LEFT(O74,IFERROR(FIND(" ",O74)-1,LEN(O74))))))</f>
        <v>cocotte et réservez-la</v>
      </c>
      <c r="O75" s="6597" t="str">
        <f t="shared" si="25"/>
        <v/>
      </c>
      <c r="P75" s="6598"/>
      <c r="Q75" s="6604"/>
      <c r="R75" s="6605"/>
      <c r="T75" s="2730">
        <v>1</v>
      </c>
    </row>
    <row r="76" spans="2:20" ht="21" customHeight="1" thickBot="1">
      <c r="B76" s="2923">
        <f t="shared" ref="B76:E76" ca="1" si="26">CELL("largeur",B76)</f>
        <v>5</v>
      </c>
      <c r="C76" s="2924">
        <f t="shared" ca="1" si="26"/>
        <v>9</v>
      </c>
      <c r="D76" s="2924">
        <f t="shared" ca="1" si="26"/>
        <v>7</v>
      </c>
      <c r="E76" s="2925">
        <f t="shared" ca="1" si="26"/>
        <v>103</v>
      </c>
      <c r="F76" s="6574" t="s">
        <v>2</v>
      </c>
      <c r="G76" s="6577" t="str">
        <f t="shared" si="7"/>
        <v/>
      </c>
      <c r="H76" s="6581" t="str">
        <f t="shared" si="8"/>
        <v/>
      </c>
      <c r="I76" s="6582" t="str">
        <f>IF(LEN(TRIM(N76))&gt;0,MAX(I29:I75)+1,"")</f>
        <v/>
      </c>
      <c r="J76" s="2873" t="str">
        <f>IFERROR(INDEX(N30:N299,MATCH(ROW()-ROW(N30)+1,I30:I299,0)),"")</f>
        <v/>
      </c>
      <c r="K76" s="6576"/>
      <c r="L76" s="6569"/>
      <c r="M76" s="6599"/>
      <c r="N76" s="6597" t="str">
        <f>IF(OR(O75="",M74=""),"",IF(LEN(O75)&lt;=M74,O75,IFERROR(LEFT(O75,FIND("♦",SUBSTITUTE(LEFT(O75,M74+1)," ","♦",LEN(LEFT(O75,M74+1))-LEN(SUBSTITUTE(LEFT(O75,M74+1)," ",""))))),LEFT(O75,IFERROR(FIND(" ",O75)-1,LEN(O75))))))</f>
        <v/>
      </c>
      <c r="O76" s="6597" t="str">
        <f t="shared" si="25"/>
        <v/>
      </c>
      <c r="P76" s="6598"/>
      <c r="Q76" s="6604"/>
      <c r="R76" s="6605"/>
      <c r="T76" s="2730">
        <v>1</v>
      </c>
    </row>
    <row r="77" spans="2:20" ht="21" customHeight="1">
      <c r="C77" s="3170"/>
      <c r="D77" s="3170"/>
      <c r="E77" s="6605"/>
      <c r="F77" s="3170"/>
      <c r="G77" s="6577" t="str">
        <f t="shared" si="7"/>
        <v/>
      </c>
      <c r="H77" s="6581" t="str">
        <f t="shared" si="8"/>
        <v/>
      </c>
      <c r="I77" s="6582" t="str">
        <f>IF(LEN(TRIM(N77))&gt;0,MAX(I29:I76)+1,"")</f>
        <v/>
      </c>
      <c r="J77" s="2873" t="str">
        <f>IFERROR(INDEX(N30:N299,MATCH(ROW()-ROW(N30)+1,I30:I299,0)),"")</f>
        <v/>
      </c>
      <c r="K77" s="6606"/>
      <c r="L77" s="3170"/>
      <c r="M77" s="6600"/>
      <c r="N77" s="6597" t="str">
        <f>IF(OR(O76="",M74=""),"",IF(LEN(O76)&lt;=M74,O76,IFERROR(LEFT(O76,FIND("♦",SUBSTITUTE(LEFT(O76,M74+1)," ","♦",LEN(LEFT(O76,M74+1))-LEN(SUBSTITUTE(LEFT(O76,M74+1)," ",""))))),LEFT(O76,IFERROR(FIND(" ",O76)-1,LEN(O76))))))</f>
        <v/>
      </c>
      <c r="O77" s="6597" t="str">
        <f t="shared" si="25"/>
        <v/>
      </c>
      <c r="P77" s="6598"/>
      <c r="Q77" s="6604"/>
      <c r="R77" s="6605"/>
      <c r="T77" s="2730">
        <v>1</v>
      </c>
    </row>
    <row r="78" spans="2:20" ht="21" customHeight="1">
      <c r="C78" s="3170"/>
      <c r="D78" s="3170"/>
      <c r="E78" s="6605"/>
      <c r="F78" s="3170"/>
      <c r="G78" s="6577" t="str">
        <f t="shared" si="7"/>
        <v/>
      </c>
      <c r="H78" s="6581" t="str">
        <f t="shared" si="8"/>
        <v/>
      </c>
      <c r="I78" s="6582">
        <f>IF(LEN(TRIM(N78))&gt;0,MAX(I29:I77)+1,"")</f>
        <v>16</v>
      </c>
      <c r="J78" s="2873" t="str">
        <f>IFERROR(INDEX(N30:N299,MATCH(ROW()-ROW(N30)+1,I30:I299,0)),"")</f>
        <v/>
      </c>
      <c r="K78" s="6606"/>
      <c r="L78" s="3170"/>
      <c r="M78" s="6583" t="str">
        <f>(SUBSTITUTE(SUBSTITUTE(E38,CHAR(13)&amp;CHAR(10)," "),CHAR(10)," "))</f>
        <v>4. Dans la même cocotte, faites revenir les légumes et les lardons pendant environ 5 minutes. Saupoudrez de farine et mélangez bien.</v>
      </c>
      <c r="N78" s="6584" t="str">
        <f>IF(OR(M79="",M80=""),"",IF(LEN(M79)&lt;=M80,M79,IFERROR(LEFT(M79,FIND("♦",SUBSTITUTE(LEFT(M79,M80+1)," ","♦",LEN(LEFT(M79,M80+1))-LEN(SUBSTITUTE(LEFT(M79,M80+1)," ",""))))),LEFT(M79,IFERROR(FIND(" ",M79)-1,LEN(M79))))))</f>
        <v xml:space="preserve">4 Dans la même cocotte faites revenir les légumes </v>
      </c>
      <c r="O78" s="6585" t="str">
        <f>IF(N78="","",TRIM(RIGHT(M79,LEN(M79)-LEN(N78))))</f>
        <v>et les lardons pendant environ 5 minutes Saupoudrez de farine et mélangez bien</v>
      </c>
      <c r="P78" s="6586" t="str">
        <f>F38</f>
        <v xml:space="preserve"> ◄ ligne 38</v>
      </c>
      <c r="Q78" s="6604"/>
      <c r="R78" s="6605"/>
      <c r="T78" s="2730">
        <v>1</v>
      </c>
    </row>
    <row r="79" spans="2:20" ht="21" customHeight="1">
      <c r="C79" s="3170"/>
      <c r="D79" s="3170"/>
      <c r="E79" s="6605"/>
      <c r="F79" s="3170"/>
      <c r="G79" s="6577" t="str">
        <f t="shared" si="7"/>
        <v/>
      </c>
      <c r="H79" s="6581" t="str">
        <f t="shared" si="8"/>
        <v/>
      </c>
      <c r="I79" s="6582">
        <f>IF(LEN(TRIM(N79))&gt;0,MAX(I29:I78)+1,"")</f>
        <v>17</v>
      </c>
      <c r="J79" s="2873" t="str">
        <f>IFERROR(INDEX(N30:N299,MATCH(ROW()-ROW(N30)+1,I30:I299,0)),"")</f>
        <v/>
      </c>
      <c r="K79" s="6606"/>
      <c r="L79" s="3170"/>
      <c r="M79" s="6584" t="str">
        <f>TRIM(SUBSTITUTE(SUBSTITUTE(SUBSTITUTE(SUBSTITUTE(IF(OR(LEFT(M78,1)="-",LEFT(M78,1)="="),MID(M78,2,9999),M78),CHAR(160)," "),","," "),";"," "),"."," "))</f>
        <v>4 Dans la même cocotte faites revenir les légumes et les lardons pendant environ 5 minutes Saupoudrez de farine et mélangez bien</v>
      </c>
      <c r="N79" s="6585" t="str">
        <f>IF(OR(O78="",M80=""),"",IF(LEN(O78)&lt;=M80,O78,IFERROR(LEFT(O78,FIND("♦",SUBSTITUTE(LEFT(O78,M80+1)," ","♦",LEN(LEFT(O78,M80+1))-LEN(SUBSTITUTE(LEFT(O78,M80+1)," ",""))))),LEFT(O78,IFERROR(FIND(" ",O78)-1,LEN(O78))))))</f>
        <v xml:space="preserve">et les lardons pendant environ 5 minutes </v>
      </c>
      <c r="O79" s="6585" t="str">
        <f>IF(N79="","",TRIM(RIGHT(O78,LEN(O78)-LEN(N79))))</f>
        <v>Saupoudrez de farine et mélangez bien</v>
      </c>
      <c r="P79" s="6607"/>
      <c r="Q79" s="6604"/>
      <c r="R79" s="6605"/>
      <c r="T79" s="2730">
        <v>1</v>
      </c>
    </row>
    <row r="80" spans="2:20" ht="21" customHeight="1">
      <c r="C80" s="3170"/>
      <c r="D80" s="3170"/>
      <c r="E80" s="6605"/>
      <c r="F80" s="3170"/>
      <c r="G80" s="6577" t="str">
        <f t="shared" si="7"/>
        <v/>
      </c>
      <c r="H80" s="6581" t="str">
        <f t="shared" si="8"/>
        <v/>
      </c>
      <c r="I80" s="6582">
        <f>IF(LEN(TRIM(N80))&gt;0,MAX(I29:I79)+1,"")</f>
        <v>18</v>
      </c>
      <c r="J80" s="2873" t="str">
        <f>IFERROR(INDEX(N30:N299,MATCH(ROW()-ROW(N30)+1,I30:I299,0)),"")</f>
        <v/>
      </c>
      <c r="K80" s="6606"/>
      <c r="L80" s="3170"/>
      <c r="M80" s="6592">
        <f>J17</f>
        <v>50</v>
      </c>
      <c r="N80" s="6585" t="str">
        <f>IF(OR(O79="",M80=""),"",IF(LEN(O79)&lt;=M80,O79,IFERROR(LEFT(O79,FIND("♦",SUBSTITUTE(LEFT(O79,M80+1)," ","♦",LEN(LEFT(O79,M80+1))-LEN(SUBSTITUTE(LEFT(O79,M80+1)," ",""))))),LEFT(O79,IFERROR(FIND(" ",O79)-1,LEN(O79))))))</f>
        <v>Saupoudrez de farine et mélangez bien</v>
      </c>
      <c r="O80" s="6585" t="str">
        <f t="shared" ref="O80:O83" si="27">IF(N80="","",TRIM(RIGHT(O79,LEN(O79)-LEN(N80))))</f>
        <v/>
      </c>
      <c r="P80" s="6607"/>
      <c r="Q80" s="6604"/>
      <c r="R80" s="6605"/>
      <c r="T80" s="2730">
        <v>1</v>
      </c>
    </row>
    <row r="81" spans="3:20" ht="21" customHeight="1">
      <c r="C81" s="3170"/>
      <c r="D81" s="3170"/>
      <c r="E81" s="6605"/>
      <c r="F81" s="3170"/>
      <c r="G81" s="6577" t="str">
        <f t="shared" si="7"/>
        <v/>
      </c>
      <c r="H81" s="6581" t="str">
        <f t="shared" si="8"/>
        <v/>
      </c>
      <c r="I81" s="6582" t="str">
        <f>IF(LEN(TRIM(N81))&gt;0,MAX(I29:I80)+1,"")</f>
        <v/>
      </c>
      <c r="J81" s="2873" t="str">
        <f>IFERROR(INDEX(N30:N299,MATCH(ROW()-ROW(N30)+1,I30:I299,0)),"")</f>
        <v/>
      </c>
      <c r="K81" s="6606"/>
      <c r="L81" s="3170"/>
      <c r="M81" s="6584"/>
      <c r="N81" s="6585" t="str">
        <f>IF(OR(O80="",M80=""),"",IF(LEN(O80)&lt;=M80,O80,IFERROR(LEFT(O80,FIND("♦",SUBSTITUTE(LEFT(O80,M80+1)," ","♦",LEN(LEFT(O80,M80+1))-LEN(SUBSTITUTE(LEFT(O80,M80+1)," ",""))))),LEFT(O80,IFERROR(FIND(" ",O80)-1,LEN(O80))))))</f>
        <v/>
      </c>
      <c r="O81" s="6585" t="str">
        <f t="shared" si="27"/>
        <v/>
      </c>
      <c r="P81" s="6607"/>
      <c r="Q81" s="6604"/>
      <c r="R81" s="6605"/>
      <c r="T81" s="2730">
        <v>1</v>
      </c>
    </row>
    <row r="82" spans="3:20" ht="21" customHeight="1">
      <c r="C82" s="3170"/>
      <c r="D82" s="3170"/>
      <c r="E82" s="6605"/>
      <c r="F82" s="3170"/>
      <c r="G82" s="6577" t="str">
        <f t="shared" si="7"/>
        <v/>
      </c>
      <c r="H82" s="6581" t="str">
        <f t="shared" si="8"/>
        <v/>
      </c>
      <c r="I82" s="6582" t="str">
        <f>IF(LEN(TRIM(N82))&gt;0,MAX(I29:I81)+1,"")</f>
        <v/>
      </c>
      <c r="J82" s="2873" t="str">
        <f>IFERROR(INDEX(N30:N299,MATCH(ROW()-ROW(N30)+1,I30:I299,0)),"")</f>
        <v/>
      </c>
      <c r="K82" s="6606"/>
      <c r="L82" s="3170"/>
      <c r="M82" s="6594"/>
      <c r="N82" s="6585" t="str">
        <f>IF(OR(O81="",M80=""),"",IF(LEN(O81)&lt;=M80,O81,IFERROR(LEFT(O81,FIND("♦",SUBSTITUTE(LEFT(O81,M80+1)," ","♦",LEN(LEFT(O81,M80+1))-LEN(SUBSTITUTE(LEFT(O81,M80+1)," ",""))))),LEFT(O81,IFERROR(FIND(" ",O81)-1,LEN(O81))))))</f>
        <v/>
      </c>
      <c r="O82" s="6585" t="str">
        <f t="shared" si="27"/>
        <v/>
      </c>
      <c r="P82" s="6607"/>
      <c r="Q82" s="6604"/>
      <c r="R82" s="6605"/>
      <c r="T82" s="2730">
        <v>1</v>
      </c>
    </row>
    <row r="83" spans="3:20" ht="21" customHeight="1">
      <c r="C83" s="3170"/>
      <c r="D83" s="3170"/>
      <c r="E83" s="6605"/>
      <c r="F83" s="3170"/>
      <c r="G83" s="6577" t="str">
        <f t="shared" si="7"/>
        <v/>
      </c>
      <c r="H83" s="6581" t="str">
        <f t="shared" si="8"/>
        <v/>
      </c>
      <c r="I83" s="6582" t="str">
        <f>IF(LEN(TRIM(N83))&gt;0,MAX(I29:I82)+1,"")</f>
        <v/>
      </c>
      <c r="J83" s="2873" t="str">
        <f>IFERROR(INDEX(N30:N299,MATCH(ROW()-ROW(N30)+1,I30:I299,0)),"")</f>
        <v/>
      </c>
      <c r="K83" s="6606"/>
      <c r="L83" s="3170"/>
      <c r="M83" s="6595"/>
      <c r="N83" s="6585" t="str">
        <f>IF(OR(O82="",M80=""),"",IF(LEN(O82)&lt;=M80,O82,IFERROR(LEFT(O82,FIND("♦",SUBSTITUTE(LEFT(O82,M80+1)," ","♦",LEN(LEFT(O82,M80+1))-LEN(SUBSTITUTE(LEFT(O82,M80+1)," ",""))))),LEFT(O82,IFERROR(FIND(" ",O82)-1,LEN(O82))))))</f>
        <v/>
      </c>
      <c r="O83" s="6585" t="str">
        <f t="shared" si="27"/>
        <v/>
      </c>
      <c r="P83" s="6607"/>
      <c r="Q83" s="6604"/>
      <c r="R83" s="6605"/>
      <c r="T83" s="2730">
        <v>1</v>
      </c>
    </row>
    <row r="84" spans="3:20" ht="21" customHeight="1">
      <c r="C84" s="3170"/>
      <c r="D84" s="3170"/>
      <c r="E84" s="6605"/>
      <c r="F84" s="3170"/>
      <c r="G84" s="6577" t="str">
        <f t="shared" si="7"/>
        <v/>
      </c>
      <c r="H84" s="6581" t="str">
        <f t="shared" si="8"/>
        <v/>
      </c>
      <c r="I84" s="6582">
        <f>IF(LEN(TRIM(N84))&gt;0,MAX(I29:I83)+1,"")</f>
        <v>19</v>
      </c>
      <c r="J84" s="2873" t="str">
        <f>IFERROR(INDEX(N30:N299,MATCH(ROW()-ROW(N30)+1,I30:I299,0)),"")</f>
        <v/>
      </c>
      <c r="K84" s="6606"/>
      <c r="L84" s="3170"/>
      <c r="M84" s="6583" t="str">
        <f>(SUBSTITUTE(SUBSTITUTE(E39,CHAR(13)&amp;CHAR(10)," "),CHAR(10)," "))</f>
        <v>5. Remettez la viande dans la cocotte et versez la marinade filtrée par-dessus. Ajoutez de l’eau si nécessaire pour recouvrir la viande. Salez et poivrez.</v>
      </c>
      <c r="N84" s="6596" t="str">
        <f>IF(OR(M85="",M86=""),"",IF(LEN(M85)&lt;=M86,M85,IFERROR(LEFT(M85,FIND("♦",SUBSTITUTE(LEFT(M85,M86+1)," ","♦",LEN(LEFT(M85,M86+1))-LEN(SUBSTITUTE(LEFT(M85,M86+1)," ",""))))),LEFT(M85,IFERROR(FIND(" ",M85)-1,LEN(M85))))))</f>
        <v xml:space="preserve">5 Remettez la viande dans la cocotte et versez la </v>
      </c>
      <c r="O84" s="6597" t="str">
        <f>IF(N84="","",TRIM(RIGHT(M85,LEN(M85)-LEN(N84))))</f>
        <v>marinade filtrée par-dessus Ajoutez de l’eau si nécessaire pour recouvrir la viande Salez et poivrez</v>
      </c>
      <c r="P84" s="6586" t="str">
        <f>F39</f>
        <v xml:space="preserve"> ◄ ligne 39</v>
      </c>
      <c r="Q84" s="6604"/>
      <c r="R84" s="6605"/>
      <c r="T84" s="2730">
        <v>1</v>
      </c>
    </row>
    <row r="85" spans="3:20" ht="21" customHeight="1">
      <c r="C85" s="3170"/>
      <c r="D85" s="3170"/>
      <c r="E85" s="6605"/>
      <c r="F85" s="3170"/>
      <c r="G85" s="6577" t="str">
        <f t="shared" si="7"/>
        <v/>
      </c>
      <c r="H85" s="6581" t="str">
        <f t="shared" si="8"/>
        <v/>
      </c>
      <c r="I85" s="6582">
        <f>IF(LEN(TRIM(N85))&gt;0,MAX(I29:I84)+1,"")</f>
        <v>20</v>
      </c>
      <c r="J85" s="2873" t="str">
        <f>IFERROR(INDEX(N30:N299,MATCH(ROW()-ROW(N30)+1,I30:I299,0)),"")</f>
        <v/>
      </c>
      <c r="K85" s="6606"/>
      <c r="L85" s="3170"/>
      <c r="M85" s="6596" t="str">
        <f>TRIM(SUBSTITUTE(SUBSTITUTE(SUBSTITUTE(SUBSTITUTE(IF(OR(LEFT(M84,1)="-",LEFT(M84,1)="="),MID(M84,2,9999),M84),CHAR(160)," "),","," "),";"," "),"."," "))</f>
        <v>5 Remettez la viande dans la cocotte et versez la marinade filtrée par-dessus Ajoutez de l’eau si nécessaire pour recouvrir la viande Salez et poivrez</v>
      </c>
      <c r="N85" s="6597" t="str">
        <f>IF(OR(O84="",M86=""),"",IF(LEN(O84)&lt;=M86,O84,IFERROR(LEFT(O84,FIND("♦",SUBSTITUTE(LEFT(O84,M86+1)," ","♦",LEN(LEFT(O84,M86+1))-LEN(SUBSTITUTE(LEFT(O84,M86+1)," ",""))))),LEFT(O84,IFERROR(FIND(" ",O84)-1,LEN(O84))))))</f>
        <v xml:space="preserve">marinade filtrée par-dessus Ajoutez de l’eau si </v>
      </c>
      <c r="O85" s="6597" t="str">
        <f>IF(N85="","",TRIM(RIGHT(O84,LEN(O84)-LEN(N85))))</f>
        <v>nécessaire pour recouvrir la viande Salez et poivrez</v>
      </c>
      <c r="P85" s="6608"/>
      <c r="Q85" s="6604"/>
      <c r="R85" s="6605"/>
      <c r="T85" s="2730">
        <v>1</v>
      </c>
    </row>
    <row r="86" spans="3:20" ht="21" customHeight="1">
      <c r="C86" s="3170"/>
      <c r="D86" s="3170"/>
      <c r="E86" s="6605"/>
      <c r="F86" s="3170"/>
      <c r="G86" s="6577" t="str">
        <f t="shared" si="7"/>
        <v/>
      </c>
      <c r="H86" s="6581" t="str">
        <f t="shared" si="8"/>
        <v/>
      </c>
      <c r="I86" s="6582">
        <f>IF(LEN(TRIM(N86))&gt;0,MAX(I29:I85)+1,"")</f>
        <v>21</v>
      </c>
      <c r="J86" s="2873" t="str">
        <f>IFERROR(INDEX(N30:N299,MATCH(ROW()-ROW(N30)+1,I30:I299,0)),"")</f>
        <v/>
      </c>
      <c r="K86" s="6606"/>
      <c r="L86" s="3170"/>
      <c r="M86" s="6592">
        <f>J17</f>
        <v>50</v>
      </c>
      <c r="N86" s="6597" t="str">
        <f>IF(OR(O85="",M86=""),"",IF(LEN(O85)&lt;=M86,O85,IFERROR(LEFT(O85,FIND("♦",SUBSTITUTE(LEFT(O85,M86+1)," ","♦",LEN(LEFT(O85,M86+1))-LEN(SUBSTITUTE(LEFT(O85,M86+1)," ",""))))),LEFT(O85,IFERROR(FIND(" ",O85)-1,LEN(O85))))))</f>
        <v xml:space="preserve">nécessaire pour recouvrir la viande Salez et </v>
      </c>
      <c r="O86" s="6597" t="str">
        <f t="shared" ref="O86:O89" si="28">IF(N86="","",TRIM(RIGHT(O85,LEN(O85)-LEN(N86))))</f>
        <v>poivrez</v>
      </c>
      <c r="P86" s="6608"/>
      <c r="Q86" s="6604"/>
      <c r="R86" s="6605"/>
      <c r="T86" s="2730">
        <v>1</v>
      </c>
    </row>
    <row r="87" spans="3:20" ht="21" customHeight="1">
      <c r="C87" s="3170"/>
      <c r="D87" s="3170"/>
      <c r="E87" s="6605"/>
      <c r="F87" s="3170"/>
      <c r="G87" s="6577" t="str">
        <f t="shared" si="7"/>
        <v/>
      </c>
      <c r="H87" s="6581" t="str">
        <f t="shared" si="8"/>
        <v/>
      </c>
      <c r="I87" s="6582">
        <f>IF(LEN(TRIM(N87))&gt;0,MAX(I29:I86)+1,"")</f>
        <v>22</v>
      </c>
      <c r="J87" s="2873" t="str">
        <f>IFERROR(INDEX(N30:N299,MATCH(ROW()-ROW(N30)+1,I30:I299,0)),"")</f>
        <v/>
      </c>
      <c r="K87" s="6606"/>
      <c r="L87" s="3170"/>
      <c r="M87" s="6596"/>
      <c r="N87" s="6597" t="str">
        <f>IF(OR(O86="",M86=""),"",IF(LEN(O86)&lt;=M86,O86,IFERROR(LEFT(O86,FIND("♦",SUBSTITUTE(LEFT(O86,M86+1)," ","♦",LEN(LEFT(O86,M86+1))-LEN(SUBSTITUTE(LEFT(O86,M86+1)," ",""))))),LEFT(O86,IFERROR(FIND(" ",O86)-1,LEN(O86))))))</f>
        <v>poivrez</v>
      </c>
      <c r="O87" s="6597" t="str">
        <f t="shared" si="28"/>
        <v/>
      </c>
      <c r="P87" s="6608"/>
      <c r="Q87" s="6604"/>
      <c r="R87" s="6605"/>
      <c r="T87" s="2730">
        <v>1</v>
      </c>
    </row>
    <row r="88" spans="3:20" ht="21" customHeight="1">
      <c r="C88" s="3170"/>
      <c r="D88" s="3170"/>
      <c r="E88" s="6605"/>
      <c r="F88" s="3170"/>
      <c r="G88" s="6577" t="str">
        <f t="shared" si="7"/>
        <v/>
      </c>
      <c r="H88" s="6581" t="str">
        <f t="shared" si="8"/>
        <v/>
      </c>
      <c r="I88" s="6582" t="str">
        <f>IF(LEN(TRIM(N88))&gt;0,MAX(I29:I87)+1,"")</f>
        <v/>
      </c>
      <c r="J88" s="2873" t="str">
        <f>IFERROR(INDEX(N30:N299,MATCH(ROW()-ROW(N30)+1,I30:I299,0)),"")</f>
        <v/>
      </c>
      <c r="K88" s="6606"/>
      <c r="L88" s="3170"/>
      <c r="M88" s="6599"/>
      <c r="N88" s="6597" t="str">
        <f>IF(OR(O87="",M86=""),"",IF(LEN(O87)&lt;=M86,O87,IFERROR(LEFT(O87,FIND("♦",SUBSTITUTE(LEFT(O87,M86+1)," ","♦",LEN(LEFT(O87,M86+1))-LEN(SUBSTITUTE(LEFT(O87,M86+1)," ",""))))),LEFT(O87,IFERROR(FIND(" ",O87)-1,LEN(O87))))))</f>
        <v/>
      </c>
      <c r="O88" s="6597" t="str">
        <f t="shared" si="28"/>
        <v/>
      </c>
      <c r="P88" s="6608"/>
      <c r="Q88" s="6604"/>
      <c r="R88" s="6605"/>
      <c r="T88" s="2730">
        <v>1</v>
      </c>
    </row>
    <row r="89" spans="3:20" ht="21" customHeight="1">
      <c r="C89" s="3170"/>
      <c r="D89" s="3170"/>
      <c r="E89" s="6605"/>
      <c r="F89" s="3170"/>
      <c r="G89" s="6577" t="str">
        <f t="shared" si="7"/>
        <v/>
      </c>
      <c r="H89" s="6581" t="str">
        <f t="shared" si="8"/>
        <v/>
      </c>
      <c r="I89" s="6582" t="str">
        <f>IF(LEN(TRIM(N89))&gt;0,MAX(I29:I88)+1,"")</f>
        <v/>
      </c>
      <c r="J89" s="2873" t="str">
        <f>IFERROR(INDEX(N30:N299,MATCH(ROW()-ROW(N30)+1,I30:I299,0)),"")</f>
        <v/>
      </c>
      <c r="K89" s="6606"/>
      <c r="L89" s="3170"/>
      <c r="M89" s="6600"/>
      <c r="N89" s="6597" t="str">
        <f>IF(OR(O88="",M86=""),"",IF(LEN(O88)&lt;=M86,O88,IFERROR(LEFT(O88,FIND("♦",SUBSTITUTE(LEFT(O88,M86+1)," ","♦",LEN(LEFT(O88,M86+1))-LEN(SUBSTITUTE(LEFT(O88,M86+1)," ",""))))),LEFT(O88,IFERROR(FIND(" ",O88)-1,LEN(O88))))))</f>
        <v/>
      </c>
      <c r="O89" s="6597" t="str">
        <f t="shared" si="28"/>
        <v/>
      </c>
      <c r="P89" s="6608"/>
      <c r="Q89" s="6604"/>
      <c r="R89" s="6605"/>
      <c r="T89" s="2730">
        <v>1</v>
      </c>
    </row>
    <row r="90" spans="3:20" ht="21" customHeight="1">
      <c r="C90" s="3170"/>
      <c r="D90" s="3170"/>
      <c r="E90" s="6605"/>
      <c r="F90" s="3170"/>
      <c r="G90" s="6577" t="str">
        <f t="shared" si="7"/>
        <v/>
      </c>
      <c r="H90" s="6581" t="str">
        <f t="shared" si="8"/>
        <v/>
      </c>
      <c r="I90" s="6582">
        <f>IF(LEN(TRIM(N90))&gt;0,MAX(I29:I89)+1,"")</f>
        <v>23</v>
      </c>
      <c r="J90" s="2873" t="str">
        <f>IFERROR(INDEX(N30:N299,MATCH(ROW()-ROW(N30)+1,I30:I299,0)),"")</f>
        <v/>
      </c>
      <c r="K90" s="6606"/>
      <c r="L90" s="3170"/>
      <c r="M90" s="6583" t="str">
        <f>(SUBSTITUTE(SUBSTITUTE(E40,CHAR(13)&amp;CHAR(10)," "),CHAR(10)," "))</f>
        <v>6. Portez à ébullition, puis baissez le feu et laissez mijoter à feu doux pendant environ 3 heures, en remuant de temps en temps. La viande doit être tendre et la sauce onctueuse.</v>
      </c>
      <c r="N90" s="6584" t="str">
        <f>IF(OR(M91="",M92=""),"",IF(LEN(M91)&lt;=M92,M91,IFERROR(LEFT(M91,FIND("♦",SUBSTITUTE(LEFT(M91,M92+1)," ","♦",LEN(LEFT(M91,M92+1))-LEN(SUBSTITUTE(LEFT(M91,M92+1)," ",""))))),LEFT(M91,IFERROR(FIND(" ",M91)-1,LEN(M91))))))</f>
        <v xml:space="preserve">6 Portez à ébullition puis baissez le feu et </v>
      </c>
      <c r="O90" s="6585" t="str">
        <f>IF(N90="","",TRIM(RIGHT(M91,LEN(M91)-LEN(N90))))</f>
        <v>laissez mijoter à feu doux pendant environ 3 heures en remuant de temps en temps La viande doit être tendre et la sauce onctueuse</v>
      </c>
      <c r="P90" s="6586" t="str">
        <f>F40</f>
        <v xml:space="preserve"> ◄ ligne 40</v>
      </c>
      <c r="Q90" s="6604"/>
      <c r="R90" s="6605"/>
      <c r="T90" s="2730">
        <v>1</v>
      </c>
    </row>
    <row r="91" spans="3:20" ht="21" customHeight="1">
      <c r="C91" s="3170"/>
      <c r="D91" s="3170"/>
      <c r="E91" s="6605"/>
      <c r="F91" s="3170"/>
      <c r="G91" s="6577" t="str">
        <f t="shared" si="7"/>
        <v/>
      </c>
      <c r="H91" s="6581" t="str">
        <f t="shared" si="8"/>
        <v/>
      </c>
      <c r="I91" s="6582">
        <f>IF(LEN(TRIM(N91))&gt;0,MAX(I29:I90)+1,"")</f>
        <v>24</v>
      </c>
      <c r="J91" s="2873" t="str">
        <f>IFERROR(INDEX(N30:N299,MATCH(ROW()-ROW(N30)+1,I30:I299,0)),"")</f>
        <v/>
      </c>
      <c r="K91" s="6606"/>
      <c r="L91" s="3170"/>
      <c r="M91" s="6584" t="str">
        <f>TRIM(SUBSTITUTE(SUBSTITUTE(SUBSTITUTE(SUBSTITUTE(IF(OR(LEFT(M90,1)="-",LEFT(M90,1)="="),MID(M90,2,9999),M90),CHAR(160)," "),","," "),";"," "),"."," "))</f>
        <v>6 Portez à ébullition puis baissez le feu et laissez mijoter à feu doux pendant environ 3 heures en remuant de temps en temps La viande doit être tendre et la sauce onctueuse</v>
      </c>
      <c r="N91" s="6585" t="str">
        <f>IF(OR(O90="",M92=""),"",IF(LEN(O90)&lt;=M92,O90,IFERROR(LEFT(O90,FIND("♦",SUBSTITUTE(LEFT(O90,M92+1)," ","♦",LEN(LEFT(O90,M92+1))-LEN(SUBSTITUTE(LEFT(O90,M92+1)," ",""))))),LEFT(O90,IFERROR(FIND(" ",O90)-1,LEN(O90))))))</f>
        <v xml:space="preserve">laissez mijoter à feu doux pendant environ 3 </v>
      </c>
      <c r="O91" s="6585" t="str">
        <f>IF(N91="","",TRIM(RIGHT(O90,LEN(O90)-LEN(N91))))</f>
        <v>heures en remuant de temps en temps La viande doit être tendre et la sauce onctueuse</v>
      </c>
      <c r="P91" s="6607"/>
      <c r="Q91" s="6604"/>
      <c r="R91" s="6605"/>
      <c r="T91" s="2730">
        <v>1</v>
      </c>
    </row>
    <row r="92" spans="3:20" ht="21" customHeight="1">
      <c r="C92" s="3170"/>
      <c r="D92" s="3170"/>
      <c r="E92" s="6605"/>
      <c r="F92" s="3170"/>
      <c r="G92" s="6577" t="str">
        <f t="shared" si="7"/>
        <v/>
      </c>
      <c r="H92" s="6581" t="str">
        <f t="shared" si="8"/>
        <v/>
      </c>
      <c r="I92" s="6582">
        <f>IF(LEN(TRIM(N92))&gt;0,MAX(I29:I91)+1,"")</f>
        <v>25</v>
      </c>
      <c r="J92" s="2873" t="str">
        <f>IFERROR(INDEX(N30:N299,MATCH(ROW()-ROW(N30)+1,I30:I299,0)),"")</f>
        <v/>
      </c>
      <c r="K92" s="6606"/>
      <c r="L92" s="3170"/>
      <c r="M92" s="6592">
        <f>J17</f>
        <v>50</v>
      </c>
      <c r="N92" s="6585" t="str">
        <f>IF(OR(O91="",M92=""),"",IF(LEN(O91)&lt;=M92,O91,IFERROR(LEFT(O91,FIND("♦",SUBSTITUTE(LEFT(O91,M92+1)," ","♦",LEN(LEFT(O91,M92+1))-LEN(SUBSTITUTE(LEFT(O91,M92+1)," ",""))))),LEFT(O91,IFERROR(FIND(" ",O91)-1,LEN(O91))))))</f>
        <v xml:space="preserve">heures en remuant de temps en temps La viande doit </v>
      </c>
      <c r="O92" s="6585" t="str">
        <f t="shared" ref="O92:O95" si="29">IF(N92="","",TRIM(RIGHT(O91,LEN(O91)-LEN(N92))))</f>
        <v>être tendre et la sauce onctueuse</v>
      </c>
      <c r="P92" s="6607"/>
      <c r="Q92" s="6604"/>
      <c r="R92" s="6605"/>
      <c r="T92" s="2730">
        <v>1</v>
      </c>
    </row>
    <row r="93" spans="3:20" ht="21" customHeight="1">
      <c r="C93" s="3170"/>
      <c r="D93" s="3170"/>
      <c r="E93" s="6605"/>
      <c r="F93" s="3170"/>
      <c r="G93" s="6577" t="str">
        <f t="shared" si="7"/>
        <v/>
      </c>
      <c r="H93" s="6581" t="str">
        <f t="shared" si="8"/>
        <v/>
      </c>
      <c r="I93" s="6582">
        <f>IF(LEN(TRIM(N93))&gt;0,MAX(I29:I92)+1,"")</f>
        <v>26</v>
      </c>
      <c r="J93" s="2873" t="str">
        <f>IFERROR(INDEX(N30:N299,MATCH(ROW()-ROW(N30)+1,I30:I299,0)),"")</f>
        <v/>
      </c>
      <c r="K93" s="6606"/>
      <c r="L93" s="3170"/>
      <c r="M93" s="6584"/>
      <c r="N93" s="6585" t="str">
        <f>IF(OR(O92="",M92=""),"",IF(LEN(O92)&lt;=M92,O92,IFERROR(LEFT(O92,FIND("♦",SUBSTITUTE(LEFT(O92,M92+1)," ","♦",LEN(LEFT(O92,M92+1))-LEN(SUBSTITUTE(LEFT(O92,M92+1)," ",""))))),LEFT(O92,IFERROR(FIND(" ",O92)-1,LEN(O92))))))</f>
        <v>être tendre et la sauce onctueuse</v>
      </c>
      <c r="O93" s="6585" t="str">
        <f t="shared" si="29"/>
        <v/>
      </c>
      <c r="P93" s="6607"/>
      <c r="Q93" s="6604"/>
      <c r="R93" s="6605"/>
      <c r="T93" s="2730">
        <v>1</v>
      </c>
    </row>
    <row r="94" spans="3:20" ht="21" customHeight="1">
      <c r="C94" s="3170"/>
      <c r="D94" s="3170"/>
      <c r="E94" s="6605"/>
      <c r="F94" s="3170"/>
      <c r="G94" s="6577" t="str">
        <f t="shared" si="7"/>
        <v/>
      </c>
      <c r="H94" s="6581" t="str">
        <f t="shared" si="8"/>
        <v/>
      </c>
      <c r="I94" s="6582" t="str">
        <f>IF(LEN(TRIM(N94))&gt;0,MAX(I29:I93)+1,"")</f>
        <v/>
      </c>
      <c r="J94" s="2873" t="str">
        <f>IFERROR(INDEX(N30:N299,MATCH(ROW()-ROW(N30)+1,I30:I299,0)),"")</f>
        <v/>
      </c>
      <c r="K94" s="6606"/>
      <c r="L94" s="3170"/>
      <c r="M94" s="6594"/>
      <c r="N94" s="6585" t="str">
        <f>IF(OR(O93="",M92=""),"",IF(LEN(O93)&lt;=M92,O93,IFERROR(LEFT(O93,FIND("♦",SUBSTITUTE(LEFT(O93,M92+1)," ","♦",LEN(LEFT(O93,M92+1))-LEN(SUBSTITUTE(LEFT(O93,M92+1)," ",""))))),LEFT(O93,IFERROR(FIND(" ",O93)-1,LEN(O93))))))</f>
        <v/>
      </c>
      <c r="O94" s="6585" t="str">
        <f t="shared" si="29"/>
        <v/>
      </c>
      <c r="P94" s="6607"/>
      <c r="Q94" s="6604"/>
      <c r="R94" s="6605"/>
      <c r="T94" s="2730">
        <v>1</v>
      </c>
    </row>
    <row r="95" spans="3:20" ht="21" customHeight="1">
      <c r="C95" s="3170"/>
      <c r="D95" s="3170"/>
      <c r="E95" s="6605"/>
      <c r="F95" s="3170"/>
      <c r="G95" s="6577" t="str">
        <f t="shared" si="7"/>
        <v/>
      </c>
      <c r="H95" s="6581" t="str">
        <f t="shared" si="8"/>
        <v/>
      </c>
      <c r="I95" s="6582" t="str">
        <f>IF(LEN(TRIM(N95))&gt;0,MAX(I29:I94)+1,"")</f>
        <v/>
      </c>
      <c r="J95" s="2873" t="str">
        <f>IFERROR(INDEX(N30:N299,MATCH(ROW()-ROW(N30)+1,I30:I299,0)),"")</f>
        <v/>
      </c>
      <c r="K95" s="6606"/>
      <c r="L95" s="3170"/>
      <c r="M95" s="6595"/>
      <c r="N95" s="6585" t="str">
        <f>IF(OR(O94="",M92=""),"",IF(LEN(O94)&lt;=M92,O94,IFERROR(LEFT(O94,FIND("♦",SUBSTITUTE(LEFT(O94,M92+1)," ","♦",LEN(LEFT(O94,M92+1))-LEN(SUBSTITUTE(LEFT(O94,M92+1)," ",""))))),LEFT(O94,IFERROR(FIND(" ",O94)-1,LEN(O94))))))</f>
        <v/>
      </c>
      <c r="O95" s="6585" t="str">
        <f t="shared" si="29"/>
        <v/>
      </c>
      <c r="P95" s="6607"/>
      <c r="Q95" s="6604"/>
      <c r="R95" s="6605"/>
      <c r="T95" s="2730">
        <v>1</v>
      </c>
    </row>
    <row r="96" spans="3:20" ht="21" customHeight="1">
      <c r="C96" s="3170"/>
      <c r="D96" s="3170"/>
      <c r="E96" s="6605"/>
      <c r="F96" s="3170"/>
      <c r="G96" s="6577" t="str">
        <f t="shared" ref="G96:G159" si="30">IF(J96="","",(LEN(TRIM(SUBSTITUTE(J96,CHAR(160)," ")))-LEN(SUBSTITUTE(TRIM(SUBSTITUTE(J96,CHAR(160)," "))," ",""))+1)&amp;" mot"&amp;IF((LEN(TRIM(SUBSTITUTE(J96,CHAR(160)," ")))-LEN(SUBSTITUTE(TRIM(SUBSTITUTE(J96,CHAR(160)," "))," ",""))+1)&gt;1,"s",""))</f>
        <v/>
      </c>
      <c r="H96" s="6581" t="str">
        <f t="shared" ref="H96:H159" si="31">IF(J96="","",LEN(TRIM(SUBSTITUTE(J96,CHAR(160),"")))&amp;" car. ►")</f>
        <v/>
      </c>
      <c r="I96" s="6582">
        <f>IF(LEN(TRIM(N96))&gt;0,MAX(I29:I95)+1,"")</f>
        <v>27</v>
      </c>
      <c r="J96" s="2873" t="str">
        <f>IFERROR(INDEX(N30:N299,MATCH(ROW()-ROW(N30)+1,I30:I299,0)),"")</f>
        <v/>
      </c>
      <c r="K96" s="6606"/>
      <c r="L96" s="3170"/>
      <c r="M96" s="6583" t="str">
        <f>(SUBSTITUTE(SUBSTITUTE(E41,CHAR(13)&amp;CHAR(10)," "),CHAR(10)," "))</f>
        <v>7. Pendant ce temps, faites revenir les champignons dans une poêle avec un peu d’huile d’olive pendant environ 5 minutes.</v>
      </c>
      <c r="N96" s="6596" t="str">
        <f>IF(OR(M97="",M98=""),"",IF(LEN(M97)&lt;=M98,M97,IFERROR(LEFT(M97,FIND("♦",SUBSTITUTE(LEFT(M97,M98+1)," ","♦",LEN(LEFT(M97,M98+1))-LEN(SUBSTITUTE(LEFT(M97,M98+1)," ",""))))),LEFT(M97,IFERROR(FIND(" ",M97)-1,LEN(M97))))))</f>
        <v xml:space="preserve">7 Pendant ce temps faites revenir les champignons </v>
      </c>
      <c r="O96" s="6597" t="str">
        <f>IF(N96="","",TRIM(RIGHT(M97,LEN(M97)-LEN(N96))))</f>
        <v>dans une poêle avec un peu d’huile d’olive pendant environ 5 minutes</v>
      </c>
      <c r="P96" s="6586" t="str">
        <f>F41</f>
        <v xml:space="preserve"> ◄ ligne 41</v>
      </c>
      <c r="Q96" s="6604"/>
      <c r="R96" s="6605"/>
      <c r="T96" s="2730">
        <v>1</v>
      </c>
    </row>
    <row r="97" spans="3:20" ht="21" customHeight="1">
      <c r="C97" s="3170"/>
      <c r="D97" s="3170"/>
      <c r="E97" s="6605"/>
      <c r="F97" s="3170"/>
      <c r="G97" s="6577" t="str">
        <f t="shared" si="30"/>
        <v/>
      </c>
      <c r="H97" s="6581" t="str">
        <f t="shared" si="31"/>
        <v/>
      </c>
      <c r="I97" s="6582">
        <f>IF(LEN(TRIM(N97))&gt;0,MAX(I29:I96)+1,"")</f>
        <v>28</v>
      </c>
      <c r="J97" s="2873" t="str">
        <f>IFERROR(INDEX(N30:N299,MATCH(ROW()-ROW(N30)+1,I30:I299,0)),"")</f>
        <v/>
      </c>
      <c r="K97" s="6606"/>
      <c r="L97" s="3170"/>
      <c r="M97" s="6596" t="str">
        <f>TRIM(SUBSTITUTE(SUBSTITUTE(SUBSTITUTE(SUBSTITUTE(IF(OR(LEFT(M96,1)="-",LEFT(M96,1)="="),MID(M96,2,9999),M96),CHAR(160)," "),","," "),";"," "),"."," "))</f>
        <v>7 Pendant ce temps faites revenir les champignons dans une poêle avec un peu d’huile d’olive pendant environ 5 minutes</v>
      </c>
      <c r="N97" s="6597" t="str">
        <f>IF(OR(O96="",M98=""),"",IF(LEN(O96)&lt;=M98,O96,IFERROR(LEFT(O96,FIND("♦",SUBSTITUTE(LEFT(O96,M98+1)," ","♦",LEN(LEFT(O96,M98+1))-LEN(SUBSTITUTE(LEFT(O96,M98+1)," ",""))))),LEFT(O96,IFERROR(FIND(" ",O96)-1,LEN(O96))))))</f>
        <v xml:space="preserve">dans une poêle avec un peu d’huile d’olive pendant </v>
      </c>
      <c r="O97" s="6597" t="str">
        <f>IF(N97="","",TRIM(RIGHT(O96,LEN(O96)-LEN(N97))))</f>
        <v>environ 5 minutes</v>
      </c>
      <c r="P97" s="6608"/>
      <c r="Q97" s="6604"/>
      <c r="R97" s="6605"/>
      <c r="T97" s="2730">
        <v>1</v>
      </c>
    </row>
    <row r="98" spans="3:20" ht="21" customHeight="1">
      <c r="C98" s="3170"/>
      <c r="D98" s="3170"/>
      <c r="E98" s="6605"/>
      <c r="F98" s="3170"/>
      <c r="G98" s="6577" t="str">
        <f t="shared" si="30"/>
        <v/>
      </c>
      <c r="H98" s="6581" t="str">
        <f t="shared" si="31"/>
        <v/>
      </c>
      <c r="I98" s="6582">
        <f>IF(LEN(TRIM(N98))&gt;0,MAX(I29:I97)+1,"")</f>
        <v>29</v>
      </c>
      <c r="J98" s="2873" t="str">
        <f>IFERROR(INDEX(N30:N299,MATCH(ROW()-ROW(N30)+1,I30:I299,0)),"")</f>
        <v/>
      </c>
      <c r="K98" s="6606"/>
      <c r="L98" s="3170"/>
      <c r="M98" s="6592">
        <f>J17</f>
        <v>50</v>
      </c>
      <c r="N98" s="6597" t="str">
        <f>IF(OR(O97="",M98=""),"",IF(LEN(O97)&lt;=M98,O97,IFERROR(LEFT(O97,FIND("♦",SUBSTITUTE(LEFT(O97,M98+1)," ","♦",LEN(LEFT(O97,M98+1))-LEN(SUBSTITUTE(LEFT(O97,M98+1)," ",""))))),LEFT(O97,IFERROR(FIND(" ",O97)-1,LEN(O97))))))</f>
        <v>environ 5 minutes</v>
      </c>
      <c r="O98" s="6597" t="str">
        <f t="shared" ref="O98:O101" si="32">IF(N98="","",TRIM(RIGHT(O97,LEN(O97)-LEN(N98))))</f>
        <v/>
      </c>
      <c r="P98" s="6608"/>
      <c r="Q98" s="6604"/>
      <c r="R98" s="6605"/>
      <c r="T98" s="2730">
        <v>1</v>
      </c>
    </row>
    <row r="99" spans="3:20" ht="21" customHeight="1">
      <c r="C99" s="3170"/>
      <c r="D99" s="3170"/>
      <c r="E99" s="6605"/>
      <c r="F99" s="3170"/>
      <c r="G99" s="6577" t="str">
        <f t="shared" si="30"/>
        <v/>
      </c>
      <c r="H99" s="6581" t="str">
        <f t="shared" si="31"/>
        <v/>
      </c>
      <c r="I99" s="6582" t="str">
        <f>IF(LEN(TRIM(N99))&gt;0,MAX(I29:I98)+1,"")</f>
        <v/>
      </c>
      <c r="J99" s="2873" t="str">
        <f>IFERROR(INDEX(N30:N299,MATCH(ROW()-ROW(N30)+1,I30:I299,0)),"")</f>
        <v/>
      </c>
      <c r="K99" s="6606"/>
      <c r="L99" s="3170"/>
      <c r="M99" s="6596"/>
      <c r="N99" s="6597" t="str">
        <f>IF(OR(O98="",M98=""),"",IF(LEN(O98)&lt;=M98,O98,IFERROR(LEFT(O98,FIND("♦",SUBSTITUTE(LEFT(O98,M98+1)," ","♦",LEN(LEFT(O98,M98+1))-LEN(SUBSTITUTE(LEFT(O98,M98+1)," ",""))))),LEFT(O98,IFERROR(FIND(" ",O98)-1,LEN(O98))))))</f>
        <v/>
      </c>
      <c r="O99" s="6597" t="str">
        <f t="shared" si="32"/>
        <v/>
      </c>
      <c r="P99" s="6608"/>
      <c r="Q99" s="6604"/>
      <c r="R99" s="6605"/>
      <c r="T99" s="2730">
        <v>1</v>
      </c>
    </row>
    <row r="100" spans="3:20" ht="21" customHeight="1">
      <c r="C100" s="3170"/>
      <c r="D100" s="3170"/>
      <c r="E100" s="6605"/>
      <c r="F100" s="3170"/>
      <c r="G100" s="6577" t="str">
        <f t="shared" si="30"/>
        <v/>
      </c>
      <c r="H100" s="6581" t="str">
        <f t="shared" si="31"/>
        <v/>
      </c>
      <c r="I100" s="6582" t="str">
        <f>IF(LEN(TRIM(N100))&gt;0,MAX(I29:I99)+1,"")</f>
        <v/>
      </c>
      <c r="J100" s="2873" t="str">
        <f>IFERROR(INDEX(N30:N299,MATCH(ROW()-ROW(N30)+1,I30:I299,0)),"")</f>
        <v/>
      </c>
      <c r="K100" s="6606"/>
      <c r="L100" s="3170"/>
      <c r="M100" s="6599"/>
      <c r="N100" s="6597" t="str">
        <f>IF(OR(O99="",M98=""),"",IF(LEN(O99)&lt;=M98,O99,IFERROR(LEFT(O99,FIND("♦",SUBSTITUTE(LEFT(O99,M98+1)," ","♦",LEN(LEFT(O99,M98+1))-LEN(SUBSTITUTE(LEFT(O99,M98+1)," ",""))))),LEFT(O99,IFERROR(FIND(" ",O99)-1,LEN(O99))))))</f>
        <v/>
      </c>
      <c r="O100" s="6597" t="str">
        <f t="shared" si="32"/>
        <v/>
      </c>
      <c r="P100" s="6608"/>
      <c r="Q100" s="6604"/>
      <c r="R100" s="6605"/>
      <c r="T100" s="2730">
        <v>1</v>
      </c>
    </row>
    <row r="101" spans="3:20" ht="21" customHeight="1">
      <c r="C101" s="3170"/>
      <c r="D101" s="3170"/>
      <c r="E101" s="6605"/>
      <c r="F101" s="3170"/>
      <c r="G101" s="6577" t="str">
        <f t="shared" si="30"/>
        <v/>
      </c>
      <c r="H101" s="6581" t="str">
        <f t="shared" si="31"/>
        <v/>
      </c>
      <c r="I101" s="6582" t="str">
        <f>IF(LEN(TRIM(N101))&gt;0,MAX(I29:I100)+1,"")</f>
        <v/>
      </c>
      <c r="J101" s="2873" t="str">
        <f>IFERROR(INDEX(N30:N299,MATCH(ROW()-ROW(N30)+1,I30:I299,0)),"")</f>
        <v/>
      </c>
      <c r="K101" s="6606"/>
      <c r="L101" s="3170"/>
      <c r="M101" s="6600"/>
      <c r="N101" s="6597" t="str">
        <f>IF(OR(O100="",M98=""),"",IF(LEN(O100)&lt;=M98,O100,IFERROR(LEFT(O100,FIND("♦",SUBSTITUTE(LEFT(O100,M98+1)," ","♦",LEN(LEFT(O100,M98+1))-LEN(SUBSTITUTE(LEFT(O100,M98+1)," ",""))))),LEFT(O100,IFERROR(FIND(" ",O100)-1,LEN(O100))))))</f>
        <v/>
      </c>
      <c r="O101" s="6597" t="str">
        <f t="shared" si="32"/>
        <v/>
      </c>
      <c r="P101" s="6608"/>
      <c r="Q101" s="6604"/>
      <c r="R101" s="6605"/>
      <c r="T101" s="2730">
        <v>1</v>
      </c>
    </row>
    <row r="102" spans="3:20" ht="21" customHeight="1">
      <c r="C102" s="3170"/>
      <c r="D102" s="3170"/>
      <c r="E102" s="6605"/>
      <c r="F102" s="3170"/>
      <c r="G102" s="6577" t="str">
        <f t="shared" si="30"/>
        <v/>
      </c>
      <c r="H102" s="6581" t="str">
        <f t="shared" si="31"/>
        <v/>
      </c>
      <c r="I102" s="6582">
        <f>IF(LEN(TRIM(N102))&gt;0,MAX(I29:I101)+1,"")</f>
        <v>30</v>
      </c>
      <c r="J102" s="2873" t="str">
        <f>IFERROR(INDEX(N30:N299,MATCH(ROW()-ROW(N30)+1,I30:I299,0)),"")</f>
        <v/>
      </c>
      <c r="K102" s="6606"/>
      <c r="L102" s="3170"/>
      <c r="M102" s="6583" t="str">
        <f>(SUBSTITUTE(SUBSTITUTE(E42,CHAR(13)&amp;CHAR(10)," "),CHAR(10)," "))</f>
        <v>8. Ajoutez les champignons dans la cocotte environ 30 minutes avant la fin de la cuisson.</v>
      </c>
      <c r="N102" s="6584" t="str">
        <f>IF(OR(M103="",M104=""),"",IF(LEN(M103)&lt;=M104,M103,IFERROR(LEFT(M103,FIND("♦",SUBSTITUTE(LEFT(M103,M104+1)," ","♦",LEN(LEFT(M103,M104+1))-LEN(SUBSTITUTE(LEFT(M103,M104+1)," ",""))))),LEFT(M103,IFERROR(FIND(" ",M103)-1,LEN(M103))))))</f>
        <v xml:space="preserve">8 Ajoutez les champignons dans la cocotte environ </v>
      </c>
      <c r="O102" s="6585" t="str">
        <f>IF(N102="","",TRIM(RIGHT(M103,LEN(M103)-LEN(N102))))</f>
        <v>30 minutes avant la fin de la cuisson</v>
      </c>
      <c r="P102" s="6586" t="str">
        <f>F42</f>
        <v xml:space="preserve"> ◄ ligne 42</v>
      </c>
      <c r="Q102" s="6604"/>
      <c r="R102" s="6605"/>
      <c r="T102" s="2730">
        <v>1</v>
      </c>
    </row>
    <row r="103" spans="3:20" ht="21" customHeight="1">
      <c r="C103" s="3170"/>
      <c r="D103" s="3170"/>
      <c r="E103" s="6605"/>
      <c r="F103" s="3170"/>
      <c r="G103" s="6577" t="str">
        <f t="shared" si="30"/>
        <v/>
      </c>
      <c r="H103" s="6581" t="str">
        <f t="shared" si="31"/>
        <v/>
      </c>
      <c r="I103" s="6582">
        <f>IF(LEN(TRIM(N103))&gt;0,MAX(I29:I102)+1,"")</f>
        <v>31</v>
      </c>
      <c r="J103" s="2873" t="str">
        <f>IFERROR(INDEX(N30:N299,MATCH(ROW()-ROW(N30)+1,I30:I299,0)),"")</f>
        <v/>
      </c>
      <c r="K103" s="6606"/>
      <c r="L103" s="3170"/>
      <c r="M103" s="6584" t="str">
        <f>TRIM(SUBSTITUTE(SUBSTITUTE(SUBSTITUTE(SUBSTITUTE(IF(OR(LEFT(M102,1)="-",LEFT(M102,1)="="),MID(M102,2,9999),M102),CHAR(160)," "),","," "),";"," "),"."," "))</f>
        <v>8 Ajoutez les champignons dans la cocotte environ 30 minutes avant la fin de la cuisson</v>
      </c>
      <c r="N103" s="6585" t="str">
        <f>IF(OR(O102="",M104=""),"",IF(LEN(O102)&lt;=M104,O102,IFERROR(LEFT(O102,FIND("♦",SUBSTITUTE(LEFT(O102,M104+1)," ","♦",LEN(LEFT(O102,M104+1))-LEN(SUBSTITUTE(LEFT(O102,M104+1)," ",""))))),LEFT(O102,IFERROR(FIND(" ",O102)-1,LEN(O102))))))</f>
        <v>30 minutes avant la fin de la cuisson</v>
      </c>
      <c r="O103" s="6585" t="str">
        <f>IF(N103="","",TRIM(RIGHT(O102,LEN(O102)-LEN(N103))))</f>
        <v/>
      </c>
      <c r="P103" s="6607"/>
      <c r="Q103" s="6604"/>
      <c r="R103" s="6605"/>
      <c r="T103" s="2730">
        <v>1</v>
      </c>
    </row>
    <row r="104" spans="3:20" ht="21" customHeight="1">
      <c r="C104" s="3170"/>
      <c r="D104" s="3170"/>
      <c r="E104" s="6605"/>
      <c r="F104" s="3170"/>
      <c r="G104" s="6577" t="str">
        <f t="shared" si="30"/>
        <v/>
      </c>
      <c r="H104" s="6581" t="str">
        <f t="shared" si="31"/>
        <v/>
      </c>
      <c r="I104" s="6582" t="str">
        <f>IF(LEN(TRIM(N104))&gt;0,MAX(I29:I103)+1,"")</f>
        <v/>
      </c>
      <c r="J104" s="2873" t="str">
        <f>IFERROR(INDEX(N30:N299,MATCH(ROW()-ROW(N30)+1,I30:I299,0)),"")</f>
        <v/>
      </c>
      <c r="K104" s="6606"/>
      <c r="L104" s="3170"/>
      <c r="M104" s="6592">
        <f>J17</f>
        <v>50</v>
      </c>
      <c r="N104" s="6585" t="str">
        <f>IF(OR(O103="",M104=""),"",IF(LEN(O103)&lt;=M104,O103,IFERROR(LEFT(O103,FIND("♦",SUBSTITUTE(LEFT(O103,M104+1)," ","♦",LEN(LEFT(O103,M104+1))-LEN(SUBSTITUTE(LEFT(O103,M104+1)," ",""))))),LEFT(O103,IFERROR(FIND(" ",O103)-1,LEN(O103))))))</f>
        <v/>
      </c>
      <c r="O104" s="6585" t="str">
        <f t="shared" ref="O104:O107" si="33">IF(N104="","",TRIM(RIGHT(O103,LEN(O103)-LEN(N104))))</f>
        <v/>
      </c>
      <c r="P104" s="6607"/>
      <c r="Q104" s="6604"/>
      <c r="R104" s="6605"/>
      <c r="T104" s="2730">
        <v>1</v>
      </c>
    </row>
    <row r="105" spans="3:20" ht="21" customHeight="1">
      <c r="E105" s="6605"/>
      <c r="G105" s="6577" t="str">
        <f t="shared" si="30"/>
        <v/>
      </c>
      <c r="H105" s="6581" t="str">
        <f t="shared" si="31"/>
        <v/>
      </c>
      <c r="I105" s="6582" t="str">
        <f>IF(LEN(TRIM(N105))&gt;0,MAX(I29:I104)+1,"")</f>
        <v/>
      </c>
      <c r="J105" s="2873" t="str">
        <f>IFERROR(INDEX(N30:N299,MATCH(ROW()-ROW(N30)+1,I30:I299,0)),"")</f>
        <v/>
      </c>
      <c r="K105" s="304"/>
      <c r="M105" s="6584"/>
      <c r="N105" s="6585" t="str">
        <f>IF(OR(O104="",M104=""),"",IF(LEN(O104)&lt;=M104,O104,IFERROR(LEFT(O104,FIND("♦",SUBSTITUTE(LEFT(O104,M104+1)," ","♦",LEN(LEFT(O104,M104+1))-LEN(SUBSTITUTE(LEFT(O104,M104+1)," ",""))))),LEFT(O104,IFERROR(FIND(" ",O104)-1,LEN(O104))))))</f>
        <v/>
      </c>
      <c r="O105" s="6585" t="str">
        <f t="shared" si="33"/>
        <v/>
      </c>
      <c r="P105" s="6607"/>
      <c r="Q105" s="6604"/>
      <c r="R105" s="6605"/>
      <c r="T105" s="2730">
        <v>1</v>
      </c>
    </row>
    <row r="106" spans="3:20" ht="21" customHeight="1">
      <c r="E106" s="6605"/>
      <c r="G106" s="6577" t="str">
        <f t="shared" si="30"/>
        <v/>
      </c>
      <c r="H106" s="6581" t="str">
        <f t="shared" si="31"/>
        <v/>
      </c>
      <c r="I106" s="6582" t="str">
        <f>IF(LEN(TRIM(N106))&gt;0,MAX(I29:I105)+1,"")</f>
        <v/>
      </c>
      <c r="J106" s="2873" t="str">
        <f>IFERROR(INDEX(N30:N299,MATCH(ROW()-ROW(N30)+1,I30:I299,0)),"")</f>
        <v/>
      </c>
      <c r="K106" s="304"/>
      <c r="M106" s="6594"/>
      <c r="N106" s="6585" t="str">
        <f>IF(OR(O105="",M104=""),"",IF(LEN(O105)&lt;=M104,O105,IFERROR(LEFT(O105,FIND("♦",SUBSTITUTE(LEFT(O105,M104+1)," ","♦",LEN(LEFT(O105,M104+1))-LEN(SUBSTITUTE(LEFT(O105,M104+1)," ",""))))),LEFT(O105,IFERROR(FIND(" ",O105)-1,LEN(O105))))))</f>
        <v/>
      </c>
      <c r="O106" s="6585" t="str">
        <f t="shared" si="33"/>
        <v/>
      </c>
      <c r="P106" s="6607"/>
      <c r="Q106" s="6604"/>
      <c r="R106" s="6605"/>
      <c r="T106" s="2730">
        <v>1</v>
      </c>
    </row>
    <row r="107" spans="3:20" ht="21" customHeight="1">
      <c r="E107" s="6605"/>
      <c r="G107" s="6577" t="str">
        <f t="shared" si="30"/>
        <v/>
      </c>
      <c r="H107" s="6581" t="str">
        <f t="shared" si="31"/>
        <v/>
      </c>
      <c r="I107" s="6582" t="str">
        <f>IF(LEN(TRIM(N107))&gt;0,MAX(I29:I106)+1,"")</f>
        <v/>
      </c>
      <c r="J107" s="2873" t="str">
        <f>IFERROR(INDEX(N30:N299,MATCH(ROW()-ROW(N30)+1,I30:I299,0)),"")</f>
        <v/>
      </c>
      <c r="K107" s="304"/>
      <c r="M107" s="6595"/>
      <c r="N107" s="6585" t="str">
        <f>IF(OR(O106="",M104=""),"",IF(LEN(O106)&lt;=M104,O106,IFERROR(LEFT(O106,FIND("♦",SUBSTITUTE(LEFT(O106,M104+1)," ","♦",LEN(LEFT(O106,M104+1))-LEN(SUBSTITUTE(LEFT(O106,M104+1)," ",""))))),LEFT(O106,IFERROR(FIND(" ",O106)-1,LEN(O106))))))</f>
        <v/>
      </c>
      <c r="O107" s="6585" t="str">
        <f t="shared" si="33"/>
        <v/>
      </c>
      <c r="P107" s="6607"/>
      <c r="Q107" s="6604"/>
      <c r="R107" s="6605"/>
      <c r="T107" s="2730">
        <v>1</v>
      </c>
    </row>
    <row r="108" spans="3:20" ht="21" customHeight="1">
      <c r="E108" s="6605"/>
      <c r="G108" s="6577" t="str">
        <f t="shared" si="30"/>
        <v/>
      </c>
      <c r="H108" s="6581" t="str">
        <f t="shared" si="31"/>
        <v/>
      </c>
      <c r="I108" s="6582">
        <f>IF(LEN(TRIM(N108))&gt;0,MAX(I29:I107)+1,"")</f>
        <v>32</v>
      </c>
      <c r="J108" s="2873" t="str">
        <f>IFERROR(INDEX(N30:N299,MATCH(ROW()-ROW(N30)+1,I30:I299,0)),"")</f>
        <v/>
      </c>
      <c r="K108" s="304"/>
      <c r="M108" s="6583" t="str">
        <f>(SUBSTITUTE(SUBSTITUTE(E43,CHAR(13)&amp;CHAR(10)," "),CHAR(10)," "))</f>
        <v>9. Servez le bœuf bourguignon bien chaud accompagné de pommes de terre, de pâtes ou de riz.</v>
      </c>
      <c r="N108" s="6596" t="str">
        <f>IF(OR(M109="",M110=""),"",IF(LEN(M109)&lt;=M110,M109,IFERROR(LEFT(M109,FIND("♦",SUBSTITUTE(LEFT(M109,M110+1)," ","♦",LEN(LEFT(M109,M110+1))-LEN(SUBSTITUTE(LEFT(M109,M110+1)," ",""))))),LEFT(M109,IFERROR(FIND(" ",M109)-1,LEN(M109))))))</f>
        <v xml:space="preserve">9 Servez le bœuf bourguignon bien chaud accompagné </v>
      </c>
      <c r="O108" s="6597" t="str">
        <f>IF(N108="","",TRIM(RIGHT(M109,LEN(M109)-LEN(N108))))</f>
        <v>de pommes de terre de pâtes ou de riz</v>
      </c>
      <c r="P108" s="6586" t="str">
        <f>F43</f>
        <v xml:space="preserve"> ◄ ligne 43</v>
      </c>
      <c r="Q108" s="6604"/>
      <c r="R108" s="6605"/>
      <c r="T108" s="2730">
        <v>1</v>
      </c>
    </row>
    <row r="109" spans="3:20" ht="21" customHeight="1">
      <c r="E109" s="6605"/>
      <c r="G109" s="6577" t="str">
        <f t="shared" si="30"/>
        <v/>
      </c>
      <c r="H109" s="6581" t="str">
        <f t="shared" si="31"/>
        <v/>
      </c>
      <c r="I109" s="6582">
        <f>IF(LEN(TRIM(N109))&gt;0,MAX(I29:I108)+1,"")</f>
        <v>33</v>
      </c>
      <c r="J109" s="2873" t="str">
        <f>IFERROR(INDEX(N30:N299,MATCH(ROW()-ROW(N30)+1,I30:I299,0)),"")</f>
        <v/>
      </c>
      <c r="K109" s="304"/>
      <c r="M109" s="6596" t="str">
        <f>TRIM(SUBSTITUTE(SUBSTITUTE(SUBSTITUTE(SUBSTITUTE(IF(OR(LEFT(M108,1)="-",LEFT(M108,1)="="),MID(M108,2,9999),M108),CHAR(160)," "),","," "),";"," "),"."," "))</f>
        <v>9 Servez le bœuf bourguignon bien chaud accompagné de pommes de terre de pâtes ou de riz</v>
      </c>
      <c r="N109" s="6597" t="str">
        <f>IF(OR(O108="",M110=""),"",IF(LEN(O108)&lt;=M110,O108,IFERROR(LEFT(O108,FIND("♦",SUBSTITUTE(LEFT(O108,M110+1)," ","♦",LEN(LEFT(O108,M110+1))-LEN(SUBSTITUTE(LEFT(O108,M110+1)," ",""))))),LEFT(O108,IFERROR(FIND(" ",O108)-1,LEN(O108))))))</f>
        <v>de pommes de terre de pâtes ou de riz</v>
      </c>
      <c r="O109" s="6597" t="str">
        <f>IF(N109="","",TRIM(RIGHT(O108,LEN(O108)-LEN(N109))))</f>
        <v/>
      </c>
      <c r="P109" s="6608"/>
      <c r="Q109" s="6604"/>
      <c r="R109" s="6605"/>
      <c r="T109" s="2730">
        <v>1</v>
      </c>
    </row>
    <row r="110" spans="3:20" ht="21" customHeight="1">
      <c r="E110" s="6605"/>
      <c r="G110" s="6577" t="str">
        <f t="shared" si="30"/>
        <v/>
      </c>
      <c r="H110" s="6581" t="str">
        <f t="shared" si="31"/>
        <v/>
      </c>
      <c r="I110" s="6582" t="str">
        <f>IF(LEN(TRIM(N110))&gt;0,MAX(I29:I109)+1,"")</f>
        <v/>
      </c>
      <c r="J110" s="2873" t="str">
        <f>IFERROR(INDEX(N30:N299,MATCH(ROW()-ROW(N30)+1,I30:I299,0)),"")</f>
        <v/>
      </c>
      <c r="K110" s="304"/>
      <c r="M110" s="6592">
        <f>J17</f>
        <v>50</v>
      </c>
      <c r="N110" s="6597" t="str">
        <f>IF(OR(O109="",M110=""),"",IF(LEN(O109)&lt;=M110,O109,IFERROR(LEFT(O109,FIND("♦",SUBSTITUTE(LEFT(O109,M110+1)," ","♦",LEN(LEFT(O109,M110+1))-LEN(SUBSTITUTE(LEFT(O109,M110+1)," ",""))))),LEFT(O109,IFERROR(FIND(" ",O109)-1,LEN(O109))))))</f>
        <v/>
      </c>
      <c r="O110" s="6597" t="str">
        <f t="shared" ref="O110:O113" si="34">IF(N110="","",TRIM(RIGHT(O109,LEN(O109)-LEN(N110))))</f>
        <v/>
      </c>
      <c r="P110" s="6608"/>
      <c r="Q110" s="6604"/>
      <c r="R110" s="6605"/>
      <c r="T110" s="2730">
        <v>1</v>
      </c>
    </row>
    <row r="111" spans="3:20" ht="21" customHeight="1">
      <c r="E111" s="6605"/>
      <c r="G111" s="6577" t="str">
        <f t="shared" si="30"/>
        <v/>
      </c>
      <c r="H111" s="6581" t="str">
        <f t="shared" si="31"/>
        <v/>
      </c>
      <c r="I111" s="6582" t="str">
        <f>IF(LEN(TRIM(N111))&gt;0,MAX(I29:I110)+1,"")</f>
        <v/>
      </c>
      <c r="J111" s="2873" t="str">
        <f>IFERROR(INDEX(N30:N299,MATCH(ROW()-ROW(N30)+1,I30:I299,0)),"")</f>
        <v/>
      </c>
      <c r="K111" s="304"/>
      <c r="M111" s="6596"/>
      <c r="N111" s="6597" t="str">
        <f>IF(OR(O110="",M110=""),"",IF(LEN(O110)&lt;=M110,O110,IFERROR(LEFT(O110,FIND("♦",SUBSTITUTE(LEFT(O110,M110+1)," ","♦",LEN(LEFT(O110,M110+1))-LEN(SUBSTITUTE(LEFT(O110,M110+1)," ",""))))),LEFT(O110,IFERROR(FIND(" ",O110)-1,LEN(O110))))))</f>
        <v/>
      </c>
      <c r="O111" s="6597" t="str">
        <f t="shared" si="34"/>
        <v/>
      </c>
      <c r="P111" s="6608"/>
      <c r="Q111" s="6604"/>
      <c r="R111" s="6605"/>
      <c r="T111" s="2730">
        <v>1</v>
      </c>
    </row>
    <row r="112" spans="3:20" ht="21" customHeight="1">
      <c r="E112" s="6605"/>
      <c r="G112" s="6577" t="str">
        <f t="shared" si="30"/>
        <v/>
      </c>
      <c r="H112" s="6581" t="str">
        <f t="shared" si="31"/>
        <v/>
      </c>
      <c r="I112" s="6582" t="str">
        <f>IF(LEN(TRIM(N112))&gt;0,MAX(I29:I111)+1,"")</f>
        <v/>
      </c>
      <c r="J112" s="2873" t="str">
        <f>IFERROR(INDEX(N30:N299,MATCH(ROW()-ROW(N30)+1,I30:I299,0)),"")</f>
        <v/>
      </c>
      <c r="K112" s="304"/>
      <c r="M112" s="6599"/>
      <c r="N112" s="6597" t="str">
        <f>IF(OR(O111="",M110=""),"",IF(LEN(O111)&lt;=M110,O111,IFERROR(LEFT(O111,FIND("♦",SUBSTITUTE(LEFT(O111,M110+1)," ","♦",LEN(LEFT(O111,M110+1))-LEN(SUBSTITUTE(LEFT(O111,M110+1)," ",""))))),LEFT(O111,IFERROR(FIND(" ",O111)-1,LEN(O111))))))</f>
        <v/>
      </c>
      <c r="O112" s="6597" t="str">
        <f t="shared" si="34"/>
        <v/>
      </c>
      <c r="P112" s="6608"/>
      <c r="Q112" s="6604"/>
      <c r="R112" s="6605"/>
      <c r="T112" s="2730">
        <v>1</v>
      </c>
    </row>
    <row r="113" spans="5:20" ht="21" customHeight="1">
      <c r="E113" s="6605"/>
      <c r="G113" s="6577" t="str">
        <f t="shared" si="30"/>
        <v/>
      </c>
      <c r="H113" s="6581" t="str">
        <f t="shared" si="31"/>
        <v/>
      </c>
      <c r="I113" s="6582" t="str">
        <f>IF(LEN(TRIM(N113))&gt;0,MAX(I29:I112)+1,"")</f>
        <v/>
      </c>
      <c r="J113" s="2873" t="str">
        <f>IFERROR(INDEX(N30:N299,MATCH(ROW()-ROW(N30)+1,I30:I299,0)),"")</f>
        <v/>
      </c>
      <c r="K113" s="304"/>
      <c r="M113" s="6600"/>
      <c r="N113" s="6597" t="str">
        <f>IF(OR(O112="",M110=""),"",IF(LEN(O112)&lt;=M110,O112,IFERROR(LEFT(O112,FIND("♦",SUBSTITUTE(LEFT(O112,M110+1)," ","♦",LEN(LEFT(O112,M110+1))-LEN(SUBSTITUTE(LEFT(O112,M110+1)," ",""))))),LEFT(O112,IFERROR(FIND(" ",O112)-1,LEN(O112))))))</f>
        <v/>
      </c>
      <c r="O113" s="6597" t="str">
        <f t="shared" si="34"/>
        <v/>
      </c>
      <c r="P113" s="6608"/>
      <c r="Q113" s="6604"/>
      <c r="R113" s="6605"/>
      <c r="T113" s="2730">
        <v>1</v>
      </c>
    </row>
    <row r="114" spans="5:20" ht="21" customHeight="1">
      <c r="E114" s="6605"/>
      <c r="G114" s="6577" t="str">
        <f t="shared" si="30"/>
        <v/>
      </c>
      <c r="H114" s="6581" t="str">
        <f t="shared" si="31"/>
        <v/>
      </c>
      <c r="I114" s="6582" t="str">
        <f>IF(LEN(TRIM(N114))&gt;0,MAX(I29:I113)+1,"")</f>
        <v/>
      </c>
      <c r="J114" s="2873" t="str">
        <f>IFERROR(INDEX(N30:N299,MATCH(ROW()-ROW(N30)+1,I30:I299,0)),"")</f>
        <v/>
      </c>
      <c r="K114" s="304"/>
      <c r="M114" s="6583" t="str">
        <f>(SUBSTITUTE(SUBSTITUTE(E44,CHAR(13)&amp;CHAR(10)," "),CHAR(10)," "))</f>
        <v/>
      </c>
      <c r="N114" s="6584" t="str">
        <f>IF(OR(M115="",M116=""),"",IF(LEN(M115)&lt;=M116,M115,IFERROR(LEFT(M115,FIND("♦",SUBSTITUTE(LEFT(M115,M116+1)," ","♦",LEN(LEFT(M115,M116+1))-LEN(SUBSTITUTE(LEFT(M115,M116+1)," ",""))))),LEFT(M115,IFERROR(FIND(" ",M115)-1,LEN(M115))))))</f>
        <v/>
      </c>
      <c r="O114" s="6585" t="str">
        <f>IF(N114="","",TRIM(RIGHT(M115,LEN(M115)-LEN(N114))))</f>
        <v/>
      </c>
      <c r="P114" s="6586" t="str">
        <f>F44</f>
        <v xml:space="preserve"> ◄ ligne 44</v>
      </c>
      <c r="Q114" s="6604"/>
      <c r="R114" s="6605"/>
      <c r="T114" s="2730">
        <v>1</v>
      </c>
    </row>
    <row r="115" spans="5:20" ht="21" customHeight="1">
      <c r="E115" s="6605"/>
      <c r="G115" s="6577" t="str">
        <f t="shared" si="30"/>
        <v/>
      </c>
      <c r="H115" s="6581" t="str">
        <f t="shared" si="31"/>
        <v/>
      </c>
      <c r="I115" s="6582" t="str">
        <f>IF(LEN(TRIM(N115))&gt;0,MAX(I29:I114)+1,"")</f>
        <v/>
      </c>
      <c r="J115" s="2873" t="str">
        <f>IFERROR(INDEX(N30:N299,MATCH(ROW()-ROW(N30)+1,I30:I299,0)),"")</f>
        <v/>
      </c>
      <c r="K115" s="304"/>
      <c r="M115" s="6584" t="str">
        <f>TRIM(SUBSTITUTE(SUBSTITUTE(SUBSTITUTE(SUBSTITUTE(IF(OR(LEFT(M114,1)="-",LEFT(M114,1)="="),MID(M114,2,9999),M114),CHAR(160)," "),","," "),";"," "),"."," "))</f>
        <v/>
      </c>
      <c r="N115" s="6585" t="str">
        <f>IF(OR(O114="",M116=""),"",IF(LEN(O114)&lt;=M116,O114,IFERROR(LEFT(O114,FIND("♦",SUBSTITUTE(LEFT(O114,M116+1)," ","♦",LEN(LEFT(O114,M116+1))-LEN(SUBSTITUTE(LEFT(O114,M116+1)," ",""))))),LEFT(O114,IFERROR(FIND(" ",O114)-1,LEN(O114))))))</f>
        <v/>
      </c>
      <c r="O115" s="6585" t="str">
        <f>IF(N115="","",TRIM(RIGHT(O114,LEN(O114)-LEN(N115))))</f>
        <v/>
      </c>
      <c r="P115" s="6607"/>
      <c r="Q115" s="6604"/>
      <c r="R115" s="6605"/>
      <c r="T115" s="2730">
        <v>1</v>
      </c>
    </row>
    <row r="116" spans="5:20" ht="21" customHeight="1">
      <c r="E116" s="6605"/>
      <c r="G116" s="6577" t="str">
        <f t="shared" si="30"/>
        <v/>
      </c>
      <c r="H116" s="6581" t="str">
        <f t="shared" si="31"/>
        <v/>
      </c>
      <c r="I116" s="6582" t="str">
        <f>IF(LEN(TRIM(N116))&gt;0,MAX(I29:I115)+1,"")</f>
        <v/>
      </c>
      <c r="J116" s="2873" t="str">
        <f>IFERROR(INDEX(N30:N299,MATCH(ROW()-ROW(N30)+1,I30:I299,0)),"")</f>
        <v/>
      </c>
      <c r="K116" s="304"/>
      <c r="M116" s="6592">
        <f>J17</f>
        <v>50</v>
      </c>
      <c r="N116" s="6585" t="str">
        <f>IF(OR(O115="",M116=""),"",IF(LEN(O115)&lt;=M116,O115,IFERROR(LEFT(O115,FIND("♦",SUBSTITUTE(LEFT(O115,M116+1)," ","♦",LEN(LEFT(O115,M116+1))-LEN(SUBSTITUTE(LEFT(O115,M116+1)," ",""))))),LEFT(O115,IFERROR(FIND(" ",O115)-1,LEN(O115))))))</f>
        <v/>
      </c>
      <c r="O116" s="6585" t="str">
        <f t="shared" ref="O116:O119" si="35">IF(N116="","",TRIM(RIGHT(O115,LEN(O115)-LEN(N116))))</f>
        <v/>
      </c>
      <c r="P116" s="6607"/>
      <c r="Q116" s="6604"/>
      <c r="R116" s="6605"/>
      <c r="T116" s="2730">
        <v>1</v>
      </c>
    </row>
    <row r="117" spans="5:20" ht="21" customHeight="1">
      <c r="E117" s="6605"/>
      <c r="G117" s="6577" t="str">
        <f t="shared" si="30"/>
        <v/>
      </c>
      <c r="H117" s="6581" t="str">
        <f t="shared" si="31"/>
        <v/>
      </c>
      <c r="I117" s="6582" t="str">
        <f>IF(LEN(TRIM(N117))&gt;0,MAX(I29:I116)+1,"")</f>
        <v/>
      </c>
      <c r="J117" s="2873" t="str">
        <f>IFERROR(INDEX(N30:N299,MATCH(ROW()-ROW(N30)+1,I30:I299,0)),"")</f>
        <v/>
      </c>
      <c r="K117" s="304"/>
      <c r="M117" s="6584"/>
      <c r="N117" s="6585" t="str">
        <f>IF(OR(O116="",M116=""),"",IF(LEN(O116)&lt;=M116,O116,IFERROR(LEFT(O116,FIND("♦",SUBSTITUTE(LEFT(O116,M116+1)," ","♦",LEN(LEFT(O116,M116+1))-LEN(SUBSTITUTE(LEFT(O116,M116+1)," ",""))))),LEFT(O116,IFERROR(FIND(" ",O116)-1,LEN(O116))))))</f>
        <v/>
      </c>
      <c r="O117" s="6585" t="str">
        <f t="shared" si="35"/>
        <v/>
      </c>
      <c r="P117" s="6607"/>
      <c r="Q117" s="6604"/>
      <c r="R117" s="6605"/>
      <c r="T117" s="2730">
        <v>1</v>
      </c>
    </row>
    <row r="118" spans="5:20" ht="21" customHeight="1">
      <c r="E118" s="6605"/>
      <c r="G118" s="6577" t="str">
        <f t="shared" si="30"/>
        <v/>
      </c>
      <c r="H118" s="6581" t="str">
        <f t="shared" si="31"/>
        <v/>
      </c>
      <c r="I118" s="6582" t="str">
        <f>IF(LEN(TRIM(N118))&gt;0,MAX(I29:I117)+1,"")</f>
        <v/>
      </c>
      <c r="J118" s="2873" t="str">
        <f>IFERROR(INDEX(N30:N299,MATCH(ROW()-ROW(N30)+1,I30:I299,0)),"")</f>
        <v/>
      </c>
      <c r="K118" s="304"/>
      <c r="M118" s="6594"/>
      <c r="N118" s="6585" t="str">
        <f>IF(OR(O117="",M116=""),"",IF(LEN(O117)&lt;=M116,O117,IFERROR(LEFT(O117,FIND("♦",SUBSTITUTE(LEFT(O117,M116+1)," ","♦",LEN(LEFT(O117,M116+1))-LEN(SUBSTITUTE(LEFT(O117,M116+1)," ",""))))),LEFT(O117,IFERROR(FIND(" ",O117)-1,LEN(O117))))))</f>
        <v/>
      </c>
      <c r="O118" s="6585" t="str">
        <f t="shared" si="35"/>
        <v/>
      </c>
      <c r="P118" s="6607"/>
      <c r="Q118" s="6604"/>
      <c r="R118" s="6605"/>
      <c r="T118" s="2730">
        <v>1</v>
      </c>
    </row>
    <row r="119" spans="5:20" ht="21" customHeight="1">
      <c r="E119" s="6605"/>
      <c r="G119" s="6577" t="str">
        <f t="shared" si="30"/>
        <v/>
      </c>
      <c r="H119" s="6581" t="str">
        <f t="shared" si="31"/>
        <v/>
      </c>
      <c r="I119" s="6582" t="str">
        <f>IF(LEN(TRIM(N119))&gt;0,MAX(I29:I118)+1,"")</f>
        <v/>
      </c>
      <c r="J119" s="2873" t="str">
        <f>IFERROR(INDEX(N30:N299,MATCH(ROW()-ROW(N30)+1,I30:I299,0)),"")</f>
        <v/>
      </c>
      <c r="K119" s="304"/>
      <c r="M119" s="6595"/>
      <c r="N119" s="6585" t="str">
        <f>IF(OR(O118="",M116=""),"",IF(LEN(O118)&lt;=M116,O118,IFERROR(LEFT(O118,FIND("♦",SUBSTITUTE(LEFT(O118,M116+1)," ","♦",LEN(LEFT(O118,M116+1))-LEN(SUBSTITUTE(LEFT(O118,M116+1)," ",""))))),LEFT(O118,IFERROR(FIND(" ",O118)-1,LEN(O118))))))</f>
        <v/>
      </c>
      <c r="O119" s="6585" t="str">
        <f t="shared" si="35"/>
        <v/>
      </c>
      <c r="P119" s="6607"/>
      <c r="Q119" s="6604"/>
      <c r="R119" s="6605"/>
      <c r="T119" s="2730">
        <v>1</v>
      </c>
    </row>
    <row r="120" spans="5:20" ht="21" customHeight="1">
      <c r="E120" s="6605"/>
      <c r="G120" s="6577" t="str">
        <f t="shared" si="30"/>
        <v/>
      </c>
      <c r="H120" s="6581" t="str">
        <f t="shared" si="31"/>
        <v/>
      </c>
      <c r="I120" s="6582" t="str">
        <f>IF(LEN(TRIM(N120))&gt;0,MAX(I29:I119)+1,"")</f>
        <v/>
      </c>
      <c r="J120" s="2873" t="str">
        <f>IFERROR(INDEX(N30:N299,MATCH(ROW()-ROW(N30)+1,I30:I299,0)),"")</f>
        <v/>
      </c>
      <c r="K120" s="304"/>
      <c r="M120" s="6583" t="str">
        <f>(SUBSTITUTE(SUBSTITUTE(E45,CHAR(13)&amp;CHAR(10)," "),CHAR(10)," "))</f>
        <v/>
      </c>
      <c r="N120" s="6596" t="str">
        <f>IF(OR(M121="",M122=""),"",IF(LEN(M121)&lt;=M122,M121,IFERROR(LEFT(M121,FIND("♦",SUBSTITUTE(LEFT(M121,M122+1)," ","♦",LEN(LEFT(M121,M122+1))-LEN(SUBSTITUTE(LEFT(M121,M122+1)," ",""))))),LEFT(M121,IFERROR(FIND(" ",M121)-1,LEN(M121))))))</f>
        <v/>
      </c>
      <c r="O120" s="6597" t="str">
        <f>IF(N120="","",TRIM(RIGHT(M121,LEN(M121)-LEN(N120))))</f>
        <v/>
      </c>
      <c r="P120" s="6586" t="str">
        <f>F45</f>
        <v xml:space="preserve"> ◄ ligne 45</v>
      </c>
      <c r="Q120" s="6604"/>
      <c r="R120" s="6605"/>
      <c r="T120" s="2730">
        <v>1</v>
      </c>
    </row>
    <row r="121" spans="5:20" ht="21" customHeight="1">
      <c r="E121" s="6605"/>
      <c r="G121" s="6577" t="str">
        <f t="shared" si="30"/>
        <v/>
      </c>
      <c r="H121" s="6581" t="str">
        <f t="shared" si="31"/>
        <v/>
      </c>
      <c r="I121" s="6582" t="str">
        <f>IF(LEN(TRIM(N121))&gt;0,MAX(I29:I120)+1,"")</f>
        <v/>
      </c>
      <c r="J121" s="2873" t="str">
        <f>IFERROR(INDEX(N30:N299,MATCH(ROW()-ROW(N30)+1,I30:I299,0)),"")</f>
        <v/>
      </c>
      <c r="K121" s="304"/>
      <c r="M121" s="6596" t="str">
        <f>TRIM(SUBSTITUTE(SUBSTITUTE(SUBSTITUTE(SUBSTITUTE(IF(OR(LEFT(M120,1)="-",LEFT(M120,1)="="),MID(M120,2,9999),M120),CHAR(160)," "),","," "),";"," "),"."," "))</f>
        <v/>
      </c>
      <c r="N121" s="6597" t="str">
        <f>IF(OR(O120="",M122=""),"",IF(LEN(O120)&lt;=M122,O120,IFERROR(LEFT(O120,FIND("♦",SUBSTITUTE(LEFT(O120,M122+1)," ","♦",LEN(LEFT(O120,M122+1))-LEN(SUBSTITUTE(LEFT(O120,M122+1)," ",""))))),LEFT(O120,IFERROR(FIND(" ",O120)-1,LEN(O120))))))</f>
        <v/>
      </c>
      <c r="O121" s="6597" t="str">
        <f>IF(N121="","",TRIM(RIGHT(O120,LEN(O120)-LEN(N121))))</f>
        <v/>
      </c>
      <c r="P121" s="6608"/>
      <c r="Q121" s="6604"/>
      <c r="R121" s="6605"/>
      <c r="T121" s="2730">
        <v>1</v>
      </c>
    </row>
    <row r="122" spans="5:20" ht="21" customHeight="1">
      <c r="E122" s="6605"/>
      <c r="G122" s="6577" t="str">
        <f t="shared" si="30"/>
        <v/>
      </c>
      <c r="H122" s="6581" t="str">
        <f t="shared" si="31"/>
        <v/>
      </c>
      <c r="I122" s="6582" t="str">
        <f>IF(LEN(TRIM(N122))&gt;0,MAX(I29:I121)+1,"")</f>
        <v/>
      </c>
      <c r="J122" s="2873" t="str">
        <f>IFERROR(INDEX(N30:N299,MATCH(ROW()-ROW(N30)+1,I30:I299,0)),"")</f>
        <v/>
      </c>
      <c r="K122" s="304"/>
      <c r="M122" s="6592">
        <f>J17</f>
        <v>50</v>
      </c>
      <c r="N122" s="6597" t="str">
        <f>IF(OR(O121="",M122=""),"",IF(LEN(O121)&lt;=M122,O121,IFERROR(LEFT(O121,FIND("♦",SUBSTITUTE(LEFT(O121,M122+1)," ","♦",LEN(LEFT(O121,M122+1))-LEN(SUBSTITUTE(LEFT(O121,M122+1)," ",""))))),LEFT(O121,IFERROR(FIND(" ",O121)-1,LEN(O121))))))</f>
        <v/>
      </c>
      <c r="O122" s="6597" t="str">
        <f t="shared" ref="O122:O125" si="36">IF(N122="","",TRIM(RIGHT(O121,LEN(O121)-LEN(N122))))</f>
        <v/>
      </c>
      <c r="P122" s="6608"/>
      <c r="Q122" s="6604"/>
      <c r="R122" s="6605"/>
      <c r="T122" s="2730">
        <v>1</v>
      </c>
    </row>
    <row r="123" spans="5:20" ht="21" customHeight="1">
      <c r="E123" s="6605"/>
      <c r="G123" s="6577" t="str">
        <f t="shared" si="30"/>
        <v/>
      </c>
      <c r="H123" s="6581" t="str">
        <f t="shared" si="31"/>
        <v/>
      </c>
      <c r="I123" s="6582" t="str">
        <f>IF(LEN(TRIM(N123))&gt;0,MAX(I29:I122)+1,"")</f>
        <v/>
      </c>
      <c r="J123" s="2873" t="str">
        <f>IFERROR(INDEX(N30:N299,MATCH(ROW()-ROW(N30)+1,I30:I299,0)),"")</f>
        <v/>
      </c>
      <c r="K123" s="304"/>
      <c r="M123" s="6596"/>
      <c r="N123" s="6597" t="str">
        <f>IF(OR(O122="",M122=""),"",IF(LEN(O122)&lt;=M122,O122,IFERROR(LEFT(O122,FIND("♦",SUBSTITUTE(LEFT(O122,M122+1)," ","♦",LEN(LEFT(O122,M122+1))-LEN(SUBSTITUTE(LEFT(O122,M122+1)," ",""))))),LEFT(O122,IFERROR(FIND(" ",O122)-1,LEN(O122))))))</f>
        <v/>
      </c>
      <c r="O123" s="6597" t="str">
        <f t="shared" si="36"/>
        <v/>
      </c>
      <c r="P123" s="6608"/>
      <c r="Q123" s="6604"/>
      <c r="R123" s="6605"/>
      <c r="T123" s="2730">
        <v>1</v>
      </c>
    </row>
    <row r="124" spans="5:20" ht="21" customHeight="1">
      <c r="E124" s="6605"/>
      <c r="G124" s="6577" t="str">
        <f t="shared" si="30"/>
        <v/>
      </c>
      <c r="H124" s="6581" t="str">
        <f t="shared" si="31"/>
        <v/>
      </c>
      <c r="I124" s="6582" t="str">
        <f>IF(LEN(TRIM(N124))&gt;0,MAX(I29:I123)+1,"")</f>
        <v/>
      </c>
      <c r="J124" s="2873" t="str">
        <f>IFERROR(INDEX(N30:N299,MATCH(ROW()-ROW(N30)+1,I30:I299,0)),"")</f>
        <v/>
      </c>
      <c r="K124" s="304"/>
      <c r="M124" s="6599"/>
      <c r="N124" s="6597" t="str">
        <f>IF(OR(O123="",M122=""),"",IF(LEN(O123)&lt;=M122,O123,IFERROR(LEFT(O123,FIND("♦",SUBSTITUTE(LEFT(O123,M122+1)," ","♦",LEN(LEFT(O123,M122+1))-LEN(SUBSTITUTE(LEFT(O123,M122+1)," ",""))))),LEFT(O123,IFERROR(FIND(" ",O123)-1,LEN(O123))))))</f>
        <v/>
      </c>
      <c r="O124" s="6597" t="str">
        <f t="shared" si="36"/>
        <v/>
      </c>
      <c r="P124" s="6608"/>
      <c r="Q124" s="6604"/>
      <c r="R124" s="6605"/>
      <c r="T124" s="2730">
        <v>1</v>
      </c>
    </row>
    <row r="125" spans="5:20" ht="21" customHeight="1">
      <c r="E125" s="6605"/>
      <c r="G125" s="6577" t="str">
        <f t="shared" si="30"/>
        <v/>
      </c>
      <c r="H125" s="6581" t="str">
        <f t="shared" si="31"/>
        <v/>
      </c>
      <c r="I125" s="6582" t="str">
        <f>IF(LEN(TRIM(N125))&gt;0,MAX(I29:I124)+1,"")</f>
        <v/>
      </c>
      <c r="J125" s="2873" t="str">
        <f>IFERROR(INDEX(N30:N299,MATCH(ROW()-ROW(N30)+1,I30:I299,0)),"")</f>
        <v/>
      </c>
      <c r="K125" s="304"/>
      <c r="M125" s="6600"/>
      <c r="N125" s="6597" t="str">
        <f>IF(OR(O124="",M122=""),"",IF(LEN(O124)&lt;=M122,O124,IFERROR(LEFT(O124,FIND("♦",SUBSTITUTE(LEFT(O124,M122+1)," ","♦",LEN(LEFT(O124,M122+1))-LEN(SUBSTITUTE(LEFT(O124,M122+1)," ",""))))),LEFT(O124,IFERROR(FIND(" ",O124)-1,LEN(O124))))))</f>
        <v/>
      </c>
      <c r="O125" s="6597" t="str">
        <f t="shared" si="36"/>
        <v/>
      </c>
      <c r="P125" s="6608"/>
      <c r="Q125" s="6604"/>
      <c r="R125" s="6605"/>
      <c r="T125" s="2730">
        <v>1</v>
      </c>
    </row>
    <row r="126" spans="5:20" ht="21" customHeight="1">
      <c r="E126" s="6605"/>
      <c r="G126" s="6577" t="str">
        <f t="shared" si="30"/>
        <v/>
      </c>
      <c r="H126" s="6581" t="str">
        <f t="shared" si="31"/>
        <v/>
      </c>
      <c r="I126" s="6582" t="str">
        <f>IF(LEN(TRIM(N126))&gt;0,MAX(I29:I125)+1,"")</f>
        <v/>
      </c>
      <c r="J126" s="2873" t="str">
        <f>IFERROR(INDEX(N30:N299,MATCH(ROW()-ROW(N30)+1,I30:I299,0)),"")</f>
        <v/>
      </c>
      <c r="K126" s="304"/>
      <c r="M126" s="6583" t="str">
        <f>(SUBSTITUTE(SUBSTITUTE(E46,CHAR(13)&amp;CHAR(10)," "),CHAR(10)," "))</f>
        <v/>
      </c>
      <c r="N126" s="6584" t="str">
        <f>IF(OR(M127="",M128=""),"",IF(LEN(M127)&lt;=M128,M127,IFERROR(LEFT(M127,FIND("♦",SUBSTITUTE(LEFT(M127,M128+1)," ","♦",LEN(LEFT(M127,M128+1))-LEN(SUBSTITUTE(LEFT(M127,M128+1)," ",""))))),LEFT(M127,IFERROR(FIND(" ",M127)-1,LEN(M127))))))</f>
        <v/>
      </c>
      <c r="O126" s="6585" t="str">
        <f>IF(N126="","",TRIM(RIGHT(M127,LEN(M127)-LEN(N126))))</f>
        <v/>
      </c>
      <c r="P126" s="6586" t="str">
        <f>F46</f>
        <v xml:space="preserve"> ◄ ligne 46</v>
      </c>
      <c r="Q126" s="6604"/>
      <c r="R126" s="6605"/>
      <c r="T126" s="2730">
        <v>1</v>
      </c>
    </row>
    <row r="127" spans="5:20" ht="21" customHeight="1">
      <c r="E127" s="6605"/>
      <c r="G127" s="6577" t="str">
        <f t="shared" si="30"/>
        <v/>
      </c>
      <c r="H127" s="6581" t="str">
        <f t="shared" si="31"/>
        <v/>
      </c>
      <c r="I127" s="6582" t="str">
        <f>IF(LEN(TRIM(N127))&gt;0,MAX(I29:I126)+1,"")</f>
        <v/>
      </c>
      <c r="J127" s="2873" t="str">
        <f>IFERROR(INDEX(N30:N299,MATCH(ROW()-ROW(N30)+1,I30:I299,0)),"")</f>
        <v/>
      </c>
      <c r="K127" s="304"/>
      <c r="M127" s="6584" t="str">
        <f>TRIM(SUBSTITUTE(SUBSTITUTE(SUBSTITUTE(SUBSTITUTE(IF(OR(LEFT(M126,1)="-",LEFT(M126,1)="="),MID(M126,2,9999),M126),CHAR(160)," "),","," "),";"," "),"."," "))</f>
        <v/>
      </c>
      <c r="N127" s="6585" t="str">
        <f>IF(OR(O126="",M128=""),"",IF(LEN(O126)&lt;=M128,O126,IFERROR(LEFT(O126,FIND("♦",SUBSTITUTE(LEFT(O126,M128+1)," ","♦",LEN(LEFT(O126,M128+1))-LEN(SUBSTITUTE(LEFT(O126,M128+1)," ",""))))),LEFT(O126,IFERROR(FIND(" ",O126)-1,LEN(O126))))))</f>
        <v/>
      </c>
      <c r="O127" s="6585" t="str">
        <f>IF(N127="","",TRIM(RIGHT(O126,LEN(O126)-LEN(N127))))</f>
        <v/>
      </c>
      <c r="P127" s="6607"/>
      <c r="Q127" s="6604"/>
      <c r="R127" s="6605"/>
      <c r="T127" s="2730">
        <v>1</v>
      </c>
    </row>
    <row r="128" spans="5:20" ht="21" customHeight="1">
      <c r="E128" s="6605"/>
      <c r="G128" s="6577" t="str">
        <f t="shared" si="30"/>
        <v/>
      </c>
      <c r="H128" s="6581" t="str">
        <f t="shared" si="31"/>
        <v/>
      </c>
      <c r="I128" s="6582" t="str">
        <f>IF(LEN(TRIM(N128))&gt;0,MAX(I29:I127)+1,"")</f>
        <v/>
      </c>
      <c r="J128" s="2873" t="str">
        <f>IFERROR(INDEX(N30:N299,MATCH(ROW()-ROW(N30)+1,I30:I299,0)),"")</f>
        <v/>
      </c>
      <c r="K128" s="304"/>
      <c r="M128" s="6592">
        <f>J17</f>
        <v>50</v>
      </c>
      <c r="N128" s="6585" t="str">
        <f>IF(OR(O127="",M128=""),"",IF(LEN(O127)&lt;=M128,O127,IFERROR(LEFT(O127,FIND("♦",SUBSTITUTE(LEFT(O127,M128+1)," ","♦",LEN(LEFT(O127,M128+1))-LEN(SUBSTITUTE(LEFT(O127,M128+1)," ",""))))),LEFT(O127,IFERROR(FIND(" ",O127)-1,LEN(O127))))))</f>
        <v/>
      </c>
      <c r="O128" s="6585" t="str">
        <f t="shared" ref="O128:O131" si="37">IF(N128="","",TRIM(RIGHT(O127,LEN(O127)-LEN(N128))))</f>
        <v/>
      </c>
      <c r="P128" s="6607"/>
      <c r="Q128" s="6604"/>
      <c r="R128" s="6605"/>
      <c r="T128" s="2730">
        <v>1</v>
      </c>
    </row>
    <row r="129" spans="5:20" ht="21" customHeight="1">
      <c r="E129" s="6605"/>
      <c r="G129" s="6577" t="str">
        <f t="shared" si="30"/>
        <v/>
      </c>
      <c r="H129" s="6581" t="str">
        <f t="shared" si="31"/>
        <v/>
      </c>
      <c r="I129" s="6582" t="str">
        <f>IF(LEN(TRIM(N129))&gt;0,MAX(I29:I128)+1,"")</f>
        <v/>
      </c>
      <c r="J129" s="2873" t="str">
        <f>IFERROR(INDEX(N30:N299,MATCH(ROW()-ROW(N30)+1,I30:I299,0)),"")</f>
        <v/>
      </c>
      <c r="K129" s="304"/>
      <c r="M129" s="6584"/>
      <c r="N129" s="6585" t="str">
        <f>IF(OR(O128="",M128=""),"",IF(LEN(O128)&lt;=M128,O128,IFERROR(LEFT(O128,FIND("♦",SUBSTITUTE(LEFT(O128,M128+1)," ","♦",LEN(LEFT(O128,M128+1))-LEN(SUBSTITUTE(LEFT(O128,M128+1)," ",""))))),LEFT(O128,IFERROR(FIND(" ",O128)-1,LEN(O128))))))</f>
        <v/>
      </c>
      <c r="O129" s="6585" t="str">
        <f t="shared" si="37"/>
        <v/>
      </c>
      <c r="P129" s="6607"/>
      <c r="Q129" s="6604"/>
      <c r="R129" s="6605"/>
      <c r="T129" s="2730">
        <v>1</v>
      </c>
    </row>
    <row r="130" spans="5:20" ht="21" customHeight="1">
      <c r="E130" s="6605"/>
      <c r="G130" s="6577" t="str">
        <f t="shared" si="30"/>
        <v/>
      </c>
      <c r="H130" s="6581" t="str">
        <f t="shared" si="31"/>
        <v/>
      </c>
      <c r="I130" s="6582" t="str">
        <f>IF(LEN(TRIM(N130))&gt;0,MAX(I29:I129)+1,"")</f>
        <v/>
      </c>
      <c r="J130" s="2873" t="str">
        <f>IFERROR(INDEX(N30:N299,MATCH(ROW()-ROW(N30)+1,I30:I299,0)),"")</f>
        <v/>
      </c>
      <c r="K130" s="304"/>
      <c r="M130" s="6594"/>
      <c r="N130" s="6585" t="str">
        <f>IF(OR(O129="",M128=""),"",IF(LEN(O129)&lt;=M128,O129,IFERROR(LEFT(O129,FIND("♦",SUBSTITUTE(LEFT(O129,M128+1)," ","♦",LEN(LEFT(O129,M128+1))-LEN(SUBSTITUTE(LEFT(O129,M128+1)," ",""))))),LEFT(O129,IFERROR(FIND(" ",O129)-1,LEN(O129))))))</f>
        <v/>
      </c>
      <c r="O130" s="6585" t="str">
        <f t="shared" si="37"/>
        <v/>
      </c>
      <c r="P130" s="6607"/>
      <c r="Q130" s="6604"/>
      <c r="R130" s="6605"/>
      <c r="T130" s="2730">
        <v>1</v>
      </c>
    </row>
    <row r="131" spans="5:20" ht="21" customHeight="1">
      <c r="E131" s="6605"/>
      <c r="G131" s="6577" t="str">
        <f t="shared" si="30"/>
        <v/>
      </c>
      <c r="H131" s="6581" t="str">
        <f t="shared" si="31"/>
        <v/>
      </c>
      <c r="I131" s="6582" t="str">
        <f>IF(LEN(TRIM(N131))&gt;0,MAX(I29:I130)+1,"")</f>
        <v/>
      </c>
      <c r="J131" s="2873" t="str">
        <f>IFERROR(INDEX(N30:N299,MATCH(ROW()-ROW(N30)+1,I30:I299,0)),"")</f>
        <v/>
      </c>
      <c r="K131" s="304"/>
      <c r="M131" s="6595"/>
      <c r="N131" s="6585" t="str">
        <f>IF(OR(O130="",M128=""),"",IF(LEN(O130)&lt;=M128,O130,IFERROR(LEFT(O130,FIND("♦",SUBSTITUTE(LEFT(O130,M128+1)," ","♦",LEN(LEFT(O130,M128+1))-LEN(SUBSTITUTE(LEFT(O130,M128+1)," ",""))))),LEFT(O130,IFERROR(FIND(" ",O130)-1,LEN(O130))))))</f>
        <v/>
      </c>
      <c r="O131" s="6585" t="str">
        <f t="shared" si="37"/>
        <v/>
      </c>
      <c r="P131" s="6607"/>
      <c r="Q131" s="6604"/>
      <c r="R131" s="6605"/>
      <c r="T131" s="2730">
        <v>1</v>
      </c>
    </row>
    <row r="132" spans="5:20" ht="21" customHeight="1">
      <c r="E132" s="6605"/>
      <c r="G132" s="6577" t="str">
        <f t="shared" si="30"/>
        <v/>
      </c>
      <c r="H132" s="6581" t="str">
        <f t="shared" si="31"/>
        <v/>
      </c>
      <c r="I132" s="6582" t="str">
        <f>IF(LEN(TRIM(N132))&gt;0,MAX(I29:I131)+1,"")</f>
        <v/>
      </c>
      <c r="J132" s="2873" t="str">
        <f>IFERROR(INDEX(N30:N299,MATCH(ROW()-ROW(N30)+1,I30:I299,0)),"")</f>
        <v/>
      </c>
      <c r="K132" s="304"/>
      <c r="M132" s="6583" t="str">
        <f>(SUBSTITUTE(SUBSTITUTE(E47,CHAR(13)&amp;CHAR(10)," "),CHAR(10)," "))</f>
        <v/>
      </c>
      <c r="N132" s="6596" t="str">
        <f>IF(OR(M133="",M134=""),"",IF(LEN(M133)&lt;=M134,M133,IFERROR(LEFT(M133,FIND("♦",SUBSTITUTE(LEFT(M133,M134+1)," ","♦",LEN(LEFT(M133,M134+1))-LEN(SUBSTITUTE(LEFT(M133,M134+1)," ",""))))),LEFT(M133,IFERROR(FIND(" ",M133)-1,LEN(M133))))))</f>
        <v/>
      </c>
      <c r="O132" s="6597" t="str">
        <f>IF(N132="","",TRIM(RIGHT(M133,LEN(M133)-LEN(N132))))</f>
        <v/>
      </c>
      <c r="P132" s="6586" t="str">
        <f>F47</f>
        <v xml:space="preserve"> ◄ ligne 47</v>
      </c>
      <c r="Q132" s="6604"/>
      <c r="R132" s="6605"/>
      <c r="T132" s="2730">
        <v>1</v>
      </c>
    </row>
    <row r="133" spans="5:20" ht="21" customHeight="1">
      <c r="E133" s="6605"/>
      <c r="G133" s="6577" t="str">
        <f t="shared" si="30"/>
        <v/>
      </c>
      <c r="H133" s="6581" t="str">
        <f t="shared" si="31"/>
        <v/>
      </c>
      <c r="I133" s="6582" t="str">
        <f>IF(LEN(TRIM(N133))&gt;0,MAX(I29:I132)+1,"")</f>
        <v/>
      </c>
      <c r="J133" s="2873" t="str">
        <f>IFERROR(INDEX(N30:N299,MATCH(ROW()-ROW(N30)+1,I30:I299,0)),"")</f>
        <v/>
      </c>
      <c r="K133" s="304"/>
      <c r="M133" s="6596" t="str">
        <f>TRIM(SUBSTITUTE(SUBSTITUTE(SUBSTITUTE(SUBSTITUTE(IF(OR(LEFT(M132,1)="-",LEFT(M132,1)="="),MID(M132,2,9999),M132),CHAR(160)," "),","," "),";"," "),"."," "))</f>
        <v/>
      </c>
      <c r="N133" s="6597" t="str">
        <f>IF(OR(O132="",M134=""),"",IF(LEN(O132)&lt;=M134,O132,IFERROR(LEFT(O132,FIND("♦",SUBSTITUTE(LEFT(O132,M134+1)," ","♦",LEN(LEFT(O132,M134+1))-LEN(SUBSTITUTE(LEFT(O132,M134+1)," ",""))))),LEFT(O132,IFERROR(FIND(" ",O132)-1,LEN(O132))))))</f>
        <v/>
      </c>
      <c r="O133" s="6597" t="str">
        <f>IF(N133="","",TRIM(RIGHT(O132,LEN(O132)-LEN(N133))))</f>
        <v/>
      </c>
      <c r="P133" s="6608"/>
      <c r="Q133" s="6604"/>
      <c r="R133" s="6605"/>
      <c r="T133" s="2730">
        <v>1</v>
      </c>
    </row>
    <row r="134" spans="5:20" ht="21" customHeight="1">
      <c r="E134" s="6605"/>
      <c r="G134" s="6577" t="str">
        <f t="shared" si="30"/>
        <v/>
      </c>
      <c r="H134" s="6581" t="str">
        <f t="shared" si="31"/>
        <v/>
      </c>
      <c r="I134" s="6582" t="str">
        <f>IF(LEN(TRIM(N134))&gt;0,MAX(I29:I133)+1,"")</f>
        <v/>
      </c>
      <c r="J134" s="2873" t="str">
        <f>IFERROR(INDEX(N30:N299,MATCH(ROW()-ROW(N30)+1,I30:I299,0)),"")</f>
        <v/>
      </c>
      <c r="K134" s="304"/>
      <c r="M134" s="6592">
        <f>J17</f>
        <v>50</v>
      </c>
      <c r="N134" s="6597" t="str">
        <f>IF(OR(O133="",M134=""),"",IF(LEN(O133)&lt;=M134,O133,IFERROR(LEFT(O133,FIND("♦",SUBSTITUTE(LEFT(O133,M134+1)," ","♦",LEN(LEFT(O133,M134+1))-LEN(SUBSTITUTE(LEFT(O133,M134+1)," ",""))))),LEFT(O133,IFERROR(FIND(" ",O133)-1,LEN(O133))))))</f>
        <v/>
      </c>
      <c r="O134" s="6597" t="str">
        <f t="shared" ref="O134:O137" si="38">IF(N134="","",TRIM(RIGHT(O133,LEN(O133)-LEN(N134))))</f>
        <v/>
      </c>
      <c r="P134" s="6608"/>
      <c r="Q134" s="6604"/>
      <c r="R134" s="6605"/>
      <c r="T134" s="2730">
        <v>1</v>
      </c>
    </row>
    <row r="135" spans="5:20" ht="21" customHeight="1">
      <c r="E135" s="6605"/>
      <c r="G135" s="6577" t="str">
        <f t="shared" si="30"/>
        <v/>
      </c>
      <c r="H135" s="6581" t="str">
        <f t="shared" si="31"/>
        <v/>
      </c>
      <c r="I135" s="6582" t="str">
        <f>IF(LEN(TRIM(N135))&gt;0,MAX(I29:I134)+1,"")</f>
        <v/>
      </c>
      <c r="J135" s="2873" t="str">
        <f>IFERROR(INDEX(N30:N299,MATCH(ROW()-ROW(N30)+1,I30:I299,0)),"")</f>
        <v/>
      </c>
      <c r="K135" s="304"/>
      <c r="M135" s="6596"/>
      <c r="N135" s="6597" t="str">
        <f>IF(OR(O134="",M134=""),"",IF(LEN(O134)&lt;=M134,O134,IFERROR(LEFT(O134,FIND("♦",SUBSTITUTE(LEFT(O134,M134+1)," ","♦",LEN(LEFT(O134,M134+1))-LEN(SUBSTITUTE(LEFT(O134,M134+1)," ",""))))),LEFT(O134,IFERROR(FIND(" ",O134)-1,LEN(O134))))))</f>
        <v/>
      </c>
      <c r="O135" s="6597" t="str">
        <f t="shared" si="38"/>
        <v/>
      </c>
      <c r="P135" s="6608"/>
      <c r="Q135" s="6604"/>
      <c r="R135" s="6605"/>
      <c r="T135" s="2730">
        <v>1</v>
      </c>
    </row>
    <row r="136" spans="5:20" ht="21" customHeight="1">
      <c r="E136" s="6605"/>
      <c r="G136" s="6577" t="str">
        <f t="shared" si="30"/>
        <v/>
      </c>
      <c r="H136" s="6581" t="str">
        <f t="shared" si="31"/>
        <v/>
      </c>
      <c r="I136" s="6582" t="str">
        <f>IF(LEN(TRIM(N136))&gt;0,MAX(I29:I135)+1,"")</f>
        <v/>
      </c>
      <c r="J136" s="2873" t="str">
        <f>IFERROR(INDEX(N30:N299,MATCH(ROW()-ROW(N30)+1,I30:I299,0)),"")</f>
        <v/>
      </c>
      <c r="K136" s="304"/>
      <c r="M136" s="6599"/>
      <c r="N136" s="6597" t="str">
        <f>IF(OR(O135="",M134=""),"",IF(LEN(O135)&lt;=M134,O135,IFERROR(LEFT(O135,FIND("♦",SUBSTITUTE(LEFT(O135,M134+1)," ","♦",LEN(LEFT(O135,M134+1))-LEN(SUBSTITUTE(LEFT(O135,M134+1)," ",""))))),LEFT(O135,IFERROR(FIND(" ",O135)-1,LEN(O135))))))</f>
        <v/>
      </c>
      <c r="O136" s="6597" t="str">
        <f t="shared" si="38"/>
        <v/>
      </c>
      <c r="P136" s="6608"/>
      <c r="Q136" s="6604"/>
      <c r="R136" s="6605"/>
      <c r="T136" s="2730">
        <v>1</v>
      </c>
    </row>
    <row r="137" spans="5:20" ht="21" customHeight="1">
      <c r="E137" s="6605"/>
      <c r="G137" s="6577" t="str">
        <f t="shared" si="30"/>
        <v/>
      </c>
      <c r="H137" s="6581" t="str">
        <f t="shared" si="31"/>
        <v/>
      </c>
      <c r="I137" s="6582" t="str">
        <f>IF(LEN(TRIM(N137))&gt;0,MAX(I29:I136)+1,"")</f>
        <v/>
      </c>
      <c r="J137" s="2873" t="str">
        <f>IFERROR(INDEX(N30:N299,MATCH(ROW()-ROW(N30)+1,I30:I299,0)),"")</f>
        <v/>
      </c>
      <c r="K137" s="304"/>
      <c r="M137" s="6600"/>
      <c r="N137" s="6597" t="str">
        <f>IF(OR(O136="",M134=""),"",IF(LEN(O136)&lt;=M134,O136,IFERROR(LEFT(O136,FIND("♦",SUBSTITUTE(LEFT(O136,M134+1)," ","♦",LEN(LEFT(O136,M134+1))-LEN(SUBSTITUTE(LEFT(O136,M134+1)," ",""))))),LEFT(O136,IFERROR(FIND(" ",O136)-1,LEN(O136))))))</f>
        <v/>
      </c>
      <c r="O137" s="6597" t="str">
        <f t="shared" si="38"/>
        <v/>
      </c>
      <c r="P137" s="6608"/>
      <c r="Q137" s="6604"/>
      <c r="R137" s="6605"/>
      <c r="T137" s="2730">
        <v>1</v>
      </c>
    </row>
    <row r="138" spans="5:20" ht="21" customHeight="1">
      <c r="E138" s="6605"/>
      <c r="G138" s="6577" t="str">
        <f t="shared" si="30"/>
        <v/>
      </c>
      <c r="H138" s="6581" t="str">
        <f t="shared" si="31"/>
        <v/>
      </c>
      <c r="I138" s="6582" t="str">
        <f>IF(LEN(TRIM(N138))&gt;0,MAX(I29:I137)+1,"")</f>
        <v/>
      </c>
      <c r="J138" s="2873" t="str">
        <f>IFERROR(INDEX(N30:N299,MATCH(ROW()-ROW(N30)+1,I30:I299,0)),"")</f>
        <v/>
      </c>
      <c r="K138" s="304"/>
      <c r="M138" s="6583" t="str">
        <f>(SUBSTITUTE(SUBSTITUTE(E48,CHAR(13)&amp;CHAR(10)," "),CHAR(10)," "))</f>
        <v/>
      </c>
      <c r="N138" s="6584" t="str">
        <f>IF(OR(M139="",M140=""),"",IF(LEN(M139)&lt;=M140,M139,IFERROR(LEFT(M139,FIND("♦",SUBSTITUTE(LEFT(M139,M140+1)," ","♦",LEN(LEFT(M139,M140+1))-LEN(SUBSTITUTE(LEFT(M139,M140+1)," ",""))))),LEFT(M139,IFERROR(FIND(" ",M139)-1,LEN(M139))))))</f>
        <v/>
      </c>
      <c r="O138" s="6585" t="str">
        <f>IF(N138="","",TRIM(RIGHT(M139,LEN(M139)-LEN(N138))))</f>
        <v/>
      </c>
      <c r="P138" s="6586" t="str">
        <f>F48</f>
        <v xml:space="preserve"> ◄ ligne 48</v>
      </c>
      <c r="Q138" s="6604"/>
      <c r="R138" s="6605"/>
      <c r="T138" s="2730">
        <v>1</v>
      </c>
    </row>
    <row r="139" spans="5:20" ht="21" customHeight="1">
      <c r="E139" s="6605"/>
      <c r="G139" s="6577" t="str">
        <f t="shared" si="30"/>
        <v/>
      </c>
      <c r="H139" s="6581" t="str">
        <f t="shared" si="31"/>
        <v/>
      </c>
      <c r="I139" s="6582" t="str">
        <f>IF(LEN(TRIM(N139))&gt;0,MAX(I29:I138)+1,"")</f>
        <v/>
      </c>
      <c r="J139" s="2873" t="str">
        <f>IFERROR(INDEX(N30:N299,MATCH(ROW()-ROW(N30)+1,I30:I299,0)),"")</f>
        <v/>
      </c>
      <c r="K139" s="304"/>
      <c r="M139" s="6584" t="str">
        <f>TRIM(SUBSTITUTE(SUBSTITUTE(SUBSTITUTE(SUBSTITUTE(IF(OR(LEFT(M138,1)="-",LEFT(M138,1)="="),MID(M138,2,9999),M138),CHAR(160)," "),","," "),";"," "),"."," "))</f>
        <v/>
      </c>
      <c r="N139" s="6585" t="str">
        <f>IF(OR(O138="",M140=""),"",IF(LEN(O138)&lt;=M140,O138,IFERROR(LEFT(O138,FIND("♦",SUBSTITUTE(LEFT(O138,M140+1)," ","♦",LEN(LEFT(O138,M140+1))-LEN(SUBSTITUTE(LEFT(O138,M140+1)," ",""))))),LEFT(O138,IFERROR(FIND(" ",O138)-1,LEN(O138))))))</f>
        <v/>
      </c>
      <c r="O139" s="6585" t="str">
        <f>IF(N139="","",TRIM(RIGHT(O138,LEN(O138)-LEN(N139))))</f>
        <v/>
      </c>
      <c r="P139" s="6607"/>
      <c r="Q139" s="6604"/>
      <c r="R139" s="6605"/>
      <c r="T139" s="2730">
        <v>1</v>
      </c>
    </row>
    <row r="140" spans="5:20" ht="21" customHeight="1">
      <c r="E140" s="6605"/>
      <c r="G140" s="6577" t="str">
        <f t="shared" si="30"/>
        <v/>
      </c>
      <c r="H140" s="6581" t="str">
        <f t="shared" si="31"/>
        <v/>
      </c>
      <c r="I140" s="6582" t="str">
        <f>IF(LEN(TRIM(N140))&gt;0,MAX(I29:I139)+1,"")</f>
        <v/>
      </c>
      <c r="J140" s="2873" t="str">
        <f>IFERROR(INDEX(N30:N299,MATCH(ROW()-ROW(N30)+1,I30:I299,0)),"")</f>
        <v/>
      </c>
      <c r="K140" s="304"/>
      <c r="M140" s="6592">
        <f>J17</f>
        <v>50</v>
      </c>
      <c r="N140" s="6585" t="str">
        <f>IF(OR(O139="",M140=""),"",IF(LEN(O139)&lt;=M140,O139,IFERROR(LEFT(O139,FIND("♦",SUBSTITUTE(LEFT(O139,M140+1)," ","♦",LEN(LEFT(O139,M140+1))-LEN(SUBSTITUTE(LEFT(O139,M140+1)," ",""))))),LEFT(O139,IFERROR(FIND(" ",O139)-1,LEN(O139))))))</f>
        <v/>
      </c>
      <c r="O140" s="6585" t="str">
        <f t="shared" ref="O140:O143" si="39">IF(N140="","",TRIM(RIGHT(O139,LEN(O139)-LEN(N140))))</f>
        <v/>
      </c>
      <c r="P140" s="6607"/>
      <c r="Q140" s="6604"/>
      <c r="R140" s="6605"/>
      <c r="T140" s="2730">
        <v>1</v>
      </c>
    </row>
    <row r="141" spans="5:20" ht="21" customHeight="1">
      <c r="E141" s="6605"/>
      <c r="G141" s="6577" t="str">
        <f t="shared" si="30"/>
        <v/>
      </c>
      <c r="H141" s="6581" t="str">
        <f t="shared" si="31"/>
        <v/>
      </c>
      <c r="I141" s="6582" t="str">
        <f>IF(LEN(TRIM(N141))&gt;0,MAX(I29:I140)+1,"")</f>
        <v/>
      </c>
      <c r="J141" s="2873" t="str">
        <f>IFERROR(INDEX(N30:N299,MATCH(ROW()-ROW(N30)+1,I30:I299,0)),"")</f>
        <v/>
      </c>
      <c r="K141" s="304"/>
      <c r="M141" s="6584"/>
      <c r="N141" s="6585" t="str">
        <f>IF(OR(O140="",M140=""),"",IF(LEN(O140)&lt;=M140,O140,IFERROR(LEFT(O140,FIND("♦",SUBSTITUTE(LEFT(O140,M140+1)," ","♦",LEN(LEFT(O140,M140+1))-LEN(SUBSTITUTE(LEFT(O140,M140+1)," ",""))))),LEFT(O140,IFERROR(FIND(" ",O140)-1,LEN(O140))))))</f>
        <v/>
      </c>
      <c r="O141" s="6585" t="str">
        <f t="shared" si="39"/>
        <v/>
      </c>
      <c r="P141" s="6607"/>
      <c r="Q141" s="6604"/>
      <c r="R141" s="6605"/>
      <c r="T141" s="2730">
        <v>1</v>
      </c>
    </row>
    <row r="142" spans="5:20" ht="21" customHeight="1">
      <c r="E142" s="6605"/>
      <c r="G142" s="6577" t="str">
        <f t="shared" si="30"/>
        <v/>
      </c>
      <c r="H142" s="6581" t="str">
        <f t="shared" si="31"/>
        <v/>
      </c>
      <c r="I142" s="6582" t="str">
        <f>IF(LEN(TRIM(N142))&gt;0,MAX(I29:I141)+1,"")</f>
        <v/>
      </c>
      <c r="J142" s="2873" t="str">
        <f>IFERROR(INDEX(N30:N299,MATCH(ROW()-ROW(N30)+1,I30:I299,0)),"")</f>
        <v/>
      </c>
      <c r="K142" s="304"/>
      <c r="M142" s="6594"/>
      <c r="N142" s="6585" t="str">
        <f>IF(OR(O141="",M140=""),"",IF(LEN(O141)&lt;=M140,O141,IFERROR(LEFT(O141,FIND("♦",SUBSTITUTE(LEFT(O141,M140+1)," ","♦",LEN(LEFT(O141,M140+1))-LEN(SUBSTITUTE(LEFT(O141,M140+1)," ",""))))),LEFT(O141,IFERROR(FIND(" ",O141)-1,LEN(O141))))))</f>
        <v/>
      </c>
      <c r="O142" s="6585" t="str">
        <f t="shared" si="39"/>
        <v/>
      </c>
      <c r="P142" s="6607"/>
      <c r="Q142" s="6604"/>
      <c r="R142" s="6605"/>
      <c r="T142" s="2730">
        <v>1</v>
      </c>
    </row>
    <row r="143" spans="5:20" ht="21" customHeight="1">
      <c r="E143" s="6605"/>
      <c r="G143" s="6577" t="str">
        <f t="shared" si="30"/>
        <v/>
      </c>
      <c r="H143" s="6581" t="str">
        <f t="shared" si="31"/>
        <v/>
      </c>
      <c r="I143" s="6582" t="str">
        <f>IF(LEN(TRIM(N143))&gt;0,MAX(I29:I142)+1,"")</f>
        <v/>
      </c>
      <c r="J143" s="2873" t="str">
        <f>IFERROR(INDEX(N30:N299,MATCH(ROW()-ROW(N30)+1,I30:I299,0)),"")</f>
        <v/>
      </c>
      <c r="K143" s="304"/>
      <c r="M143" s="6595"/>
      <c r="N143" s="6585" t="str">
        <f>IF(OR(O142="",M140=""),"",IF(LEN(O142)&lt;=M140,O142,IFERROR(LEFT(O142,FIND("♦",SUBSTITUTE(LEFT(O142,M140+1)," ","♦",LEN(LEFT(O142,M140+1))-LEN(SUBSTITUTE(LEFT(O142,M140+1)," ",""))))),LEFT(O142,IFERROR(FIND(" ",O142)-1,LEN(O142))))))</f>
        <v/>
      </c>
      <c r="O143" s="6585" t="str">
        <f t="shared" si="39"/>
        <v/>
      </c>
      <c r="P143" s="6607"/>
      <c r="Q143" s="6604"/>
      <c r="R143" s="6605"/>
      <c r="T143" s="2730">
        <v>1</v>
      </c>
    </row>
    <row r="144" spans="5:20" ht="21" customHeight="1">
      <c r="E144" s="6605"/>
      <c r="G144" s="6577" t="str">
        <f t="shared" si="30"/>
        <v/>
      </c>
      <c r="H144" s="6581" t="str">
        <f t="shared" si="31"/>
        <v/>
      </c>
      <c r="I144" s="6582" t="str">
        <f>IF(LEN(TRIM(N144))&gt;0,MAX(I29:I143)+1,"")</f>
        <v/>
      </c>
      <c r="J144" s="2873" t="str">
        <f>IFERROR(INDEX(N30:N299,MATCH(ROW()-ROW(N30)+1,I30:I299,0)),"")</f>
        <v/>
      </c>
      <c r="K144" s="304"/>
      <c r="M144" s="6583" t="str">
        <f>(SUBSTITUTE(SUBSTITUTE(E49,CHAR(13)&amp;CHAR(10)," "),CHAR(10)," "))</f>
        <v/>
      </c>
      <c r="N144" s="6596" t="str">
        <f>IF(OR(M145="",M146=""),"",IF(LEN(M145)&lt;=M146,M145,IFERROR(LEFT(M145,FIND("♦",SUBSTITUTE(LEFT(M145,M146+1)," ","♦",LEN(LEFT(M145,M146+1))-LEN(SUBSTITUTE(LEFT(M145,M146+1)," ",""))))),LEFT(M145,IFERROR(FIND(" ",M145)-1,LEN(M145))))))</f>
        <v/>
      </c>
      <c r="O144" s="6597" t="str">
        <f>IF(N144="","",TRIM(RIGHT(M145,LEN(M145)-LEN(N144))))</f>
        <v/>
      </c>
      <c r="P144" s="6586" t="str">
        <f>F49</f>
        <v xml:space="preserve"> ◄ ligne 49</v>
      </c>
      <c r="Q144" s="6604"/>
      <c r="R144" s="6605"/>
      <c r="T144" s="2730">
        <v>1</v>
      </c>
    </row>
    <row r="145" spans="5:20" ht="21" customHeight="1">
      <c r="E145" s="6605"/>
      <c r="G145" s="6577" t="str">
        <f t="shared" si="30"/>
        <v/>
      </c>
      <c r="H145" s="6581" t="str">
        <f t="shared" si="31"/>
        <v/>
      </c>
      <c r="I145" s="6582" t="str">
        <f>IF(LEN(TRIM(N145))&gt;0,MAX(I29:I144)+1,"")</f>
        <v/>
      </c>
      <c r="J145" s="2873" t="str">
        <f>IFERROR(INDEX(N30:N299,MATCH(ROW()-ROW(N30)+1,I30:I299,0)),"")</f>
        <v/>
      </c>
      <c r="K145" s="304"/>
      <c r="M145" s="6596" t="str">
        <f>TRIM(SUBSTITUTE(SUBSTITUTE(SUBSTITUTE(SUBSTITUTE(IF(OR(LEFT(M144,1)="-",LEFT(M144,1)="="),MID(M144,2,9999),M144),CHAR(160)," "),","," "),";"," "),"."," "))</f>
        <v/>
      </c>
      <c r="N145" s="6597" t="str">
        <f>IF(OR(O144="",M146=""),"",IF(LEN(O144)&lt;=M146,O144,IFERROR(LEFT(O144,FIND("♦",SUBSTITUTE(LEFT(O144,M146+1)," ","♦",LEN(LEFT(O144,M146+1))-LEN(SUBSTITUTE(LEFT(O144,M146+1)," ",""))))),LEFT(O144,IFERROR(FIND(" ",O144)-1,LEN(O144))))))</f>
        <v/>
      </c>
      <c r="O145" s="6597" t="str">
        <f>IF(N145="","",TRIM(RIGHT(O144,LEN(O144)-LEN(N145))))</f>
        <v/>
      </c>
      <c r="P145" s="6608"/>
      <c r="Q145" s="6604"/>
      <c r="R145" s="6605"/>
      <c r="T145" s="2730">
        <v>1</v>
      </c>
    </row>
    <row r="146" spans="5:20" ht="21" customHeight="1">
      <c r="E146" s="6605"/>
      <c r="G146" s="6577" t="str">
        <f t="shared" si="30"/>
        <v/>
      </c>
      <c r="H146" s="6581" t="str">
        <f t="shared" si="31"/>
        <v/>
      </c>
      <c r="I146" s="6582" t="str">
        <f>IF(LEN(TRIM(N146))&gt;0,MAX(I29:I145)+1,"")</f>
        <v/>
      </c>
      <c r="J146" s="2873" t="str">
        <f>IFERROR(INDEX(N30:N299,MATCH(ROW()-ROW(N30)+1,I30:I299,0)),"")</f>
        <v/>
      </c>
      <c r="K146" s="304"/>
      <c r="M146" s="6592">
        <f>J17</f>
        <v>50</v>
      </c>
      <c r="N146" s="6597" t="str">
        <f>IF(OR(O145="",M146=""),"",IF(LEN(O145)&lt;=M146,O145,IFERROR(LEFT(O145,FIND("♦",SUBSTITUTE(LEFT(O145,M146+1)," ","♦",LEN(LEFT(O145,M146+1))-LEN(SUBSTITUTE(LEFT(O145,M146+1)," ",""))))),LEFT(O145,IFERROR(FIND(" ",O145)-1,LEN(O145))))))</f>
        <v/>
      </c>
      <c r="O146" s="6597" t="str">
        <f t="shared" ref="O146:O149" si="40">IF(N146="","",TRIM(RIGHT(O145,LEN(O145)-LEN(N146))))</f>
        <v/>
      </c>
      <c r="P146" s="6608"/>
      <c r="Q146" s="6604"/>
      <c r="R146" s="6605"/>
      <c r="T146" s="2730">
        <v>1</v>
      </c>
    </row>
    <row r="147" spans="5:20" ht="21" customHeight="1">
      <c r="E147" s="6605"/>
      <c r="G147" s="6577" t="str">
        <f t="shared" si="30"/>
        <v/>
      </c>
      <c r="H147" s="6581" t="str">
        <f t="shared" si="31"/>
        <v/>
      </c>
      <c r="I147" s="6582" t="str">
        <f>IF(LEN(TRIM(N147))&gt;0,MAX(I29:I146)+1,"")</f>
        <v/>
      </c>
      <c r="J147" s="2873" t="str">
        <f>IFERROR(INDEX(N30:N299,MATCH(ROW()-ROW(N30)+1,I30:I299,0)),"")</f>
        <v/>
      </c>
      <c r="K147" s="304"/>
      <c r="M147" s="6596"/>
      <c r="N147" s="6597" t="str">
        <f>IF(OR(O146="",M146=""),"",IF(LEN(O146)&lt;=M146,O146,IFERROR(LEFT(O146,FIND("♦",SUBSTITUTE(LEFT(O146,M146+1)," ","♦",LEN(LEFT(O146,M146+1))-LEN(SUBSTITUTE(LEFT(O146,M146+1)," ",""))))),LEFT(O146,IFERROR(FIND(" ",O146)-1,LEN(O146))))))</f>
        <v/>
      </c>
      <c r="O147" s="6597" t="str">
        <f t="shared" si="40"/>
        <v/>
      </c>
      <c r="P147" s="6608"/>
      <c r="Q147" s="6604"/>
      <c r="R147" s="6605"/>
      <c r="T147" s="2730">
        <v>1</v>
      </c>
    </row>
    <row r="148" spans="5:20" ht="21" customHeight="1">
      <c r="E148" s="6605"/>
      <c r="G148" s="6577" t="str">
        <f t="shared" si="30"/>
        <v/>
      </c>
      <c r="H148" s="6581" t="str">
        <f t="shared" si="31"/>
        <v/>
      </c>
      <c r="I148" s="6582" t="str">
        <f>IF(LEN(TRIM(N148))&gt;0,MAX(I29:I147)+1,"")</f>
        <v/>
      </c>
      <c r="J148" s="2873" t="str">
        <f>IFERROR(INDEX(N30:N299,MATCH(ROW()-ROW(N30)+1,I30:I299,0)),"")</f>
        <v/>
      </c>
      <c r="K148" s="304"/>
      <c r="M148" s="6599"/>
      <c r="N148" s="6597" t="str">
        <f>IF(OR(O147="",M146=""),"",IF(LEN(O147)&lt;=M146,O147,IFERROR(LEFT(O147,FIND("♦",SUBSTITUTE(LEFT(O147,M146+1)," ","♦",LEN(LEFT(O147,M146+1))-LEN(SUBSTITUTE(LEFT(O147,M146+1)," ",""))))),LEFT(O147,IFERROR(FIND(" ",O147)-1,LEN(O147))))))</f>
        <v/>
      </c>
      <c r="O148" s="6597" t="str">
        <f t="shared" si="40"/>
        <v/>
      </c>
      <c r="P148" s="6608"/>
      <c r="Q148" s="6604"/>
      <c r="R148" s="6605"/>
      <c r="T148" s="2730">
        <v>1</v>
      </c>
    </row>
    <row r="149" spans="5:20" ht="21" customHeight="1">
      <c r="E149" s="6605"/>
      <c r="G149" s="6577" t="str">
        <f t="shared" si="30"/>
        <v/>
      </c>
      <c r="H149" s="6581" t="str">
        <f t="shared" si="31"/>
        <v/>
      </c>
      <c r="I149" s="6582" t="str">
        <f>IF(LEN(TRIM(N149))&gt;0,MAX(I29:I148)+1,"")</f>
        <v/>
      </c>
      <c r="J149" s="2873" t="str">
        <f>IFERROR(INDEX(N30:N299,MATCH(ROW()-ROW(N30)+1,I30:I299,0)),"")</f>
        <v/>
      </c>
      <c r="K149" s="304"/>
      <c r="M149" s="6600"/>
      <c r="N149" s="6597" t="str">
        <f>IF(OR(O148="",M146=""),"",IF(LEN(O148)&lt;=M146,O148,IFERROR(LEFT(O148,FIND("♦",SUBSTITUTE(LEFT(O148,M146+1)," ","♦",LEN(LEFT(O148,M146+1))-LEN(SUBSTITUTE(LEFT(O148,M146+1)," ",""))))),LEFT(O148,IFERROR(FIND(" ",O148)-1,LEN(O148))))))</f>
        <v/>
      </c>
      <c r="O149" s="6597" t="str">
        <f t="shared" si="40"/>
        <v/>
      </c>
      <c r="P149" s="6608"/>
      <c r="Q149" s="6604"/>
      <c r="R149" s="6605"/>
      <c r="T149" s="2730">
        <v>1</v>
      </c>
    </row>
    <row r="150" spans="5:20" ht="21" customHeight="1">
      <c r="E150" s="6605"/>
      <c r="G150" s="6577" t="str">
        <f t="shared" si="30"/>
        <v/>
      </c>
      <c r="H150" s="6581" t="str">
        <f t="shared" si="31"/>
        <v/>
      </c>
      <c r="I150" s="6582" t="str">
        <f>IF(LEN(TRIM(N150))&gt;0,MAX(I29:I149)+1,"")</f>
        <v/>
      </c>
      <c r="J150" s="2873" t="str">
        <f>IFERROR(INDEX(N30:N299,MATCH(ROW()-ROW(N30)+1,I30:I299,0)),"")</f>
        <v/>
      </c>
      <c r="K150" s="304"/>
      <c r="M150" s="6583" t="str">
        <f>(SUBSTITUTE(SUBSTITUTE(E50,CHAR(13)&amp;CHAR(10)," "),CHAR(10)," "))</f>
        <v/>
      </c>
      <c r="N150" s="6584" t="str">
        <f>IF(OR(M151="",M152=""),"",IF(LEN(M151)&lt;=M152,M151,IFERROR(LEFT(M151,FIND("♦",SUBSTITUTE(LEFT(M151,M152+1)," ","♦",LEN(LEFT(M151,M152+1))-LEN(SUBSTITUTE(LEFT(M151,M152+1)," ",""))))),LEFT(M151,IFERROR(FIND(" ",M151)-1,LEN(M151))))))</f>
        <v/>
      </c>
      <c r="O150" s="6585" t="str">
        <f>IF(N150="","",TRIM(RIGHT(M151,LEN(M151)-LEN(N150))))</f>
        <v/>
      </c>
      <c r="P150" s="6586" t="str">
        <f>F50</f>
        <v xml:space="preserve"> ◄ ligne 50</v>
      </c>
      <c r="Q150" s="6604"/>
      <c r="R150" s="6605"/>
      <c r="T150" s="2730">
        <v>1</v>
      </c>
    </row>
    <row r="151" spans="5:20" ht="21" customHeight="1">
      <c r="E151" s="6605"/>
      <c r="G151" s="6577" t="str">
        <f t="shared" si="30"/>
        <v/>
      </c>
      <c r="H151" s="6581" t="str">
        <f t="shared" si="31"/>
        <v/>
      </c>
      <c r="I151" s="6582" t="str">
        <f>IF(LEN(TRIM(N151))&gt;0,MAX(I29:I150)+1,"")</f>
        <v/>
      </c>
      <c r="J151" s="2873" t="str">
        <f>IFERROR(INDEX(N30:N299,MATCH(ROW()-ROW(N30)+1,I30:I299,0)),"")</f>
        <v/>
      </c>
      <c r="K151" s="304"/>
      <c r="M151" s="6584" t="str">
        <f>TRIM(SUBSTITUTE(SUBSTITUTE(SUBSTITUTE(SUBSTITUTE(IF(OR(LEFT(M150,1)="-",LEFT(M150,1)="="),MID(M150,2,9999),M150),CHAR(160)," "),","," "),";"," "),"."," "))</f>
        <v/>
      </c>
      <c r="N151" s="6585" t="str">
        <f>IF(OR(O150="",M152=""),"",IF(LEN(O150)&lt;=M152,O150,IFERROR(LEFT(O150,FIND("♦",SUBSTITUTE(LEFT(O150,M152+1)," ","♦",LEN(LEFT(O150,M152+1))-LEN(SUBSTITUTE(LEFT(O150,M152+1)," ",""))))),LEFT(O150,IFERROR(FIND(" ",O150)-1,LEN(O150))))))</f>
        <v/>
      </c>
      <c r="O151" s="6585" t="str">
        <f>IF(N151="","",TRIM(RIGHT(O150,LEN(O150)-LEN(N151))))</f>
        <v/>
      </c>
      <c r="P151" s="6607"/>
      <c r="Q151" s="6605"/>
      <c r="R151" s="6605"/>
      <c r="T151" s="2730">
        <v>1</v>
      </c>
    </row>
    <row r="152" spans="5:20" ht="21" customHeight="1">
      <c r="E152" s="6605"/>
      <c r="G152" s="6577" t="str">
        <f t="shared" si="30"/>
        <v/>
      </c>
      <c r="H152" s="6581" t="str">
        <f t="shared" si="31"/>
        <v/>
      </c>
      <c r="I152" s="6582" t="str">
        <f>IF(LEN(TRIM(N152))&gt;0,MAX(I29:I151)+1,"")</f>
        <v/>
      </c>
      <c r="J152" s="2873" t="str">
        <f>IFERROR(INDEX(N30:N299,MATCH(ROW()-ROW(N30)+1,I30:I299,0)),"")</f>
        <v/>
      </c>
      <c r="K152" s="304"/>
      <c r="M152" s="6592">
        <f>J17</f>
        <v>50</v>
      </c>
      <c r="N152" s="6585" t="str">
        <f>IF(OR(O151="",M152=""),"",IF(LEN(O151)&lt;=M152,O151,IFERROR(LEFT(O151,FIND("♦",SUBSTITUTE(LEFT(O151,M152+1)," ","♦",LEN(LEFT(O151,M152+1))-LEN(SUBSTITUTE(LEFT(O151,M152+1)," ",""))))),LEFT(O151,IFERROR(FIND(" ",O151)-1,LEN(O151))))))</f>
        <v/>
      </c>
      <c r="O152" s="6585" t="str">
        <f t="shared" ref="O152:O155" si="41">IF(N152="","",TRIM(RIGHT(O151,LEN(O151)-LEN(N152))))</f>
        <v/>
      </c>
      <c r="P152" s="6607"/>
      <c r="Q152" s="6605"/>
      <c r="R152" s="6605"/>
      <c r="T152" s="2730">
        <v>1</v>
      </c>
    </row>
    <row r="153" spans="5:20" ht="21" customHeight="1">
      <c r="E153" s="6605"/>
      <c r="G153" s="6577" t="str">
        <f t="shared" si="30"/>
        <v/>
      </c>
      <c r="H153" s="6581" t="str">
        <f t="shared" si="31"/>
        <v/>
      </c>
      <c r="I153" s="6582" t="str">
        <f>IF(LEN(TRIM(N153))&gt;0,MAX(I29:I152)+1,"")</f>
        <v/>
      </c>
      <c r="J153" s="2873" t="str">
        <f>IFERROR(INDEX(N30:N299,MATCH(ROW()-ROW(N30)+1,I30:I299,0)),"")</f>
        <v/>
      </c>
      <c r="K153" s="304"/>
      <c r="M153" s="6584"/>
      <c r="N153" s="6585" t="str">
        <f>IF(OR(O152="",M152=""),"",IF(LEN(O152)&lt;=M152,O152,IFERROR(LEFT(O152,FIND("♦",SUBSTITUTE(LEFT(O152,M152+1)," ","♦",LEN(LEFT(O152,M152+1))-LEN(SUBSTITUTE(LEFT(O152,M152+1)," ",""))))),LEFT(O152,IFERROR(FIND(" ",O152)-1,LEN(O152))))))</f>
        <v/>
      </c>
      <c r="O153" s="6585" t="str">
        <f t="shared" si="41"/>
        <v/>
      </c>
      <c r="P153" s="6607"/>
      <c r="Q153" s="6605"/>
      <c r="R153" s="6605"/>
      <c r="T153" s="2730">
        <v>1</v>
      </c>
    </row>
    <row r="154" spans="5:20" ht="21" customHeight="1">
      <c r="E154" s="6605"/>
      <c r="G154" s="6577" t="str">
        <f t="shared" si="30"/>
        <v/>
      </c>
      <c r="H154" s="6581" t="str">
        <f t="shared" si="31"/>
        <v/>
      </c>
      <c r="I154" s="6582" t="str">
        <f>IF(LEN(TRIM(N154))&gt;0,MAX(I29:I153)+1,"")</f>
        <v/>
      </c>
      <c r="J154" s="2873" t="str">
        <f>IFERROR(INDEX(N30:N299,MATCH(ROW()-ROW(N30)+1,I30:I299,0)),"")</f>
        <v/>
      </c>
      <c r="K154" s="304"/>
      <c r="M154" s="6594"/>
      <c r="N154" s="6585" t="str">
        <f>IF(OR(O153="",M152=""),"",IF(LEN(O153)&lt;=M152,O153,IFERROR(LEFT(O153,FIND("♦",SUBSTITUTE(LEFT(O153,M152+1)," ","♦",LEN(LEFT(O153,M152+1))-LEN(SUBSTITUTE(LEFT(O153,M152+1)," ",""))))),LEFT(O153,IFERROR(FIND(" ",O153)-1,LEN(O153))))))</f>
        <v/>
      </c>
      <c r="O154" s="6585" t="str">
        <f t="shared" si="41"/>
        <v/>
      </c>
      <c r="P154" s="6607"/>
      <c r="Q154" s="6605"/>
      <c r="R154" s="6605"/>
      <c r="T154" s="2730">
        <v>1</v>
      </c>
    </row>
    <row r="155" spans="5:20" ht="21" customHeight="1">
      <c r="E155" s="6605"/>
      <c r="G155" s="6577" t="str">
        <f t="shared" si="30"/>
        <v/>
      </c>
      <c r="H155" s="6581" t="str">
        <f t="shared" si="31"/>
        <v/>
      </c>
      <c r="I155" s="6582" t="str">
        <f>IF(LEN(TRIM(N155))&gt;0,MAX(I29:I154)+1,"")</f>
        <v/>
      </c>
      <c r="J155" s="2873" t="str">
        <f>IFERROR(INDEX(N30:N299,MATCH(ROW()-ROW(N30)+1,I30:I299,0)),"")</f>
        <v/>
      </c>
      <c r="K155" s="304"/>
      <c r="M155" s="6595"/>
      <c r="N155" s="6585" t="str">
        <f>IF(OR(O154="",M152=""),"",IF(LEN(O154)&lt;=M152,O154,IFERROR(LEFT(O154,FIND("♦",SUBSTITUTE(LEFT(O154,M152+1)," ","♦",LEN(LEFT(O154,M152+1))-LEN(SUBSTITUTE(LEFT(O154,M152+1)," ",""))))),LEFT(O154,IFERROR(FIND(" ",O154)-1,LEN(O154))))))</f>
        <v/>
      </c>
      <c r="O155" s="6585" t="str">
        <f t="shared" si="41"/>
        <v/>
      </c>
      <c r="P155" s="6607"/>
      <c r="Q155" s="6605"/>
      <c r="R155" s="6605"/>
      <c r="T155" s="2730">
        <v>1</v>
      </c>
    </row>
    <row r="156" spans="5:20" ht="21" customHeight="1">
      <c r="E156" s="6605"/>
      <c r="G156" s="6577" t="str">
        <f t="shared" si="30"/>
        <v/>
      </c>
      <c r="H156" s="6581" t="str">
        <f t="shared" si="31"/>
        <v/>
      </c>
      <c r="I156" s="6582" t="str">
        <f>IF(LEN(TRIM(N156))&gt;0,MAX(I29:I155)+1,"")</f>
        <v/>
      </c>
      <c r="J156" s="2873" t="str">
        <f>IFERROR(INDEX(N30:N299,MATCH(ROW()-ROW(N30)+1,I30:I299,0)),"")</f>
        <v/>
      </c>
      <c r="K156" s="304"/>
      <c r="M156" s="6583" t="str">
        <f>(SUBSTITUTE(SUBSTITUTE(E51,CHAR(13)&amp;CHAR(10)," "),CHAR(10)," "))</f>
        <v/>
      </c>
      <c r="N156" s="6596" t="str">
        <f>IF(OR(M157="",M158=""),"",IF(LEN(M157)&lt;=M158,M157,IFERROR(LEFT(M157,FIND("♦",SUBSTITUTE(LEFT(M157,M158+1)," ","♦",LEN(LEFT(M157,M158+1))-LEN(SUBSTITUTE(LEFT(M157,M158+1)," ",""))))),LEFT(M157,IFERROR(FIND(" ",M157)-1,LEN(M157))))))</f>
        <v/>
      </c>
      <c r="O156" s="6597" t="str">
        <f>IF(N156="","",TRIM(RIGHT(M157,LEN(M157)-LEN(N156))))</f>
        <v/>
      </c>
      <c r="P156" s="6586" t="str">
        <f>F51</f>
        <v xml:space="preserve"> ◄ ligne 51</v>
      </c>
      <c r="Q156" s="6605"/>
      <c r="R156" s="6605"/>
      <c r="T156" s="2730">
        <v>1</v>
      </c>
    </row>
    <row r="157" spans="5:20" ht="21" customHeight="1">
      <c r="E157" s="6605"/>
      <c r="G157" s="6577" t="str">
        <f t="shared" si="30"/>
        <v/>
      </c>
      <c r="H157" s="6581" t="str">
        <f t="shared" si="31"/>
        <v/>
      </c>
      <c r="I157" s="6582" t="str">
        <f>IF(LEN(TRIM(N157))&gt;0,MAX(I29:I156)+1,"")</f>
        <v/>
      </c>
      <c r="J157" s="2873" t="str">
        <f>IFERROR(INDEX(N30:N299,MATCH(ROW()-ROW(N30)+1,I30:I299,0)),"")</f>
        <v/>
      </c>
      <c r="K157" s="304"/>
      <c r="M157" s="6596" t="str">
        <f>TRIM(SUBSTITUTE(SUBSTITUTE(SUBSTITUTE(SUBSTITUTE(IF(OR(LEFT(M156,1)="-",LEFT(M156,1)="="),MID(M156,2,9999),M156),CHAR(160)," "),","," "),";"," "),"."," "))</f>
        <v/>
      </c>
      <c r="N157" s="6597" t="str">
        <f>IF(OR(O156="",M158=""),"",IF(LEN(O156)&lt;=M158,O156,IFERROR(LEFT(O156,FIND("♦",SUBSTITUTE(LEFT(O156,M158+1)," ","♦",LEN(LEFT(O156,M158+1))-LEN(SUBSTITUTE(LEFT(O156,M158+1)," ",""))))),LEFT(O156,IFERROR(FIND(" ",O156)-1,LEN(O156))))))</f>
        <v/>
      </c>
      <c r="O157" s="6597" t="str">
        <f>IF(N157="","",TRIM(RIGHT(O156,LEN(O156)-LEN(N157))))</f>
        <v/>
      </c>
      <c r="P157" s="6608"/>
      <c r="Q157" s="6605"/>
      <c r="R157" s="6605"/>
      <c r="T157" s="2730">
        <v>1</v>
      </c>
    </row>
    <row r="158" spans="5:20" ht="21" customHeight="1">
      <c r="E158" s="6605"/>
      <c r="G158" s="6577" t="str">
        <f t="shared" si="30"/>
        <v/>
      </c>
      <c r="H158" s="6581" t="str">
        <f t="shared" si="31"/>
        <v/>
      </c>
      <c r="I158" s="6582" t="str">
        <f>IF(LEN(TRIM(N158))&gt;0,MAX(I29:I157)+1,"")</f>
        <v/>
      </c>
      <c r="J158" s="2873" t="str">
        <f>IFERROR(INDEX(N30:N299,MATCH(ROW()-ROW(N30)+1,I30:I299,0)),"")</f>
        <v/>
      </c>
      <c r="K158" s="304"/>
      <c r="M158" s="6592">
        <f>J17</f>
        <v>50</v>
      </c>
      <c r="N158" s="6597" t="str">
        <f>IF(OR(O157="",M158=""),"",IF(LEN(O157)&lt;=M158,O157,IFERROR(LEFT(O157,FIND("♦",SUBSTITUTE(LEFT(O157,M158+1)," ","♦",LEN(LEFT(O157,M158+1))-LEN(SUBSTITUTE(LEFT(O157,M158+1)," ",""))))),LEFT(O157,IFERROR(FIND(" ",O157)-1,LEN(O157))))))</f>
        <v/>
      </c>
      <c r="O158" s="6597" t="str">
        <f t="shared" ref="O158:O161" si="42">IF(N158="","",TRIM(RIGHT(O157,LEN(O157)-LEN(N158))))</f>
        <v/>
      </c>
      <c r="P158" s="6608"/>
      <c r="Q158" s="6605"/>
      <c r="R158" s="6605"/>
      <c r="T158" s="2730">
        <v>1</v>
      </c>
    </row>
    <row r="159" spans="5:20" ht="21" customHeight="1">
      <c r="E159" s="6605"/>
      <c r="G159" s="6577" t="str">
        <f t="shared" si="30"/>
        <v/>
      </c>
      <c r="H159" s="6581" t="str">
        <f t="shared" si="31"/>
        <v/>
      </c>
      <c r="I159" s="6582" t="str">
        <f>IF(LEN(TRIM(N159))&gt;0,MAX(I29:I158)+1,"")</f>
        <v/>
      </c>
      <c r="J159" s="2873" t="str">
        <f>IFERROR(INDEX(N30:N299,MATCH(ROW()-ROW(N30)+1,I30:I299,0)),"")</f>
        <v/>
      </c>
      <c r="K159" s="304"/>
      <c r="M159" s="6596"/>
      <c r="N159" s="6597" t="str">
        <f>IF(OR(O158="",M158=""),"",IF(LEN(O158)&lt;=M158,O158,IFERROR(LEFT(O158,FIND("♦",SUBSTITUTE(LEFT(O158,M158+1)," ","♦",LEN(LEFT(O158,M158+1))-LEN(SUBSTITUTE(LEFT(O158,M158+1)," ",""))))),LEFT(O158,IFERROR(FIND(" ",O158)-1,LEN(O158))))))</f>
        <v/>
      </c>
      <c r="O159" s="6597" t="str">
        <f t="shared" si="42"/>
        <v/>
      </c>
      <c r="P159" s="6608"/>
      <c r="Q159" s="6605"/>
      <c r="R159" s="6605"/>
      <c r="T159" s="2730">
        <v>1</v>
      </c>
    </row>
    <row r="160" spans="5:20" ht="21" customHeight="1">
      <c r="E160" s="6605"/>
      <c r="G160" s="6577" t="str">
        <f t="shared" ref="G160:G223" si="43">IF(J160="","",(LEN(TRIM(SUBSTITUTE(J160,CHAR(160)," ")))-LEN(SUBSTITUTE(TRIM(SUBSTITUTE(J160,CHAR(160)," "))," ",""))+1)&amp;" mot"&amp;IF((LEN(TRIM(SUBSTITUTE(J160,CHAR(160)," ")))-LEN(SUBSTITUTE(TRIM(SUBSTITUTE(J160,CHAR(160)," "))," ",""))+1)&gt;1,"s",""))</f>
        <v/>
      </c>
      <c r="H160" s="6581" t="str">
        <f t="shared" ref="H160:H223" si="44">IF(J160="","",LEN(TRIM(SUBSTITUTE(J160,CHAR(160),"")))&amp;" car. ►")</f>
        <v/>
      </c>
      <c r="I160" s="6582" t="str">
        <f>IF(LEN(TRIM(N160))&gt;0,MAX(I29:I159)+1,"")</f>
        <v/>
      </c>
      <c r="J160" s="2873" t="str">
        <f>IFERROR(INDEX(N30:N299,MATCH(ROW()-ROW(N30)+1,I30:I299,0)),"")</f>
        <v/>
      </c>
      <c r="K160" s="304"/>
      <c r="M160" s="6599"/>
      <c r="N160" s="6597" t="str">
        <f>IF(OR(O159="",M158=""),"",IF(LEN(O159)&lt;=M158,O159,IFERROR(LEFT(O159,FIND("♦",SUBSTITUTE(LEFT(O159,M158+1)," ","♦",LEN(LEFT(O159,M158+1))-LEN(SUBSTITUTE(LEFT(O159,M158+1)," ",""))))),LEFT(O159,IFERROR(FIND(" ",O159)-1,LEN(O159))))))</f>
        <v/>
      </c>
      <c r="O160" s="6597" t="str">
        <f t="shared" si="42"/>
        <v/>
      </c>
      <c r="P160" s="6608"/>
      <c r="Q160" s="6605"/>
      <c r="R160" s="6605"/>
      <c r="T160" s="2730">
        <v>1</v>
      </c>
    </row>
    <row r="161" spans="5:20" ht="21" customHeight="1">
      <c r="E161" s="6605"/>
      <c r="G161" s="6577" t="str">
        <f t="shared" si="43"/>
        <v/>
      </c>
      <c r="H161" s="6581" t="str">
        <f t="shared" si="44"/>
        <v/>
      </c>
      <c r="I161" s="6582" t="str">
        <f>IF(LEN(TRIM(N161))&gt;0,MAX(I29:I160)+1,"")</f>
        <v/>
      </c>
      <c r="J161" s="2873" t="str">
        <f>IFERROR(INDEX(N30:N299,MATCH(ROW()-ROW(N30)+1,I30:I299,0)),"")</f>
        <v/>
      </c>
      <c r="K161" s="304"/>
      <c r="M161" s="6600"/>
      <c r="N161" s="6597" t="str">
        <f>IF(OR(O160="",M158=""),"",IF(LEN(O160)&lt;=M158,O160,IFERROR(LEFT(O160,FIND("♦",SUBSTITUTE(LEFT(O160,M158+1)," ","♦",LEN(LEFT(O160,M158+1))-LEN(SUBSTITUTE(LEFT(O160,M158+1)," ",""))))),LEFT(O160,IFERROR(FIND(" ",O160)-1,LEN(O160))))))</f>
        <v/>
      </c>
      <c r="O161" s="6597" t="str">
        <f t="shared" si="42"/>
        <v/>
      </c>
      <c r="P161" s="6608"/>
      <c r="Q161" s="6605"/>
      <c r="R161" s="6605"/>
      <c r="T161" s="2730">
        <v>1</v>
      </c>
    </row>
    <row r="162" spans="5:20" ht="21" customHeight="1">
      <c r="E162" s="6605"/>
      <c r="G162" s="6577" t="str">
        <f t="shared" si="43"/>
        <v/>
      </c>
      <c r="H162" s="6581" t="str">
        <f t="shared" si="44"/>
        <v/>
      </c>
      <c r="I162" s="6582" t="str">
        <f>IF(LEN(TRIM(N162))&gt;0,MAX(I29:I161)+1,"")</f>
        <v/>
      </c>
      <c r="J162" s="2873" t="str">
        <f>IFERROR(INDEX(N30:N299,MATCH(ROW()-ROW(N30)+1,I30:I299,0)),"")</f>
        <v/>
      </c>
      <c r="K162" s="304"/>
      <c r="M162" s="6583" t="str">
        <f>(SUBSTITUTE(SUBSTITUTE(E52,CHAR(13)&amp;CHAR(10)," "),CHAR(10)," "))</f>
        <v/>
      </c>
      <c r="N162" s="6584" t="str">
        <f>IF(OR(M163="",M164=""),"",IF(LEN(M163)&lt;=M164,M163,IFERROR(LEFT(M163,FIND("♦",SUBSTITUTE(LEFT(M163,M164+1)," ","♦",LEN(LEFT(M163,M164+1))-LEN(SUBSTITUTE(LEFT(M163,M164+1)," ",""))))),LEFT(M163,IFERROR(FIND(" ",M163)-1,LEN(M163))))))</f>
        <v/>
      </c>
      <c r="O162" s="6585" t="str">
        <f>IF(N162="","",TRIM(RIGHT(M163,LEN(M163)-LEN(N162))))</f>
        <v/>
      </c>
      <c r="P162" s="6586" t="str">
        <f>F52</f>
        <v xml:space="preserve"> ◄ ligne 52</v>
      </c>
      <c r="Q162" s="6605"/>
      <c r="R162" s="6605"/>
      <c r="T162" s="2730">
        <v>1</v>
      </c>
    </row>
    <row r="163" spans="5:20" ht="21" customHeight="1">
      <c r="E163" s="6605"/>
      <c r="G163" s="6577" t="str">
        <f t="shared" si="43"/>
        <v/>
      </c>
      <c r="H163" s="6581" t="str">
        <f t="shared" si="44"/>
        <v/>
      </c>
      <c r="I163" s="6582" t="str">
        <f>IF(LEN(TRIM(N163))&gt;0,MAX(I29:I162)+1,"")</f>
        <v/>
      </c>
      <c r="J163" s="2873" t="str">
        <f>IFERROR(INDEX(N30:N299,MATCH(ROW()-ROW(N30)+1,I30:I299,0)),"")</f>
        <v/>
      </c>
      <c r="K163" s="304"/>
      <c r="M163" s="6584" t="str">
        <f>TRIM(SUBSTITUTE(SUBSTITUTE(SUBSTITUTE(SUBSTITUTE(IF(OR(LEFT(M162,1)="-",LEFT(M162,1)="="),MID(M162,2,9999),M162),CHAR(160)," "),","," "),";"," "),"."," "))</f>
        <v/>
      </c>
      <c r="N163" s="6585" t="str">
        <f>IF(OR(O162="",M164=""),"",IF(LEN(O162)&lt;=M164,O162,IFERROR(LEFT(O162,FIND("♦",SUBSTITUTE(LEFT(O162,M164+1)," ","♦",LEN(LEFT(O162,M164+1))-LEN(SUBSTITUTE(LEFT(O162,M164+1)," ",""))))),LEFT(O162,IFERROR(FIND(" ",O162)-1,LEN(O162))))))</f>
        <v/>
      </c>
      <c r="O163" s="6585" t="str">
        <f>IF(N163="","",TRIM(RIGHT(O162,LEN(O162)-LEN(N163))))</f>
        <v/>
      </c>
      <c r="P163" s="6607"/>
      <c r="Q163" s="6605"/>
      <c r="R163" s="6605"/>
      <c r="T163" s="2730">
        <v>1</v>
      </c>
    </row>
    <row r="164" spans="5:20" ht="21" customHeight="1">
      <c r="E164" s="6605"/>
      <c r="G164" s="6577" t="str">
        <f t="shared" si="43"/>
        <v/>
      </c>
      <c r="H164" s="6581" t="str">
        <f t="shared" si="44"/>
        <v/>
      </c>
      <c r="I164" s="6582" t="str">
        <f>IF(LEN(TRIM(N164))&gt;0,MAX(I29:I163)+1,"")</f>
        <v/>
      </c>
      <c r="J164" s="2873" t="str">
        <f>IFERROR(INDEX(N30:N299,MATCH(ROW()-ROW(N30)+1,I30:I299,0)),"")</f>
        <v/>
      </c>
      <c r="K164" s="304"/>
      <c r="M164" s="6592">
        <f>J17</f>
        <v>50</v>
      </c>
      <c r="N164" s="6585" t="str">
        <f>IF(OR(O163="",M164=""),"",IF(LEN(O163)&lt;=M164,O163,IFERROR(LEFT(O163,FIND("♦",SUBSTITUTE(LEFT(O163,M164+1)," ","♦",LEN(LEFT(O163,M164+1))-LEN(SUBSTITUTE(LEFT(O163,M164+1)," ",""))))),LEFT(O163,IFERROR(FIND(" ",O163)-1,LEN(O163))))))</f>
        <v/>
      </c>
      <c r="O164" s="6585" t="str">
        <f t="shared" ref="O164:O167" si="45">IF(N164="","",TRIM(RIGHT(O163,LEN(O163)-LEN(N164))))</f>
        <v/>
      </c>
      <c r="P164" s="6607"/>
      <c r="Q164" s="6605"/>
      <c r="R164" s="6605"/>
      <c r="T164" s="2730">
        <v>1</v>
      </c>
    </row>
    <row r="165" spans="5:20" ht="21" customHeight="1">
      <c r="E165" s="6605"/>
      <c r="G165" s="6577" t="str">
        <f t="shared" si="43"/>
        <v/>
      </c>
      <c r="H165" s="6581" t="str">
        <f t="shared" si="44"/>
        <v/>
      </c>
      <c r="I165" s="6582" t="str">
        <f>IF(LEN(TRIM(N165))&gt;0,MAX(I29:I164)+1,"")</f>
        <v/>
      </c>
      <c r="J165" s="2873" t="str">
        <f>IFERROR(INDEX(N30:N299,MATCH(ROW()-ROW(N30)+1,I30:I299,0)),"")</f>
        <v/>
      </c>
      <c r="K165" s="304"/>
      <c r="M165" s="6584"/>
      <c r="N165" s="6585" t="str">
        <f>IF(OR(O164="",M164=""),"",IF(LEN(O164)&lt;=M164,O164,IFERROR(LEFT(O164,FIND("♦",SUBSTITUTE(LEFT(O164,M164+1)," ","♦",LEN(LEFT(O164,M164+1))-LEN(SUBSTITUTE(LEFT(O164,M164+1)," ",""))))),LEFT(O164,IFERROR(FIND(" ",O164)-1,LEN(O164))))))</f>
        <v/>
      </c>
      <c r="O165" s="6585" t="str">
        <f t="shared" si="45"/>
        <v/>
      </c>
      <c r="P165" s="6607"/>
      <c r="Q165" s="6605"/>
      <c r="R165" s="6605"/>
      <c r="T165" s="2730">
        <v>1</v>
      </c>
    </row>
    <row r="166" spans="5:20" ht="21" customHeight="1">
      <c r="E166" s="6605"/>
      <c r="G166" s="6577" t="str">
        <f t="shared" si="43"/>
        <v/>
      </c>
      <c r="H166" s="6581" t="str">
        <f t="shared" si="44"/>
        <v/>
      </c>
      <c r="I166" s="6582" t="str">
        <f>IF(LEN(TRIM(N166))&gt;0,MAX(I29:I165)+1,"")</f>
        <v/>
      </c>
      <c r="J166" s="2873" t="str">
        <f>IFERROR(INDEX(N30:N299,MATCH(ROW()-ROW(N30)+1,I30:I299,0)),"")</f>
        <v/>
      </c>
      <c r="K166" s="304"/>
      <c r="M166" s="6594"/>
      <c r="N166" s="6585" t="str">
        <f>IF(OR(O165="",M164=""),"",IF(LEN(O165)&lt;=M164,O165,IFERROR(LEFT(O165,FIND("♦",SUBSTITUTE(LEFT(O165,M164+1)," ","♦",LEN(LEFT(O165,M164+1))-LEN(SUBSTITUTE(LEFT(O165,M164+1)," ",""))))),LEFT(O165,IFERROR(FIND(" ",O165)-1,LEN(O165))))))</f>
        <v/>
      </c>
      <c r="O166" s="6585" t="str">
        <f t="shared" si="45"/>
        <v/>
      </c>
      <c r="P166" s="6607"/>
      <c r="Q166" s="6605"/>
      <c r="R166" s="6605"/>
      <c r="T166" s="2730">
        <v>1</v>
      </c>
    </row>
    <row r="167" spans="5:20" ht="21" customHeight="1">
      <c r="E167" s="6605"/>
      <c r="G167" s="6577" t="str">
        <f t="shared" si="43"/>
        <v/>
      </c>
      <c r="H167" s="6581" t="str">
        <f t="shared" si="44"/>
        <v/>
      </c>
      <c r="I167" s="6582" t="str">
        <f>IF(LEN(TRIM(N167))&gt;0,MAX(I29:I166)+1,"")</f>
        <v/>
      </c>
      <c r="J167" s="2873" t="str">
        <f>IFERROR(INDEX(N30:N299,MATCH(ROW()-ROW(N30)+1,I30:I299,0)),"")</f>
        <v/>
      </c>
      <c r="K167" s="304"/>
      <c r="M167" s="6595"/>
      <c r="N167" s="6585" t="str">
        <f>IF(OR(O166="",M164=""),"",IF(LEN(O166)&lt;=M164,O166,IFERROR(LEFT(O166,FIND("♦",SUBSTITUTE(LEFT(O166,M164+1)," ","♦",LEN(LEFT(O166,M164+1))-LEN(SUBSTITUTE(LEFT(O166,M164+1)," ",""))))),LEFT(O166,IFERROR(FIND(" ",O166)-1,LEN(O166))))))</f>
        <v/>
      </c>
      <c r="O167" s="6585" t="str">
        <f t="shared" si="45"/>
        <v/>
      </c>
      <c r="P167" s="6607"/>
      <c r="Q167" s="6605"/>
      <c r="R167" s="6605"/>
      <c r="T167" s="2730">
        <v>1</v>
      </c>
    </row>
    <row r="168" spans="5:20" ht="21" customHeight="1">
      <c r="E168" s="6605"/>
      <c r="G168" s="6577" t="str">
        <f t="shared" si="43"/>
        <v/>
      </c>
      <c r="H168" s="6581" t="str">
        <f t="shared" si="44"/>
        <v/>
      </c>
      <c r="I168" s="6582" t="str">
        <f>IF(LEN(TRIM(N168))&gt;0,MAX(I29:I167)+1,"")</f>
        <v/>
      </c>
      <c r="J168" s="2873" t="str">
        <f>IFERROR(INDEX(N30:N299,MATCH(ROW()-ROW(N30)+1,I30:I299,0)),"")</f>
        <v/>
      </c>
      <c r="K168" s="304"/>
      <c r="M168" s="6583" t="str">
        <f>(SUBSTITUTE(SUBSTITUTE(E53,CHAR(13)&amp;CHAR(10)," "),CHAR(10)," "))</f>
        <v/>
      </c>
      <c r="N168" s="6596" t="str">
        <f>IF(OR(M169="",M170=""),"",IF(LEN(M169)&lt;=M170,M169,IFERROR(LEFT(M169,FIND("♦",SUBSTITUTE(LEFT(M169,M170+1)," ","♦",LEN(LEFT(M169,M170+1))-LEN(SUBSTITUTE(LEFT(M169,M170+1)," ",""))))),LEFT(M169,IFERROR(FIND(" ",M169)-1,LEN(M169))))))</f>
        <v/>
      </c>
      <c r="O168" s="6597" t="str">
        <f>IF(N168="","",TRIM(RIGHT(M169,LEN(M169)-LEN(N168))))</f>
        <v/>
      </c>
      <c r="P168" s="6586" t="str">
        <f>F53</f>
        <v xml:space="preserve"> ◄ ligne 53</v>
      </c>
      <c r="Q168" s="6605"/>
      <c r="R168" s="6605"/>
      <c r="T168" s="2730">
        <v>1</v>
      </c>
    </row>
    <row r="169" spans="5:20" ht="21" customHeight="1">
      <c r="E169" s="6605"/>
      <c r="G169" s="6577" t="str">
        <f t="shared" si="43"/>
        <v/>
      </c>
      <c r="H169" s="6581" t="str">
        <f t="shared" si="44"/>
        <v/>
      </c>
      <c r="I169" s="6582" t="str">
        <f>IF(LEN(TRIM(N169))&gt;0,MAX(I29:I168)+1,"")</f>
        <v/>
      </c>
      <c r="J169" s="2873" t="str">
        <f>IFERROR(INDEX(N30:N299,MATCH(ROW()-ROW(N30)+1,I30:I299,0)),"")</f>
        <v/>
      </c>
      <c r="K169" s="304"/>
      <c r="M169" s="6596" t="str">
        <f>TRIM(SUBSTITUTE(SUBSTITUTE(SUBSTITUTE(SUBSTITUTE(IF(OR(LEFT(M168,1)="-",LEFT(M168,1)="="),MID(M168,2,9999),M168),CHAR(160)," "),","," "),";"," "),"."," "))</f>
        <v/>
      </c>
      <c r="N169" s="6597" t="str">
        <f>IF(OR(O168="",M170=""),"",IF(LEN(O168)&lt;=M170,O168,IFERROR(LEFT(O168,FIND("♦",SUBSTITUTE(LEFT(O168,M170+1)," ","♦",LEN(LEFT(O168,M170+1))-LEN(SUBSTITUTE(LEFT(O168,M170+1)," ",""))))),LEFT(O168,IFERROR(FIND(" ",O168)-1,LEN(O168))))))</f>
        <v/>
      </c>
      <c r="O169" s="6597" t="str">
        <f>IF(N169="","",TRIM(RIGHT(O168,LEN(O168)-LEN(N169))))</f>
        <v/>
      </c>
      <c r="P169" s="6608"/>
      <c r="Q169" s="6605"/>
      <c r="R169" s="6605"/>
      <c r="T169" s="2730">
        <v>1</v>
      </c>
    </row>
    <row r="170" spans="5:20" ht="21" customHeight="1">
      <c r="E170" s="6605"/>
      <c r="G170" s="6577" t="str">
        <f t="shared" si="43"/>
        <v/>
      </c>
      <c r="H170" s="6581" t="str">
        <f t="shared" si="44"/>
        <v/>
      </c>
      <c r="I170" s="6582" t="str">
        <f>IF(LEN(TRIM(N170))&gt;0,MAX(I29:I169)+1,"")</f>
        <v/>
      </c>
      <c r="J170" s="2873" t="str">
        <f>IFERROR(INDEX(N30:N299,MATCH(ROW()-ROW(N30)+1,I30:I299,0)),"")</f>
        <v/>
      </c>
      <c r="K170" s="304"/>
      <c r="M170" s="6592">
        <f>J17</f>
        <v>50</v>
      </c>
      <c r="N170" s="6597" t="str">
        <f>IF(OR(O169="",M170=""),"",IF(LEN(O169)&lt;=M170,O169,IFERROR(LEFT(O169,FIND("♦",SUBSTITUTE(LEFT(O169,M170+1)," ","♦",LEN(LEFT(O169,M170+1))-LEN(SUBSTITUTE(LEFT(O169,M170+1)," ",""))))),LEFT(O169,IFERROR(FIND(" ",O169)-1,LEN(O169))))))</f>
        <v/>
      </c>
      <c r="O170" s="6597" t="str">
        <f t="shared" ref="O170:O173" si="46">IF(N170="","",TRIM(RIGHT(O169,LEN(O169)-LEN(N170))))</f>
        <v/>
      </c>
      <c r="P170" s="6608"/>
      <c r="Q170" s="6605"/>
      <c r="R170" s="6605"/>
      <c r="T170" s="2730">
        <v>1</v>
      </c>
    </row>
    <row r="171" spans="5:20" ht="21" customHeight="1">
      <c r="E171" s="6605"/>
      <c r="G171" s="6577" t="str">
        <f t="shared" si="43"/>
        <v/>
      </c>
      <c r="H171" s="6581" t="str">
        <f t="shared" si="44"/>
        <v/>
      </c>
      <c r="I171" s="6582" t="str">
        <f>IF(LEN(TRIM(N171))&gt;0,MAX(I29:I170)+1,"")</f>
        <v/>
      </c>
      <c r="J171" s="2873" t="str">
        <f>IFERROR(INDEX(N30:N299,MATCH(ROW()-ROW(N30)+1,I30:I299,0)),"")</f>
        <v/>
      </c>
      <c r="K171" s="304"/>
      <c r="M171" s="6596"/>
      <c r="N171" s="6597" t="str">
        <f>IF(OR(O170="",M170=""),"",IF(LEN(O170)&lt;=M170,O170,IFERROR(LEFT(O170,FIND("♦",SUBSTITUTE(LEFT(O170,M170+1)," ","♦",LEN(LEFT(O170,M170+1))-LEN(SUBSTITUTE(LEFT(O170,M170+1)," ",""))))),LEFT(O170,IFERROR(FIND(" ",O170)-1,LEN(O170))))))</f>
        <v/>
      </c>
      <c r="O171" s="6597" t="str">
        <f t="shared" si="46"/>
        <v/>
      </c>
      <c r="P171" s="6608"/>
      <c r="Q171" s="6605"/>
      <c r="R171" s="6605"/>
      <c r="T171" s="2730">
        <v>1</v>
      </c>
    </row>
    <row r="172" spans="5:20" ht="21" customHeight="1">
      <c r="E172" s="6605"/>
      <c r="G172" s="6577" t="str">
        <f t="shared" si="43"/>
        <v/>
      </c>
      <c r="H172" s="6581" t="str">
        <f t="shared" si="44"/>
        <v/>
      </c>
      <c r="I172" s="6582" t="str">
        <f>IF(LEN(TRIM(N172))&gt;0,MAX(I29:I171)+1,"")</f>
        <v/>
      </c>
      <c r="J172" s="2873" t="str">
        <f>IFERROR(INDEX(N30:N299,MATCH(ROW()-ROW(N30)+1,I30:I299,0)),"")</f>
        <v/>
      </c>
      <c r="K172" s="304"/>
      <c r="M172" s="6599"/>
      <c r="N172" s="6597" t="str">
        <f>IF(OR(O171="",M170=""),"",IF(LEN(O171)&lt;=M170,O171,IFERROR(LEFT(O171,FIND("♦",SUBSTITUTE(LEFT(O171,M170+1)," ","♦",LEN(LEFT(O171,M170+1))-LEN(SUBSTITUTE(LEFT(O171,M170+1)," ",""))))),LEFT(O171,IFERROR(FIND(" ",O171)-1,LEN(O171))))))</f>
        <v/>
      </c>
      <c r="O172" s="6597" t="str">
        <f t="shared" si="46"/>
        <v/>
      </c>
      <c r="P172" s="6608"/>
      <c r="Q172" s="6605"/>
      <c r="R172" s="6605"/>
      <c r="T172" s="2730">
        <v>1</v>
      </c>
    </row>
    <row r="173" spans="5:20" ht="21" customHeight="1">
      <c r="E173" s="6605"/>
      <c r="G173" s="6577" t="str">
        <f t="shared" si="43"/>
        <v/>
      </c>
      <c r="H173" s="6581" t="str">
        <f t="shared" si="44"/>
        <v/>
      </c>
      <c r="I173" s="6582" t="str">
        <f>IF(LEN(TRIM(N173))&gt;0,MAX(I29:I172)+1,"")</f>
        <v/>
      </c>
      <c r="J173" s="2873" t="str">
        <f>IFERROR(INDEX(N30:N299,MATCH(ROW()-ROW(N30)+1,I30:I299,0)),"")</f>
        <v/>
      </c>
      <c r="K173" s="304"/>
      <c r="M173" s="6600"/>
      <c r="N173" s="6597" t="str">
        <f>IF(OR(O172="",M170=""),"",IF(LEN(O172)&lt;=M170,O172,IFERROR(LEFT(O172,FIND("♦",SUBSTITUTE(LEFT(O172,M170+1)," ","♦",LEN(LEFT(O172,M170+1))-LEN(SUBSTITUTE(LEFT(O172,M170+1)," ",""))))),LEFT(O172,IFERROR(FIND(" ",O172)-1,LEN(O172))))))</f>
        <v/>
      </c>
      <c r="O173" s="6597" t="str">
        <f t="shared" si="46"/>
        <v/>
      </c>
      <c r="P173" s="6608"/>
      <c r="Q173" s="6605"/>
      <c r="R173" s="6605"/>
      <c r="T173" s="2730">
        <v>1</v>
      </c>
    </row>
    <row r="174" spans="5:20" ht="21" customHeight="1">
      <c r="E174" s="6605"/>
      <c r="G174" s="6577" t="str">
        <f t="shared" si="43"/>
        <v/>
      </c>
      <c r="H174" s="6581" t="str">
        <f t="shared" si="44"/>
        <v/>
      </c>
      <c r="I174" s="6582" t="str">
        <f>IF(LEN(TRIM(N174))&gt;0,MAX(I29:I173)+1,"")</f>
        <v/>
      </c>
      <c r="J174" s="2873" t="str">
        <f>IFERROR(INDEX(N30:N299,MATCH(ROW()-ROW(N30)+1,I30:I299,0)),"")</f>
        <v/>
      </c>
      <c r="K174" s="304"/>
      <c r="M174" s="6583" t="str">
        <f>(SUBSTITUTE(SUBSTITUTE(E54,CHAR(13)&amp;CHAR(10)," "),CHAR(10)," "))</f>
        <v/>
      </c>
      <c r="N174" s="6584" t="str">
        <f>IF(OR(M175="",M176=""),"",IF(LEN(M175)&lt;=M176,M175,IFERROR(LEFT(M175,FIND("♦",SUBSTITUTE(LEFT(M175,M176+1)," ","♦",LEN(LEFT(M175,M176+1))-LEN(SUBSTITUTE(LEFT(M175,M176+1)," ",""))))),LEFT(M175,IFERROR(FIND(" ",M175)-1,LEN(M175))))))</f>
        <v/>
      </c>
      <c r="O174" s="6585" t="str">
        <f>IF(N174="","",TRIM(RIGHT(M175,LEN(M175)-LEN(N174))))</f>
        <v/>
      </c>
      <c r="P174" s="6586" t="str">
        <f>F54</f>
        <v xml:space="preserve"> ◄ ligne 54</v>
      </c>
      <c r="Q174" s="6605"/>
      <c r="R174" s="6605"/>
      <c r="T174" s="2730">
        <v>1</v>
      </c>
    </row>
    <row r="175" spans="5:20" ht="21" customHeight="1">
      <c r="E175" s="6605"/>
      <c r="G175" s="6577" t="str">
        <f t="shared" si="43"/>
        <v/>
      </c>
      <c r="H175" s="6581" t="str">
        <f t="shared" si="44"/>
        <v/>
      </c>
      <c r="I175" s="6582" t="str">
        <f>IF(LEN(TRIM(N175))&gt;0,MAX(I29:I174)+1,"")</f>
        <v/>
      </c>
      <c r="J175" s="2873" t="str">
        <f>IFERROR(INDEX(N30:N299,MATCH(ROW()-ROW(N30)+1,I30:I299,0)),"")</f>
        <v/>
      </c>
      <c r="K175" s="304"/>
      <c r="M175" s="6584" t="str">
        <f>TRIM(SUBSTITUTE(SUBSTITUTE(SUBSTITUTE(SUBSTITUTE(IF(OR(LEFT(M174,1)="-",LEFT(M174,1)="="),MID(M174,2,9999),M174),CHAR(160)," "),","," "),";"," "),"."," "))</f>
        <v/>
      </c>
      <c r="N175" s="6585" t="str">
        <f>IF(OR(O174="",M176=""),"",IF(LEN(O174)&lt;=M176,O174,IFERROR(LEFT(O174,FIND("♦",SUBSTITUTE(LEFT(O174,M176+1)," ","♦",LEN(LEFT(O174,M176+1))-LEN(SUBSTITUTE(LEFT(O174,M176+1)," ",""))))),LEFT(O174,IFERROR(FIND(" ",O174)-1,LEN(O174))))))</f>
        <v/>
      </c>
      <c r="O175" s="6585" t="str">
        <f>IF(N175="","",TRIM(RIGHT(O174,LEN(O174)-LEN(N175))))</f>
        <v/>
      </c>
      <c r="P175" s="6607"/>
      <c r="Q175" s="6605"/>
      <c r="R175" s="6605"/>
      <c r="T175" s="2730">
        <v>1</v>
      </c>
    </row>
    <row r="176" spans="5:20" ht="21" customHeight="1">
      <c r="E176" s="6605"/>
      <c r="G176" s="6577" t="str">
        <f t="shared" si="43"/>
        <v/>
      </c>
      <c r="H176" s="6581" t="str">
        <f t="shared" si="44"/>
        <v/>
      </c>
      <c r="I176" s="6582" t="str">
        <f>IF(LEN(TRIM(N176))&gt;0,MAX(I29:I175)+1,"")</f>
        <v/>
      </c>
      <c r="J176" s="2873" t="str">
        <f>IFERROR(INDEX(N30:N299,MATCH(ROW()-ROW(N30)+1,I30:I299,0)),"")</f>
        <v/>
      </c>
      <c r="K176" s="304"/>
      <c r="M176" s="6592">
        <f>J17</f>
        <v>50</v>
      </c>
      <c r="N176" s="6585" t="str">
        <f>IF(OR(O175="",M176=""),"",IF(LEN(O175)&lt;=M176,O175,IFERROR(LEFT(O175,FIND("♦",SUBSTITUTE(LEFT(O175,M176+1)," ","♦",LEN(LEFT(O175,M176+1))-LEN(SUBSTITUTE(LEFT(O175,M176+1)," ",""))))),LEFT(O175,IFERROR(FIND(" ",O175)-1,LEN(O175))))))</f>
        <v/>
      </c>
      <c r="O176" s="6585" t="str">
        <f t="shared" ref="O176:O179" si="47">IF(N176="","",TRIM(RIGHT(O175,LEN(O175)-LEN(N176))))</f>
        <v/>
      </c>
      <c r="P176" s="6607"/>
      <c r="Q176" s="6605"/>
      <c r="R176" s="6605"/>
      <c r="T176" s="2730">
        <v>1</v>
      </c>
    </row>
    <row r="177" spans="5:20" ht="21" customHeight="1">
      <c r="E177" s="6605"/>
      <c r="G177" s="6577" t="str">
        <f t="shared" si="43"/>
        <v/>
      </c>
      <c r="H177" s="6581" t="str">
        <f t="shared" si="44"/>
        <v/>
      </c>
      <c r="I177" s="6582" t="str">
        <f>IF(LEN(TRIM(N177))&gt;0,MAX(I29:I176)+1,"")</f>
        <v/>
      </c>
      <c r="J177" s="2873" t="str">
        <f>IFERROR(INDEX(N30:N299,MATCH(ROW()-ROW(N30)+1,I30:I299,0)),"")</f>
        <v/>
      </c>
      <c r="K177" s="304"/>
      <c r="M177" s="6584"/>
      <c r="N177" s="6585" t="str">
        <f>IF(OR(O176="",M176=""),"",IF(LEN(O176)&lt;=M176,O176,IFERROR(LEFT(O176,FIND("♦",SUBSTITUTE(LEFT(O176,M176+1)," ","♦",LEN(LEFT(O176,M176+1))-LEN(SUBSTITUTE(LEFT(O176,M176+1)," ",""))))),LEFT(O176,IFERROR(FIND(" ",O176)-1,LEN(O176))))))</f>
        <v/>
      </c>
      <c r="O177" s="6585" t="str">
        <f t="shared" si="47"/>
        <v/>
      </c>
      <c r="P177" s="6607"/>
      <c r="Q177" s="6605"/>
      <c r="R177" s="6605"/>
      <c r="T177" s="2730">
        <v>1</v>
      </c>
    </row>
    <row r="178" spans="5:20" ht="21" customHeight="1">
      <c r="E178" s="6605"/>
      <c r="G178" s="6577" t="str">
        <f t="shared" si="43"/>
        <v/>
      </c>
      <c r="H178" s="6581" t="str">
        <f t="shared" si="44"/>
        <v/>
      </c>
      <c r="I178" s="6582" t="str">
        <f>IF(LEN(TRIM(N178))&gt;0,MAX(I29:I177)+1,"")</f>
        <v/>
      </c>
      <c r="J178" s="2873" t="str">
        <f>IFERROR(INDEX(N30:N299,MATCH(ROW()-ROW(N30)+1,I30:I299,0)),"")</f>
        <v/>
      </c>
      <c r="K178" s="304"/>
      <c r="M178" s="6594"/>
      <c r="N178" s="6585" t="str">
        <f>IF(OR(O177="",M176=""),"",IF(LEN(O177)&lt;=M176,O177,IFERROR(LEFT(O177,FIND("♦",SUBSTITUTE(LEFT(O177,M176+1)," ","♦",LEN(LEFT(O177,M176+1))-LEN(SUBSTITUTE(LEFT(O177,M176+1)," ",""))))),LEFT(O177,IFERROR(FIND(" ",O177)-1,LEN(O177))))))</f>
        <v/>
      </c>
      <c r="O178" s="6585" t="str">
        <f t="shared" si="47"/>
        <v/>
      </c>
      <c r="P178" s="6607"/>
      <c r="Q178" s="6605"/>
      <c r="R178" s="6605"/>
      <c r="T178" s="2730">
        <v>1</v>
      </c>
    </row>
    <row r="179" spans="5:20" ht="21" customHeight="1">
      <c r="E179" s="6605"/>
      <c r="G179" s="6577" t="str">
        <f t="shared" si="43"/>
        <v/>
      </c>
      <c r="H179" s="6581" t="str">
        <f t="shared" si="44"/>
        <v/>
      </c>
      <c r="I179" s="6582" t="str">
        <f>IF(LEN(TRIM(N179))&gt;0,MAX(I29:I178)+1,"")</f>
        <v/>
      </c>
      <c r="J179" s="2873" t="str">
        <f>IFERROR(INDEX(N30:N299,MATCH(ROW()-ROW(N30)+1,I30:I299,0)),"")</f>
        <v/>
      </c>
      <c r="K179" s="304"/>
      <c r="M179" s="6595"/>
      <c r="N179" s="6585" t="str">
        <f>IF(OR(O178="",M176=""),"",IF(LEN(O178)&lt;=M176,O178,IFERROR(LEFT(O178,FIND("♦",SUBSTITUTE(LEFT(O178,M176+1)," ","♦",LEN(LEFT(O178,M176+1))-LEN(SUBSTITUTE(LEFT(O178,M176+1)," ",""))))),LEFT(O178,IFERROR(FIND(" ",O178)-1,LEN(O178))))))</f>
        <v/>
      </c>
      <c r="O179" s="6585" t="str">
        <f t="shared" si="47"/>
        <v/>
      </c>
      <c r="P179" s="6607"/>
      <c r="Q179" s="6605"/>
      <c r="R179" s="6605"/>
      <c r="T179" s="2730">
        <v>1</v>
      </c>
    </row>
    <row r="180" spans="5:20" ht="21" customHeight="1">
      <c r="E180" s="6605"/>
      <c r="G180" s="6577" t="str">
        <f t="shared" si="43"/>
        <v/>
      </c>
      <c r="H180" s="6581" t="str">
        <f t="shared" si="44"/>
        <v/>
      </c>
      <c r="I180" s="6582" t="str">
        <f>IF(LEN(TRIM(N180))&gt;0,MAX(I29:I179)+1,"")</f>
        <v/>
      </c>
      <c r="J180" s="2873" t="str">
        <f>IFERROR(INDEX(N30:N299,MATCH(ROW()-ROW(N30)+1,I30:I299,0)),"")</f>
        <v/>
      </c>
      <c r="K180" s="304"/>
      <c r="M180" s="6583" t="str">
        <f>(SUBSTITUTE(SUBSTITUTE(E55,CHAR(13)&amp;CHAR(10)," "),CHAR(10)," "))</f>
        <v/>
      </c>
      <c r="N180" s="6596" t="str">
        <f>IF(OR(M181="",M182=""),"",IF(LEN(M181)&lt;=M182,M181,IFERROR(LEFT(M181,FIND("♦",SUBSTITUTE(LEFT(M181,M182+1)," ","♦",LEN(LEFT(M181,M182+1))-LEN(SUBSTITUTE(LEFT(M181,M182+1)," ",""))))),LEFT(M181,IFERROR(FIND(" ",M181)-1,LEN(M181))))))</f>
        <v/>
      </c>
      <c r="O180" s="6597" t="str">
        <f>IF(N180="","",TRIM(RIGHT(M181,LEN(M181)-LEN(N180))))</f>
        <v/>
      </c>
      <c r="P180" s="6586" t="str">
        <f>F55</f>
        <v xml:space="preserve"> ◄ ligne 55</v>
      </c>
      <c r="Q180" s="6605"/>
      <c r="R180" s="6605"/>
      <c r="T180" s="2730">
        <v>1</v>
      </c>
    </row>
    <row r="181" spans="5:20" ht="21" customHeight="1">
      <c r="E181" s="6605"/>
      <c r="G181" s="6577" t="str">
        <f t="shared" si="43"/>
        <v/>
      </c>
      <c r="H181" s="6581" t="str">
        <f t="shared" si="44"/>
        <v/>
      </c>
      <c r="I181" s="6582" t="str">
        <f>IF(LEN(TRIM(N181))&gt;0,MAX(I29:I180)+1,"")</f>
        <v/>
      </c>
      <c r="J181" s="2873" t="str">
        <f>IFERROR(INDEX(N30:N299,MATCH(ROW()-ROW(N30)+1,I30:I299,0)),"")</f>
        <v/>
      </c>
      <c r="K181" s="304"/>
      <c r="M181" s="6596" t="str">
        <f>TRIM(SUBSTITUTE(SUBSTITUTE(SUBSTITUTE(SUBSTITUTE(IF(OR(LEFT(M180,1)="-",LEFT(M180,1)="="),MID(M180,2,9999),M180),CHAR(160)," "),","," "),";"," "),"."," "))</f>
        <v/>
      </c>
      <c r="N181" s="6597" t="str">
        <f>IF(OR(O180="",M182=""),"",IF(LEN(O180)&lt;=M182,O180,IFERROR(LEFT(O180,FIND("♦",SUBSTITUTE(LEFT(O180,M182+1)," ","♦",LEN(LEFT(O180,M182+1))-LEN(SUBSTITUTE(LEFT(O180,M182+1)," ",""))))),LEFT(O180,IFERROR(FIND(" ",O180)-1,LEN(O180))))))</f>
        <v/>
      </c>
      <c r="O181" s="6597" t="str">
        <f>IF(N181="","",TRIM(RIGHT(O180,LEN(O180)-LEN(N181))))</f>
        <v/>
      </c>
      <c r="P181" s="6608"/>
      <c r="Q181" s="6605"/>
      <c r="R181" s="6605"/>
      <c r="T181" s="2730">
        <v>1</v>
      </c>
    </row>
    <row r="182" spans="5:20" ht="21" customHeight="1">
      <c r="E182" s="6605"/>
      <c r="G182" s="6577" t="str">
        <f t="shared" si="43"/>
        <v/>
      </c>
      <c r="H182" s="6581" t="str">
        <f t="shared" si="44"/>
        <v/>
      </c>
      <c r="I182" s="6582" t="str">
        <f>IF(LEN(TRIM(N182))&gt;0,MAX(I29:I181)+1,"")</f>
        <v/>
      </c>
      <c r="J182" s="2873" t="str">
        <f>IFERROR(INDEX(N30:N299,MATCH(ROW()-ROW(N30)+1,I30:I299,0)),"")</f>
        <v/>
      </c>
      <c r="K182" s="304"/>
      <c r="M182" s="6592">
        <f>J17</f>
        <v>50</v>
      </c>
      <c r="N182" s="6597" t="str">
        <f>IF(OR(O181="",M182=""),"",IF(LEN(O181)&lt;=M182,O181,IFERROR(LEFT(O181,FIND("♦",SUBSTITUTE(LEFT(O181,M182+1)," ","♦",LEN(LEFT(O181,M182+1))-LEN(SUBSTITUTE(LEFT(O181,M182+1)," ",""))))),LEFT(O181,IFERROR(FIND(" ",O181)-1,LEN(O181))))))</f>
        <v/>
      </c>
      <c r="O182" s="6597" t="str">
        <f t="shared" ref="O182:O185" si="48">IF(N182="","",TRIM(RIGHT(O181,LEN(O181)-LEN(N182))))</f>
        <v/>
      </c>
      <c r="P182" s="6608"/>
      <c r="Q182" s="6605"/>
      <c r="R182" s="6605"/>
      <c r="T182" s="2730">
        <v>1</v>
      </c>
    </row>
    <row r="183" spans="5:20" ht="21" customHeight="1">
      <c r="E183" s="6605"/>
      <c r="G183" s="6577" t="str">
        <f t="shared" si="43"/>
        <v/>
      </c>
      <c r="H183" s="6581" t="str">
        <f t="shared" si="44"/>
        <v/>
      </c>
      <c r="I183" s="6582" t="str">
        <f>IF(LEN(TRIM(N183))&gt;0,MAX(I29:I182)+1,"")</f>
        <v/>
      </c>
      <c r="J183" s="2873" t="str">
        <f>IFERROR(INDEX(N30:N299,MATCH(ROW()-ROW(N30)+1,I30:I299,0)),"")</f>
        <v/>
      </c>
      <c r="K183" s="304"/>
      <c r="M183" s="6596"/>
      <c r="N183" s="6597" t="str">
        <f>IF(OR(O182="",M182=""),"",IF(LEN(O182)&lt;=M182,O182,IFERROR(LEFT(O182,FIND("♦",SUBSTITUTE(LEFT(O182,M182+1)," ","♦",LEN(LEFT(O182,M182+1))-LEN(SUBSTITUTE(LEFT(O182,M182+1)," ",""))))),LEFT(O182,IFERROR(FIND(" ",O182)-1,LEN(O182))))))</f>
        <v/>
      </c>
      <c r="O183" s="6597" t="str">
        <f t="shared" si="48"/>
        <v/>
      </c>
      <c r="P183" s="6608"/>
      <c r="Q183" s="6605"/>
      <c r="R183" s="6605"/>
      <c r="T183" s="2730">
        <v>1</v>
      </c>
    </row>
    <row r="184" spans="5:20" ht="21" customHeight="1">
      <c r="E184" s="6605"/>
      <c r="G184" s="6577" t="str">
        <f t="shared" si="43"/>
        <v/>
      </c>
      <c r="H184" s="6581" t="str">
        <f t="shared" si="44"/>
        <v/>
      </c>
      <c r="I184" s="6582" t="str">
        <f>IF(LEN(TRIM(N184))&gt;0,MAX(I29:I183)+1,"")</f>
        <v/>
      </c>
      <c r="J184" s="2873" t="str">
        <f>IFERROR(INDEX(N30:N299,MATCH(ROW()-ROW(N30)+1,I30:I299,0)),"")</f>
        <v/>
      </c>
      <c r="K184" s="304"/>
      <c r="M184" s="6599"/>
      <c r="N184" s="6597" t="str">
        <f>IF(OR(O183="",M182=""),"",IF(LEN(O183)&lt;=M182,O183,IFERROR(LEFT(O183,FIND("♦",SUBSTITUTE(LEFT(O183,M182+1)," ","♦",LEN(LEFT(O183,M182+1))-LEN(SUBSTITUTE(LEFT(O183,M182+1)," ",""))))),LEFT(O183,IFERROR(FIND(" ",O183)-1,LEN(O183))))))</f>
        <v/>
      </c>
      <c r="O184" s="6597" t="str">
        <f t="shared" si="48"/>
        <v/>
      </c>
      <c r="P184" s="6608"/>
      <c r="Q184" s="6605"/>
      <c r="R184" s="6605"/>
      <c r="T184" s="2730">
        <v>1</v>
      </c>
    </row>
    <row r="185" spans="5:20" ht="21" customHeight="1">
      <c r="E185" s="6605"/>
      <c r="G185" s="6577" t="str">
        <f t="shared" si="43"/>
        <v/>
      </c>
      <c r="H185" s="6581" t="str">
        <f t="shared" si="44"/>
        <v/>
      </c>
      <c r="I185" s="6582" t="str">
        <f>IF(LEN(TRIM(N185))&gt;0,MAX(I29:I184)+1,"")</f>
        <v/>
      </c>
      <c r="J185" s="2873" t="str">
        <f>IFERROR(INDEX(N30:N299,MATCH(ROW()-ROW(N30)+1,I30:I299,0)),"")</f>
        <v/>
      </c>
      <c r="K185" s="304"/>
      <c r="M185" s="6600"/>
      <c r="N185" s="6597" t="str">
        <f>IF(OR(O184="",M182=""),"",IF(LEN(O184)&lt;=M182,O184,IFERROR(LEFT(O184,FIND("♦",SUBSTITUTE(LEFT(O184,M182+1)," ","♦",LEN(LEFT(O184,M182+1))-LEN(SUBSTITUTE(LEFT(O184,M182+1)," ",""))))),LEFT(O184,IFERROR(FIND(" ",O184)-1,LEN(O184))))))</f>
        <v/>
      </c>
      <c r="O185" s="6597" t="str">
        <f t="shared" si="48"/>
        <v/>
      </c>
      <c r="P185" s="6608"/>
      <c r="Q185" s="6605"/>
      <c r="R185" s="6605"/>
      <c r="T185" s="2730">
        <v>1</v>
      </c>
    </row>
    <row r="186" spans="5:20" ht="21" customHeight="1">
      <c r="E186" s="6605"/>
      <c r="G186" s="6577" t="str">
        <f t="shared" si="43"/>
        <v/>
      </c>
      <c r="H186" s="6581" t="str">
        <f t="shared" si="44"/>
        <v/>
      </c>
      <c r="I186" s="6582" t="str">
        <f>IF(LEN(TRIM(N186))&gt;0,MAX(I29:I185)+1,"")</f>
        <v/>
      </c>
      <c r="J186" s="2873" t="str">
        <f>IFERROR(INDEX(N30:N299,MATCH(ROW()-ROW(N30)+1,I30:I299,0)),"")</f>
        <v/>
      </c>
      <c r="K186" s="304"/>
      <c r="M186" s="6583" t="str">
        <f>(SUBSTITUTE(SUBSTITUTE(E56,CHAR(13)&amp;CHAR(10)," "),CHAR(10)," "))</f>
        <v/>
      </c>
      <c r="N186" s="6584" t="str">
        <f>IF(OR(M187="",M188=""),"",IF(LEN(M187)&lt;=M188,M187,IFERROR(LEFT(M187,FIND("♦",SUBSTITUTE(LEFT(M187,M188+1)," ","♦",LEN(LEFT(M187,M188+1))-LEN(SUBSTITUTE(LEFT(M187,M188+1)," ",""))))),LEFT(M187,IFERROR(FIND(" ",M187)-1,LEN(M187))))))</f>
        <v/>
      </c>
      <c r="O186" s="6585" t="str">
        <f>IF(N186="","",TRIM(RIGHT(M187,LEN(M187)-LEN(N186))))</f>
        <v/>
      </c>
      <c r="P186" s="6586" t="str">
        <f>F56</f>
        <v xml:space="preserve"> ◄ ligne 56</v>
      </c>
      <c r="Q186" s="6605"/>
      <c r="R186" s="6605"/>
      <c r="T186" s="2730">
        <v>1</v>
      </c>
    </row>
    <row r="187" spans="5:20" ht="21" customHeight="1">
      <c r="E187" s="6605"/>
      <c r="G187" s="6577" t="str">
        <f t="shared" si="43"/>
        <v/>
      </c>
      <c r="H187" s="6581" t="str">
        <f t="shared" si="44"/>
        <v/>
      </c>
      <c r="I187" s="6582" t="str">
        <f>IF(LEN(TRIM(N187))&gt;0,MAX(I29:I186)+1,"")</f>
        <v/>
      </c>
      <c r="J187" s="2873" t="str">
        <f>IFERROR(INDEX(N30:N299,MATCH(ROW()-ROW(N30)+1,I30:I299,0)),"")</f>
        <v/>
      </c>
      <c r="K187" s="304"/>
      <c r="M187" s="6584" t="str">
        <f>TRIM(SUBSTITUTE(SUBSTITUTE(SUBSTITUTE(SUBSTITUTE(IF(OR(LEFT(M186,1)="-",LEFT(M186,1)="="),MID(M186,2,9999),M186),CHAR(160)," "),","," "),";"," "),"."," "))</f>
        <v/>
      </c>
      <c r="N187" s="6585" t="str">
        <f>IF(OR(O186="",M188=""),"",IF(LEN(O186)&lt;=M188,O186,IFERROR(LEFT(O186,FIND("♦",SUBSTITUTE(LEFT(O186,M188+1)," ","♦",LEN(LEFT(O186,M188+1))-LEN(SUBSTITUTE(LEFT(O186,M188+1)," ",""))))),LEFT(O186,IFERROR(FIND(" ",O186)-1,LEN(O186))))))</f>
        <v/>
      </c>
      <c r="O187" s="6585" t="str">
        <f>IF(N187="","",TRIM(RIGHT(O186,LEN(O186)-LEN(N187))))</f>
        <v/>
      </c>
      <c r="P187" s="6607"/>
      <c r="Q187" s="6605"/>
      <c r="R187" s="6605"/>
      <c r="T187" s="2730">
        <v>1</v>
      </c>
    </row>
    <row r="188" spans="5:20" ht="21" customHeight="1">
      <c r="E188" s="6605"/>
      <c r="G188" s="6577" t="str">
        <f t="shared" si="43"/>
        <v/>
      </c>
      <c r="H188" s="6581" t="str">
        <f t="shared" si="44"/>
        <v/>
      </c>
      <c r="I188" s="6582" t="str">
        <f>IF(LEN(TRIM(N188))&gt;0,MAX(I29:I187)+1,"")</f>
        <v/>
      </c>
      <c r="J188" s="2873" t="str">
        <f>IFERROR(INDEX(N30:N299,MATCH(ROW()-ROW(N30)+1,I30:I299,0)),"")</f>
        <v/>
      </c>
      <c r="K188" s="304"/>
      <c r="M188" s="6592">
        <f>J17</f>
        <v>50</v>
      </c>
      <c r="N188" s="6585" t="str">
        <f>IF(OR(O187="",M188=""),"",IF(LEN(O187)&lt;=M188,O187,IFERROR(LEFT(O187,FIND("♦",SUBSTITUTE(LEFT(O187,M188+1)," ","♦",LEN(LEFT(O187,M188+1))-LEN(SUBSTITUTE(LEFT(O187,M188+1)," ",""))))),LEFT(O187,IFERROR(FIND(" ",O187)-1,LEN(O187))))))</f>
        <v/>
      </c>
      <c r="O188" s="6585" t="str">
        <f t="shared" ref="O188:O191" si="49">IF(N188="","",TRIM(RIGHT(O187,LEN(O187)-LEN(N188))))</f>
        <v/>
      </c>
      <c r="P188" s="6607"/>
      <c r="Q188" s="6605"/>
      <c r="R188" s="6605"/>
      <c r="T188" s="2730">
        <v>1</v>
      </c>
    </row>
    <row r="189" spans="5:20" ht="21" customHeight="1">
      <c r="E189" s="6605"/>
      <c r="G189" s="6577" t="str">
        <f t="shared" si="43"/>
        <v/>
      </c>
      <c r="H189" s="6581" t="str">
        <f t="shared" si="44"/>
        <v/>
      </c>
      <c r="I189" s="6582" t="str">
        <f>IF(LEN(TRIM(N189))&gt;0,MAX(I29:I188)+1,"")</f>
        <v/>
      </c>
      <c r="J189" s="2873" t="str">
        <f>IFERROR(INDEX(N30:N299,MATCH(ROW()-ROW(N30)+1,I30:I299,0)),"")</f>
        <v/>
      </c>
      <c r="K189" s="304"/>
      <c r="M189" s="6584"/>
      <c r="N189" s="6585" t="str">
        <f>IF(OR(O188="",M188=""),"",IF(LEN(O188)&lt;=M188,O188,IFERROR(LEFT(O188,FIND("♦",SUBSTITUTE(LEFT(O188,M188+1)," ","♦",LEN(LEFT(O188,M188+1))-LEN(SUBSTITUTE(LEFT(O188,M188+1)," ",""))))),LEFT(O188,IFERROR(FIND(" ",O188)-1,LEN(O188))))))</f>
        <v/>
      </c>
      <c r="O189" s="6585" t="str">
        <f t="shared" si="49"/>
        <v/>
      </c>
      <c r="P189" s="6607"/>
      <c r="Q189" s="6605"/>
      <c r="R189" s="6605"/>
      <c r="T189" s="2730">
        <v>1</v>
      </c>
    </row>
    <row r="190" spans="5:20" ht="21" customHeight="1">
      <c r="E190" s="6605"/>
      <c r="G190" s="6577" t="str">
        <f t="shared" si="43"/>
        <v/>
      </c>
      <c r="H190" s="6581" t="str">
        <f t="shared" si="44"/>
        <v/>
      </c>
      <c r="I190" s="6582" t="str">
        <f>IF(LEN(TRIM(N190))&gt;0,MAX(I29:I189)+1,"")</f>
        <v/>
      </c>
      <c r="J190" s="2873" t="str">
        <f>IFERROR(INDEX(N30:N299,MATCH(ROW()-ROW(N30)+1,I30:I299,0)),"")</f>
        <v/>
      </c>
      <c r="K190" s="304"/>
      <c r="M190" s="6594"/>
      <c r="N190" s="6585" t="str">
        <f>IF(OR(O189="",M188=""),"",IF(LEN(O189)&lt;=M188,O189,IFERROR(LEFT(O189,FIND("♦",SUBSTITUTE(LEFT(O189,M188+1)," ","♦",LEN(LEFT(O189,M188+1))-LEN(SUBSTITUTE(LEFT(O189,M188+1)," ",""))))),LEFT(O189,IFERROR(FIND(" ",O189)-1,LEN(O189))))))</f>
        <v/>
      </c>
      <c r="O190" s="6585" t="str">
        <f t="shared" si="49"/>
        <v/>
      </c>
      <c r="P190" s="6607"/>
      <c r="Q190" s="6605"/>
      <c r="R190" s="6605"/>
      <c r="T190" s="2730">
        <v>1</v>
      </c>
    </row>
    <row r="191" spans="5:20" ht="21" customHeight="1">
      <c r="E191" s="6605"/>
      <c r="G191" s="6577" t="str">
        <f t="shared" si="43"/>
        <v/>
      </c>
      <c r="H191" s="6581" t="str">
        <f t="shared" si="44"/>
        <v/>
      </c>
      <c r="I191" s="6582" t="str">
        <f>IF(LEN(TRIM(N191))&gt;0,MAX(I29:I190)+1,"")</f>
        <v/>
      </c>
      <c r="J191" s="2873" t="str">
        <f>IFERROR(INDEX(N30:N299,MATCH(ROW()-ROW(N30)+1,I30:I299,0)),"")</f>
        <v/>
      </c>
      <c r="K191" s="304"/>
      <c r="M191" s="6595"/>
      <c r="N191" s="6585" t="str">
        <f>IF(OR(O190="",M188=""),"",IF(LEN(O190)&lt;=M188,O190,IFERROR(LEFT(O190,FIND("♦",SUBSTITUTE(LEFT(O190,M188+1)," ","♦",LEN(LEFT(O190,M188+1))-LEN(SUBSTITUTE(LEFT(O190,M188+1)," ",""))))),LEFT(O190,IFERROR(FIND(" ",O190)-1,LEN(O190))))))</f>
        <v/>
      </c>
      <c r="O191" s="6585" t="str">
        <f t="shared" si="49"/>
        <v/>
      </c>
      <c r="P191" s="6607"/>
      <c r="Q191" s="6605"/>
      <c r="R191" s="6605"/>
      <c r="T191" s="2730">
        <v>1</v>
      </c>
    </row>
    <row r="192" spans="5:20" ht="21" customHeight="1">
      <c r="E192" s="6605"/>
      <c r="G192" s="6577" t="str">
        <f t="shared" si="43"/>
        <v/>
      </c>
      <c r="H192" s="6581" t="str">
        <f t="shared" si="44"/>
        <v/>
      </c>
      <c r="I192" s="6582" t="str">
        <f>IF(LEN(TRIM(N192))&gt;0,MAX(I29:I191)+1,"")</f>
        <v/>
      </c>
      <c r="J192" s="2873" t="str">
        <f>IFERROR(INDEX(N30:N299,MATCH(ROW()-ROW(N30)+1,I30:I299,0)),"")</f>
        <v/>
      </c>
      <c r="K192" s="304"/>
      <c r="M192" s="6583" t="str">
        <f>(SUBSTITUTE(SUBSTITUTE(E57,CHAR(13)&amp;CHAR(10)," "),CHAR(10)," "))</f>
        <v/>
      </c>
      <c r="N192" s="6596" t="str">
        <f>IF(OR(M193="",M194=""),"",IF(LEN(M193)&lt;=M194,M193,IFERROR(LEFT(M193,FIND("♦",SUBSTITUTE(LEFT(M193,M194+1)," ","♦",LEN(LEFT(M193,M194+1))-LEN(SUBSTITUTE(LEFT(M193,M194+1)," ",""))))),LEFT(M193,IFERROR(FIND(" ",M193)-1,LEN(M193))))))</f>
        <v/>
      </c>
      <c r="O192" s="6597" t="str">
        <f>IF(N192="","",TRIM(RIGHT(M193,LEN(M193)-LEN(N192))))</f>
        <v/>
      </c>
      <c r="P192" s="6586" t="str">
        <f>F57</f>
        <v xml:space="preserve"> ◄ ligne 57</v>
      </c>
      <c r="Q192" s="6605"/>
      <c r="R192" s="6605"/>
      <c r="T192" s="2730">
        <v>1</v>
      </c>
    </row>
    <row r="193" spans="5:20" ht="21" customHeight="1">
      <c r="E193" s="6605"/>
      <c r="G193" s="6577" t="str">
        <f t="shared" si="43"/>
        <v/>
      </c>
      <c r="H193" s="6581" t="str">
        <f t="shared" si="44"/>
        <v/>
      </c>
      <c r="I193" s="6582" t="str">
        <f>IF(LEN(TRIM(N193))&gt;0,MAX(I29:I192)+1,"")</f>
        <v/>
      </c>
      <c r="J193" s="2873" t="str">
        <f>IFERROR(INDEX(N30:N299,MATCH(ROW()-ROW(N30)+1,I30:I299,0)),"")</f>
        <v/>
      </c>
      <c r="K193" s="304"/>
      <c r="M193" s="6596" t="str">
        <f>TRIM(SUBSTITUTE(SUBSTITUTE(SUBSTITUTE(SUBSTITUTE(IF(OR(LEFT(M192,1)="-",LEFT(M192,1)="="),MID(M192,2,9999),M192),CHAR(160)," "),","," "),";"," "),"."," "))</f>
        <v/>
      </c>
      <c r="N193" s="6597" t="str">
        <f>IF(OR(O192="",M194=""),"",IF(LEN(O192)&lt;=M194,O192,IFERROR(LEFT(O192,FIND("♦",SUBSTITUTE(LEFT(O192,M194+1)," ","♦",LEN(LEFT(O192,M194+1))-LEN(SUBSTITUTE(LEFT(O192,M194+1)," ",""))))),LEFT(O192,IFERROR(FIND(" ",O192)-1,LEN(O192))))))</f>
        <v/>
      </c>
      <c r="O193" s="6597" t="str">
        <f>IF(N193="","",TRIM(RIGHT(O192,LEN(O192)-LEN(N193))))</f>
        <v/>
      </c>
      <c r="P193" s="6608"/>
      <c r="Q193" s="6605"/>
      <c r="R193" s="6605"/>
      <c r="T193" s="2730">
        <v>1</v>
      </c>
    </row>
    <row r="194" spans="5:20" ht="21" customHeight="1">
      <c r="E194" s="6605"/>
      <c r="G194" s="6577" t="str">
        <f t="shared" si="43"/>
        <v/>
      </c>
      <c r="H194" s="6581" t="str">
        <f t="shared" si="44"/>
        <v/>
      </c>
      <c r="I194" s="6582" t="str">
        <f>IF(LEN(TRIM(N194))&gt;0,MAX(I29:I193)+1,"")</f>
        <v/>
      </c>
      <c r="J194" s="2873" t="str">
        <f>IFERROR(INDEX(N30:N299,MATCH(ROW()-ROW(N30)+1,I30:I299,0)),"")</f>
        <v/>
      </c>
      <c r="K194" s="304"/>
      <c r="M194" s="6592">
        <f>J17</f>
        <v>50</v>
      </c>
      <c r="N194" s="6597" t="str">
        <f>IF(OR(O193="",M194=""),"",IF(LEN(O193)&lt;=M194,O193,IFERROR(LEFT(O193,FIND("♦",SUBSTITUTE(LEFT(O193,M194+1)," ","♦",LEN(LEFT(O193,M194+1))-LEN(SUBSTITUTE(LEFT(O193,M194+1)," ",""))))),LEFT(O193,IFERROR(FIND(" ",O193)-1,LEN(O193))))))</f>
        <v/>
      </c>
      <c r="O194" s="6597" t="str">
        <f t="shared" ref="O194:O197" si="50">IF(N194="","",TRIM(RIGHT(O193,LEN(O193)-LEN(N194))))</f>
        <v/>
      </c>
      <c r="P194" s="6608"/>
      <c r="Q194" s="6605"/>
      <c r="R194" s="6605"/>
      <c r="T194" s="2730">
        <v>1</v>
      </c>
    </row>
    <row r="195" spans="5:20" ht="21" customHeight="1">
      <c r="E195" s="6605"/>
      <c r="G195" s="6577" t="str">
        <f t="shared" si="43"/>
        <v/>
      </c>
      <c r="H195" s="6581" t="str">
        <f t="shared" si="44"/>
        <v/>
      </c>
      <c r="I195" s="6582" t="str">
        <f>IF(LEN(TRIM(N195))&gt;0,MAX(I29:I194)+1,"")</f>
        <v/>
      </c>
      <c r="J195" s="2873" t="str">
        <f>IFERROR(INDEX(N30:N299,MATCH(ROW()-ROW(N30)+1,I30:I299,0)),"")</f>
        <v/>
      </c>
      <c r="K195" s="304"/>
      <c r="M195" s="6596"/>
      <c r="N195" s="6597" t="str">
        <f>IF(OR(O194="",M194=""),"",IF(LEN(O194)&lt;=M194,O194,IFERROR(LEFT(O194,FIND("♦",SUBSTITUTE(LEFT(O194,M194+1)," ","♦",LEN(LEFT(O194,M194+1))-LEN(SUBSTITUTE(LEFT(O194,M194+1)," ",""))))),LEFT(O194,IFERROR(FIND(" ",O194)-1,LEN(O194))))))</f>
        <v/>
      </c>
      <c r="O195" s="6597" t="str">
        <f t="shared" si="50"/>
        <v/>
      </c>
      <c r="P195" s="6608"/>
      <c r="Q195" s="6605"/>
      <c r="R195" s="6605"/>
      <c r="T195" s="2730">
        <v>1</v>
      </c>
    </row>
    <row r="196" spans="5:20" ht="21" customHeight="1">
      <c r="E196" s="6605"/>
      <c r="G196" s="6577" t="str">
        <f t="shared" si="43"/>
        <v/>
      </c>
      <c r="H196" s="6581" t="str">
        <f t="shared" si="44"/>
        <v/>
      </c>
      <c r="I196" s="6582" t="str">
        <f>IF(LEN(TRIM(N196))&gt;0,MAX(I29:I195)+1,"")</f>
        <v/>
      </c>
      <c r="J196" s="2873" t="str">
        <f>IFERROR(INDEX(N30:N299,MATCH(ROW()-ROW(N30)+1,I30:I299,0)),"")</f>
        <v/>
      </c>
      <c r="K196" s="304"/>
      <c r="M196" s="6599"/>
      <c r="N196" s="6597" t="str">
        <f>IF(OR(O195="",M194=""),"",IF(LEN(O195)&lt;=M194,O195,IFERROR(LEFT(O195,FIND("♦",SUBSTITUTE(LEFT(O195,M194+1)," ","♦",LEN(LEFT(O195,M194+1))-LEN(SUBSTITUTE(LEFT(O195,M194+1)," ",""))))),LEFT(O195,IFERROR(FIND(" ",O195)-1,LEN(O195))))))</f>
        <v/>
      </c>
      <c r="O196" s="6597" t="str">
        <f t="shared" si="50"/>
        <v/>
      </c>
      <c r="P196" s="6608"/>
      <c r="Q196" s="6605"/>
      <c r="R196" s="6605"/>
      <c r="T196" s="2730">
        <v>1</v>
      </c>
    </row>
    <row r="197" spans="5:20" ht="21" customHeight="1">
      <c r="E197" s="6605"/>
      <c r="G197" s="6577" t="str">
        <f t="shared" si="43"/>
        <v/>
      </c>
      <c r="H197" s="6581" t="str">
        <f t="shared" si="44"/>
        <v/>
      </c>
      <c r="I197" s="6582" t="str">
        <f>IF(LEN(TRIM(N197))&gt;0,MAX(I29:I196)+1,"")</f>
        <v/>
      </c>
      <c r="J197" s="2873" t="str">
        <f>IFERROR(INDEX(N30:N299,MATCH(ROW()-ROW(N30)+1,I30:I299,0)),"")</f>
        <v/>
      </c>
      <c r="K197" s="304"/>
      <c r="M197" s="6600"/>
      <c r="N197" s="6597" t="str">
        <f>IF(OR(O196="",M194=""),"",IF(LEN(O196)&lt;=M194,O196,IFERROR(LEFT(O196,FIND("♦",SUBSTITUTE(LEFT(O196,M194+1)," ","♦",LEN(LEFT(O196,M194+1))-LEN(SUBSTITUTE(LEFT(O196,M194+1)," ",""))))),LEFT(O196,IFERROR(FIND(" ",O196)-1,LEN(O196))))))</f>
        <v/>
      </c>
      <c r="O197" s="6597" t="str">
        <f t="shared" si="50"/>
        <v/>
      </c>
      <c r="P197" s="6608"/>
      <c r="Q197" s="6605"/>
      <c r="R197" s="6605"/>
      <c r="T197" s="2730">
        <v>1</v>
      </c>
    </row>
    <row r="198" spans="5:20" ht="21" customHeight="1">
      <c r="E198" s="6605"/>
      <c r="G198" s="6577" t="str">
        <f t="shared" si="43"/>
        <v/>
      </c>
      <c r="H198" s="6581" t="str">
        <f t="shared" si="44"/>
        <v/>
      </c>
      <c r="I198" s="6582" t="str">
        <f>IF(LEN(TRIM(N198))&gt;0,MAX(I29:I197)+1,"")</f>
        <v/>
      </c>
      <c r="J198" s="2873" t="str">
        <f>IFERROR(INDEX(N30:N299,MATCH(ROW()-ROW(N30)+1,I30:I299,0)),"")</f>
        <v/>
      </c>
      <c r="K198" s="304"/>
      <c r="M198" s="6583" t="str">
        <f>(SUBSTITUTE(SUBSTITUTE(E58,CHAR(13)&amp;CHAR(10)," "),CHAR(10)," "))</f>
        <v/>
      </c>
      <c r="N198" s="6584" t="str">
        <f>IF(OR(M199="",M200=""),"",IF(LEN(M199)&lt;=M200,M199,IFERROR(LEFT(M199,FIND("♦",SUBSTITUTE(LEFT(M199,M200+1)," ","♦",LEN(LEFT(M199,M200+1))-LEN(SUBSTITUTE(LEFT(M199,M200+1)," ",""))))),LEFT(M199,IFERROR(FIND(" ",M199)-1,LEN(M199))))))</f>
        <v/>
      </c>
      <c r="O198" s="6585" t="str">
        <f>IF(N198="","",TRIM(RIGHT(M199,LEN(M199)-LEN(N198))))</f>
        <v/>
      </c>
      <c r="P198" s="6586" t="str">
        <f>F58</f>
        <v xml:space="preserve"> ◄ ligne 58</v>
      </c>
      <c r="Q198" s="6605"/>
      <c r="R198" s="6605"/>
      <c r="T198" s="2730">
        <v>1</v>
      </c>
    </row>
    <row r="199" spans="5:20" ht="21" customHeight="1">
      <c r="E199" s="6605"/>
      <c r="G199" s="6577" t="str">
        <f t="shared" si="43"/>
        <v/>
      </c>
      <c r="H199" s="6581" t="str">
        <f t="shared" si="44"/>
        <v/>
      </c>
      <c r="I199" s="6582" t="str">
        <f>IF(LEN(TRIM(N199))&gt;0,MAX(I29:I198)+1,"")</f>
        <v/>
      </c>
      <c r="J199" s="2873" t="str">
        <f>IFERROR(INDEX(N30:N299,MATCH(ROW()-ROW(N30)+1,I30:I299,0)),"")</f>
        <v/>
      </c>
      <c r="K199" s="304"/>
      <c r="M199" s="6584" t="str">
        <f>TRIM(SUBSTITUTE(SUBSTITUTE(SUBSTITUTE(SUBSTITUTE(IF(OR(LEFT(M198,1)="-",LEFT(M198,1)="="),MID(M198,2,9999),M198),CHAR(160)," "),","," "),";"," "),"."," "))</f>
        <v/>
      </c>
      <c r="N199" s="6585" t="str">
        <f>IF(OR(O198="",M200=""),"",IF(LEN(O198)&lt;=M200,O198,IFERROR(LEFT(O198,FIND("♦",SUBSTITUTE(LEFT(O198,M200+1)," ","♦",LEN(LEFT(O198,M200+1))-LEN(SUBSTITUTE(LEFT(O198,M200+1)," ",""))))),LEFT(O198,IFERROR(FIND(" ",O198)-1,LEN(O198))))))</f>
        <v/>
      </c>
      <c r="O199" s="6585" t="str">
        <f>IF(N199="","",TRIM(RIGHT(O198,LEN(O198)-LEN(N199))))</f>
        <v/>
      </c>
      <c r="P199" s="6607"/>
      <c r="Q199" s="6605"/>
      <c r="R199" s="6605"/>
      <c r="T199" s="2730">
        <v>1</v>
      </c>
    </row>
    <row r="200" spans="5:20" ht="21" customHeight="1">
      <c r="E200" s="6605"/>
      <c r="G200" s="6577" t="str">
        <f t="shared" si="43"/>
        <v/>
      </c>
      <c r="H200" s="6581" t="str">
        <f t="shared" si="44"/>
        <v/>
      </c>
      <c r="I200" s="6582" t="str">
        <f>IF(LEN(TRIM(N200))&gt;0,MAX(I29:I199)+1,"")</f>
        <v/>
      </c>
      <c r="J200" s="2873" t="str">
        <f>IFERROR(INDEX(N30:N299,MATCH(ROW()-ROW(N30)+1,I30:I299,0)),"")</f>
        <v/>
      </c>
      <c r="K200" s="304"/>
      <c r="M200" s="6592">
        <f>J17</f>
        <v>50</v>
      </c>
      <c r="N200" s="6585" t="str">
        <f>IF(OR(O199="",M200=""),"",IF(LEN(O199)&lt;=M200,O199,IFERROR(LEFT(O199,FIND("♦",SUBSTITUTE(LEFT(O199,M200+1)," ","♦",LEN(LEFT(O199,M200+1))-LEN(SUBSTITUTE(LEFT(O199,M200+1)," ",""))))),LEFT(O199,IFERROR(FIND(" ",O199)-1,LEN(O199))))))</f>
        <v/>
      </c>
      <c r="O200" s="6585" t="str">
        <f t="shared" ref="O200:O203" si="51">IF(N200="","",TRIM(RIGHT(O199,LEN(O199)-LEN(N200))))</f>
        <v/>
      </c>
      <c r="P200" s="6607"/>
      <c r="Q200" s="6605"/>
      <c r="R200" s="6605"/>
      <c r="T200" s="2730">
        <v>1</v>
      </c>
    </row>
    <row r="201" spans="5:20" ht="21" customHeight="1">
      <c r="E201" s="6605"/>
      <c r="G201" s="6577" t="str">
        <f t="shared" si="43"/>
        <v/>
      </c>
      <c r="H201" s="6581" t="str">
        <f t="shared" si="44"/>
        <v/>
      </c>
      <c r="I201" s="6582" t="str">
        <f>IF(LEN(TRIM(N201))&gt;0,MAX(I29:I200)+1,"")</f>
        <v/>
      </c>
      <c r="J201" s="2873" t="str">
        <f>IFERROR(INDEX(N30:N299,MATCH(ROW()-ROW(N30)+1,I30:I299,0)),"")</f>
        <v/>
      </c>
      <c r="K201" s="304"/>
      <c r="M201" s="6584"/>
      <c r="N201" s="6585" t="str">
        <f>IF(OR(O200="",M200=""),"",IF(LEN(O200)&lt;=M200,O200,IFERROR(LEFT(O200,FIND("♦",SUBSTITUTE(LEFT(O200,M200+1)," ","♦",LEN(LEFT(O200,M200+1))-LEN(SUBSTITUTE(LEFT(O200,M200+1)," ",""))))),LEFT(O200,IFERROR(FIND(" ",O200)-1,LEN(O200))))))</f>
        <v/>
      </c>
      <c r="O201" s="6585" t="str">
        <f t="shared" si="51"/>
        <v/>
      </c>
      <c r="P201" s="6607"/>
      <c r="Q201" s="6605"/>
      <c r="R201" s="6605"/>
      <c r="T201" s="2730">
        <v>1</v>
      </c>
    </row>
    <row r="202" spans="5:20" ht="21" customHeight="1">
      <c r="E202" s="6605"/>
      <c r="G202" s="6577" t="str">
        <f t="shared" si="43"/>
        <v/>
      </c>
      <c r="H202" s="6581" t="str">
        <f t="shared" si="44"/>
        <v/>
      </c>
      <c r="I202" s="6582" t="str">
        <f>IF(LEN(TRIM(N202))&gt;0,MAX(I29:I201)+1,"")</f>
        <v/>
      </c>
      <c r="J202" s="2873" t="str">
        <f>IFERROR(INDEX(N30:N299,MATCH(ROW()-ROW(N30)+1,I30:I299,0)),"")</f>
        <v/>
      </c>
      <c r="K202" s="304"/>
      <c r="M202" s="6594"/>
      <c r="N202" s="6585" t="str">
        <f>IF(OR(O201="",M200=""),"",IF(LEN(O201)&lt;=M200,O201,IFERROR(LEFT(O201,FIND("♦",SUBSTITUTE(LEFT(O201,M200+1)," ","♦",LEN(LEFT(O201,M200+1))-LEN(SUBSTITUTE(LEFT(O201,M200+1)," ",""))))),LEFT(O201,IFERROR(FIND(" ",O201)-1,LEN(O201))))))</f>
        <v/>
      </c>
      <c r="O202" s="6585" t="str">
        <f t="shared" si="51"/>
        <v/>
      </c>
      <c r="P202" s="6607"/>
      <c r="Q202" s="6605"/>
      <c r="R202" s="6605"/>
      <c r="T202" s="2730">
        <v>1</v>
      </c>
    </row>
    <row r="203" spans="5:20" ht="21" customHeight="1">
      <c r="E203" s="6605"/>
      <c r="G203" s="6577" t="str">
        <f t="shared" si="43"/>
        <v/>
      </c>
      <c r="H203" s="6581" t="str">
        <f t="shared" si="44"/>
        <v/>
      </c>
      <c r="I203" s="6582" t="str">
        <f>IF(LEN(TRIM(N203))&gt;0,MAX(I29:I202)+1,"")</f>
        <v/>
      </c>
      <c r="J203" s="2873" t="str">
        <f>IFERROR(INDEX(N30:N299,MATCH(ROW()-ROW(N30)+1,I30:I299,0)),"")</f>
        <v/>
      </c>
      <c r="K203" s="304"/>
      <c r="M203" s="6595"/>
      <c r="N203" s="6585" t="str">
        <f>IF(OR(O202="",M200=""),"",IF(LEN(O202)&lt;=M200,O202,IFERROR(LEFT(O202,FIND("♦",SUBSTITUTE(LEFT(O202,M200+1)," ","♦",LEN(LEFT(O202,M200+1))-LEN(SUBSTITUTE(LEFT(O202,M200+1)," ",""))))),LEFT(O202,IFERROR(FIND(" ",O202)-1,LEN(O202))))))</f>
        <v/>
      </c>
      <c r="O203" s="6585" t="str">
        <f t="shared" si="51"/>
        <v/>
      </c>
      <c r="P203" s="6607"/>
      <c r="Q203" s="6605"/>
      <c r="R203" s="6605"/>
      <c r="T203" s="2730">
        <v>1</v>
      </c>
    </row>
    <row r="204" spans="5:20" ht="21" customHeight="1">
      <c r="E204" s="6605"/>
      <c r="G204" s="6577" t="str">
        <f t="shared" si="43"/>
        <v/>
      </c>
      <c r="H204" s="6581" t="str">
        <f t="shared" si="44"/>
        <v/>
      </c>
      <c r="I204" s="6582" t="str">
        <f>IF(LEN(TRIM(N204))&gt;0,MAX(I29:I203)+1,"")</f>
        <v/>
      </c>
      <c r="J204" s="2873" t="str">
        <f>IFERROR(INDEX(N30:N299,MATCH(ROW()-ROW(N30)+1,I30:I299,0)),"")</f>
        <v/>
      </c>
      <c r="K204" s="304"/>
      <c r="M204" s="6583" t="str">
        <f>(SUBSTITUTE(SUBSTITUTE(E59,CHAR(13)&amp;CHAR(10)," "),CHAR(10)," "))</f>
        <v/>
      </c>
      <c r="N204" s="6596" t="str">
        <f>IF(OR(M205="",M206=""),"",IF(LEN(M205)&lt;=M206,M205,IFERROR(LEFT(M205,FIND("♦",SUBSTITUTE(LEFT(M205,M206+1)," ","♦",LEN(LEFT(M205,M206+1))-LEN(SUBSTITUTE(LEFT(M205,M206+1)," ",""))))),LEFT(M205,IFERROR(FIND(" ",M205)-1,LEN(M205))))))</f>
        <v/>
      </c>
      <c r="O204" s="6597" t="str">
        <f>IF(N204="","",TRIM(RIGHT(M205,LEN(M205)-LEN(N204))))</f>
        <v/>
      </c>
      <c r="P204" s="6586" t="str">
        <f>F59</f>
        <v xml:space="preserve"> ◄ ligne 59</v>
      </c>
      <c r="Q204" s="6605"/>
      <c r="R204" s="6605"/>
      <c r="T204" s="2730">
        <v>1</v>
      </c>
    </row>
    <row r="205" spans="5:20" ht="21" customHeight="1">
      <c r="E205" s="6605"/>
      <c r="G205" s="6577" t="str">
        <f t="shared" si="43"/>
        <v/>
      </c>
      <c r="H205" s="6581" t="str">
        <f t="shared" si="44"/>
        <v/>
      </c>
      <c r="I205" s="6582" t="str">
        <f>IF(LEN(TRIM(N205))&gt;0,MAX(I29:I204)+1,"")</f>
        <v/>
      </c>
      <c r="J205" s="2873" t="str">
        <f>IFERROR(INDEX(N30:N299,MATCH(ROW()-ROW(N30)+1,I30:I299,0)),"")</f>
        <v/>
      </c>
      <c r="K205" s="304"/>
      <c r="M205" s="6596" t="str">
        <f>TRIM(SUBSTITUTE(SUBSTITUTE(SUBSTITUTE(SUBSTITUTE(IF(OR(LEFT(M204,1)="-",LEFT(M204,1)="="),MID(M204,2,9999),M204),CHAR(160)," "),","," "),";"," "),"."," "))</f>
        <v/>
      </c>
      <c r="N205" s="6597" t="str">
        <f>IF(OR(O204="",M206=""),"",IF(LEN(O204)&lt;=M206,O204,IFERROR(LEFT(O204,FIND("♦",SUBSTITUTE(LEFT(O204,M206+1)," ","♦",LEN(LEFT(O204,M206+1))-LEN(SUBSTITUTE(LEFT(O204,M206+1)," ",""))))),LEFT(O204,IFERROR(FIND(" ",O204)-1,LEN(O204))))))</f>
        <v/>
      </c>
      <c r="O205" s="6597" t="str">
        <f>IF(N205="","",TRIM(RIGHT(O204,LEN(O204)-LEN(N205))))</f>
        <v/>
      </c>
      <c r="P205" s="6608"/>
      <c r="Q205" s="6605"/>
      <c r="R205" s="6605"/>
      <c r="T205" s="2730">
        <v>1</v>
      </c>
    </row>
    <row r="206" spans="5:20" ht="21" customHeight="1">
      <c r="E206" s="6605"/>
      <c r="G206" s="6577" t="str">
        <f t="shared" si="43"/>
        <v/>
      </c>
      <c r="H206" s="6581" t="str">
        <f t="shared" si="44"/>
        <v/>
      </c>
      <c r="I206" s="6582" t="str">
        <f>IF(LEN(TRIM(N206))&gt;0,MAX(I29:I205)+1,"")</f>
        <v/>
      </c>
      <c r="J206" s="2873" t="str">
        <f>IFERROR(INDEX(N30:N299,MATCH(ROW()-ROW(N30)+1,I30:I299,0)),"")</f>
        <v/>
      </c>
      <c r="K206" s="304"/>
      <c r="M206" s="6592">
        <f>J17</f>
        <v>50</v>
      </c>
      <c r="N206" s="6597" t="str">
        <f>IF(OR(O205="",M206=""),"",IF(LEN(O205)&lt;=M206,O205,IFERROR(LEFT(O205,FIND("♦",SUBSTITUTE(LEFT(O205,M206+1)," ","♦",LEN(LEFT(O205,M206+1))-LEN(SUBSTITUTE(LEFT(O205,M206+1)," ",""))))),LEFT(O205,IFERROR(FIND(" ",O205)-1,LEN(O205))))))</f>
        <v/>
      </c>
      <c r="O206" s="6597" t="str">
        <f t="shared" ref="O206:O209" si="52">IF(N206="","",TRIM(RIGHT(O205,LEN(O205)-LEN(N206))))</f>
        <v/>
      </c>
      <c r="P206" s="6608"/>
      <c r="Q206" s="6605"/>
      <c r="R206" s="6605"/>
      <c r="T206" s="2730">
        <v>1</v>
      </c>
    </row>
    <row r="207" spans="5:20" ht="21" customHeight="1">
      <c r="E207" s="6605"/>
      <c r="G207" s="6577" t="str">
        <f t="shared" si="43"/>
        <v/>
      </c>
      <c r="H207" s="6581" t="str">
        <f t="shared" si="44"/>
        <v/>
      </c>
      <c r="I207" s="6582" t="str">
        <f>IF(LEN(TRIM(N207))&gt;0,MAX(I29:I206)+1,"")</f>
        <v/>
      </c>
      <c r="J207" s="2873" t="str">
        <f>IFERROR(INDEX(N30:N299,MATCH(ROW()-ROW(N30)+1,I30:I299,0)),"")</f>
        <v/>
      </c>
      <c r="K207" s="304"/>
      <c r="M207" s="6596"/>
      <c r="N207" s="6597" t="str">
        <f>IF(OR(O206="",M206=""),"",IF(LEN(O206)&lt;=M206,O206,IFERROR(LEFT(O206,FIND("♦",SUBSTITUTE(LEFT(O206,M206+1)," ","♦",LEN(LEFT(O206,M206+1))-LEN(SUBSTITUTE(LEFT(O206,M206+1)," ",""))))),LEFT(O206,IFERROR(FIND(" ",O206)-1,LEN(O206))))))</f>
        <v/>
      </c>
      <c r="O207" s="6597" t="str">
        <f t="shared" si="52"/>
        <v/>
      </c>
      <c r="P207" s="6608"/>
      <c r="Q207" s="6605"/>
      <c r="R207" s="6605"/>
      <c r="T207" s="2730">
        <v>1</v>
      </c>
    </row>
    <row r="208" spans="5:20" ht="21" customHeight="1">
      <c r="E208" s="6605"/>
      <c r="G208" s="6577" t="str">
        <f t="shared" si="43"/>
        <v/>
      </c>
      <c r="H208" s="6581" t="str">
        <f t="shared" si="44"/>
        <v/>
      </c>
      <c r="I208" s="6582" t="str">
        <f>IF(LEN(TRIM(N208))&gt;0,MAX(I29:I207)+1,"")</f>
        <v/>
      </c>
      <c r="J208" s="2873" t="str">
        <f>IFERROR(INDEX(N30:N299,MATCH(ROW()-ROW(N30)+1,I30:I299,0)),"")</f>
        <v/>
      </c>
      <c r="K208" s="304"/>
      <c r="M208" s="6599"/>
      <c r="N208" s="6597" t="str">
        <f>IF(OR(O207="",M206=""),"",IF(LEN(O207)&lt;=M206,O207,IFERROR(LEFT(O207,FIND("♦",SUBSTITUTE(LEFT(O207,M206+1)," ","♦",LEN(LEFT(O207,M206+1))-LEN(SUBSTITUTE(LEFT(O207,M206+1)," ",""))))),LEFT(O207,IFERROR(FIND(" ",O207)-1,LEN(O207))))))</f>
        <v/>
      </c>
      <c r="O208" s="6597" t="str">
        <f t="shared" si="52"/>
        <v/>
      </c>
      <c r="P208" s="6608"/>
      <c r="Q208" s="6605"/>
      <c r="R208" s="6605"/>
      <c r="T208" s="2730">
        <v>1</v>
      </c>
    </row>
    <row r="209" spans="5:20" ht="21" customHeight="1">
      <c r="E209" s="6605"/>
      <c r="G209" s="6577" t="str">
        <f t="shared" si="43"/>
        <v/>
      </c>
      <c r="H209" s="6581" t="str">
        <f t="shared" si="44"/>
        <v/>
      </c>
      <c r="I209" s="6582" t="str">
        <f>IF(LEN(TRIM(N209))&gt;0,MAX(I29:I208)+1,"")</f>
        <v/>
      </c>
      <c r="J209" s="2873" t="str">
        <f>IFERROR(INDEX(N30:N299,MATCH(ROW()-ROW(N30)+1,I30:I299,0)),"")</f>
        <v/>
      </c>
      <c r="K209" s="304"/>
      <c r="M209" s="6600"/>
      <c r="N209" s="6597" t="str">
        <f>IF(OR(O208="",M206=""),"",IF(LEN(O208)&lt;=M206,O208,IFERROR(LEFT(O208,FIND("♦",SUBSTITUTE(LEFT(O208,M206+1)," ","♦",LEN(LEFT(O208,M206+1))-LEN(SUBSTITUTE(LEFT(O208,M206+1)," ",""))))),LEFT(O208,IFERROR(FIND(" ",O208)-1,LEN(O208))))))</f>
        <v/>
      </c>
      <c r="O209" s="6597" t="str">
        <f t="shared" si="52"/>
        <v/>
      </c>
      <c r="P209" s="6608"/>
      <c r="Q209" s="6605"/>
      <c r="R209" s="6605"/>
      <c r="T209" s="2730">
        <v>1</v>
      </c>
    </row>
    <row r="210" spans="5:20" ht="21" customHeight="1">
      <c r="E210" s="6605"/>
      <c r="G210" s="6577" t="str">
        <f t="shared" si="43"/>
        <v/>
      </c>
      <c r="H210" s="6581" t="str">
        <f t="shared" si="44"/>
        <v/>
      </c>
      <c r="I210" s="6582" t="str">
        <f>IF(LEN(TRIM(N210))&gt;0,MAX(I29:I209)+1,"")</f>
        <v/>
      </c>
      <c r="J210" s="2873" t="str">
        <f>IFERROR(INDEX(N30:N299,MATCH(ROW()-ROW(N30)+1,I30:I299,0)),"")</f>
        <v/>
      </c>
      <c r="K210" s="304"/>
      <c r="M210" s="6583" t="str">
        <f>(SUBSTITUTE(SUBSTITUTE(E60,CHAR(13)&amp;CHAR(10)," "),CHAR(10)," "))</f>
        <v/>
      </c>
      <c r="N210" s="6584" t="str">
        <f>IF(OR(M211="",M212=""),"",IF(LEN(M211)&lt;=M212,M211,IFERROR(LEFT(M211,FIND("♦",SUBSTITUTE(LEFT(M211,M212+1)," ","♦",LEN(LEFT(M211,M212+1))-LEN(SUBSTITUTE(LEFT(M211,M212+1)," ",""))))),LEFT(M211,IFERROR(FIND(" ",M211)-1,LEN(M211))))))</f>
        <v/>
      </c>
      <c r="O210" s="6585" t="str">
        <f>IF(N210="","",TRIM(RIGHT(M211,LEN(M211)-LEN(N210))))</f>
        <v/>
      </c>
      <c r="P210" s="6586" t="str">
        <f>F60</f>
        <v xml:space="preserve"> ◄ ligne 60</v>
      </c>
      <c r="Q210" s="6605"/>
      <c r="R210" s="6605"/>
      <c r="T210" s="2730">
        <v>1</v>
      </c>
    </row>
    <row r="211" spans="5:20" ht="21" customHeight="1">
      <c r="E211" s="6605"/>
      <c r="G211" s="6577" t="str">
        <f t="shared" si="43"/>
        <v/>
      </c>
      <c r="H211" s="6581" t="str">
        <f t="shared" si="44"/>
        <v/>
      </c>
      <c r="I211" s="6582" t="str">
        <f>IF(LEN(TRIM(N211))&gt;0,MAX(I29:I210)+1,"")</f>
        <v/>
      </c>
      <c r="J211" s="2873" t="str">
        <f>IFERROR(INDEX(N30:N299,MATCH(ROW()-ROW(N30)+1,I30:I299,0)),"")</f>
        <v/>
      </c>
      <c r="K211" s="304"/>
      <c r="M211" s="6584" t="str">
        <f>TRIM(SUBSTITUTE(SUBSTITUTE(SUBSTITUTE(SUBSTITUTE(IF(OR(LEFT(M210,1)="-",LEFT(M210,1)="="),MID(M210,2,9999),M210),CHAR(160)," "),","," "),";"," "),"."," "))</f>
        <v/>
      </c>
      <c r="N211" s="6585" t="str">
        <f>IF(OR(O210="",M212=""),"",IF(LEN(O210)&lt;=M212,O210,IFERROR(LEFT(O210,FIND("♦",SUBSTITUTE(LEFT(O210,M212+1)," ","♦",LEN(LEFT(O210,M212+1))-LEN(SUBSTITUTE(LEFT(O210,M212+1)," ",""))))),LEFT(O210,IFERROR(FIND(" ",O210)-1,LEN(O210))))))</f>
        <v/>
      </c>
      <c r="O211" s="6585" t="str">
        <f>IF(N211="","",TRIM(RIGHT(O210,LEN(O210)-LEN(N211))))</f>
        <v/>
      </c>
      <c r="P211" s="6607"/>
      <c r="Q211" s="6605"/>
      <c r="R211" s="6605"/>
      <c r="T211" s="2730">
        <v>1</v>
      </c>
    </row>
    <row r="212" spans="5:20" ht="21" customHeight="1">
      <c r="E212" s="6605"/>
      <c r="G212" s="6577" t="str">
        <f t="shared" si="43"/>
        <v/>
      </c>
      <c r="H212" s="6581" t="str">
        <f t="shared" si="44"/>
        <v/>
      </c>
      <c r="I212" s="6582" t="str">
        <f>IF(LEN(TRIM(N212))&gt;0,MAX(I29:I211)+1,"")</f>
        <v/>
      </c>
      <c r="J212" s="2873" t="str">
        <f>IFERROR(INDEX(N30:N299,MATCH(ROW()-ROW(N30)+1,I30:I299,0)),"")</f>
        <v/>
      </c>
      <c r="K212" s="304"/>
      <c r="M212" s="6592">
        <f>J17</f>
        <v>50</v>
      </c>
      <c r="N212" s="6585" t="str">
        <f>IF(OR(O211="",M212=""),"",IF(LEN(O211)&lt;=M212,O211,IFERROR(LEFT(O211,FIND("♦",SUBSTITUTE(LEFT(O211,M212+1)," ","♦",LEN(LEFT(O211,M212+1))-LEN(SUBSTITUTE(LEFT(O211,M212+1)," ",""))))),LEFT(O211,IFERROR(FIND(" ",O211)-1,LEN(O211))))))</f>
        <v/>
      </c>
      <c r="O212" s="6585" t="str">
        <f t="shared" ref="O212:O215" si="53">IF(N212="","",TRIM(RIGHT(O211,LEN(O211)-LEN(N212))))</f>
        <v/>
      </c>
      <c r="P212" s="6607"/>
      <c r="Q212" s="6605"/>
      <c r="R212" s="6605"/>
      <c r="T212" s="2730">
        <v>1</v>
      </c>
    </row>
    <row r="213" spans="5:20" ht="21" customHeight="1">
      <c r="E213" s="6605"/>
      <c r="G213" s="6577" t="str">
        <f t="shared" si="43"/>
        <v/>
      </c>
      <c r="H213" s="6581" t="str">
        <f t="shared" si="44"/>
        <v/>
      </c>
      <c r="I213" s="6582" t="str">
        <f>IF(LEN(TRIM(N213))&gt;0,MAX(I29:I212)+1,"")</f>
        <v/>
      </c>
      <c r="J213" s="2873" t="str">
        <f>IFERROR(INDEX(N30:N299,MATCH(ROW()-ROW(N30)+1,I30:I299,0)),"")</f>
        <v/>
      </c>
      <c r="K213" s="304"/>
      <c r="M213" s="6584"/>
      <c r="N213" s="6585" t="str">
        <f>IF(OR(O212="",M212=""),"",IF(LEN(O212)&lt;=M212,O212,IFERROR(LEFT(O212,FIND("♦",SUBSTITUTE(LEFT(O212,M212+1)," ","♦",LEN(LEFT(O212,M212+1))-LEN(SUBSTITUTE(LEFT(O212,M212+1)," ",""))))),LEFT(O212,IFERROR(FIND(" ",O212)-1,LEN(O212))))))</f>
        <v/>
      </c>
      <c r="O213" s="6585" t="str">
        <f t="shared" si="53"/>
        <v/>
      </c>
      <c r="P213" s="6607"/>
      <c r="Q213" s="6605"/>
      <c r="R213" s="6605"/>
      <c r="T213" s="2730">
        <v>1</v>
      </c>
    </row>
    <row r="214" spans="5:20" ht="21" customHeight="1">
      <c r="E214" s="6605"/>
      <c r="G214" s="6577" t="str">
        <f t="shared" si="43"/>
        <v/>
      </c>
      <c r="H214" s="6581" t="str">
        <f t="shared" si="44"/>
        <v/>
      </c>
      <c r="I214" s="6582" t="str">
        <f>IF(LEN(TRIM(N214))&gt;0,MAX(I29:I213)+1,"")</f>
        <v/>
      </c>
      <c r="J214" s="2873" t="str">
        <f>IFERROR(INDEX(N30:N299,MATCH(ROW()-ROW(N30)+1,I30:I299,0)),"")</f>
        <v/>
      </c>
      <c r="K214" s="304"/>
      <c r="M214" s="6594"/>
      <c r="N214" s="6585" t="str">
        <f>IF(OR(O213="",M212=""),"",IF(LEN(O213)&lt;=M212,O213,IFERROR(LEFT(O213,FIND("♦",SUBSTITUTE(LEFT(O213,M212+1)," ","♦",LEN(LEFT(O213,M212+1))-LEN(SUBSTITUTE(LEFT(O213,M212+1)," ",""))))),LEFT(O213,IFERROR(FIND(" ",O213)-1,LEN(O213))))))</f>
        <v/>
      </c>
      <c r="O214" s="6585" t="str">
        <f t="shared" si="53"/>
        <v/>
      </c>
      <c r="P214" s="6607"/>
      <c r="Q214" s="6605"/>
      <c r="R214" s="6605"/>
      <c r="T214" s="2730">
        <v>1</v>
      </c>
    </row>
    <row r="215" spans="5:20" ht="21" customHeight="1">
      <c r="E215" s="6605"/>
      <c r="G215" s="6577" t="str">
        <f t="shared" si="43"/>
        <v/>
      </c>
      <c r="H215" s="6581" t="str">
        <f t="shared" si="44"/>
        <v/>
      </c>
      <c r="I215" s="6582" t="str">
        <f>IF(LEN(TRIM(N215))&gt;0,MAX(I29:I214)+1,"")</f>
        <v/>
      </c>
      <c r="J215" s="2873" t="str">
        <f>IFERROR(INDEX(N30:N299,MATCH(ROW()-ROW(N30)+1,I30:I299,0)),"")</f>
        <v/>
      </c>
      <c r="K215" s="304"/>
      <c r="M215" s="6595"/>
      <c r="N215" s="6585" t="str">
        <f>IF(OR(O214="",M212=""),"",IF(LEN(O214)&lt;=M212,O214,IFERROR(LEFT(O214,FIND("♦",SUBSTITUTE(LEFT(O214,M212+1)," ","♦",LEN(LEFT(O214,M212+1))-LEN(SUBSTITUTE(LEFT(O214,M212+1)," ",""))))),LEFT(O214,IFERROR(FIND(" ",O214)-1,LEN(O214))))))</f>
        <v/>
      </c>
      <c r="O215" s="6585" t="str">
        <f t="shared" si="53"/>
        <v/>
      </c>
      <c r="P215" s="6607"/>
      <c r="Q215" s="6605"/>
      <c r="R215" s="6605"/>
      <c r="T215" s="2730">
        <v>1</v>
      </c>
    </row>
    <row r="216" spans="5:20" ht="21" customHeight="1">
      <c r="E216" s="6605"/>
      <c r="G216" s="6577" t="str">
        <f t="shared" si="43"/>
        <v/>
      </c>
      <c r="H216" s="6581" t="str">
        <f t="shared" si="44"/>
        <v/>
      </c>
      <c r="I216" s="6582" t="str">
        <f>IF(LEN(TRIM(N216))&gt;0,MAX(I29:I215)+1,"")</f>
        <v/>
      </c>
      <c r="J216" s="2873" t="str">
        <f>IFERROR(INDEX(N30:N299,MATCH(ROW()-ROW(N30)+1,I30:I299,0)),"")</f>
        <v/>
      </c>
      <c r="K216" s="304"/>
      <c r="M216" s="6583" t="str">
        <f>(SUBSTITUTE(SUBSTITUTE(E61,CHAR(13)&amp;CHAR(10)," "),CHAR(10)," "))</f>
        <v/>
      </c>
      <c r="N216" s="6596" t="str">
        <f>IF(OR(M217="",M218=""),"",IF(LEN(M217)&lt;=M218,M217,IFERROR(LEFT(M217,FIND("♦",SUBSTITUTE(LEFT(M217,M218+1)," ","♦",LEN(LEFT(M217,M218+1))-LEN(SUBSTITUTE(LEFT(M217,M218+1)," ",""))))),LEFT(M217,IFERROR(FIND(" ",M217)-1,LEN(M217))))))</f>
        <v/>
      </c>
      <c r="O216" s="6597" t="str">
        <f>IF(N216="","",TRIM(RIGHT(M217,LEN(M217)-LEN(N216))))</f>
        <v/>
      </c>
      <c r="P216" s="6586" t="str">
        <f>F61</f>
        <v xml:space="preserve"> ◄ ligne 61</v>
      </c>
      <c r="Q216" s="6605"/>
      <c r="R216" s="6605"/>
      <c r="T216" s="2730">
        <v>1</v>
      </c>
    </row>
    <row r="217" spans="5:20" ht="21" customHeight="1">
      <c r="E217" s="6605"/>
      <c r="G217" s="6577" t="str">
        <f t="shared" si="43"/>
        <v/>
      </c>
      <c r="H217" s="6581" t="str">
        <f t="shared" si="44"/>
        <v/>
      </c>
      <c r="I217" s="6582" t="str">
        <f>IF(LEN(TRIM(N217))&gt;0,MAX(I29:I216)+1,"")</f>
        <v/>
      </c>
      <c r="J217" s="2873" t="str">
        <f>IFERROR(INDEX(N30:N299,MATCH(ROW()-ROW(N30)+1,I30:I299,0)),"")</f>
        <v/>
      </c>
      <c r="K217" s="304"/>
      <c r="M217" s="6596" t="str">
        <f>TRIM(SUBSTITUTE(SUBSTITUTE(SUBSTITUTE(SUBSTITUTE(IF(OR(LEFT(M216,1)="-",LEFT(M216,1)="="),MID(M216,2,9999),M216),CHAR(160)," "),","," "),";"," "),"."," "))</f>
        <v/>
      </c>
      <c r="N217" s="6597" t="str">
        <f>IF(OR(O216="",M218=""),"",IF(LEN(O216)&lt;=M218,O216,IFERROR(LEFT(O216,FIND("♦",SUBSTITUTE(LEFT(O216,M218+1)," ","♦",LEN(LEFT(O216,M218+1))-LEN(SUBSTITUTE(LEFT(O216,M218+1)," ",""))))),LEFT(O216,IFERROR(FIND(" ",O216)-1,LEN(O216))))))</f>
        <v/>
      </c>
      <c r="O217" s="6597" t="str">
        <f>IF(N217="","",TRIM(RIGHT(O216,LEN(O216)-LEN(N217))))</f>
        <v/>
      </c>
      <c r="P217" s="6608"/>
      <c r="Q217" s="6605"/>
      <c r="R217" s="6605"/>
      <c r="T217" s="2730">
        <v>1</v>
      </c>
    </row>
    <row r="218" spans="5:20" ht="21" customHeight="1">
      <c r="E218" s="6605"/>
      <c r="G218" s="6577" t="str">
        <f t="shared" si="43"/>
        <v/>
      </c>
      <c r="H218" s="6581" t="str">
        <f t="shared" si="44"/>
        <v/>
      </c>
      <c r="I218" s="6582" t="str">
        <f>IF(LEN(TRIM(N218))&gt;0,MAX(I29:I217)+1,"")</f>
        <v/>
      </c>
      <c r="J218" s="2873" t="str">
        <f>IFERROR(INDEX(N30:N299,MATCH(ROW()-ROW(N30)+1,I30:I299,0)),"")</f>
        <v/>
      </c>
      <c r="K218" s="304"/>
      <c r="M218" s="6592">
        <f>J17</f>
        <v>50</v>
      </c>
      <c r="N218" s="6597" t="str">
        <f>IF(OR(O217="",M218=""),"",IF(LEN(O217)&lt;=M218,O217,IFERROR(LEFT(O217,FIND("♦",SUBSTITUTE(LEFT(O217,M218+1)," ","♦",LEN(LEFT(O217,M218+1))-LEN(SUBSTITUTE(LEFT(O217,M218+1)," ",""))))),LEFT(O217,IFERROR(FIND(" ",O217)-1,LEN(O217))))))</f>
        <v/>
      </c>
      <c r="O218" s="6597" t="str">
        <f t="shared" ref="O218:O221" si="54">IF(N218="","",TRIM(RIGHT(O217,LEN(O217)-LEN(N218))))</f>
        <v/>
      </c>
      <c r="P218" s="6608"/>
      <c r="Q218" s="6605"/>
      <c r="R218" s="6605"/>
      <c r="T218" s="2730">
        <v>1</v>
      </c>
    </row>
    <row r="219" spans="5:20" ht="21" customHeight="1">
      <c r="E219" s="6605"/>
      <c r="G219" s="6577" t="str">
        <f t="shared" si="43"/>
        <v/>
      </c>
      <c r="H219" s="6581" t="str">
        <f t="shared" si="44"/>
        <v/>
      </c>
      <c r="I219" s="6582" t="str">
        <f>IF(LEN(TRIM(N219))&gt;0,MAX(I29:I218)+1,"")</f>
        <v/>
      </c>
      <c r="J219" s="2873" t="str">
        <f>IFERROR(INDEX(N30:N299,MATCH(ROW()-ROW(N30)+1,I30:I299,0)),"")</f>
        <v/>
      </c>
      <c r="K219" s="304"/>
      <c r="M219" s="6596"/>
      <c r="N219" s="6597" t="str">
        <f>IF(OR(O218="",M218=""),"",IF(LEN(O218)&lt;=M218,O218,IFERROR(LEFT(O218,FIND("♦",SUBSTITUTE(LEFT(O218,M218+1)," ","♦",LEN(LEFT(O218,M218+1))-LEN(SUBSTITUTE(LEFT(O218,M218+1)," ",""))))),LEFT(O218,IFERROR(FIND(" ",O218)-1,LEN(O218))))))</f>
        <v/>
      </c>
      <c r="O219" s="6597" t="str">
        <f t="shared" si="54"/>
        <v/>
      </c>
      <c r="P219" s="6608"/>
      <c r="Q219" s="6605"/>
      <c r="R219" s="6605"/>
      <c r="T219" s="2730">
        <v>1</v>
      </c>
    </row>
    <row r="220" spans="5:20" ht="21" customHeight="1">
      <c r="E220" s="6605"/>
      <c r="G220" s="6577" t="str">
        <f t="shared" si="43"/>
        <v/>
      </c>
      <c r="H220" s="6581" t="str">
        <f t="shared" si="44"/>
        <v/>
      </c>
      <c r="I220" s="6582" t="str">
        <f>IF(LEN(TRIM(N220))&gt;0,MAX(I29:I219)+1,"")</f>
        <v/>
      </c>
      <c r="J220" s="2873" t="str">
        <f>IFERROR(INDEX(N30:N299,MATCH(ROW()-ROW(N30)+1,I30:I299,0)),"")</f>
        <v/>
      </c>
      <c r="K220" s="304"/>
      <c r="M220" s="6599"/>
      <c r="N220" s="6597" t="str">
        <f>IF(OR(O219="",M218=""),"",IF(LEN(O219)&lt;=M218,O219,IFERROR(LEFT(O219,FIND("♦",SUBSTITUTE(LEFT(O219,M218+1)," ","♦",LEN(LEFT(O219,M218+1))-LEN(SUBSTITUTE(LEFT(O219,M218+1)," ",""))))),LEFT(O219,IFERROR(FIND(" ",O219)-1,LEN(O219))))))</f>
        <v/>
      </c>
      <c r="O220" s="6597" t="str">
        <f t="shared" si="54"/>
        <v/>
      </c>
      <c r="P220" s="6608"/>
      <c r="Q220" s="6605"/>
      <c r="R220" s="6605"/>
      <c r="T220" s="2730">
        <v>1</v>
      </c>
    </row>
    <row r="221" spans="5:20" ht="21" customHeight="1">
      <c r="E221" s="6605"/>
      <c r="G221" s="6577" t="str">
        <f t="shared" si="43"/>
        <v/>
      </c>
      <c r="H221" s="6581" t="str">
        <f t="shared" si="44"/>
        <v/>
      </c>
      <c r="I221" s="6582" t="str">
        <f>IF(LEN(TRIM(N221))&gt;0,MAX(I29:I220)+1,"")</f>
        <v/>
      </c>
      <c r="J221" s="2873" t="str">
        <f>IFERROR(INDEX(N30:N299,MATCH(ROW()-ROW(N30)+1,I30:I299,0)),"")</f>
        <v/>
      </c>
      <c r="K221" s="304"/>
      <c r="M221" s="6600"/>
      <c r="N221" s="6597" t="str">
        <f>IF(OR(O220="",M218=""),"",IF(LEN(O220)&lt;=M218,O220,IFERROR(LEFT(O220,FIND("♦",SUBSTITUTE(LEFT(O220,M218+1)," ","♦",LEN(LEFT(O220,M218+1))-LEN(SUBSTITUTE(LEFT(O220,M218+1)," ",""))))),LEFT(O220,IFERROR(FIND(" ",O220)-1,LEN(O220))))))</f>
        <v/>
      </c>
      <c r="O221" s="6597" t="str">
        <f t="shared" si="54"/>
        <v/>
      </c>
      <c r="P221" s="6608"/>
      <c r="Q221" s="6605"/>
      <c r="R221" s="6605"/>
      <c r="T221" s="2730">
        <v>1</v>
      </c>
    </row>
    <row r="222" spans="5:20" ht="21" customHeight="1">
      <c r="E222" s="6605"/>
      <c r="G222" s="6577" t="str">
        <f t="shared" si="43"/>
        <v/>
      </c>
      <c r="H222" s="6581" t="str">
        <f t="shared" si="44"/>
        <v/>
      </c>
      <c r="I222" s="6582" t="str">
        <f>IF(LEN(TRIM(N222))&gt;0,MAX(I29:I221)+1,"")</f>
        <v/>
      </c>
      <c r="J222" s="2873" t="str">
        <f>IFERROR(INDEX(N30:N299,MATCH(ROW()-ROW(N30)+1,I30:I299,0)),"")</f>
        <v/>
      </c>
      <c r="K222" s="304"/>
      <c r="M222" s="6583" t="str">
        <f>(SUBSTITUTE(SUBSTITUTE(E62,CHAR(13)&amp;CHAR(10)," "),CHAR(10)," "))</f>
        <v/>
      </c>
      <c r="N222" s="6584" t="str">
        <f>IF(OR(M223="",M224=""),"",IF(LEN(M223)&lt;=M224,M223,IFERROR(LEFT(M223,FIND("♦",SUBSTITUTE(LEFT(M223,M224+1)," ","♦",LEN(LEFT(M223,M224+1))-LEN(SUBSTITUTE(LEFT(M223,M224+1)," ",""))))),LEFT(M223,IFERROR(FIND(" ",M223)-1,LEN(M223))))))</f>
        <v/>
      </c>
      <c r="O222" s="6585" t="str">
        <f>IF(N222="","",TRIM(RIGHT(M223,LEN(M223)-LEN(N222))))</f>
        <v/>
      </c>
      <c r="P222" s="6586" t="str">
        <f>F62</f>
        <v xml:space="preserve"> ◄ ligne 62</v>
      </c>
      <c r="Q222" s="6605"/>
      <c r="R222" s="6605"/>
      <c r="T222" s="2730">
        <v>1</v>
      </c>
    </row>
    <row r="223" spans="5:20" ht="21" customHeight="1">
      <c r="E223" s="6605"/>
      <c r="G223" s="6577" t="str">
        <f t="shared" si="43"/>
        <v/>
      </c>
      <c r="H223" s="6581" t="str">
        <f t="shared" si="44"/>
        <v/>
      </c>
      <c r="I223" s="6582" t="str">
        <f>IF(LEN(TRIM(N223))&gt;0,MAX(I29:I222)+1,"")</f>
        <v/>
      </c>
      <c r="J223" s="2873" t="str">
        <f>IFERROR(INDEX(N30:N299,MATCH(ROW()-ROW(N30)+1,I30:I299,0)),"")</f>
        <v/>
      </c>
      <c r="K223" s="304"/>
      <c r="M223" s="6584" t="str">
        <f>TRIM(SUBSTITUTE(SUBSTITUTE(SUBSTITUTE(SUBSTITUTE(IF(OR(LEFT(M222,1)="-",LEFT(M222,1)="="),MID(M222,2,9999),M222),CHAR(160)," "),","," "),";"," "),"."," "))</f>
        <v/>
      </c>
      <c r="N223" s="6585" t="str">
        <f>IF(OR(O222="",M224=""),"",IF(LEN(O222)&lt;=M224,O222,IFERROR(LEFT(O222,FIND("♦",SUBSTITUTE(LEFT(O222,M224+1)," ","♦",LEN(LEFT(O222,M224+1))-LEN(SUBSTITUTE(LEFT(O222,M224+1)," ",""))))),LEFT(O222,IFERROR(FIND(" ",O222)-1,LEN(O222))))))</f>
        <v/>
      </c>
      <c r="O223" s="6585" t="str">
        <f>IF(N223="","",TRIM(RIGHT(O222,LEN(O222)-LEN(N223))))</f>
        <v/>
      </c>
      <c r="P223" s="6607"/>
      <c r="Q223" s="6605"/>
      <c r="R223" s="6605"/>
      <c r="T223" s="2730">
        <v>1</v>
      </c>
    </row>
    <row r="224" spans="5:20" ht="21" customHeight="1">
      <c r="E224" s="6605"/>
      <c r="G224" s="6577" t="str">
        <f t="shared" ref="G224:G287" si="55">IF(J224="","",(LEN(TRIM(SUBSTITUTE(J224,CHAR(160)," ")))-LEN(SUBSTITUTE(TRIM(SUBSTITUTE(J224,CHAR(160)," "))," ",""))+1)&amp;" mot"&amp;IF((LEN(TRIM(SUBSTITUTE(J224,CHAR(160)," ")))-LEN(SUBSTITUTE(TRIM(SUBSTITUTE(J224,CHAR(160)," "))," ",""))+1)&gt;1,"s",""))</f>
        <v/>
      </c>
      <c r="H224" s="6581" t="str">
        <f t="shared" ref="H224:H287" si="56">IF(J224="","",LEN(TRIM(SUBSTITUTE(J224,CHAR(160),"")))&amp;" car. ►")</f>
        <v/>
      </c>
      <c r="I224" s="6582" t="str">
        <f>IF(LEN(TRIM(N224))&gt;0,MAX(I29:I223)+1,"")</f>
        <v/>
      </c>
      <c r="J224" s="2873" t="str">
        <f>IFERROR(INDEX(N30:N299,MATCH(ROW()-ROW(N30)+1,I30:I299,0)),"")</f>
        <v/>
      </c>
      <c r="K224" s="304"/>
      <c r="M224" s="6592">
        <f>J17</f>
        <v>50</v>
      </c>
      <c r="N224" s="6585" t="str">
        <f>IF(OR(O223="",M224=""),"",IF(LEN(O223)&lt;=M224,O223,IFERROR(LEFT(O223,FIND("♦",SUBSTITUTE(LEFT(O223,M224+1)," ","♦",LEN(LEFT(O223,M224+1))-LEN(SUBSTITUTE(LEFT(O223,M224+1)," ",""))))),LEFT(O223,IFERROR(FIND(" ",O223)-1,LEN(O223))))))</f>
        <v/>
      </c>
      <c r="O224" s="6585" t="str">
        <f t="shared" ref="O224:O227" si="57">IF(N224="","",TRIM(RIGHT(O223,LEN(O223)-LEN(N224))))</f>
        <v/>
      </c>
      <c r="P224" s="6607"/>
      <c r="Q224" s="6605"/>
      <c r="R224" s="6605"/>
      <c r="T224" s="2730">
        <v>1</v>
      </c>
    </row>
    <row r="225" spans="5:20" ht="21" customHeight="1">
      <c r="E225" s="6605"/>
      <c r="G225" s="6577" t="str">
        <f t="shared" si="55"/>
        <v/>
      </c>
      <c r="H225" s="6581" t="str">
        <f t="shared" si="56"/>
        <v/>
      </c>
      <c r="I225" s="6582" t="str">
        <f>IF(LEN(TRIM(N225))&gt;0,MAX(I29:I224)+1,"")</f>
        <v/>
      </c>
      <c r="J225" s="2873" t="str">
        <f>IFERROR(INDEX(N30:N299,MATCH(ROW()-ROW(N30)+1,I30:I299,0)),"")</f>
        <v/>
      </c>
      <c r="K225" s="304"/>
      <c r="M225" s="6584"/>
      <c r="N225" s="6585" t="str">
        <f>IF(OR(O224="",M224=""),"",IF(LEN(O224)&lt;=M224,O224,IFERROR(LEFT(O224,FIND("♦",SUBSTITUTE(LEFT(O224,M224+1)," ","♦",LEN(LEFT(O224,M224+1))-LEN(SUBSTITUTE(LEFT(O224,M224+1)," ",""))))),LEFT(O224,IFERROR(FIND(" ",O224)-1,LEN(O224))))))</f>
        <v/>
      </c>
      <c r="O225" s="6585" t="str">
        <f t="shared" si="57"/>
        <v/>
      </c>
      <c r="P225" s="6607"/>
      <c r="Q225" s="6605"/>
      <c r="R225" s="6605"/>
      <c r="T225" s="2730">
        <v>1</v>
      </c>
    </row>
    <row r="226" spans="5:20" ht="21" customHeight="1">
      <c r="E226" s="6605"/>
      <c r="G226" s="6577" t="str">
        <f t="shared" si="55"/>
        <v/>
      </c>
      <c r="H226" s="6581" t="str">
        <f t="shared" si="56"/>
        <v/>
      </c>
      <c r="I226" s="6582" t="str">
        <f>IF(LEN(TRIM(N226))&gt;0,MAX(I29:I225)+1,"")</f>
        <v/>
      </c>
      <c r="J226" s="2873" t="str">
        <f>IFERROR(INDEX(N30:N299,MATCH(ROW()-ROW(N30)+1,I30:I299,0)),"")</f>
        <v/>
      </c>
      <c r="K226" s="304"/>
      <c r="M226" s="6594"/>
      <c r="N226" s="6585" t="str">
        <f>IF(OR(O225="",M224=""),"",IF(LEN(O225)&lt;=M224,O225,IFERROR(LEFT(O225,FIND("♦",SUBSTITUTE(LEFT(O225,M224+1)," ","♦",LEN(LEFT(O225,M224+1))-LEN(SUBSTITUTE(LEFT(O225,M224+1)," ",""))))),LEFT(O225,IFERROR(FIND(" ",O225)-1,LEN(O225))))))</f>
        <v/>
      </c>
      <c r="O226" s="6585" t="str">
        <f t="shared" si="57"/>
        <v/>
      </c>
      <c r="P226" s="6607"/>
      <c r="Q226" s="6605"/>
      <c r="R226" s="6605"/>
      <c r="T226" s="2730">
        <v>1</v>
      </c>
    </row>
    <row r="227" spans="5:20" ht="21" customHeight="1">
      <c r="E227" s="6605"/>
      <c r="G227" s="6577" t="str">
        <f t="shared" si="55"/>
        <v/>
      </c>
      <c r="H227" s="6581" t="str">
        <f t="shared" si="56"/>
        <v/>
      </c>
      <c r="I227" s="6582" t="str">
        <f>IF(LEN(TRIM(N227))&gt;0,MAX(I29:I226)+1,"")</f>
        <v/>
      </c>
      <c r="J227" s="2873" t="str">
        <f>IFERROR(INDEX(N30:N299,MATCH(ROW()-ROW(N30)+1,I30:I299,0)),"")</f>
        <v/>
      </c>
      <c r="K227" s="304"/>
      <c r="M227" s="6595"/>
      <c r="N227" s="6585" t="str">
        <f>IF(OR(O226="",M224=""),"",IF(LEN(O226)&lt;=M224,O226,IFERROR(LEFT(O226,FIND("♦",SUBSTITUTE(LEFT(O226,M224+1)," ","♦",LEN(LEFT(O226,M224+1))-LEN(SUBSTITUTE(LEFT(O226,M224+1)," ",""))))),LEFT(O226,IFERROR(FIND(" ",O226)-1,LEN(O226))))))</f>
        <v/>
      </c>
      <c r="O227" s="6585" t="str">
        <f t="shared" si="57"/>
        <v/>
      </c>
      <c r="P227" s="6607"/>
      <c r="Q227" s="6605"/>
      <c r="R227" s="6605"/>
      <c r="T227" s="2730">
        <v>1</v>
      </c>
    </row>
    <row r="228" spans="5:20" ht="21" customHeight="1">
      <c r="E228" s="6605"/>
      <c r="G228" s="6577" t="str">
        <f t="shared" si="55"/>
        <v/>
      </c>
      <c r="H228" s="6581" t="str">
        <f t="shared" si="56"/>
        <v/>
      </c>
      <c r="I228" s="6582" t="str">
        <f>IF(LEN(TRIM(N228))&gt;0,MAX(I29:I227)+1,"")</f>
        <v/>
      </c>
      <c r="J228" s="2873" t="str">
        <f>IFERROR(INDEX(N30:N299,MATCH(ROW()-ROW(N30)+1,I30:I299,0)),"")</f>
        <v/>
      </c>
      <c r="K228" s="304"/>
      <c r="M228" s="6583" t="str">
        <f>(SUBSTITUTE(SUBSTITUTE(E63,CHAR(13)&amp;CHAR(10)," "),CHAR(10)," "))</f>
        <v/>
      </c>
      <c r="N228" s="6596" t="str">
        <f>IF(OR(M229="",M230=""),"",IF(LEN(M229)&lt;=M230,M229,IFERROR(LEFT(M229,FIND("♦",SUBSTITUTE(LEFT(M229,M230+1)," ","♦",LEN(LEFT(M229,M230+1))-LEN(SUBSTITUTE(LEFT(M229,M230+1)," ",""))))),LEFT(M229,IFERROR(FIND(" ",M229)-1,LEN(M229))))))</f>
        <v/>
      </c>
      <c r="O228" s="6597" t="str">
        <f>IF(N228="","",TRIM(RIGHT(M229,LEN(M229)-LEN(N228))))</f>
        <v/>
      </c>
      <c r="P228" s="6586" t="str">
        <f>F63</f>
        <v xml:space="preserve"> ◄ ligne 63</v>
      </c>
      <c r="Q228" s="6605"/>
      <c r="R228" s="6605"/>
      <c r="T228" s="2730">
        <v>1</v>
      </c>
    </row>
    <row r="229" spans="5:20" ht="21" customHeight="1">
      <c r="E229" s="6605"/>
      <c r="G229" s="6577" t="str">
        <f t="shared" si="55"/>
        <v/>
      </c>
      <c r="H229" s="6581" t="str">
        <f t="shared" si="56"/>
        <v/>
      </c>
      <c r="I229" s="6582" t="str">
        <f>IF(LEN(TRIM(N229))&gt;0,MAX(I29:I228)+1,"")</f>
        <v/>
      </c>
      <c r="J229" s="2873" t="str">
        <f>IFERROR(INDEX(N30:N299,MATCH(ROW()-ROW(N30)+1,I30:I299,0)),"")</f>
        <v/>
      </c>
      <c r="K229" s="304"/>
      <c r="M229" s="6596" t="str">
        <f>TRIM(SUBSTITUTE(SUBSTITUTE(SUBSTITUTE(SUBSTITUTE(IF(OR(LEFT(M228,1)="-",LEFT(M228,1)="="),MID(M228,2,9999),M228),CHAR(160)," "),","," "),";"," "),"."," "))</f>
        <v/>
      </c>
      <c r="N229" s="6597" t="str">
        <f>IF(OR(O228="",M230=""),"",IF(LEN(O228)&lt;=M230,O228,IFERROR(LEFT(O228,FIND("♦",SUBSTITUTE(LEFT(O228,M230+1)," ","♦",LEN(LEFT(O228,M230+1))-LEN(SUBSTITUTE(LEFT(O228,M230+1)," ",""))))),LEFT(O228,IFERROR(FIND(" ",O228)-1,LEN(O228))))))</f>
        <v/>
      </c>
      <c r="O229" s="6597" t="str">
        <f>IF(N229="","",TRIM(RIGHT(O228,LEN(O228)-LEN(N229))))</f>
        <v/>
      </c>
      <c r="P229" s="6608"/>
      <c r="Q229" s="6605"/>
      <c r="R229" s="6605"/>
      <c r="T229" s="2730">
        <v>1</v>
      </c>
    </row>
    <row r="230" spans="5:20" ht="21" customHeight="1">
      <c r="E230" s="6605"/>
      <c r="G230" s="6577" t="str">
        <f t="shared" si="55"/>
        <v/>
      </c>
      <c r="H230" s="6581" t="str">
        <f t="shared" si="56"/>
        <v/>
      </c>
      <c r="I230" s="6582" t="str">
        <f>IF(LEN(TRIM(N230))&gt;0,MAX(I29:I229)+1,"")</f>
        <v/>
      </c>
      <c r="J230" s="2873" t="str">
        <f>IFERROR(INDEX(N30:N299,MATCH(ROW()-ROW(N30)+1,I30:I299,0)),"")</f>
        <v/>
      </c>
      <c r="K230" s="304"/>
      <c r="M230" s="6592">
        <f>J17</f>
        <v>50</v>
      </c>
      <c r="N230" s="6597" t="str">
        <f>IF(OR(O229="",M230=""),"",IF(LEN(O229)&lt;=M230,O229,IFERROR(LEFT(O229,FIND("♦",SUBSTITUTE(LEFT(O229,M230+1)," ","♦",LEN(LEFT(O229,M230+1))-LEN(SUBSTITUTE(LEFT(O229,M230+1)," ",""))))),LEFT(O229,IFERROR(FIND(" ",O229)-1,LEN(O229))))))</f>
        <v/>
      </c>
      <c r="O230" s="6597" t="str">
        <f t="shared" ref="O230:O233" si="58">IF(N230="","",TRIM(RIGHT(O229,LEN(O229)-LEN(N230))))</f>
        <v/>
      </c>
      <c r="P230" s="6608"/>
      <c r="Q230" s="6605"/>
      <c r="R230" s="6605"/>
      <c r="T230" s="2730">
        <v>1</v>
      </c>
    </row>
    <row r="231" spans="5:20" ht="21" customHeight="1">
      <c r="E231" s="6605"/>
      <c r="G231" s="6577" t="str">
        <f t="shared" si="55"/>
        <v/>
      </c>
      <c r="H231" s="6581" t="str">
        <f t="shared" si="56"/>
        <v/>
      </c>
      <c r="I231" s="6582" t="str">
        <f>IF(LEN(TRIM(N231))&gt;0,MAX(I29:I230)+1,"")</f>
        <v/>
      </c>
      <c r="J231" s="2873" t="str">
        <f>IFERROR(INDEX(N30:N299,MATCH(ROW()-ROW(N30)+1,I30:I299,0)),"")</f>
        <v/>
      </c>
      <c r="K231" s="304"/>
      <c r="M231" s="6596"/>
      <c r="N231" s="6597" t="str">
        <f>IF(OR(O230="",M230=""),"",IF(LEN(O230)&lt;=M230,O230,IFERROR(LEFT(O230,FIND("♦",SUBSTITUTE(LEFT(O230,M230+1)," ","♦",LEN(LEFT(O230,M230+1))-LEN(SUBSTITUTE(LEFT(O230,M230+1)," ",""))))),LEFT(O230,IFERROR(FIND(" ",O230)-1,LEN(O230))))))</f>
        <v/>
      </c>
      <c r="O231" s="6597" t="str">
        <f t="shared" si="58"/>
        <v/>
      </c>
      <c r="P231" s="6608"/>
      <c r="Q231" s="6605"/>
      <c r="R231" s="6605"/>
      <c r="T231" s="2730">
        <v>1</v>
      </c>
    </row>
    <row r="232" spans="5:20" ht="21" customHeight="1">
      <c r="E232" s="6605"/>
      <c r="G232" s="6577" t="str">
        <f t="shared" si="55"/>
        <v/>
      </c>
      <c r="H232" s="6581" t="str">
        <f t="shared" si="56"/>
        <v/>
      </c>
      <c r="I232" s="6582" t="str">
        <f>IF(LEN(TRIM(N232))&gt;0,MAX(I29:I231)+1,"")</f>
        <v/>
      </c>
      <c r="J232" s="2873" t="str">
        <f>IFERROR(INDEX(N30:N299,MATCH(ROW()-ROW(N30)+1,I30:I299,0)),"")</f>
        <v/>
      </c>
      <c r="K232" s="304"/>
      <c r="M232" s="6599"/>
      <c r="N232" s="6597" t="str">
        <f>IF(OR(O231="",M230=""),"",IF(LEN(O231)&lt;=M230,O231,IFERROR(LEFT(O231,FIND("♦",SUBSTITUTE(LEFT(O231,M230+1)," ","♦",LEN(LEFT(O231,M230+1))-LEN(SUBSTITUTE(LEFT(O231,M230+1)," ",""))))),LEFT(O231,IFERROR(FIND(" ",O231)-1,LEN(O231))))))</f>
        <v/>
      </c>
      <c r="O232" s="6597" t="str">
        <f t="shared" si="58"/>
        <v/>
      </c>
      <c r="P232" s="6608"/>
      <c r="Q232" s="6605"/>
      <c r="R232" s="6605"/>
      <c r="T232" s="2730">
        <v>1</v>
      </c>
    </row>
    <row r="233" spans="5:20" ht="21" customHeight="1">
      <c r="E233" s="6605"/>
      <c r="G233" s="6577" t="str">
        <f t="shared" si="55"/>
        <v/>
      </c>
      <c r="H233" s="6581" t="str">
        <f t="shared" si="56"/>
        <v/>
      </c>
      <c r="I233" s="6582" t="str">
        <f>IF(LEN(TRIM(N233))&gt;0,MAX(I29:I232)+1,"")</f>
        <v/>
      </c>
      <c r="J233" s="2873" t="str">
        <f>IFERROR(INDEX(N30:N299,MATCH(ROW()-ROW(N30)+1,I30:I299,0)),"")</f>
        <v/>
      </c>
      <c r="K233" s="304"/>
      <c r="M233" s="6600"/>
      <c r="N233" s="6597" t="str">
        <f>IF(OR(O232="",M230=""),"",IF(LEN(O232)&lt;=M230,O232,IFERROR(LEFT(O232,FIND("♦",SUBSTITUTE(LEFT(O232,M230+1)," ","♦",LEN(LEFT(O232,M230+1))-LEN(SUBSTITUTE(LEFT(O232,M230+1)," ",""))))),LEFT(O232,IFERROR(FIND(" ",O232)-1,LEN(O232))))))</f>
        <v/>
      </c>
      <c r="O233" s="6597" t="str">
        <f t="shared" si="58"/>
        <v/>
      </c>
      <c r="P233" s="6608"/>
      <c r="Q233" s="6605"/>
      <c r="R233" s="6605"/>
      <c r="T233" s="2730">
        <v>1</v>
      </c>
    </row>
    <row r="234" spans="5:20" ht="21" customHeight="1">
      <c r="E234" s="6605"/>
      <c r="G234" s="6577" t="str">
        <f t="shared" si="55"/>
        <v/>
      </c>
      <c r="H234" s="6581" t="str">
        <f t="shared" si="56"/>
        <v/>
      </c>
      <c r="I234" s="6582" t="str">
        <f>IF(LEN(TRIM(N234))&gt;0,MAX(I29:I233)+1,"")</f>
        <v/>
      </c>
      <c r="J234" s="2873" t="str">
        <f>IFERROR(INDEX(N30:N299,MATCH(ROW()-ROW(N30)+1,I30:I299,0)),"")</f>
        <v/>
      </c>
      <c r="K234" s="304"/>
      <c r="M234" s="6583" t="str">
        <f>(SUBSTITUTE(SUBSTITUTE(E64,CHAR(13)&amp;CHAR(10)," "),CHAR(10)," "))</f>
        <v/>
      </c>
      <c r="N234" s="6584" t="str">
        <f>IF(OR(M235="",M236=""),"",IF(LEN(M235)&lt;=M236,M235,IFERROR(LEFT(M235,FIND("♦",SUBSTITUTE(LEFT(M235,M236+1)," ","♦",LEN(LEFT(M235,M236+1))-LEN(SUBSTITUTE(LEFT(M235,M236+1)," ",""))))),LEFT(M235,IFERROR(FIND(" ",M235)-1,LEN(M235))))))</f>
        <v/>
      </c>
      <c r="O234" s="6585" t="str">
        <f>IF(N234="","",TRIM(RIGHT(M235,LEN(M235)-LEN(N234))))</f>
        <v/>
      </c>
      <c r="P234" s="6586" t="str">
        <f>F64</f>
        <v xml:space="preserve"> ◄ ligne 64</v>
      </c>
      <c r="Q234" s="6605"/>
      <c r="R234" s="6605"/>
      <c r="T234" s="2730">
        <v>1</v>
      </c>
    </row>
    <row r="235" spans="5:20" ht="21" customHeight="1">
      <c r="E235" s="6605"/>
      <c r="G235" s="6577" t="str">
        <f t="shared" si="55"/>
        <v/>
      </c>
      <c r="H235" s="6581" t="str">
        <f t="shared" si="56"/>
        <v/>
      </c>
      <c r="I235" s="6582" t="str">
        <f>IF(LEN(TRIM(N235))&gt;0,MAX(I29:I234)+1,"")</f>
        <v/>
      </c>
      <c r="J235" s="2873" t="str">
        <f>IFERROR(INDEX(N30:N299,MATCH(ROW()-ROW(N30)+1,I30:I299,0)),"")</f>
        <v/>
      </c>
      <c r="K235" s="304"/>
      <c r="M235" s="6584" t="str">
        <f>TRIM(SUBSTITUTE(SUBSTITUTE(SUBSTITUTE(SUBSTITUTE(IF(OR(LEFT(M234,1)="-",LEFT(M234,1)="="),MID(M234,2,9999),M234),CHAR(160)," "),","," "),";"," "),"."," "))</f>
        <v/>
      </c>
      <c r="N235" s="6585" t="str">
        <f>IF(OR(O234="",M236=""),"",IF(LEN(O234)&lt;=M236,O234,IFERROR(LEFT(O234,FIND("♦",SUBSTITUTE(LEFT(O234,M236+1)," ","♦",LEN(LEFT(O234,M236+1))-LEN(SUBSTITUTE(LEFT(O234,M236+1)," ",""))))),LEFT(O234,IFERROR(FIND(" ",O234)-1,LEN(O234))))))</f>
        <v/>
      </c>
      <c r="O235" s="6585" t="str">
        <f>IF(N235="","",TRIM(RIGHT(O234,LEN(O234)-LEN(N235))))</f>
        <v/>
      </c>
      <c r="P235" s="6607"/>
      <c r="Q235" s="6605"/>
      <c r="R235" s="6605"/>
      <c r="T235" s="2730">
        <v>1</v>
      </c>
    </row>
    <row r="236" spans="5:20" ht="21" customHeight="1">
      <c r="E236" s="6605"/>
      <c r="G236" s="6577" t="str">
        <f t="shared" si="55"/>
        <v/>
      </c>
      <c r="H236" s="6581" t="str">
        <f t="shared" si="56"/>
        <v/>
      </c>
      <c r="I236" s="6582" t="str">
        <f>IF(LEN(TRIM(N236))&gt;0,MAX(I29:I235)+1,"")</f>
        <v/>
      </c>
      <c r="J236" s="2873" t="str">
        <f>IFERROR(INDEX(N30:N299,MATCH(ROW()-ROW(N30)+1,I30:I299,0)),"")</f>
        <v/>
      </c>
      <c r="K236" s="304"/>
      <c r="M236" s="6592">
        <f>J17</f>
        <v>50</v>
      </c>
      <c r="N236" s="6585" t="str">
        <f>IF(OR(O235="",M236=""),"",IF(LEN(O235)&lt;=M236,O235,IFERROR(LEFT(O235,FIND("♦",SUBSTITUTE(LEFT(O235,M236+1)," ","♦",LEN(LEFT(O235,M236+1))-LEN(SUBSTITUTE(LEFT(O235,M236+1)," ",""))))),LEFT(O235,IFERROR(FIND(" ",O235)-1,LEN(O235))))))</f>
        <v/>
      </c>
      <c r="O236" s="6585" t="str">
        <f t="shared" ref="O236:O239" si="59">IF(N236="","",TRIM(RIGHT(O235,LEN(O235)-LEN(N236))))</f>
        <v/>
      </c>
      <c r="P236" s="6607"/>
      <c r="Q236" s="6605"/>
      <c r="R236" s="6605"/>
      <c r="T236" s="2730">
        <v>1</v>
      </c>
    </row>
    <row r="237" spans="5:20" ht="21" customHeight="1">
      <c r="E237" s="6605"/>
      <c r="G237" s="6577" t="str">
        <f t="shared" si="55"/>
        <v/>
      </c>
      <c r="H237" s="6581" t="str">
        <f t="shared" si="56"/>
        <v/>
      </c>
      <c r="I237" s="6582" t="str">
        <f>IF(LEN(TRIM(N237))&gt;0,MAX(I29:I236)+1,"")</f>
        <v/>
      </c>
      <c r="J237" s="2873" t="str">
        <f>IFERROR(INDEX(N30:N299,MATCH(ROW()-ROW(N30)+1,I30:I299,0)),"")</f>
        <v/>
      </c>
      <c r="K237" s="304"/>
      <c r="M237" s="6584"/>
      <c r="N237" s="6585" t="str">
        <f>IF(OR(O236="",M236=""),"",IF(LEN(O236)&lt;=M236,O236,IFERROR(LEFT(O236,FIND("♦",SUBSTITUTE(LEFT(O236,M236+1)," ","♦",LEN(LEFT(O236,M236+1))-LEN(SUBSTITUTE(LEFT(O236,M236+1)," ",""))))),LEFT(O236,IFERROR(FIND(" ",O236)-1,LEN(O236))))))</f>
        <v/>
      </c>
      <c r="O237" s="6585" t="str">
        <f t="shared" si="59"/>
        <v/>
      </c>
      <c r="P237" s="6607"/>
      <c r="Q237" s="6605"/>
      <c r="R237" s="6605"/>
      <c r="T237" s="2730">
        <v>1</v>
      </c>
    </row>
    <row r="238" spans="5:20" ht="21" customHeight="1">
      <c r="E238" s="6605"/>
      <c r="G238" s="6577" t="str">
        <f t="shared" si="55"/>
        <v/>
      </c>
      <c r="H238" s="6581" t="str">
        <f t="shared" si="56"/>
        <v/>
      </c>
      <c r="I238" s="6582" t="str">
        <f>IF(LEN(TRIM(N238))&gt;0,MAX(I29:I237)+1,"")</f>
        <v/>
      </c>
      <c r="J238" s="2873" t="str">
        <f>IFERROR(INDEX(N30:N299,MATCH(ROW()-ROW(N30)+1,I30:I299,0)),"")</f>
        <v/>
      </c>
      <c r="K238" s="304"/>
      <c r="M238" s="6594"/>
      <c r="N238" s="6585" t="str">
        <f>IF(OR(O237="",M236=""),"",IF(LEN(O237)&lt;=M236,O237,IFERROR(LEFT(O237,FIND("♦",SUBSTITUTE(LEFT(O237,M236+1)," ","♦",LEN(LEFT(O237,M236+1))-LEN(SUBSTITUTE(LEFT(O237,M236+1)," ",""))))),LEFT(O237,IFERROR(FIND(" ",O237)-1,LEN(O237))))))</f>
        <v/>
      </c>
      <c r="O238" s="6585" t="str">
        <f t="shared" si="59"/>
        <v/>
      </c>
      <c r="P238" s="6607"/>
      <c r="Q238" s="6605"/>
      <c r="R238" s="6605"/>
      <c r="T238" s="2730">
        <v>1</v>
      </c>
    </row>
    <row r="239" spans="5:20" ht="21" customHeight="1">
      <c r="E239" s="6605"/>
      <c r="G239" s="6577" t="str">
        <f t="shared" si="55"/>
        <v/>
      </c>
      <c r="H239" s="6581" t="str">
        <f t="shared" si="56"/>
        <v/>
      </c>
      <c r="I239" s="6582" t="str">
        <f>IF(LEN(TRIM(N239))&gt;0,MAX(I29:I238)+1,"")</f>
        <v/>
      </c>
      <c r="J239" s="2873" t="str">
        <f>IFERROR(INDEX(N30:N299,MATCH(ROW()-ROW(N30)+1,I30:I299,0)),"")</f>
        <v/>
      </c>
      <c r="K239" s="304"/>
      <c r="M239" s="6595"/>
      <c r="N239" s="6585" t="str">
        <f>IF(OR(O238="",M236=""),"",IF(LEN(O238)&lt;=M236,O238,IFERROR(LEFT(O238,FIND("♦",SUBSTITUTE(LEFT(O238,M236+1)," ","♦",LEN(LEFT(O238,M236+1))-LEN(SUBSTITUTE(LEFT(O238,M236+1)," ",""))))),LEFT(O238,IFERROR(FIND(" ",O238)-1,LEN(O238))))))</f>
        <v/>
      </c>
      <c r="O239" s="6585" t="str">
        <f t="shared" si="59"/>
        <v/>
      </c>
      <c r="P239" s="6607"/>
      <c r="Q239" s="6605"/>
      <c r="R239" s="6605"/>
      <c r="T239" s="2730">
        <v>1</v>
      </c>
    </row>
    <row r="240" spans="5:20" ht="21" customHeight="1">
      <c r="E240" s="6605"/>
      <c r="G240" s="6577" t="str">
        <f t="shared" si="55"/>
        <v/>
      </c>
      <c r="H240" s="6581" t="str">
        <f t="shared" si="56"/>
        <v/>
      </c>
      <c r="I240" s="6582" t="str">
        <f>IF(LEN(TRIM(N240))&gt;0,MAX(I29:I239)+1,"")</f>
        <v/>
      </c>
      <c r="J240" s="2873" t="str">
        <f>IFERROR(INDEX(N30:N299,MATCH(ROW()-ROW(N30)+1,I30:I299,0)),"")</f>
        <v/>
      </c>
      <c r="K240" s="304"/>
      <c r="M240" s="6583" t="str">
        <f>(SUBSTITUTE(SUBSTITUTE(E65,CHAR(13)&amp;CHAR(10)," "),CHAR(10)," "))</f>
        <v/>
      </c>
      <c r="N240" s="6596" t="str">
        <f>IF(OR(M241="",M242=""),"",IF(LEN(M241)&lt;=M242,M241,IFERROR(LEFT(M241,FIND("♦",SUBSTITUTE(LEFT(M241,M242+1)," ","♦",LEN(LEFT(M241,M242+1))-LEN(SUBSTITUTE(LEFT(M241,M242+1)," ",""))))),LEFT(M241,IFERROR(FIND(" ",M241)-1,LEN(M241))))))</f>
        <v/>
      </c>
      <c r="O240" s="6597" t="str">
        <f>IF(N240="","",TRIM(RIGHT(M241,LEN(M241)-LEN(N240))))</f>
        <v/>
      </c>
      <c r="P240" s="6586" t="str">
        <f>F65</f>
        <v xml:space="preserve"> ◄ ligne 65</v>
      </c>
      <c r="Q240" s="6605"/>
      <c r="R240" s="6605"/>
      <c r="T240" s="2730">
        <v>1</v>
      </c>
    </row>
    <row r="241" spans="5:20" ht="21" customHeight="1">
      <c r="E241" s="6605"/>
      <c r="G241" s="6577" t="str">
        <f t="shared" si="55"/>
        <v/>
      </c>
      <c r="H241" s="6581" t="str">
        <f t="shared" si="56"/>
        <v/>
      </c>
      <c r="I241" s="6582" t="str">
        <f>IF(LEN(TRIM(N241))&gt;0,MAX(I29:I240)+1,"")</f>
        <v/>
      </c>
      <c r="J241" s="2873" t="str">
        <f>IFERROR(INDEX(N30:N299,MATCH(ROW()-ROW(N30)+1,I30:I299,0)),"")</f>
        <v/>
      </c>
      <c r="K241" s="304"/>
      <c r="M241" s="6596" t="str">
        <f>TRIM(SUBSTITUTE(SUBSTITUTE(SUBSTITUTE(SUBSTITUTE(IF(OR(LEFT(M240,1)="-",LEFT(M240,1)="="),MID(M240,2,9999),M240),CHAR(160)," "),","," "),";"," "),"."," "))</f>
        <v/>
      </c>
      <c r="N241" s="6597" t="str">
        <f>IF(OR(O240="",M242=""),"",IF(LEN(O240)&lt;=M242,O240,IFERROR(LEFT(O240,FIND("♦",SUBSTITUTE(LEFT(O240,M242+1)," ","♦",LEN(LEFT(O240,M242+1))-LEN(SUBSTITUTE(LEFT(O240,M242+1)," ",""))))),LEFT(O240,IFERROR(FIND(" ",O240)-1,LEN(O240))))))</f>
        <v/>
      </c>
      <c r="O241" s="6597" t="str">
        <f>IF(N241="","",TRIM(RIGHT(O240,LEN(O240)-LEN(N241))))</f>
        <v/>
      </c>
      <c r="P241" s="6608"/>
      <c r="Q241" s="6605"/>
      <c r="R241" s="6605"/>
      <c r="T241" s="2730">
        <v>1</v>
      </c>
    </row>
    <row r="242" spans="5:20" ht="21" customHeight="1">
      <c r="E242" s="6605"/>
      <c r="G242" s="6577" t="str">
        <f t="shared" si="55"/>
        <v/>
      </c>
      <c r="H242" s="6581" t="str">
        <f t="shared" si="56"/>
        <v/>
      </c>
      <c r="I242" s="6582" t="str">
        <f>IF(LEN(TRIM(N242))&gt;0,MAX(I29:I241)+1,"")</f>
        <v/>
      </c>
      <c r="J242" s="2873" t="str">
        <f>IFERROR(INDEX(N30:N299,MATCH(ROW()-ROW(N30)+1,I30:I299,0)),"")</f>
        <v/>
      </c>
      <c r="K242" s="304"/>
      <c r="M242" s="6592">
        <f>J17</f>
        <v>50</v>
      </c>
      <c r="N242" s="6597" t="str">
        <f>IF(OR(O241="",M242=""),"",IF(LEN(O241)&lt;=M242,O241,IFERROR(LEFT(O241,FIND("♦",SUBSTITUTE(LEFT(O241,M242+1)," ","♦",LEN(LEFT(O241,M242+1))-LEN(SUBSTITUTE(LEFT(O241,M242+1)," ",""))))),LEFT(O241,IFERROR(FIND(" ",O241)-1,LEN(O241))))))</f>
        <v/>
      </c>
      <c r="O242" s="6597" t="str">
        <f t="shared" ref="O242:O245" si="60">IF(N242="","",TRIM(RIGHT(O241,LEN(O241)-LEN(N242))))</f>
        <v/>
      </c>
      <c r="P242" s="6608"/>
      <c r="Q242" s="6605"/>
      <c r="R242" s="6605"/>
      <c r="T242" s="2730">
        <v>1</v>
      </c>
    </row>
    <row r="243" spans="5:20" ht="21" customHeight="1">
      <c r="E243" s="6605"/>
      <c r="G243" s="6577" t="str">
        <f t="shared" si="55"/>
        <v/>
      </c>
      <c r="H243" s="6581" t="str">
        <f t="shared" si="56"/>
        <v/>
      </c>
      <c r="I243" s="6582" t="str">
        <f>IF(LEN(TRIM(N243))&gt;0,MAX(I29:I242)+1,"")</f>
        <v/>
      </c>
      <c r="J243" s="2873" t="str">
        <f>IFERROR(INDEX(N30:N299,MATCH(ROW()-ROW(N30)+1,I30:I299,0)),"")</f>
        <v/>
      </c>
      <c r="K243" s="304"/>
      <c r="M243" s="6596"/>
      <c r="N243" s="6597" t="str">
        <f>IF(OR(O242="",M242=""),"",IF(LEN(O242)&lt;=M242,O242,IFERROR(LEFT(O242,FIND("♦",SUBSTITUTE(LEFT(O242,M242+1)," ","♦",LEN(LEFT(O242,M242+1))-LEN(SUBSTITUTE(LEFT(O242,M242+1)," ",""))))),LEFT(O242,IFERROR(FIND(" ",O242)-1,LEN(O242))))))</f>
        <v/>
      </c>
      <c r="O243" s="6597" t="str">
        <f t="shared" si="60"/>
        <v/>
      </c>
      <c r="P243" s="6608"/>
      <c r="Q243" s="6605"/>
      <c r="R243" s="6605"/>
      <c r="T243" s="2730">
        <v>1</v>
      </c>
    </row>
    <row r="244" spans="5:20" ht="21" customHeight="1">
      <c r="E244" s="6605"/>
      <c r="G244" s="6577" t="str">
        <f t="shared" si="55"/>
        <v/>
      </c>
      <c r="H244" s="6581" t="str">
        <f t="shared" si="56"/>
        <v/>
      </c>
      <c r="I244" s="6582" t="str">
        <f>IF(LEN(TRIM(N244))&gt;0,MAX(I29:I243)+1,"")</f>
        <v/>
      </c>
      <c r="J244" s="2873" t="str">
        <f>IFERROR(INDEX(N30:N299,MATCH(ROW()-ROW(N30)+1,I30:I299,0)),"")</f>
        <v/>
      </c>
      <c r="K244" s="304"/>
      <c r="M244" s="6599"/>
      <c r="N244" s="6597" t="str">
        <f>IF(OR(O243="",M242=""),"",IF(LEN(O243)&lt;=M242,O243,IFERROR(LEFT(O243,FIND("♦",SUBSTITUTE(LEFT(O243,M242+1)," ","♦",LEN(LEFT(O243,M242+1))-LEN(SUBSTITUTE(LEFT(O243,M242+1)," ",""))))),LEFT(O243,IFERROR(FIND(" ",O243)-1,LEN(O243))))))</f>
        <v/>
      </c>
      <c r="O244" s="6597" t="str">
        <f t="shared" si="60"/>
        <v/>
      </c>
      <c r="P244" s="6608"/>
      <c r="Q244" s="6605"/>
      <c r="R244" s="6605"/>
      <c r="T244" s="2730">
        <v>1</v>
      </c>
    </row>
    <row r="245" spans="5:20" ht="21" customHeight="1">
      <c r="E245" s="6605"/>
      <c r="G245" s="6577" t="str">
        <f t="shared" si="55"/>
        <v/>
      </c>
      <c r="H245" s="6581" t="str">
        <f t="shared" si="56"/>
        <v/>
      </c>
      <c r="I245" s="6582" t="str">
        <f>IF(LEN(TRIM(N245))&gt;0,MAX(I29:I244)+1,"")</f>
        <v/>
      </c>
      <c r="J245" s="2873" t="str">
        <f>IFERROR(INDEX(N30:N299,MATCH(ROW()-ROW(N30)+1,I30:I299,0)),"")</f>
        <v/>
      </c>
      <c r="K245" s="304"/>
      <c r="M245" s="6600"/>
      <c r="N245" s="6597" t="str">
        <f>IF(OR(O244="",M242=""),"",IF(LEN(O244)&lt;=M242,O244,IFERROR(LEFT(O244,FIND("♦",SUBSTITUTE(LEFT(O244,M242+1)," ","♦",LEN(LEFT(O244,M242+1))-LEN(SUBSTITUTE(LEFT(O244,M242+1)," ",""))))),LEFT(O244,IFERROR(FIND(" ",O244)-1,LEN(O244))))))</f>
        <v/>
      </c>
      <c r="O245" s="6597" t="str">
        <f t="shared" si="60"/>
        <v/>
      </c>
      <c r="P245" s="6608"/>
      <c r="Q245" s="6605"/>
      <c r="R245" s="6605"/>
      <c r="T245" s="2730">
        <v>1</v>
      </c>
    </row>
    <row r="246" spans="5:20" ht="21" customHeight="1">
      <c r="E246" s="6605"/>
      <c r="G246" s="6577" t="str">
        <f t="shared" si="55"/>
        <v/>
      </c>
      <c r="H246" s="6581" t="str">
        <f t="shared" si="56"/>
        <v/>
      </c>
      <c r="I246" s="6582" t="str">
        <f>IF(LEN(TRIM(N246))&gt;0,MAX(I29:I245)+1,"")</f>
        <v/>
      </c>
      <c r="J246" s="2873" t="str">
        <f>IFERROR(INDEX(N30:N299,MATCH(ROW()-ROW(N30)+1,I30:I299,0)),"")</f>
        <v/>
      </c>
      <c r="K246" s="304"/>
      <c r="M246" s="6583" t="str">
        <f>(SUBSTITUTE(SUBSTITUTE(E66,CHAR(13)&amp;CHAR(10)," "),CHAR(10)," "))</f>
        <v/>
      </c>
      <c r="N246" s="6584" t="str">
        <f>IF(OR(M247="",M248=""),"",IF(LEN(M247)&lt;=M248,M247,IFERROR(LEFT(M247,FIND("♦",SUBSTITUTE(LEFT(M247,M248+1)," ","♦",LEN(LEFT(M247,M248+1))-LEN(SUBSTITUTE(LEFT(M247,M248+1)," ",""))))),LEFT(M247,IFERROR(FIND(" ",M247)-1,LEN(M247))))))</f>
        <v/>
      </c>
      <c r="O246" s="6585" t="str">
        <f>IF(N246="","",TRIM(RIGHT(M247,LEN(M247)-LEN(N246))))</f>
        <v/>
      </c>
      <c r="P246" s="6586" t="str">
        <f>F66</f>
        <v xml:space="preserve"> ◄ ligne 66</v>
      </c>
      <c r="Q246" s="6605"/>
      <c r="R246" s="6605"/>
      <c r="T246" s="2730">
        <v>1</v>
      </c>
    </row>
    <row r="247" spans="5:20" ht="21" customHeight="1">
      <c r="E247" s="6605"/>
      <c r="G247" s="6577" t="str">
        <f t="shared" si="55"/>
        <v/>
      </c>
      <c r="H247" s="6581" t="str">
        <f t="shared" si="56"/>
        <v/>
      </c>
      <c r="I247" s="6582" t="str">
        <f>IF(LEN(TRIM(N247))&gt;0,MAX(I29:I246)+1,"")</f>
        <v/>
      </c>
      <c r="J247" s="2873" t="str">
        <f>IFERROR(INDEX(N30:N299,MATCH(ROW()-ROW(N30)+1,I30:I299,0)),"")</f>
        <v/>
      </c>
      <c r="K247" s="304"/>
      <c r="M247" s="6584" t="str">
        <f>TRIM(SUBSTITUTE(SUBSTITUTE(SUBSTITUTE(SUBSTITUTE(IF(OR(LEFT(M246,1)="-",LEFT(M246,1)="="),MID(M246,2,9999),M246),CHAR(160)," "),","," "),";"," "),"."," "))</f>
        <v/>
      </c>
      <c r="N247" s="6585" t="str">
        <f>IF(OR(O246="",M248=""),"",IF(LEN(O246)&lt;=M248,O246,IFERROR(LEFT(O246,FIND("♦",SUBSTITUTE(LEFT(O246,M248+1)," ","♦",LEN(LEFT(O246,M248+1))-LEN(SUBSTITUTE(LEFT(O246,M248+1)," ",""))))),LEFT(O246,IFERROR(FIND(" ",O246)-1,LEN(O246))))))</f>
        <v/>
      </c>
      <c r="O247" s="6585" t="str">
        <f>IF(N247="","",TRIM(RIGHT(O246,LEN(O246)-LEN(N247))))</f>
        <v/>
      </c>
      <c r="P247" s="6607"/>
      <c r="Q247" s="6605"/>
      <c r="R247" s="6605"/>
      <c r="T247" s="2730">
        <v>1</v>
      </c>
    </row>
    <row r="248" spans="5:20" ht="21" customHeight="1">
      <c r="E248" s="6605"/>
      <c r="G248" s="6577" t="str">
        <f t="shared" si="55"/>
        <v/>
      </c>
      <c r="H248" s="6581" t="str">
        <f t="shared" si="56"/>
        <v/>
      </c>
      <c r="I248" s="6582" t="str">
        <f>IF(LEN(TRIM(N248))&gt;0,MAX(I29:I247)+1,"")</f>
        <v/>
      </c>
      <c r="J248" s="2873" t="str">
        <f>IFERROR(INDEX(N30:N299,MATCH(ROW()-ROW(N30)+1,I30:I299,0)),"")</f>
        <v/>
      </c>
      <c r="K248" s="304"/>
      <c r="M248" s="6592">
        <f>J17</f>
        <v>50</v>
      </c>
      <c r="N248" s="6585" t="str">
        <f>IF(OR(O247="",M248=""),"",IF(LEN(O247)&lt;=M248,O247,IFERROR(LEFT(O247,FIND("♦",SUBSTITUTE(LEFT(O247,M248+1)," ","♦",LEN(LEFT(O247,M248+1))-LEN(SUBSTITUTE(LEFT(O247,M248+1)," ",""))))),LEFT(O247,IFERROR(FIND(" ",O247)-1,LEN(O247))))))</f>
        <v/>
      </c>
      <c r="O248" s="6585" t="str">
        <f t="shared" ref="O248:O251" si="61">IF(N248="","",TRIM(RIGHT(O247,LEN(O247)-LEN(N248))))</f>
        <v/>
      </c>
      <c r="P248" s="6607"/>
      <c r="Q248" s="6605"/>
      <c r="R248" s="6605"/>
      <c r="T248" s="2730">
        <v>1</v>
      </c>
    </row>
    <row r="249" spans="5:20" ht="21" customHeight="1">
      <c r="E249" s="6605"/>
      <c r="G249" s="6577" t="str">
        <f t="shared" si="55"/>
        <v/>
      </c>
      <c r="H249" s="6581" t="str">
        <f t="shared" si="56"/>
        <v/>
      </c>
      <c r="I249" s="6582" t="str">
        <f>IF(LEN(TRIM(N249))&gt;0,MAX(I29:I248)+1,"")</f>
        <v/>
      </c>
      <c r="J249" s="2873" t="str">
        <f>IFERROR(INDEX(N30:N299,MATCH(ROW()-ROW(N30)+1,I30:I299,0)),"")</f>
        <v/>
      </c>
      <c r="K249" s="304"/>
      <c r="M249" s="6584"/>
      <c r="N249" s="6585" t="str">
        <f>IF(OR(O248="",M248=""),"",IF(LEN(O248)&lt;=M248,O248,IFERROR(LEFT(O248,FIND("♦",SUBSTITUTE(LEFT(O248,M248+1)," ","♦",LEN(LEFT(O248,M248+1))-LEN(SUBSTITUTE(LEFT(O248,M248+1)," ",""))))),LEFT(O248,IFERROR(FIND(" ",O248)-1,LEN(O248))))))</f>
        <v/>
      </c>
      <c r="O249" s="6585" t="str">
        <f t="shared" si="61"/>
        <v/>
      </c>
      <c r="P249" s="6607"/>
      <c r="Q249" s="6605"/>
      <c r="R249" s="6605"/>
      <c r="T249" s="2730">
        <v>1</v>
      </c>
    </row>
    <row r="250" spans="5:20" ht="21" customHeight="1">
      <c r="E250" s="6605"/>
      <c r="G250" s="6577" t="str">
        <f t="shared" si="55"/>
        <v/>
      </c>
      <c r="H250" s="6581" t="str">
        <f t="shared" si="56"/>
        <v/>
      </c>
      <c r="I250" s="6582" t="str">
        <f>IF(LEN(TRIM(N250))&gt;0,MAX(I29:I249)+1,"")</f>
        <v/>
      </c>
      <c r="J250" s="2873" t="str">
        <f>IFERROR(INDEX(N30:N299,MATCH(ROW()-ROW(N30)+1,I30:I299,0)),"")</f>
        <v/>
      </c>
      <c r="K250" s="304"/>
      <c r="M250" s="6594"/>
      <c r="N250" s="6585" t="str">
        <f>IF(OR(O249="",M248=""),"",IF(LEN(O249)&lt;=M248,O249,IFERROR(LEFT(O249,FIND("♦",SUBSTITUTE(LEFT(O249,M248+1)," ","♦",LEN(LEFT(O249,M248+1))-LEN(SUBSTITUTE(LEFT(O249,M248+1)," ",""))))),LEFT(O249,IFERROR(FIND(" ",O249)-1,LEN(O249))))))</f>
        <v/>
      </c>
      <c r="O250" s="6585" t="str">
        <f t="shared" si="61"/>
        <v/>
      </c>
      <c r="P250" s="6607"/>
      <c r="Q250" s="6605"/>
      <c r="R250" s="6605"/>
      <c r="T250" s="2730">
        <v>1</v>
      </c>
    </row>
    <row r="251" spans="5:20" ht="21" customHeight="1">
      <c r="E251" s="6605"/>
      <c r="G251" s="6577" t="str">
        <f t="shared" si="55"/>
        <v/>
      </c>
      <c r="H251" s="6581" t="str">
        <f t="shared" si="56"/>
        <v/>
      </c>
      <c r="I251" s="6582" t="str">
        <f>IF(LEN(TRIM(N251))&gt;0,MAX(I29:I250)+1,"")</f>
        <v/>
      </c>
      <c r="J251" s="2873" t="str">
        <f>IFERROR(INDEX(N30:N299,MATCH(ROW()-ROW(N30)+1,I30:I299,0)),"")</f>
        <v/>
      </c>
      <c r="K251" s="304"/>
      <c r="M251" s="6595"/>
      <c r="N251" s="6585" t="str">
        <f>IF(OR(O250="",M248=""),"",IF(LEN(O250)&lt;=M248,O250,IFERROR(LEFT(O250,FIND("♦",SUBSTITUTE(LEFT(O250,M248+1)," ","♦",LEN(LEFT(O250,M248+1))-LEN(SUBSTITUTE(LEFT(O250,M248+1)," ",""))))),LEFT(O250,IFERROR(FIND(" ",O250)-1,LEN(O250))))))</f>
        <v/>
      </c>
      <c r="O251" s="6585" t="str">
        <f t="shared" si="61"/>
        <v/>
      </c>
      <c r="P251" s="6607"/>
      <c r="Q251" s="6605"/>
      <c r="R251" s="6605"/>
      <c r="T251" s="2730">
        <v>1</v>
      </c>
    </row>
    <row r="252" spans="5:20" ht="21" customHeight="1">
      <c r="E252" s="6605"/>
      <c r="G252" s="6577" t="str">
        <f t="shared" si="55"/>
        <v/>
      </c>
      <c r="H252" s="6581" t="str">
        <f t="shared" si="56"/>
        <v/>
      </c>
      <c r="I252" s="6582" t="str">
        <f>IF(LEN(TRIM(N252))&gt;0,MAX(I29:I251)+1,"")</f>
        <v/>
      </c>
      <c r="J252" s="2873" t="str">
        <f>IFERROR(INDEX(N30:N299,MATCH(ROW()-ROW(N30)+1,I30:I299,0)),"")</f>
        <v/>
      </c>
      <c r="K252" s="304"/>
      <c r="M252" s="6583" t="str">
        <f>(SUBSTITUTE(SUBSTITUTE(E67,CHAR(13)&amp;CHAR(10)," "),CHAR(10)," "))</f>
        <v/>
      </c>
      <c r="N252" s="6596" t="str">
        <f>IF(OR(M253="",M254=""),"",IF(LEN(M253)&lt;=M254,M253,IFERROR(LEFT(M253,FIND("♦",SUBSTITUTE(LEFT(M253,M254+1)," ","♦",LEN(LEFT(M253,M254+1))-LEN(SUBSTITUTE(LEFT(M253,M254+1)," ",""))))),LEFT(M253,IFERROR(FIND(" ",M253)-1,LEN(M253))))))</f>
        <v/>
      </c>
      <c r="O252" s="6597" t="str">
        <f>IF(N252="","",TRIM(RIGHT(M253,LEN(M253)-LEN(N252))))</f>
        <v/>
      </c>
      <c r="P252" s="6586" t="str">
        <f>F67</f>
        <v xml:space="preserve"> ◄ ligne 67</v>
      </c>
      <c r="Q252" s="6605"/>
      <c r="R252" s="6605"/>
      <c r="T252" s="2730">
        <v>1</v>
      </c>
    </row>
    <row r="253" spans="5:20" ht="21" customHeight="1">
      <c r="E253" s="6605"/>
      <c r="G253" s="6577" t="str">
        <f t="shared" si="55"/>
        <v/>
      </c>
      <c r="H253" s="6581" t="str">
        <f t="shared" si="56"/>
        <v/>
      </c>
      <c r="I253" s="6582" t="str">
        <f>IF(LEN(TRIM(N253))&gt;0,MAX(I29:I252)+1,"")</f>
        <v/>
      </c>
      <c r="J253" s="2873" t="str">
        <f>IFERROR(INDEX(N30:N299,MATCH(ROW()-ROW(N30)+1,I30:I299,0)),"")</f>
        <v/>
      </c>
      <c r="K253" s="304"/>
      <c r="M253" s="6596" t="str">
        <f>TRIM(SUBSTITUTE(SUBSTITUTE(SUBSTITUTE(SUBSTITUTE(IF(OR(LEFT(M252,1)="-",LEFT(M252,1)="="),MID(M252,2,9999),M252),CHAR(160)," "),","," "),";"," "),"."," "))</f>
        <v/>
      </c>
      <c r="N253" s="6597" t="str">
        <f>IF(OR(O252="",M254=""),"",IF(LEN(O252)&lt;=M254,O252,IFERROR(LEFT(O252,FIND("♦",SUBSTITUTE(LEFT(O252,M254+1)," ","♦",LEN(LEFT(O252,M254+1))-LEN(SUBSTITUTE(LEFT(O252,M254+1)," ",""))))),LEFT(O252,IFERROR(FIND(" ",O252)-1,LEN(O252))))))</f>
        <v/>
      </c>
      <c r="O253" s="6597" t="str">
        <f>IF(N253="","",TRIM(RIGHT(O252,LEN(O252)-LEN(N253))))</f>
        <v/>
      </c>
      <c r="P253" s="6608"/>
      <c r="Q253" s="6605"/>
      <c r="R253" s="6605"/>
      <c r="T253" s="2730">
        <v>1</v>
      </c>
    </row>
    <row r="254" spans="5:20" ht="21" customHeight="1">
      <c r="E254" s="6605"/>
      <c r="G254" s="6577" t="str">
        <f t="shared" si="55"/>
        <v/>
      </c>
      <c r="H254" s="6581" t="str">
        <f t="shared" si="56"/>
        <v/>
      </c>
      <c r="I254" s="6582" t="str">
        <f>IF(LEN(TRIM(N254))&gt;0,MAX(I29:I253)+1,"")</f>
        <v/>
      </c>
      <c r="J254" s="2873" t="str">
        <f>IFERROR(INDEX(N30:N299,MATCH(ROW()-ROW(N30)+1,I30:I299,0)),"")</f>
        <v/>
      </c>
      <c r="K254" s="304"/>
      <c r="M254" s="6592">
        <f>J17</f>
        <v>50</v>
      </c>
      <c r="N254" s="6597" t="str">
        <f>IF(OR(O253="",M254=""),"",IF(LEN(O253)&lt;=M254,O253,IFERROR(LEFT(O253,FIND("♦",SUBSTITUTE(LEFT(O253,M254+1)," ","♦",LEN(LEFT(O253,M254+1))-LEN(SUBSTITUTE(LEFT(O253,M254+1)," ",""))))),LEFT(O253,IFERROR(FIND(" ",O253)-1,LEN(O253))))))</f>
        <v/>
      </c>
      <c r="O254" s="6597" t="str">
        <f t="shared" ref="O254:O257" si="62">IF(N254="","",TRIM(RIGHT(O253,LEN(O253)-LEN(N254))))</f>
        <v/>
      </c>
      <c r="P254" s="6608"/>
      <c r="Q254" s="6605"/>
      <c r="R254" s="6605"/>
      <c r="T254" s="2730">
        <v>1</v>
      </c>
    </row>
    <row r="255" spans="5:20" ht="21" customHeight="1">
      <c r="E255" s="6605"/>
      <c r="G255" s="6577" t="str">
        <f t="shared" si="55"/>
        <v/>
      </c>
      <c r="H255" s="6581" t="str">
        <f t="shared" si="56"/>
        <v/>
      </c>
      <c r="I255" s="6582" t="str">
        <f>IF(LEN(TRIM(N255))&gt;0,MAX(I29:I254)+1,"")</f>
        <v/>
      </c>
      <c r="J255" s="2873" t="str">
        <f>IFERROR(INDEX(N30:N299,MATCH(ROW()-ROW(N30)+1,I30:I299,0)),"")</f>
        <v/>
      </c>
      <c r="K255" s="304"/>
      <c r="M255" s="6596"/>
      <c r="N255" s="6597" t="str">
        <f>IF(OR(O254="",M254=""),"",IF(LEN(O254)&lt;=M254,O254,IFERROR(LEFT(O254,FIND("♦",SUBSTITUTE(LEFT(O254,M254+1)," ","♦",LEN(LEFT(O254,M254+1))-LEN(SUBSTITUTE(LEFT(O254,M254+1)," ",""))))),LEFT(O254,IFERROR(FIND(" ",O254)-1,LEN(O254))))))</f>
        <v/>
      </c>
      <c r="O255" s="6597" t="str">
        <f t="shared" si="62"/>
        <v/>
      </c>
      <c r="P255" s="6608"/>
      <c r="Q255" s="6605"/>
      <c r="R255" s="6605"/>
      <c r="T255" s="2730">
        <v>1</v>
      </c>
    </row>
    <row r="256" spans="5:20" ht="21" customHeight="1">
      <c r="E256" s="6605"/>
      <c r="G256" s="6577" t="str">
        <f t="shared" si="55"/>
        <v/>
      </c>
      <c r="H256" s="6581" t="str">
        <f t="shared" si="56"/>
        <v/>
      </c>
      <c r="I256" s="6582" t="str">
        <f>IF(LEN(TRIM(N256))&gt;0,MAX(I29:I255)+1,"")</f>
        <v/>
      </c>
      <c r="J256" s="2873" t="str">
        <f>IFERROR(INDEX(N30:N299,MATCH(ROW()-ROW(N30)+1,I30:I299,0)),"")</f>
        <v/>
      </c>
      <c r="K256" s="304"/>
      <c r="M256" s="6599"/>
      <c r="N256" s="6597" t="str">
        <f>IF(OR(O255="",M254=""),"",IF(LEN(O255)&lt;=M254,O255,IFERROR(LEFT(O255,FIND("♦",SUBSTITUTE(LEFT(O255,M254+1)," ","♦",LEN(LEFT(O255,M254+1))-LEN(SUBSTITUTE(LEFT(O255,M254+1)," ",""))))),LEFT(O255,IFERROR(FIND(" ",O255)-1,LEN(O255))))))</f>
        <v/>
      </c>
      <c r="O256" s="6597" t="str">
        <f t="shared" si="62"/>
        <v/>
      </c>
      <c r="P256" s="6608"/>
      <c r="Q256" s="6605"/>
      <c r="R256" s="6605"/>
      <c r="T256" s="2730">
        <v>1</v>
      </c>
    </row>
    <row r="257" spans="5:20" ht="21" customHeight="1">
      <c r="E257" s="6605"/>
      <c r="G257" s="6577" t="str">
        <f t="shared" si="55"/>
        <v/>
      </c>
      <c r="H257" s="6581" t="str">
        <f t="shared" si="56"/>
        <v/>
      </c>
      <c r="I257" s="6582" t="str">
        <f>IF(LEN(TRIM(N257))&gt;0,MAX(I29:I256)+1,"")</f>
        <v/>
      </c>
      <c r="J257" s="2873" t="str">
        <f>IFERROR(INDEX(N30:N299,MATCH(ROW()-ROW(N30)+1,I30:I299,0)),"")</f>
        <v/>
      </c>
      <c r="K257" s="304"/>
      <c r="M257" s="6600"/>
      <c r="N257" s="6597" t="str">
        <f>IF(OR(O256="",M254=""),"",IF(LEN(O256)&lt;=M254,O256,IFERROR(LEFT(O256,FIND("♦",SUBSTITUTE(LEFT(O256,M254+1)," ","♦",LEN(LEFT(O256,M254+1))-LEN(SUBSTITUTE(LEFT(O256,M254+1)," ",""))))),LEFT(O256,IFERROR(FIND(" ",O256)-1,LEN(O256))))))</f>
        <v/>
      </c>
      <c r="O257" s="6597" t="str">
        <f t="shared" si="62"/>
        <v/>
      </c>
      <c r="P257" s="6608"/>
      <c r="Q257" s="6605"/>
      <c r="R257" s="6605"/>
      <c r="T257" s="2730">
        <v>1</v>
      </c>
    </row>
    <row r="258" spans="5:20" ht="21" customHeight="1">
      <c r="E258" s="6605"/>
      <c r="G258" s="6577" t="str">
        <f t="shared" si="55"/>
        <v/>
      </c>
      <c r="H258" s="6581" t="str">
        <f t="shared" si="56"/>
        <v/>
      </c>
      <c r="I258" s="6582" t="str">
        <f>IF(LEN(TRIM(N258))&gt;0,MAX(I29:I257)+1,"")</f>
        <v/>
      </c>
      <c r="J258" s="2873" t="str">
        <f>IFERROR(INDEX(N30:N299,MATCH(ROW()-ROW(N30)+1,I30:I299,0)),"")</f>
        <v/>
      </c>
      <c r="K258" s="304"/>
      <c r="M258" s="6583" t="str">
        <f>(SUBSTITUTE(SUBSTITUTE(E68,CHAR(13)&amp;CHAR(10)," "),CHAR(10)," "))</f>
        <v/>
      </c>
      <c r="N258" s="6584" t="str">
        <f>IF(OR(M259="",M260=""),"",IF(LEN(M259)&lt;=M260,M259,IFERROR(LEFT(M259,FIND("♦",SUBSTITUTE(LEFT(M259,M260+1)," ","♦",LEN(LEFT(M259,M260+1))-LEN(SUBSTITUTE(LEFT(M259,M260+1)," ",""))))),LEFT(M259,IFERROR(FIND(" ",M259)-1,LEN(M259))))))</f>
        <v/>
      </c>
      <c r="O258" s="6585" t="str">
        <f>IF(N258="","",TRIM(RIGHT(M259,LEN(M259)-LEN(N258))))</f>
        <v/>
      </c>
      <c r="P258" s="6586" t="str">
        <f>F68</f>
        <v xml:space="preserve"> ◄ ligne 68</v>
      </c>
      <c r="Q258" s="6605"/>
      <c r="R258" s="6605"/>
      <c r="T258" s="2730">
        <v>1</v>
      </c>
    </row>
    <row r="259" spans="5:20" ht="21" customHeight="1">
      <c r="E259" s="6605"/>
      <c r="G259" s="6577" t="str">
        <f t="shared" si="55"/>
        <v/>
      </c>
      <c r="H259" s="6581" t="str">
        <f t="shared" si="56"/>
        <v/>
      </c>
      <c r="I259" s="6582" t="str">
        <f>IF(LEN(TRIM(N259))&gt;0,MAX(I29:I258)+1,"")</f>
        <v/>
      </c>
      <c r="J259" s="2873" t="str">
        <f>IFERROR(INDEX(N30:N299,MATCH(ROW()-ROW(N30)+1,I30:I299,0)),"")</f>
        <v/>
      </c>
      <c r="K259" s="304"/>
      <c r="M259" s="6584" t="str">
        <f>TRIM(SUBSTITUTE(SUBSTITUTE(SUBSTITUTE(SUBSTITUTE(IF(OR(LEFT(M258,1)="-",LEFT(M258,1)="="),MID(M258,2,9999),M258),CHAR(160)," "),","," "),";"," "),"."," "))</f>
        <v/>
      </c>
      <c r="N259" s="6585" t="str">
        <f>IF(OR(O258="",M260=""),"",IF(LEN(O258)&lt;=M260,O258,IFERROR(LEFT(O258,FIND("♦",SUBSTITUTE(LEFT(O258,M260+1)," ","♦",LEN(LEFT(O258,M260+1))-LEN(SUBSTITUTE(LEFT(O258,M260+1)," ",""))))),LEFT(O258,IFERROR(FIND(" ",O258)-1,LEN(O258))))))</f>
        <v/>
      </c>
      <c r="O259" s="6585" t="str">
        <f>IF(N259="","",TRIM(RIGHT(O258,LEN(O258)-LEN(N259))))</f>
        <v/>
      </c>
      <c r="P259" s="6607"/>
      <c r="Q259" s="6605"/>
      <c r="R259" s="6605"/>
      <c r="T259" s="2730">
        <v>1</v>
      </c>
    </row>
    <row r="260" spans="5:20" ht="21" customHeight="1">
      <c r="E260" s="6605"/>
      <c r="G260" s="6577" t="str">
        <f t="shared" si="55"/>
        <v/>
      </c>
      <c r="H260" s="6581" t="str">
        <f t="shared" si="56"/>
        <v/>
      </c>
      <c r="I260" s="6582" t="str">
        <f>IF(LEN(TRIM(N260))&gt;0,MAX(I29:I259)+1,"")</f>
        <v/>
      </c>
      <c r="J260" s="2873" t="str">
        <f>IFERROR(INDEX(N30:N299,MATCH(ROW()-ROW(N30)+1,I30:I299,0)),"")</f>
        <v/>
      </c>
      <c r="K260" s="304"/>
      <c r="M260" s="6592">
        <f>J17</f>
        <v>50</v>
      </c>
      <c r="N260" s="6585" t="str">
        <f>IF(OR(O259="",M260=""),"",IF(LEN(O259)&lt;=M260,O259,IFERROR(LEFT(O259,FIND("♦",SUBSTITUTE(LEFT(O259,M260+1)," ","♦",LEN(LEFT(O259,M260+1))-LEN(SUBSTITUTE(LEFT(O259,M260+1)," ",""))))),LEFT(O259,IFERROR(FIND(" ",O259)-1,LEN(O259))))))</f>
        <v/>
      </c>
      <c r="O260" s="6585" t="str">
        <f t="shared" ref="O260:O263" si="63">IF(N260="","",TRIM(RIGHT(O259,LEN(O259)-LEN(N260))))</f>
        <v/>
      </c>
      <c r="P260" s="6607"/>
      <c r="Q260" s="6605"/>
      <c r="R260" s="6605"/>
      <c r="T260" s="2730">
        <v>1</v>
      </c>
    </row>
    <row r="261" spans="5:20" ht="21" customHeight="1">
      <c r="E261" s="6605"/>
      <c r="G261" s="6577" t="str">
        <f t="shared" si="55"/>
        <v/>
      </c>
      <c r="H261" s="6581" t="str">
        <f t="shared" si="56"/>
        <v/>
      </c>
      <c r="I261" s="6582" t="str">
        <f>IF(LEN(TRIM(N261))&gt;0,MAX(I29:I260)+1,"")</f>
        <v/>
      </c>
      <c r="J261" s="2873" t="str">
        <f>IFERROR(INDEX(N30:N299,MATCH(ROW()-ROW(N30)+1,I30:I299,0)),"")</f>
        <v/>
      </c>
      <c r="K261" s="304"/>
      <c r="M261" s="6584"/>
      <c r="N261" s="6585" t="str">
        <f>IF(OR(O260="",M260=""),"",IF(LEN(O260)&lt;=M260,O260,IFERROR(LEFT(O260,FIND("♦",SUBSTITUTE(LEFT(O260,M260+1)," ","♦",LEN(LEFT(O260,M260+1))-LEN(SUBSTITUTE(LEFT(O260,M260+1)," ",""))))),LEFT(O260,IFERROR(FIND(" ",O260)-1,LEN(O260))))))</f>
        <v/>
      </c>
      <c r="O261" s="6585" t="str">
        <f t="shared" si="63"/>
        <v/>
      </c>
      <c r="P261" s="6607"/>
      <c r="Q261" s="6605"/>
      <c r="R261" s="6605"/>
      <c r="T261" s="2730">
        <v>1</v>
      </c>
    </row>
    <row r="262" spans="5:20" ht="21" customHeight="1">
      <c r="E262" s="6605"/>
      <c r="G262" s="6577" t="str">
        <f t="shared" si="55"/>
        <v/>
      </c>
      <c r="H262" s="6581" t="str">
        <f t="shared" si="56"/>
        <v/>
      </c>
      <c r="I262" s="6582" t="str">
        <f>IF(LEN(TRIM(N262))&gt;0,MAX(I29:I261)+1,"")</f>
        <v/>
      </c>
      <c r="J262" s="2873" t="str">
        <f>IFERROR(INDEX(N30:N299,MATCH(ROW()-ROW(N30)+1,I30:I299,0)),"")</f>
        <v/>
      </c>
      <c r="K262" s="304"/>
      <c r="M262" s="6594"/>
      <c r="N262" s="6585" t="str">
        <f>IF(OR(O261="",M260=""),"",IF(LEN(O261)&lt;=M260,O261,IFERROR(LEFT(O261,FIND("♦",SUBSTITUTE(LEFT(O261,M260+1)," ","♦",LEN(LEFT(O261,M260+1))-LEN(SUBSTITUTE(LEFT(O261,M260+1)," ",""))))),LEFT(O261,IFERROR(FIND(" ",O261)-1,LEN(O261))))))</f>
        <v/>
      </c>
      <c r="O262" s="6585" t="str">
        <f t="shared" si="63"/>
        <v/>
      </c>
      <c r="P262" s="6607"/>
      <c r="Q262" s="6605"/>
      <c r="R262" s="6605"/>
      <c r="T262" s="2730">
        <v>1</v>
      </c>
    </row>
    <row r="263" spans="5:20" ht="21" customHeight="1">
      <c r="E263" s="6605"/>
      <c r="G263" s="6577" t="str">
        <f t="shared" si="55"/>
        <v/>
      </c>
      <c r="H263" s="6581" t="str">
        <f t="shared" si="56"/>
        <v/>
      </c>
      <c r="I263" s="6582" t="str">
        <f>IF(LEN(TRIM(N263))&gt;0,MAX(I29:I262)+1,"")</f>
        <v/>
      </c>
      <c r="J263" s="2873" t="str">
        <f>IFERROR(INDEX(N30:N299,MATCH(ROW()-ROW(N30)+1,I30:I299,0)),"")</f>
        <v/>
      </c>
      <c r="K263" s="304"/>
      <c r="M263" s="6595"/>
      <c r="N263" s="6585" t="str">
        <f>IF(OR(O262="",M260=""),"",IF(LEN(O262)&lt;=M260,O262,IFERROR(LEFT(O262,FIND("♦",SUBSTITUTE(LEFT(O262,M260+1)," ","♦",LEN(LEFT(O262,M260+1))-LEN(SUBSTITUTE(LEFT(O262,M260+1)," ",""))))),LEFT(O262,IFERROR(FIND(" ",O262)-1,LEN(O262))))))</f>
        <v/>
      </c>
      <c r="O263" s="6585" t="str">
        <f t="shared" si="63"/>
        <v/>
      </c>
      <c r="P263" s="6607"/>
      <c r="Q263" s="6605"/>
      <c r="R263" s="6605"/>
      <c r="T263" s="2730">
        <v>1</v>
      </c>
    </row>
    <row r="264" spans="5:20" ht="21" customHeight="1">
      <c r="E264" s="6605"/>
      <c r="G264" s="6577" t="str">
        <f t="shared" si="55"/>
        <v/>
      </c>
      <c r="H264" s="6581" t="str">
        <f t="shared" si="56"/>
        <v/>
      </c>
      <c r="I264" s="6582" t="str">
        <f>IF(LEN(TRIM(N264))&gt;0,MAX(I29:I263)+1,"")</f>
        <v/>
      </c>
      <c r="J264" s="2873" t="str">
        <f>IFERROR(INDEX(N30:N299,MATCH(ROW()-ROW(N30)+1,I30:I299,0)),"")</f>
        <v/>
      </c>
      <c r="K264" s="304"/>
      <c r="M264" s="6583" t="str">
        <f>(SUBSTITUTE(SUBSTITUTE(E69,CHAR(13)&amp;CHAR(10)," "),CHAR(10)," "))</f>
        <v/>
      </c>
      <c r="N264" s="6596" t="str">
        <f>IF(OR(M265="",M266=""),"",IF(LEN(M265)&lt;=M266,M265,IFERROR(LEFT(M265,FIND("♦",SUBSTITUTE(LEFT(M265,M266+1)," ","♦",LEN(LEFT(M265,M266+1))-LEN(SUBSTITUTE(LEFT(M265,M266+1)," ",""))))),LEFT(M265,IFERROR(FIND(" ",M265)-1,LEN(M265))))))</f>
        <v/>
      </c>
      <c r="O264" s="6597" t="str">
        <f>IF(N264="","",TRIM(RIGHT(M265,LEN(M265)-LEN(N264))))</f>
        <v/>
      </c>
      <c r="P264" s="6586" t="str">
        <f>F69</f>
        <v xml:space="preserve"> ◄ ligne 69</v>
      </c>
      <c r="Q264" s="6605"/>
      <c r="R264" s="6605"/>
      <c r="T264" s="2730">
        <v>1</v>
      </c>
    </row>
    <row r="265" spans="5:20" ht="21" customHeight="1">
      <c r="E265" s="6605"/>
      <c r="G265" s="6577" t="str">
        <f t="shared" si="55"/>
        <v/>
      </c>
      <c r="H265" s="6581" t="str">
        <f t="shared" si="56"/>
        <v/>
      </c>
      <c r="I265" s="6582" t="str">
        <f>IF(LEN(TRIM(N265))&gt;0,MAX(I29:I264)+1,"")</f>
        <v/>
      </c>
      <c r="J265" s="2873" t="str">
        <f>IFERROR(INDEX(N30:N299,MATCH(ROW()-ROW(N30)+1,I30:I299,0)),"")</f>
        <v/>
      </c>
      <c r="K265" s="304"/>
      <c r="M265" s="6596" t="str">
        <f>TRIM(SUBSTITUTE(SUBSTITUTE(SUBSTITUTE(SUBSTITUTE(IF(OR(LEFT(M264,1)="-",LEFT(M264,1)="="),MID(M264,2,9999),M264),CHAR(160)," "),","," "),";"," "),"."," "))</f>
        <v/>
      </c>
      <c r="N265" s="6597" t="str">
        <f>IF(OR(O264="",M266=""),"",IF(LEN(O264)&lt;=M266,O264,IFERROR(LEFT(O264,FIND("♦",SUBSTITUTE(LEFT(O264,M266+1)," ","♦",LEN(LEFT(O264,M266+1))-LEN(SUBSTITUTE(LEFT(O264,M266+1)," ",""))))),LEFT(O264,IFERROR(FIND(" ",O264)-1,LEN(O264))))))</f>
        <v/>
      </c>
      <c r="O265" s="6597" t="str">
        <f>IF(N265="","",TRIM(RIGHT(O264,LEN(O264)-LEN(N265))))</f>
        <v/>
      </c>
      <c r="P265" s="6608"/>
      <c r="Q265" s="6605"/>
      <c r="R265" s="6605"/>
      <c r="T265" s="2730">
        <v>1</v>
      </c>
    </row>
    <row r="266" spans="5:20" ht="21" customHeight="1">
      <c r="E266" s="6605"/>
      <c r="G266" s="6577" t="str">
        <f t="shared" si="55"/>
        <v/>
      </c>
      <c r="H266" s="6581" t="str">
        <f t="shared" si="56"/>
        <v/>
      </c>
      <c r="I266" s="6582" t="str">
        <f>IF(LEN(TRIM(N266))&gt;0,MAX(I29:I265)+1,"")</f>
        <v/>
      </c>
      <c r="J266" s="2873" t="str">
        <f>IFERROR(INDEX(N30:N299,MATCH(ROW()-ROW(N30)+1,I30:I299,0)),"")</f>
        <v/>
      </c>
      <c r="K266" s="304"/>
      <c r="M266" s="6592">
        <f>J17</f>
        <v>50</v>
      </c>
      <c r="N266" s="6597" t="str">
        <f>IF(OR(O265="",M266=""),"",IF(LEN(O265)&lt;=M266,O265,IFERROR(LEFT(O265,FIND("♦",SUBSTITUTE(LEFT(O265,M266+1)," ","♦",LEN(LEFT(O265,M266+1))-LEN(SUBSTITUTE(LEFT(O265,M266+1)," ",""))))),LEFT(O265,IFERROR(FIND(" ",O265)-1,LEN(O265))))))</f>
        <v/>
      </c>
      <c r="O266" s="6597" t="str">
        <f t="shared" ref="O266:O269" si="64">IF(N266="","",TRIM(RIGHT(O265,LEN(O265)-LEN(N266))))</f>
        <v/>
      </c>
      <c r="P266" s="6608"/>
      <c r="Q266" s="6605"/>
      <c r="R266" s="6605"/>
      <c r="T266" s="2730">
        <v>1</v>
      </c>
    </row>
    <row r="267" spans="5:20" ht="21" customHeight="1">
      <c r="E267" s="6605"/>
      <c r="G267" s="6577" t="str">
        <f t="shared" si="55"/>
        <v/>
      </c>
      <c r="H267" s="6581" t="str">
        <f t="shared" si="56"/>
        <v/>
      </c>
      <c r="I267" s="6582" t="str">
        <f>IF(LEN(TRIM(N267))&gt;0,MAX(I29:I266)+1,"")</f>
        <v/>
      </c>
      <c r="J267" s="2873" t="str">
        <f>IFERROR(INDEX(N30:N299,MATCH(ROW()-ROW(N30)+1,I30:I299,0)),"")</f>
        <v/>
      </c>
      <c r="K267" s="304"/>
      <c r="M267" s="6596"/>
      <c r="N267" s="6597" t="str">
        <f>IF(OR(O266="",M266=""),"",IF(LEN(O266)&lt;=M266,O266,IFERROR(LEFT(O266,FIND("♦",SUBSTITUTE(LEFT(O266,M266+1)," ","♦",LEN(LEFT(O266,M266+1))-LEN(SUBSTITUTE(LEFT(O266,M266+1)," ",""))))),LEFT(O266,IFERROR(FIND(" ",O266)-1,LEN(O266))))))</f>
        <v/>
      </c>
      <c r="O267" s="6597" t="str">
        <f t="shared" si="64"/>
        <v/>
      </c>
      <c r="P267" s="6608"/>
      <c r="Q267" s="6605"/>
      <c r="R267" s="6605"/>
      <c r="T267" s="2730">
        <v>1</v>
      </c>
    </row>
    <row r="268" spans="5:20" ht="21" customHeight="1">
      <c r="E268" s="6605"/>
      <c r="G268" s="6577" t="str">
        <f t="shared" si="55"/>
        <v/>
      </c>
      <c r="H268" s="6581" t="str">
        <f t="shared" si="56"/>
        <v/>
      </c>
      <c r="I268" s="6582" t="str">
        <f>IF(LEN(TRIM(N268))&gt;0,MAX(I29:I267)+1,"")</f>
        <v/>
      </c>
      <c r="J268" s="2873" t="str">
        <f>IFERROR(INDEX(N30:N299,MATCH(ROW()-ROW(N30)+1,I30:I299,0)),"")</f>
        <v/>
      </c>
      <c r="K268" s="304"/>
      <c r="M268" s="6599"/>
      <c r="N268" s="6597" t="str">
        <f>IF(OR(O267="",M266=""),"",IF(LEN(O267)&lt;=M266,O267,IFERROR(LEFT(O267,FIND("♦",SUBSTITUTE(LEFT(O267,M266+1)," ","♦",LEN(LEFT(O267,M266+1))-LEN(SUBSTITUTE(LEFT(O267,M266+1)," ",""))))),LEFT(O267,IFERROR(FIND(" ",O267)-1,LEN(O267))))))</f>
        <v/>
      </c>
      <c r="O268" s="6597" t="str">
        <f t="shared" si="64"/>
        <v/>
      </c>
      <c r="P268" s="6608"/>
      <c r="Q268" s="6605"/>
      <c r="R268" s="6605"/>
      <c r="T268" s="2730">
        <v>1</v>
      </c>
    </row>
    <row r="269" spans="5:20" ht="21" customHeight="1">
      <c r="E269" s="6605"/>
      <c r="G269" s="6577" t="str">
        <f t="shared" si="55"/>
        <v/>
      </c>
      <c r="H269" s="6581" t="str">
        <f t="shared" si="56"/>
        <v/>
      </c>
      <c r="I269" s="6582" t="str">
        <f>IF(LEN(TRIM(N269))&gt;0,MAX(I29:I268)+1,"")</f>
        <v/>
      </c>
      <c r="J269" s="2873" t="str">
        <f>IFERROR(INDEX(N30:N299,MATCH(ROW()-ROW(N30)+1,I30:I299,0)),"")</f>
        <v/>
      </c>
      <c r="K269" s="304"/>
      <c r="M269" s="6600"/>
      <c r="N269" s="6597" t="str">
        <f>IF(OR(O268="",M266=""),"",IF(LEN(O268)&lt;=M266,O268,IFERROR(LEFT(O268,FIND("♦",SUBSTITUTE(LEFT(O268,M266+1)," ","♦",LEN(LEFT(O268,M266+1))-LEN(SUBSTITUTE(LEFT(O268,M266+1)," ",""))))),LEFT(O268,IFERROR(FIND(" ",O268)-1,LEN(O268))))))</f>
        <v/>
      </c>
      <c r="O269" s="6597" t="str">
        <f t="shared" si="64"/>
        <v/>
      </c>
      <c r="P269" s="6608"/>
      <c r="Q269" s="6605"/>
      <c r="R269" s="6605"/>
      <c r="T269" s="2730">
        <v>1</v>
      </c>
    </row>
    <row r="270" spans="5:20" ht="21" customHeight="1">
      <c r="E270" s="6605"/>
      <c r="G270" s="6577" t="str">
        <f t="shared" si="55"/>
        <v/>
      </c>
      <c r="H270" s="6581" t="str">
        <f t="shared" si="56"/>
        <v/>
      </c>
      <c r="I270" s="6582" t="str">
        <f>IF(LEN(TRIM(N270))&gt;0,MAX(I29:I269)+1,"")</f>
        <v/>
      </c>
      <c r="J270" s="2873" t="str">
        <f>IFERROR(INDEX(N30:N299,MATCH(ROW()-ROW(N30)+1,I30:I299,0)),"")</f>
        <v/>
      </c>
      <c r="K270" s="304"/>
      <c r="M270" s="6583" t="str">
        <f>(SUBSTITUTE(SUBSTITUTE(E70,CHAR(13)&amp;CHAR(10)," "),CHAR(10)," "))</f>
        <v/>
      </c>
      <c r="N270" s="6584" t="str">
        <f>IF(OR(M271="",M272=""),"",IF(LEN(M271)&lt;=M272,M271,IFERROR(LEFT(M271,FIND("♦",SUBSTITUTE(LEFT(M271,M272+1)," ","♦",LEN(LEFT(M271,M272+1))-LEN(SUBSTITUTE(LEFT(M271,M272+1)," ",""))))),LEFT(M271,IFERROR(FIND(" ",M271)-1,LEN(M271))))))</f>
        <v/>
      </c>
      <c r="O270" s="6585" t="str">
        <f>IF(N270="","",TRIM(RIGHT(M271,LEN(M271)-LEN(N270))))</f>
        <v/>
      </c>
      <c r="P270" s="6586" t="str">
        <f>F70</f>
        <v xml:space="preserve"> ◄ ligne 70</v>
      </c>
      <c r="Q270" s="6605"/>
      <c r="R270" s="6605"/>
      <c r="T270" s="2730">
        <v>1</v>
      </c>
    </row>
    <row r="271" spans="5:20" ht="21" customHeight="1">
      <c r="E271" s="6605"/>
      <c r="G271" s="6577" t="str">
        <f t="shared" si="55"/>
        <v/>
      </c>
      <c r="H271" s="6581" t="str">
        <f t="shared" si="56"/>
        <v/>
      </c>
      <c r="I271" s="6582" t="str">
        <f>IF(LEN(TRIM(N271))&gt;0,MAX(I29:I270)+1,"")</f>
        <v/>
      </c>
      <c r="J271" s="2873" t="str">
        <f>IFERROR(INDEX(N30:N299,MATCH(ROW()-ROW(N30)+1,I30:I299,0)),"")</f>
        <v/>
      </c>
      <c r="K271" s="304"/>
      <c r="M271" s="6584" t="str">
        <f>TRIM(SUBSTITUTE(SUBSTITUTE(SUBSTITUTE(SUBSTITUTE(IF(OR(LEFT(M270,1)="-",LEFT(M270,1)="="),MID(M270,2,9999),M270),CHAR(160)," "),","," "),";"," "),"."," "))</f>
        <v/>
      </c>
      <c r="N271" s="6585" t="str">
        <f>IF(OR(O270="",M272=""),"",IF(LEN(O270)&lt;=M272,O270,IFERROR(LEFT(O270,FIND("♦",SUBSTITUTE(LEFT(O270,M272+1)," ","♦",LEN(LEFT(O270,M272+1))-LEN(SUBSTITUTE(LEFT(O270,M272+1)," ",""))))),LEFT(O270,IFERROR(FIND(" ",O270)-1,LEN(O270))))))</f>
        <v/>
      </c>
      <c r="O271" s="6585" t="str">
        <f>IF(N271="","",TRIM(RIGHT(O270,LEN(O270)-LEN(N271))))</f>
        <v/>
      </c>
      <c r="P271" s="6607"/>
      <c r="Q271" s="6605"/>
      <c r="R271" s="6605"/>
      <c r="T271" s="2730">
        <v>1</v>
      </c>
    </row>
    <row r="272" spans="5:20" ht="21" customHeight="1">
      <c r="E272" s="6605"/>
      <c r="G272" s="6577" t="str">
        <f t="shared" si="55"/>
        <v/>
      </c>
      <c r="H272" s="6581" t="str">
        <f t="shared" si="56"/>
        <v/>
      </c>
      <c r="I272" s="6582" t="str">
        <f>IF(LEN(TRIM(N272))&gt;0,MAX(I29:I271)+1,"")</f>
        <v/>
      </c>
      <c r="J272" s="2873" t="str">
        <f>IFERROR(INDEX(N30:N299,MATCH(ROW()-ROW(N30)+1,I30:I299,0)),"")</f>
        <v/>
      </c>
      <c r="K272" s="304"/>
      <c r="M272" s="6592">
        <f>J17</f>
        <v>50</v>
      </c>
      <c r="N272" s="6585" t="str">
        <f>IF(OR(O271="",M272=""),"",IF(LEN(O271)&lt;=M272,O271,IFERROR(LEFT(O271,FIND("♦",SUBSTITUTE(LEFT(O271,M272+1)," ","♦",LEN(LEFT(O271,M272+1))-LEN(SUBSTITUTE(LEFT(O271,M272+1)," ",""))))),LEFT(O271,IFERROR(FIND(" ",O271)-1,LEN(O271))))))</f>
        <v/>
      </c>
      <c r="O272" s="6585" t="str">
        <f t="shared" ref="O272:O275" si="65">IF(N272="","",TRIM(RIGHT(O271,LEN(O271)-LEN(N272))))</f>
        <v/>
      </c>
      <c r="P272" s="6607"/>
      <c r="Q272" s="6605"/>
      <c r="R272" s="6605"/>
      <c r="T272" s="2730">
        <v>1</v>
      </c>
    </row>
    <row r="273" spans="5:20" ht="21" customHeight="1">
      <c r="E273" s="6605"/>
      <c r="G273" s="6577" t="str">
        <f t="shared" si="55"/>
        <v/>
      </c>
      <c r="H273" s="6581" t="str">
        <f t="shared" si="56"/>
        <v/>
      </c>
      <c r="I273" s="6582" t="str">
        <f>IF(LEN(TRIM(N273))&gt;0,MAX(I29:I272)+1,"")</f>
        <v/>
      </c>
      <c r="J273" s="2873" t="str">
        <f>IFERROR(INDEX(N30:N299,MATCH(ROW()-ROW(N30)+1,I30:I299,0)),"")</f>
        <v/>
      </c>
      <c r="K273" s="304"/>
      <c r="M273" s="6584"/>
      <c r="N273" s="6585" t="str">
        <f>IF(OR(O272="",M272=""),"",IF(LEN(O272)&lt;=M272,O272,IFERROR(LEFT(O272,FIND("♦",SUBSTITUTE(LEFT(O272,M272+1)," ","♦",LEN(LEFT(O272,M272+1))-LEN(SUBSTITUTE(LEFT(O272,M272+1)," ",""))))),LEFT(O272,IFERROR(FIND(" ",O272)-1,LEN(O272))))))</f>
        <v/>
      </c>
      <c r="O273" s="6585" t="str">
        <f t="shared" si="65"/>
        <v/>
      </c>
      <c r="P273" s="6607"/>
      <c r="Q273" s="6605"/>
      <c r="R273" s="6605"/>
      <c r="T273" s="2730">
        <v>1</v>
      </c>
    </row>
    <row r="274" spans="5:20" ht="21" customHeight="1">
      <c r="E274" s="6605"/>
      <c r="G274" s="6577" t="str">
        <f t="shared" si="55"/>
        <v/>
      </c>
      <c r="H274" s="6581" t="str">
        <f t="shared" si="56"/>
        <v/>
      </c>
      <c r="I274" s="6582" t="str">
        <f>IF(LEN(TRIM(N274))&gt;0,MAX(I29:I273)+1,"")</f>
        <v/>
      </c>
      <c r="J274" s="2873" t="str">
        <f>IFERROR(INDEX(N30:N299,MATCH(ROW()-ROW(N30)+1,I30:I299,0)),"")</f>
        <v/>
      </c>
      <c r="K274" s="304"/>
      <c r="M274" s="6594"/>
      <c r="N274" s="6585" t="str">
        <f>IF(OR(O273="",M272=""),"",IF(LEN(O273)&lt;=M272,O273,IFERROR(LEFT(O273,FIND("♦",SUBSTITUTE(LEFT(O273,M272+1)," ","♦",LEN(LEFT(O273,M272+1))-LEN(SUBSTITUTE(LEFT(O273,M272+1)," ",""))))),LEFT(O273,IFERROR(FIND(" ",O273)-1,LEN(O273))))))</f>
        <v/>
      </c>
      <c r="O274" s="6585" t="str">
        <f t="shared" si="65"/>
        <v/>
      </c>
      <c r="P274" s="6607"/>
      <c r="Q274" s="6605"/>
      <c r="R274" s="6605"/>
      <c r="T274" s="2730">
        <v>1</v>
      </c>
    </row>
    <row r="275" spans="5:20" ht="21" customHeight="1">
      <c r="E275" s="6605"/>
      <c r="G275" s="6577" t="str">
        <f t="shared" si="55"/>
        <v/>
      </c>
      <c r="H275" s="6581" t="str">
        <f t="shared" si="56"/>
        <v/>
      </c>
      <c r="I275" s="6582" t="str">
        <f>IF(LEN(TRIM(N275))&gt;0,MAX(I29:I274)+1,"")</f>
        <v/>
      </c>
      <c r="J275" s="2873" t="str">
        <f>IFERROR(INDEX(N30:N299,MATCH(ROW()-ROW(N30)+1,I30:I299,0)),"")</f>
        <v/>
      </c>
      <c r="K275" s="304"/>
      <c r="M275" s="6595"/>
      <c r="N275" s="6585" t="str">
        <f>IF(OR(O274="",M272=""),"",IF(LEN(O274)&lt;=M272,O274,IFERROR(LEFT(O274,FIND("♦",SUBSTITUTE(LEFT(O274,M272+1)," ","♦",LEN(LEFT(O274,M272+1))-LEN(SUBSTITUTE(LEFT(O274,M272+1)," ",""))))),LEFT(O274,IFERROR(FIND(" ",O274)-1,LEN(O274))))))</f>
        <v/>
      </c>
      <c r="O275" s="6585" t="str">
        <f t="shared" si="65"/>
        <v/>
      </c>
      <c r="P275" s="6607"/>
      <c r="Q275" s="6605"/>
      <c r="R275" s="6605"/>
      <c r="T275" s="2730">
        <v>1</v>
      </c>
    </row>
    <row r="276" spans="5:20" ht="21" customHeight="1">
      <c r="E276" s="6605"/>
      <c r="G276" s="6577" t="str">
        <f t="shared" si="55"/>
        <v/>
      </c>
      <c r="H276" s="6581" t="str">
        <f t="shared" si="56"/>
        <v/>
      </c>
      <c r="I276" s="6582" t="str">
        <f>IF(LEN(TRIM(N276))&gt;0,MAX(I29:I275)+1,"")</f>
        <v/>
      </c>
      <c r="J276" s="2873" t="str">
        <f>IFERROR(INDEX(N30:N299,MATCH(ROW()-ROW(N30)+1,I30:I299,0)),"")</f>
        <v/>
      </c>
      <c r="K276" s="304"/>
      <c r="M276" s="6583" t="str">
        <f>(SUBSTITUTE(SUBSTITUTE(E71,CHAR(13)&amp;CHAR(10)," "),CHAR(10)," "))</f>
        <v/>
      </c>
      <c r="N276" s="6596" t="str">
        <f>IF(OR(M277="",M278=""),"",IF(LEN(M277)&lt;=M278,M277,IFERROR(LEFT(M277,FIND("♦",SUBSTITUTE(LEFT(M277,M278+1)," ","♦",LEN(LEFT(M277,M278+1))-LEN(SUBSTITUTE(LEFT(M277,M278+1)," ",""))))),LEFT(M277,IFERROR(FIND(" ",M277)-1,LEN(M277))))))</f>
        <v/>
      </c>
      <c r="O276" s="6597" t="str">
        <f>IF(N276="","",TRIM(RIGHT(M277,LEN(M277)-LEN(N276))))</f>
        <v/>
      </c>
      <c r="P276" s="6586" t="str">
        <f>F71</f>
        <v xml:space="preserve"> ◄ ligne 71</v>
      </c>
      <c r="Q276" s="6605"/>
      <c r="R276" s="6605"/>
      <c r="T276" s="2730">
        <v>1</v>
      </c>
    </row>
    <row r="277" spans="5:20" ht="21" customHeight="1">
      <c r="E277" s="6605"/>
      <c r="G277" s="6577" t="str">
        <f t="shared" si="55"/>
        <v/>
      </c>
      <c r="H277" s="6581" t="str">
        <f t="shared" si="56"/>
        <v/>
      </c>
      <c r="I277" s="6582" t="str">
        <f>IF(LEN(TRIM(N277))&gt;0,MAX(I29:I276)+1,"")</f>
        <v/>
      </c>
      <c r="J277" s="2873" t="str">
        <f>IFERROR(INDEX(N30:N299,MATCH(ROW()-ROW(N30)+1,I30:I299,0)),"")</f>
        <v/>
      </c>
      <c r="K277" s="304"/>
      <c r="M277" s="6596" t="str">
        <f>TRIM(SUBSTITUTE(SUBSTITUTE(SUBSTITUTE(SUBSTITUTE(IF(OR(LEFT(M276,1)="-",LEFT(M276,1)="="),MID(M276,2,9999),M276),CHAR(160)," "),","," "),";"," "),"."," "))</f>
        <v/>
      </c>
      <c r="N277" s="6597" t="str">
        <f>IF(OR(O276="",M278=""),"",IF(LEN(O276)&lt;=M278,O276,IFERROR(LEFT(O276,FIND("♦",SUBSTITUTE(LEFT(O276,M278+1)," ","♦",LEN(LEFT(O276,M278+1))-LEN(SUBSTITUTE(LEFT(O276,M278+1)," ",""))))),LEFT(O276,IFERROR(FIND(" ",O276)-1,LEN(O276))))))</f>
        <v/>
      </c>
      <c r="O277" s="6597" t="str">
        <f>IF(N277="","",TRIM(RIGHT(O276,LEN(O276)-LEN(N277))))</f>
        <v/>
      </c>
      <c r="P277" s="6608"/>
      <c r="Q277" s="6605"/>
      <c r="R277" s="6605"/>
      <c r="T277" s="2730">
        <v>1</v>
      </c>
    </row>
    <row r="278" spans="5:20" ht="21" customHeight="1">
      <c r="E278" s="6605"/>
      <c r="G278" s="6577" t="str">
        <f t="shared" si="55"/>
        <v/>
      </c>
      <c r="H278" s="6581" t="str">
        <f t="shared" si="56"/>
        <v/>
      </c>
      <c r="I278" s="6582" t="str">
        <f>IF(LEN(TRIM(N278))&gt;0,MAX(I29:I277)+1,"")</f>
        <v/>
      </c>
      <c r="J278" s="2873" t="str">
        <f>IFERROR(INDEX(N30:N299,MATCH(ROW()-ROW(N30)+1,I30:I299,0)),"")</f>
        <v/>
      </c>
      <c r="K278" s="304"/>
      <c r="M278" s="6592">
        <f>J17</f>
        <v>50</v>
      </c>
      <c r="N278" s="6597" t="str">
        <f>IF(OR(O277="",M278=""),"",IF(LEN(O277)&lt;=M278,O277,IFERROR(LEFT(O277,FIND("♦",SUBSTITUTE(LEFT(O277,M278+1)," ","♦",LEN(LEFT(O277,M278+1))-LEN(SUBSTITUTE(LEFT(O277,M278+1)," ",""))))),LEFT(O277,IFERROR(FIND(" ",O277)-1,LEN(O277))))))</f>
        <v/>
      </c>
      <c r="O278" s="6597" t="str">
        <f t="shared" ref="O278:O281" si="66">IF(N278="","",TRIM(RIGHT(O277,LEN(O277)-LEN(N278))))</f>
        <v/>
      </c>
      <c r="P278" s="6608"/>
      <c r="Q278" s="6605"/>
      <c r="R278" s="6605"/>
      <c r="T278" s="2730">
        <v>1</v>
      </c>
    </row>
    <row r="279" spans="5:20" ht="21" customHeight="1">
      <c r="E279" s="6605"/>
      <c r="G279" s="6577" t="str">
        <f t="shared" si="55"/>
        <v/>
      </c>
      <c r="H279" s="6581" t="str">
        <f t="shared" si="56"/>
        <v/>
      </c>
      <c r="I279" s="6582" t="str">
        <f>IF(LEN(TRIM(N279))&gt;0,MAX(I29:I278)+1,"")</f>
        <v/>
      </c>
      <c r="J279" s="2873" t="str">
        <f>IFERROR(INDEX(N30:N299,MATCH(ROW()-ROW(N30)+1,I30:I299,0)),"")</f>
        <v/>
      </c>
      <c r="K279" s="304"/>
      <c r="M279" s="6596"/>
      <c r="N279" s="6597" t="str">
        <f>IF(OR(O278="",M278=""),"",IF(LEN(O278)&lt;=M278,O278,IFERROR(LEFT(O278,FIND("♦",SUBSTITUTE(LEFT(O278,M278+1)," ","♦",LEN(LEFT(O278,M278+1))-LEN(SUBSTITUTE(LEFT(O278,M278+1)," ",""))))),LEFT(O278,IFERROR(FIND(" ",O278)-1,LEN(O278))))))</f>
        <v/>
      </c>
      <c r="O279" s="6597" t="str">
        <f t="shared" si="66"/>
        <v/>
      </c>
      <c r="P279" s="6608"/>
      <c r="Q279" s="6605"/>
      <c r="R279" s="6605"/>
      <c r="T279" s="2730">
        <v>1</v>
      </c>
    </row>
    <row r="280" spans="5:20" ht="21" customHeight="1">
      <c r="E280" s="6605"/>
      <c r="G280" s="6577" t="str">
        <f t="shared" si="55"/>
        <v/>
      </c>
      <c r="H280" s="6581" t="str">
        <f t="shared" si="56"/>
        <v/>
      </c>
      <c r="I280" s="6582" t="str">
        <f>IF(LEN(TRIM(N280))&gt;0,MAX(I29:I279)+1,"")</f>
        <v/>
      </c>
      <c r="J280" s="2873" t="str">
        <f>IFERROR(INDEX(N30:N299,MATCH(ROW()-ROW(N30)+1,I30:I299,0)),"")</f>
        <v/>
      </c>
      <c r="K280" s="304"/>
      <c r="M280" s="6599"/>
      <c r="N280" s="6597" t="str">
        <f>IF(OR(O279="",M278=""),"",IF(LEN(O279)&lt;=M278,O279,IFERROR(LEFT(O279,FIND("♦",SUBSTITUTE(LEFT(O279,M278+1)," ","♦",LEN(LEFT(O279,M278+1))-LEN(SUBSTITUTE(LEFT(O279,M278+1)," ",""))))),LEFT(O279,IFERROR(FIND(" ",O279)-1,LEN(O279))))))</f>
        <v/>
      </c>
      <c r="O280" s="6597" t="str">
        <f t="shared" si="66"/>
        <v/>
      </c>
      <c r="P280" s="6608"/>
      <c r="Q280" s="6605"/>
      <c r="R280" s="6605"/>
      <c r="T280" s="2730">
        <v>1</v>
      </c>
    </row>
    <row r="281" spans="5:20" ht="21" customHeight="1">
      <c r="E281" s="6605"/>
      <c r="G281" s="6577" t="str">
        <f t="shared" si="55"/>
        <v/>
      </c>
      <c r="H281" s="6581" t="str">
        <f t="shared" si="56"/>
        <v/>
      </c>
      <c r="I281" s="6582" t="str">
        <f>IF(LEN(TRIM(N281))&gt;0,MAX(I29:I280)+1,"")</f>
        <v/>
      </c>
      <c r="J281" s="2873" t="str">
        <f>IFERROR(INDEX(N30:N299,MATCH(ROW()-ROW(N30)+1,I30:I299,0)),"")</f>
        <v/>
      </c>
      <c r="K281" s="304"/>
      <c r="M281" s="6600"/>
      <c r="N281" s="6597" t="str">
        <f>IF(OR(O280="",M278=""),"",IF(LEN(O280)&lt;=M278,O280,IFERROR(LEFT(O280,FIND("♦",SUBSTITUTE(LEFT(O280,M278+1)," ","♦",LEN(LEFT(O280,M278+1))-LEN(SUBSTITUTE(LEFT(O280,M278+1)," ",""))))),LEFT(O280,IFERROR(FIND(" ",O280)-1,LEN(O280))))))</f>
        <v/>
      </c>
      <c r="O281" s="6597" t="str">
        <f t="shared" si="66"/>
        <v/>
      </c>
      <c r="P281" s="6608"/>
      <c r="Q281" s="6605"/>
      <c r="R281" s="6605"/>
      <c r="T281" s="2730">
        <v>1</v>
      </c>
    </row>
    <row r="282" spans="5:20" ht="21" customHeight="1">
      <c r="E282" s="6605"/>
      <c r="G282" s="6577" t="str">
        <f t="shared" si="55"/>
        <v/>
      </c>
      <c r="H282" s="6581" t="str">
        <f t="shared" si="56"/>
        <v/>
      </c>
      <c r="I282" s="6582" t="str">
        <f>IF(LEN(TRIM(N282))&gt;0,MAX(I29:I281)+1,"")</f>
        <v/>
      </c>
      <c r="J282" s="2873" t="str">
        <f>IFERROR(INDEX(N30:N299,MATCH(ROW()-ROW(N30)+1,I30:I299,0)),"")</f>
        <v/>
      </c>
      <c r="K282" s="304"/>
      <c r="M282" s="6583" t="str">
        <f>(SUBSTITUTE(SUBSTITUTE(E72,CHAR(13)&amp;CHAR(10)," "),CHAR(10)," "))</f>
        <v/>
      </c>
      <c r="N282" s="6584" t="str">
        <f>IF(OR(M283="",M284=""),"",IF(LEN(M283)&lt;=M284,M283,IFERROR(LEFT(M283,FIND("♦",SUBSTITUTE(LEFT(M283,M284+1)," ","♦",LEN(LEFT(M283,M284+1))-LEN(SUBSTITUTE(LEFT(M283,M284+1)," ",""))))),LEFT(M283,IFERROR(FIND(" ",M283)-1,LEN(M283))))))</f>
        <v/>
      </c>
      <c r="O282" s="6585" t="str">
        <f>IF(N282="","",TRIM(RIGHT(M283,LEN(M283)-LEN(N282))))</f>
        <v/>
      </c>
      <c r="P282" s="6586" t="str">
        <f>F72</f>
        <v xml:space="preserve"> ◄ ligne 72</v>
      </c>
      <c r="Q282" s="6605"/>
      <c r="R282" s="6605"/>
      <c r="T282" s="2730">
        <v>1</v>
      </c>
    </row>
    <row r="283" spans="5:20" ht="21" customHeight="1">
      <c r="E283" s="6605"/>
      <c r="G283" s="6577" t="str">
        <f t="shared" si="55"/>
        <v/>
      </c>
      <c r="H283" s="6581" t="str">
        <f t="shared" si="56"/>
        <v/>
      </c>
      <c r="I283" s="6582" t="str">
        <f>IF(LEN(TRIM(N283))&gt;0,MAX(I29:I282)+1,"")</f>
        <v/>
      </c>
      <c r="J283" s="2873" t="str">
        <f>IFERROR(INDEX(N30:N299,MATCH(ROW()-ROW(N30)+1,I30:I299,0)),"")</f>
        <v/>
      </c>
      <c r="K283" s="304"/>
      <c r="M283" s="6584" t="str">
        <f>TRIM(SUBSTITUTE(SUBSTITUTE(SUBSTITUTE(SUBSTITUTE(IF(OR(LEFT(M282,1)="-",LEFT(M282,1)="="),MID(M282,2,9999),M282),CHAR(160)," "),","," "),";"," "),"."," "))</f>
        <v/>
      </c>
      <c r="N283" s="6585" t="str">
        <f>IF(OR(O282="",M284=""),"",IF(LEN(O282)&lt;=M284,O282,IFERROR(LEFT(O282,FIND("♦",SUBSTITUTE(LEFT(O282,M284+1)," ","♦",LEN(LEFT(O282,M284+1))-LEN(SUBSTITUTE(LEFT(O282,M284+1)," ",""))))),LEFT(O282,IFERROR(FIND(" ",O282)-1,LEN(O282))))))</f>
        <v/>
      </c>
      <c r="O283" s="6585" t="str">
        <f>IF(N283="","",TRIM(RIGHT(O282,LEN(O282)-LEN(N283))))</f>
        <v/>
      </c>
      <c r="P283" s="6607"/>
      <c r="Q283" s="6605"/>
      <c r="R283" s="6605"/>
      <c r="T283" s="2730">
        <v>1</v>
      </c>
    </row>
    <row r="284" spans="5:20" ht="21" customHeight="1">
      <c r="E284" s="6605"/>
      <c r="G284" s="6577" t="str">
        <f t="shared" si="55"/>
        <v/>
      </c>
      <c r="H284" s="6581" t="str">
        <f t="shared" si="56"/>
        <v/>
      </c>
      <c r="I284" s="6582" t="str">
        <f>IF(LEN(TRIM(N284))&gt;0,MAX(I29:I283)+1,"")</f>
        <v/>
      </c>
      <c r="J284" s="2873" t="str">
        <f>IFERROR(INDEX(N30:N299,MATCH(ROW()-ROW(N30)+1,I30:I299,0)),"")</f>
        <v/>
      </c>
      <c r="K284" s="304"/>
      <c r="M284" s="6592">
        <f>J17</f>
        <v>50</v>
      </c>
      <c r="N284" s="6585" t="str">
        <f>IF(OR(O283="",M284=""),"",IF(LEN(O283)&lt;=M284,O283,IFERROR(LEFT(O283,FIND("♦",SUBSTITUTE(LEFT(O283,M284+1)," ","♦",LEN(LEFT(O283,M284+1))-LEN(SUBSTITUTE(LEFT(O283,M284+1)," ",""))))),LEFT(O283,IFERROR(FIND(" ",O283)-1,LEN(O283))))))</f>
        <v/>
      </c>
      <c r="O284" s="6585" t="str">
        <f t="shared" ref="O284:O287" si="67">IF(N284="","",TRIM(RIGHT(O283,LEN(O283)-LEN(N284))))</f>
        <v/>
      </c>
      <c r="P284" s="6607"/>
      <c r="Q284" s="6605"/>
      <c r="R284" s="6605"/>
      <c r="T284" s="2730">
        <v>1</v>
      </c>
    </row>
    <row r="285" spans="5:20" ht="21" customHeight="1">
      <c r="E285" s="6605"/>
      <c r="G285" s="6577" t="str">
        <f t="shared" si="55"/>
        <v/>
      </c>
      <c r="H285" s="6581" t="str">
        <f t="shared" si="56"/>
        <v/>
      </c>
      <c r="I285" s="6582" t="str">
        <f>IF(LEN(TRIM(N285))&gt;0,MAX(I29:I284)+1,"")</f>
        <v/>
      </c>
      <c r="J285" s="2873" t="str">
        <f>IFERROR(INDEX(N30:N299,MATCH(ROW()-ROW(N30)+1,I30:I299,0)),"")</f>
        <v/>
      </c>
      <c r="K285" s="304"/>
      <c r="M285" s="6584"/>
      <c r="N285" s="6585" t="str">
        <f>IF(OR(O284="",M284=""),"",IF(LEN(O284)&lt;=M284,O284,IFERROR(LEFT(O284,FIND("♦",SUBSTITUTE(LEFT(O284,M284+1)," ","♦",LEN(LEFT(O284,M284+1))-LEN(SUBSTITUTE(LEFT(O284,M284+1)," ",""))))),LEFT(O284,IFERROR(FIND(" ",O284)-1,LEN(O284))))))</f>
        <v/>
      </c>
      <c r="O285" s="6585" t="str">
        <f t="shared" si="67"/>
        <v/>
      </c>
      <c r="P285" s="6607"/>
      <c r="Q285" s="6605"/>
      <c r="R285" s="6605"/>
      <c r="T285" s="2730">
        <v>1</v>
      </c>
    </row>
    <row r="286" spans="5:20" ht="21" customHeight="1">
      <c r="E286" s="6605"/>
      <c r="G286" s="6577" t="str">
        <f t="shared" si="55"/>
        <v/>
      </c>
      <c r="H286" s="6581" t="str">
        <f t="shared" si="56"/>
        <v/>
      </c>
      <c r="I286" s="6582" t="str">
        <f>IF(LEN(TRIM(N286))&gt;0,MAX(I29:I285)+1,"")</f>
        <v/>
      </c>
      <c r="J286" s="2873" t="str">
        <f>IFERROR(INDEX(N30:N299,MATCH(ROW()-ROW(N30)+1,I30:I299,0)),"")</f>
        <v/>
      </c>
      <c r="K286" s="304"/>
      <c r="M286" s="6594"/>
      <c r="N286" s="6585" t="str">
        <f>IF(OR(O285="",M284=""),"",IF(LEN(O285)&lt;=M284,O285,IFERROR(LEFT(O285,FIND("♦",SUBSTITUTE(LEFT(O285,M284+1)," ","♦",LEN(LEFT(O285,M284+1))-LEN(SUBSTITUTE(LEFT(O285,M284+1)," ",""))))),LEFT(O285,IFERROR(FIND(" ",O285)-1,LEN(O285))))))</f>
        <v/>
      </c>
      <c r="O286" s="6585" t="str">
        <f t="shared" si="67"/>
        <v/>
      </c>
      <c r="P286" s="6607"/>
      <c r="Q286" s="6605"/>
      <c r="R286" s="6605"/>
      <c r="T286" s="2730">
        <v>1</v>
      </c>
    </row>
    <row r="287" spans="5:20" ht="21" customHeight="1">
      <c r="E287" s="6605"/>
      <c r="G287" s="6577" t="str">
        <f t="shared" si="55"/>
        <v/>
      </c>
      <c r="H287" s="6581" t="str">
        <f t="shared" si="56"/>
        <v/>
      </c>
      <c r="I287" s="6582" t="str">
        <f>IF(LEN(TRIM(N287))&gt;0,MAX(I29:I286)+1,"")</f>
        <v/>
      </c>
      <c r="J287" s="2873" t="str">
        <f>IFERROR(INDEX(N30:N299,MATCH(ROW()-ROW(N30)+1,I30:I299,0)),"")</f>
        <v/>
      </c>
      <c r="K287" s="304"/>
      <c r="M287" s="6595"/>
      <c r="N287" s="6585" t="str">
        <f>IF(OR(O286="",M284=""),"",IF(LEN(O286)&lt;=M284,O286,IFERROR(LEFT(O286,FIND("♦",SUBSTITUTE(LEFT(O286,M284+1)," ","♦",LEN(LEFT(O286,M284+1))-LEN(SUBSTITUTE(LEFT(O286,M284+1)," ",""))))),LEFT(O286,IFERROR(FIND(" ",O286)-1,LEN(O286))))))</f>
        <v/>
      </c>
      <c r="O287" s="6585" t="str">
        <f t="shared" si="67"/>
        <v/>
      </c>
      <c r="P287" s="6607"/>
      <c r="Q287" s="6605"/>
      <c r="R287" s="6605"/>
      <c r="T287" s="2730">
        <v>1</v>
      </c>
    </row>
    <row r="288" spans="5:20" ht="21" customHeight="1">
      <c r="E288" s="6605"/>
      <c r="G288" s="6577" t="str">
        <f t="shared" ref="G288:G299" si="68">IF(J288="","",(LEN(TRIM(SUBSTITUTE(J288,CHAR(160)," ")))-LEN(SUBSTITUTE(TRIM(SUBSTITUTE(J288,CHAR(160)," "))," ",""))+1)&amp;" mot"&amp;IF((LEN(TRIM(SUBSTITUTE(J288,CHAR(160)," ")))-LEN(SUBSTITUTE(TRIM(SUBSTITUTE(J288,CHAR(160)," "))," ",""))+1)&gt;1,"s",""))</f>
        <v/>
      </c>
      <c r="H288" s="6581" t="str">
        <f t="shared" ref="H288:H299" si="69">IF(J288="","",LEN(TRIM(SUBSTITUTE(J288,CHAR(160),"")))&amp;" car. ►")</f>
        <v/>
      </c>
      <c r="I288" s="6582" t="str">
        <f>IF(LEN(TRIM(N288))&gt;0,MAX(I29:I287)+1,"")</f>
        <v/>
      </c>
      <c r="J288" s="2873" t="str">
        <f>IFERROR(INDEX(N30:N299,MATCH(ROW()-ROW(N30)+1,I30:I299,0)),"")</f>
        <v/>
      </c>
      <c r="K288" s="304"/>
      <c r="M288" s="6583" t="str">
        <f>(SUBSTITUTE(SUBSTITUTE(E73,CHAR(13)&amp;CHAR(10)," "),CHAR(10)," "))</f>
        <v/>
      </c>
      <c r="N288" s="6596" t="str">
        <f>IF(OR(M289="",M290=""),"",IF(LEN(M289)&lt;=M290,M289,IFERROR(LEFT(M289,FIND("♦",SUBSTITUTE(LEFT(M289,M290+1)," ","♦",LEN(LEFT(M289,M290+1))-LEN(SUBSTITUTE(LEFT(M289,M290+1)," ",""))))),LEFT(M289,IFERROR(FIND(" ",M289)-1,LEN(M289))))))</f>
        <v/>
      </c>
      <c r="O288" s="6597" t="str">
        <f>IF(N288="","",TRIM(RIGHT(M289,LEN(M289)-LEN(N288))))</f>
        <v/>
      </c>
      <c r="P288" s="6586" t="str">
        <f>F73</f>
        <v xml:space="preserve"> ◄ ligne 73</v>
      </c>
      <c r="Q288" s="6605"/>
      <c r="R288" s="6605"/>
      <c r="T288" s="2730">
        <v>1</v>
      </c>
    </row>
    <row r="289" spans="1:22" ht="21" customHeight="1">
      <c r="E289" s="6605"/>
      <c r="G289" s="6577" t="str">
        <f t="shared" si="68"/>
        <v/>
      </c>
      <c r="H289" s="6581" t="str">
        <f t="shared" si="69"/>
        <v/>
      </c>
      <c r="I289" s="6582" t="str">
        <f>IF(LEN(TRIM(N289))&gt;0,MAX(I29:I288)+1,"")</f>
        <v/>
      </c>
      <c r="J289" s="2873" t="str">
        <f>IFERROR(INDEX(N30:N299,MATCH(ROW()-ROW(N30)+1,I30:I299,0)),"")</f>
        <v/>
      </c>
      <c r="K289" s="304"/>
      <c r="M289" s="6596" t="str">
        <f>TRIM(SUBSTITUTE(SUBSTITUTE(SUBSTITUTE(SUBSTITUTE(IF(OR(LEFT(M288,1)="-",LEFT(M288,1)="="),MID(M288,2,9999),M288),CHAR(160)," "),","," "),";"," "),"."," "))</f>
        <v/>
      </c>
      <c r="N289" s="6597" t="str">
        <f>IF(OR(O288="",M290=""),"",IF(LEN(O288)&lt;=M290,O288,IFERROR(LEFT(O288,FIND("♦",SUBSTITUTE(LEFT(O288,M290+1)," ","♦",LEN(LEFT(O288,M290+1))-LEN(SUBSTITUTE(LEFT(O288,M290+1)," ",""))))),LEFT(O288,IFERROR(FIND(" ",O288)-1,LEN(O288))))))</f>
        <v/>
      </c>
      <c r="O289" s="6597" t="str">
        <f>IF(N289="","",TRIM(RIGHT(O288,LEN(O288)-LEN(N289))))</f>
        <v/>
      </c>
      <c r="P289" s="6608"/>
      <c r="Q289" s="6605"/>
      <c r="R289" s="6605"/>
      <c r="T289" s="2730">
        <v>1</v>
      </c>
    </row>
    <row r="290" spans="1:22" ht="21" customHeight="1">
      <c r="E290" s="6605"/>
      <c r="G290" s="6577" t="str">
        <f t="shared" si="68"/>
        <v/>
      </c>
      <c r="H290" s="6581" t="str">
        <f t="shared" si="69"/>
        <v/>
      </c>
      <c r="I290" s="6582" t="str">
        <f>IF(LEN(TRIM(N290))&gt;0,MAX(I29:I289)+1,"")</f>
        <v/>
      </c>
      <c r="J290" s="2873" t="str">
        <f>IFERROR(INDEX(N30:N299,MATCH(ROW()-ROW(N30)+1,I30:I299,0)),"")</f>
        <v/>
      </c>
      <c r="K290" s="304"/>
      <c r="M290" s="6592">
        <f>J17</f>
        <v>50</v>
      </c>
      <c r="N290" s="6597" t="str">
        <f>IF(OR(O289="",M290=""),"",IF(LEN(O289)&lt;=M290,O289,IFERROR(LEFT(O289,FIND("♦",SUBSTITUTE(LEFT(O289,M290+1)," ","♦",LEN(LEFT(O289,M290+1))-LEN(SUBSTITUTE(LEFT(O289,M290+1)," ",""))))),LEFT(O289,IFERROR(FIND(" ",O289)-1,LEN(O289))))))</f>
        <v/>
      </c>
      <c r="O290" s="6597" t="str">
        <f t="shared" ref="O290:O293" si="70">IF(N290="","",TRIM(RIGHT(O289,LEN(O289)-LEN(N290))))</f>
        <v/>
      </c>
      <c r="P290" s="6608"/>
      <c r="Q290" s="6605"/>
      <c r="R290" s="6605"/>
      <c r="T290" s="2730">
        <v>1</v>
      </c>
    </row>
    <row r="291" spans="1:22" ht="21" customHeight="1">
      <c r="E291" s="6605"/>
      <c r="G291" s="6577" t="str">
        <f t="shared" si="68"/>
        <v/>
      </c>
      <c r="H291" s="6581" t="str">
        <f t="shared" si="69"/>
        <v/>
      </c>
      <c r="I291" s="6582" t="str">
        <f>IF(LEN(TRIM(N291))&gt;0,MAX(I29:I290)+1,"")</f>
        <v/>
      </c>
      <c r="J291" s="2873" t="str">
        <f>IFERROR(INDEX(N30:N299,MATCH(ROW()-ROW(N30)+1,I30:I299,0)),"")</f>
        <v/>
      </c>
      <c r="K291" s="304"/>
      <c r="M291" s="6596"/>
      <c r="N291" s="6597" t="str">
        <f>IF(OR(O290="",M290=""),"",IF(LEN(O290)&lt;=M290,O290,IFERROR(LEFT(O290,FIND("♦",SUBSTITUTE(LEFT(O290,M290+1)," ","♦",LEN(LEFT(O290,M290+1))-LEN(SUBSTITUTE(LEFT(O290,M290+1)," ",""))))),LEFT(O290,IFERROR(FIND(" ",O290)-1,LEN(O290))))))</f>
        <v/>
      </c>
      <c r="O291" s="6597" t="str">
        <f t="shared" si="70"/>
        <v/>
      </c>
      <c r="P291" s="6608"/>
      <c r="Q291" s="6605"/>
      <c r="R291" s="6605"/>
      <c r="T291" s="2730">
        <v>1</v>
      </c>
    </row>
    <row r="292" spans="1:22" ht="21" customHeight="1">
      <c r="E292" s="6605"/>
      <c r="G292" s="6577" t="str">
        <f t="shared" si="68"/>
        <v/>
      </c>
      <c r="H292" s="6581" t="str">
        <f t="shared" si="69"/>
        <v/>
      </c>
      <c r="I292" s="6582" t="str">
        <f>IF(LEN(TRIM(N292))&gt;0,MAX(I29:I291)+1,"")</f>
        <v/>
      </c>
      <c r="J292" s="2873" t="str">
        <f>IFERROR(INDEX(N30:N299,MATCH(ROW()-ROW(N30)+1,I30:I299,0)),"")</f>
        <v/>
      </c>
      <c r="K292" s="304"/>
      <c r="M292" s="6599"/>
      <c r="N292" s="6597" t="str">
        <f>IF(OR(O291="",M290=""),"",IF(LEN(O291)&lt;=M290,O291,IFERROR(LEFT(O291,FIND("♦",SUBSTITUTE(LEFT(O291,M290+1)," ","♦",LEN(LEFT(O291,M290+1))-LEN(SUBSTITUTE(LEFT(O291,M290+1)," ",""))))),LEFT(O291,IFERROR(FIND(" ",O291)-1,LEN(O291))))))</f>
        <v/>
      </c>
      <c r="O292" s="6597" t="str">
        <f t="shared" si="70"/>
        <v/>
      </c>
      <c r="P292" s="6608"/>
      <c r="Q292" s="6605"/>
      <c r="R292" s="6605"/>
      <c r="T292" s="2730">
        <v>1</v>
      </c>
    </row>
    <row r="293" spans="1:22" ht="21" customHeight="1">
      <c r="E293" s="6605"/>
      <c r="G293" s="6577" t="str">
        <f t="shared" si="68"/>
        <v/>
      </c>
      <c r="H293" s="6581" t="str">
        <f t="shared" si="69"/>
        <v/>
      </c>
      <c r="I293" s="6582" t="str">
        <f>IF(LEN(TRIM(N293))&gt;0,MAX(I29:I292)+1,"")</f>
        <v/>
      </c>
      <c r="J293" s="2873" t="str">
        <f>IFERROR(INDEX(N30:N299,MATCH(ROW()-ROW(N30)+1,I30:I299,0)),"")</f>
        <v/>
      </c>
      <c r="K293" s="304"/>
      <c r="M293" s="6600"/>
      <c r="N293" s="6597" t="str">
        <f>IF(OR(O292="",M290=""),"",IF(LEN(O292)&lt;=M290,O292,IFERROR(LEFT(O292,FIND("♦",SUBSTITUTE(LEFT(O292,M290+1)," ","♦",LEN(LEFT(O292,M290+1))-LEN(SUBSTITUTE(LEFT(O292,M290+1)," ",""))))),LEFT(O292,IFERROR(FIND(" ",O292)-1,LEN(O292))))))</f>
        <v/>
      </c>
      <c r="O293" s="6597" t="str">
        <f t="shared" si="70"/>
        <v/>
      </c>
      <c r="P293" s="6608"/>
      <c r="Q293" s="6605"/>
      <c r="R293" s="6605"/>
      <c r="T293" s="2730">
        <v>1</v>
      </c>
    </row>
    <row r="294" spans="1:22" ht="21" customHeight="1">
      <c r="E294" s="6605"/>
      <c r="G294" s="6577" t="str">
        <f t="shared" si="68"/>
        <v/>
      </c>
      <c r="H294" s="6581" t="str">
        <f t="shared" si="69"/>
        <v/>
      </c>
      <c r="I294" s="6582" t="str">
        <f>IF(LEN(TRIM(N294))&gt;0,MAX(I29:I293)+1,"")</f>
        <v/>
      </c>
      <c r="J294" s="2873" t="str">
        <f>IFERROR(INDEX(N30:N299,MATCH(ROW()-ROW(N30)+1,I30:I299,0)),"")</f>
        <v/>
      </c>
      <c r="K294" s="304"/>
      <c r="M294" s="6583" t="str">
        <f>(SUBSTITUTE(SUBSTITUTE(E74,CHAR(13)&amp;CHAR(10)," "),CHAR(10)," "))</f>
        <v/>
      </c>
      <c r="N294" s="6584" t="str">
        <f>IF(OR(M295="",M296=""),"",IF(LEN(M295)&lt;=M296,M295,IFERROR(LEFT(M295,FIND("♦",SUBSTITUTE(LEFT(M295,M296+1)," ","♦",LEN(LEFT(M295,M296+1))-LEN(SUBSTITUTE(LEFT(M295,M296+1)," ",""))))),LEFT(M295,IFERROR(FIND(" ",M295)-1,LEN(M295))))))</f>
        <v/>
      </c>
      <c r="O294" s="6585" t="str">
        <f>IF(N294="","",TRIM(RIGHT(M295,LEN(M295)-LEN(N294))))</f>
        <v/>
      </c>
      <c r="P294" s="6586" t="str">
        <f>F74</f>
        <v xml:space="preserve"> ◄ ligne 74</v>
      </c>
      <c r="Q294" s="6605"/>
      <c r="R294" s="6605"/>
      <c r="T294" s="2730">
        <v>1</v>
      </c>
    </row>
    <row r="295" spans="1:22" ht="21" customHeight="1">
      <c r="E295" s="6605"/>
      <c r="G295" s="6577" t="str">
        <f t="shared" si="68"/>
        <v/>
      </c>
      <c r="H295" s="6581" t="str">
        <f t="shared" si="69"/>
        <v/>
      </c>
      <c r="I295" s="6582" t="str">
        <f>IF(LEN(TRIM(N295))&gt;0,MAX(I29:I294)+1,"")</f>
        <v/>
      </c>
      <c r="J295" s="2873" t="str">
        <f>IFERROR(INDEX(N30:N299,MATCH(ROW()-ROW(N30)+1,I30:I299,0)),"")</f>
        <v/>
      </c>
      <c r="K295" s="304"/>
      <c r="M295" s="6584" t="str">
        <f>TRIM(SUBSTITUTE(SUBSTITUTE(SUBSTITUTE(SUBSTITUTE(IF(OR(LEFT(M294,1)="-",LEFT(M294,1)="="),MID(M294,2,9999),M294),CHAR(160)," "),","," "),";"," "),"."," "))</f>
        <v/>
      </c>
      <c r="N295" s="6585" t="str">
        <f>IF(OR(O294="",M296=""),"",IF(LEN(O294)&lt;=M296,O294,IFERROR(LEFT(O294,FIND("♦",SUBSTITUTE(LEFT(O294,M296+1)," ","♦",LEN(LEFT(O294,M296+1))-LEN(SUBSTITUTE(LEFT(O294,M296+1)," ",""))))),LEFT(O294,IFERROR(FIND(" ",O294)-1,LEN(O294))))))</f>
        <v/>
      </c>
      <c r="O295" s="6585" t="str">
        <f>IF(N295="","",TRIM(RIGHT(O294,LEN(O294)-LEN(N295))))</f>
        <v/>
      </c>
      <c r="P295" s="6607"/>
      <c r="Q295" s="6605"/>
      <c r="R295" s="6605"/>
      <c r="T295" s="2730">
        <v>1</v>
      </c>
    </row>
    <row r="296" spans="1:22" ht="21" customHeight="1">
      <c r="E296" s="6605"/>
      <c r="G296" s="6577" t="str">
        <f t="shared" si="68"/>
        <v/>
      </c>
      <c r="H296" s="6581" t="str">
        <f t="shared" si="69"/>
        <v/>
      </c>
      <c r="I296" s="6582" t="str">
        <f>IF(LEN(TRIM(N296))&gt;0,MAX(I29:I295)+1,"")</f>
        <v/>
      </c>
      <c r="J296" s="2873" t="str">
        <f>IFERROR(INDEX(N30:N299,MATCH(ROW()-ROW(N30)+1,I30:I299,0)),"")</f>
        <v/>
      </c>
      <c r="K296" s="304"/>
      <c r="M296" s="6592">
        <f>J17</f>
        <v>50</v>
      </c>
      <c r="N296" s="6585" t="str">
        <f>IF(OR(O295="",M296=""),"",IF(LEN(O295)&lt;=M296,O295,IFERROR(LEFT(O295,FIND("♦",SUBSTITUTE(LEFT(O295,M296+1)," ","♦",LEN(LEFT(O295,M296+1))-LEN(SUBSTITUTE(LEFT(O295,M296+1)," ",""))))),LEFT(O295,IFERROR(FIND(" ",O295)-1,LEN(O295))))))</f>
        <v/>
      </c>
      <c r="O296" s="6585" t="str">
        <f t="shared" ref="O296:O299" si="71">IF(N296="","",TRIM(RIGHT(O295,LEN(O295)-LEN(N296))))</f>
        <v/>
      </c>
      <c r="P296" s="6607"/>
      <c r="Q296" s="6605"/>
      <c r="R296" s="6605"/>
      <c r="T296" s="2730">
        <v>1</v>
      </c>
    </row>
    <row r="297" spans="1:22" ht="21" customHeight="1">
      <c r="E297" s="6605"/>
      <c r="G297" s="6577" t="str">
        <f t="shared" si="68"/>
        <v/>
      </c>
      <c r="H297" s="6581" t="str">
        <f t="shared" si="69"/>
        <v/>
      </c>
      <c r="I297" s="6582" t="str">
        <f>IF(LEN(TRIM(N297))&gt;0,MAX(I29:I296)+1,"")</f>
        <v/>
      </c>
      <c r="J297" s="2873" t="str">
        <f>IFERROR(INDEX(N30:N299,MATCH(ROW()-ROW(N30)+1,I30:I299,0)),"")</f>
        <v/>
      </c>
      <c r="K297" s="304"/>
      <c r="M297" s="6584"/>
      <c r="N297" s="6585" t="str">
        <f>IF(OR(O296="",M296=""),"",IF(LEN(O296)&lt;=M296,O296,IFERROR(LEFT(O296,FIND("♦",SUBSTITUTE(LEFT(O296,M296+1)," ","♦",LEN(LEFT(O296,M296+1))-LEN(SUBSTITUTE(LEFT(O296,M296+1)," ",""))))),LEFT(O296,IFERROR(FIND(" ",O296)-1,LEN(O296))))))</f>
        <v/>
      </c>
      <c r="O297" s="6585" t="str">
        <f t="shared" si="71"/>
        <v/>
      </c>
      <c r="P297" s="6607"/>
      <c r="Q297" s="6605"/>
      <c r="R297" s="6605"/>
      <c r="T297" s="2730">
        <v>1</v>
      </c>
    </row>
    <row r="298" spans="1:22" ht="21" customHeight="1">
      <c r="E298" s="6605"/>
      <c r="G298" s="6577" t="str">
        <f t="shared" si="68"/>
        <v/>
      </c>
      <c r="H298" s="6581" t="str">
        <f t="shared" si="69"/>
        <v/>
      </c>
      <c r="I298" s="6582" t="str">
        <f>IF(LEN(TRIM(N298))&gt;0,MAX(I29:I297)+1,"")</f>
        <v/>
      </c>
      <c r="J298" s="2873" t="str">
        <f>IFERROR(INDEX(N30:N299,MATCH(ROW()-ROW(N30)+1,I30:I299,0)),"")</f>
        <v/>
      </c>
      <c r="K298" s="304"/>
      <c r="M298" s="6594"/>
      <c r="N298" s="6585" t="str">
        <f>IF(OR(O297="",M296=""),"",IF(LEN(O297)&lt;=M296,O297,IFERROR(LEFT(O297,FIND("♦",SUBSTITUTE(LEFT(O297,M296+1)," ","♦",LEN(LEFT(O297,M296+1))-LEN(SUBSTITUTE(LEFT(O297,M296+1)," ",""))))),LEFT(O297,IFERROR(FIND(" ",O297)-1,LEN(O297))))))</f>
        <v/>
      </c>
      <c r="O298" s="6585" t="str">
        <f t="shared" si="71"/>
        <v/>
      </c>
      <c r="P298" s="6607"/>
      <c r="Q298" s="6605"/>
      <c r="R298" s="6605"/>
      <c r="T298" s="2730">
        <v>1</v>
      </c>
    </row>
    <row r="299" spans="1:22" ht="21" customHeight="1">
      <c r="E299" s="6605"/>
      <c r="G299" s="6577" t="str">
        <f t="shared" si="68"/>
        <v/>
      </c>
      <c r="H299" s="6581" t="str">
        <f t="shared" si="69"/>
        <v/>
      </c>
      <c r="I299" s="6582" t="str">
        <f>IF(LEN(TRIM(N299))&gt;0,MAX(I29:I298)+1,"")</f>
        <v/>
      </c>
      <c r="J299" s="2873" t="str">
        <f>IFERROR(INDEX(N30:N299,MATCH(ROW()-ROW(N30)+1,I30:I299,0)),"")</f>
        <v/>
      </c>
      <c r="K299" s="304"/>
      <c r="M299" s="6595"/>
      <c r="N299" s="6585" t="str">
        <f>IF(OR(O298="",M296=""),"",IF(LEN(O298)&lt;=M296,O298,IFERROR(LEFT(O298,FIND("♦",SUBSTITUTE(LEFT(O298,M296+1)," ","♦",LEN(LEFT(O298,M296+1))-LEN(SUBSTITUTE(LEFT(O298,M296+1)," ",""))))),LEFT(O298,IFERROR(FIND(" ",O298)-1,LEN(O298))))))</f>
        <v/>
      </c>
      <c r="O299" s="6585" t="str">
        <f t="shared" si="71"/>
        <v/>
      </c>
      <c r="P299" s="6607"/>
      <c r="Q299" s="6605"/>
      <c r="R299" s="6605"/>
      <c r="T299" s="3191" t="s">
        <v>7037</v>
      </c>
    </row>
    <row r="300" spans="1:22" ht="21" customHeight="1">
      <c r="A300" s="2730">
        <v>1</v>
      </c>
      <c r="B300" s="2730">
        <v>1</v>
      </c>
      <c r="C300" s="2730">
        <v>1</v>
      </c>
      <c r="D300" s="2730">
        <v>1</v>
      </c>
      <c r="E300" s="2730">
        <v>1</v>
      </c>
      <c r="F300" s="2730">
        <v>1</v>
      </c>
      <c r="G300" s="2730">
        <v>1</v>
      </c>
      <c r="H300" s="2730">
        <v>1</v>
      </c>
      <c r="I300" s="2730">
        <v>1</v>
      </c>
      <c r="J300" s="2730">
        <v>1</v>
      </c>
      <c r="K300" s="2730">
        <v>1</v>
      </c>
      <c r="L300" s="2730">
        <v>1</v>
      </c>
      <c r="M300" s="2730">
        <v>1</v>
      </c>
      <c r="N300" s="2730">
        <v>1</v>
      </c>
      <c r="O300" s="2730">
        <v>1</v>
      </c>
      <c r="P300" s="2730">
        <v>1</v>
      </c>
      <c r="Q300" s="2730">
        <v>1</v>
      </c>
      <c r="R300" s="2730">
        <v>1</v>
      </c>
      <c r="S300" s="2730">
        <v>1</v>
      </c>
      <c r="T300" s="2732" t="str">
        <f>ADDRESS(ROW(),COLUMN(),4)</f>
        <v>T300</v>
      </c>
      <c r="U300" s="3095"/>
      <c r="V300" s="3096" t="str">
        <f>ADDRESS(ROW(),COLUMN(),4)</f>
        <v>V300</v>
      </c>
    </row>
  </sheetData>
  <mergeCells count="19">
    <mergeCell ref="L13:Q15"/>
    <mergeCell ref="J14:J15"/>
    <mergeCell ref="E15:E16"/>
    <mergeCell ref="L16:Q18"/>
    <mergeCell ref="E17:E18"/>
    <mergeCell ref="E3:H5"/>
    <mergeCell ref="J5:J6"/>
    <mergeCell ref="J8:J9"/>
    <mergeCell ref="E11:E12"/>
    <mergeCell ref="E13:E14"/>
    <mergeCell ref="C28:D28"/>
    <mergeCell ref="M28:P29"/>
    <mergeCell ref="Q28:R29"/>
    <mergeCell ref="J17:J18"/>
    <mergeCell ref="E20:E21"/>
    <mergeCell ref="J20:J21"/>
    <mergeCell ref="L20:N23"/>
    <mergeCell ref="J24:J25"/>
    <mergeCell ref="J27:J28"/>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42F30-9AB4-4D94-A31F-152ADCFCF9F4}">
  <dimension ref="A1:AQ102"/>
  <sheetViews>
    <sheetView showZeros="0" zoomScale="75" zoomScaleNormal="75" workbookViewId="0">
      <selection activeCell="K56" sqref="K56"/>
    </sheetView>
  </sheetViews>
  <sheetFormatPr baseColWidth="10" defaultRowHeight="21"/>
  <cols>
    <col min="1" max="1" width="4" style="1801" customWidth="1"/>
    <col min="2" max="2" width="135.85546875" style="1801" customWidth="1"/>
    <col min="3" max="4" width="24.5703125" style="1801" customWidth="1"/>
    <col min="5" max="5" width="17.5703125" style="1877" customWidth="1"/>
    <col min="6" max="7" width="16.5703125" style="1801" customWidth="1"/>
    <col min="8" max="8" width="15.5703125" style="1801" customWidth="1"/>
    <col min="9" max="9" width="4" style="1801" customWidth="1"/>
    <col min="10" max="10" width="5.28515625" style="1884" customWidth="1"/>
    <col min="11" max="11" width="104.5703125" style="1801" customWidth="1"/>
    <col min="12" max="12" width="7.28515625" style="1801" customWidth="1"/>
    <col min="13" max="13" width="9.85546875" style="1801" customWidth="1"/>
    <col min="14" max="14" width="18.85546875" style="1801" customWidth="1"/>
    <col min="15" max="15" width="11.42578125" style="1801"/>
    <col min="16" max="16" width="14.7109375" style="1801" customWidth="1"/>
    <col min="17" max="17" width="19.28515625" style="1801" customWidth="1"/>
    <col min="18" max="18" width="53.85546875" style="1801" customWidth="1"/>
    <col min="19" max="19" width="31.42578125" style="1801" customWidth="1"/>
    <col min="20" max="21" width="22.5703125" style="1801" customWidth="1"/>
    <col min="22" max="22" width="161.28515625" style="1801" customWidth="1"/>
    <col min="23" max="23" width="9.85546875" style="1801" customWidth="1"/>
    <col min="24" max="24" width="13.85546875" style="1801" customWidth="1"/>
    <col min="25" max="26" width="14.85546875" style="1801" customWidth="1"/>
    <col min="27" max="27" width="85" style="1801" customWidth="1"/>
    <col min="28" max="28" width="12.85546875" style="1801" customWidth="1"/>
    <col min="29" max="29" width="13.5703125" style="1801" customWidth="1"/>
    <col min="30" max="30" width="17.28515625" style="1801" customWidth="1"/>
    <col min="31" max="31" width="14.85546875" style="1801" customWidth="1"/>
    <col min="32" max="32" width="75.85546875" style="1801" customWidth="1"/>
    <col min="33" max="34" width="14.85546875" style="1801" customWidth="1"/>
    <col min="35" max="35" width="15.28515625" style="1801" customWidth="1"/>
    <col min="36" max="36" width="14.85546875" style="1801" customWidth="1"/>
    <col min="37" max="37" width="42.42578125" style="1801" customWidth="1"/>
    <col min="38" max="38" width="101.7109375" style="1801" customWidth="1"/>
    <col min="39" max="39" width="8.85546875" style="1801" customWidth="1"/>
    <col min="40" max="41" width="20.28515625" style="1801" customWidth="1"/>
    <col min="42" max="42" width="11.42578125" style="1801"/>
    <col min="43" max="43" width="15.42578125" style="1801" customWidth="1"/>
    <col min="44" max="16384" width="11.42578125" style="1801"/>
  </cols>
  <sheetData>
    <row r="1" spans="2:43" ht="21.75" thickBot="1">
      <c r="B1" s="1799"/>
      <c r="C1" s="1799"/>
      <c r="D1" s="1799"/>
      <c r="E1" s="1800"/>
      <c r="F1" s="1799"/>
      <c r="G1" s="1799"/>
      <c r="H1" s="1799"/>
      <c r="I1" s="1799"/>
    </row>
    <row r="2" spans="2:43" ht="21" customHeight="1">
      <c r="B2" s="8127" t="s">
        <v>2580</v>
      </c>
      <c r="C2" s="8128"/>
      <c r="D2" s="8128"/>
      <c r="E2" s="8128"/>
      <c r="F2" s="8128"/>
      <c r="G2" s="8128"/>
      <c r="H2" s="8128"/>
      <c r="I2" s="8128"/>
      <c r="J2" s="8128"/>
      <c r="K2" s="8128"/>
      <c r="L2" s="8128"/>
      <c r="M2" s="8128"/>
      <c r="N2" s="8128"/>
      <c r="O2" s="8128"/>
      <c r="P2" s="8128"/>
      <c r="Q2" s="8128"/>
      <c r="R2" s="8128"/>
      <c r="S2" s="8128"/>
      <c r="T2" s="8129"/>
    </row>
    <row r="3" spans="2:43" ht="21.75" customHeight="1">
      <c r="B3" s="8130"/>
      <c r="C3" s="8131"/>
      <c r="D3" s="8131"/>
      <c r="E3" s="8131"/>
      <c r="F3" s="8131"/>
      <c r="G3" s="8131"/>
      <c r="H3" s="8131"/>
      <c r="I3" s="8131"/>
      <c r="J3" s="8131"/>
      <c r="K3" s="8131"/>
      <c r="L3" s="8131"/>
      <c r="M3" s="8131"/>
      <c r="N3" s="8131"/>
      <c r="O3" s="8131"/>
      <c r="P3" s="8131"/>
      <c r="Q3" s="8131"/>
      <c r="R3" s="8131"/>
      <c r="S3" s="8131"/>
      <c r="T3" s="8132"/>
    </row>
    <row r="4" spans="2:43" ht="21" customHeight="1">
      <c r="B4" s="8133" t="s">
        <v>2581</v>
      </c>
      <c r="C4" s="8135" t="s">
        <v>2582</v>
      </c>
      <c r="D4" s="8136"/>
      <c r="E4" s="8136"/>
      <c r="F4" s="8136"/>
      <c r="G4" s="8136"/>
      <c r="H4" s="8136"/>
      <c r="I4" s="8136"/>
      <c r="J4" s="1885"/>
      <c r="K4" s="1802"/>
      <c r="L4" s="1802"/>
      <c r="M4" s="1802"/>
      <c r="N4" s="1802"/>
      <c r="O4" s="1802"/>
      <c r="P4" s="1802"/>
      <c r="Q4" s="1802"/>
      <c r="R4" s="1802"/>
      <c r="S4" s="1802"/>
      <c r="T4" s="1886"/>
    </row>
    <row r="5" spans="2:43" ht="21.75" customHeight="1" thickBot="1">
      <c r="B5" s="8133"/>
      <c r="C5" s="8135"/>
      <c r="D5" s="8136"/>
      <c r="E5" s="8136"/>
      <c r="F5" s="8136"/>
      <c r="G5" s="8136"/>
      <c r="H5" s="8136"/>
      <c r="I5" s="8136"/>
      <c r="J5" s="1885"/>
      <c r="K5" s="1802"/>
      <c r="L5" s="1802"/>
      <c r="M5" s="1802"/>
      <c r="N5" s="1803" t="s">
        <v>2583</v>
      </c>
      <c r="O5" s="1802"/>
      <c r="P5" s="1802"/>
      <c r="Q5" s="1802"/>
      <c r="R5" s="1802"/>
      <c r="S5" s="1802"/>
      <c r="T5" s="1886"/>
    </row>
    <row r="6" spans="2:43" ht="21" customHeight="1" thickBot="1">
      <c r="B6" s="8134"/>
      <c r="C6" s="1804"/>
      <c r="D6" s="1804"/>
      <c r="E6" s="8137" t="s">
        <v>2584</v>
      </c>
      <c r="F6" s="8137"/>
      <c r="G6" s="8137"/>
      <c r="H6" s="8137"/>
      <c r="I6" s="8137"/>
      <c r="J6" s="1885"/>
      <c r="K6" s="8138" t="s">
        <v>2585</v>
      </c>
      <c r="L6" s="1805"/>
      <c r="M6" s="1802"/>
      <c r="N6" s="1803" t="s">
        <v>2586</v>
      </c>
      <c r="O6" s="1802"/>
      <c r="P6" s="1802"/>
      <c r="Q6" s="1802"/>
      <c r="R6" s="1802"/>
      <c r="S6" s="1802"/>
      <c r="T6" s="1886"/>
    </row>
    <row r="7" spans="2:43" ht="21.75" customHeight="1" thickBot="1">
      <c r="B7" s="8140" t="s">
        <v>2587</v>
      </c>
      <c r="C7" s="1806"/>
      <c r="D7" s="1806"/>
      <c r="E7" s="8137"/>
      <c r="F7" s="8137"/>
      <c r="G7" s="8137"/>
      <c r="H7" s="8137"/>
      <c r="I7" s="8137"/>
      <c r="J7" s="1885"/>
      <c r="K7" s="8139"/>
      <c r="L7" s="1805"/>
      <c r="M7" s="1802"/>
      <c r="N7" s="1802"/>
      <c r="O7" s="1802"/>
      <c r="P7" s="1802"/>
      <c r="Q7" s="1802"/>
      <c r="R7" s="1802"/>
      <c r="S7" s="1802"/>
      <c r="T7" s="1886"/>
      <c r="V7" s="1807" t="s">
        <v>2588</v>
      </c>
      <c r="W7" s="1807"/>
      <c r="X7" s="1808"/>
    </row>
    <row r="8" spans="2:43" ht="21.75" customHeight="1" thickBot="1">
      <c r="B8" s="8140"/>
      <c r="C8" s="1806"/>
      <c r="D8" s="1806"/>
      <c r="E8" s="1809">
        <v>1</v>
      </c>
      <c r="F8" s="1809">
        <v>2</v>
      </c>
      <c r="G8" s="1809">
        <v>3</v>
      </c>
      <c r="H8" s="1806"/>
      <c r="I8" s="1810"/>
      <c r="J8" s="1885"/>
      <c r="K8" s="1811"/>
      <c r="L8" s="1805"/>
      <c r="M8" s="1802"/>
      <c r="N8" s="1802"/>
      <c r="O8" s="1802"/>
      <c r="P8" s="1802"/>
      <c r="Q8" s="1802"/>
      <c r="R8" s="1802"/>
      <c r="S8" s="1802"/>
      <c r="T8" s="1886"/>
    </row>
    <row r="9" spans="2:43" ht="24" thickBot="1">
      <c r="B9" s="1812" t="str">
        <f>LEFT(ADDRESS(1,COLUMN(),4),LEN(ADDRESS(1,COLUMN(),4))-1)</f>
        <v>B</v>
      </c>
      <c r="C9" s="1812" t="str">
        <f>LEFT(ADDRESS(1,COLUMN(),4),LEN(ADDRESS(1,COLUMN(),4))-1)</f>
        <v>C</v>
      </c>
      <c r="D9" s="1812" t="str">
        <f>LEFT(ADDRESS(1,COLUMN(),4),LEN(ADDRESS(1,COLUMN(),4))-1)</f>
        <v>D</v>
      </c>
      <c r="E9" s="1813" t="s">
        <v>2589</v>
      </c>
      <c r="F9" s="1813" t="s">
        <v>2590</v>
      </c>
      <c r="G9" s="1813" t="s">
        <v>1232</v>
      </c>
      <c r="H9" s="1814"/>
      <c r="I9" s="1815"/>
      <c r="J9" s="1885"/>
      <c r="K9" s="1816" t="str">
        <f>LEFT(ADDRESS(1,COLUMN(),4),LEN(ADDRESS(1,COLUMN(),4))-1)</f>
        <v>K</v>
      </c>
      <c r="L9" s="1812"/>
      <c r="M9" s="1812" t="str">
        <f>LEFT(ADDRESS(1,COLUMN(),4),LEN(ADDRESS(1,COLUMN(),4))-1)</f>
        <v>M</v>
      </c>
      <c r="N9" s="1817"/>
      <c r="O9" s="1812" t="str">
        <f>LEFT(ADDRESS(1,COLUMN(),4),LEN(ADDRESS(1,COLUMN(),4))-1)</f>
        <v>O</v>
      </c>
      <c r="P9" s="1817"/>
      <c r="Q9" s="1812" t="str">
        <f>LEFT(ADDRESS(1,COLUMN(),4),LEN(ADDRESS(1,COLUMN(),4))-1)</f>
        <v>Q</v>
      </c>
      <c r="R9" s="1812" t="str">
        <f>LEFT(ADDRESS(1,COLUMN(),4),LEN(ADDRESS(1,COLUMN(),4))-1)</f>
        <v>R</v>
      </c>
      <c r="S9" s="1802"/>
      <c r="T9" s="1887" t="str">
        <f>LEFT(ADDRESS(1,COLUMN(),4),LEN(ADDRESS(1,COLUMN(),4))-1)</f>
        <v>T</v>
      </c>
      <c r="V9" s="1812" t="str">
        <f>LEFT(ADDRESS(1,COLUMN(),4),LEN(ADDRESS(1,COLUMN(),4))-1)</f>
        <v>V</v>
      </c>
      <c r="W9" s="1812" t="str">
        <f>LEFT(ADDRESS(1,COLUMN(),4),LEN(ADDRESS(1,COLUMN(),4))-1)</f>
        <v>W</v>
      </c>
      <c r="AA9" s="1812" t="str">
        <f>LEFT(ADDRESS(1,COLUMN(),4),LEN(ADDRESS(1,COLUMN(),4))-1)</f>
        <v>AA</v>
      </c>
      <c r="AB9" s="1812" t="str">
        <f>LEFT(ADDRESS(1,COLUMN(),4),LEN(ADDRESS(1,COLUMN(),4))-1)</f>
        <v>AB</v>
      </c>
      <c r="AF9" s="1812" t="str">
        <f>LEFT(ADDRESS(1,COLUMN(),4),LEN(ADDRESS(1,COLUMN(),4))-1)</f>
        <v>AF</v>
      </c>
      <c r="AG9" s="1812" t="str">
        <f>LEFT(ADDRESS(1,COLUMN(),4),LEN(ADDRESS(1,COLUMN(),4))-1)</f>
        <v>AG</v>
      </c>
      <c r="AL9" s="1812" t="str">
        <f>LEFT(ADDRESS(1,COLUMN(),4),LEN(ADDRESS(1,COLUMN(),4))-1)</f>
        <v>AL</v>
      </c>
      <c r="AM9" s="1812" t="str">
        <f>LEFT(ADDRESS(1,COLUMN(),4),LEN(ADDRESS(1,COLUMN(),4))-1)</f>
        <v>AM</v>
      </c>
    </row>
    <row r="10" spans="2:43" ht="30" customHeight="1">
      <c r="B10" s="1888" t="s">
        <v>2591</v>
      </c>
      <c r="C10" s="8163" t="s">
        <v>2592</v>
      </c>
      <c r="D10" s="8164"/>
      <c r="E10" s="1818" t="s">
        <v>2593</v>
      </c>
      <c r="F10" s="1881" t="s">
        <v>2594</v>
      </c>
      <c r="G10" s="1881" t="s">
        <v>2595</v>
      </c>
      <c r="H10" s="8165" t="s">
        <v>2596</v>
      </c>
      <c r="I10" s="1819"/>
      <c r="J10" s="1885"/>
      <c r="K10" s="8167" t="s">
        <v>2597</v>
      </c>
      <c r="L10" s="1820"/>
      <c r="M10" s="1821"/>
      <c r="N10" s="1821"/>
      <c r="O10" s="8168" t="s">
        <v>2598</v>
      </c>
      <c r="P10" s="8168"/>
      <c r="Q10" s="8169" t="s">
        <v>2599</v>
      </c>
      <c r="R10" s="8171" t="s">
        <v>2600</v>
      </c>
      <c r="S10" s="8171"/>
      <c r="T10" s="8172"/>
      <c r="V10" s="8141" t="s">
        <v>2601</v>
      </c>
      <c r="W10" s="8142"/>
      <c r="X10" s="8142"/>
      <c r="Y10" s="8143"/>
      <c r="AA10" s="8144" t="s">
        <v>2602</v>
      </c>
      <c r="AB10" s="8145"/>
      <c r="AC10" s="8145"/>
      <c r="AD10" s="8146"/>
      <c r="AF10" s="8148" t="s">
        <v>2603</v>
      </c>
      <c r="AG10" s="8149"/>
      <c r="AH10" s="8149"/>
      <c r="AI10" s="8150"/>
      <c r="AK10" s="8151" t="s">
        <v>2604</v>
      </c>
      <c r="AL10" s="8152"/>
      <c r="AM10" s="8152"/>
      <c r="AN10" s="8152"/>
      <c r="AO10" s="8152"/>
      <c r="AP10" s="1822"/>
      <c r="AQ10" s="1822"/>
    </row>
    <row r="11" spans="2:43" ht="27.75" customHeight="1">
      <c r="B11" s="1889" t="s">
        <v>2605</v>
      </c>
      <c r="C11" s="8153" t="s">
        <v>2606</v>
      </c>
      <c r="D11" s="8155" t="s">
        <v>2607</v>
      </c>
      <c r="E11" s="1823"/>
      <c r="F11" s="1882"/>
      <c r="G11" s="1882"/>
      <c r="H11" s="8166"/>
      <c r="I11" s="1890"/>
      <c r="J11" s="1885"/>
      <c r="K11" s="8167"/>
      <c r="L11" s="1820"/>
      <c r="M11" s="1821"/>
      <c r="N11" s="1821"/>
      <c r="O11" s="8168"/>
      <c r="P11" s="8168"/>
      <c r="Q11" s="8170"/>
      <c r="R11" s="8171"/>
      <c r="S11" s="8171"/>
      <c r="T11" s="8172"/>
      <c r="V11" s="8141"/>
      <c r="W11" s="8142"/>
      <c r="X11" s="8142"/>
      <c r="Y11" s="8143"/>
      <c r="AA11" s="8147"/>
      <c r="AB11" s="8145"/>
      <c r="AC11" s="8145"/>
      <c r="AD11" s="8146"/>
      <c r="AF11" s="8148"/>
      <c r="AG11" s="8149"/>
      <c r="AH11" s="8149"/>
      <c r="AI11" s="8150"/>
      <c r="AK11" s="8151"/>
      <c r="AL11" s="8152"/>
      <c r="AM11" s="8152"/>
      <c r="AN11" s="8152"/>
      <c r="AO11" s="8152"/>
      <c r="AP11" s="1822"/>
      <c r="AQ11" s="1822"/>
    </row>
    <row r="12" spans="2:43" ht="49.5" customHeight="1">
      <c r="B12" s="1891" t="s">
        <v>2608</v>
      </c>
      <c r="C12" s="8153"/>
      <c r="D12" s="8155"/>
      <c r="E12" s="1824" t="s">
        <v>2609</v>
      </c>
      <c r="F12" s="1825" t="s">
        <v>2610</v>
      </c>
      <c r="G12" s="1826" t="s">
        <v>2611</v>
      </c>
      <c r="H12" s="1827" t="s">
        <v>2612</v>
      </c>
      <c r="I12" s="1892"/>
      <c r="J12" s="1885"/>
      <c r="K12" s="8167"/>
      <c r="L12" s="1820"/>
      <c r="M12" s="1821"/>
      <c r="N12" s="1821"/>
      <c r="O12" s="8168"/>
      <c r="P12" s="8168"/>
      <c r="Q12" s="8170"/>
      <c r="R12" s="8171"/>
      <c r="S12" s="8171"/>
      <c r="T12" s="8172"/>
      <c r="V12" s="8141"/>
      <c r="W12" s="8142"/>
      <c r="X12" s="8142"/>
      <c r="Y12" s="8143"/>
      <c r="AA12" s="8147"/>
      <c r="AB12" s="8145"/>
      <c r="AC12" s="8145"/>
      <c r="AD12" s="8146"/>
      <c r="AF12" s="8148"/>
      <c r="AG12" s="8149"/>
      <c r="AH12" s="8149"/>
      <c r="AI12" s="8150"/>
      <c r="AK12" s="8151"/>
      <c r="AL12" s="8152"/>
      <c r="AM12" s="8152"/>
      <c r="AN12" s="8152"/>
      <c r="AO12" s="8152"/>
      <c r="AP12" s="1822"/>
      <c r="AQ12" s="1822"/>
    </row>
    <row r="13" spans="2:43" ht="64.5" customHeight="1">
      <c r="B13" s="1893" t="s">
        <v>2613</v>
      </c>
      <c r="C13" s="8154"/>
      <c r="D13" s="8156"/>
      <c r="E13" s="8157" t="s">
        <v>2614</v>
      </c>
      <c r="F13" s="8158"/>
      <c r="G13" s="8158"/>
      <c r="H13" s="8158"/>
      <c r="I13" s="8159"/>
      <c r="J13" s="1885"/>
      <c r="K13" s="1828" t="s">
        <v>2615</v>
      </c>
      <c r="L13" s="1829"/>
      <c r="M13" s="8160" t="s">
        <v>2616</v>
      </c>
      <c r="N13" s="8161"/>
      <c r="O13" s="8168"/>
      <c r="P13" s="8168"/>
      <c r="Q13" s="8170"/>
      <c r="R13" s="8162" t="s">
        <v>2617</v>
      </c>
      <c r="S13" s="8162"/>
      <c r="T13" s="1830"/>
      <c r="V13" s="1831" t="s">
        <v>2618</v>
      </c>
      <c r="W13" s="1832"/>
      <c r="X13" s="1833" t="s">
        <v>2619</v>
      </c>
      <c r="Y13" s="1894" t="str">
        <f>V9</f>
        <v>V</v>
      </c>
      <c r="AA13" s="1834"/>
      <c r="AB13" s="1835"/>
      <c r="AC13" s="1833" t="s">
        <v>2619</v>
      </c>
      <c r="AD13" s="1894" t="str">
        <f>AA9</f>
        <v>AA</v>
      </c>
      <c r="AF13" s="1834"/>
      <c r="AG13" s="1835"/>
      <c r="AH13" s="1833" t="s">
        <v>2619</v>
      </c>
      <c r="AI13" s="1894" t="str">
        <f>AF9</f>
        <v>AF</v>
      </c>
      <c r="AK13" s="1836" t="s">
        <v>2620</v>
      </c>
      <c r="AL13" s="1880" t="s">
        <v>2621</v>
      </c>
      <c r="AM13" s="1880"/>
      <c r="AN13" s="1833" t="s">
        <v>2619</v>
      </c>
      <c r="AO13" s="1837" t="str">
        <f>AL9</f>
        <v>AL</v>
      </c>
      <c r="AP13" s="8174" t="s">
        <v>2622</v>
      </c>
      <c r="AQ13" s="8174"/>
    </row>
    <row r="14" spans="2:43">
      <c r="B14" s="1838" t="str">
        <f>IF(K14="","",UPPER(LEFT(H14,1))&amp;RIGHT(H14,LEN(H14)-1))</f>
        <v>Exemple équeuter, laver, cuire 100 Gr de haricots à l'anglaise les égoutter</v>
      </c>
      <c r="C14" s="1839" t="s">
        <v>2623</v>
      </c>
      <c r="D14" s="1840" t="s">
        <v>2624</v>
      </c>
      <c r="E14" s="1841" t="str">
        <f t="shared" ref="E14:E36" si="0">SUBSTITUTE(K14,E$9,"")</f>
        <v>exemple /  équeuter, laver,      cuire 300g de haricots   ...  à l'anglaise les égoutter</v>
      </c>
      <c r="F14" s="1842" t="str">
        <f t="shared" ref="F14:G36" si="1">SUBSTITUTE(E14,F$9,"")</f>
        <v>exemple /  équeuter, laver,      cuire 300g de haricots     à l'anglaise les égoutter</v>
      </c>
      <c r="G14" s="1842" t="str">
        <f t="shared" si="1"/>
        <v>exemple   équeuter, laver,      cuire 300g de haricots     à l'anglaise les égoutter</v>
      </c>
      <c r="H14" s="1843" t="str">
        <f t="shared" ref="H14:H36" si="2">TRIM(I14)</f>
        <v>exemple équeuter, laver, cuire 100 Gr de haricots à l'anglaise les égoutter</v>
      </c>
      <c r="I14" s="1895" t="str">
        <f t="shared" ref="I14:I36" si="3">SUBSTITUTE(G14,C14,D14)</f>
        <v>exemple   équeuter, laver,      cuire 100 Gr de haricots     à l'anglaise les égoutter</v>
      </c>
      <c r="J14" s="1885" t="s">
        <v>2</v>
      </c>
      <c r="K14" s="1844" t="s">
        <v>2625</v>
      </c>
      <c r="L14" s="1845"/>
      <c r="M14" s="1846">
        <f>LEN(K14)</f>
        <v>89</v>
      </c>
      <c r="N14" s="1847" t="str">
        <f>IF(ISBLANK(K14),"","Caractères")</f>
        <v>Caractères</v>
      </c>
      <c r="O14" s="1848">
        <f t="shared" ref="O14:O36" si="4">LEN(B14)</f>
        <v>75</v>
      </c>
      <c r="P14" s="1849" t="str">
        <f>IF(ISBLANK(K14),"","Caractères")</f>
        <v>Caractères</v>
      </c>
      <c r="Q14" s="1850">
        <v>50</v>
      </c>
      <c r="R14" s="1851" t="str">
        <f>IF(ISBLANK(K14),"",IF(O14&gt;Q14,(O14-Q14&amp;" caractères de trop."),"Ok moins de "&amp;Q14))</f>
        <v>25 caractères de trop.</v>
      </c>
      <c r="S14" s="1852" t="str">
        <f>IF(ISBLANK(K14),"",IF(O14=Q14,"Ok",IF(O14&lt;Q14,"Ok","répartissez votre texte sur")))</f>
        <v>répartissez votre texte sur</v>
      </c>
      <c r="T14" s="1896">
        <f>IF(ISBLANK(K14),"",IF(O14&gt;Q14,INT(O14/Q14+1),"OK "))</f>
        <v>2</v>
      </c>
      <c r="V14" s="1853" t="str">
        <f t="shared" ref="V14:V36" si="5">IF(ISBLANK(K14),"",MID(B14,1,W14-LEN(RIGHT(MID(B14,1,W14),LEN(MID(B14,1,W14))-SEARCH("§",SUBSTITUTE(B14," ","§",LEN(MID(B14,1,W14))-LEN(SUBSTITUTE(MID(B14,1,W14)," ",""))))))))</f>
        <v xml:space="preserve">Exemple équeuter, laver, cuire 100 Gr de haricots </v>
      </c>
      <c r="W14" s="1854">
        <v>50</v>
      </c>
      <c r="X14" s="1855">
        <f>LEN(V14)</f>
        <v>50</v>
      </c>
      <c r="Y14" s="1897" t="str">
        <f>IF(ISBLANK(K14),"","Caractères")</f>
        <v>Caractères</v>
      </c>
      <c r="AA14" s="1853" t="str" cm="1">
        <f t="array" aca="1" ref="AA14" ca="1">IF(ISBLANK(K14),"",LEFT(B14,MAX(IF(ISERROR(SEARCH(" ",LEFT(B14,AB14),ROW(OFFSET(INDIRECT("v14"),,,LEN(B14))))),0,SEARCH(" ",LEFT(B14,AB14),ROW(OFFSET(INDIRECT("v14"),,,LEN(B14))))))))</f>
        <v xml:space="preserve">Exemple équeuter, laver, cuire 100 Gr de haricots </v>
      </c>
      <c r="AB14" s="1854">
        <v>50</v>
      </c>
      <c r="AC14" s="1855">
        <f ca="1">LEN(AA14)</f>
        <v>50</v>
      </c>
      <c r="AD14" s="1897" t="str">
        <f>IF(ISBLANK(K14),"","Caractères")</f>
        <v>Caractères</v>
      </c>
      <c r="AF14" s="1853" t="str" cm="1">
        <f t="array" aca="1" ref="AF14" ca="1">IF(ISBLANK(K14),"",LEFT(B14,MIN(AG14,SUMPRODUCT(MAX((MID(B14,ROW(INDIRECT("1:"&amp;AG14)),1)=" ")*(ROW(INDIRECT("1:"&amp;AG14))))))))</f>
        <v xml:space="preserve">Exemple équeuter, laver, cuire 100 Gr de haricots </v>
      </c>
      <c r="AG14" s="1856">
        <v>50</v>
      </c>
      <c r="AH14" s="1855">
        <f ca="1">LEN(AF14)</f>
        <v>50</v>
      </c>
      <c r="AI14" s="1897" t="str">
        <f>IF(ISBLANK(K14),"","Caractères")</f>
        <v>Caractères</v>
      </c>
      <c r="AK14" s="1857" t="s">
        <v>2626</v>
      </c>
      <c r="AL14" s="1799" t="str">
        <f>"-"&amp;LEFT(B14,AM14)</f>
        <v xml:space="preserve">-Exemple équeuter, laver, cuire 100 Gr de haricots </v>
      </c>
      <c r="AM14" s="1856">
        <v>50</v>
      </c>
      <c r="AN14" s="1855">
        <f>LEN(AL14)</f>
        <v>51</v>
      </c>
      <c r="AO14" s="1858" t="str">
        <f t="shared" ref="AO14:AO20" si="6">IF(ISBLANK(K14),"","Caractères")</f>
        <v>Caractères</v>
      </c>
      <c r="AP14" s="1859">
        <f>LEN(K14)</f>
        <v>89</v>
      </c>
      <c r="AQ14" s="1897" t="str">
        <f>IF(ISBLANK(K14),"","Caractères")</f>
        <v>Caractères</v>
      </c>
    </row>
    <row r="15" spans="2:43">
      <c r="B15" s="1838" t="str">
        <f t="shared" ref="B15:B36" si="7">IF(H15="","",UPPER(LEFT(H15,1))&amp;RIGHT(H15,LEN(H15)-1))</f>
        <v/>
      </c>
      <c r="C15" s="1839"/>
      <c r="D15" s="1840"/>
      <c r="E15" s="1841" t="str">
        <f t="shared" si="0"/>
        <v/>
      </c>
      <c r="F15" s="1842" t="str">
        <f t="shared" si="1"/>
        <v/>
      </c>
      <c r="G15" s="1842" t="str">
        <f t="shared" si="1"/>
        <v/>
      </c>
      <c r="H15" s="1843" t="str">
        <f t="shared" si="2"/>
        <v/>
      </c>
      <c r="I15" s="1895" t="str">
        <f t="shared" si="3"/>
        <v/>
      </c>
      <c r="J15" s="1885" t="s">
        <v>2</v>
      </c>
      <c r="K15" s="1844"/>
      <c r="L15" s="1845"/>
      <c r="M15" s="1846">
        <f t="shared" ref="M15" si="8">LEN(K15)</f>
        <v>0</v>
      </c>
      <c r="N15" s="1847" t="str">
        <f t="shared" ref="N15:N36" si="9">IF(ISBLANK(K15),"","Caractères")</f>
        <v/>
      </c>
      <c r="O15" s="1848">
        <f t="shared" si="4"/>
        <v>0</v>
      </c>
      <c r="P15" s="1849" t="str">
        <f>IF(ISBLANK(K15),"","Caractères")</f>
        <v/>
      </c>
      <c r="Q15" s="1850"/>
      <c r="R15" s="1851" t="str">
        <f>IF(ISBLANK(K15),"",IF(O15&gt;Q15,(O15-Q15&amp;" caractères de trop."),"Ok moins de "&amp;Q15))</f>
        <v/>
      </c>
      <c r="S15" s="1852" t="str">
        <f>IF(ISBLANK(K15),"",IF(O15=Q15,"Ok",IF(O15&lt;Q15,"Ok","répartissez votre texte sur")))</f>
        <v/>
      </c>
      <c r="T15" s="1896" t="str">
        <f>IF(ISBLANK(K15),"",IF(O15&gt;Q15,INT(O15/Q15+1),"OK "))</f>
        <v/>
      </c>
      <c r="V15" s="1853" t="str">
        <f t="shared" si="5"/>
        <v/>
      </c>
      <c r="W15" s="1856">
        <v>50</v>
      </c>
      <c r="X15" s="1855">
        <f t="shared" ref="X15:X36" si="10">LEN(V15)</f>
        <v>0</v>
      </c>
      <c r="Y15" s="1897" t="str">
        <f t="shared" ref="Y15:Y36" si="11">IF(ISBLANK(K15),"","Caractères")</f>
        <v/>
      </c>
      <c r="AA15" s="1853" t="str" cm="1">
        <f t="array" aca="1" ref="AA15" ca="1">IF(ISBLANK(K15),"",LEFT(B15,MAX(IF(ISERROR(SEARCH(" ",LEFT(B15,AB15),ROW(OFFSET(INDIRECT("v14"),,,LEN(B15))))),0,SEARCH(" ",LEFT(B15,AB15),ROW(OFFSET(INDIRECT("v14"),,,LEN(B15))))))))</f>
        <v/>
      </c>
      <c r="AB15" s="1856">
        <v>50</v>
      </c>
      <c r="AC15" s="1855">
        <f t="shared" ref="AC15:AC36" ca="1" si="12">LEN(AA15)</f>
        <v>0</v>
      </c>
      <c r="AD15" s="1897" t="str">
        <f t="shared" ref="AD15:AD36" si="13">IF(ISBLANK(K15),"","Caractères")</f>
        <v/>
      </c>
      <c r="AF15" s="1853" t="str" cm="1">
        <f t="array" aca="1" ref="AF15" ca="1">IF(ISBLANK(K15),"",LEFT(B15,MIN(AG15,SUMPRODUCT(MAX((MID(B15,ROW(INDIRECT("1:"&amp;AG15)),1)=" ")*(ROW(INDIRECT("1:"&amp;AG15))))))))</f>
        <v/>
      </c>
      <c r="AG15" s="1856">
        <v>19</v>
      </c>
      <c r="AH15" s="1855">
        <f t="shared" ref="AH15:AH36" ca="1" si="14">LEN(AF15)</f>
        <v>0</v>
      </c>
      <c r="AI15" s="1897" t="str">
        <f t="shared" ref="AI15:AI36" si="15">IF(ISBLANK(K15),"","Caractères")</f>
        <v/>
      </c>
      <c r="AK15" s="1860"/>
      <c r="AL15" s="1519"/>
      <c r="AM15" s="1856"/>
      <c r="AN15" s="1855">
        <f t="shared" ref="AN15:AN20" si="16">LEN(AL15)</f>
        <v>0</v>
      </c>
      <c r="AO15" s="1858" t="str">
        <f t="shared" si="6"/>
        <v/>
      </c>
      <c r="AP15" s="1859">
        <f>LEN(K15)</f>
        <v>0</v>
      </c>
      <c r="AQ15" s="1897" t="str">
        <f>IF(ISBLANK(K15),"","Caractères")</f>
        <v/>
      </c>
    </row>
    <row r="16" spans="2:43">
      <c r="B16" s="1838" t="str">
        <f t="shared" si="7"/>
        <v>Laver, parer les aubergines, les couper en 2 et en six dans la longueur</v>
      </c>
      <c r="C16" s="1839" t="s">
        <v>2627</v>
      </c>
      <c r="D16" s="1840" t="s">
        <v>2628</v>
      </c>
      <c r="E16" s="1841" t="str">
        <f t="shared" si="0"/>
        <v>... laver, parer les aubergines,    les couper en quatre dans la longueur /</v>
      </c>
      <c r="F16" s="1842" t="str">
        <f t="shared" si="1"/>
        <v xml:space="preserve"> laver, parer les aubergines,    les couper en quatre dans la longueur /</v>
      </c>
      <c r="G16" s="1842" t="str">
        <f t="shared" si="1"/>
        <v xml:space="preserve"> laver, parer les aubergines,    les couper en quatre dans la longueur </v>
      </c>
      <c r="H16" s="1843" t="str">
        <f t="shared" si="2"/>
        <v>laver, parer les aubergines, les couper en 2 et en six dans la longueur</v>
      </c>
      <c r="I16" s="1895" t="str">
        <f t="shared" si="3"/>
        <v xml:space="preserve"> laver, parer les aubergines,    les couper en 2 et en six dans la longueur </v>
      </c>
      <c r="J16" s="1885" t="s">
        <v>2</v>
      </c>
      <c r="K16" s="1844" t="s">
        <v>2629</v>
      </c>
      <c r="L16" s="1845"/>
      <c r="M16" s="1846">
        <f>LEN(K16)</f>
        <v>75</v>
      </c>
      <c r="N16" s="1847" t="str">
        <f t="shared" si="9"/>
        <v>Caractères</v>
      </c>
      <c r="O16" s="1848">
        <f t="shared" si="4"/>
        <v>71</v>
      </c>
      <c r="P16" s="1849" t="str">
        <f t="shared" ref="P16:P36" si="17">IF(ISBLANK(K16),"","Caractères")</f>
        <v>Caractères</v>
      </c>
      <c r="Q16" s="1850">
        <v>40</v>
      </c>
      <c r="R16" s="1851" t="str">
        <f t="shared" ref="R16:R36" si="18">IF(ISBLANK(K16),"",IF(O16&gt;Q16,(O16-Q16&amp;" caractères de trop."),"Ok moins de "&amp;Q16))</f>
        <v>31 caractères de trop.</v>
      </c>
      <c r="S16" s="1852" t="str">
        <f t="shared" ref="S16:S36" si="19">IF(ISBLANK(K16),"",IF(O16=Q16,"Ok",IF(O16&lt;Q16,"Ok","répartissez votre texte sur")))</f>
        <v>répartissez votre texte sur</v>
      </c>
      <c r="T16" s="1896">
        <f t="shared" ref="T16:T36" si="20">IF(ISBLANK(K16),"",IF(O16&gt;Q16,INT(O16/Q16+1),"OK "))</f>
        <v>2</v>
      </c>
      <c r="V16" s="1853" t="str">
        <f t="shared" si="5"/>
        <v xml:space="preserve">Laver, parer les aubergines, les couper en 2 et </v>
      </c>
      <c r="W16" s="1856">
        <v>50</v>
      </c>
      <c r="X16" s="1855">
        <f t="shared" si="10"/>
        <v>48</v>
      </c>
      <c r="Y16" s="1897" t="str">
        <f t="shared" si="11"/>
        <v>Caractères</v>
      </c>
      <c r="AA16" s="1853" t="str" cm="1">
        <f t="array" aca="1" ref="AA16" ca="1">IF(ISBLANK(K16),"",LEFT(B16,MAX(IF(ISERROR(SEARCH(" ",LEFT(B16,AB16),ROW(OFFSET(INDIRECT("v14"),,,LEN(B16))))),0,SEARCH(" ",LEFT(B16,AB16),ROW(OFFSET(INDIRECT("v14"),,,LEN(B16))))))))</f>
        <v xml:space="preserve">Laver, parer les aubergines, les couper en 2 et </v>
      </c>
      <c r="AB16" s="1856">
        <v>50</v>
      </c>
      <c r="AC16" s="1855">
        <f t="shared" ca="1" si="12"/>
        <v>48</v>
      </c>
      <c r="AD16" s="1897" t="str">
        <f t="shared" si="13"/>
        <v>Caractères</v>
      </c>
      <c r="AF16" s="1853" t="str" cm="1">
        <f t="array" aca="1" ref="AF16" ca="1">IF(ISBLANK(K16),"",LEFT(B16,MIN(AG16,SUMPRODUCT(MAX((MID(B16,ROW(INDIRECT("1:"&amp;AG16)),1)=" ")*(ROW(INDIRECT("1:"&amp;AG16))))))))</f>
        <v xml:space="preserve">Laver, parer les </v>
      </c>
      <c r="AG16" s="1856">
        <v>20</v>
      </c>
      <c r="AH16" s="1855">
        <f t="shared" ca="1" si="14"/>
        <v>17</v>
      </c>
      <c r="AI16" s="1897" t="str">
        <f t="shared" si="15"/>
        <v>Caractères</v>
      </c>
      <c r="AK16" s="1857" t="s">
        <v>2630</v>
      </c>
      <c r="AL16" s="1799" t="str">
        <f>"-"&amp;MID(B16,17,15)</f>
        <v>- aubergines, le</v>
      </c>
      <c r="AM16" s="1856"/>
      <c r="AN16" s="1855">
        <f t="shared" si="16"/>
        <v>16</v>
      </c>
      <c r="AO16" s="1858" t="str">
        <f t="shared" si="6"/>
        <v>Caractères</v>
      </c>
      <c r="AP16" s="1859">
        <f>LEN(K16)</f>
        <v>75</v>
      </c>
      <c r="AQ16" s="1897" t="str">
        <f>IF(ISBLANK(K16),"","Caractères")</f>
        <v>Caractères</v>
      </c>
    </row>
    <row r="17" spans="2:43">
      <c r="B17" s="1838" t="str">
        <f t="shared" si="7"/>
        <v/>
      </c>
      <c r="C17" s="1839"/>
      <c r="D17" s="1840"/>
      <c r="E17" s="1841" t="str">
        <f t="shared" si="0"/>
        <v/>
      </c>
      <c r="F17" s="1842" t="str">
        <f t="shared" si="1"/>
        <v/>
      </c>
      <c r="G17" s="1842" t="str">
        <f t="shared" si="1"/>
        <v/>
      </c>
      <c r="H17" s="1843" t="str">
        <f t="shared" si="2"/>
        <v/>
      </c>
      <c r="I17" s="1895" t="str">
        <f t="shared" si="3"/>
        <v/>
      </c>
      <c r="J17" s="1885" t="s">
        <v>2</v>
      </c>
      <c r="K17" s="1844"/>
      <c r="L17" s="1845"/>
      <c r="M17" s="1846">
        <f t="shared" ref="M17:M36" si="21">LEN(K17)</f>
        <v>0</v>
      </c>
      <c r="N17" s="1847" t="str">
        <f t="shared" si="9"/>
        <v/>
      </c>
      <c r="O17" s="1848">
        <f t="shared" si="4"/>
        <v>0</v>
      </c>
      <c r="P17" s="1849" t="str">
        <f t="shared" si="17"/>
        <v/>
      </c>
      <c r="Q17" s="1850"/>
      <c r="R17" s="1851" t="str">
        <f t="shared" si="18"/>
        <v/>
      </c>
      <c r="S17" s="1852" t="str">
        <f t="shared" si="19"/>
        <v/>
      </c>
      <c r="T17" s="1896" t="str">
        <f t="shared" si="20"/>
        <v/>
      </c>
      <c r="V17" s="1853" t="str">
        <f t="shared" si="5"/>
        <v/>
      </c>
      <c r="W17" s="1856">
        <v>50</v>
      </c>
      <c r="X17" s="1855">
        <f t="shared" si="10"/>
        <v>0</v>
      </c>
      <c r="Y17" s="1897" t="str">
        <f t="shared" si="11"/>
        <v/>
      </c>
      <c r="AA17" s="1853" t="str" cm="1">
        <f t="array" aca="1" ref="AA17" ca="1">IF(ISBLANK(K17),"",LEFT(B17,MAX(IF(ISERROR(SEARCH(" ",LEFT(B17,AB17),ROW(OFFSET(INDIRECT("v14"),,,LEN(B17))))),0,SEARCH(" ",LEFT(B17,AB17),ROW(OFFSET(INDIRECT("v14"),,,LEN(B17))))))))</f>
        <v/>
      </c>
      <c r="AB17" s="1856">
        <v>50</v>
      </c>
      <c r="AC17" s="1855">
        <f t="shared" ca="1" si="12"/>
        <v>0</v>
      </c>
      <c r="AD17" s="1897" t="str">
        <f t="shared" si="13"/>
        <v/>
      </c>
      <c r="AF17" s="1853" t="str" cm="1">
        <f t="array" aca="1" ref="AF17" ca="1">IF(ISBLANK(K17),"",LEFT(B17,MIN(AG17,SUMPRODUCT(MAX((MID(B17,ROW(INDIRECT("1:"&amp;AG17)),1)=" ")*(ROW(INDIRECT("1:"&amp;AG17))))))))</f>
        <v/>
      </c>
      <c r="AG17" s="1856">
        <v>21</v>
      </c>
      <c r="AH17" s="1855">
        <f t="shared" ca="1" si="14"/>
        <v>0</v>
      </c>
      <c r="AI17" s="1897" t="str">
        <f t="shared" si="15"/>
        <v/>
      </c>
      <c r="AK17" s="1860"/>
      <c r="AM17" s="1856"/>
      <c r="AN17" s="1855">
        <f t="shared" si="16"/>
        <v>0</v>
      </c>
      <c r="AO17" s="1858" t="str">
        <f t="shared" si="6"/>
        <v/>
      </c>
      <c r="AP17" s="1859">
        <f>LEN(K17)</f>
        <v>0</v>
      </c>
      <c r="AQ17" s="1897" t="str">
        <f>IF(ISBLANK(K17),"","Caractères")</f>
        <v/>
      </c>
    </row>
    <row r="18" spans="2:43">
      <c r="B18" s="1838" t="str">
        <f t="shared" si="7"/>
        <v>Cuire les fèves à l'anglaise les égoutter EXEMPLE équeuter, laver, cuire les fèves à l'anglaise les égoutter EXEMPLE équeuter, laver, cuire les fèves à l'anglaise les égoutterEXEMPLE équeuter, laver, cuire les fèves à l'anglaise les égoutter</v>
      </c>
      <c r="C18" s="1839" t="s">
        <v>2631</v>
      </c>
      <c r="D18" s="1840" t="s">
        <v>2632</v>
      </c>
      <c r="E18" s="1841" t="str">
        <f t="shared" si="0"/>
        <v xml:space="preserve">      cuire les haricots   ...  à l'anglaise les égoutter EXEMPLE /  équeuter, laver,      cuire les haricots   ...  à l'anglaise les égoutter EXEMPLE /  équeuter, laver,                    cuire les haricots   ...  à l'anglaise les égoutterEXEMPLE /  équeuter, laver,      cuire les haricots   ...  à l'anglaise les égoutter</v>
      </c>
      <c r="F18" s="1842" t="str">
        <f t="shared" si="1"/>
        <v xml:space="preserve">      cuire les haricots     à l'anglaise les égoutter EXEMPLE /  équeuter, laver,      cuire les haricots     à l'anglaise les égoutter EXEMPLE /  équeuter, laver,                    cuire les haricots     à l'anglaise les égoutterEXEMPLE /  équeuter, laver,      cuire les haricots     à l'anglaise les égoutter</v>
      </c>
      <c r="G18" s="1842" t="str">
        <f t="shared" si="1"/>
        <v xml:space="preserve">      cuire les haricots     à l'anglaise les égoutter EXEMPLE   équeuter, laver,      cuire les haricots     à l'anglaise les égoutter EXEMPLE   équeuter, laver,                    cuire les haricots     à l'anglaise les égoutterEXEMPLE   équeuter, laver,      cuire les haricots     à l'anglaise les égoutter</v>
      </c>
      <c r="H18" s="1843" t="str">
        <f t="shared" si="2"/>
        <v>cuire les fèves à l'anglaise les égoutter EXEMPLE équeuter, laver, cuire les fèves à l'anglaise les égoutter EXEMPLE équeuter, laver, cuire les fèves à l'anglaise les égoutterEXEMPLE équeuter, laver, cuire les fèves à l'anglaise les égoutter</v>
      </c>
      <c r="I18" s="1895" t="str">
        <f t="shared" si="3"/>
        <v xml:space="preserve">      cuire les fèves     à l'anglaise les égoutter EXEMPLE   équeuter, laver,      cuire les fèves     à l'anglaise les égoutter EXEMPLE   équeuter, laver,                    cuire les fèves     à l'anglaise les égoutterEXEMPLE   équeuter, laver,      cuire les fèves     à l'anglaise les égoutter</v>
      </c>
      <c r="J18" s="1885" t="s">
        <v>2</v>
      </c>
      <c r="K18" s="1844" t="s">
        <v>2633</v>
      </c>
      <c r="L18" s="1845"/>
      <c r="M18" s="1846">
        <f t="shared" si="21"/>
        <v>328</v>
      </c>
      <c r="N18" s="1847" t="str">
        <f t="shared" si="9"/>
        <v>Caractères</v>
      </c>
      <c r="O18" s="1848">
        <f t="shared" si="4"/>
        <v>241</v>
      </c>
      <c r="P18" s="1849" t="str">
        <f t="shared" si="17"/>
        <v>Caractères</v>
      </c>
      <c r="Q18" s="1850">
        <v>113</v>
      </c>
      <c r="R18" s="1851" t="str">
        <f t="shared" si="18"/>
        <v>128 caractères de trop.</v>
      </c>
      <c r="S18" s="1852" t="str">
        <f t="shared" si="19"/>
        <v>répartissez votre texte sur</v>
      </c>
      <c r="T18" s="1896">
        <f t="shared" si="20"/>
        <v>3</v>
      </c>
      <c r="V18" s="1853" t="str">
        <f t="shared" si="5"/>
        <v xml:space="preserve">Cuire les fèves à l'anglaise les égoutter EXEMPLE </v>
      </c>
      <c r="W18" s="1856">
        <v>50</v>
      </c>
      <c r="X18" s="1855">
        <f t="shared" si="10"/>
        <v>50</v>
      </c>
      <c r="Y18" s="1897" t="str">
        <f t="shared" si="11"/>
        <v>Caractères</v>
      </c>
      <c r="AA18" s="1853" t="str" cm="1">
        <f t="array" aca="1" ref="AA18" ca="1">IF(ISBLANK(K18),"",LEFT(B18,MAX(IF(ISERROR(SEARCH(" ",LEFT(B18,AB18),ROW(OFFSET(INDIRECT("v14"),,,LEN(B18))))),0,SEARCH(" ",LEFT(B18,AB18),ROW(OFFSET(INDIRECT("v14"),,,LEN(B18))))))))</f>
        <v xml:space="preserve">Cuire les fèves à l'anglaise les égoutter EXEMPLE </v>
      </c>
      <c r="AB18" s="1856">
        <v>50</v>
      </c>
      <c r="AC18" s="1855">
        <f t="shared" ca="1" si="12"/>
        <v>50</v>
      </c>
      <c r="AD18" s="1897" t="str">
        <f t="shared" si="13"/>
        <v>Caractères</v>
      </c>
      <c r="AF18" s="1853" t="str" cm="1">
        <f t="array" aca="1" ref="AF18" ca="1">IF(ISBLANK(K18),"",LEFT(B18,MIN(AG18,SUMPRODUCT(MAX((MID(B18,ROW(INDIRECT("1:"&amp;AG18)),1)=" ")*(ROW(INDIRECT("1:"&amp;AG18))))))))</f>
        <v xml:space="preserve">Cuire les fèves à </v>
      </c>
      <c r="AG18" s="1856">
        <v>22</v>
      </c>
      <c r="AH18" s="1855">
        <f t="shared" ca="1" si="14"/>
        <v>18</v>
      </c>
      <c r="AI18" s="1897" t="str">
        <f t="shared" si="15"/>
        <v>Caractères</v>
      </c>
      <c r="AK18" s="1857" t="s">
        <v>2634</v>
      </c>
      <c r="AL18" s="1861" t="str">
        <f>RIGHT(B18,LEN(B18)-AM18)</f>
        <v>fèves à l'anglaise les égoutter</v>
      </c>
      <c r="AM18" s="1856">
        <v>210</v>
      </c>
      <c r="AN18" s="1855">
        <f t="shared" si="16"/>
        <v>31</v>
      </c>
      <c r="AO18" s="1858" t="str">
        <f t="shared" si="6"/>
        <v>Caractères</v>
      </c>
      <c r="AP18" s="1859">
        <f>LEN(K18)</f>
        <v>328</v>
      </c>
      <c r="AQ18" s="1897" t="str">
        <f>IF(ISBLANK(K18),"","Caractères")</f>
        <v>Caractères</v>
      </c>
    </row>
    <row r="19" spans="2:43">
      <c r="B19" s="1838" t="str">
        <f t="shared" si="7"/>
        <v/>
      </c>
      <c r="C19" s="1839"/>
      <c r="D19" s="1840"/>
      <c r="E19" s="1841" t="str">
        <f t="shared" si="0"/>
        <v/>
      </c>
      <c r="F19" s="1842" t="str">
        <f t="shared" si="1"/>
        <v/>
      </c>
      <c r="G19" s="1842" t="str">
        <f t="shared" si="1"/>
        <v/>
      </c>
      <c r="H19" s="1843" t="str">
        <f t="shared" si="2"/>
        <v/>
      </c>
      <c r="I19" s="1895" t="str">
        <f t="shared" si="3"/>
        <v/>
      </c>
      <c r="J19" s="1885" t="s">
        <v>2</v>
      </c>
      <c r="K19" s="1844"/>
      <c r="L19" s="1845"/>
      <c r="M19" s="1846">
        <f t="shared" si="21"/>
        <v>0</v>
      </c>
      <c r="N19" s="1847" t="str">
        <f t="shared" si="9"/>
        <v/>
      </c>
      <c r="O19" s="1848">
        <f t="shared" si="4"/>
        <v>0</v>
      </c>
      <c r="P19" s="1849" t="str">
        <f t="shared" si="17"/>
        <v/>
      </c>
      <c r="Q19" s="1850"/>
      <c r="R19" s="1851" t="str">
        <f t="shared" si="18"/>
        <v/>
      </c>
      <c r="S19" s="1852" t="str">
        <f t="shared" si="19"/>
        <v/>
      </c>
      <c r="T19" s="1896" t="str">
        <f t="shared" si="20"/>
        <v/>
      </c>
      <c r="V19" s="1853" t="str">
        <f t="shared" si="5"/>
        <v/>
      </c>
      <c r="W19" s="1856">
        <v>50</v>
      </c>
      <c r="X19" s="1855">
        <f t="shared" si="10"/>
        <v>0</v>
      </c>
      <c r="Y19" s="1897" t="str">
        <f t="shared" si="11"/>
        <v/>
      </c>
      <c r="AA19" s="1853" t="str" cm="1">
        <f t="array" aca="1" ref="AA19" ca="1">IF(ISBLANK(K19),"",LEFT(B19,MAX(IF(ISERROR(SEARCH(" ",LEFT(B19,AB19),ROW(OFFSET(INDIRECT("v14"),,,LEN(B19))))),0,SEARCH(" ",LEFT(B19,AB19),ROW(OFFSET(INDIRECT("v14"),,,LEN(B19))))))))</f>
        <v/>
      </c>
      <c r="AB19" s="1856">
        <v>50</v>
      </c>
      <c r="AC19" s="1855">
        <f t="shared" ca="1" si="12"/>
        <v>0</v>
      </c>
      <c r="AD19" s="1897" t="str">
        <f t="shared" si="13"/>
        <v/>
      </c>
      <c r="AF19" s="1853" t="str" cm="1">
        <f t="array" aca="1" ref="AF19" ca="1">IF(ISBLANK(K19),"",LEFT(B19,MIN(AG19,SUMPRODUCT(MAX((MID(B19,ROW(INDIRECT("1:"&amp;AG19)),1)=" ")*(ROW(INDIRECT("1:"&amp;AG19))))))))</f>
        <v/>
      </c>
      <c r="AG19" s="1856">
        <v>23</v>
      </c>
      <c r="AH19" s="1855">
        <f t="shared" ca="1" si="14"/>
        <v>0</v>
      </c>
      <c r="AI19" s="1897" t="str">
        <f t="shared" si="15"/>
        <v/>
      </c>
      <c r="AK19" s="1862"/>
      <c r="AL19" s="1802"/>
      <c r="AM19" s="1850"/>
      <c r="AN19" s="1863">
        <f t="shared" si="16"/>
        <v>0</v>
      </c>
      <c r="AO19" s="1864" t="str">
        <f t="shared" si="6"/>
        <v/>
      </c>
      <c r="AP19" s="1822"/>
      <c r="AQ19" s="1822"/>
    </row>
    <row r="20" spans="2:43">
      <c r="B20" s="1838" t="str">
        <f t="shared" si="7"/>
        <v>Lait</v>
      </c>
      <c r="C20" s="1839" t="s">
        <v>2635</v>
      </c>
      <c r="D20" s="1840"/>
      <c r="E20" s="1841" t="str">
        <f t="shared" si="0"/>
        <v>1. litre de lait</v>
      </c>
      <c r="F20" s="1842" t="str">
        <f t="shared" si="1"/>
        <v>1. litre de lait</v>
      </c>
      <c r="G20" s="1842" t="str">
        <f t="shared" si="1"/>
        <v>1. litre de lait</v>
      </c>
      <c r="H20" s="1843" t="str">
        <f t="shared" si="2"/>
        <v>lait</v>
      </c>
      <c r="I20" s="1895" t="str">
        <f t="shared" si="3"/>
        <v xml:space="preserve"> lait</v>
      </c>
      <c r="J20" s="1885" t="s">
        <v>2</v>
      </c>
      <c r="K20" s="1844" t="s">
        <v>2636</v>
      </c>
      <c r="L20" s="1845"/>
      <c r="M20" s="1846">
        <f t="shared" si="21"/>
        <v>16</v>
      </c>
      <c r="N20" s="1847" t="str">
        <f t="shared" si="9"/>
        <v>Caractères</v>
      </c>
      <c r="O20" s="1848">
        <f t="shared" si="4"/>
        <v>4</v>
      </c>
      <c r="P20" s="1849" t="str">
        <f t="shared" si="17"/>
        <v>Caractères</v>
      </c>
      <c r="Q20" s="1850">
        <v>255</v>
      </c>
      <c r="R20" s="1851" t="str">
        <f t="shared" si="18"/>
        <v>Ok moins de 255</v>
      </c>
      <c r="S20" s="1852" t="str">
        <f t="shared" si="19"/>
        <v>Ok</v>
      </c>
      <c r="T20" s="1896" t="str">
        <f t="shared" si="20"/>
        <v xml:space="preserve">OK </v>
      </c>
      <c r="V20" s="1853" t="e">
        <f t="shared" si="5"/>
        <v>#VALUE!</v>
      </c>
      <c r="W20" s="1856">
        <v>50</v>
      </c>
      <c r="X20" s="1855" t="e">
        <f t="shared" si="10"/>
        <v>#VALUE!</v>
      </c>
      <c r="Y20" s="1897" t="str">
        <f t="shared" si="11"/>
        <v>Caractères</v>
      </c>
      <c r="AA20" s="1853" t="str" cm="1">
        <f t="array" aca="1" ref="AA20" ca="1">IF(ISBLANK(K20),"",LEFT(B20,MAX(IF(ISERROR(SEARCH(" ",LEFT(B20,AB20),ROW(OFFSET(INDIRECT("v14"),,,LEN(B20))))),0,SEARCH(" ",LEFT(B20,AB20),ROW(OFFSET(INDIRECT("v14"),,,LEN(B20))))))))</f>
        <v/>
      </c>
      <c r="AB20" s="1856">
        <v>50</v>
      </c>
      <c r="AC20" s="1855">
        <f t="shared" ca="1" si="12"/>
        <v>0</v>
      </c>
      <c r="AD20" s="1897" t="str">
        <f t="shared" si="13"/>
        <v>Caractères</v>
      </c>
      <c r="AF20" s="1853" t="str" cm="1">
        <f t="array" aca="1" ref="AF20" ca="1">IF(ISBLANK(K20),"",LEFT(B20,MIN(AG20,SUMPRODUCT(MAX((MID(B20,ROW(INDIRECT("1:"&amp;AG20)),1)=" ")*(ROW(INDIRECT("1:"&amp;AG20))))))))</f>
        <v/>
      </c>
      <c r="AG20" s="1856">
        <v>24</v>
      </c>
      <c r="AH20" s="1855">
        <f t="shared" ca="1" si="14"/>
        <v>0</v>
      </c>
      <c r="AI20" s="1897" t="str">
        <f t="shared" si="15"/>
        <v>Caractères</v>
      </c>
      <c r="AK20" s="1865" t="s">
        <v>2637</v>
      </c>
      <c r="AL20" s="1802"/>
      <c r="AM20" s="1850"/>
      <c r="AN20" s="1863">
        <f t="shared" si="16"/>
        <v>0</v>
      </c>
      <c r="AO20" s="1864" t="str">
        <f t="shared" si="6"/>
        <v>Caractères</v>
      </c>
      <c r="AP20" s="1822"/>
      <c r="AQ20" s="1822"/>
    </row>
    <row r="21" spans="2:43" ht="23.25">
      <c r="B21" s="1838" t="str">
        <f t="shared" si="7"/>
        <v>Pain sec (avec le moins de croute colorée possible)</v>
      </c>
      <c r="C21" s="1839" t="s">
        <v>2638</v>
      </c>
      <c r="D21" s="1840"/>
      <c r="E21" s="1841" t="str">
        <f t="shared" si="0"/>
        <v>0.500 kg de pain sec (avec le moins de croute colorée possible)</v>
      </c>
      <c r="F21" s="1842" t="str">
        <f t="shared" si="1"/>
        <v>0.500 kg de pain sec (avec le moins de croute colorée possible)</v>
      </c>
      <c r="G21" s="1842" t="str">
        <f t="shared" si="1"/>
        <v>0.500 kg de pain sec (avec le moins de croute colorée possible)</v>
      </c>
      <c r="H21" s="1843" t="str">
        <f t="shared" si="2"/>
        <v>pain sec (avec le moins de croute colorée possible)</v>
      </c>
      <c r="I21" s="1895" t="str">
        <f t="shared" si="3"/>
        <v xml:space="preserve"> pain sec (avec le moins de croute colorée possible)</v>
      </c>
      <c r="J21" s="1885" t="s">
        <v>2</v>
      </c>
      <c r="K21" s="1844" t="s">
        <v>2639</v>
      </c>
      <c r="L21" s="1845"/>
      <c r="M21" s="1846">
        <f t="shared" si="21"/>
        <v>63</v>
      </c>
      <c r="N21" s="1847" t="str">
        <f t="shared" si="9"/>
        <v>Caractères</v>
      </c>
      <c r="O21" s="1848">
        <f t="shared" si="4"/>
        <v>51</v>
      </c>
      <c r="P21" s="1849" t="str">
        <f t="shared" si="17"/>
        <v>Caractères</v>
      </c>
      <c r="Q21" s="1850">
        <v>255</v>
      </c>
      <c r="R21" s="1851" t="str">
        <f t="shared" si="18"/>
        <v>Ok moins de 255</v>
      </c>
      <c r="S21" s="1852" t="str">
        <f t="shared" si="19"/>
        <v>Ok</v>
      </c>
      <c r="T21" s="1896" t="str">
        <f t="shared" si="20"/>
        <v xml:space="preserve">OK </v>
      </c>
      <c r="V21" s="1853" t="str">
        <f t="shared" si="5"/>
        <v xml:space="preserve">Pain sec (avec le moins de croute colorée </v>
      </c>
      <c r="W21" s="1856">
        <v>50</v>
      </c>
      <c r="X21" s="1855">
        <f t="shared" si="10"/>
        <v>42</v>
      </c>
      <c r="Y21" s="1897" t="str">
        <f t="shared" si="11"/>
        <v>Caractères</v>
      </c>
      <c r="AA21" s="1853" t="str" cm="1">
        <f t="array" aca="1" ref="AA21" ca="1">IF(ISBLANK(K21),"",LEFT(B21,MAX(IF(ISERROR(SEARCH(" ",LEFT(B21,AB21),ROW(OFFSET(INDIRECT("v14"),,,LEN(B21))))),0,SEARCH(" ",LEFT(B21,AB21),ROW(OFFSET(INDIRECT("v14"),,,LEN(B21))))))))</f>
        <v xml:space="preserve">Pain sec (avec le moins de croute colorée </v>
      </c>
      <c r="AB21" s="1856">
        <v>50</v>
      </c>
      <c r="AC21" s="1855">
        <f t="shared" ca="1" si="12"/>
        <v>42</v>
      </c>
      <c r="AD21" s="1897" t="str">
        <f t="shared" si="13"/>
        <v>Caractères</v>
      </c>
      <c r="AF21" s="1853" t="str" cm="1">
        <f t="array" aca="1" ref="AF21" ca="1">IF(ISBLANK(K21),"",LEFT(B21,MIN(AG21,SUMPRODUCT(MAX((MID(B21,ROW(INDIRECT("1:"&amp;AG21)),1)=" ")*(ROW(INDIRECT("1:"&amp;AG21))))))))</f>
        <v xml:space="preserve">Pain sec (avec le moins </v>
      </c>
      <c r="AG21" s="1856">
        <v>25</v>
      </c>
      <c r="AH21" s="1855">
        <f t="shared" ca="1" si="14"/>
        <v>24</v>
      </c>
      <c r="AI21" s="1897" t="str">
        <f t="shared" si="15"/>
        <v>Caractères</v>
      </c>
      <c r="AK21" s="1866" t="s">
        <v>2640</v>
      </c>
      <c r="AL21" s="1802"/>
      <c r="AM21" s="1850"/>
      <c r="AN21" s="1863"/>
      <c r="AO21" s="1864"/>
      <c r="AP21" s="1822"/>
      <c r="AQ21" s="1822"/>
    </row>
    <row r="22" spans="2:43" ht="23.25">
      <c r="B22" s="1838" t="str">
        <f t="shared" si="7"/>
        <v>Œufs</v>
      </c>
      <c r="C22" s="1839">
        <v>2</v>
      </c>
      <c r="D22" s="1840"/>
      <c r="E22" s="1841" t="str">
        <f t="shared" si="0"/>
        <v>2 œufs</v>
      </c>
      <c r="F22" s="1842" t="str">
        <f t="shared" si="1"/>
        <v>2 œufs</v>
      </c>
      <c r="G22" s="1842" t="str">
        <f t="shared" si="1"/>
        <v>2 œufs</v>
      </c>
      <c r="H22" s="1843" t="str">
        <f t="shared" si="2"/>
        <v>œufs</v>
      </c>
      <c r="I22" s="1895" t="str">
        <f t="shared" si="3"/>
        <v xml:space="preserve"> œufs</v>
      </c>
      <c r="J22" s="1885" t="s">
        <v>2</v>
      </c>
      <c r="K22" s="1844" t="s">
        <v>2641</v>
      </c>
      <c r="L22" s="1845"/>
      <c r="M22" s="1846">
        <f t="shared" si="21"/>
        <v>6</v>
      </c>
      <c r="N22" s="1847" t="str">
        <f t="shared" si="9"/>
        <v>Caractères</v>
      </c>
      <c r="O22" s="1848">
        <f t="shared" si="4"/>
        <v>4</v>
      </c>
      <c r="P22" s="1849" t="str">
        <f t="shared" si="17"/>
        <v>Caractères</v>
      </c>
      <c r="Q22" s="1850">
        <v>255</v>
      </c>
      <c r="R22" s="1851" t="str">
        <f t="shared" si="18"/>
        <v>Ok moins de 255</v>
      </c>
      <c r="S22" s="1852" t="str">
        <f t="shared" si="19"/>
        <v>Ok</v>
      </c>
      <c r="T22" s="1896" t="str">
        <f t="shared" si="20"/>
        <v xml:space="preserve">OK </v>
      </c>
      <c r="V22" s="1853" t="e">
        <f t="shared" si="5"/>
        <v>#VALUE!</v>
      </c>
      <c r="W22" s="1856">
        <v>50</v>
      </c>
      <c r="X22" s="1855" t="e">
        <f t="shared" si="10"/>
        <v>#VALUE!</v>
      </c>
      <c r="Y22" s="1897" t="str">
        <f t="shared" si="11"/>
        <v>Caractères</v>
      </c>
      <c r="AA22" s="1853" t="str" cm="1">
        <f t="array" aca="1" ref="AA22" ca="1">IF(ISBLANK(K22),"",LEFT(B22,MAX(IF(ISERROR(SEARCH(" ",LEFT(B22,AB22),ROW(OFFSET(INDIRECT("v14"),,,LEN(B22))))),0,SEARCH(" ",LEFT(B22,AB22),ROW(OFFSET(INDIRECT("v14"),,,LEN(B22))))))))</f>
        <v/>
      </c>
      <c r="AB22" s="1856">
        <v>50</v>
      </c>
      <c r="AC22" s="1855">
        <f t="shared" ca="1" si="12"/>
        <v>0</v>
      </c>
      <c r="AD22" s="1897" t="str">
        <f t="shared" si="13"/>
        <v>Caractères</v>
      </c>
      <c r="AF22" s="1853" t="str" cm="1">
        <f t="array" aca="1" ref="AF22" ca="1">IF(ISBLANK(K22),"",LEFT(B22,MIN(AG22,SUMPRODUCT(MAX((MID(B22,ROW(INDIRECT("1:"&amp;AG22)),1)=" ")*(ROW(INDIRECT("1:"&amp;AG22))))))))</f>
        <v/>
      </c>
      <c r="AG22" s="1856">
        <v>26</v>
      </c>
      <c r="AH22" s="1855">
        <f t="shared" ca="1" si="14"/>
        <v>0</v>
      </c>
      <c r="AI22" s="1897" t="str">
        <f t="shared" si="15"/>
        <v>Caractères</v>
      </c>
      <c r="AK22" s="1866" t="s">
        <v>2642</v>
      </c>
      <c r="AL22" s="1802"/>
      <c r="AM22" s="1850"/>
      <c r="AN22" s="1863"/>
      <c r="AO22" s="1864"/>
      <c r="AP22" s="1822"/>
      <c r="AQ22" s="1822"/>
    </row>
    <row r="23" spans="2:43" ht="23.25">
      <c r="B23" s="1838" t="str">
        <f t="shared" si="7"/>
        <v>Noisette en poudre</v>
      </c>
      <c r="C23" s="1839" t="s">
        <v>2643</v>
      </c>
      <c r="D23" s="1840"/>
      <c r="E23" s="1841" t="str">
        <f t="shared" si="0"/>
        <v>100 g Noisette en poudre</v>
      </c>
      <c r="F23" s="1842" t="str">
        <f t="shared" si="1"/>
        <v>100 g Noisette en poudre</v>
      </c>
      <c r="G23" s="1842" t="str">
        <f t="shared" si="1"/>
        <v>100 g Noisette en poudre</v>
      </c>
      <c r="H23" s="1843" t="str">
        <f t="shared" si="2"/>
        <v>Noisette en poudre</v>
      </c>
      <c r="I23" s="1895" t="str">
        <f t="shared" si="3"/>
        <v>Noisette en poudre</v>
      </c>
      <c r="J23" s="1885" t="s">
        <v>2</v>
      </c>
      <c r="K23" s="1844" t="s">
        <v>2644</v>
      </c>
      <c r="L23" s="1845"/>
      <c r="M23" s="1846">
        <f t="shared" si="21"/>
        <v>24</v>
      </c>
      <c r="N23" s="1847" t="str">
        <f t="shared" si="9"/>
        <v>Caractères</v>
      </c>
      <c r="O23" s="1848">
        <f t="shared" si="4"/>
        <v>18</v>
      </c>
      <c r="P23" s="1849" t="str">
        <f t="shared" si="17"/>
        <v>Caractères</v>
      </c>
      <c r="Q23" s="1850">
        <v>255</v>
      </c>
      <c r="R23" s="1851" t="str">
        <f t="shared" si="18"/>
        <v>Ok moins de 255</v>
      </c>
      <c r="S23" s="1852" t="str">
        <f t="shared" si="19"/>
        <v>Ok</v>
      </c>
      <c r="T23" s="1896" t="str">
        <f t="shared" si="20"/>
        <v xml:space="preserve">OK </v>
      </c>
      <c r="V23" s="1853" t="str">
        <f t="shared" si="5"/>
        <v>Noisette en poudre</v>
      </c>
      <c r="W23" s="1856">
        <v>50</v>
      </c>
      <c r="X23" s="1855">
        <f t="shared" si="10"/>
        <v>18</v>
      </c>
      <c r="Y23" s="1897" t="str">
        <f t="shared" si="11"/>
        <v>Caractères</v>
      </c>
      <c r="AA23" s="1853" t="str" cm="1">
        <f t="array" aca="1" ref="AA23" ca="1">IF(ISBLANK(K23),"",LEFT(B23,MAX(IF(ISERROR(SEARCH(" ",LEFT(B23,AB23),ROW(OFFSET(INDIRECT("v14"),,,LEN(B23))))),0,SEARCH(" ",LEFT(B23,AB23),ROW(OFFSET(INDIRECT("v14"),,,LEN(B23))))))))</f>
        <v/>
      </c>
      <c r="AB23" s="1856">
        <v>50</v>
      </c>
      <c r="AC23" s="1855">
        <f t="shared" ca="1" si="12"/>
        <v>0</v>
      </c>
      <c r="AD23" s="1897" t="str">
        <f t="shared" si="13"/>
        <v>Caractères</v>
      </c>
      <c r="AF23" s="1853" t="str" cm="1">
        <f t="array" aca="1" ref="AF23" ca="1">IF(ISBLANK(K23),"",LEFT(B23,MIN(AG23,SUMPRODUCT(MAX((MID(B23,ROW(INDIRECT("1:"&amp;AG23)),1)=" ")*(ROW(INDIRECT("1:"&amp;AG23))))))))</f>
        <v xml:space="preserve">Noisette en </v>
      </c>
      <c r="AG23" s="1856">
        <v>27</v>
      </c>
      <c r="AH23" s="1855">
        <f t="shared" ca="1" si="14"/>
        <v>12</v>
      </c>
      <c r="AI23" s="1897" t="str">
        <f t="shared" si="15"/>
        <v>Caractères</v>
      </c>
      <c r="AK23" s="1866" t="s">
        <v>2645</v>
      </c>
      <c r="AL23" s="1802"/>
      <c r="AM23" s="1850"/>
      <c r="AN23" s="1863"/>
      <c r="AO23" s="1864"/>
      <c r="AP23" s="1822"/>
      <c r="AQ23" s="1822"/>
    </row>
    <row r="24" spans="2:43" ht="23.25">
      <c r="B24" s="1838" t="str">
        <f t="shared" si="7"/>
        <v>1 banane</v>
      </c>
      <c r="C24" s="1839" t="s">
        <v>2646</v>
      </c>
      <c r="D24" s="1840"/>
      <c r="E24" s="1841" t="str">
        <f t="shared" si="0"/>
        <v>1  banane et demi</v>
      </c>
      <c r="F24" s="1842" t="str">
        <f t="shared" si="1"/>
        <v>1  banane et demi</v>
      </c>
      <c r="G24" s="1842" t="str">
        <f t="shared" si="1"/>
        <v>1  banane et demi</v>
      </c>
      <c r="H24" s="1843" t="str">
        <f t="shared" si="2"/>
        <v>1 banane</v>
      </c>
      <c r="I24" s="1895" t="str">
        <f t="shared" si="3"/>
        <v xml:space="preserve">1  banane </v>
      </c>
      <c r="J24" s="1885" t="s">
        <v>2</v>
      </c>
      <c r="K24" s="1844" t="s">
        <v>2647</v>
      </c>
      <c r="L24" s="1845"/>
      <c r="M24" s="1846">
        <f t="shared" si="21"/>
        <v>17</v>
      </c>
      <c r="N24" s="1847" t="str">
        <f t="shared" si="9"/>
        <v>Caractères</v>
      </c>
      <c r="O24" s="1848">
        <f t="shared" si="4"/>
        <v>8</v>
      </c>
      <c r="P24" s="1849" t="str">
        <f t="shared" si="17"/>
        <v>Caractères</v>
      </c>
      <c r="Q24" s="1850">
        <v>255</v>
      </c>
      <c r="R24" s="1851" t="str">
        <f t="shared" si="18"/>
        <v>Ok moins de 255</v>
      </c>
      <c r="S24" s="1852" t="str">
        <f t="shared" si="19"/>
        <v>Ok</v>
      </c>
      <c r="T24" s="1896" t="str">
        <f t="shared" si="20"/>
        <v xml:space="preserve">OK </v>
      </c>
      <c r="V24" s="1853" t="str">
        <f t="shared" si="5"/>
        <v>1 banane</v>
      </c>
      <c r="W24" s="1856">
        <v>50</v>
      </c>
      <c r="X24" s="1855">
        <f t="shared" si="10"/>
        <v>8</v>
      </c>
      <c r="Y24" s="1897" t="str">
        <f t="shared" si="11"/>
        <v>Caractères</v>
      </c>
      <c r="AA24" s="1853" t="str" cm="1">
        <f t="array" aca="1" ref="AA24" ca="1">IF(ISBLANK(K24),"",LEFT(B24,MAX(IF(ISERROR(SEARCH(" ",LEFT(B24,AB24),ROW(OFFSET(INDIRECT("v14"),,,LEN(B24))))),0,SEARCH(" ",LEFT(B24,AB24),ROW(OFFSET(INDIRECT("v14"),,,LEN(B24))))))))</f>
        <v/>
      </c>
      <c r="AB24" s="1856">
        <v>50</v>
      </c>
      <c r="AC24" s="1855">
        <f t="shared" ca="1" si="12"/>
        <v>0</v>
      </c>
      <c r="AD24" s="1897" t="str">
        <f t="shared" si="13"/>
        <v>Caractères</v>
      </c>
      <c r="AF24" s="1853" t="str" cm="1">
        <f t="array" aca="1" ref="AF24" ca="1">IF(ISBLANK(K24),"",LEFT(B24,MIN(AG24,SUMPRODUCT(MAX((MID(B24,ROW(INDIRECT("1:"&amp;AG24)),1)=" ")*(ROW(INDIRECT("1:"&amp;AG24))))))))</f>
        <v xml:space="preserve">1 </v>
      </c>
      <c r="AG24" s="1856">
        <v>28</v>
      </c>
      <c r="AH24" s="1855">
        <f t="shared" ca="1" si="14"/>
        <v>2</v>
      </c>
      <c r="AI24" s="1897" t="str">
        <f t="shared" si="15"/>
        <v>Caractères</v>
      </c>
      <c r="AK24" s="1866" t="s">
        <v>2648</v>
      </c>
      <c r="AL24" s="1802"/>
      <c r="AM24" s="1850"/>
      <c r="AN24" s="1863"/>
      <c r="AO24" s="1864"/>
      <c r="AP24" s="1822"/>
      <c r="AQ24" s="1822"/>
    </row>
    <row r="25" spans="2:43">
      <c r="B25" s="1838" t="str">
        <f t="shared" si="7"/>
        <v/>
      </c>
      <c r="C25" s="1839"/>
      <c r="D25" s="1840"/>
      <c r="E25" s="1841" t="str">
        <f t="shared" si="0"/>
        <v/>
      </c>
      <c r="F25" s="1842" t="str">
        <f t="shared" si="1"/>
        <v/>
      </c>
      <c r="G25" s="1842" t="str">
        <f t="shared" si="1"/>
        <v/>
      </c>
      <c r="H25" s="1843" t="str">
        <f t="shared" si="2"/>
        <v/>
      </c>
      <c r="I25" s="1895" t="str">
        <f t="shared" si="3"/>
        <v/>
      </c>
      <c r="J25" s="1885" t="s">
        <v>2</v>
      </c>
      <c r="K25" s="1844"/>
      <c r="L25" s="1845"/>
      <c r="M25" s="1846">
        <f t="shared" si="21"/>
        <v>0</v>
      </c>
      <c r="N25" s="1847" t="str">
        <f t="shared" si="9"/>
        <v/>
      </c>
      <c r="O25" s="1848">
        <f t="shared" si="4"/>
        <v>0</v>
      </c>
      <c r="P25" s="1849" t="str">
        <f t="shared" si="17"/>
        <v/>
      </c>
      <c r="Q25" s="1850">
        <v>255</v>
      </c>
      <c r="R25" s="1851" t="str">
        <f t="shared" si="18"/>
        <v/>
      </c>
      <c r="S25" s="1852" t="str">
        <f t="shared" si="19"/>
        <v/>
      </c>
      <c r="T25" s="1896" t="str">
        <f t="shared" si="20"/>
        <v/>
      </c>
      <c r="V25" s="1853" t="str">
        <f t="shared" si="5"/>
        <v/>
      </c>
      <c r="W25" s="1856">
        <v>50</v>
      </c>
      <c r="X25" s="1855">
        <f t="shared" si="10"/>
        <v>0</v>
      </c>
      <c r="Y25" s="1897" t="str">
        <f t="shared" si="11"/>
        <v/>
      </c>
      <c r="AA25" s="1853" t="str" cm="1">
        <f t="array" aca="1" ref="AA25" ca="1">IF(ISBLANK(K25),"",LEFT(B25,MAX(IF(ISERROR(SEARCH(" ",LEFT(B25,AB25),ROW(OFFSET(INDIRECT("v14"),,,LEN(B25))))),0,SEARCH(" ",LEFT(B25,AB25),ROW(OFFSET(INDIRECT("v14"),,,LEN(B25))))))))</f>
        <v/>
      </c>
      <c r="AB25" s="1856">
        <v>50</v>
      </c>
      <c r="AC25" s="1855">
        <f t="shared" ca="1" si="12"/>
        <v>0</v>
      </c>
      <c r="AD25" s="1897" t="str">
        <f t="shared" si="13"/>
        <v/>
      </c>
      <c r="AF25" s="1853" t="str" cm="1">
        <f t="array" aca="1" ref="AF25" ca="1">IF(ISBLANK(K25),"",LEFT(B25,MIN(AG25,SUMPRODUCT(MAX((MID(B25,ROW(INDIRECT("1:"&amp;AG25)),1)=" ")*(ROW(INDIRECT("1:"&amp;AG25))))))))</f>
        <v/>
      </c>
      <c r="AG25" s="1856">
        <v>29</v>
      </c>
      <c r="AH25" s="1855">
        <f t="shared" ca="1" si="14"/>
        <v>0</v>
      </c>
      <c r="AI25" s="1897" t="str">
        <f t="shared" si="15"/>
        <v/>
      </c>
      <c r="AK25" s="8175" t="s">
        <v>2649</v>
      </c>
      <c r="AL25" s="8176"/>
      <c r="AM25" s="1867"/>
      <c r="AN25" s="1868"/>
      <c r="AO25" s="1864"/>
      <c r="AP25" s="1822"/>
      <c r="AQ25" s="1822"/>
    </row>
    <row r="26" spans="2:43">
      <c r="B26" s="1838" t="str">
        <f t="shared" si="7"/>
        <v/>
      </c>
      <c r="C26" s="1839"/>
      <c r="D26" s="1840"/>
      <c r="E26" s="1841" t="str">
        <f t="shared" si="0"/>
        <v/>
      </c>
      <c r="F26" s="1842" t="str">
        <f t="shared" si="1"/>
        <v/>
      </c>
      <c r="G26" s="1842" t="str">
        <f t="shared" si="1"/>
        <v/>
      </c>
      <c r="H26" s="1843" t="str">
        <f t="shared" si="2"/>
        <v/>
      </c>
      <c r="I26" s="1895" t="str">
        <f t="shared" si="3"/>
        <v/>
      </c>
      <c r="J26" s="1885" t="s">
        <v>2</v>
      </c>
      <c r="K26" s="1844"/>
      <c r="L26" s="1845"/>
      <c r="M26" s="1846">
        <f t="shared" si="21"/>
        <v>0</v>
      </c>
      <c r="N26" s="1847" t="str">
        <f t="shared" si="9"/>
        <v/>
      </c>
      <c r="O26" s="1848">
        <f t="shared" si="4"/>
        <v>0</v>
      </c>
      <c r="P26" s="1849" t="str">
        <f t="shared" si="17"/>
        <v/>
      </c>
      <c r="Q26" s="1850">
        <v>255</v>
      </c>
      <c r="R26" s="1851" t="str">
        <f t="shared" si="18"/>
        <v/>
      </c>
      <c r="S26" s="1852" t="str">
        <f t="shared" si="19"/>
        <v/>
      </c>
      <c r="T26" s="1896" t="str">
        <f t="shared" si="20"/>
        <v/>
      </c>
      <c r="V26" s="1853" t="str">
        <f t="shared" si="5"/>
        <v/>
      </c>
      <c r="W26" s="1856">
        <v>50</v>
      </c>
      <c r="X26" s="1855">
        <f t="shared" si="10"/>
        <v>0</v>
      </c>
      <c r="Y26" s="1897" t="str">
        <f t="shared" si="11"/>
        <v/>
      </c>
      <c r="AA26" s="1853" t="str" cm="1">
        <f t="array" aca="1" ref="AA26" ca="1">IF(ISBLANK(K26),"",LEFT(B26,MAX(IF(ISERROR(SEARCH(" ",LEFT(B26,AB26),ROW(OFFSET(INDIRECT("v14"),,,LEN(B26))))),0,SEARCH(" ",LEFT(B26,AB26),ROW(OFFSET(INDIRECT("v14"),,,LEN(B26))))))))</f>
        <v/>
      </c>
      <c r="AB26" s="1856">
        <v>50</v>
      </c>
      <c r="AC26" s="1855">
        <f t="shared" ca="1" si="12"/>
        <v>0</v>
      </c>
      <c r="AD26" s="1897" t="str">
        <f t="shared" si="13"/>
        <v/>
      </c>
      <c r="AF26" s="1853" t="str" cm="1">
        <f t="array" aca="1" ref="AF26" ca="1">IF(ISBLANK(K26),"",LEFT(B26,MIN(AG26,SUMPRODUCT(MAX((MID(B26,ROW(INDIRECT("1:"&amp;AG26)),1)=" ")*(ROW(INDIRECT("1:"&amp;AG26))))))))</f>
        <v/>
      </c>
      <c r="AG26" s="1856">
        <v>30</v>
      </c>
      <c r="AH26" s="1855">
        <f t="shared" ca="1" si="14"/>
        <v>0</v>
      </c>
      <c r="AI26" s="1897" t="str">
        <f t="shared" si="15"/>
        <v/>
      </c>
      <c r="AK26" s="1862"/>
      <c r="AL26" s="1802"/>
      <c r="AM26" s="1850"/>
      <c r="AN26" s="1863">
        <f t="shared" ref="AN26:AN36" si="22">LEN(AL26)</f>
        <v>0</v>
      </c>
      <c r="AO26" s="1864" t="str">
        <f t="shared" ref="AO26:AO36" si="23">IF(ISBLANK(K26),"","Caractères")</f>
        <v/>
      </c>
      <c r="AP26" s="1822"/>
      <c r="AQ26" s="1822"/>
    </row>
    <row r="27" spans="2:43">
      <c r="B27" s="1838" t="str">
        <f t="shared" si="7"/>
        <v/>
      </c>
      <c r="C27" s="1839"/>
      <c r="D27" s="1840"/>
      <c r="E27" s="1841" t="str">
        <f t="shared" si="0"/>
        <v/>
      </c>
      <c r="F27" s="1842" t="str">
        <f t="shared" si="1"/>
        <v/>
      </c>
      <c r="G27" s="1842" t="str">
        <f t="shared" si="1"/>
        <v/>
      </c>
      <c r="H27" s="1843" t="str">
        <f t="shared" si="2"/>
        <v/>
      </c>
      <c r="I27" s="1895" t="str">
        <f t="shared" si="3"/>
        <v/>
      </c>
      <c r="J27" s="1885" t="s">
        <v>2</v>
      </c>
      <c r="K27" s="1844"/>
      <c r="L27" s="1845"/>
      <c r="M27" s="1846">
        <f t="shared" si="21"/>
        <v>0</v>
      </c>
      <c r="N27" s="1847" t="str">
        <f t="shared" si="9"/>
        <v/>
      </c>
      <c r="O27" s="1848">
        <f t="shared" si="4"/>
        <v>0</v>
      </c>
      <c r="P27" s="1849" t="str">
        <f t="shared" si="17"/>
        <v/>
      </c>
      <c r="Q27" s="1850">
        <v>255</v>
      </c>
      <c r="R27" s="1851" t="str">
        <f t="shared" si="18"/>
        <v/>
      </c>
      <c r="S27" s="1852" t="str">
        <f t="shared" si="19"/>
        <v/>
      </c>
      <c r="T27" s="1896" t="str">
        <f t="shared" si="20"/>
        <v/>
      </c>
      <c r="V27" s="1853" t="str">
        <f t="shared" si="5"/>
        <v/>
      </c>
      <c r="W27" s="1856">
        <v>50</v>
      </c>
      <c r="X27" s="1855">
        <f t="shared" si="10"/>
        <v>0</v>
      </c>
      <c r="Y27" s="1897" t="str">
        <f t="shared" si="11"/>
        <v/>
      </c>
      <c r="AA27" s="1853" t="str" cm="1">
        <f t="array" aca="1" ref="AA27" ca="1">IF(ISBLANK(K27),"",LEFT(B27,MAX(IF(ISERROR(SEARCH(" ",LEFT(B27,AB27),ROW(OFFSET(INDIRECT("v14"),,,LEN(B27))))),0,SEARCH(" ",LEFT(B27,AB27),ROW(OFFSET(INDIRECT("v14"),,,LEN(B27))))))))</f>
        <v/>
      </c>
      <c r="AB27" s="1856">
        <v>50</v>
      </c>
      <c r="AC27" s="1855">
        <f t="shared" ca="1" si="12"/>
        <v>0</v>
      </c>
      <c r="AD27" s="1897" t="str">
        <f t="shared" si="13"/>
        <v/>
      </c>
      <c r="AF27" s="1853" t="str" cm="1">
        <f t="array" aca="1" ref="AF27" ca="1">IF(ISBLANK(K27),"",LEFT(B27,MIN(AG27,SUMPRODUCT(MAX((MID(B27,ROW(INDIRECT("1:"&amp;AG27)),1)=" ")*(ROW(INDIRECT("1:"&amp;AG27))))))))</f>
        <v/>
      </c>
      <c r="AG27" s="1856">
        <v>31</v>
      </c>
      <c r="AH27" s="1855">
        <f t="shared" ca="1" si="14"/>
        <v>0</v>
      </c>
      <c r="AI27" s="1897" t="str">
        <f t="shared" si="15"/>
        <v/>
      </c>
      <c r="AK27" s="1862"/>
      <c r="AL27" s="1802"/>
      <c r="AM27" s="1850"/>
      <c r="AN27" s="1863">
        <f t="shared" si="22"/>
        <v>0</v>
      </c>
      <c r="AO27" s="1864" t="str">
        <f t="shared" si="23"/>
        <v/>
      </c>
      <c r="AP27" s="1822"/>
      <c r="AQ27" s="1822"/>
    </row>
    <row r="28" spans="2:43">
      <c r="B28" s="1838" t="str">
        <f t="shared" si="7"/>
        <v/>
      </c>
      <c r="C28" s="1839"/>
      <c r="D28" s="1840"/>
      <c r="E28" s="1841" t="str">
        <f t="shared" si="0"/>
        <v/>
      </c>
      <c r="F28" s="1842" t="str">
        <f t="shared" si="1"/>
        <v/>
      </c>
      <c r="G28" s="1842" t="str">
        <f t="shared" si="1"/>
        <v/>
      </c>
      <c r="H28" s="1843" t="str">
        <f t="shared" si="2"/>
        <v/>
      </c>
      <c r="I28" s="1895" t="str">
        <f t="shared" si="3"/>
        <v/>
      </c>
      <c r="J28" s="1885" t="s">
        <v>2</v>
      </c>
      <c r="K28" s="1844"/>
      <c r="L28" s="1845"/>
      <c r="M28" s="1846">
        <f t="shared" si="21"/>
        <v>0</v>
      </c>
      <c r="N28" s="1847" t="str">
        <f t="shared" si="9"/>
        <v/>
      </c>
      <c r="O28" s="1848">
        <f t="shared" si="4"/>
        <v>0</v>
      </c>
      <c r="P28" s="1849" t="str">
        <f t="shared" si="17"/>
        <v/>
      </c>
      <c r="Q28" s="1850">
        <v>255</v>
      </c>
      <c r="R28" s="1851" t="str">
        <f t="shared" si="18"/>
        <v/>
      </c>
      <c r="S28" s="1852" t="str">
        <f t="shared" si="19"/>
        <v/>
      </c>
      <c r="T28" s="1896" t="str">
        <f t="shared" si="20"/>
        <v/>
      </c>
      <c r="V28" s="1853" t="str">
        <f t="shared" si="5"/>
        <v/>
      </c>
      <c r="W28" s="1856">
        <v>50</v>
      </c>
      <c r="X28" s="1855">
        <f t="shared" si="10"/>
        <v>0</v>
      </c>
      <c r="Y28" s="1897" t="str">
        <f t="shared" si="11"/>
        <v/>
      </c>
      <c r="AA28" s="1853" t="str" cm="1">
        <f t="array" aca="1" ref="AA28" ca="1">IF(ISBLANK(K28),"",LEFT(B28,MAX(IF(ISERROR(SEARCH(" ",LEFT(B28,AB28),ROW(OFFSET(INDIRECT("v14"),,,LEN(B28))))),0,SEARCH(" ",LEFT(B28,AB28),ROW(OFFSET(INDIRECT("v14"),,,LEN(B28))))))))</f>
        <v/>
      </c>
      <c r="AB28" s="1856">
        <v>50</v>
      </c>
      <c r="AC28" s="1855">
        <f t="shared" ca="1" si="12"/>
        <v>0</v>
      </c>
      <c r="AD28" s="1897" t="str">
        <f t="shared" si="13"/>
        <v/>
      </c>
      <c r="AF28" s="1853" t="str" cm="1">
        <f t="array" aca="1" ref="AF28" ca="1">IF(ISBLANK(K28),"",LEFT(B28,MIN(AG28,SUMPRODUCT(MAX((MID(B28,ROW(INDIRECT("1:"&amp;AG28)),1)=" ")*(ROW(INDIRECT("1:"&amp;AG28))))))))</f>
        <v/>
      </c>
      <c r="AG28" s="1856">
        <v>32</v>
      </c>
      <c r="AH28" s="1855">
        <f t="shared" ca="1" si="14"/>
        <v>0</v>
      </c>
      <c r="AI28" s="1897" t="str">
        <f t="shared" si="15"/>
        <v/>
      </c>
      <c r="AK28" s="1862"/>
      <c r="AL28" s="1802"/>
      <c r="AM28" s="1850"/>
      <c r="AN28" s="1863">
        <f t="shared" si="22"/>
        <v>0</v>
      </c>
      <c r="AO28" s="1864" t="str">
        <f t="shared" si="23"/>
        <v/>
      </c>
      <c r="AP28" s="1822"/>
      <c r="AQ28" s="1822"/>
    </row>
    <row r="29" spans="2:43">
      <c r="B29" s="1838" t="str">
        <f t="shared" si="7"/>
        <v/>
      </c>
      <c r="C29" s="1839"/>
      <c r="D29" s="1840"/>
      <c r="E29" s="1841" t="str">
        <f t="shared" si="0"/>
        <v/>
      </c>
      <c r="F29" s="1842" t="str">
        <f t="shared" si="1"/>
        <v/>
      </c>
      <c r="G29" s="1842" t="str">
        <f t="shared" si="1"/>
        <v/>
      </c>
      <c r="H29" s="1843" t="str">
        <f t="shared" si="2"/>
        <v/>
      </c>
      <c r="I29" s="1895" t="str">
        <f t="shared" si="3"/>
        <v/>
      </c>
      <c r="J29" s="1885" t="s">
        <v>2</v>
      </c>
      <c r="K29" s="1844"/>
      <c r="L29" s="1845"/>
      <c r="M29" s="1846">
        <f t="shared" si="21"/>
        <v>0</v>
      </c>
      <c r="N29" s="1847" t="str">
        <f t="shared" si="9"/>
        <v/>
      </c>
      <c r="O29" s="1848">
        <f t="shared" si="4"/>
        <v>0</v>
      </c>
      <c r="P29" s="1849" t="str">
        <f t="shared" si="17"/>
        <v/>
      </c>
      <c r="Q29" s="1850">
        <v>255</v>
      </c>
      <c r="R29" s="1851" t="str">
        <f t="shared" si="18"/>
        <v/>
      </c>
      <c r="S29" s="1852" t="str">
        <f t="shared" si="19"/>
        <v/>
      </c>
      <c r="T29" s="1896" t="str">
        <f t="shared" si="20"/>
        <v/>
      </c>
      <c r="V29" s="1853" t="str">
        <f t="shared" si="5"/>
        <v/>
      </c>
      <c r="W29" s="1856">
        <v>50</v>
      </c>
      <c r="X29" s="1855">
        <f t="shared" si="10"/>
        <v>0</v>
      </c>
      <c r="Y29" s="1897" t="str">
        <f t="shared" si="11"/>
        <v/>
      </c>
      <c r="AA29" s="1853" t="str" cm="1">
        <f t="array" aca="1" ref="AA29" ca="1">IF(ISBLANK(K29),"",LEFT(B29,MAX(IF(ISERROR(SEARCH(" ",LEFT(B29,AB29),ROW(OFFSET(INDIRECT("v14"),,,LEN(B29))))),0,SEARCH(" ",LEFT(B29,AB29),ROW(OFFSET(INDIRECT("v14"),,,LEN(B29))))))))</f>
        <v/>
      </c>
      <c r="AB29" s="1856">
        <v>50</v>
      </c>
      <c r="AC29" s="1855">
        <f t="shared" ca="1" si="12"/>
        <v>0</v>
      </c>
      <c r="AD29" s="1897" t="str">
        <f t="shared" si="13"/>
        <v/>
      </c>
      <c r="AF29" s="1853" t="str" cm="1">
        <f t="array" aca="1" ref="AF29" ca="1">IF(ISBLANK(K29),"",LEFT(B29,MIN(AG29,SUMPRODUCT(MAX((MID(B29,ROW(INDIRECT("1:"&amp;AG29)),1)=" ")*(ROW(INDIRECT("1:"&amp;AG29))))))))</f>
        <v/>
      </c>
      <c r="AG29" s="1856">
        <v>33</v>
      </c>
      <c r="AH29" s="1855">
        <f t="shared" ca="1" si="14"/>
        <v>0</v>
      </c>
      <c r="AI29" s="1897" t="str">
        <f t="shared" si="15"/>
        <v/>
      </c>
      <c r="AK29" s="1862"/>
      <c r="AL29" s="1802"/>
      <c r="AM29" s="1850"/>
      <c r="AN29" s="1863">
        <f t="shared" si="22"/>
        <v>0</v>
      </c>
      <c r="AO29" s="1864" t="str">
        <f t="shared" si="23"/>
        <v/>
      </c>
      <c r="AP29" s="1822"/>
      <c r="AQ29" s="1822"/>
    </row>
    <row r="30" spans="2:43">
      <c r="B30" s="1838" t="str">
        <f t="shared" si="7"/>
        <v/>
      </c>
      <c r="C30" s="1839"/>
      <c r="D30" s="1840"/>
      <c r="E30" s="1841" t="str">
        <f t="shared" si="0"/>
        <v/>
      </c>
      <c r="F30" s="1842" t="str">
        <f t="shared" si="1"/>
        <v/>
      </c>
      <c r="G30" s="1842" t="str">
        <f t="shared" si="1"/>
        <v/>
      </c>
      <c r="H30" s="1843" t="str">
        <f t="shared" si="2"/>
        <v/>
      </c>
      <c r="I30" s="1895" t="str">
        <f t="shared" si="3"/>
        <v/>
      </c>
      <c r="J30" s="1885" t="s">
        <v>2</v>
      </c>
      <c r="K30" s="1844"/>
      <c r="L30" s="1845"/>
      <c r="M30" s="1846">
        <f t="shared" si="21"/>
        <v>0</v>
      </c>
      <c r="N30" s="1847" t="str">
        <f t="shared" si="9"/>
        <v/>
      </c>
      <c r="O30" s="1848">
        <f t="shared" si="4"/>
        <v>0</v>
      </c>
      <c r="P30" s="1849" t="str">
        <f t="shared" si="17"/>
        <v/>
      </c>
      <c r="Q30" s="1850">
        <v>255</v>
      </c>
      <c r="R30" s="1851" t="str">
        <f t="shared" si="18"/>
        <v/>
      </c>
      <c r="S30" s="1852" t="str">
        <f t="shared" si="19"/>
        <v/>
      </c>
      <c r="T30" s="1896" t="str">
        <f t="shared" si="20"/>
        <v/>
      </c>
      <c r="V30" s="1853" t="str">
        <f t="shared" si="5"/>
        <v/>
      </c>
      <c r="W30" s="1856">
        <v>50</v>
      </c>
      <c r="X30" s="1855">
        <f t="shared" si="10"/>
        <v>0</v>
      </c>
      <c r="Y30" s="1897" t="str">
        <f t="shared" si="11"/>
        <v/>
      </c>
      <c r="AA30" s="1853" t="str" cm="1">
        <f t="array" aca="1" ref="AA30" ca="1">IF(ISBLANK(K30),"",LEFT(B30,MAX(IF(ISERROR(SEARCH(" ",LEFT(B30,AB30),ROW(OFFSET(INDIRECT("v14"),,,LEN(B30))))),0,SEARCH(" ",LEFT(B30,AB30),ROW(OFFSET(INDIRECT("v14"),,,LEN(B30))))))))</f>
        <v/>
      </c>
      <c r="AB30" s="1856">
        <v>50</v>
      </c>
      <c r="AC30" s="1855">
        <f t="shared" ca="1" si="12"/>
        <v>0</v>
      </c>
      <c r="AD30" s="1897" t="str">
        <f t="shared" si="13"/>
        <v/>
      </c>
      <c r="AF30" s="1853" t="str" cm="1">
        <f t="array" aca="1" ref="AF30" ca="1">IF(ISBLANK(K30),"",LEFT(B30,MIN(AG30,SUMPRODUCT(MAX((MID(B30,ROW(INDIRECT("1:"&amp;AG30)),1)=" ")*(ROW(INDIRECT("1:"&amp;AG30))))))))</f>
        <v/>
      </c>
      <c r="AG30" s="1856">
        <v>34</v>
      </c>
      <c r="AH30" s="1855">
        <f t="shared" ca="1" si="14"/>
        <v>0</v>
      </c>
      <c r="AI30" s="1897" t="str">
        <f t="shared" si="15"/>
        <v/>
      </c>
      <c r="AK30" s="1862"/>
      <c r="AL30" s="1802"/>
      <c r="AM30" s="1850"/>
      <c r="AN30" s="1863">
        <f t="shared" si="22"/>
        <v>0</v>
      </c>
      <c r="AO30" s="1864" t="str">
        <f t="shared" si="23"/>
        <v/>
      </c>
      <c r="AP30" s="1822"/>
      <c r="AQ30" s="1822"/>
    </row>
    <row r="31" spans="2:43">
      <c r="B31" s="1838" t="str">
        <f t="shared" si="7"/>
        <v/>
      </c>
      <c r="C31" s="1839"/>
      <c r="D31" s="1840"/>
      <c r="E31" s="1841" t="str">
        <f t="shared" si="0"/>
        <v/>
      </c>
      <c r="F31" s="1842" t="str">
        <f t="shared" si="1"/>
        <v/>
      </c>
      <c r="G31" s="1842" t="str">
        <f t="shared" si="1"/>
        <v/>
      </c>
      <c r="H31" s="1843" t="str">
        <f t="shared" si="2"/>
        <v/>
      </c>
      <c r="I31" s="1895" t="str">
        <f t="shared" si="3"/>
        <v/>
      </c>
      <c r="J31" s="1885" t="s">
        <v>2</v>
      </c>
      <c r="K31" s="1844"/>
      <c r="L31" s="1845"/>
      <c r="M31" s="1846">
        <f t="shared" si="21"/>
        <v>0</v>
      </c>
      <c r="N31" s="1847" t="str">
        <f t="shared" si="9"/>
        <v/>
      </c>
      <c r="O31" s="1848">
        <f t="shared" si="4"/>
        <v>0</v>
      </c>
      <c r="P31" s="1849" t="str">
        <f t="shared" si="17"/>
        <v/>
      </c>
      <c r="Q31" s="1850">
        <v>255</v>
      </c>
      <c r="R31" s="1851" t="str">
        <f t="shared" si="18"/>
        <v/>
      </c>
      <c r="S31" s="1852" t="str">
        <f t="shared" si="19"/>
        <v/>
      </c>
      <c r="T31" s="1896" t="str">
        <f t="shared" si="20"/>
        <v/>
      </c>
      <c r="V31" s="1853" t="str">
        <f t="shared" si="5"/>
        <v/>
      </c>
      <c r="W31" s="1856">
        <v>50</v>
      </c>
      <c r="X31" s="1855">
        <f t="shared" si="10"/>
        <v>0</v>
      </c>
      <c r="Y31" s="1897" t="str">
        <f t="shared" si="11"/>
        <v/>
      </c>
      <c r="AA31" s="1853" t="str" cm="1">
        <f t="array" aca="1" ref="AA31" ca="1">IF(ISBLANK(K31),"",LEFT(B31,MAX(IF(ISERROR(SEARCH(" ",LEFT(B31,AB31),ROW(OFFSET(INDIRECT("v14"),,,LEN(B31))))),0,SEARCH(" ",LEFT(B31,AB31),ROW(OFFSET(INDIRECT("v14"),,,LEN(B31))))))))</f>
        <v/>
      </c>
      <c r="AB31" s="1856">
        <v>50</v>
      </c>
      <c r="AC31" s="1855">
        <f t="shared" ca="1" si="12"/>
        <v>0</v>
      </c>
      <c r="AD31" s="1897" t="str">
        <f t="shared" si="13"/>
        <v/>
      </c>
      <c r="AF31" s="1853" t="str" cm="1">
        <f t="array" aca="1" ref="AF31" ca="1">IF(ISBLANK(K31),"",LEFT(B31,MIN(AG31,SUMPRODUCT(MAX((MID(B31,ROW(INDIRECT("1:"&amp;AG31)),1)=" ")*(ROW(INDIRECT("1:"&amp;AG31))))))))</f>
        <v/>
      </c>
      <c r="AG31" s="1856">
        <v>35</v>
      </c>
      <c r="AH31" s="1855">
        <f t="shared" ca="1" si="14"/>
        <v>0</v>
      </c>
      <c r="AI31" s="1897" t="str">
        <f t="shared" si="15"/>
        <v/>
      </c>
      <c r="AK31" s="1862"/>
      <c r="AL31" s="1802"/>
      <c r="AM31" s="1850"/>
      <c r="AN31" s="1863">
        <f t="shared" si="22"/>
        <v>0</v>
      </c>
      <c r="AO31" s="1864" t="str">
        <f t="shared" si="23"/>
        <v/>
      </c>
      <c r="AP31" s="1822"/>
      <c r="AQ31" s="1822"/>
    </row>
    <row r="32" spans="2:43">
      <c r="B32" s="1838" t="str">
        <f t="shared" si="7"/>
        <v/>
      </c>
      <c r="C32" s="1839"/>
      <c r="D32" s="1840"/>
      <c r="E32" s="1841" t="str">
        <f t="shared" si="0"/>
        <v/>
      </c>
      <c r="F32" s="1842" t="str">
        <f t="shared" si="1"/>
        <v/>
      </c>
      <c r="G32" s="1842" t="str">
        <f t="shared" si="1"/>
        <v/>
      </c>
      <c r="H32" s="1843" t="str">
        <f t="shared" si="2"/>
        <v/>
      </c>
      <c r="I32" s="1895" t="str">
        <f t="shared" si="3"/>
        <v/>
      </c>
      <c r="J32" s="1885" t="s">
        <v>2</v>
      </c>
      <c r="K32" s="1844"/>
      <c r="L32" s="1845"/>
      <c r="M32" s="1846">
        <f t="shared" si="21"/>
        <v>0</v>
      </c>
      <c r="N32" s="1847" t="str">
        <f t="shared" si="9"/>
        <v/>
      </c>
      <c r="O32" s="1848">
        <f t="shared" si="4"/>
        <v>0</v>
      </c>
      <c r="P32" s="1849" t="str">
        <f t="shared" si="17"/>
        <v/>
      </c>
      <c r="Q32" s="1850">
        <v>255</v>
      </c>
      <c r="R32" s="1851" t="str">
        <f t="shared" si="18"/>
        <v/>
      </c>
      <c r="S32" s="1852" t="str">
        <f t="shared" si="19"/>
        <v/>
      </c>
      <c r="T32" s="1896" t="str">
        <f t="shared" si="20"/>
        <v/>
      </c>
      <c r="V32" s="1853" t="str">
        <f t="shared" si="5"/>
        <v/>
      </c>
      <c r="W32" s="1856">
        <v>50</v>
      </c>
      <c r="X32" s="1855">
        <f t="shared" si="10"/>
        <v>0</v>
      </c>
      <c r="Y32" s="1897" t="str">
        <f t="shared" si="11"/>
        <v/>
      </c>
      <c r="AA32" s="1853" t="str" cm="1">
        <f t="array" aca="1" ref="AA32" ca="1">IF(ISBLANK(K32),"",LEFT(B32,MAX(IF(ISERROR(SEARCH(" ",LEFT(B32,AB32),ROW(OFFSET(INDIRECT("v14"),,,LEN(B32))))),0,SEARCH(" ",LEFT(B32,AB32),ROW(OFFSET(INDIRECT("v14"),,,LEN(B32))))))))</f>
        <v/>
      </c>
      <c r="AB32" s="1856">
        <v>50</v>
      </c>
      <c r="AC32" s="1855">
        <f t="shared" ca="1" si="12"/>
        <v>0</v>
      </c>
      <c r="AD32" s="1897" t="str">
        <f t="shared" si="13"/>
        <v/>
      </c>
      <c r="AF32" s="1853" t="str" cm="1">
        <f t="array" aca="1" ref="AF32" ca="1">IF(ISBLANK(K32),"",LEFT(B32,MIN(AG32,SUMPRODUCT(MAX((MID(B32,ROW(INDIRECT("1:"&amp;AG32)),1)=" ")*(ROW(INDIRECT("1:"&amp;AG32))))))))</f>
        <v/>
      </c>
      <c r="AG32" s="1856">
        <v>36</v>
      </c>
      <c r="AH32" s="1855">
        <f t="shared" ca="1" si="14"/>
        <v>0</v>
      </c>
      <c r="AI32" s="1897" t="str">
        <f t="shared" si="15"/>
        <v/>
      </c>
      <c r="AK32" s="1862"/>
      <c r="AL32" s="1802"/>
      <c r="AM32" s="1850"/>
      <c r="AN32" s="1863">
        <f t="shared" si="22"/>
        <v>0</v>
      </c>
      <c r="AO32" s="1864" t="str">
        <f t="shared" si="23"/>
        <v/>
      </c>
      <c r="AP32" s="1822"/>
      <c r="AQ32" s="1822"/>
    </row>
    <row r="33" spans="1:43">
      <c r="B33" s="1838" t="str">
        <f t="shared" si="7"/>
        <v/>
      </c>
      <c r="C33" s="1839"/>
      <c r="D33" s="1840"/>
      <c r="E33" s="1841" t="str">
        <f t="shared" si="0"/>
        <v/>
      </c>
      <c r="F33" s="1842" t="str">
        <f t="shared" si="1"/>
        <v/>
      </c>
      <c r="G33" s="1842" t="str">
        <f t="shared" si="1"/>
        <v/>
      </c>
      <c r="H33" s="1843" t="str">
        <f t="shared" si="2"/>
        <v/>
      </c>
      <c r="I33" s="1895" t="str">
        <f t="shared" si="3"/>
        <v/>
      </c>
      <c r="J33" s="1885" t="s">
        <v>2</v>
      </c>
      <c r="K33" s="1844"/>
      <c r="L33" s="1845"/>
      <c r="M33" s="1846">
        <f t="shared" si="21"/>
        <v>0</v>
      </c>
      <c r="N33" s="1847" t="str">
        <f t="shared" si="9"/>
        <v/>
      </c>
      <c r="O33" s="1848">
        <f t="shared" si="4"/>
        <v>0</v>
      </c>
      <c r="P33" s="1849" t="str">
        <f t="shared" si="17"/>
        <v/>
      </c>
      <c r="Q33" s="1850">
        <v>255</v>
      </c>
      <c r="R33" s="1851" t="str">
        <f t="shared" si="18"/>
        <v/>
      </c>
      <c r="S33" s="1852" t="str">
        <f t="shared" si="19"/>
        <v/>
      </c>
      <c r="T33" s="1896" t="str">
        <f t="shared" si="20"/>
        <v/>
      </c>
      <c r="V33" s="1853" t="str">
        <f t="shared" si="5"/>
        <v/>
      </c>
      <c r="W33" s="1856">
        <v>50</v>
      </c>
      <c r="X33" s="1855">
        <f t="shared" si="10"/>
        <v>0</v>
      </c>
      <c r="Y33" s="1897" t="str">
        <f t="shared" si="11"/>
        <v/>
      </c>
      <c r="AA33" s="1853" t="str" cm="1">
        <f t="array" aca="1" ref="AA33" ca="1">IF(ISBLANK(K33),"",LEFT(B33,MAX(IF(ISERROR(SEARCH(" ",LEFT(B33,AB33),ROW(OFFSET(INDIRECT("v14"),,,LEN(B33))))),0,SEARCH(" ",LEFT(B33,AB33),ROW(OFFSET(INDIRECT("v14"),,,LEN(B33))))))))</f>
        <v/>
      </c>
      <c r="AB33" s="1856">
        <v>50</v>
      </c>
      <c r="AC33" s="1855">
        <f t="shared" ca="1" si="12"/>
        <v>0</v>
      </c>
      <c r="AD33" s="1897" t="str">
        <f t="shared" si="13"/>
        <v/>
      </c>
      <c r="AF33" s="1853" t="str" cm="1">
        <f t="array" aca="1" ref="AF33" ca="1">IF(ISBLANK(K33),"",LEFT(B33,MIN(AG33,SUMPRODUCT(MAX((MID(B33,ROW(INDIRECT("1:"&amp;AG33)),1)=" ")*(ROW(INDIRECT("1:"&amp;AG33))))))))</f>
        <v/>
      </c>
      <c r="AG33" s="1856">
        <v>37</v>
      </c>
      <c r="AH33" s="1855">
        <f t="shared" ca="1" si="14"/>
        <v>0</v>
      </c>
      <c r="AI33" s="1897" t="str">
        <f t="shared" si="15"/>
        <v/>
      </c>
      <c r="AK33" s="1862"/>
      <c r="AL33" s="1802"/>
      <c r="AM33" s="1850"/>
      <c r="AN33" s="1863">
        <f t="shared" si="22"/>
        <v>0</v>
      </c>
      <c r="AO33" s="1864" t="str">
        <f t="shared" si="23"/>
        <v/>
      </c>
      <c r="AP33" s="1822"/>
      <c r="AQ33" s="1822"/>
    </row>
    <row r="34" spans="1:43">
      <c r="B34" s="1838" t="str">
        <f t="shared" si="7"/>
        <v/>
      </c>
      <c r="C34" s="1839"/>
      <c r="D34" s="1840"/>
      <c r="E34" s="1841" t="str">
        <f t="shared" si="0"/>
        <v/>
      </c>
      <c r="F34" s="1842" t="str">
        <f t="shared" si="1"/>
        <v/>
      </c>
      <c r="G34" s="1842" t="str">
        <f t="shared" si="1"/>
        <v/>
      </c>
      <c r="H34" s="1843" t="str">
        <f t="shared" si="2"/>
        <v/>
      </c>
      <c r="I34" s="1895" t="str">
        <f t="shared" si="3"/>
        <v/>
      </c>
      <c r="J34" s="1885" t="s">
        <v>2</v>
      </c>
      <c r="K34" s="1844"/>
      <c r="L34" s="1845"/>
      <c r="M34" s="1846">
        <f t="shared" si="21"/>
        <v>0</v>
      </c>
      <c r="N34" s="1847" t="str">
        <f t="shared" si="9"/>
        <v/>
      </c>
      <c r="O34" s="1848">
        <f t="shared" si="4"/>
        <v>0</v>
      </c>
      <c r="P34" s="1849" t="str">
        <f t="shared" si="17"/>
        <v/>
      </c>
      <c r="Q34" s="1850">
        <v>255</v>
      </c>
      <c r="R34" s="1851" t="str">
        <f t="shared" si="18"/>
        <v/>
      </c>
      <c r="S34" s="1852" t="str">
        <f t="shared" si="19"/>
        <v/>
      </c>
      <c r="T34" s="1896" t="str">
        <f t="shared" si="20"/>
        <v/>
      </c>
      <c r="V34" s="1853" t="str">
        <f t="shared" si="5"/>
        <v/>
      </c>
      <c r="W34" s="1856">
        <v>50</v>
      </c>
      <c r="X34" s="1855">
        <f t="shared" si="10"/>
        <v>0</v>
      </c>
      <c r="Y34" s="1897" t="str">
        <f t="shared" si="11"/>
        <v/>
      </c>
      <c r="AA34" s="1853" t="str" cm="1">
        <f t="array" aca="1" ref="AA34" ca="1">IF(ISBLANK(K34),"",LEFT(B34,MAX(IF(ISERROR(SEARCH(" ",LEFT(B34,AB34),ROW(OFFSET(INDIRECT("v14"),,,LEN(B34))))),0,SEARCH(" ",LEFT(B34,AB34),ROW(OFFSET(INDIRECT("v14"),,,LEN(B34))))))))</f>
        <v/>
      </c>
      <c r="AB34" s="1856">
        <v>50</v>
      </c>
      <c r="AC34" s="1855">
        <f t="shared" ca="1" si="12"/>
        <v>0</v>
      </c>
      <c r="AD34" s="1897" t="str">
        <f t="shared" si="13"/>
        <v/>
      </c>
      <c r="AF34" s="1853" t="str" cm="1">
        <f t="array" aca="1" ref="AF34" ca="1">IF(ISBLANK(K34),"",LEFT(B34,MIN(AG34,SUMPRODUCT(MAX((MID(B34,ROW(INDIRECT("1:"&amp;AG34)),1)=" ")*(ROW(INDIRECT("1:"&amp;AG34))))))))</f>
        <v/>
      </c>
      <c r="AG34" s="1856">
        <v>38</v>
      </c>
      <c r="AH34" s="1855">
        <f t="shared" ca="1" si="14"/>
        <v>0</v>
      </c>
      <c r="AI34" s="1897" t="str">
        <f t="shared" si="15"/>
        <v/>
      </c>
      <c r="AK34" s="1862"/>
      <c r="AL34" s="1802"/>
      <c r="AM34" s="1850"/>
      <c r="AN34" s="1863">
        <f t="shared" si="22"/>
        <v>0</v>
      </c>
      <c r="AO34" s="1864" t="str">
        <f t="shared" si="23"/>
        <v/>
      </c>
      <c r="AP34" s="1822"/>
      <c r="AQ34" s="1822"/>
    </row>
    <row r="35" spans="1:43">
      <c r="B35" s="1838" t="str">
        <f t="shared" si="7"/>
        <v/>
      </c>
      <c r="C35" s="1839"/>
      <c r="D35" s="1840"/>
      <c r="E35" s="1841" t="str">
        <f t="shared" si="0"/>
        <v/>
      </c>
      <c r="F35" s="1842" t="str">
        <f t="shared" si="1"/>
        <v/>
      </c>
      <c r="G35" s="1842" t="str">
        <f t="shared" si="1"/>
        <v/>
      </c>
      <c r="H35" s="1843" t="str">
        <f t="shared" si="2"/>
        <v/>
      </c>
      <c r="I35" s="1895" t="str">
        <f t="shared" si="3"/>
        <v/>
      </c>
      <c r="J35" s="1885" t="s">
        <v>2</v>
      </c>
      <c r="K35" s="1844"/>
      <c r="L35" s="1845"/>
      <c r="M35" s="1846">
        <f t="shared" si="21"/>
        <v>0</v>
      </c>
      <c r="N35" s="1847" t="str">
        <f t="shared" si="9"/>
        <v/>
      </c>
      <c r="O35" s="1848">
        <f t="shared" si="4"/>
        <v>0</v>
      </c>
      <c r="P35" s="1849" t="str">
        <f t="shared" si="17"/>
        <v/>
      </c>
      <c r="Q35" s="1850">
        <v>255</v>
      </c>
      <c r="R35" s="1851" t="str">
        <f t="shared" si="18"/>
        <v/>
      </c>
      <c r="S35" s="1852" t="str">
        <f t="shared" si="19"/>
        <v/>
      </c>
      <c r="T35" s="1896" t="str">
        <f t="shared" si="20"/>
        <v/>
      </c>
      <c r="V35" s="1853" t="str">
        <f t="shared" si="5"/>
        <v/>
      </c>
      <c r="W35" s="1856">
        <v>50</v>
      </c>
      <c r="X35" s="1855">
        <f t="shared" si="10"/>
        <v>0</v>
      </c>
      <c r="Y35" s="1897" t="str">
        <f t="shared" si="11"/>
        <v/>
      </c>
      <c r="AA35" s="1853" t="str" cm="1">
        <f t="array" aca="1" ref="AA35" ca="1">IF(ISBLANK(K35),"",LEFT(B35,MAX(IF(ISERROR(SEARCH(" ",LEFT(B35,AB35),ROW(OFFSET(INDIRECT("v14"),,,LEN(B35))))),0,SEARCH(" ",LEFT(B35,AB35),ROW(OFFSET(INDIRECT("v14"),,,LEN(B35))))))))</f>
        <v/>
      </c>
      <c r="AB35" s="1856">
        <v>50</v>
      </c>
      <c r="AC35" s="1855">
        <f t="shared" ca="1" si="12"/>
        <v>0</v>
      </c>
      <c r="AD35" s="1897" t="str">
        <f t="shared" si="13"/>
        <v/>
      </c>
      <c r="AF35" s="1853" t="str" cm="1">
        <f t="array" aca="1" ref="AF35" ca="1">IF(ISBLANK(K35),"",LEFT(B35,MIN(AG35,SUMPRODUCT(MAX((MID(B35,ROW(INDIRECT("1:"&amp;AG35)),1)=" ")*(ROW(INDIRECT("1:"&amp;AG35))))))))</f>
        <v/>
      </c>
      <c r="AG35" s="1856">
        <v>39</v>
      </c>
      <c r="AH35" s="1855">
        <f t="shared" ca="1" si="14"/>
        <v>0</v>
      </c>
      <c r="AI35" s="1897" t="str">
        <f t="shared" si="15"/>
        <v/>
      </c>
      <c r="AK35" s="1862"/>
      <c r="AL35" s="1802"/>
      <c r="AM35" s="1850"/>
      <c r="AN35" s="1863">
        <f t="shared" si="22"/>
        <v>0</v>
      </c>
      <c r="AO35" s="1864" t="str">
        <f t="shared" si="23"/>
        <v/>
      </c>
      <c r="AP35" s="1822"/>
      <c r="AQ35" s="1822"/>
    </row>
    <row r="36" spans="1:43">
      <c r="B36" s="1838" t="str">
        <f t="shared" si="7"/>
        <v/>
      </c>
      <c r="C36" s="1839"/>
      <c r="D36" s="1840"/>
      <c r="E36" s="1841" t="str">
        <f t="shared" si="0"/>
        <v/>
      </c>
      <c r="F36" s="1842" t="str">
        <f t="shared" si="1"/>
        <v/>
      </c>
      <c r="G36" s="1842" t="str">
        <f t="shared" si="1"/>
        <v/>
      </c>
      <c r="H36" s="1843" t="str">
        <f t="shared" si="2"/>
        <v/>
      </c>
      <c r="I36" s="1895" t="str">
        <f t="shared" si="3"/>
        <v/>
      </c>
      <c r="J36" s="1885" t="s">
        <v>2</v>
      </c>
      <c r="K36" s="1844"/>
      <c r="L36" s="1845"/>
      <c r="M36" s="1846">
        <f t="shared" si="21"/>
        <v>0</v>
      </c>
      <c r="N36" s="1847" t="str">
        <f t="shared" si="9"/>
        <v/>
      </c>
      <c r="O36" s="1848">
        <f t="shared" si="4"/>
        <v>0</v>
      </c>
      <c r="P36" s="1849" t="str">
        <f t="shared" si="17"/>
        <v/>
      </c>
      <c r="Q36" s="1850">
        <v>255</v>
      </c>
      <c r="R36" s="1851" t="str">
        <f t="shared" si="18"/>
        <v/>
      </c>
      <c r="S36" s="1852" t="str">
        <f t="shared" si="19"/>
        <v/>
      </c>
      <c r="T36" s="1896" t="str">
        <f t="shared" si="20"/>
        <v/>
      </c>
      <c r="V36" s="1853" t="str">
        <f t="shared" si="5"/>
        <v/>
      </c>
      <c r="W36" s="1856">
        <v>50</v>
      </c>
      <c r="X36" s="1855">
        <f t="shared" si="10"/>
        <v>0</v>
      </c>
      <c r="Y36" s="1897" t="str">
        <f t="shared" si="11"/>
        <v/>
      </c>
      <c r="AA36" s="1853" t="str" cm="1">
        <f t="array" aca="1" ref="AA36" ca="1">IF(ISBLANK(K36),"",LEFT(B36,MAX(IF(ISERROR(SEARCH(" ",LEFT(B36,AB36),ROW(OFFSET(INDIRECT("v14"),,,LEN(B36))))),0,SEARCH(" ",LEFT(B36,AB36),ROW(OFFSET(INDIRECT("v14"),,,LEN(B36))))))))</f>
        <v/>
      </c>
      <c r="AB36" s="1856">
        <v>50</v>
      </c>
      <c r="AC36" s="1855">
        <f t="shared" ca="1" si="12"/>
        <v>0</v>
      </c>
      <c r="AD36" s="1897" t="str">
        <f t="shared" si="13"/>
        <v/>
      </c>
      <c r="AF36" s="1853" t="str" cm="1">
        <f t="array" aca="1" ref="AF36" ca="1">IF(ISBLANK(K36),"",LEFT(B36,MIN(AG36,SUMPRODUCT(MAX((MID(B36,ROW(INDIRECT("1:"&amp;AG36)),1)=" ")*(ROW(INDIRECT("1:"&amp;AG36))))))))</f>
        <v/>
      </c>
      <c r="AG36" s="1856">
        <v>40</v>
      </c>
      <c r="AH36" s="1855">
        <f t="shared" ca="1" si="14"/>
        <v>0</v>
      </c>
      <c r="AI36" s="1897" t="str">
        <f t="shared" si="15"/>
        <v/>
      </c>
      <c r="AK36" s="1862"/>
      <c r="AL36" s="1802"/>
      <c r="AM36" s="1850"/>
      <c r="AN36" s="1863">
        <f t="shared" si="22"/>
        <v>0</v>
      </c>
      <c r="AO36" s="1864" t="str">
        <f t="shared" si="23"/>
        <v/>
      </c>
      <c r="AP36" s="1822"/>
      <c r="AQ36" s="1822"/>
    </row>
    <row r="37" spans="1:43">
      <c r="A37" s="1869"/>
      <c r="B37" s="1870"/>
      <c r="C37" s="1870"/>
      <c r="D37" s="1870"/>
      <c r="E37" s="1871" t="str">
        <f>SUBSTITUTE(K37,"—","",1)</f>
        <v/>
      </c>
      <c r="F37" s="1870" t="str">
        <f t="shared" ref="F37" si="24">TRIM(E37)</f>
        <v/>
      </c>
      <c r="G37" s="1870"/>
      <c r="H37" s="1870"/>
      <c r="I37" s="1870"/>
      <c r="K37" s="1869"/>
      <c r="L37" s="1869"/>
      <c r="M37" s="1869"/>
      <c r="N37" s="1869"/>
      <c r="O37" s="1869"/>
      <c r="P37" s="1869"/>
      <c r="Q37" s="1869"/>
      <c r="R37" s="1869"/>
      <c r="S37" s="1869"/>
      <c r="T37" s="1869"/>
      <c r="V37" s="1869"/>
      <c r="W37" s="1869"/>
      <c r="X37" s="1869"/>
      <c r="Y37" s="1869"/>
      <c r="AA37" s="1869"/>
      <c r="AB37" s="1869"/>
      <c r="AC37" s="1869"/>
      <c r="AD37" s="1869"/>
      <c r="AF37" s="1869"/>
      <c r="AG37" s="1869"/>
      <c r="AH37" s="1869"/>
      <c r="AI37" s="1869"/>
      <c r="AK37" s="1869"/>
      <c r="AL37" s="1869"/>
      <c r="AM37" s="1869"/>
      <c r="AN37" s="1869"/>
      <c r="AO37" s="1869"/>
      <c r="AP37" s="1869"/>
      <c r="AQ37" s="1869"/>
    </row>
    <row r="38" spans="1:43" ht="21.75" thickBot="1">
      <c r="B38" s="1799"/>
      <c r="C38" s="1799"/>
      <c r="D38" s="1799"/>
      <c r="E38" s="1800"/>
      <c r="F38" s="1799"/>
      <c r="G38" s="1799"/>
      <c r="H38" s="1799"/>
      <c r="I38" s="1799"/>
    </row>
    <row r="39" spans="1:43">
      <c r="B39" s="1872" t="s">
        <v>2562</v>
      </c>
      <c r="C39" s="1799"/>
      <c r="D39" s="1799"/>
      <c r="E39" s="1800"/>
      <c r="F39" s="1799"/>
      <c r="G39" s="1799"/>
      <c r="H39" s="1799"/>
      <c r="I39" s="1799"/>
      <c r="K39" s="1873" t="s">
        <v>2563</v>
      </c>
    </row>
    <row r="40" spans="1:43">
      <c r="B40" s="1874" t="s">
        <v>2564</v>
      </c>
      <c r="C40" s="1799"/>
      <c r="D40" s="1799"/>
      <c r="E40" s="1800"/>
      <c r="F40" s="1799"/>
      <c r="G40" s="1799"/>
      <c r="H40" s="1799"/>
      <c r="I40" s="1799"/>
      <c r="K40" s="1875" t="s">
        <v>2565</v>
      </c>
    </row>
    <row r="41" spans="1:43">
      <c r="B41" s="1874" t="s">
        <v>2566</v>
      </c>
      <c r="C41" s="1799"/>
      <c r="D41" s="1799"/>
      <c r="E41" s="1800"/>
      <c r="F41" s="1799"/>
      <c r="G41" s="1799"/>
      <c r="H41" s="1799"/>
      <c r="I41" s="1799"/>
      <c r="K41" s="1875" t="s">
        <v>2650</v>
      </c>
    </row>
    <row r="42" spans="1:43">
      <c r="B42" s="1874" t="s">
        <v>2567</v>
      </c>
      <c r="C42" s="1799"/>
      <c r="D42" s="1799"/>
      <c r="E42" s="1800"/>
      <c r="F42" s="1799"/>
      <c r="G42" s="1799"/>
      <c r="H42" s="1799"/>
      <c r="I42" s="1799"/>
      <c r="K42" s="1875" t="s">
        <v>2651</v>
      </c>
    </row>
    <row r="43" spans="1:43" ht="21" customHeight="1">
      <c r="B43" s="1874" t="s">
        <v>2568</v>
      </c>
      <c r="C43" s="1799"/>
      <c r="D43" s="1799"/>
      <c r="E43" s="1800"/>
      <c r="F43" s="1799"/>
      <c r="G43" s="1799"/>
      <c r="H43" s="1799"/>
      <c r="I43" s="1799"/>
      <c r="K43" s="1875" t="s">
        <v>2569</v>
      </c>
    </row>
    <row r="44" spans="1:43" ht="21.75" thickBot="1">
      <c r="B44" s="1876"/>
      <c r="C44" s="1799"/>
      <c r="D44" s="1799"/>
      <c r="E44" s="1800"/>
      <c r="F44" s="1799"/>
      <c r="G44" s="1799"/>
      <c r="H44" s="1799"/>
      <c r="I44" s="1799"/>
      <c r="K44" s="1898" t="s">
        <v>2570</v>
      </c>
    </row>
    <row r="45" spans="1:43">
      <c r="B45" s="1799"/>
      <c r="C45" s="1799"/>
      <c r="D45" s="1799"/>
      <c r="E45" s="1800"/>
      <c r="F45" s="1799"/>
      <c r="G45" s="1799"/>
      <c r="H45" s="1799"/>
      <c r="I45" s="1799"/>
    </row>
    <row r="47" spans="1:43" s="1787" customFormat="1" ht="30" customHeight="1">
      <c r="A47" s="1785"/>
      <c r="B47" s="1785"/>
      <c r="C47" s="1785"/>
      <c r="D47" s="1785"/>
      <c r="E47" s="1899"/>
      <c r="F47" s="1899"/>
      <c r="G47" s="1785"/>
      <c r="H47" s="1785"/>
      <c r="I47" s="1785"/>
      <c r="L47" s="1900"/>
      <c r="M47" s="1900"/>
      <c r="N47" s="1900"/>
      <c r="O47" s="1900"/>
      <c r="P47" s="1900"/>
      <c r="Q47" s="1794"/>
      <c r="R47" s="1794"/>
      <c r="S47" s="1794"/>
      <c r="T47" s="1794"/>
      <c r="U47" s="1794"/>
      <c r="V47" s="1794"/>
      <c r="W47" s="1794"/>
      <c r="X47" s="1794"/>
      <c r="Y47" s="1794"/>
      <c r="Z47" s="1794"/>
      <c r="AA47" s="1794"/>
      <c r="AB47" s="1794"/>
      <c r="AC47" s="1794"/>
    </row>
    <row r="48" spans="1:43" s="1787" customFormat="1" ht="30" customHeight="1">
      <c r="A48" s="1785"/>
      <c r="B48" s="1788"/>
      <c r="C48" s="1785"/>
      <c r="D48" s="1901" t="s">
        <v>2547</v>
      </c>
      <c r="E48" s="1901"/>
      <c r="F48" s="1901"/>
      <c r="G48" s="1785"/>
      <c r="H48" s="1785"/>
      <c r="I48" s="1902"/>
      <c r="L48" s="1903"/>
      <c r="M48" s="1903"/>
      <c r="N48" s="1903"/>
      <c r="O48" s="1903"/>
      <c r="P48" s="1903"/>
      <c r="Q48" s="1903"/>
      <c r="R48" s="1903"/>
      <c r="S48" s="1903"/>
      <c r="T48" s="1903"/>
      <c r="U48" s="1903"/>
      <c r="V48" s="1794"/>
      <c r="W48" s="361"/>
      <c r="X48" s="8173"/>
      <c r="Y48" s="8173"/>
      <c r="Z48" s="8173"/>
      <c r="AA48" s="8173"/>
      <c r="AB48" s="361"/>
      <c r="AC48" s="1794"/>
    </row>
    <row r="49" spans="1:29" s="1787" customFormat="1" ht="30" customHeight="1">
      <c r="A49" s="1785"/>
      <c r="B49" s="1788"/>
      <c r="C49" s="1785"/>
      <c r="D49" s="1901"/>
      <c r="E49" s="1901"/>
      <c r="F49" s="1901"/>
      <c r="G49" s="1785"/>
      <c r="H49" s="1785"/>
      <c r="I49" s="1902"/>
      <c r="L49" s="1903"/>
      <c r="M49" s="1903"/>
      <c r="N49" s="1903"/>
      <c r="O49" s="1903"/>
      <c r="P49" s="1903"/>
      <c r="Q49" s="1903"/>
      <c r="R49" s="1903"/>
      <c r="S49" s="1903"/>
      <c r="T49" s="1903"/>
      <c r="U49" s="1903"/>
      <c r="V49" s="1794"/>
      <c r="W49" s="1904"/>
      <c r="X49" s="8173"/>
      <c r="Y49" s="8173"/>
      <c r="Z49" s="8173"/>
      <c r="AA49" s="8173"/>
      <c r="AB49" s="361"/>
      <c r="AC49" s="1794"/>
    </row>
    <row r="50" spans="1:29" s="1787" customFormat="1" ht="30" customHeight="1">
      <c r="A50" s="1785"/>
      <c r="B50" s="1789"/>
      <c r="C50" s="1785"/>
      <c r="D50" s="1905" t="s">
        <v>2654</v>
      </c>
      <c r="E50" s="1905"/>
      <c r="F50" s="1899"/>
      <c r="G50" s="1785"/>
      <c r="H50" s="1785"/>
      <c r="I50" s="1902"/>
      <c r="L50" s="1903"/>
      <c r="M50" s="1903"/>
      <c r="N50" s="1903"/>
      <c r="O50" s="1903"/>
      <c r="P50" s="1903"/>
      <c r="Q50" s="1903"/>
      <c r="R50" s="1903"/>
      <c r="S50" s="1903"/>
      <c r="T50" s="1903"/>
      <c r="U50" s="1903"/>
      <c r="V50" s="1794"/>
      <c r="W50" s="361"/>
      <c r="X50" s="8173"/>
      <c r="Y50" s="8173"/>
      <c r="Z50" s="8173"/>
      <c r="AA50" s="8173"/>
      <c r="AB50" s="361"/>
      <c r="AC50" s="1794"/>
    </row>
    <row r="51" spans="1:29" s="1787" customFormat="1" ht="30" customHeight="1">
      <c r="A51" s="1785"/>
      <c r="B51" s="1789"/>
      <c r="C51" s="1785"/>
      <c r="D51" s="1905" t="s">
        <v>2549</v>
      </c>
      <c r="E51" s="1905"/>
      <c r="F51" s="1899"/>
      <c r="G51" s="1785"/>
      <c r="H51" s="1785"/>
      <c r="I51" s="1902"/>
      <c r="L51" s="1903"/>
      <c r="M51" s="1903"/>
      <c r="N51" s="1903"/>
      <c r="O51" s="1903"/>
      <c r="P51" s="1903"/>
      <c r="Q51" s="1903"/>
      <c r="R51" s="1903"/>
      <c r="S51" s="1903"/>
      <c r="T51" s="1903"/>
      <c r="U51" s="1903"/>
      <c r="V51" s="1794"/>
      <c r="W51" s="1904"/>
      <c r="X51" s="8173"/>
      <c r="Y51" s="8173"/>
      <c r="Z51" s="8173"/>
      <c r="AA51" s="8173"/>
      <c r="AB51" s="361"/>
      <c r="AC51" s="1794"/>
    </row>
    <row r="52" spans="1:29" s="1787" customFormat="1" ht="30" customHeight="1">
      <c r="A52" s="1785"/>
      <c r="B52" s="1789"/>
      <c r="C52" s="1785"/>
      <c r="D52" s="1905" t="s">
        <v>2550</v>
      </c>
      <c r="E52" s="1905"/>
      <c r="F52" s="1899"/>
      <c r="G52" s="1785"/>
      <c r="H52" s="1785"/>
      <c r="I52" s="1902"/>
      <c r="L52" s="1903"/>
      <c r="M52" s="1903"/>
      <c r="N52" s="1903"/>
      <c r="O52" s="1903"/>
      <c r="P52" s="1903"/>
      <c r="Q52" s="1903"/>
      <c r="R52" s="1903"/>
      <c r="S52" s="1903"/>
      <c r="T52" s="1903"/>
      <c r="U52" s="1903"/>
      <c r="V52" s="1794"/>
      <c r="W52" s="361"/>
      <c r="X52" s="8173"/>
      <c r="Y52" s="8173"/>
      <c r="Z52" s="8173"/>
      <c r="AA52" s="8173"/>
      <c r="AB52" s="361"/>
      <c r="AC52" s="1794"/>
    </row>
    <row r="53" spans="1:29" s="1787" customFormat="1" ht="30" customHeight="1">
      <c r="A53" s="1785"/>
      <c r="B53" s="1790"/>
      <c r="C53" s="1785"/>
      <c r="D53" s="1785"/>
      <c r="E53" s="1785"/>
      <c r="F53" s="1785"/>
      <c r="G53" s="1785"/>
      <c r="H53" s="1785"/>
      <c r="I53" s="1902"/>
      <c r="L53" s="1903"/>
      <c r="M53" s="1903"/>
      <c r="N53" s="1903"/>
      <c r="O53" s="1903"/>
      <c r="P53" s="1903"/>
      <c r="Q53" s="1903"/>
      <c r="R53" s="1903"/>
      <c r="S53" s="1903"/>
      <c r="T53" s="1903"/>
      <c r="U53" s="1903"/>
      <c r="V53" s="1794"/>
      <c r="W53" s="1904"/>
      <c r="X53" s="8173"/>
      <c r="Y53" s="8173"/>
      <c r="Z53" s="8173"/>
      <c r="AA53" s="8173"/>
      <c r="AB53" s="361"/>
      <c r="AC53" s="1794"/>
    </row>
    <row r="54" spans="1:29" s="1787" customFormat="1" ht="30" customHeight="1">
      <c r="A54" s="1785"/>
      <c r="B54" s="1791" t="s">
        <v>2551</v>
      </c>
      <c r="C54" s="1785"/>
      <c r="D54" s="1785"/>
      <c r="E54" s="1785"/>
      <c r="F54" s="1785"/>
      <c r="G54" s="1785"/>
      <c r="H54" s="1785"/>
      <c r="I54" s="1902"/>
      <c r="L54" s="1903"/>
      <c r="M54" s="1903"/>
      <c r="N54" s="1903"/>
      <c r="O54" s="1903"/>
      <c r="P54" s="1903"/>
      <c r="Q54" s="1903"/>
      <c r="R54" s="1903"/>
      <c r="S54" s="1903"/>
      <c r="T54" s="1903"/>
      <c r="U54" s="1903"/>
      <c r="V54" s="1794"/>
      <c r="W54" s="361"/>
      <c r="X54" s="8173"/>
      <c r="Y54" s="8173"/>
      <c r="Z54" s="8173"/>
      <c r="AA54" s="8173"/>
      <c r="AB54" s="361"/>
      <c r="AC54" s="1794"/>
    </row>
    <row r="55" spans="1:29" s="1787" customFormat="1" ht="30" customHeight="1">
      <c r="A55" s="1785"/>
      <c r="B55" s="1788"/>
      <c r="C55" s="1785"/>
      <c r="D55" s="1785"/>
      <c r="E55" s="1785"/>
      <c r="F55" s="1785"/>
      <c r="G55" s="1785"/>
      <c r="H55" s="1785"/>
      <c r="I55" s="1902"/>
      <c r="L55" s="1903"/>
      <c r="M55" s="1903"/>
      <c r="N55" s="1903"/>
      <c r="O55" s="1903"/>
      <c r="P55" s="1903"/>
      <c r="Q55" s="1903"/>
      <c r="R55" s="1903"/>
      <c r="S55" s="1903"/>
      <c r="T55" s="1903"/>
      <c r="U55" s="1903"/>
      <c r="V55" s="1794"/>
      <c r="W55" s="1904"/>
      <c r="X55" s="8173"/>
      <c r="Y55" s="8173"/>
      <c r="Z55" s="8173"/>
      <c r="AA55" s="8173"/>
      <c r="AB55" s="361"/>
      <c r="AC55" s="1794"/>
    </row>
    <row r="56" spans="1:29" s="1787" customFormat="1" ht="30" customHeight="1">
      <c r="A56" s="1785"/>
      <c r="B56" s="1789" t="s">
        <v>2552</v>
      </c>
      <c r="C56" s="1785"/>
      <c r="D56" s="1785"/>
      <c r="E56" s="1785"/>
      <c r="F56" s="1785"/>
      <c r="G56" s="1785"/>
      <c r="H56" s="1785"/>
      <c r="I56" s="1902"/>
      <c r="L56" s="1903"/>
      <c r="M56" s="1903"/>
      <c r="N56" s="1903"/>
      <c r="O56" s="1903"/>
      <c r="P56" s="1903"/>
      <c r="Q56" s="1903"/>
      <c r="R56" s="1903"/>
      <c r="S56" s="1903"/>
      <c r="T56" s="1903"/>
      <c r="U56" s="1903"/>
      <c r="V56" s="1794"/>
      <c r="W56" s="361"/>
      <c r="X56" s="8173"/>
      <c r="Y56" s="8173"/>
      <c r="Z56" s="8173"/>
      <c r="AA56" s="8173"/>
      <c r="AB56" s="361"/>
      <c r="AC56" s="1794"/>
    </row>
    <row r="57" spans="1:29" s="1787" customFormat="1" ht="30" customHeight="1">
      <c r="A57" s="1785"/>
      <c r="B57" s="1789" t="s">
        <v>2553</v>
      </c>
      <c r="C57" s="1785"/>
      <c r="D57" s="1785"/>
      <c r="E57" s="1785"/>
      <c r="F57" s="1785"/>
      <c r="G57" s="1785"/>
      <c r="H57" s="1785"/>
      <c r="I57" s="1902"/>
      <c r="L57" s="1903"/>
      <c r="M57" s="1903"/>
      <c r="N57" s="1903"/>
      <c r="O57" s="1903"/>
      <c r="P57" s="1903"/>
      <c r="Q57" s="1903"/>
      <c r="R57" s="1903"/>
      <c r="S57" s="1903"/>
      <c r="T57" s="1903"/>
      <c r="U57" s="1903"/>
      <c r="V57" s="1794"/>
      <c r="W57" s="1904"/>
      <c r="X57" s="8173"/>
      <c r="Y57" s="8173"/>
      <c r="Z57" s="8173"/>
      <c r="AA57" s="8173"/>
      <c r="AB57" s="361"/>
      <c r="AC57" s="1794"/>
    </row>
    <row r="58" spans="1:29" s="1787" customFormat="1" ht="30" customHeight="1">
      <c r="A58" s="1785"/>
      <c r="B58" s="1789" t="s">
        <v>2554</v>
      </c>
      <c r="C58" s="1785"/>
      <c r="D58" s="1785"/>
      <c r="E58" s="1785"/>
      <c r="F58" s="1785"/>
      <c r="G58" s="1785"/>
      <c r="H58" s="1785"/>
      <c r="I58" s="1902"/>
      <c r="L58" s="1903"/>
      <c r="M58" s="1903"/>
      <c r="N58" s="1903"/>
      <c r="O58" s="1903"/>
      <c r="P58" s="1903"/>
      <c r="Q58" s="1903"/>
      <c r="R58" s="1903"/>
      <c r="S58" s="1903"/>
      <c r="T58" s="1903"/>
      <c r="U58" s="1903"/>
      <c r="V58" s="1794"/>
      <c r="W58" s="361"/>
      <c r="X58" s="8173"/>
      <c r="Y58" s="8173"/>
      <c r="Z58" s="8173"/>
      <c r="AA58" s="8173"/>
      <c r="AB58" s="361"/>
      <c r="AC58" s="1794"/>
    </row>
    <row r="59" spans="1:29" s="1787" customFormat="1" ht="30" customHeight="1">
      <c r="A59" s="1785"/>
      <c r="B59" s="1790"/>
      <c r="C59" s="1785"/>
      <c r="D59" s="1785"/>
      <c r="E59" s="1785"/>
      <c r="F59" s="1785"/>
      <c r="G59" s="1785"/>
      <c r="H59" s="1785"/>
      <c r="I59" s="1902"/>
      <c r="L59" s="1903"/>
      <c r="M59" s="1903"/>
      <c r="N59" s="1903"/>
      <c r="O59" s="1903"/>
      <c r="P59" s="1903"/>
      <c r="Q59" s="1903"/>
      <c r="R59" s="1903"/>
      <c r="S59" s="1903"/>
      <c r="T59" s="1903"/>
      <c r="U59" s="1903"/>
      <c r="V59" s="1794"/>
      <c r="W59" s="1904"/>
      <c r="X59" s="8173"/>
      <c r="Y59" s="8173"/>
      <c r="Z59" s="8173"/>
      <c r="AA59" s="8173"/>
      <c r="AB59" s="361"/>
      <c r="AC59" s="1794"/>
    </row>
    <row r="60" spans="1:29" s="1787" customFormat="1" ht="30" customHeight="1">
      <c r="A60" s="1785"/>
      <c r="B60" s="1792" t="s">
        <v>2555</v>
      </c>
      <c r="C60" s="1785"/>
      <c r="D60" s="1785"/>
      <c r="E60" s="1785"/>
      <c r="F60" s="1785"/>
      <c r="G60" s="1785"/>
      <c r="H60" s="1785"/>
      <c r="I60" s="1902"/>
      <c r="L60" s="1903"/>
      <c r="M60" s="1903"/>
      <c r="N60" s="1903"/>
      <c r="O60" s="1903"/>
      <c r="P60" s="1903"/>
      <c r="Q60" s="1903"/>
      <c r="R60" s="1903"/>
      <c r="S60" s="1903"/>
      <c r="T60" s="1903"/>
      <c r="U60" s="1903"/>
      <c r="V60" s="1794"/>
      <c r="W60" s="361"/>
      <c r="X60" s="8173"/>
      <c r="Y60" s="8173"/>
      <c r="Z60" s="8173"/>
      <c r="AA60" s="8173"/>
      <c r="AB60" s="361"/>
      <c r="AC60" s="1794"/>
    </row>
    <row r="61" spans="1:29" s="1787" customFormat="1" ht="30" customHeight="1">
      <c r="A61" s="1785"/>
      <c r="B61" s="1790"/>
      <c r="C61" s="1785"/>
      <c r="D61" s="1785"/>
      <c r="E61" s="1785"/>
      <c r="F61" s="1785"/>
      <c r="G61" s="1785"/>
      <c r="H61" s="1785"/>
      <c r="I61" s="1902"/>
      <c r="L61" s="1903"/>
      <c r="M61" s="1903"/>
      <c r="N61" s="1903"/>
      <c r="O61" s="1903"/>
      <c r="P61" s="1903"/>
      <c r="Q61" s="1903"/>
      <c r="R61" s="1903"/>
      <c r="S61" s="1903"/>
      <c r="T61" s="1903"/>
      <c r="U61" s="1903"/>
      <c r="V61" s="1794"/>
      <c r="W61" s="1904"/>
      <c r="X61" s="8173"/>
      <c r="Y61" s="8173"/>
      <c r="Z61" s="8173"/>
      <c r="AA61" s="8173"/>
      <c r="AB61" s="361"/>
      <c r="AC61" s="1794"/>
    </row>
    <row r="62" spans="1:29" s="1787" customFormat="1" ht="30" customHeight="1">
      <c r="A62" s="1785"/>
      <c r="B62" s="1789" t="s">
        <v>2556</v>
      </c>
      <c r="C62" s="1785"/>
      <c r="D62" s="1785"/>
      <c r="E62" s="1785"/>
      <c r="F62" s="1785"/>
      <c r="G62" s="1785"/>
      <c r="H62" s="1785"/>
      <c r="I62" s="1902"/>
      <c r="L62" s="1903"/>
      <c r="M62" s="1903"/>
      <c r="N62" s="1903"/>
      <c r="O62" s="1903"/>
      <c r="P62" s="1903"/>
      <c r="Q62" s="1903"/>
      <c r="R62" s="1903"/>
      <c r="S62" s="1903"/>
      <c r="T62" s="1903"/>
      <c r="U62" s="1903"/>
      <c r="V62" s="1794"/>
      <c r="W62" s="361"/>
      <c r="X62" s="8173"/>
      <c r="Y62" s="8173"/>
      <c r="Z62" s="8173"/>
      <c r="AA62" s="8173"/>
      <c r="AB62" s="361"/>
      <c r="AC62" s="1794"/>
    </row>
    <row r="63" spans="1:29" s="1787" customFormat="1" ht="30" customHeight="1">
      <c r="A63" s="1785"/>
      <c r="B63" s="1790"/>
      <c r="C63" s="1785"/>
      <c r="D63" s="1785"/>
      <c r="E63" s="1785"/>
      <c r="F63" s="1785"/>
      <c r="G63" s="1785"/>
      <c r="H63" s="1785"/>
      <c r="I63" s="1902"/>
      <c r="L63" s="1903"/>
      <c r="M63" s="1903"/>
      <c r="N63" s="1903"/>
      <c r="O63" s="1903"/>
      <c r="P63" s="1903"/>
      <c r="Q63" s="1903"/>
      <c r="R63" s="1903"/>
      <c r="S63" s="1903"/>
      <c r="T63" s="1903"/>
      <c r="U63" s="1903"/>
      <c r="V63" s="1794"/>
      <c r="W63" s="1904"/>
      <c r="X63" s="8173"/>
      <c r="Y63" s="8173"/>
      <c r="Z63" s="8173"/>
      <c r="AA63" s="8173"/>
      <c r="AB63" s="361"/>
      <c r="AC63" s="1794"/>
    </row>
    <row r="64" spans="1:29" s="1787" customFormat="1" ht="30" customHeight="1">
      <c r="A64" s="1785"/>
      <c r="B64" s="1789" t="s">
        <v>2557</v>
      </c>
      <c r="C64" s="1785"/>
      <c r="D64" s="1785"/>
      <c r="E64" s="1785"/>
      <c r="F64" s="1785"/>
      <c r="G64" s="1785"/>
      <c r="H64" s="1785"/>
      <c r="I64" s="1902"/>
      <c r="L64" s="1903"/>
      <c r="M64" s="1903"/>
      <c r="N64" s="1903"/>
      <c r="O64" s="1903"/>
      <c r="P64" s="1903"/>
      <c r="Q64" s="1903"/>
      <c r="R64" s="1903"/>
      <c r="S64" s="1903"/>
      <c r="T64" s="1903"/>
      <c r="U64" s="1903"/>
      <c r="V64" s="1794"/>
      <c r="W64" s="361"/>
      <c r="X64" s="8173"/>
      <c r="Y64" s="8173"/>
      <c r="Z64" s="8173"/>
      <c r="AA64" s="8173"/>
      <c r="AB64" s="361"/>
      <c r="AC64" s="1794"/>
    </row>
    <row r="65" spans="1:32" s="1787" customFormat="1" ht="30" customHeight="1">
      <c r="A65" s="1785"/>
      <c r="B65" s="1786"/>
      <c r="C65" s="1786"/>
      <c r="D65" s="1786"/>
      <c r="E65" s="1786"/>
      <c r="F65" s="1786"/>
      <c r="G65" s="1786"/>
      <c r="H65" s="1786"/>
      <c r="I65" s="1786"/>
      <c r="L65" s="1903"/>
      <c r="M65" s="1903"/>
      <c r="N65" s="1903"/>
      <c r="O65" s="1903"/>
      <c r="P65" s="1903"/>
      <c r="Q65" s="1903"/>
      <c r="R65" s="1903"/>
      <c r="S65" s="1903"/>
      <c r="T65" s="1903"/>
      <c r="U65" s="1903"/>
      <c r="V65" s="1794"/>
      <c r="W65" s="1904"/>
      <c r="X65" s="8173"/>
      <c r="Y65" s="8173"/>
      <c r="Z65" s="8173"/>
      <c r="AA65" s="8173"/>
      <c r="AB65" s="361"/>
      <c r="AC65" s="1794"/>
    </row>
    <row r="66" spans="1:32" s="1787" customFormat="1" ht="30" customHeight="1">
      <c r="A66" s="1785"/>
      <c r="B66" s="1789" t="s">
        <v>2558</v>
      </c>
      <c r="C66" s="1786"/>
      <c r="D66" s="1786"/>
      <c r="E66" s="1786"/>
      <c r="F66" s="1786"/>
      <c r="G66" s="1786"/>
      <c r="H66" s="1786"/>
      <c r="I66" s="1786"/>
      <c r="L66" s="1903"/>
      <c r="M66" s="1903"/>
      <c r="N66" s="1903"/>
      <c r="O66" s="1903"/>
      <c r="P66" s="1903"/>
      <c r="Q66" s="1903"/>
      <c r="R66" s="1903"/>
      <c r="S66" s="1903"/>
      <c r="T66" s="1903"/>
      <c r="U66" s="1903"/>
      <c r="V66" s="1794"/>
      <c r="W66" s="361"/>
      <c r="X66" s="8173"/>
      <c r="Y66" s="8173"/>
      <c r="Z66" s="8173"/>
      <c r="AA66" s="8173"/>
      <c r="AB66" s="361"/>
      <c r="AC66" s="1794"/>
    </row>
    <row r="67" spans="1:32" s="1787" customFormat="1" ht="30" customHeight="1">
      <c r="A67" s="1785"/>
      <c r="B67" s="1786"/>
      <c r="C67" s="1786"/>
      <c r="D67" s="1786"/>
      <c r="E67" s="1786"/>
      <c r="F67" s="1786"/>
      <c r="G67" s="1786"/>
      <c r="H67" s="1786"/>
      <c r="I67" s="1786"/>
      <c r="L67" s="1903"/>
      <c r="M67" s="1903"/>
      <c r="N67" s="1903"/>
      <c r="O67" s="1903"/>
      <c r="P67" s="1903"/>
      <c r="Q67" s="1903"/>
      <c r="R67" s="1903"/>
      <c r="S67" s="1903"/>
      <c r="T67" s="1903"/>
      <c r="U67" s="1903"/>
      <c r="V67" s="1794"/>
      <c r="W67" s="1904"/>
      <c r="X67" s="8173"/>
      <c r="Y67" s="8173"/>
      <c r="Z67" s="8173"/>
      <c r="AA67" s="8173"/>
      <c r="AB67" s="361"/>
      <c r="AC67" s="1794"/>
    </row>
    <row r="68" spans="1:32" s="1787" customFormat="1" ht="30" customHeight="1">
      <c r="A68" s="1785"/>
      <c r="B68" s="1789" t="s">
        <v>2559</v>
      </c>
      <c r="C68" s="1786"/>
      <c r="D68" s="1786"/>
      <c r="E68" s="1786"/>
      <c r="F68" s="1786"/>
      <c r="G68" s="1786"/>
      <c r="H68" s="1786"/>
      <c r="I68" s="1786"/>
      <c r="L68" s="1903"/>
      <c r="M68" s="1903"/>
      <c r="N68" s="1903"/>
      <c r="O68" s="1903"/>
      <c r="P68" s="1903"/>
      <c r="Q68" s="1903"/>
      <c r="R68" s="1903"/>
      <c r="S68" s="1903"/>
      <c r="T68" s="1903"/>
      <c r="U68" s="1903"/>
      <c r="V68" s="1794"/>
      <c r="W68" s="361"/>
      <c r="X68" s="8173"/>
      <c r="Y68" s="8173"/>
      <c r="Z68" s="8173"/>
      <c r="AA68" s="8173"/>
      <c r="AB68" s="361"/>
      <c r="AC68" s="1794"/>
    </row>
    <row r="69" spans="1:32" s="1787" customFormat="1" ht="30" customHeight="1">
      <c r="A69" s="1785"/>
      <c r="B69" s="1786"/>
      <c r="C69" s="1786"/>
      <c r="D69" s="1786"/>
      <c r="E69" s="1786"/>
      <c r="F69" s="1786"/>
      <c r="G69" s="1786"/>
      <c r="H69" s="1786"/>
      <c r="I69" s="1786"/>
      <c r="L69" s="1903"/>
      <c r="M69" s="1903"/>
      <c r="N69" s="1903"/>
      <c r="O69" s="1903"/>
      <c r="P69" s="1903"/>
      <c r="Q69" s="1903"/>
      <c r="R69" s="1903"/>
      <c r="S69" s="1903"/>
      <c r="T69" s="1903"/>
      <c r="U69" s="1903"/>
      <c r="V69" s="1794"/>
      <c r="W69" s="1904"/>
      <c r="X69" s="8173"/>
      <c r="Y69" s="8173"/>
      <c r="Z69" s="8173"/>
      <c r="AA69" s="8173"/>
      <c r="AB69" s="361"/>
      <c r="AC69" s="1794"/>
    </row>
    <row r="70" spans="1:32" s="1787" customFormat="1" ht="30" customHeight="1">
      <c r="A70" s="1785"/>
      <c r="B70" s="1789" t="s">
        <v>2560</v>
      </c>
      <c r="C70" s="1786"/>
      <c r="D70" s="1786"/>
      <c r="E70" s="1786"/>
      <c r="F70" s="1786"/>
      <c r="G70" s="1786"/>
      <c r="H70" s="1786"/>
      <c r="I70" s="1786"/>
      <c r="L70" s="1903"/>
      <c r="M70" s="1903"/>
      <c r="N70" s="1903"/>
      <c r="O70" s="1903"/>
      <c r="P70" s="1903"/>
      <c r="Q70" s="1903"/>
      <c r="R70" s="1903"/>
      <c r="S70" s="1903"/>
      <c r="T70" s="1903"/>
      <c r="U70" s="1903"/>
      <c r="V70" s="1794"/>
      <c r="W70" s="361"/>
      <c r="X70" s="8173"/>
      <c r="Y70" s="8173"/>
      <c r="Z70" s="8173"/>
      <c r="AA70" s="8173"/>
      <c r="AB70" s="361"/>
      <c r="AC70" s="1794"/>
    </row>
    <row r="71" spans="1:32" s="1787" customFormat="1" ht="30" customHeight="1">
      <c r="A71" s="1785"/>
      <c r="B71" s="1786"/>
      <c r="C71" s="1786"/>
      <c r="D71" s="1786"/>
      <c r="E71" s="1786"/>
      <c r="F71" s="1786"/>
      <c r="G71" s="1786"/>
      <c r="H71" s="1786"/>
      <c r="I71" s="1786"/>
      <c r="L71" s="1903"/>
      <c r="M71" s="1903"/>
      <c r="N71" s="1903"/>
      <c r="O71" s="1903"/>
      <c r="P71" s="1903"/>
      <c r="Q71" s="1903"/>
      <c r="R71" s="1903"/>
      <c r="S71" s="1903"/>
      <c r="T71" s="1903"/>
      <c r="U71" s="1903"/>
      <c r="V71" s="1794"/>
      <c r="W71" s="1904"/>
      <c r="X71" s="8173"/>
      <c r="Y71" s="8173"/>
      <c r="Z71" s="8173"/>
      <c r="AA71" s="8173"/>
      <c r="AB71" s="361"/>
      <c r="AC71" s="1794"/>
    </row>
    <row r="72" spans="1:32" s="1787" customFormat="1" ht="30" customHeight="1">
      <c r="A72" s="1785"/>
      <c r="B72" s="1789" t="s">
        <v>2561</v>
      </c>
      <c r="C72" s="1786"/>
      <c r="D72" s="1786"/>
      <c r="E72" s="1786"/>
      <c r="F72" s="1786"/>
      <c r="G72" s="1786"/>
      <c r="H72" s="1786"/>
      <c r="I72" s="1786"/>
      <c r="L72" s="1903"/>
      <c r="M72" s="1903"/>
      <c r="N72" s="1903"/>
      <c r="O72" s="1903"/>
      <c r="P72" s="1903"/>
      <c r="Q72" s="1903"/>
      <c r="R72" s="1903"/>
      <c r="S72" s="1903"/>
      <c r="T72" s="1903"/>
      <c r="U72" s="1903"/>
      <c r="V72" s="1794"/>
      <c r="W72" s="361"/>
      <c r="X72" s="8173"/>
      <c r="Y72" s="8173"/>
      <c r="Z72" s="8173"/>
      <c r="AA72" s="8173"/>
      <c r="AB72" s="361"/>
      <c r="AC72" s="1794"/>
    </row>
    <row r="73" spans="1:32" s="1787" customFormat="1" ht="30" customHeight="1">
      <c r="A73" s="1785"/>
      <c r="B73" s="1789"/>
      <c r="C73" s="1786"/>
      <c r="D73" s="1786"/>
      <c r="E73" s="1786"/>
      <c r="F73" s="1786"/>
      <c r="G73" s="1786"/>
      <c r="H73" s="1786"/>
      <c r="I73" s="1786"/>
      <c r="L73" s="1903"/>
      <c r="M73" s="1903"/>
      <c r="N73" s="1903"/>
      <c r="O73" s="1903"/>
      <c r="P73" s="1903"/>
      <c r="Q73" s="1903"/>
      <c r="R73" s="1903"/>
      <c r="S73" s="1903"/>
      <c r="T73" s="1903"/>
      <c r="U73" s="1903"/>
      <c r="V73" s="1794"/>
      <c r="W73" s="1904"/>
      <c r="X73" s="8173"/>
      <c r="Y73" s="8173"/>
      <c r="Z73" s="8173"/>
      <c r="AA73" s="8173"/>
      <c r="AB73" s="361"/>
      <c r="AC73" s="1794"/>
    </row>
    <row r="74" spans="1:32" s="1787" customFormat="1" ht="30" customHeight="1">
      <c r="A74" s="1785"/>
      <c r="B74" s="1906" t="s">
        <v>2571</v>
      </c>
      <c r="C74" s="1786"/>
      <c r="D74" s="1786"/>
      <c r="E74" s="1786"/>
      <c r="F74" s="1786"/>
      <c r="G74" s="1786"/>
      <c r="H74" s="1786"/>
      <c r="I74" s="1786"/>
      <c r="L74" s="1903"/>
      <c r="M74" s="1903"/>
      <c r="N74" s="1903"/>
      <c r="O74" s="1903"/>
      <c r="P74" s="1903"/>
      <c r="Q74" s="1903"/>
      <c r="R74" s="1903"/>
      <c r="S74" s="1903"/>
      <c r="T74" s="1903"/>
      <c r="U74" s="1903"/>
      <c r="V74" s="1794"/>
      <c r="W74" s="361"/>
      <c r="X74" s="8173"/>
      <c r="Y74" s="8173"/>
      <c r="Z74" s="8173"/>
      <c r="AA74" s="8173"/>
      <c r="AB74" s="361"/>
      <c r="AC74" s="1794"/>
    </row>
    <row r="75" spans="1:32" s="1787" customFormat="1" ht="30" customHeight="1">
      <c r="A75" s="1785"/>
      <c r="B75" s="1793"/>
      <c r="C75" s="1786"/>
      <c r="D75" s="1786"/>
      <c r="E75" s="1786"/>
      <c r="F75" s="1786"/>
      <c r="G75" s="1786"/>
      <c r="H75" s="1786"/>
      <c r="I75" s="1786"/>
      <c r="L75" s="1903"/>
      <c r="M75" s="1903"/>
      <c r="N75" s="1903"/>
      <c r="O75" s="1903"/>
      <c r="P75" s="1903"/>
      <c r="Q75" s="1903"/>
      <c r="R75" s="1903"/>
      <c r="S75" s="1903"/>
      <c r="T75" s="1903"/>
      <c r="U75" s="1903"/>
      <c r="V75" s="1794"/>
      <c r="W75" s="1904"/>
      <c r="X75" s="8173"/>
      <c r="Y75" s="8173"/>
      <c r="Z75" s="8173"/>
      <c r="AA75" s="8173"/>
      <c r="AB75" s="361"/>
      <c r="AC75" s="1794"/>
    </row>
    <row r="76" spans="1:32" s="1787" customFormat="1" ht="30" customHeight="1">
      <c r="A76" s="1899"/>
      <c r="B76" s="1907" t="s">
        <v>2572</v>
      </c>
      <c r="C76" s="1908"/>
      <c r="D76" s="1908"/>
      <c r="E76" s="1908"/>
      <c r="F76" s="1908"/>
      <c r="G76" s="1908"/>
      <c r="H76" s="1908"/>
      <c r="I76" s="1908"/>
      <c r="L76" s="1903"/>
      <c r="M76" s="1903"/>
      <c r="N76" s="1903"/>
      <c r="O76" s="1903"/>
      <c r="P76" s="1903"/>
      <c r="Q76" s="1903"/>
      <c r="R76" s="1903"/>
      <c r="S76" s="1903"/>
      <c r="T76" s="1903"/>
      <c r="U76" s="1903"/>
      <c r="V76" s="1794"/>
      <c r="W76" s="361"/>
      <c r="X76" s="8173"/>
      <c r="Y76" s="8173"/>
      <c r="Z76" s="8173"/>
      <c r="AA76" s="8173"/>
      <c r="AB76" s="361"/>
      <c r="AC76" s="1794"/>
    </row>
    <row r="77" spans="1:32" s="1794" customFormat="1" ht="30" customHeight="1">
      <c r="A77" s="1899"/>
      <c r="B77" s="1909" t="s">
        <v>2573</v>
      </c>
      <c r="C77" s="1910"/>
      <c r="D77" s="1910"/>
      <c r="E77" s="1910"/>
      <c r="F77" s="1910"/>
      <c r="G77" s="1910"/>
      <c r="H77" s="1910"/>
      <c r="I77" s="1910"/>
      <c r="J77" s="1787" t="s">
        <v>2</v>
      </c>
      <c r="K77" s="1787"/>
      <c r="L77" s="1903"/>
      <c r="M77" s="1903"/>
      <c r="N77" s="1903"/>
      <c r="O77" s="1903"/>
      <c r="P77" s="1903"/>
      <c r="Q77" s="1903"/>
      <c r="R77" s="1903"/>
      <c r="S77" s="1903"/>
      <c r="T77" s="1903"/>
      <c r="U77" s="1903"/>
      <c r="W77" s="1904"/>
      <c r="X77" s="8173"/>
      <c r="Y77" s="8173"/>
      <c r="Z77" s="8173"/>
      <c r="AA77" s="8173"/>
      <c r="AB77" s="361"/>
      <c r="AD77" s="1787"/>
      <c r="AE77" s="1787"/>
      <c r="AF77" s="1787"/>
    </row>
    <row r="78" spans="1:32" s="1794" customFormat="1" ht="30" customHeight="1">
      <c r="A78" s="1899"/>
      <c r="B78" s="1911"/>
      <c r="C78" s="1902"/>
      <c r="D78" s="1902"/>
      <c r="E78" s="1902"/>
      <c r="F78" s="1902"/>
      <c r="G78" s="1902"/>
      <c r="H78" s="1902"/>
      <c r="I78" s="1902"/>
      <c r="J78" s="1787"/>
      <c r="K78" s="1787"/>
      <c r="L78" s="1903"/>
      <c r="M78" s="1903"/>
      <c r="N78" s="1903"/>
      <c r="O78" s="1903"/>
      <c r="P78" s="1903"/>
      <c r="Q78" s="1903"/>
      <c r="R78" s="1903"/>
      <c r="S78" s="1903"/>
      <c r="T78" s="1903"/>
      <c r="U78" s="1903"/>
      <c r="W78" s="361"/>
      <c r="X78" s="8173"/>
      <c r="Y78" s="8173"/>
      <c r="Z78" s="8173"/>
      <c r="AA78" s="8173"/>
      <c r="AB78" s="361"/>
      <c r="AD78" s="1787"/>
      <c r="AE78" s="1787"/>
      <c r="AF78" s="1787"/>
    </row>
    <row r="79" spans="1:32" s="1794" customFormat="1" ht="30" customHeight="1">
      <c r="A79" s="1899"/>
      <c r="B79" s="1912" t="s">
        <v>2574</v>
      </c>
      <c r="C79" s="1785"/>
      <c r="D79" s="1785"/>
      <c r="E79" s="1785"/>
      <c r="F79" s="1785"/>
      <c r="G79" s="1785"/>
      <c r="H79" s="1785"/>
      <c r="I79" s="1902"/>
      <c r="J79" s="1787"/>
      <c r="K79" s="1787"/>
      <c r="L79" s="1903"/>
      <c r="M79" s="1903"/>
      <c r="N79" s="1903"/>
      <c r="O79" s="1903"/>
      <c r="P79" s="1903"/>
      <c r="Q79" s="1903"/>
      <c r="R79" s="1903"/>
      <c r="S79" s="1903"/>
      <c r="T79" s="1903"/>
      <c r="U79" s="1903"/>
      <c r="W79" s="1904"/>
      <c r="X79" s="8173"/>
      <c r="Y79" s="8173"/>
      <c r="Z79" s="8173"/>
      <c r="AA79" s="8173"/>
      <c r="AB79" s="361"/>
      <c r="AD79" s="1787"/>
      <c r="AE79" s="1787"/>
      <c r="AF79" s="1787"/>
    </row>
    <row r="80" spans="1:32" ht="30" customHeight="1">
      <c r="A80" s="1913"/>
      <c r="B80" s="1914" t="s">
        <v>2575</v>
      </c>
      <c r="C80" s="1914"/>
      <c r="D80" s="1914"/>
      <c r="E80" s="1914"/>
      <c r="F80" s="1914"/>
      <c r="G80" s="1914"/>
      <c r="H80" s="1914"/>
      <c r="I80" s="1914"/>
      <c r="J80" s="1787"/>
      <c r="K80" s="1787"/>
      <c r="L80" s="1903"/>
      <c r="M80" s="1903"/>
      <c r="N80" s="1903"/>
      <c r="O80" s="1903"/>
      <c r="P80" s="1903"/>
      <c r="Q80" s="1903"/>
      <c r="R80" s="1903"/>
      <c r="S80" s="1903"/>
      <c r="T80" s="1903"/>
      <c r="U80" s="1903"/>
      <c r="V80" s="1794"/>
      <c r="W80" s="361"/>
      <c r="X80" s="8173"/>
      <c r="Y80" s="8173"/>
      <c r="Z80" s="8173"/>
      <c r="AA80" s="8173"/>
      <c r="AB80" s="361"/>
      <c r="AC80" s="1794"/>
      <c r="AD80" s="1787"/>
      <c r="AE80" s="1787"/>
      <c r="AF80" s="1787"/>
    </row>
    <row r="81" spans="1:32" ht="30" customHeight="1">
      <c r="A81" s="1913"/>
      <c r="B81" s="1796"/>
      <c r="C81" s="1796"/>
      <c r="D81" s="1796"/>
      <c r="E81" s="1796"/>
      <c r="F81" s="1796"/>
      <c r="G81" s="1796"/>
      <c r="H81" s="1796"/>
      <c r="I81" s="1796"/>
      <c r="J81" s="1787"/>
      <c r="K81" s="1787"/>
      <c r="L81" s="1903"/>
      <c r="M81" s="1903"/>
      <c r="N81" s="1903"/>
      <c r="O81" s="1903"/>
      <c r="P81" s="1903"/>
      <c r="Q81" s="1903"/>
      <c r="R81" s="1903"/>
      <c r="S81" s="1903"/>
      <c r="T81" s="1903"/>
      <c r="U81" s="1903"/>
      <c r="V81" s="1794"/>
      <c r="W81" s="1904"/>
      <c r="X81" s="8173"/>
      <c r="Y81" s="8173"/>
      <c r="Z81" s="8173"/>
      <c r="AA81" s="8173"/>
      <c r="AB81" s="361"/>
      <c r="AC81" s="1794"/>
      <c r="AD81" s="1787"/>
      <c r="AE81" s="1787"/>
      <c r="AF81" s="1787"/>
    </row>
    <row r="82" spans="1:32" ht="30" customHeight="1">
      <c r="A82" s="1913"/>
      <c r="B82" s="1915" t="s">
        <v>2576</v>
      </c>
      <c r="C82" s="1915"/>
      <c r="D82" s="1915"/>
      <c r="E82" s="1915"/>
      <c r="F82" s="1915"/>
      <c r="G82" s="1915"/>
      <c r="H82" s="1915"/>
      <c r="I82" s="1915"/>
      <c r="J82" s="1787"/>
      <c r="K82" s="1787"/>
      <c r="L82" s="1903"/>
      <c r="M82" s="1903"/>
      <c r="N82" s="1903"/>
      <c r="O82" s="1903"/>
      <c r="P82" s="1903"/>
      <c r="Q82" s="1903"/>
      <c r="R82" s="1903"/>
      <c r="S82" s="1903"/>
      <c r="T82" s="1903"/>
      <c r="U82" s="1903"/>
      <c r="V82" s="1794"/>
      <c r="W82" s="361"/>
      <c r="X82" s="8173"/>
      <c r="Y82" s="8173"/>
      <c r="Z82" s="8173"/>
      <c r="AA82" s="8173"/>
      <c r="AB82" s="361"/>
      <c r="AC82" s="1794"/>
      <c r="AD82" s="1787"/>
      <c r="AE82" s="1787"/>
      <c r="AF82" s="1787"/>
    </row>
    <row r="83" spans="1:32" ht="30" customHeight="1">
      <c r="A83" s="1913"/>
      <c r="B83" s="1879"/>
      <c r="C83" s="1879"/>
      <c r="D83" s="1879"/>
      <c r="E83" s="1879"/>
      <c r="F83" s="1879"/>
      <c r="G83" s="1879"/>
      <c r="H83" s="1879"/>
      <c r="I83" s="1879"/>
      <c r="J83" s="1787"/>
      <c r="K83" s="1787"/>
      <c r="L83" s="1903"/>
      <c r="M83" s="1903"/>
      <c r="N83" s="1903"/>
      <c r="O83" s="1903"/>
      <c r="P83" s="1903"/>
      <c r="Q83" s="1903"/>
      <c r="R83" s="1903"/>
      <c r="S83" s="1903"/>
      <c r="T83" s="1903"/>
      <c r="U83" s="1903"/>
      <c r="V83" s="1794"/>
      <c r="W83" s="1904"/>
      <c r="X83" s="8173"/>
      <c r="Y83" s="8173"/>
      <c r="Z83" s="8173"/>
      <c r="AA83" s="8173"/>
      <c r="AB83" s="361"/>
      <c r="AC83" s="1794"/>
      <c r="AD83" s="1787"/>
      <c r="AE83" s="1787"/>
      <c r="AF83" s="1787"/>
    </row>
    <row r="84" spans="1:32" ht="30" customHeight="1">
      <c r="A84" s="1913"/>
      <c r="B84" s="1914" t="s">
        <v>2577</v>
      </c>
      <c r="C84" s="1914"/>
      <c r="D84" s="1914"/>
      <c r="E84" s="1914"/>
      <c r="F84" s="1914"/>
      <c r="G84" s="1914"/>
      <c r="H84" s="1914"/>
      <c r="I84" s="1914"/>
      <c r="J84" s="1787"/>
      <c r="K84" s="1787"/>
      <c r="L84" s="1903"/>
      <c r="M84" s="1903"/>
      <c r="N84" s="1903"/>
      <c r="O84" s="1903"/>
      <c r="P84" s="1903"/>
      <c r="Q84" s="1903"/>
      <c r="R84" s="1903"/>
      <c r="S84" s="1903"/>
      <c r="T84" s="1903"/>
      <c r="U84" s="1903"/>
      <c r="V84" s="1794"/>
      <c r="W84" s="361"/>
      <c r="X84" s="8173"/>
      <c r="Y84" s="8173"/>
      <c r="Z84" s="8173"/>
      <c r="AA84" s="8173"/>
      <c r="AB84" s="361"/>
      <c r="AC84" s="1794"/>
      <c r="AD84" s="1787"/>
      <c r="AE84" s="1787"/>
      <c r="AF84" s="1787"/>
    </row>
    <row r="85" spans="1:32" s="1794" customFormat="1" ht="30" customHeight="1">
      <c r="A85" s="1899"/>
      <c r="B85" s="1911"/>
      <c r="C85" s="1902"/>
      <c r="D85" s="1902"/>
      <c r="E85" s="1902"/>
      <c r="F85" s="1902"/>
      <c r="G85" s="1902"/>
      <c r="H85" s="1902"/>
      <c r="I85" s="1902"/>
      <c r="J85" s="1787"/>
      <c r="K85" s="1787"/>
      <c r="L85" s="1903"/>
      <c r="M85" s="1903"/>
      <c r="N85" s="1903"/>
      <c r="O85" s="1903"/>
      <c r="P85" s="1903"/>
      <c r="Q85" s="1903"/>
      <c r="R85" s="1903"/>
      <c r="S85" s="1903"/>
      <c r="T85" s="1903"/>
      <c r="U85" s="1903"/>
      <c r="W85" s="1904"/>
      <c r="X85" s="8173"/>
      <c r="Y85" s="8173"/>
      <c r="Z85" s="8173"/>
      <c r="AA85" s="8173"/>
      <c r="AB85" s="361"/>
      <c r="AD85" s="1787"/>
      <c r="AE85" s="1787"/>
      <c r="AF85" s="1787"/>
    </row>
    <row r="86" spans="1:32" s="1794" customFormat="1" ht="30" customHeight="1">
      <c r="A86" s="1785"/>
      <c r="B86" s="1795"/>
      <c r="C86" s="1902"/>
      <c r="D86" s="1902"/>
      <c r="E86" s="1902"/>
      <c r="F86" s="1902"/>
      <c r="G86" s="1902"/>
      <c r="H86" s="1902"/>
      <c r="I86" s="1902"/>
      <c r="J86" s="1787"/>
      <c r="K86" s="1787"/>
      <c r="L86" s="1903"/>
      <c r="M86" s="1903"/>
      <c r="N86" s="1903"/>
      <c r="O86" s="1903"/>
      <c r="P86" s="1903"/>
      <c r="Q86" s="1903"/>
      <c r="R86" s="1903"/>
      <c r="S86" s="1903"/>
      <c r="T86" s="1903"/>
      <c r="U86" s="1903"/>
      <c r="W86" s="361"/>
      <c r="X86" s="8173"/>
      <c r="Y86" s="8173"/>
      <c r="Z86" s="8173"/>
      <c r="AA86" s="8173"/>
      <c r="AB86" s="361"/>
      <c r="AD86" s="1787"/>
      <c r="AE86" s="1787"/>
      <c r="AF86" s="1787"/>
    </row>
    <row r="87" spans="1:32" s="1794" customFormat="1" ht="30" customHeight="1">
      <c r="A87" s="1785"/>
      <c r="B87" s="1792" t="s">
        <v>2655</v>
      </c>
      <c r="C87" s="1785"/>
      <c r="D87" s="1785"/>
      <c r="E87" s="1785"/>
      <c r="F87" s="1785"/>
      <c r="G87" s="1785"/>
      <c r="H87" s="1785"/>
      <c r="I87" s="1785"/>
      <c r="J87" s="1787"/>
      <c r="K87" s="1787"/>
      <c r="L87" s="1903"/>
      <c r="M87" s="1903"/>
      <c r="N87" s="1903"/>
      <c r="O87" s="1903"/>
      <c r="P87" s="1903"/>
      <c r="Q87" s="1903"/>
      <c r="R87" s="1903"/>
      <c r="S87" s="1903"/>
      <c r="T87" s="1903"/>
      <c r="U87" s="1903"/>
      <c r="W87" s="1904"/>
      <c r="X87" s="8173"/>
      <c r="Y87" s="8173"/>
      <c r="Z87" s="8173"/>
      <c r="AA87" s="8173"/>
      <c r="AB87" s="361"/>
      <c r="AD87" s="1787"/>
      <c r="AE87" s="1787"/>
      <c r="AF87" s="1787"/>
    </row>
    <row r="88" spans="1:32" s="1794" customFormat="1" ht="30" customHeight="1">
      <c r="A88" s="1785"/>
      <c r="B88" s="1792" t="s">
        <v>2656</v>
      </c>
      <c r="C88" s="1785"/>
      <c r="D88" s="1785"/>
      <c r="E88" s="1785"/>
      <c r="F88" s="1785"/>
      <c r="G88" s="1785"/>
      <c r="H88" s="1785"/>
      <c r="I88" s="1785"/>
      <c r="J88" s="1787"/>
      <c r="K88" s="1787"/>
      <c r="L88" s="1903"/>
      <c r="M88" s="1903"/>
      <c r="N88" s="1903"/>
      <c r="O88" s="1903"/>
      <c r="P88" s="1903"/>
      <c r="Q88" s="1903"/>
      <c r="R88" s="1903"/>
      <c r="S88" s="1903"/>
      <c r="T88" s="1903"/>
      <c r="U88" s="1903"/>
      <c r="W88" s="1904"/>
      <c r="X88" s="1916"/>
      <c r="Y88" s="1916"/>
      <c r="Z88" s="1916"/>
      <c r="AA88" s="1916"/>
      <c r="AB88" s="361"/>
      <c r="AD88" s="1787"/>
      <c r="AE88" s="1787"/>
      <c r="AF88" s="1787"/>
    </row>
    <row r="89" spans="1:32" s="1794" customFormat="1" ht="30" customHeight="1">
      <c r="A89" s="1785"/>
      <c r="B89" s="1797" t="s">
        <v>2578</v>
      </c>
      <c r="C89" s="1785"/>
      <c r="D89" s="1785"/>
      <c r="E89" s="1785"/>
      <c r="F89" s="1785"/>
      <c r="G89" s="1785"/>
      <c r="H89" s="1785"/>
      <c r="I89" s="1785"/>
      <c r="J89" s="1787"/>
      <c r="K89" s="1787"/>
      <c r="L89" s="1903"/>
      <c r="M89" s="1903"/>
      <c r="N89" s="1903"/>
      <c r="O89" s="1903"/>
      <c r="P89" s="1903"/>
      <c r="Q89" s="1903"/>
      <c r="R89" s="1903"/>
      <c r="S89" s="1903"/>
      <c r="T89" s="1903"/>
      <c r="U89" s="1903"/>
      <c r="W89" s="361"/>
      <c r="X89" s="8173"/>
      <c r="Y89" s="8173"/>
      <c r="Z89" s="8173"/>
      <c r="AA89" s="8173"/>
      <c r="AB89" s="361"/>
      <c r="AD89" s="1787"/>
      <c r="AE89" s="1787"/>
      <c r="AF89" s="1787"/>
    </row>
    <row r="90" spans="1:32" s="1794" customFormat="1" ht="30" customHeight="1">
      <c r="A90" s="1785"/>
      <c r="B90" s="1798"/>
      <c r="C90" s="1785"/>
      <c r="D90" s="1785"/>
      <c r="E90" s="1785"/>
      <c r="F90" s="1785"/>
      <c r="G90" s="1785"/>
      <c r="H90" s="1785"/>
      <c r="I90" s="1785"/>
      <c r="J90" s="1787"/>
      <c r="K90" s="1787"/>
      <c r="L90" s="1903"/>
      <c r="M90" s="1903"/>
      <c r="N90" s="1903"/>
      <c r="O90" s="1903"/>
      <c r="P90" s="1903"/>
      <c r="Q90" s="1903"/>
      <c r="R90" s="1903"/>
      <c r="S90" s="1903"/>
      <c r="T90" s="1903"/>
      <c r="U90" s="1903"/>
      <c r="W90" s="1904"/>
      <c r="X90" s="8173"/>
      <c r="Y90" s="8173"/>
      <c r="Z90" s="8173"/>
      <c r="AA90" s="8173"/>
      <c r="AB90" s="361"/>
      <c r="AD90" s="1787"/>
      <c r="AE90" s="1787"/>
      <c r="AF90" s="1787"/>
    </row>
    <row r="91" spans="1:32" s="1546" customFormat="1" ht="30" customHeight="1">
      <c r="A91" s="1878"/>
      <c r="B91" s="1523" t="s">
        <v>2579</v>
      </c>
      <c r="C91" s="1878"/>
      <c r="D91" s="1878"/>
      <c r="E91" s="1878"/>
      <c r="F91" s="1878"/>
      <c r="G91" s="1878"/>
      <c r="H91" s="1878"/>
      <c r="I91" s="1878"/>
      <c r="J91" s="1787"/>
      <c r="K91" s="1787"/>
      <c r="L91" s="1903"/>
      <c r="M91" s="1903"/>
      <c r="N91" s="1903"/>
      <c r="O91" s="1903"/>
      <c r="P91" s="1903"/>
      <c r="Q91" s="1903"/>
      <c r="R91" s="1903"/>
      <c r="S91" s="1903"/>
      <c r="T91" s="1903"/>
      <c r="U91" s="1903"/>
      <c r="V91" s="1794"/>
      <c r="W91" s="361"/>
      <c r="X91" s="8173"/>
      <c r="Y91" s="8173"/>
      <c r="Z91" s="8173"/>
      <c r="AA91" s="8173"/>
      <c r="AB91" s="361"/>
      <c r="AC91" s="1794"/>
      <c r="AD91" s="1787"/>
      <c r="AE91" s="1787"/>
      <c r="AF91" s="1787"/>
    </row>
    <row r="92" spans="1:32" s="1546" customFormat="1" ht="30" customHeight="1">
      <c r="A92" s="1543"/>
      <c r="B92" s="1595"/>
      <c r="C92" s="1593"/>
      <c r="D92" s="1596"/>
      <c r="E92" s="1596"/>
      <c r="F92" s="1596"/>
      <c r="G92" s="1596"/>
      <c r="H92" s="1596"/>
      <c r="I92" s="1596"/>
      <c r="J92" s="1787"/>
      <c r="K92" s="1787"/>
      <c r="L92" s="1903"/>
      <c r="M92" s="1903"/>
      <c r="N92" s="1903"/>
      <c r="O92" s="1903"/>
      <c r="P92" s="1903"/>
      <c r="Q92" s="1903"/>
      <c r="R92" s="1903"/>
      <c r="S92" s="1903"/>
      <c r="T92" s="1903"/>
      <c r="U92" s="1903"/>
      <c r="V92" s="1794"/>
      <c r="W92" s="1904"/>
      <c r="X92" s="8173"/>
      <c r="Y92" s="8173"/>
      <c r="Z92" s="8173"/>
      <c r="AA92" s="8173"/>
      <c r="AB92" s="361"/>
      <c r="AC92" s="1794"/>
      <c r="AD92" s="1787"/>
      <c r="AE92" s="1787"/>
      <c r="AF92" s="1787"/>
    </row>
    <row r="93" spans="1:32">
      <c r="J93" s="1787"/>
      <c r="K93" s="1787"/>
      <c r="L93" s="1903"/>
      <c r="M93" s="1903"/>
      <c r="N93" s="1903"/>
      <c r="O93" s="1903"/>
      <c r="P93" s="1903"/>
      <c r="Q93" s="1903"/>
      <c r="R93" s="1903"/>
      <c r="S93" s="1903"/>
      <c r="T93" s="1903"/>
      <c r="U93" s="1903"/>
      <c r="V93" s="1794"/>
      <c r="W93" s="361"/>
      <c r="X93" s="8173"/>
      <c r="Y93" s="8173"/>
      <c r="Z93" s="8173"/>
      <c r="AA93" s="8173"/>
      <c r="AB93" s="361"/>
      <c r="AC93" s="1794"/>
      <c r="AD93" s="1787"/>
      <c r="AE93" s="1787"/>
      <c r="AF93" s="1787"/>
    </row>
    <row r="94" spans="1:32" ht="23.25">
      <c r="J94" s="1787"/>
      <c r="K94" s="1787"/>
      <c r="L94" s="1903"/>
      <c r="M94" s="1903"/>
      <c r="N94" s="1903"/>
      <c r="O94" s="1903"/>
      <c r="P94" s="1903"/>
      <c r="Q94" s="1903"/>
      <c r="R94" s="1903"/>
      <c r="S94" s="1903"/>
      <c r="T94" s="1903"/>
      <c r="U94" s="1903"/>
      <c r="V94" s="1794"/>
      <c r="W94" s="1904"/>
      <c r="X94" s="8173"/>
      <c r="Y94" s="8173"/>
      <c r="Z94" s="8173"/>
      <c r="AA94" s="8173"/>
      <c r="AB94" s="361"/>
      <c r="AC94" s="1794"/>
      <c r="AD94" s="1787"/>
      <c r="AE94" s="1787"/>
      <c r="AF94" s="1787"/>
    </row>
    <row r="95" spans="1:32">
      <c r="J95" s="1787"/>
      <c r="K95" s="1787"/>
      <c r="L95" s="1903"/>
      <c r="M95" s="1903"/>
      <c r="N95" s="1903"/>
      <c r="O95" s="1903"/>
      <c r="P95" s="1903"/>
      <c r="Q95" s="1903"/>
      <c r="R95" s="1903"/>
      <c r="S95" s="1903"/>
      <c r="T95" s="1903"/>
      <c r="U95" s="1903"/>
      <c r="V95" s="1794"/>
      <c r="W95" s="361"/>
      <c r="X95" s="8173"/>
      <c r="Y95" s="8173"/>
      <c r="Z95" s="8173"/>
      <c r="AA95" s="8173"/>
      <c r="AB95" s="361"/>
      <c r="AC95" s="1794"/>
      <c r="AD95" s="1787"/>
      <c r="AE95" s="1787"/>
      <c r="AF95" s="1787"/>
    </row>
    <row r="96" spans="1:32" ht="23.25">
      <c r="J96" s="1787"/>
      <c r="K96" s="1787"/>
      <c r="L96" s="1903"/>
      <c r="M96" s="1903"/>
      <c r="N96" s="1903"/>
      <c r="O96" s="1903"/>
      <c r="P96" s="1903"/>
      <c r="Q96" s="1903"/>
      <c r="R96" s="1903"/>
      <c r="S96" s="1903"/>
      <c r="T96" s="1903"/>
      <c r="U96" s="1903"/>
      <c r="V96" s="1794"/>
      <c r="W96" s="1904"/>
      <c r="X96" s="8173"/>
      <c r="Y96" s="8173"/>
      <c r="Z96" s="8173"/>
      <c r="AA96" s="8173"/>
      <c r="AB96" s="361"/>
      <c r="AC96" s="1794"/>
      <c r="AD96" s="1787"/>
      <c r="AE96" s="1787"/>
      <c r="AF96" s="1787"/>
    </row>
    <row r="97" spans="10:32">
      <c r="J97" s="1787"/>
      <c r="K97" s="1787"/>
      <c r="L97" s="1903"/>
      <c r="M97" s="1903"/>
      <c r="N97" s="1903"/>
      <c r="O97" s="1903"/>
      <c r="P97" s="1903"/>
      <c r="Q97" s="1903"/>
      <c r="R97" s="1903"/>
      <c r="S97" s="1903"/>
      <c r="T97" s="1903"/>
      <c r="U97" s="1903"/>
      <c r="V97" s="1794"/>
      <c r="W97" s="361"/>
      <c r="X97" s="8173"/>
      <c r="Y97" s="8173"/>
      <c r="Z97" s="8173"/>
      <c r="AA97" s="8173"/>
      <c r="AB97" s="361"/>
      <c r="AC97" s="1794"/>
      <c r="AD97" s="1787"/>
      <c r="AE97" s="1787"/>
      <c r="AF97" s="1787"/>
    </row>
    <row r="98" spans="10:32" ht="23.25">
      <c r="J98" s="1787"/>
      <c r="K98" s="1787"/>
      <c r="L98" s="1903"/>
      <c r="M98" s="1903"/>
      <c r="N98" s="1903"/>
      <c r="O98" s="1903"/>
      <c r="P98" s="1903"/>
      <c r="Q98" s="1903"/>
      <c r="R98" s="1903"/>
      <c r="S98" s="1903"/>
      <c r="T98" s="1903"/>
      <c r="U98" s="1903"/>
      <c r="V98" s="1794"/>
      <c r="W98" s="1904"/>
      <c r="X98" s="8173"/>
      <c r="Y98" s="8173"/>
      <c r="Z98" s="8173"/>
      <c r="AA98" s="8173"/>
      <c r="AB98" s="361"/>
      <c r="AC98" s="1794"/>
      <c r="AD98" s="1787"/>
      <c r="AE98" s="1787"/>
      <c r="AF98" s="1787"/>
    </row>
    <row r="99" spans="10:32">
      <c r="J99" s="1787"/>
      <c r="K99" s="1787"/>
      <c r="L99" s="1903"/>
      <c r="M99" s="1903"/>
      <c r="N99" s="1903"/>
      <c r="O99" s="1903"/>
      <c r="P99" s="1903"/>
      <c r="Q99" s="1903"/>
      <c r="R99" s="1903"/>
      <c r="S99" s="1903"/>
      <c r="T99" s="1903"/>
      <c r="U99" s="1903"/>
      <c r="V99" s="1794"/>
      <c r="W99" s="361"/>
      <c r="X99" s="8173"/>
      <c r="Y99" s="8173"/>
      <c r="Z99" s="8173"/>
      <c r="AA99" s="8173"/>
      <c r="AB99" s="361"/>
      <c r="AC99" s="1794"/>
      <c r="AD99" s="1787"/>
      <c r="AE99" s="1787"/>
      <c r="AF99" s="1787"/>
    </row>
    <row r="100" spans="10:32" ht="23.25">
      <c r="J100" s="1787"/>
      <c r="K100" s="1787"/>
      <c r="L100" s="1903"/>
      <c r="M100" s="1903"/>
      <c r="N100" s="1903"/>
      <c r="O100" s="1903"/>
      <c r="P100" s="1903"/>
      <c r="Q100" s="1903"/>
      <c r="R100" s="1903"/>
      <c r="S100" s="1903"/>
      <c r="T100" s="1903"/>
      <c r="U100" s="1903"/>
      <c r="V100" s="1794"/>
      <c r="W100" s="1904"/>
      <c r="X100" s="8173"/>
      <c r="Y100" s="8173"/>
      <c r="Z100" s="8173"/>
      <c r="AA100" s="8173"/>
      <c r="AB100" s="361"/>
      <c r="AC100" s="1794"/>
      <c r="AD100" s="1787"/>
      <c r="AE100" s="1787"/>
      <c r="AF100" s="1787"/>
    </row>
    <row r="101" spans="10:32">
      <c r="J101" s="1787"/>
      <c r="K101" s="1787"/>
      <c r="L101" s="1903"/>
      <c r="M101" s="1903"/>
      <c r="N101" s="1903"/>
      <c r="O101" s="1903"/>
      <c r="P101" s="1903"/>
      <c r="Q101" s="1903"/>
      <c r="R101" s="1903"/>
      <c r="S101" s="1903"/>
      <c r="T101" s="1903"/>
      <c r="U101" s="1903"/>
      <c r="V101" s="1794"/>
      <c r="W101" s="361"/>
      <c r="X101" s="8173"/>
      <c r="Y101" s="8173"/>
      <c r="Z101" s="8173"/>
      <c r="AA101" s="8173"/>
      <c r="AB101" s="361"/>
      <c r="AC101" s="1794"/>
      <c r="AD101" s="1787"/>
      <c r="AE101" s="1787"/>
      <c r="AF101" s="1787"/>
    </row>
    <row r="102" spans="10:32" ht="23.25">
      <c r="J102" s="1787"/>
      <c r="K102" s="1787"/>
      <c r="L102" s="1903"/>
      <c r="M102" s="1903"/>
      <c r="N102" s="1903"/>
      <c r="O102" s="1903"/>
      <c r="P102" s="1903"/>
      <c r="Q102" s="1903"/>
      <c r="R102" s="1903"/>
      <c r="S102" s="1903"/>
      <c r="T102" s="1903"/>
      <c r="U102" s="1903"/>
      <c r="V102" s="1794"/>
      <c r="W102" s="1904"/>
      <c r="X102" s="8173"/>
      <c r="Y102" s="8173"/>
      <c r="Z102" s="8173"/>
      <c r="AA102" s="8173"/>
      <c r="AB102" s="361"/>
      <c r="AC102" s="1794"/>
      <c r="AD102" s="1787"/>
      <c r="AE102" s="1787"/>
      <c r="AF102" s="1787"/>
    </row>
  </sheetData>
  <mergeCells count="50">
    <mergeCell ref="X93:AA94"/>
    <mergeCell ref="X95:AA96"/>
    <mergeCell ref="X97:AA98"/>
    <mergeCell ref="X99:AA100"/>
    <mergeCell ref="X101:AA102"/>
    <mergeCell ref="X91:AA92"/>
    <mergeCell ref="X68:AA69"/>
    <mergeCell ref="X70:AA71"/>
    <mergeCell ref="X72:AA73"/>
    <mergeCell ref="X74:AA75"/>
    <mergeCell ref="X76:AA77"/>
    <mergeCell ref="X78:AA79"/>
    <mergeCell ref="X80:AA81"/>
    <mergeCell ref="X82:AA83"/>
    <mergeCell ref="X84:AA85"/>
    <mergeCell ref="X86:AA87"/>
    <mergeCell ref="X89:AA90"/>
    <mergeCell ref="X66:AA67"/>
    <mergeCell ref="AP13:AQ13"/>
    <mergeCell ref="AK25:AL25"/>
    <mergeCell ref="X48:AA49"/>
    <mergeCell ref="X50:AA51"/>
    <mergeCell ref="X52:AA53"/>
    <mergeCell ref="X54:AA55"/>
    <mergeCell ref="X56:AA57"/>
    <mergeCell ref="X58:AA59"/>
    <mergeCell ref="X60:AA61"/>
    <mergeCell ref="X62:AA63"/>
    <mergeCell ref="X64:AA65"/>
    <mergeCell ref="V10:Y12"/>
    <mergeCell ref="AA10:AD12"/>
    <mergeCell ref="AF10:AI12"/>
    <mergeCell ref="AK10:AO12"/>
    <mergeCell ref="C11:C13"/>
    <mergeCell ref="D11:D13"/>
    <mergeCell ref="E13:I13"/>
    <mergeCell ref="M13:N13"/>
    <mergeCell ref="R13:S13"/>
    <mergeCell ref="C10:D10"/>
    <mergeCell ref="H10:H11"/>
    <mergeCell ref="K10:K12"/>
    <mergeCell ref="O10:P13"/>
    <mergeCell ref="Q10:Q13"/>
    <mergeCell ref="R10:T12"/>
    <mergeCell ref="B2:T3"/>
    <mergeCell ref="B4:B6"/>
    <mergeCell ref="C4:I5"/>
    <mergeCell ref="E6:I7"/>
    <mergeCell ref="K6:K7"/>
    <mergeCell ref="B7:B8"/>
  </mergeCells>
  <hyperlinks>
    <hyperlink ref="K44" r:id="rId1" xr:uid="{13025000-7993-4AF8-8442-E9E4EB77A963}"/>
    <hyperlink ref="AK25" r:id="rId2" xr:uid="{BAADDA7D-55B0-473F-9AC4-05C7CB5ABB6F}"/>
    <hyperlink ref="B77" r:id="rId3" location="ID0EBABAAA=Excel%C2%A02016-2013" xr:uid="{12F5CF3F-4100-4CB7-B914-934BE5207986}"/>
    <hyperlink ref="B80" r:id="rId4" xr:uid="{4B9D1134-34D0-4EF4-9A93-980E82653AD5}"/>
    <hyperlink ref="B84" r:id="rId5" xr:uid="{77CC23E2-EF4E-42C3-8650-3096BDA57B6D}"/>
    <hyperlink ref="B82:V82" r:id="rId6" display="Auditer-et-espionner-des-formules-sous-excel" xr:uid="{3BB06B16-5D03-4281-9E76-82B30019D841}"/>
    <hyperlink ref="B74:L74" r:id="rId7" display="7 ZIP pour Zipper vos documents" xr:uid="{E6CF61E6-9E69-4E92-AA02-2DF5BD76AECF}"/>
  </hyperlinks>
  <pageMargins left="0.78740157499999996" right="0.78740157499999996" top="0.984251969" bottom="0.984251969" header="0.4921259845" footer="0.4921259845"/>
  <pageSetup paperSize="9" orientation="portrait" r:id="rId8"/>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149"/>
  <sheetViews>
    <sheetView zoomScaleNormal="100" workbookViewId="0">
      <selection activeCell="T5" sqref="T5"/>
    </sheetView>
  </sheetViews>
  <sheetFormatPr baseColWidth="10" defaultRowHeight="15"/>
  <cols>
    <col min="1" max="1" width="4.5703125" style="32" customWidth="1"/>
    <col min="2" max="2" width="10.42578125" style="171" customWidth="1"/>
    <col min="3" max="8" width="11.42578125" style="171"/>
    <col min="9" max="9" width="12.85546875" style="171" customWidth="1"/>
    <col min="10" max="10" width="11.42578125" style="171"/>
    <col min="11" max="12" width="11.5703125" style="171" bestFit="1" customWidth="1"/>
    <col min="13" max="13" width="11.42578125" style="171"/>
    <col min="14" max="14" width="11.42578125" style="32"/>
    <col min="15" max="15" width="12.28515625" style="32" bestFit="1" customWidth="1"/>
    <col min="16" max="16" width="11.5703125" style="32" bestFit="1" customWidth="1"/>
    <col min="17" max="17" width="11.42578125" style="32"/>
    <col min="18" max="18" width="12.28515625" style="32" bestFit="1" customWidth="1"/>
    <col min="19" max="19" width="11.5703125" style="32" bestFit="1" customWidth="1"/>
    <col min="20" max="256" width="11.42578125" style="32"/>
    <col min="257" max="257" width="4.5703125" style="32" customWidth="1"/>
    <col min="258" max="258" width="10.42578125" style="32" customWidth="1"/>
    <col min="259" max="264" width="11.42578125" style="32"/>
    <col min="265" max="265" width="12.85546875" style="32" customWidth="1"/>
    <col min="266" max="266" width="11.42578125" style="32"/>
    <col min="267" max="268" width="11.5703125" style="32" bestFit="1" customWidth="1"/>
    <col min="269" max="270" width="11.42578125" style="32"/>
    <col min="271" max="271" width="12.28515625" style="32" bestFit="1" customWidth="1"/>
    <col min="272" max="272" width="11.5703125" style="32" bestFit="1" customWidth="1"/>
    <col min="273" max="273" width="11.42578125" style="32"/>
    <col min="274" max="274" width="12.28515625" style="32" bestFit="1" customWidth="1"/>
    <col min="275" max="275" width="11.5703125" style="32" bestFit="1" customWidth="1"/>
    <col min="276" max="512" width="11.42578125" style="32"/>
    <col min="513" max="513" width="4.5703125" style="32" customWidth="1"/>
    <col min="514" max="514" width="10.42578125" style="32" customWidth="1"/>
    <col min="515" max="520" width="11.42578125" style="32"/>
    <col min="521" max="521" width="12.85546875" style="32" customWidth="1"/>
    <col min="522" max="522" width="11.42578125" style="32"/>
    <col min="523" max="524" width="11.5703125" style="32" bestFit="1" customWidth="1"/>
    <col min="525" max="526" width="11.42578125" style="32"/>
    <col min="527" max="527" width="12.28515625" style="32" bestFit="1" customWidth="1"/>
    <col min="528" max="528" width="11.5703125" style="32" bestFit="1" customWidth="1"/>
    <col min="529" max="529" width="11.42578125" style="32"/>
    <col min="530" max="530" width="12.28515625" style="32" bestFit="1" customWidth="1"/>
    <col min="531" max="531" width="11.5703125" style="32" bestFit="1" customWidth="1"/>
    <col min="532" max="768" width="11.42578125" style="32"/>
    <col min="769" max="769" width="4.5703125" style="32" customWidth="1"/>
    <col min="770" max="770" width="10.42578125" style="32" customWidth="1"/>
    <col min="771" max="776" width="11.42578125" style="32"/>
    <col min="777" max="777" width="12.85546875" style="32" customWidth="1"/>
    <col min="778" max="778" width="11.42578125" style="32"/>
    <col min="779" max="780" width="11.5703125" style="32" bestFit="1" customWidth="1"/>
    <col min="781" max="782" width="11.42578125" style="32"/>
    <col min="783" max="783" width="12.28515625" style="32" bestFit="1" customWidth="1"/>
    <col min="784" max="784" width="11.5703125" style="32" bestFit="1" customWidth="1"/>
    <col min="785" max="785" width="11.42578125" style="32"/>
    <col min="786" max="786" width="12.28515625" style="32" bestFit="1" customWidth="1"/>
    <col min="787" max="787" width="11.5703125" style="32" bestFit="1" customWidth="1"/>
    <col min="788" max="1024" width="11.42578125" style="32"/>
    <col min="1025" max="1025" width="4.5703125" style="32" customWidth="1"/>
    <col min="1026" max="1026" width="10.42578125" style="32" customWidth="1"/>
    <col min="1027" max="1032" width="11.42578125" style="32"/>
    <col min="1033" max="1033" width="12.85546875" style="32" customWidth="1"/>
    <col min="1034" max="1034" width="11.42578125" style="32"/>
    <col min="1035" max="1036" width="11.5703125" style="32" bestFit="1" customWidth="1"/>
    <col min="1037" max="1038" width="11.42578125" style="32"/>
    <col min="1039" max="1039" width="12.28515625" style="32" bestFit="1" customWidth="1"/>
    <col min="1040" max="1040" width="11.5703125" style="32" bestFit="1" customWidth="1"/>
    <col min="1041" max="1041" width="11.42578125" style="32"/>
    <col min="1042" max="1042" width="12.28515625" style="32" bestFit="1" customWidth="1"/>
    <col min="1043" max="1043" width="11.5703125" style="32" bestFit="1" customWidth="1"/>
    <col min="1044" max="1280" width="11.42578125" style="32"/>
    <col min="1281" max="1281" width="4.5703125" style="32" customWidth="1"/>
    <col min="1282" max="1282" width="10.42578125" style="32" customWidth="1"/>
    <col min="1283" max="1288" width="11.42578125" style="32"/>
    <col min="1289" max="1289" width="12.85546875" style="32" customWidth="1"/>
    <col min="1290" max="1290" width="11.42578125" style="32"/>
    <col min="1291" max="1292" width="11.5703125" style="32" bestFit="1" customWidth="1"/>
    <col min="1293" max="1294" width="11.42578125" style="32"/>
    <col min="1295" max="1295" width="12.28515625" style="32" bestFit="1" customWidth="1"/>
    <col min="1296" max="1296" width="11.5703125" style="32" bestFit="1" customWidth="1"/>
    <col min="1297" max="1297" width="11.42578125" style="32"/>
    <col min="1298" max="1298" width="12.28515625" style="32" bestFit="1" customWidth="1"/>
    <col min="1299" max="1299" width="11.5703125" style="32" bestFit="1" customWidth="1"/>
    <col min="1300" max="1536" width="11.42578125" style="32"/>
    <col min="1537" max="1537" width="4.5703125" style="32" customWidth="1"/>
    <col min="1538" max="1538" width="10.42578125" style="32" customWidth="1"/>
    <col min="1539" max="1544" width="11.42578125" style="32"/>
    <col min="1545" max="1545" width="12.85546875" style="32" customWidth="1"/>
    <col min="1546" max="1546" width="11.42578125" style="32"/>
    <col min="1547" max="1548" width="11.5703125" style="32" bestFit="1" customWidth="1"/>
    <col min="1549" max="1550" width="11.42578125" style="32"/>
    <col min="1551" max="1551" width="12.28515625" style="32" bestFit="1" customWidth="1"/>
    <col min="1552" max="1552" width="11.5703125" style="32" bestFit="1" customWidth="1"/>
    <col min="1553" max="1553" width="11.42578125" style="32"/>
    <col min="1554" max="1554" width="12.28515625" style="32" bestFit="1" customWidth="1"/>
    <col min="1555" max="1555" width="11.5703125" style="32" bestFit="1" customWidth="1"/>
    <col min="1556" max="1792" width="11.42578125" style="32"/>
    <col min="1793" max="1793" width="4.5703125" style="32" customWidth="1"/>
    <col min="1794" max="1794" width="10.42578125" style="32" customWidth="1"/>
    <col min="1795" max="1800" width="11.42578125" style="32"/>
    <col min="1801" max="1801" width="12.85546875" style="32" customWidth="1"/>
    <col min="1802" max="1802" width="11.42578125" style="32"/>
    <col min="1803" max="1804" width="11.5703125" style="32" bestFit="1" customWidth="1"/>
    <col min="1805" max="1806" width="11.42578125" style="32"/>
    <col min="1807" max="1807" width="12.28515625" style="32" bestFit="1" customWidth="1"/>
    <col min="1808" max="1808" width="11.5703125" style="32" bestFit="1" customWidth="1"/>
    <col min="1809" max="1809" width="11.42578125" style="32"/>
    <col min="1810" max="1810" width="12.28515625" style="32" bestFit="1" customWidth="1"/>
    <col min="1811" max="1811" width="11.5703125" style="32" bestFit="1" customWidth="1"/>
    <col min="1812" max="2048" width="11.42578125" style="32"/>
    <col min="2049" max="2049" width="4.5703125" style="32" customWidth="1"/>
    <col min="2050" max="2050" width="10.42578125" style="32" customWidth="1"/>
    <col min="2051" max="2056" width="11.42578125" style="32"/>
    <col min="2057" max="2057" width="12.85546875" style="32" customWidth="1"/>
    <col min="2058" max="2058" width="11.42578125" style="32"/>
    <col min="2059" max="2060" width="11.5703125" style="32" bestFit="1" customWidth="1"/>
    <col min="2061" max="2062" width="11.42578125" style="32"/>
    <col min="2063" max="2063" width="12.28515625" style="32" bestFit="1" customWidth="1"/>
    <col min="2064" max="2064" width="11.5703125" style="32" bestFit="1" customWidth="1"/>
    <col min="2065" max="2065" width="11.42578125" style="32"/>
    <col min="2066" max="2066" width="12.28515625" style="32" bestFit="1" customWidth="1"/>
    <col min="2067" max="2067" width="11.5703125" style="32" bestFit="1" customWidth="1"/>
    <col min="2068" max="2304" width="11.42578125" style="32"/>
    <col min="2305" max="2305" width="4.5703125" style="32" customWidth="1"/>
    <col min="2306" max="2306" width="10.42578125" style="32" customWidth="1"/>
    <col min="2307" max="2312" width="11.42578125" style="32"/>
    <col min="2313" max="2313" width="12.85546875" style="32" customWidth="1"/>
    <col min="2314" max="2314" width="11.42578125" style="32"/>
    <col min="2315" max="2316" width="11.5703125" style="32" bestFit="1" customWidth="1"/>
    <col min="2317" max="2318" width="11.42578125" style="32"/>
    <col min="2319" max="2319" width="12.28515625" style="32" bestFit="1" customWidth="1"/>
    <col min="2320" max="2320" width="11.5703125" style="32" bestFit="1" customWidth="1"/>
    <col min="2321" max="2321" width="11.42578125" style="32"/>
    <col min="2322" max="2322" width="12.28515625" style="32" bestFit="1" customWidth="1"/>
    <col min="2323" max="2323" width="11.5703125" style="32" bestFit="1" customWidth="1"/>
    <col min="2324" max="2560" width="11.42578125" style="32"/>
    <col min="2561" max="2561" width="4.5703125" style="32" customWidth="1"/>
    <col min="2562" max="2562" width="10.42578125" style="32" customWidth="1"/>
    <col min="2563" max="2568" width="11.42578125" style="32"/>
    <col min="2569" max="2569" width="12.85546875" style="32" customWidth="1"/>
    <col min="2570" max="2570" width="11.42578125" style="32"/>
    <col min="2571" max="2572" width="11.5703125" style="32" bestFit="1" customWidth="1"/>
    <col min="2573" max="2574" width="11.42578125" style="32"/>
    <col min="2575" max="2575" width="12.28515625" style="32" bestFit="1" customWidth="1"/>
    <col min="2576" max="2576" width="11.5703125" style="32" bestFit="1" customWidth="1"/>
    <col min="2577" max="2577" width="11.42578125" style="32"/>
    <col min="2578" max="2578" width="12.28515625" style="32" bestFit="1" customWidth="1"/>
    <col min="2579" max="2579" width="11.5703125" style="32" bestFit="1" customWidth="1"/>
    <col min="2580" max="2816" width="11.42578125" style="32"/>
    <col min="2817" max="2817" width="4.5703125" style="32" customWidth="1"/>
    <col min="2818" max="2818" width="10.42578125" style="32" customWidth="1"/>
    <col min="2819" max="2824" width="11.42578125" style="32"/>
    <col min="2825" max="2825" width="12.85546875" style="32" customWidth="1"/>
    <col min="2826" max="2826" width="11.42578125" style="32"/>
    <col min="2827" max="2828" width="11.5703125" style="32" bestFit="1" customWidth="1"/>
    <col min="2829" max="2830" width="11.42578125" style="32"/>
    <col min="2831" max="2831" width="12.28515625" style="32" bestFit="1" customWidth="1"/>
    <col min="2832" max="2832" width="11.5703125" style="32" bestFit="1" customWidth="1"/>
    <col min="2833" max="2833" width="11.42578125" style="32"/>
    <col min="2834" max="2834" width="12.28515625" style="32" bestFit="1" customWidth="1"/>
    <col min="2835" max="2835" width="11.5703125" style="32" bestFit="1" customWidth="1"/>
    <col min="2836" max="3072" width="11.42578125" style="32"/>
    <col min="3073" max="3073" width="4.5703125" style="32" customWidth="1"/>
    <col min="3074" max="3074" width="10.42578125" style="32" customWidth="1"/>
    <col min="3075" max="3080" width="11.42578125" style="32"/>
    <col min="3081" max="3081" width="12.85546875" style="32" customWidth="1"/>
    <col min="3082" max="3082" width="11.42578125" style="32"/>
    <col min="3083" max="3084" width="11.5703125" style="32" bestFit="1" customWidth="1"/>
    <col min="3085" max="3086" width="11.42578125" style="32"/>
    <col min="3087" max="3087" width="12.28515625" style="32" bestFit="1" customWidth="1"/>
    <col min="3088" max="3088" width="11.5703125" style="32" bestFit="1" customWidth="1"/>
    <col min="3089" max="3089" width="11.42578125" style="32"/>
    <col min="3090" max="3090" width="12.28515625" style="32" bestFit="1" customWidth="1"/>
    <col min="3091" max="3091" width="11.5703125" style="32" bestFit="1" customWidth="1"/>
    <col min="3092" max="3328" width="11.42578125" style="32"/>
    <col min="3329" max="3329" width="4.5703125" style="32" customWidth="1"/>
    <col min="3330" max="3330" width="10.42578125" style="32" customWidth="1"/>
    <col min="3331" max="3336" width="11.42578125" style="32"/>
    <col min="3337" max="3337" width="12.85546875" style="32" customWidth="1"/>
    <col min="3338" max="3338" width="11.42578125" style="32"/>
    <col min="3339" max="3340" width="11.5703125" style="32" bestFit="1" customWidth="1"/>
    <col min="3341" max="3342" width="11.42578125" style="32"/>
    <col min="3343" max="3343" width="12.28515625" style="32" bestFit="1" customWidth="1"/>
    <col min="3344" max="3344" width="11.5703125" style="32" bestFit="1" customWidth="1"/>
    <col min="3345" max="3345" width="11.42578125" style="32"/>
    <col min="3346" max="3346" width="12.28515625" style="32" bestFit="1" customWidth="1"/>
    <col min="3347" max="3347" width="11.5703125" style="32" bestFit="1" customWidth="1"/>
    <col min="3348" max="3584" width="11.42578125" style="32"/>
    <col min="3585" max="3585" width="4.5703125" style="32" customWidth="1"/>
    <col min="3586" max="3586" width="10.42578125" style="32" customWidth="1"/>
    <col min="3587" max="3592" width="11.42578125" style="32"/>
    <col min="3593" max="3593" width="12.85546875" style="32" customWidth="1"/>
    <col min="3594" max="3594" width="11.42578125" style="32"/>
    <col min="3595" max="3596" width="11.5703125" style="32" bestFit="1" customWidth="1"/>
    <col min="3597" max="3598" width="11.42578125" style="32"/>
    <col min="3599" max="3599" width="12.28515625" style="32" bestFit="1" customWidth="1"/>
    <col min="3600" max="3600" width="11.5703125" style="32" bestFit="1" customWidth="1"/>
    <col min="3601" max="3601" width="11.42578125" style="32"/>
    <col min="3602" max="3602" width="12.28515625" style="32" bestFit="1" customWidth="1"/>
    <col min="3603" max="3603" width="11.5703125" style="32" bestFit="1" customWidth="1"/>
    <col min="3604" max="3840" width="11.42578125" style="32"/>
    <col min="3841" max="3841" width="4.5703125" style="32" customWidth="1"/>
    <col min="3842" max="3842" width="10.42578125" style="32" customWidth="1"/>
    <col min="3843" max="3848" width="11.42578125" style="32"/>
    <col min="3849" max="3849" width="12.85546875" style="32" customWidth="1"/>
    <col min="3850" max="3850" width="11.42578125" style="32"/>
    <col min="3851" max="3852" width="11.5703125" style="32" bestFit="1" customWidth="1"/>
    <col min="3853" max="3854" width="11.42578125" style="32"/>
    <col min="3855" max="3855" width="12.28515625" style="32" bestFit="1" customWidth="1"/>
    <col min="3856" max="3856" width="11.5703125" style="32" bestFit="1" customWidth="1"/>
    <col min="3857" max="3857" width="11.42578125" style="32"/>
    <col min="3858" max="3858" width="12.28515625" style="32" bestFit="1" customWidth="1"/>
    <col min="3859" max="3859" width="11.5703125" style="32" bestFit="1" customWidth="1"/>
    <col min="3860" max="4096" width="11.42578125" style="32"/>
    <col min="4097" max="4097" width="4.5703125" style="32" customWidth="1"/>
    <col min="4098" max="4098" width="10.42578125" style="32" customWidth="1"/>
    <col min="4099" max="4104" width="11.42578125" style="32"/>
    <col min="4105" max="4105" width="12.85546875" style="32" customWidth="1"/>
    <col min="4106" max="4106" width="11.42578125" style="32"/>
    <col min="4107" max="4108" width="11.5703125" style="32" bestFit="1" customWidth="1"/>
    <col min="4109" max="4110" width="11.42578125" style="32"/>
    <col min="4111" max="4111" width="12.28515625" style="32" bestFit="1" customWidth="1"/>
    <col min="4112" max="4112" width="11.5703125" style="32" bestFit="1" customWidth="1"/>
    <col min="4113" max="4113" width="11.42578125" style="32"/>
    <col min="4114" max="4114" width="12.28515625" style="32" bestFit="1" customWidth="1"/>
    <col min="4115" max="4115" width="11.5703125" style="32" bestFit="1" customWidth="1"/>
    <col min="4116" max="4352" width="11.42578125" style="32"/>
    <col min="4353" max="4353" width="4.5703125" style="32" customWidth="1"/>
    <col min="4354" max="4354" width="10.42578125" style="32" customWidth="1"/>
    <col min="4355" max="4360" width="11.42578125" style="32"/>
    <col min="4361" max="4361" width="12.85546875" style="32" customWidth="1"/>
    <col min="4362" max="4362" width="11.42578125" style="32"/>
    <col min="4363" max="4364" width="11.5703125" style="32" bestFit="1" customWidth="1"/>
    <col min="4365" max="4366" width="11.42578125" style="32"/>
    <col min="4367" max="4367" width="12.28515625" style="32" bestFit="1" customWidth="1"/>
    <col min="4368" max="4368" width="11.5703125" style="32" bestFit="1" customWidth="1"/>
    <col min="4369" max="4369" width="11.42578125" style="32"/>
    <col min="4370" max="4370" width="12.28515625" style="32" bestFit="1" customWidth="1"/>
    <col min="4371" max="4371" width="11.5703125" style="32" bestFit="1" customWidth="1"/>
    <col min="4372" max="4608" width="11.42578125" style="32"/>
    <col min="4609" max="4609" width="4.5703125" style="32" customWidth="1"/>
    <col min="4610" max="4610" width="10.42578125" style="32" customWidth="1"/>
    <col min="4611" max="4616" width="11.42578125" style="32"/>
    <col min="4617" max="4617" width="12.85546875" style="32" customWidth="1"/>
    <col min="4618" max="4618" width="11.42578125" style="32"/>
    <col min="4619" max="4620" width="11.5703125" style="32" bestFit="1" customWidth="1"/>
    <col min="4621" max="4622" width="11.42578125" style="32"/>
    <col min="4623" max="4623" width="12.28515625" style="32" bestFit="1" customWidth="1"/>
    <col min="4624" max="4624" width="11.5703125" style="32" bestFit="1" customWidth="1"/>
    <col min="4625" max="4625" width="11.42578125" style="32"/>
    <col min="4626" max="4626" width="12.28515625" style="32" bestFit="1" customWidth="1"/>
    <col min="4627" max="4627" width="11.5703125" style="32" bestFit="1" customWidth="1"/>
    <col min="4628" max="4864" width="11.42578125" style="32"/>
    <col min="4865" max="4865" width="4.5703125" style="32" customWidth="1"/>
    <col min="4866" max="4866" width="10.42578125" style="32" customWidth="1"/>
    <col min="4867" max="4872" width="11.42578125" style="32"/>
    <col min="4873" max="4873" width="12.85546875" style="32" customWidth="1"/>
    <col min="4874" max="4874" width="11.42578125" style="32"/>
    <col min="4875" max="4876" width="11.5703125" style="32" bestFit="1" customWidth="1"/>
    <col min="4877" max="4878" width="11.42578125" style="32"/>
    <col min="4879" max="4879" width="12.28515625" style="32" bestFit="1" customWidth="1"/>
    <col min="4880" max="4880" width="11.5703125" style="32" bestFit="1" customWidth="1"/>
    <col min="4881" max="4881" width="11.42578125" style="32"/>
    <col min="4882" max="4882" width="12.28515625" style="32" bestFit="1" customWidth="1"/>
    <col min="4883" max="4883" width="11.5703125" style="32" bestFit="1" customWidth="1"/>
    <col min="4884" max="5120" width="11.42578125" style="32"/>
    <col min="5121" max="5121" width="4.5703125" style="32" customWidth="1"/>
    <col min="5122" max="5122" width="10.42578125" style="32" customWidth="1"/>
    <col min="5123" max="5128" width="11.42578125" style="32"/>
    <col min="5129" max="5129" width="12.85546875" style="32" customWidth="1"/>
    <col min="5130" max="5130" width="11.42578125" style="32"/>
    <col min="5131" max="5132" width="11.5703125" style="32" bestFit="1" customWidth="1"/>
    <col min="5133" max="5134" width="11.42578125" style="32"/>
    <col min="5135" max="5135" width="12.28515625" style="32" bestFit="1" customWidth="1"/>
    <col min="5136" max="5136" width="11.5703125" style="32" bestFit="1" customWidth="1"/>
    <col min="5137" max="5137" width="11.42578125" style="32"/>
    <col min="5138" max="5138" width="12.28515625" style="32" bestFit="1" customWidth="1"/>
    <col min="5139" max="5139" width="11.5703125" style="32" bestFit="1" customWidth="1"/>
    <col min="5140" max="5376" width="11.42578125" style="32"/>
    <col min="5377" max="5377" width="4.5703125" style="32" customWidth="1"/>
    <col min="5378" max="5378" width="10.42578125" style="32" customWidth="1"/>
    <col min="5379" max="5384" width="11.42578125" style="32"/>
    <col min="5385" max="5385" width="12.85546875" style="32" customWidth="1"/>
    <col min="5386" max="5386" width="11.42578125" style="32"/>
    <col min="5387" max="5388" width="11.5703125" style="32" bestFit="1" customWidth="1"/>
    <col min="5389" max="5390" width="11.42578125" style="32"/>
    <col min="5391" max="5391" width="12.28515625" style="32" bestFit="1" customWidth="1"/>
    <col min="5392" max="5392" width="11.5703125" style="32" bestFit="1" customWidth="1"/>
    <col min="5393" max="5393" width="11.42578125" style="32"/>
    <col min="5394" max="5394" width="12.28515625" style="32" bestFit="1" customWidth="1"/>
    <col min="5395" max="5395" width="11.5703125" style="32" bestFit="1" customWidth="1"/>
    <col min="5396" max="5632" width="11.42578125" style="32"/>
    <col min="5633" max="5633" width="4.5703125" style="32" customWidth="1"/>
    <col min="5634" max="5634" width="10.42578125" style="32" customWidth="1"/>
    <col min="5635" max="5640" width="11.42578125" style="32"/>
    <col min="5641" max="5641" width="12.85546875" style="32" customWidth="1"/>
    <col min="5642" max="5642" width="11.42578125" style="32"/>
    <col min="5643" max="5644" width="11.5703125" style="32" bestFit="1" customWidth="1"/>
    <col min="5645" max="5646" width="11.42578125" style="32"/>
    <col min="5647" max="5647" width="12.28515625" style="32" bestFit="1" customWidth="1"/>
    <col min="5648" max="5648" width="11.5703125" style="32" bestFit="1" customWidth="1"/>
    <col min="5649" max="5649" width="11.42578125" style="32"/>
    <col min="5650" max="5650" width="12.28515625" style="32" bestFit="1" customWidth="1"/>
    <col min="5651" max="5651" width="11.5703125" style="32" bestFit="1" customWidth="1"/>
    <col min="5652" max="5888" width="11.42578125" style="32"/>
    <col min="5889" max="5889" width="4.5703125" style="32" customWidth="1"/>
    <col min="5890" max="5890" width="10.42578125" style="32" customWidth="1"/>
    <col min="5891" max="5896" width="11.42578125" style="32"/>
    <col min="5897" max="5897" width="12.85546875" style="32" customWidth="1"/>
    <col min="5898" max="5898" width="11.42578125" style="32"/>
    <col min="5899" max="5900" width="11.5703125" style="32" bestFit="1" customWidth="1"/>
    <col min="5901" max="5902" width="11.42578125" style="32"/>
    <col min="5903" max="5903" width="12.28515625" style="32" bestFit="1" customWidth="1"/>
    <col min="5904" max="5904" width="11.5703125" style="32" bestFit="1" customWidth="1"/>
    <col min="5905" max="5905" width="11.42578125" style="32"/>
    <col min="5906" max="5906" width="12.28515625" style="32" bestFit="1" customWidth="1"/>
    <col min="5907" max="5907" width="11.5703125" style="32" bestFit="1" customWidth="1"/>
    <col min="5908" max="6144" width="11.42578125" style="32"/>
    <col min="6145" max="6145" width="4.5703125" style="32" customWidth="1"/>
    <col min="6146" max="6146" width="10.42578125" style="32" customWidth="1"/>
    <col min="6147" max="6152" width="11.42578125" style="32"/>
    <col min="6153" max="6153" width="12.85546875" style="32" customWidth="1"/>
    <col min="6154" max="6154" width="11.42578125" style="32"/>
    <col min="6155" max="6156" width="11.5703125" style="32" bestFit="1" customWidth="1"/>
    <col min="6157" max="6158" width="11.42578125" style="32"/>
    <col min="6159" max="6159" width="12.28515625" style="32" bestFit="1" customWidth="1"/>
    <col min="6160" max="6160" width="11.5703125" style="32" bestFit="1" customWidth="1"/>
    <col min="6161" max="6161" width="11.42578125" style="32"/>
    <col min="6162" max="6162" width="12.28515625" style="32" bestFit="1" customWidth="1"/>
    <col min="6163" max="6163" width="11.5703125" style="32" bestFit="1" customWidth="1"/>
    <col min="6164" max="6400" width="11.42578125" style="32"/>
    <col min="6401" max="6401" width="4.5703125" style="32" customWidth="1"/>
    <col min="6402" max="6402" width="10.42578125" style="32" customWidth="1"/>
    <col min="6403" max="6408" width="11.42578125" style="32"/>
    <col min="6409" max="6409" width="12.85546875" style="32" customWidth="1"/>
    <col min="6410" max="6410" width="11.42578125" style="32"/>
    <col min="6411" max="6412" width="11.5703125" style="32" bestFit="1" customWidth="1"/>
    <col min="6413" max="6414" width="11.42578125" style="32"/>
    <col min="6415" max="6415" width="12.28515625" style="32" bestFit="1" customWidth="1"/>
    <col min="6416" max="6416" width="11.5703125" style="32" bestFit="1" customWidth="1"/>
    <col min="6417" max="6417" width="11.42578125" style="32"/>
    <col min="6418" max="6418" width="12.28515625" style="32" bestFit="1" customWidth="1"/>
    <col min="6419" max="6419" width="11.5703125" style="32" bestFit="1" customWidth="1"/>
    <col min="6420" max="6656" width="11.42578125" style="32"/>
    <col min="6657" max="6657" width="4.5703125" style="32" customWidth="1"/>
    <col min="6658" max="6658" width="10.42578125" style="32" customWidth="1"/>
    <col min="6659" max="6664" width="11.42578125" style="32"/>
    <col min="6665" max="6665" width="12.85546875" style="32" customWidth="1"/>
    <col min="6666" max="6666" width="11.42578125" style="32"/>
    <col min="6667" max="6668" width="11.5703125" style="32" bestFit="1" customWidth="1"/>
    <col min="6669" max="6670" width="11.42578125" style="32"/>
    <col min="6671" max="6671" width="12.28515625" style="32" bestFit="1" customWidth="1"/>
    <col min="6672" max="6672" width="11.5703125" style="32" bestFit="1" customWidth="1"/>
    <col min="6673" max="6673" width="11.42578125" style="32"/>
    <col min="6674" max="6674" width="12.28515625" style="32" bestFit="1" customWidth="1"/>
    <col min="6675" max="6675" width="11.5703125" style="32" bestFit="1" customWidth="1"/>
    <col min="6676" max="6912" width="11.42578125" style="32"/>
    <col min="6913" max="6913" width="4.5703125" style="32" customWidth="1"/>
    <col min="6914" max="6914" width="10.42578125" style="32" customWidth="1"/>
    <col min="6915" max="6920" width="11.42578125" style="32"/>
    <col min="6921" max="6921" width="12.85546875" style="32" customWidth="1"/>
    <col min="6922" max="6922" width="11.42578125" style="32"/>
    <col min="6923" max="6924" width="11.5703125" style="32" bestFit="1" customWidth="1"/>
    <col min="6925" max="6926" width="11.42578125" style="32"/>
    <col min="6927" max="6927" width="12.28515625" style="32" bestFit="1" customWidth="1"/>
    <col min="6928" max="6928" width="11.5703125" style="32" bestFit="1" customWidth="1"/>
    <col min="6929" max="6929" width="11.42578125" style="32"/>
    <col min="6930" max="6930" width="12.28515625" style="32" bestFit="1" customWidth="1"/>
    <col min="6931" max="6931" width="11.5703125" style="32" bestFit="1" customWidth="1"/>
    <col min="6932" max="7168" width="11.42578125" style="32"/>
    <col min="7169" max="7169" width="4.5703125" style="32" customWidth="1"/>
    <col min="7170" max="7170" width="10.42578125" style="32" customWidth="1"/>
    <col min="7171" max="7176" width="11.42578125" style="32"/>
    <col min="7177" max="7177" width="12.85546875" style="32" customWidth="1"/>
    <col min="7178" max="7178" width="11.42578125" style="32"/>
    <col min="7179" max="7180" width="11.5703125" style="32" bestFit="1" customWidth="1"/>
    <col min="7181" max="7182" width="11.42578125" style="32"/>
    <col min="7183" max="7183" width="12.28515625" style="32" bestFit="1" customWidth="1"/>
    <col min="7184" max="7184" width="11.5703125" style="32" bestFit="1" customWidth="1"/>
    <col min="7185" max="7185" width="11.42578125" style="32"/>
    <col min="7186" max="7186" width="12.28515625" style="32" bestFit="1" customWidth="1"/>
    <col min="7187" max="7187" width="11.5703125" style="32" bestFit="1" customWidth="1"/>
    <col min="7188" max="7424" width="11.42578125" style="32"/>
    <col min="7425" max="7425" width="4.5703125" style="32" customWidth="1"/>
    <col min="7426" max="7426" width="10.42578125" style="32" customWidth="1"/>
    <col min="7427" max="7432" width="11.42578125" style="32"/>
    <col min="7433" max="7433" width="12.85546875" style="32" customWidth="1"/>
    <col min="7434" max="7434" width="11.42578125" style="32"/>
    <col min="7435" max="7436" width="11.5703125" style="32" bestFit="1" customWidth="1"/>
    <col min="7437" max="7438" width="11.42578125" style="32"/>
    <col min="7439" max="7439" width="12.28515625" style="32" bestFit="1" customWidth="1"/>
    <col min="7440" max="7440" width="11.5703125" style="32" bestFit="1" customWidth="1"/>
    <col min="7441" max="7441" width="11.42578125" style="32"/>
    <col min="7442" max="7442" width="12.28515625" style="32" bestFit="1" customWidth="1"/>
    <col min="7443" max="7443" width="11.5703125" style="32" bestFit="1" customWidth="1"/>
    <col min="7444" max="7680" width="11.42578125" style="32"/>
    <col min="7681" max="7681" width="4.5703125" style="32" customWidth="1"/>
    <col min="7682" max="7682" width="10.42578125" style="32" customWidth="1"/>
    <col min="7683" max="7688" width="11.42578125" style="32"/>
    <col min="7689" max="7689" width="12.85546875" style="32" customWidth="1"/>
    <col min="7690" max="7690" width="11.42578125" style="32"/>
    <col min="7691" max="7692" width="11.5703125" style="32" bestFit="1" customWidth="1"/>
    <col min="7693" max="7694" width="11.42578125" style="32"/>
    <col min="7695" max="7695" width="12.28515625" style="32" bestFit="1" customWidth="1"/>
    <col min="7696" max="7696" width="11.5703125" style="32" bestFit="1" customWidth="1"/>
    <col min="7697" max="7697" width="11.42578125" style="32"/>
    <col min="7698" max="7698" width="12.28515625" style="32" bestFit="1" customWidth="1"/>
    <col min="7699" max="7699" width="11.5703125" style="32" bestFit="1" customWidth="1"/>
    <col min="7700" max="7936" width="11.42578125" style="32"/>
    <col min="7937" max="7937" width="4.5703125" style="32" customWidth="1"/>
    <col min="7938" max="7938" width="10.42578125" style="32" customWidth="1"/>
    <col min="7939" max="7944" width="11.42578125" style="32"/>
    <col min="7945" max="7945" width="12.85546875" style="32" customWidth="1"/>
    <col min="7946" max="7946" width="11.42578125" style="32"/>
    <col min="7947" max="7948" width="11.5703125" style="32" bestFit="1" customWidth="1"/>
    <col min="7949" max="7950" width="11.42578125" style="32"/>
    <col min="7951" max="7951" width="12.28515625" style="32" bestFit="1" customWidth="1"/>
    <col min="7952" max="7952" width="11.5703125" style="32" bestFit="1" customWidth="1"/>
    <col min="7953" max="7953" width="11.42578125" style="32"/>
    <col min="7954" max="7954" width="12.28515625" style="32" bestFit="1" customWidth="1"/>
    <col min="7955" max="7955" width="11.5703125" style="32" bestFit="1" customWidth="1"/>
    <col min="7956" max="8192" width="11.42578125" style="32"/>
    <col min="8193" max="8193" width="4.5703125" style="32" customWidth="1"/>
    <col min="8194" max="8194" width="10.42578125" style="32" customWidth="1"/>
    <col min="8195" max="8200" width="11.42578125" style="32"/>
    <col min="8201" max="8201" width="12.85546875" style="32" customWidth="1"/>
    <col min="8202" max="8202" width="11.42578125" style="32"/>
    <col min="8203" max="8204" width="11.5703125" style="32" bestFit="1" customWidth="1"/>
    <col min="8205" max="8206" width="11.42578125" style="32"/>
    <col min="8207" max="8207" width="12.28515625" style="32" bestFit="1" customWidth="1"/>
    <col min="8208" max="8208" width="11.5703125" style="32" bestFit="1" customWidth="1"/>
    <col min="8209" max="8209" width="11.42578125" style="32"/>
    <col min="8210" max="8210" width="12.28515625" style="32" bestFit="1" customWidth="1"/>
    <col min="8211" max="8211" width="11.5703125" style="32" bestFit="1" customWidth="1"/>
    <col min="8212" max="8448" width="11.42578125" style="32"/>
    <col min="8449" max="8449" width="4.5703125" style="32" customWidth="1"/>
    <col min="8450" max="8450" width="10.42578125" style="32" customWidth="1"/>
    <col min="8451" max="8456" width="11.42578125" style="32"/>
    <col min="8457" max="8457" width="12.85546875" style="32" customWidth="1"/>
    <col min="8458" max="8458" width="11.42578125" style="32"/>
    <col min="8459" max="8460" width="11.5703125" style="32" bestFit="1" customWidth="1"/>
    <col min="8461" max="8462" width="11.42578125" style="32"/>
    <col min="8463" max="8463" width="12.28515625" style="32" bestFit="1" customWidth="1"/>
    <col min="8464" max="8464" width="11.5703125" style="32" bestFit="1" customWidth="1"/>
    <col min="8465" max="8465" width="11.42578125" style="32"/>
    <col min="8466" max="8466" width="12.28515625" style="32" bestFit="1" customWidth="1"/>
    <col min="8467" max="8467" width="11.5703125" style="32" bestFit="1" customWidth="1"/>
    <col min="8468" max="8704" width="11.42578125" style="32"/>
    <col min="8705" max="8705" width="4.5703125" style="32" customWidth="1"/>
    <col min="8706" max="8706" width="10.42578125" style="32" customWidth="1"/>
    <col min="8707" max="8712" width="11.42578125" style="32"/>
    <col min="8713" max="8713" width="12.85546875" style="32" customWidth="1"/>
    <col min="8714" max="8714" width="11.42578125" style="32"/>
    <col min="8715" max="8716" width="11.5703125" style="32" bestFit="1" customWidth="1"/>
    <col min="8717" max="8718" width="11.42578125" style="32"/>
    <col min="8719" max="8719" width="12.28515625" style="32" bestFit="1" customWidth="1"/>
    <col min="8720" max="8720" width="11.5703125" style="32" bestFit="1" customWidth="1"/>
    <col min="8721" max="8721" width="11.42578125" style="32"/>
    <col min="8722" max="8722" width="12.28515625" style="32" bestFit="1" customWidth="1"/>
    <col min="8723" max="8723" width="11.5703125" style="32" bestFit="1" customWidth="1"/>
    <col min="8724" max="8960" width="11.42578125" style="32"/>
    <col min="8961" max="8961" width="4.5703125" style="32" customWidth="1"/>
    <col min="8962" max="8962" width="10.42578125" style="32" customWidth="1"/>
    <col min="8963" max="8968" width="11.42578125" style="32"/>
    <col min="8969" max="8969" width="12.85546875" style="32" customWidth="1"/>
    <col min="8970" max="8970" width="11.42578125" style="32"/>
    <col min="8971" max="8972" width="11.5703125" style="32" bestFit="1" customWidth="1"/>
    <col min="8973" max="8974" width="11.42578125" style="32"/>
    <col min="8975" max="8975" width="12.28515625" style="32" bestFit="1" customWidth="1"/>
    <col min="8976" max="8976" width="11.5703125" style="32" bestFit="1" customWidth="1"/>
    <col min="8977" max="8977" width="11.42578125" style="32"/>
    <col min="8978" max="8978" width="12.28515625" style="32" bestFit="1" customWidth="1"/>
    <col min="8979" max="8979" width="11.5703125" style="32" bestFit="1" customWidth="1"/>
    <col min="8980" max="9216" width="11.42578125" style="32"/>
    <col min="9217" max="9217" width="4.5703125" style="32" customWidth="1"/>
    <col min="9218" max="9218" width="10.42578125" style="32" customWidth="1"/>
    <col min="9219" max="9224" width="11.42578125" style="32"/>
    <col min="9225" max="9225" width="12.85546875" style="32" customWidth="1"/>
    <col min="9226" max="9226" width="11.42578125" style="32"/>
    <col min="9227" max="9228" width="11.5703125" style="32" bestFit="1" customWidth="1"/>
    <col min="9229" max="9230" width="11.42578125" style="32"/>
    <col min="9231" max="9231" width="12.28515625" style="32" bestFit="1" customWidth="1"/>
    <col min="9232" max="9232" width="11.5703125" style="32" bestFit="1" customWidth="1"/>
    <col min="9233" max="9233" width="11.42578125" style="32"/>
    <col min="9234" max="9234" width="12.28515625" style="32" bestFit="1" customWidth="1"/>
    <col min="9235" max="9235" width="11.5703125" style="32" bestFit="1" customWidth="1"/>
    <col min="9236" max="9472" width="11.42578125" style="32"/>
    <col min="9473" max="9473" width="4.5703125" style="32" customWidth="1"/>
    <col min="9474" max="9474" width="10.42578125" style="32" customWidth="1"/>
    <col min="9475" max="9480" width="11.42578125" style="32"/>
    <col min="9481" max="9481" width="12.85546875" style="32" customWidth="1"/>
    <col min="9482" max="9482" width="11.42578125" style="32"/>
    <col min="9483" max="9484" width="11.5703125" style="32" bestFit="1" customWidth="1"/>
    <col min="9485" max="9486" width="11.42578125" style="32"/>
    <col min="9487" max="9487" width="12.28515625" style="32" bestFit="1" customWidth="1"/>
    <col min="9488" max="9488" width="11.5703125" style="32" bestFit="1" customWidth="1"/>
    <col min="9489" max="9489" width="11.42578125" style="32"/>
    <col min="9490" max="9490" width="12.28515625" style="32" bestFit="1" customWidth="1"/>
    <col min="9491" max="9491" width="11.5703125" style="32" bestFit="1" customWidth="1"/>
    <col min="9492" max="9728" width="11.42578125" style="32"/>
    <col min="9729" max="9729" width="4.5703125" style="32" customWidth="1"/>
    <col min="9730" max="9730" width="10.42578125" style="32" customWidth="1"/>
    <col min="9731" max="9736" width="11.42578125" style="32"/>
    <col min="9737" max="9737" width="12.85546875" style="32" customWidth="1"/>
    <col min="9738" max="9738" width="11.42578125" style="32"/>
    <col min="9739" max="9740" width="11.5703125" style="32" bestFit="1" customWidth="1"/>
    <col min="9741" max="9742" width="11.42578125" style="32"/>
    <col min="9743" max="9743" width="12.28515625" style="32" bestFit="1" customWidth="1"/>
    <col min="9744" max="9744" width="11.5703125" style="32" bestFit="1" customWidth="1"/>
    <col min="9745" max="9745" width="11.42578125" style="32"/>
    <col min="9746" max="9746" width="12.28515625" style="32" bestFit="1" customWidth="1"/>
    <col min="9747" max="9747" width="11.5703125" style="32" bestFit="1" customWidth="1"/>
    <col min="9748" max="9984" width="11.42578125" style="32"/>
    <col min="9985" max="9985" width="4.5703125" style="32" customWidth="1"/>
    <col min="9986" max="9986" width="10.42578125" style="32" customWidth="1"/>
    <col min="9987" max="9992" width="11.42578125" style="32"/>
    <col min="9993" max="9993" width="12.85546875" style="32" customWidth="1"/>
    <col min="9994" max="9994" width="11.42578125" style="32"/>
    <col min="9995" max="9996" width="11.5703125" style="32" bestFit="1" customWidth="1"/>
    <col min="9997" max="9998" width="11.42578125" style="32"/>
    <col min="9999" max="9999" width="12.28515625" style="32" bestFit="1" customWidth="1"/>
    <col min="10000" max="10000" width="11.5703125" style="32" bestFit="1" customWidth="1"/>
    <col min="10001" max="10001" width="11.42578125" style="32"/>
    <col min="10002" max="10002" width="12.28515625" style="32" bestFit="1" customWidth="1"/>
    <col min="10003" max="10003" width="11.5703125" style="32" bestFit="1" customWidth="1"/>
    <col min="10004" max="10240" width="11.42578125" style="32"/>
    <col min="10241" max="10241" width="4.5703125" style="32" customWidth="1"/>
    <col min="10242" max="10242" width="10.42578125" style="32" customWidth="1"/>
    <col min="10243" max="10248" width="11.42578125" style="32"/>
    <col min="10249" max="10249" width="12.85546875" style="32" customWidth="1"/>
    <col min="10250" max="10250" width="11.42578125" style="32"/>
    <col min="10251" max="10252" width="11.5703125" style="32" bestFit="1" customWidth="1"/>
    <col min="10253" max="10254" width="11.42578125" style="32"/>
    <col min="10255" max="10255" width="12.28515625" style="32" bestFit="1" customWidth="1"/>
    <col min="10256" max="10256" width="11.5703125" style="32" bestFit="1" customWidth="1"/>
    <col min="10257" max="10257" width="11.42578125" style="32"/>
    <col min="10258" max="10258" width="12.28515625" style="32" bestFit="1" customWidth="1"/>
    <col min="10259" max="10259" width="11.5703125" style="32" bestFit="1" customWidth="1"/>
    <col min="10260" max="10496" width="11.42578125" style="32"/>
    <col min="10497" max="10497" width="4.5703125" style="32" customWidth="1"/>
    <col min="10498" max="10498" width="10.42578125" style="32" customWidth="1"/>
    <col min="10499" max="10504" width="11.42578125" style="32"/>
    <col min="10505" max="10505" width="12.85546875" style="32" customWidth="1"/>
    <col min="10506" max="10506" width="11.42578125" style="32"/>
    <col min="10507" max="10508" width="11.5703125" style="32" bestFit="1" customWidth="1"/>
    <col min="10509" max="10510" width="11.42578125" style="32"/>
    <col min="10511" max="10511" width="12.28515625" style="32" bestFit="1" customWidth="1"/>
    <col min="10512" max="10512" width="11.5703125" style="32" bestFit="1" customWidth="1"/>
    <col min="10513" max="10513" width="11.42578125" style="32"/>
    <col min="10514" max="10514" width="12.28515625" style="32" bestFit="1" customWidth="1"/>
    <col min="10515" max="10515" width="11.5703125" style="32" bestFit="1" customWidth="1"/>
    <col min="10516" max="10752" width="11.42578125" style="32"/>
    <col min="10753" max="10753" width="4.5703125" style="32" customWidth="1"/>
    <col min="10754" max="10754" width="10.42578125" style="32" customWidth="1"/>
    <col min="10755" max="10760" width="11.42578125" style="32"/>
    <col min="10761" max="10761" width="12.85546875" style="32" customWidth="1"/>
    <col min="10762" max="10762" width="11.42578125" style="32"/>
    <col min="10763" max="10764" width="11.5703125" style="32" bestFit="1" customWidth="1"/>
    <col min="10765" max="10766" width="11.42578125" style="32"/>
    <col min="10767" max="10767" width="12.28515625" style="32" bestFit="1" customWidth="1"/>
    <col min="10768" max="10768" width="11.5703125" style="32" bestFit="1" customWidth="1"/>
    <col min="10769" max="10769" width="11.42578125" style="32"/>
    <col min="10770" max="10770" width="12.28515625" style="32" bestFit="1" customWidth="1"/>
    <col min="10771" max="10771" width="11.5703125" style="32" bestFit="1" customWidth="1"/>
    <col min="10772" max="11008" width="11.42578125" style="32"/>
    <col min="11009" max="11009" width="4.5703125" style="32" customWidth="1"/>
    <col min="11010" max="11010" width="10.42578125" style="32" customWidth="1"/>
    <col min="11011" max="11016" width="11.42578125" style="32"/>
    <col min="11017" max="11017" width="12.85546875" style="32" customWidth="1"/>
    <col min="11018" max="11018" width="11.42578125" style="32"/>
    <col min="11019" max="11020" width="11.5703125" style="32" bestFit="1" customWidth="1"/>
    <col min="11021" max="11022" width="11.42578125" style="32"/>
    <col min="11023" max="11023" width="12.28515625" style="32" bestFit="1" customWidth="1"/>
    <col min="11024" max="11024" width="11.5703125" style="32" bestFit="1" customWidth="1"/>
    <col min="11025" max="11025" width="11.42578125" style="32"/>
    <col min="11026" max="11026" width="12.28515625" style="32" bestFit="1" customWidth="1"/>
    <col min="11027" max="11027" width="11.5703125" style="32" bestFit="1" customWidth="1"/>
    <col min="11028" max="11264" width="11.42578125" style="32"/>
    <col min="11265" max="11265" width="4.5703125" style="32" customWidth="1"/>
    <col min="11266" max="11266" width="10.42578125" style="32" customWidth="1"/>
    <col min="11267" max="11272" width="11.42578125" style="32"/>
    <col min="11273" max="11273" width="12.85546875" style="32" customWidth="1"/>
    <col min="11274" max="11274" width="11.42578125" style="32"/>
    <col min="11275" max="11276" width="11.5703125" style="32" bestFit="1" customWidth="1"/>
    <col min="11277" max="11278" width="11.42578125" style="32"/>
    <col min="11279" max="11279" width="12.28515625" style="32" bestFit="1" customWidth="1"/>
    <col min="11280" max="11280" width="11.5703125" style="32" bestFit="1" customWidth="1"/>
    <col min="11281" max="11281" width="11.42578125" style="32"/>
    <col min="11282" max="11282" width="12.28515625" style="32" bestFit="1" customWidth="1"/>
    <col min="11283" max="11283" width="11.5703125" style="32" bestFit="1" customWidth="1"/>
    <col min="11284" max="11520" width="11.42578125" style="32"/>
    <col min="11521" max="11521" width="4.5703125" style="32" customWidth="1"/>
    <col min="11522" max="11522" width="10.42578125" style="32" customWidth="1"/>
    <col min="11523" max="11528" width="11.42578125" style="32"/>
    <col min="11529" max="11529" width="12.85546875" style="32" customWidth="1"/>
    <col min="11530" max="11530" width="11.42578125" style="32"/>
    <col min="11531" max="11532" width="11.5703125" style="32" bestFit="1" customWidth="1"/>
    <col min="11533" max="11534" width="11.42578125" style="32"/>
    <col min="11535" max="11535" width="12.28515625" style="32" bestFit="1" customWidth="1"/>
    <col min="11536" max="11536" width="11.5703125" style="32" bestFit="1" customWidth="1"/>
    <col min="11537" max="11537" width="11.42578125" style="32"/>
    <col min="11538" max="11538" width="12.28515625" style="32" bestFit="1" customWidth="1"/>
    <col min="11539" max="11539" width="11.5703125" style="32" bestFit="1" customWidth="1"/>
    <col min="11540" max="11776" width="11.42578125" style="32"/>
    <col min="11777" max="11777" width="4.5703125" style="32" customWidth="1"/>
    <col min="11778" max="11778" width="10.42578125" style="32" customWidth="1"/>
    <col min="11779" max="11784" width="11.42578125" style="32"/>
    <col min="11785" max="11785" width="12.85546875" style="32" customWidth="1"/>
    <col min="11786" max="11786" width="11.42578125" style="32"/>
    <col min="11787" max="11788" width="11.5703125" style="32" bestFit="1" customWidth="1"/>
    <col min="11789" max="11790" width="11.42578125" style="32"/>
    <col min="11791" max="11791" width="12.28515625" style="32" bestFit="1" customWidth="1"/>
    <col min="11792" max="11792" width="11.5703125" style="32" bestFit="1" customWidth="1"/>
    <col min="11793" max="11793" width="11.42578125" style="32"/>
    <col min="11794" max="11794" width="12.28515625" style="32" bestFit="1" customWidth="1"/>
    <col min="11795" max="11795" width="11.5703125" style="32" bestFit="1" customWidth="1"/>
    <col min="11796" max="12032" width="11.42578125" style="32"/>
    <col min="12033" max="12033" width="4.5703125" style="32" customWidth="1"/>
    <col min="12034" max="12034" width="10.42578125" style="32" customWidth="1"/>
    <col min="12035" max="12040" width="11.42578125" style="32"/>
    <col min="12041" max="12041" width="12.85546875" style="32" customWidth="1"/>
    <col min="12042" max="12042" width="11.42578125" style="32"/>
    <col min="12043" max="12044" width="11.5703125" style="32" bestFit="1" customWidth="1"/>
    <col min="12045" max="12046" width="11.42578125" style="32"/>
    <col min="12047" max="12047" width="12.28515625" style="32" bestFit="1" customWidth="1"/>
    <col min="12048" max="12048" width="11.5703125" style="32" bestFit="1" customWidth="1"/>
    <col min="12049" max="12049" width="11.42578125" style="32"/>
    <col min="12050" max="12050" width="12.28515625" style="32" bestFit="1" customWidth="1"/>
    <col min="12051" max="12051" width="11.5703125" style="32" bestFit="1" customWidth="1"/>
    <col min="12052" max="12288" width="11.42578125" style="32"/>
    <col min="12289" max="12289" width="4.5703125" style="32" customWidth="1"/>
    <col min="12290" max="12290" width="10.42578125" style="32" customWidth="1"/>
    <col min="12291" max="12296" width="11.42578125" style="32"/>
    <col min="12297" max="12297" width="12.85546875" style="32" customWidth="1"/>
    <col min="12298" max="12298" width="11.42578125" style="32"/>
    <col min="12299" max="12300" width="11.5703125" style="32" bestFit="1" customWidth="1"/>
    <col min="12301" max="12302" width="11.42578125" style="32"/>
    <col min="12303" max="12303" width="12.28515625" style="32" bestFit="1" customWidth="1"/>
    <col min="12304" max="12304" width="11.5703125" style="32" bestFit="1" customWidth="1"/>
    <col min="12305" max="12305" width="11.42578125" style="32"/>
    <col min="12306" max="12306" width="12.28515625" style="32" bestFit="1" customWidth="1"/>
    <col min="12307" max="12307" width="11.5703125" style="32" bestFit="1" customWidth="1"/>
    <col min="12308" max="12544" width="11.42578125" style="32"/>
    <col min="12545" max="12545" width="4.5703125" style="32" customWidth="1"/>
    <col min="12546" max="12546" width="10.42578125" style="32" customWidth="1"/>
    <col min="12547" max="12552" width="11.42578125" style="32"/>
    <col min="12553" max="12553" width="12.85546875" style="32" customWidth="1"/>
    <col min="12554" max="12554" width="11.42578125" style="32"/>
    <col min="12555" max="12556" width="11.5703125" style="32" bestFit="1" customWidth="1"/>
    <col min="12557" max="12558" width="11.42578125" style="32"/>
    <col min="12559" max="12559" width="12.28515625" style="32" bestFit="1" customWidth="1"/>
    <col min="12560" max="12560" width="11.5703125" style="32" bestFit="1" customWidth="1"/>
    <col min="12561" max="12561" width="11.42578125" style="32"/>
    <col min="12562" max="12562" width="12.28515625" style="32" bestFit="1" customWidth="1"/>
    <col min="12563" max="12563" width="11.5703125" style="32" bestFit="1" customWidth="1"/>
    <col min="12564" max="12800" width="11.42578125" style="32"/>
    <col min="12801" max="12801" width="4.5703125" style="32" customWidth="1"/>
    <col min="12802" max="12802" width="10.42578125" style="32" customWidth="1"/>
    <col min="12803" max="12808" width="11.42578125" style="32"/>
    <col min="12809" max="12809" width="12.85546875" style="32" customWidth="1"/>
    <col min="12810" max="12810" width="11.42578125" style="32"/>
    <col min="12811" max="12812" width="11.5703125" style="32" bestFit="1" customWidth="1"/>
    <col min="12813" max="12814" width="11.42578125" style="32"/>
    <col min="12815" max="12815" width="12.28515625" style="32" bestFit="1" customWidth="1"/>
    <col min="12816" max="12816" width="11.5703125" style="32" bestFit="1" customWidth="1"/>
    <col min="12817" max="12817" width="11.42578125" style="32"/>
    <col min="12818" max="12818" width="12.28515625" style="32" bestFit="1" customWidth="1"/>
    <col min="12819" max="12819" width="11.5703125" style="32" bestFit="1" customWidth="1"/>
    <col min="12820" max="13056" width="11.42578125" style="32"/>
    <col min="13057" max="13057" width="4.5703125" style="32" customWidth="1"/>
    <col min="13058" max="13058" width="10.42578125" style="32" customWidth="1"/>
    <col min="13059" max="13064" width="11.42578125" style="32"/>
    <col min="13065" max="13065" width="12.85546875" style="32" customWidth="1"/>
    <col min="13066" max="13066" width="11.42578125" style="32"/>
    <col min="13067" max="13068" width="11.5703125" style="32" bestFit="1" customWidth="1"/>
    <col min="13069" max="13070" width="11.42578125" style="32"/>
    <col min="13071" max="13071" width="12.28515625" style="32" bestFit="1" customWidth="1"/>
    <col min="13072" max="13072" width="11.5703125" style="32" bestFit="1" customWidth="1"/>
    <col min="13073" max="13073" width="11.42578125" style="32"/>
    <col min="13074" max="13074" width="12.28515625" style="32" bestFit="1" customWidth="1"/>
    <col min="13075" max="13075" width="11.5703125" style="32" bestFit="1" customWidth="1"/>
    <col min="13076" max="13312" width="11.42578125" style="32"/>
    <col min="13313" max="13313" width="4.5703125" style="32" customWidth="1"/>
    <col min="13314" max="13314" width="10.42578125" style="32" customWidth="1"/>
    <col min="13315" max="13320" width="11.42578125" style="32"/>
    <col min="13321" max="13321" width="12.85546875" style="32" customWidth="1"/>
    <col min="13322" max="13322" width="11.42578125" style="32"/>
    <col min="13323" max="13324" width="11.5703125" style="32" bestFit="1" customWidth="1"/>
    <col min="13325" max="13326" width="11.42578125" style="32"/>
    <col min="13327" max="13327" width="12.28515625" style="32" bestFit="1" customWidth="1"/>
    <col min="13328" max="13328" width="11.5703125" style="32" bestFit="1" customWidth="1"/>
    <col min="13329" max="13329" width="11.42578125" style="32"/>
    <col min="13330" max="13330" width="12.28515625" style="32" bestFit="1" customWidth="1"/>
    <col min="13331" max="13331" width="11.5703125" style="32" bestFit="1" customWidth="1"/>
    <col min="13332" max="13568" width="11.42578125" style="32"/>
    <col min="13569" max="13569" width="4.5703125" style="32" customWidth="1"/>
    <col min="13570" max="13570" width="10.42578125" style="32" customWidth="1"/>
    <col min="13571" max="13576" width="11.42578125" style="32"/>
    <col min="13577" max="13577" width="12.85546875" style="32" customWidth="1"/>
    <col min="13578" max="13578" width="11.42578125" style="32"/>
    <col min="13579" max="13580" width="11.5703125" style="32" bestFit="1" customWidth="1"/>
    <col min="13581" max="13582" width="11.42578125" style="32"/>
    <col min="13583" max="13583" width="12.28515625" style="32" bestFit="1" customWidth="1"/>
    <col min="13584" max="13584" width="11.5703125" style="32" bestFit="1" customWidth="1"/>
    <col min="13585" max="13585" width="11.42578125" style="32"/>
    <col min="13586" max="13586" width="12.28515625" style="32" bestFit="1" customWidth="1"/>
    <col min="13587" max="13587" width="11.5703125" style="32" bestFit="1" customWidth="1"/>
    <col min="13588" max="13824" width="11.42578125" style="32"/>
    <col min="13825" max="13825" width="4.5703125" style="32" customWidth="1"/>
    <col min="13826" max="13826" width="10.42578125" style="32" customWidth="1"/>
    <col min="13827" max="13832" width="11.42578125" style="32"/>
    <col min="13833" max="13833" width="12.85546875" style="32" customWidth="1"/>
    <col min="13834" max="13834" width="11.42578125" style="32"/>
    <col min="13835" max="13836" width="11.5703125" style="32" bestFit="1" customWidth="1"/>
    <col min="13837" max="13838" width="11.42578125" style="32"/>
    <col min="13839" max="13839" width="12.28515625" style="32" bestFit="1" customWidth="1"/>
    <col min="13840" max="13840" width="11.5703125" style="32" bestFit="1" customWidth="1"/>
    <col min="13841" max="13841" width="11.42578125" style="32"/>
    <col min="13842" max="13842" width="12.28515625" style="32" bestFit="1" customWidth="1"/>
    <col min="13843" max="13843" width="11.5703125" style="32" bestFit="1" customWidth="1"/>
    <col min="13844" max="14080" width="11.42578125" style="32"/>
    <col min="14081" max="14081" width="4.5703125" style="32" customWidth="1"/>
    <col min="14082" max="14082" width="10.42578125" style="32" customWidth="1"/>
    <col min="14083" max="14088" width="11.42578125" style="32"/>
    <col min="14089" max="14089" width="12.85546875" style="32" customWidth="1"/>
    <col min="14090" max="14090" width="11.42578125" style="32"/>
    <col min="14091" max="14092" width="11.5703125" style="32" bestFit="1" customWidth="1"/>
    <col min="14093" max="14094" width="11.42578125" style="32"/>
    <col min="14095" max="14095" width="12.28515625" style="32" bestFit="1" customWidth="1"/>
    <col min="14096" max="14096" width="11.5703125" style="32" bestFit="1" customWidth="1"/>
    <col min="14097" max="14097" width="11.42578125" style="32"/>
    <col min="14098" max="14098" width="12.28515625" style="32" bestFit="1" customWidth="1"/>
    <col min="14099" max="14099" width="11.5703125" style="32" bestFit="1" customWidth="1"/>
    <col min="14100" max="14336" width="11.42578125" style="32"/>
    <col min="14337" max="14337" width="4.5703125" style="32" customWidth="1"/>
    <col min="14338" max="14338" width="10.42578125" style="32" customWidth="1"/>
    <col min="14339" max="14344" width="11.42578125" style="32"/>
    <col min="14345" max="14345" width="12.85546875" style="32" customWidth="1"/>
    <col min="14346" max="14346" width="11.42578125" style="32"/>
    <col min="14347" max="14348" width="11.5703125" style="32" bestFit="1" customWidth="1"/>
    <col min="14349" max="14350" width="11.42578125" style="32"/>
    <col min="14351" max="14351" width="12.28515625" style="32" bestFit="1" customWidth="1"/>
    <col min="14352" max="14352" width="11.5703125" style="32" bestFit="1" customWidth="1"/>
    <col min="14353" max="14353" width="11.42578125" style="32"/>
    <col min="14354" max="14354" width="12.28515625" style="32" bestFit="1" customWidth="1"/>
    <col min="14355" max="14355" width="11.5703125" style="32" bestFit="1" customWidth="1"/>
    <col min="14356" max="14592" width="11.42578125" style="32"/>
    <col min="14593" max="14593" width="4.5703125" style="32" customWidth="1"/>
    <col min="14594" max="14594" width="10.42578125" style="32" customWidth="1"/>
    <col min="14595" max="14600" width="11.42578125" style="32"/>
    <col min="14601" max="14601" width="12.85546875" style="32" customWidth="1"/>
    <col min="14602" max="14602" width="11.42578125" style="32"/>
    <col min="14603" max="14604" width="11.5703125" style="32" bestFit="1" customWidth="1"/>
    <col min="14605" max="14606" width="11.42578125" style="32"/>
    <col min="14607" max="14607" width="12.28515625" style="32" bestFit="1" customWidth="1"/>
    <col min="14608" max="14608" width="11.5703125" style="32" bestFit="1" customWidth="1"/>
    <col min="14609" max="14609" width="11.42578125" style="32"/>
    <col min="14610" max="14610" width="12.28515625" style="32" bestFit="1" customWidth="1"/>
    <col min="14611" max="14611" width="11.5703125" style="32" bestFit="1" customWidth="1"/>
    <col min="14612" max="14848" width="11.42578125" style="32"/>
    <col min="14849" max="14849" width="4.5703125" style="32" customWidth="1"/>
    <col min="14850" max="14850" width="10.42578125" style="32" customWidth="1"/>
    <col min="14851" max="14856" width="11.42578125" style="32"/>
    <col min="14857" max="14857" width="12.85546875" style="32" customWidth="1"/>
    <col min="14858" max="14858" width="11.42578125" style="32"/>
    <col min="14859" max="14860" width="11.5703125" style="32" bestFit="1" customWidth="1"/>
    <col min="14861" max="14862" width="11.42578125" style="32"/>
    <col min="14863" max="14863" width="12.28515625" style="32" bestFit="1" customWidth="1"/>
    <col min="14864" max="14864" width="11.5703125" style="32" bestFit="1" customWidth="1"/>
    <col min="14865" max="14865" width="11.42578125" style="32"/>
    <col min="14866" max="14866" width="12.28515625" style="32" bestFit="1" customWidth="1"/>
    <col min="14867" max="14867" width="11.5703125" style="32" bestFit="1" customWidth="1"/>
    <col min="14868" max="15104" width="11.42578125" style="32"/>
    <col min="15105" max="15105" width="4.5703125" style="32" customWidth="1"/>
    <col min="15106" max="15106" width="10.42578125" style="32" customWidth="1"/>
    <col min="15107" max="15112" width="11.42578125" style="32"/>
    <col min="15113" max="15113" width="12.85546875" style="32" customWidth="1"/>
    <col min="15114" max="15114" width="11.42578125" style="32"/>
    <col min="15115" max="15116" width="11.5703125" style="32" bestFit="1" customWidth="1"/>
    <col min="15117" max="15118" width="11.42578125" style="32"/>
    <col min="15119" max="15119" width="12.28515625" style="32" bestFit="1" customWidth="1"/>
    <col min="15120" max="15120" width="11.5703125" style="32" bestFit="1" customWidth="1"/>
    <col min="15121" max="15121" width="11.42578125" style="32"/>
    <col min="15122" max="15122" width="12.28515625" style="32" bestFit="1" customWidth="1"/>
    <col min="15123" max="15123" width="11.5703125" style="32" bestFit="1" customWidth="1"/>
    <col min="15124" max="15360" width="11.42578125" style="32"/>
    <col min="15361" max="15361" width="4.5703125" style="32" customWidth="1"/>
    <col min="15362" max="15362" width="10.42578125" style="32" customWidth="1"/>
    <col min="15363" max="15368" width="11.42578125" style="32"/>
    <col min="15369" max="15369" width="12.85546875" style="32" customWidth="1"/>
    <col min="15370" max="15370" width="11.42578125" style="32"/>
    <col min="15371" max="15372" width="11.5703125" style="32" bestFit="1" customWidth="1"/>
    <col min="15373" max="15374" width="11.42578125" style="32"/>
    <col min="15375" max="15375" width="12.28515625" style="32" bestFit="1" customWidth="1"/>
    <col min="15376" max="15376" width="11.5703125" style="32" bestFit="1" customWidth="1"/>
    <col min="15377" max="15377" width="11.42578125" style="32"/>
    <col min="15378" max="15378" width="12.28515625" style="32" bestFit="1" customWidth="1"/>
    <col min="15379" max="15379" width="11.5703125" style="32" bestFit="1" customWidth="1"/>
    <col min="15380" max="15616" width="11.42578125" style="32"/>
    <col min="15617" max="15617" width="4.5703125" style="32" customWidth="1"/>
    <col min="15618" max="15618" width="10.42578125" style="32" customWidth="1"/>
    <col min="15619" max="15624" width="11.42578125" style="32"/>
    <col min="15625" max="15625" width="12.85546875" style="32" customWidth="1"/>
    <col min="15626" max="15626" width="11.42578125" style="32"/>
    <col min="15627" max="15628" width="11.5703125" style="32" bestFit="1" customWidth="1"/>
    <col min="15629" max="15630" width="11.42578125" style="32"/>
    <col min="15631" max="15631" width="12.28515625" style="32" bestFit="1" customWidth="1"/>
    <col min="15632" max="15632" width="11.5703125" style="32" bestFit="1" customWidth="1"/>
    <col min="15633" max="15633" width="11.42578125" style="32"/>
    <col min="15634" max="15634" width="12.28515625" style="32" bestFit="1" customWidth="1"/>
    <col min="15635" max="15635" width="11.5703125" style="32" bestFit="1" customWidth="1"/>
    <col min="15636" max="15872" width="11.42578125" style="32"/>
    <col min="15873" max="15873" width="4.5703125" style="32" customWidth="1"/>
    <col min="15874" max="15874" width="10.42578125" style="32" customWidth="1"/>
    <col min="15875" max="15880" width="11.42578125" style="32"/>
    <col min="15881" max="15881" width="12.85546875" style="32" customWidth="1"/>
    <col min="15882" max="15882" width="11.42578125" style="32"/>
    <col min="15883" max="15884" width="11.5703125" style="32" bestFit="1" customWidth="1"/>
    <col min="15885" max="15886" width="11.42578125" style="32"/>
    <col min="15887" max="15887" width="12.28515625" style="32" bestFit="1" customWidth="1"/>
    <col min="15888" max="15888" width="11.5703125" style="32" bestFit="1" customWidth="1"/>
    <col min="15889" max="15889" width="11.42578125" style="32"/>
    <col min="15890" max="15890" width="12.28515625" style="32" bestFit="1" customWidth="1"/>
    <col min="15891" max="15891" width="11.5703125" style="32" bestFit="1" customWidth="1"/>
    <col min="15892" max="16128" width="11.42578125" style="32"/>
    <col min="16129" max="16129" width="4.5703125" style="32" customWidth="1"/>
    <col min="16130" max="16130" width="10.42578125" style="32" customWidth="1"/>
    <col min="16131" max="16136" width="11.42578125" style="32"/>
    <col min="16137" max="16137" width="12.85546875" style="32" customWidth="1"/>
    <col min="16138" max="16138" width="11.42578125" style="32"/>
    <col min="16139" max="16140" width="11.5703125" style="32" bestFit="1" customWidth="1"/>
    <col min="16141" max="16142" width="11.42578125" style="32"/>
    <col min="16143" max="16143" width="12.28515625" style="32" bestFit="1" customWidth="1"/>
    <col min="16144" max="16144" width="11.5703125" style="32" bestFit="1" customWidth="1"/>
    <col min="16145" max="16145" width="11.42578125" style="32"/>
    <col min="16146" max="16146" width="12.28515625" style="32" bestFit="1" customWidth="1"/>
    <col min="16147" max="16147" width="11.5703125" style="32" bestFit="1" customWidth="1"/>
    <col min="16148" max="16384" width="11.42578125" style="32"/>
  </cols>
  <sheetData>
    <row r="1" spans="1:27" s="171" customFormat="1">
      <c r="A1" s="15"/>
      <c r="B1" s="14"/>
      <c r="C1" s="14"/>
      <c r="D1" s="14"/>
      <c r="E1" s="14"/>
      <c r="F1" s="14"/>
      <c r="G1" s="14"/>
      <c r="H1" s="14"/>
      <c r="I1" s="14"/>
      <c r="J1" s="14"/>
      <c r="K1" s="14"/>
      <c r="L1" s="14"/>
      <c r="M1" s="14"/>
      <c r="N1" s="15"/>
      <c r="O1" s="15"/>
      <c r="P1" s="15"/>
      <c r="Q1" s="15"/>
      <c r="R1" s="15"/>
      <c r="S1" s="15"/>
      <c r="T1" s="15"/>
      <c r="U1" s="15"/>
      <c r="V1" s="15"/>
      <c r="W1" s="32"/>
      <c r="X1" s="32"/>
      <c r="Y1" s="32"/>
      <c r="Z1" s="32"/>
      <c r="AA1" s="32"/>
    </row>
    <row r="2" spans="1:27" s="171" customFormat="1" ht="37.5" customHeight="1">
      <c r="A2" s="15"/>
      <c r="B2" s="14"/>
      <c r="C2" s="1108" t="s">
        <v>1784</v>
      </c>
      <c r="D2" s="14"/>
      <c r="E2" s="14"/>
      <c r="F2" s="14"/>
      <c r="G2" s="14"/>
      <c r="H2" s="14"/>
      <c r="I2" s="14"/>
      <c r="J2" s="14"/>
      <c r="K2" s="14"/>
      <c r="L2" s="14"/>
      <c r="M2" s="14"/>
      <c r="N2" s="15"/>
      <c r="O2" s="15"/>
      <c r="P2" s="15"/>
      <c r="Q2" s="15"/>
      <c r="R2" s="15"/>
      <c r="S2" s="15"/>
      <c r="T2" s="15"/>
      <c r="U2" s="15"/>
      <c r="V2" s="15"/>
      <c r="W2" s="32"/>
      <c r="X2" s="32"/>
      <c r="Y2" s="32"/>
      <c r="Z2" s="32"/>
      <c r="AA2" s="32"/>
    </row>
    <row r="3" spans="1:27" s="171" customFormat="1" ht="37.5" customHeight="1">
      <c r="A3" s="15"/>
      <c r="B3" s="14"/>
      <c r="C3" s="1108" t="s">
        <v>1785</v>
      </c>
      <c r="D3" s="14"/>
      <c r="E3" s="14"/>
      <c r="F3" s="14"/>
      <c r="G3" s="14"/>
      <c r="H3" s="14"/>
      <c r="I3" s="14"/>
      <c r="J3" s="14"/>
      <c r="K3" s="14"/>
      <c r="L3" s="14"/>
      <c r="M3" s="14"/>
      <c r="N3" s="15"/>
      <c r="O3" s="15"/>
      <c r="P3" s="15"/>
      <c r="Q3" s="15"/>
      <c r="R3" s="15"/>
      <c r="S3" s="15"/>
      <c r="T3" s="15"/>
      <c r="U3" s="15"/>
      <c r="V3" s="15"/>
      <c r="W3" s="32"/>
      <c r="X3" s="32"/>
      <c r="Y3" s="32"/>
      <c r="Z3" s="32"/>
      <c r="AA3" s="32"/>
    </row>
    <row r="4" spans="1:27" s="171" customFormat="1" ht="20.25">
      <c r="A4" s="15"/>
      <c r="B4" s="1109"/>
      <c r="C4" s="14"/>
      <c r="D4" s="14"/>
      <c r="E4" s="14"/>
      <c r="F4" s="14"/>
      <c r="G4" s="14"/>
      <c r="H4" s="1109"/>
      <c r="I4" s="1109"/>
      <c r="J4" s="1109"/>
      <c r="K4" s="14"/>
      <c r="L4" s="14"/>
      <c r="M4" s="14"/>
      <c r="N4" s="15"/>
      <c r="O4" s="15"/>
      <c r="P4" s="15"/>
      <c r="Q4" s="15"/>
      <c r="R4" s="15"/>
      <c r="S4" s="15"/>
      <c r="T4" s="15"/>
      <c r="U4" s="15"/>
      <c r="V4" s="15"/>
      <c r="W4" s="32"/>
      <c r="X4" s="32"/>
      <c r="Y4" s="32"/>
      <c r="Z4" s="32"/>
      <c r="AA4" s="32"/>
    </row>
    <row r="5" spans="1:27" s="980" customFormat="1" ht="36.75" customHeight="1">
      <c r="A5" s="1110"/>
      <c r="B5" s="1111" t="s">
        <v>1746</v>
      </c>
      <c r="C5" s="1112"/>
      <c r="D5" s="1112"/>
      <c r="E5" s="1113"/>
      <c r="F5" s="1113"/>
      <c r="G5" s="1113"/>
      <c r="H5" s="1113"/>
      <c r="I5" s="1113"/>
      <c r="J5" s="1113"/>
      <c r="K5" s="1113"/>
      <c r="L5" s="1114"/>
      <c r="M5" s="1115"/>
      <c r="N5" s="1115"/>
      <c r="O5" s="1115"/>
      <c r="P5" s="1115"/>
      <c r="Q5" s="1115"/>
      <c r="R5" s="1115"/>
      <c r="S5" s="1115"/>
      <c r="T5" s="1116" t="s">
        <v>1747</v>
      </c>
      <c r="U5" s="1117"/>
      <c r="V5" s="1117"/>
    </row>
    <row r="6" spans="1:27" s="979" customFormat="1" ht="6.75" customHeight="1">
      <c r="A6" s="1110"/>
      <c r="O6" s="980"/>
      <c r="Q6" s="980"/>
      <c r="R6" s="980"/>
      <c r="S6" s="980"/>
      <c r="T6" s="980"/>
      <c r="U6" s="1118"/>
      <c r="V6" s="1118"/>
    </row>
    <row r="7" spans="1:27" s="979" customFormat="1" ht="6.75" customHeight="1">
      <c r="A7" s="1110"/>
      <c r="O7" s="980"/>
      <c r="Q7" s="980"/>
      <c r="R7" s="980"/>
      <c r="S7" s="980"/>
      <c r="T7" s="980"/>
      <c r="U7" s="1118"/>
      <c r="V7" s="1118"/>
    </row>
    <row r="8" spans="1:27" s="979" customFormat="1" ht="21.75" customHeight="1">
      <c r="A8" s="1119"/>
      <c r="B8" s="8367" t="s">
        <v>1748</v>
      </c>
      <c r="C8" s="8368"/>
      <c r="D8" s="8368"/>
      <c r="E8" s="8368"/>
      <c r="F8" s="8368"/>
      <c r="G8" s="8368"/>
      <c r="H8" s="8368"/>
      <c r="I8" s="8368"/>
      <c r="J8" s="8368"/>
      <c r="K8" s="8368"/>
      <c r="L8" s="8369" t="s">
        <v>1749</v>
      </c>
      <c r="M8" s="8370"/>
      <c r="N8" s="8370"/>
      <c r="O8" s="8370"/>
      <c r="P8" s="8370"/>
      <c r="Q8" s="8370"/>
      <c r="R8" s="8370"/>
      <c r="S8" s="8370"/>
      <c r="T8" s="8371"/>
      <c r="U8" s="1118"/>
      <c r="V8" s="1118"/>
    </row>
    <row r="9" spans="1:27" s="1119" customFormat="1" ht="15" customHeight="1">
      <c r="B9" s="8372" t="s">
        <v>372</v>
      </c>
      <c r="C9" s="8373"/>
      <c r="D9" s="8373"/>
      <c r="E9" s="8378" t="s">
        <v>1750</v>
      </c>
      <c r="F9" s="8381" t="s">
        <v>1751</v>
      </c>
      <c r="G9" s="8384" t="s">
        <v>1752</v>
      </c>
      <c r="H9" s="8385"/>
      <c r="I9" s="8385"/>
      <c r="J9" s="8385"/>
      <c r="K9" s="8386"/>
      <c r="L9" s="8387" t="s">
        <v>1753</v>
      </c>
      <c r="M9" s="8388"/>
      <c r="N9" s="8391" t="s">
        <v>1754</v>
      </c>
      <c r="O9" s="8392"/>
      <c r="P9" s="8392"/>
      <c r="Q9" s="8392"/>
      <c r="R9" s="8392"/>
      <c r="S9" s="8392"/>
      <c r="T9" s="8393"/>
      <c r="U9" s="1120"/>
      <c r="V9" s="1120"/>
    </row>
    <row r="10" spans="1:27" s="1119" customFormat="1" ht="15" customHeight="1">
      <c r="B10" s="8374"/>
      <c r="C10" s="8375"/>
      <c r="D10" s="8375"/>
      <c r="E10" s="8379"/>
      <c r="F10" s="8382"/>
      <c r="G10" s="1121" t="s">
        <v>214</v>
      </c>
      <c r="H10" s="1122" t="s">
        <v>215</v>
      </c>
      <c r="I10" s="1123" t="s">
        <v>216</v>
      </c>
      <c r="J10" s="1123" t="s">
        <v>201</v>
      </c>
      <c r="K10" s="1123" t="s">
        <v>243</v>
      </c>
      <c r="L10" s="8389"/>
      <c r="M10" s="8390"/>
      <c r="N10" s="8394"/>
      <c r="O10" s="8395"/>
      <c r="P10" s="8395"/>
      <c r="Q10" s="8395"/>
      <c r="R10" s="8395"/>
      <c r="S10" s="8395"/>
      <c r="T10" s="8396"/>
      <c r="U10" s="1120"/>
      <c r="V10" s="1120"/>
    </row>
    <row r="11" spans="1:27" s="1119" customFormat="1" ht="15" customHeight="1">
      <c r="B11" s="8374"/>
      <c r="C11" s="8375"/>
      <c r="D11" s="8375"/>
      <c r="E11" s="8379"/>
      <c r="F11" s="8382"/>
      <c r="G11" s="1124">
        <v>1</v>
      </c>
      <c r="H11" s="1124">
        <v>1</v>
      </c>
      <c r="I11" s="1124">
        <v>1</v>
      </c>
      <c r="J11" s="1124">
        <v>1</v>
      </c>
      <c r="K11" s="1124">
        <v>1</v>
      </c>
      <c r="L11" s="8400" t="s">
        <v>244</v>
      </c>
      <c r="M11" s="8401"/>
      <c r="N11" s="8394"/>
      <c r="O11" s="8395"/>
      <c r="P11" s="8395"/>
      <c r="Q11" s="8395"/>
      <c r="R11" s="8395"/>
      <c r="S11" s="8395"/>
      <c r="T11" s="8396"/>
      <c r="U11" s="1120"/>
      <c r="V11" s="1120"/>
    </row>
    <row r="12" spans="1:27" s="1119" customFormat="1" ht="31.5" customHeight="1" thickBot="1">
      <c r="B12" s="8376"/>
      <c r="C12" s="8377"/>
      <c r="D12" s="8377"/>
      <c r="E12" s="8380"/>
      <c r="F12" s="8383"/>
      <c r="G12" s="8402" t="s">
        <v>1755</v>
      </c>
      <c r="H12" s="8402"/>
      <c r="I12" s="8402"/>
      <c r="J12" s="8402"/>
      <c r="K12" s="8402"/>
      <c r="L12" s="8364">
        <f>SUM(G11:K11)</f>
        <v>5</v>
      </c>
      <c r="M12" s="8365"/>
      <c r="N12" s="8397"/>
      <c r="O12" s="8398"/>
      <c r="P12" s="8398"/>
      <c r="Q12" s="8398"/>
      <c r="R12" s="8398"/>
      <c r="S12" s="8398"/>
      <c r="T12" s="8399"/>
      <c r="U12" s="1120"/>
      <c r="V12" s="1120"/>
    </row>
    <row r="13" spans="1:27" s="1119" customFormat="1" ht="30" customHeight="1">
      <c r="B13" s="985"/>
      <c r="C13" s="986"/>
      <c r="D13" s="986"/>
      <c r="E13" s="986"/>
      <c r="F13" s="986"/>
      <c r="G13" s="986"/>
      <c r="H13" s="986"/>
      <c r="I13" s="986"/>
      <c r="J13" s="986"/>
      <c r="K13" s="986"/>
      <c r="L13" s="986"/>
      <c r="M13" s="986"/>
      <c r="N13" s="986"/>
      <c r="O13" s="986"/>
      <c r="P13" s="986"/>
      <c r="Q13" s="986"/>
      <c r="R13" s="986"/>
      <c r="S13" s="986"/>
      <c r="T13" s="987" t="s">
        <v>1756</v>
      </c>
      <c r="U13" s="1120"/>
      <c r="V13" s="1120"/>
    </row>
    <row r="14" spans="1:27" s="1119" customFormat="1" ht="38.25" customHeight="1">
      <c r="B14" s="8363" t="s">
        <v>1786</v>
      </c>
      <c r="C14" s="8352"/>
      <c r="D14" s="8352"/>
      <c r="E14" s="1125">
        <v>16</v>
      </c>
      <c r="F14" s="1126" t="s">
        <v>1760</v>
      </c>
      <c r="G14" s="1127">
        <v>0.5</v>
      </c>
      <c r="H14" s="1127">
        <v>1</v>
      </c>
      <c r="I14" s="1127">
        <v>1</v>
      </c>
      <c r="J14" s="1127">
        <v>1</v>
      </c>
      <c r="K14" s="1127">
        <v>1</v>
      </c>
      <c r="L14" s="1128">
        <f>(G14*G11)+(H14*H11)+(I14*I11)+(J14*J11)+(K14*K11)</f>
        <v>4.5</v>
      </c>
      <c r="M14" s="8366" t="str">
        <f t="shared" ref="M14:M25" si="0">F14</f>
        <v>Cuisses</v>
      </c>
      <c r="N14" s="8366"/>
      <c r="O14" s="1129">
        <f t="shared" ref="O14:O21" si="1">IF(L14=0,0,INT(L14/E14))</f>
        <v>0</v>
      </c>
      <c r="P14" s="1130">
        <f t="shared" ref="P14:P21" si="2">L14-(O14*E14)</f>
        <v>4.5</v>
      </c>
      <c r="Q14" s="1131" t="str">
        <f t="shared" ref="Q14:Q21" si="3">IF(P14=0,0,F14)</f>
        <v>Cuisses</v>
      </c>
      <c r="R14" s="1132">
        <f t="shared" ref="R14:R21" si="4">IF(P14=0,0,O14+1)</f>
        <v>1</v>
      </c>
      <c r="S14" s="1130">
        <f t="shared" ref="S14:S21" si="5">IF(P14=0,0,L14-(R14*E14))</f>
        <v>-11.5</v>
      </c>
      <c r="T14" s="1133" t="str">
        <f t="shared" ref="T14:T21" si="6">IF(S14=0,0,F14)</f>
        <v>Cuisses</v>
      </c>
      <c r="U14" s="1120"/>
      <c r="V14" s="1120"/>
    </row>
    <row r="15" spans="1:27" s="1119" customFormat="1" ht="38.25" customHeight="1">
      <c r="B15" s="8363" t="s">
        <v>1787</v>
      </c>
      <c r="C15" s="8352"/>
      <c r="D15" s="8352"/>
      <c r="E15" s="1134">
        <v>24</v>
      </c>
      <c r="F15" s="1135" t="s">
        <v>1760</v>
      </c>
      <c r="G15" s="1136">
        <v>0.5</v>
      </c>
      <c r="H15" s="1136">
        <v>1</v>
      </c>
      <c r="I15" s="1136">
        <v>1</v>
      </c>
      <c r="J15" s="1136">
        <v>1</v>
      </c>
      <c r="K15" s="1136">
        <v>1</v>
      </c>
      <c r="L15" s="1137">
        <f>(G15*G11)+(H15*H11)+(I15*I11)+(J15*J11)+(K15*K11)</f>
        <v>4.5</v>
      </c>
      <c r="M15" s="8353" t="str">
        <f t="shared" si="0"/>
        <v>Cuisses</v>
      </c>
      <c r="N15" s="8353"/>
      <c r="O15" s="1138">
        <f t="shared" si="1"/>
        <v>0</v>
      </c>
      <c r="P15" s="1139">
        <f t="shared" si="2"/>
        <v>4.5</v>
      </c>
      <c r="Q15" s="1140" t="str">
        <f t="shared" si="3"/>
        <v>Cuisses</v>
      </c>
      <c r="R15" s="1141">
        <f t="shared" si="4"/>
        <v>1</v>
      </c>
      <c r="S15" s="1139">
        <f t="shared" si="5"/>
        <v>-19.5</v>
      </c>
      <c r="T15" s="1142" t="str">
        <f t="shared" si="6"/>
        <v>Cuisses</v>
      </c>
      <c r="U15" s="1120"/>
      <c r="V15" s="1120"/>
    </row>
    <row r="16" spans="1:27" s="1119" customFormat="1" ht="38.25" customHeight="1">
      <c r="B16" s="8363" t="s">
        <v>1788</v>
      </c>
      <c r="C16" s="8352"/>
      <c r="D16" s="8352"/>
      <c r="E16" s="1134">
        <v>20</v>
      </c>
      <c r="F16" s="1135" t="s">
        <v>1760</v>
      </c>
      <c r="G16" s="1136">
        <v>1</v>
      </c>
      <c r="H16" s="1136">
        <v>1</v>
      </c>
      <c r="I16" s="1136">
        <v>1</v>
      </c>
      <c r="J16" s="1136">
        <v>1</v>
      </c>
      <c r="K16" s="1136">
        <v>1</v>
      </c>
      <c r="L16" s="1137">
        <f>(G16*G11)+(H16*H11)+(I16*I11)+(J16*J11)+(K16*K11)</f>
        <v>5</v>
      </c>
      <c r="M16" s="8353" t="str">
        <f t="shared" si="0"/>
        <v>Cuisses</v>
      </c>
      <c r="N16" s="8353"/>
      <c r="O16" s="1138">
        <f t="shared" si="1"/>
        <v>0</v>
      </c>
      <c r="P16" s="1139">
        <f t="shared" si="2"/>
        <v>5</v>
      </c>
      <c r="Q16" s="1140" t="str">
        <f t="shared" si="3"/>
        <v>Cuisses</v>
      </c>
      <c r="R16" s="1141">
        <f t="shared" si="4"/>
        <v>1</v>
      </c>
      <c r="S16" s="1139">
        <f t="shared" si="5"/>
        <v>-15</v>
      </c>
      <c r="T16" s="1142" t="str">
        <f t="shared" si="6"/>
        <v>Cuisses</v>
      </c>
      <c r="U16" s="1120"/>
      <c r="V16" s="1120"/>
    </row>
    <row r="17" spans="2:22" s="1119" customFormat="1" ht="38.25" customHeight="1">
      <c r="B17" s="8363" t="s">
        <v>1789</v>
      </c>
      <c r="C17" s="8352"/>
      <c r="D17" s="8352"/>
      <c r="E17" s="1134">
        <v>25</v>
      </c>
      <c r="F17" s="1135" t="s">
        <v>1790</v>
      </c>
      <c r="G17" s="1136">
        <v>0.5</v>
      </c>
      <c r="H17" s="1136">
        <v>1</v>
      </c>
      <c r="I17" s="1136">
        <v>1</v>
      </c>
      <c r="J17" s="1136">
        <v>1</v>
      </c>
      <c r="K17" s="1136">
        <v>1</v>
      </c>
      <c r="L17" s="1137">
        <f>(G17*G11)+(H17*H11)+(I17*I11)+(J17*J11)+(K17*K11)</f>
        <v>4.5</v>
      </c>
      <c r="M17" s="8353" t="str">
        <f t="shared" si="0"/>
        <v>escalopes</v>
      </c>
      <c r="N17" s="8353"/>
      <c r="O17" s="1138">
        <f t="shared" si="1"/>
        <v>0</v>
      </c>
      <c r="P17" s="1139">
        <f t="shared" si="2"/>
        <v>4.5</v>
      </c>
      <c r="Q17" s="1140" t="str">
        <f t="shared" si="3"/>
        <v>escalopes</v>
      </c>
      <c r="R17" s="1141">
        <f t="shared" si="4"/>
        <v>1</v>
      </c>
      <c r="S17" s="1139">
        <f t="shared" si="5"/>
        <v>-20.5</v>
      </c>
      <c r="T17" s="1142" t="str">
        <f t="shared" si="6"/>
        <v>escalopes</v>
      </c>
      <c r="U17" s="1120"/>
      <c r="V17" s="1120"/>
    </row>
    <row r="18" spans="2:22" s="1119" customFormat="1" ht="38.25" customHeight="1">
      <c r="B18" s="8363" t="s">
        <v>1757</v>
      </c>
      <c r="C18" s="8352"/>
      <c r="D18" s="8352"/>
      <c r="E18" s="1134">
        <v>25</v>
      </c>
      <c r="F18" s="1135" t="s">
        <v>1758</v>
      </c>
      <c r="G18" s="1136">
        <v>0.5</v>
      </c>
      <c r="H18" s="1136">
        <v>1</v>
      </c>
      <c r="I18" s="1136">
        <v>1</v>
      </c>
      <c r="J18" s="1136">
        <v>1</v>
      </c>
      <c r="K18" s="1136">
        <v>1</v>
      </c>
      <c r="L18" s="1137">
        <f>(G18*G11)+(H18*H11)+(I18*I11)+(J18*J11)+(K18*K11)</f>
        <v>4.5</v>
      </c>
      <c r="M18" s="8353" t="str">
        <f t="shared" si="0"/>
        <v>paupiettes</v>
      </c>
      <c r="N18" s="8353"/>
      <c r="O18" s="1138">
        <f t="shared" si="1"/>
        <v>0</v>
      </c>
      <c r="P18" s="1139">
        <f t="shared" si="2"/>
        <v>4.5</v>
      </c>
      <c r="Q18" s="1140" t="str">
        <f t="shared" si="3"/>
        <v>paupiettes</v>
      </c>
      <c r="R18" s="1141">
        <f t="shared" si="4"/>
        <v>1</v>
      </c>
      <c r="S18" s="1139">
        <f t="shared" si="5"/>
        <v>-20.5</v>
      </c>
      <c r="T18" s="1142" t="str">
        <f t="shared" si="6"/>
        <v>paupiettes</v>
      </c>
      <c r="U18" s="1120"/>
      <c r="V18" s="1120"/>
    </row>
    <row r="19" spans="2:22" s="1119" customFormat="1" ht="38.25" customHeight="1">
      <c r="B19" s="8363" t="s">
        <v>1759</v>
      </c>
      <c r="C19" s="8352"/>
      <c r="D19" s="8352"/>
      <c r="E19" s="1134">
        <v>12</v>
      </c>
      <c r="F19" s="1135" t="s">
        <v>1760</v>
      </c>
      <c r="G19" s="1136">
        <v>1</v>
      </c>
      <c r="H19" s="1136">
        <v>1</v>
      </c>
      <c r="I19" s="1136">
        <v>1</v>
      </c>
      <c r="J19" s="1136">
        <v>1</v>
      </c>
      <c r="K19" s="1136">
        <v>1</v>
      </c>
      <c r="L19" s="1137">
        <f>(G19*G11)+(H19*H11)+(I19*I11)+(J19*J11)+(K19*K11)</f>
        <v>5</v>
      </c>
      <c r="M19" s="8353" t="str">
        <f t="shared" si="0"/>
        <v>Cuisses</v>
      </c>
      <c r="N19" s="8353"/>
      <c r="O19" s="1138">
        <f t="shared" si="1"/>
        <v>0</v>
      </c>
      <c r="P19" s="1139">
        <f t="shared" si="2"/>
        <v>5</v>
      </c>
      <c r="Q19" s="1140" t="str">
        <f t="shared" si="3"/>
        <v>Cuisses</v>
      </c>
      <c r="R19" s="1141">
        <f t="shared" si="4"/>
        <v>1</v>
      </c>
      <c r="S19" s="1139">
        <f t="shared" si="5"/>
        <v>-7</v>
      </c>
      <c r="T19" s="1142" t="str">
        <f t="shared" si="6"/>
        <v>Cuisses</v>
      </c>
      <c r="U19" s="1120"/>
      <c r="V19" s="1120"/>
    </row>
    <row r="20" spans="2:22" s="1119" customFormat="1" ht="30" customHeight="1">
      <c r="B20" s="8363" t="s">
        <v>1761</v>
      </c>
      <c r="C20" s="8352"/>
      <c r="D20" s="8352"/>
      <c r="E20" s="1134">
        <v>60</v>
      </c>
      <c r="F20" s="1135" t="s">
        <v>1762</v>
      </c>
      <c r="G20" s="1136">
        <v>1</v>
      </c>
      <c r="H20" s="1136">
        <v>1.5</v>
      </c>
      <c r="I20" s="1136">
        <v>2</v>
      </c>
      <c r="J20" s="1136">
        <v>3</v>
      </c>
      <c r="K20" s="1136">
        <v>2</v>
      </c>
      <c r="L20" s="1137">
        <f>(G20*G11)+(H20*H11)+(I20*I11)+(J20*J11)+(K20*K11)</f>
        <v>9.5</v>
      </c>
      <c r="M20" s="8353" t="str">
        <f t="shared" si="0"/>
        <v>tranches</v>
      </c>
      <c r="N20" s="8353"/>
      <c r="O20" s="1138">
        <f t="shared" si="1"/>
        <v>0</v>
      </c>
      <c r="P20" s="1139">
        <f t="shared" si="2"/>
        <v>9.5</v>
      </c>
      <c r="Q20" s="1140" t="str">
        <f t="shared" si="3"/>
        <v>tranches</v>
      </c>
      <c r="R20" s="1141">
        <f t="shared" si="4"/>
        <v>1</v>
      </c>
      <c r="S20" s="1139">
        <f t="shared" si="5"/>
        <v>-50.5</v>
      </c>
      <c r="T20" s="1142" t="str">
        <f t="shared" si="6"/>
        <v>tranches</v>
      </c>
      <c r="U20" s="1120"/>
      <c r="V20" s="1120"/>
    </row>
    <row r="21" spans="2:22" s="1119" customFormat="1" ht="30" customHeight="1" thickBot="1">
      <c r="B21" s="8363" t="s">
        <v>1763</v>
      </c>
      <c r="C21" s="8352"/>
      <c r="D21" s="8352"/>
      <c r="E21" s="1134">
        <v>20</v>
      </c>
      <c r="F21" s="1135" t="s">
        <v>1764</v>
      </c>
      <c r="G21" s="1136">
        <v>1</v>
      </c>
      <c r="H21" s="1136">
        <v>1.5</v>
      </c>
      <c r="I21" s="1136">
        <v>2</v>
      </c>
      <c r="J21" s="1136">
        <v>3</v>
      </c>
      <c r="K21" s="1136">
        <v>2</v>
      </c>
      <c r="L21" s="1143">
        <f>(G21*G11)+(H21*H11)+(I21*I11)+(J21*J11)+(K21*K11)</f>
        <v>9.5</v>
      </c>
      <c r="M21" s="8356" t="str">
        <f t="shared" si="0"/>
        <v>tomates</v>
      </c>
      <c r="N21" s="8356"/>
      <c r="O21" s="1144">
        <f t="shared" si="1"/>
        <v>0</v>
      </c>
      <c r="P21" s="1145">
        <f t="shared" si="2"/>
        <v>9.5</v>
      </c>
      <c r="Q21" s="1146" t="str">
        <f t="shared" si="3"/>
        <v>tomates</v>
      </c>
      <c r="R21" s="1147">
        <f t="shared" si="4"/>
        <v>1</v>
      </c>
      <c r="S21" s="1145">
        <f t="shared" si="5"/>
        <v>-10.5</v>
      </c>
      <c r="T21" s="1148" t="str">
        <f t="shared" si="6"/>
        <v>tomates</v>
      </c>
      <c r="U21" s="1120"/>
      <c r="V21" s="1120"/>
    </row>
    <row r="22" spans="2:22" s="1119" customFormat="1" ht="30" customHeight="1">
      <c r="B22" s="985"/>
      <c r="C22" s="986"/>
      <c r="D22" s="986"/>
      <c r="E22" s="986"/>
      <c r="F22" s="986"/>
      <c r="G22" s="986"/>
      <c r="H22" s="986"/>
      <c r="I22" s="986"/>
      <c r="J22" s="986"/>
      <c r="K22" s="986"/>
      <c r="L22" s="986"/>
      <c r="M22" s="986"/>
      <c r="N22" s="986"/>
      <c r="O22" s="986"/>
      <c r="P22" s="986"/>
      <c r="Q22" s="986"/>
      <c r="R22" s="986"/>
      <c r="S22" s="986"/>
      <c r="T22" s="987" t="s">
        <v>1765</v>
      </c>
      <c r="U22" s="1120"/>
      <c r="V22" s="1120"/>
    </row>
    <row r="23" spans="2:22" s="1119" customFormat="1" ht="30" customHeight="1">
      <c r="B23" s="8351" t="s">
        <v>1766</v>
      </c>
      <c r="C23" s="8352"/>
      <c r="D23" s="8352"/>
      <c r="E23" s="1134">
        <v>3</v>
      </c>
      <c r="F23" s="1135" t="s">
        <v>43</v>
      </c>
      <c r="G23" s="1136">
        <v>7.4999999999999997E-2</v>
      </c>
      <c r="H23" s="1149">
        <v>0.09</v>
      </c>
      <c r="I23" s="1149">
        <v>0.15</v>
      </c>
      <c r="J23" s="1149">
        <v>0.18</v>
      </c>
      <c r="K23" s="1149">
        <v>0.13</v>
      </c>
      <c r="L23" s="1150">
        <f>(G23*G11)+(H23*H11)+(I23*I11)+(J23*J11)+(K23*K11)</f>
        <v>0.625</v>
      </c>
      <c r="M23" s="8353" t="str">
        <f>F23</f>
        <v>Kg</v>
      </c>
      <c r="N23" s="8353"/>
      <c r="O23" s="1138">
        <f>IF(L23=0,0,INT(L23/E23))</f>
        <v>0</v>
      </c>
      <c r="P23" s="1151">
        <f>L23-(O23*E23)</f>
        <v>0.625</v>
      </c>
      <c r="Q23" s="1140" t="str">
        <f>IF(P23=0,0,F23)</f>
        <v>Kg</v>
      </c>
      <c r="R23" s="1141">
        <f>IF(P23=0,0,O23+1)</f>
        <v>1</v>
      </c>
      <c r="S23" s="1139">
        <f>IF(P23=0,0,L23-(R23*E23))</f>
        <v>-2.375</v>
      </c>
      <c r="T23" s="1152" t="str">
        <f>IF(S23=0,0,F23)</f>
        <v>Kg</v>
      </c>
      <c r="U23" s="1120"/>
      <c r="V23" s="1120"/>
    </row>
    <row r="24" spans="2:22" s="1119" customFormat="1" ht="25.5" customHeight="1">
      <c r="B24" s="8351" t="s">
        <v>1767</v>
      </c>
      <c r="C24" s="8352"/>
      <c r="D24" s="8352"/>
      <c r="E24" s="1134">
        <v>7.2</v>
      </c>
      <c r="F24" s="1153" t="s">
        <v>43</v>
      </c>
      <c r="G24" s="1149">
        <v>0.2</v>
      </c>
      <c r="H24" s="1149">
        <v>0.25</v>
      </c>
      <c r="I24" s="1149">
        <v>0.35</v>
      </c>
      <c r="J24" s="1149">
        <v>0.45</v>
      </c>
      <c r="K24" s="1149">
        <v>0.35</v>
      </c>
      <c r="L24" s="1150">
        <f>(G24*G11)+(H24*H11)+(I24*I11)+(J24*J11)+(K24*K11)</f>
        <v>1.6</v>
      </c>
      <c r="M24" s="8353" t="str">
        <f t="shared" si="0"/>
        <v>Kg</v>
      </c>
      <c r="N24" s="8353"/>
      <c r="O24" s="1138">
        <f>IF(L24=0,0,INT(L24/E24))</f>
        <v>0</v>
      </c>
      <c r="P24" s="1151">
        <f>L24-(O24*E24)</f>
        <v>1.6</v>
      </c>
      <c r="Q24" s="1140" t="str">
        <f>IF(P24=0,0,F24)</f>
        <v>Kg</v>
      </c>
      <c r="R24" s="1141">
        <f>IF(P24=0,0,O24+1)</f>
        <v>1</v>
      </c>
      <c r="S24" s="1139">
        <f>IF(P24=0,0,L24-(R24*E24))</f>
        <v>-5.6</v>
      </c>
      <c r="T24" s="1152" t="str">
        <f>IF(S24=0,0,F24)</f>
        <v>Kg</v>
      </c>
      <c r="U24" s="1120"/>
      <c r="V24" s="1120"/>
    </row>
    <row r="25" spans="2:22" s="1119" customFormat="1" ht="25.5" customHeight="1" thickBot="1">
      <c r="B25" s="8354" t="s">
        <v>1768</v>
      </c>
      <c r="C25" s="8355"/>
      <c r="D25" s="8355"/>
      <c r="E25" s="1154">
        <v>4</v>
      </c>
      <c r="F25" s="1155" t="s">
        <v>43</v>
      </c>
      <c r="G25" s="1156">
        <v>0.2</v>
      </c>
      <c r="H25" s="1156">
        <v>0.25</v>
      </c>
      <c r="I25" s="1156">
        <v>0.35</v>
      </c>
      <c r="J25" s="1156">
        <v>0.45</v>
      </c>
      <c r="K25" s="1156">
        <v>0.35</v>
      </c>
      <c r="L25" s="1157">
        <f>(G25*G11)+(H25*H11)+(I25*I11)+(J25*J11)+(K25*K11)</f>
        <v>1.6</v>
      </c>
      <c r="M25" s="8356" t="str">
        <f t="shared" si="0"/>
        <v>Kg</v>
      </c>
      <c r="N25" s="8356"/>
      <c r="O25" s="1144">
        <f>IF(L25=0,0,INT(L25/E25))</f>
        <v>0</v>
      </c>
      <c r="P25" s="1158">
        <f>L25-(O25*E25)</f>
        <v>1.6</v>
      </c>
      <c r="Q25" s="1146" t="str">
        <f>IF(P25=0,0,F25)</f>
        <v>Kg</v>
      </c>
      <c r="R25" s="1147">
        <f>IF(P25=0,0,O25+1)</f>
        <v>1</v>
      </c>
      <c r="S25" s="1145">
        <f>IF(P25=0,0,L25-(R25*E25))</f>
        <v>-2.4</v>
      </c>
      <c r="T25" s="1159" t="str">
        <f>IF(S25=0,0,F25)</f>
        <v>Kg</v>
      </c>
      <c r="U25" s="1120"/>
      <c r="V25" s="1120"/>
    </row>
    <row r="26" spans="2:22" s="1119" customFormat="1" ht="25.5" customHeight="1" thickBot="1">
      <c r="B26" s="1160"/>
      <c r="C26" s="1160"/>
      <c r="D26" s="1160"/>
      <c r="E26" s="1160"/>
      <c r="F26" s="1160"/>
      <c r="G26" s="1160"/>
      <c r="H26" s="1160"/>
      <c r="I26" s="1160"/>
      <c r="J26" s="1160"/>
      <c r="K26" s="1160"/>
      <c r="L26" s="1160"/>
      <c r="M26" s="1160"/>
      <c r="N26" s="1160"/>
      <c r="O26" s="1160"/>
      <c r="P26" s="1160"/>
      <c r="Q26" s="1160"/>
      <c r="R26" s="1160"/>
      <c r="S26" s="1161"/>
      <c r="T26" s="1162"/>
      <c r="U26" s="1120"/>
      <c r="V26" s="1120"/>
    </row>
    <row r="27" spans="2:22" s="1119" customFormat="1" ht="30" customHeight="1">
      <c r="B27" s="8357" t="s">
        <v>1791</v>
      </c>
      <c r="C27" s="8358"/>
      <c r="D27" s="8358"/>
      <c r="E27" s="8358"/>
      <c r="F27" s="8358"/>
      <c r="G27" s="8358"/>
      <c r="H27" s="8358"/>
      <c r="I27" s="8358"/>
      <c r="J27" s="8358"/>
      <c r="K27" s="8358"/>
      <c r="L27" s="8358"/>
      <c r="M27" s="986"/>
      <c r="N27" s="986"/>
      <c r="O27" s="986"/>
      <c r="P27" s="986"/>
      <c r="Q27" s="986"/>
      <c r="R27" s="986"/>
      <c r="S27" s="986"/>
      <c r="T27" s="1163" t="s">
        <v>1792</v>
      </c>
      <c r="U27" s="1120"/>
      <c r="V27" s="1120"/>
    </row>
    <row r="28" spans="2:22" s="1119" customFormat="1" ht="30" customHeight="1">
      <c r="B28" s="1164"/>
      <c r="C28" s="1165"/>
      <c r="D28" s="1165"/>
      <c r="E28" s="1166"/>
      <c r="F28" s="1167" t="s">
        <v>1793</v>
      </c>
      <c r="G28" s="1168">
        <v>0.45</v>
      </c>
      <c r="H28" s="1169" t="s">
        <v>43</v>
      </c>
      <c r="I28" s="1166"/>
      <c r="J28" s="1166"/>
      <c r="K28" s="1166"/>
      <c r="L28" s="1170"/>
      <c r="P28" s="1171" t="s">
        <v>1794</v>
      </c>
      <c r="Q28" s="1169">
        <v>10</v>
      </c>
      <c r="R28" s="1169" t="s">
        <v>365</v>
      </c>
      <c r="S28" s="1172"/>
      <c r="T28" s="1173"/>
      <c r="U28" s="1120"/>
      <c r="V28" s="1120"/>
    </row>
    <row r="29" spans="2:22" s="1119" customFormat="1" ht="16.5" customHeight="1">
      <c r="B29" s="1164"/>
      <c r="C29" s="1165"/>
      <c r="D29" s="1165"/>
      <c r="E29" s="1166"/>
      <c r="F29" s="1167"/>
      <c r="G29" s="1174" t="s">
        <v>214</v>
      </c>
      <c r="H29" s="1175" t="s">
        <v>215</v>
      </c>
      <c r="I29" s="1176" t="s">
        <v>216</v>
      </c>
      <c r="J29" s="1176" t="s">
        <v>201</v>
      </c>
      <c r="K29" s="1176" t="s">
        <v>243</v>
      </c>
      <c r="L29" s="1170"/>
      <c r="P29" s="1171"/>
      <c r="Q29" s="1171"/>
      <c r="R29" s="1171"/>
      <c r="S29" s="1172"/>
      <c r="T29" s="1173"/>
      <c r="U29" s="1120"/>
      <c r="V29" s="1120"/>
    </row>
    <row r="30" spans="2:22" s="1119" customFormat="1" ht="30" customHeight="1">
      <c r="B30" s="1177"/>
      <c r="C30" s="1178"/>
      <c r="D30" s="1178"/>
      <c r="E30" s="1120"/>
      <c r="F30" s="1179" t="s">
        <v>1795</v>
      </c>
      <c r="G30" s="1180">
        <v>0.2</v>
      </c>
      <c r="H30" s="1180">
        <v>0.25</v>
      </c>
      <c r="I30" s="1180">
        <v>0.35</v>
      </c>
      <c r="J30" s="1180">
        <v>0.45</v>
      </c>
      <c r="K30" s="1180">
        <v>0.35</v>
      </c>
      <c r="L30" s="1181">
        <f>(G30*G11)+(H30*H11)+(I30*I11)+(J30*J11)+(K30*K11)</f>
        <v>1.6</v>
      </c>
      <c r="M30" s="1182" t="str">
        <f>H28</f>
        <v>Kg</v>
      </c>
      <c r="N30" s="1183">
        <f>G28*Q28</f>
        <v>4.5</v>
      </c>
      <c r="O30" s="1184">
        <f>IF(L30=0,0,INT(L30/(G28*Q28)))</f>
        <v>0</v>
      </c>
      <c r="P30" s="1185">
        <f>L30-(O30*(G28*Q28))</f>
        <v>1.6</v>
      </c>
      <c r="Q30" s="1186" t="str">
        <f>IF(P30=0,0,H28)</f>
        <v>Kg</v>
      </c>
      <c r="R30" s="1184">
        <f>IF(P30=0,0,O30+1)</f>
        <v>1</v>
      </c>
      <c r="S30" s="1185">
        <f>IF(P30=0,0,L30-(R30*N30))</f>
        <v>-2.9</v>
      </c>
      <c r="T30" s="1187" t="str">
        <f>IF(S30=0,0,H28)</f>
        <v>Kg</v>
      </c>
      <c r="U30" s="1120"/>
      <c r="V30" s="1120"/>
    </row>
    <row r="31" spans="2:22" s="1119" customFormat="1" ht="37.5" customHeight="1" thickBot="1">
      <c r="B31" s="1188"/>
      <c r="C31" s="1189"/>
      <c r="D31" s="1189"/>
      <c r="E31" s="1190"/>
      <c r="F31" s="1191" t="s">
        <v>1796</v>
      </c>
      <c r="G31" s="1192">
        <f>G30/G28</f>
        <v>0.44444444444444448</v>
      </c>
      <c r="H31" s="1192">
        <f>H30/G28</f>
        <v>0.55555555555555558</v>
      </c>
      <c r="I31" s="1192">
        <f>I30/G28</f>
        <v>0.77777777777777768</v>
      </c>
      <c r="J31" s="1192">
        <f>J30/G28</f>
        <v>1</v>
      </c>
      <c r="K31" s="1192">
        <f>K30/G28</f>
        <v>0.77777777777777768</v>
      </c>
      <c r="L31" s="1193">
        <f>(G31*G11)+(H31*H11)+(I31*I11)+(J31*J11)+(K31*K11)</f>
        <v>3.5555555555555554</v>
      </c>
      <c r="M31" s="1194" t="str">
        <f>R28</f>
        <v>portions</v>
      </c>
      <c r="N31" s="1195"/>
      <c r="O31" s="1196">
        <f>IF(L31=0,0,INT(L31/Q28))</f>
        <v>0</v>
      </c>
      <c r="P31" s="1197">
        <f>L31-(O31*Q28)</f>
        <v>3.5555555555555554</v>
      </c>
      <c r="Q31" s="1198" t="str">
        <f>IF(P31=0,0,R28)</f>
        <v>portions</v>
      </c>
      <c r="R31" s="1196">
        <f>IF(P31=0,0,O31+1)</f>
        <v>1</v>
      </c>
      <c r="S31" s="1197">
        <f>IF(P31=0,0,L31-(R31*Q28))</f>
        <v>-6.4444444444444446</v>
      </c>
      <c r="T31" s="1199" t="str">
        <f>IF(S31=0,0,R28)</f>
        <v>portions</v>
      </c>
      <c r="U31" s="1120"/>
      <c r="V31" s="1120"/>
    </row>
    <row r="32" spans="2:22" ht="33" customHeight="1">
      <c r="U32" s="15"/>
      <c r="V32" s="15"/>
    </row>
    <row r="33" spans="1:22" s="980" customFormat="1" ht="36.75" customHeight="1">
      <c r="A33" s="1110"/>
      <c r="B33" s="1200" t="s">
        <v>1797</v>
      </c>
      <c r="C33" s="1201"/>
      <c r="D33" s="1201"/>
      <c r="E33" s="1202"/>
      <c r="F33" s="1202"/>
      <c r="G33" s="1202"/>
      <c r="H33" s="1202"/>
      <c r="I33" s="1202"/>
      <c r="J33" s="1202"/>
      <c r="K33" s="1202"/>
      <c r="L33" s="1203"/>
      <c r="M33" s="1204"/>
      <c r="N33" s="1204"/>
      <c r="O33" s="1204"/>
      <c r="P33" s="1204"/>
      <c r="Q33" s="1204"/>
      <c r="R33" s="1204"/>
      <c r="S33" s="1204"/>
      <c r="T33" s="1205" t="s">
        <v>1747</v>
      </c>
      <c r="U33" s="1117"/>
      <c r="V33" s="1117"/>
    </row>
    <row r="34" spans="1:22" ht="26.25">
      <c r="B34" s="1206" t="s">
        <v>1798</v>
      </c>
      <c r="C34" s="1207"/>
      <c r="D34" s="1207"/>
      <c r="E34" s="1208"/>
      <c r="F34" s="1208"/>
      <c r="G34" s="1208"/>
      <c r="H34" s="1208"/>
      <c r="I34" s="1208"/>
      <c r="J34" s="1209"/>
      <c r="K34" s="1210"/>
      <c r="L34" s="1210"/>
      <c r="M34" s="1210"/>
      <c r="N34" s="1210"/>
      <c r="O34" s="1210"/>
      <c r="P34" s="1210"/>
      <c r="Q34" s="1210"/>
      <c r="R34" s="1210"/>
      <c r="S34" s="1210"/>
      <c r="T34" s="1211" t="s">
        <v>1799</v>
      </c>
      <c r="U34" s="1117"/>
      <c r="V34" s="15"/>
    </row>
    <row r="35" spans="1:22" ht="18">
      <c r="B35" s="8330" t="s">
        <v>1748</v>
      </c>
      <c r="C35" s="8331"/>
      <c r="D35" s="8331"/>
      <c r="E35" s="8331"/>
      <c r="F35" s="8331"/>
      <c r="G35" s="8331"/>
      <c r="H35" s="8331"/>
      <c r="I35" s="8331"/>
      <c r="J35" s="8359"/>
      <c r="K35" s="8360" t="s">
        <v>1749</v>
      </c>
      <c r="L35" s="8361"/>
      <c r="M35" s="8361"/>
      <c r="N35" s="8361"/>
      <c r="O35" s="8361"/>
      <c r="P35" s="8361"/>
      <c r="Q35" s="8361"/>
      <c r="R35" s="8361"/>
      <c r="S35" s="8361"/>
      <c r="T35" s="8362"/>
      <c r="U35" s="1118"/>
      <c r="V35" s="15"/>
    </row>
    <row r="36" spans="1:22" ht="45">
      <c r="B36" s="8343" t="s">
        <v>372</v>
      </c>
      <c r="C36" s="8344"/>
      <c r="D36" s="8344"/>
      <c r="E36" s="8344"/>
      <c r="F36" s="1212" t="s">
        <v>1750</v>
      </c>
      <c r="G36" s="8345" t="s">
        <v>1751</v>
      </c>
      <c r="H36" s="8345"/>
      <c r="I36" s="1213" t="s">
        <v>1800</v>
      </c>
      <c r="J36" s="1214" t="s">
        <v>1801</v>
      </c>
      <c r="K36" s="1215" t="s">
        <v>1802</v>
      </c>
      <c r="L36" s="8346" t="s">
        <v>1753</v>
      </c>
      <c r="M36" s="8347"/>
      <c r="N36" s="8347"/>
      <c r="O36" s="1216" t="s">
        <v>1754</v>
      </c>
      <c r="P36" s="1217"/>
      <c r="Q36" s="1217"/>
      <c r="R36" s="1218"/>
      <c r="S36" s="1218"/>
      <c r="T36" s="1219"/>
      <c r="U36" s="1120"/>
      <c r="V36" s="15"/>
    </row>
    <row r="37" spans="1:22" ht="28.5" customHeight="1">
      <c r="B37" s="8348" t="s">
        <v>1803</v>
      </c>
      <c r="C37" s="8313"/>
      <c r="D37" s="8313"/>
      <c r="E37" s="8313"/>
      <c r="F37" s="1220">
        <v>16</v>
      </c>
      <c r="G37" s="8349" t="s">
        <v>1760</v>
      </c>
      <c r="H37" s="8349"/>
      <c r="I37" s="1221">
        <v>1</v>
      </c>
      <c r="J37" s="1222">
        <v>1250</v>
      </c>
      <c r="K37" s="1223">
        <f>F37/I37</f>
        <v>16</v>
      </c>
      <c r="L37" s="1224">
        <f>I37*J37</f>
        <v>1250</v>
      </c>
      <c r="M37" s="8350" t="str">
        <f>G37</f>
        <v>Cuisses</v>
      </c>
      <c r="N37" s="8350"/>
      <c r="O37" s="1225">
        <f>IF(L37=0,0,INT(L37/F37))</f>
        <v>78</v>
      </c>
      <c r="P37" s="1226">
        <f>L37-(O37*F37)</f>
        <v>2</v>
      </c>
      <c r="Q37" s="1227" t="str">
        <f>IF(P37=0,0,G37)</f>
        <v>Cuisses</v>
      </c>
      <c r="R37" s="1225">
        <f>IF(P37=0,0,O37+1)</f>
        <v>79</v>
      </c>
      <c r="S37" s="1226">
        <f>IF(P37=0,0,L37-(R37*F37))</f>
        <v>-14</v>
      </c>
      <c r="T37" s="1228" t="str">
        <f>IF(S37=0,0,G37)</f>
        <v>Cuisses</v>
      </c>
      <c r="U37" s="1120"/>
      <c r="V37" s="15"/>
    </row>
    <row r="38" spans="1:22">
      <c r="U38" s="15"/>
      <c r="V38" s="15"/>
    </row>
    <row r="39" spans="1:22">
      <c r="U39" s="15"/>
      <c r="V39" s="15"/>
    </row>
    <row r="40" spans="1:22" s="980" customFormat="1" ht="36.75" customHeight="1">
      <c r="A40" s="1110"/>
      <c r="B40" s="1229" t="s">
        <v>1804</v>
      </c>
      <c r="C40" s="1230"/>
      <c r="D40" s="1230"/>
      <c r="E40" s="1231"/>
      <c r="F40" s="1231"/>
      <c r="G40" s="1231"/>
      <c r="H40" s="1231"/>
      <c r="I40" s="1231"/>
      <c r="J40" s="1231"/>
      <c r="K40" s="1231"/>
      <c r="L40" s="1232"/>
      <c r="M40" s="1233"/>
      <c r="N40" s="1233"/>
      <c r="O40" s="1233"/>
      <c r="P40" s="1233"/>
      <c r="Q40" s="1233"/>
      <c r="R40" s="1233"/>
      <c r="S40" s="1233"/>
      <c r="T40" s="1234" t="s">
        <v>1747</v>
      </c>
      <c r="U40" s="1117"/>
      <c r="V40" s="1117"/>
    </row>
    <row r="41" spans="1:22" ht="25.5" customHeight="1">
      <c r="B41" s="1235" t="s">
        <v>1805</v>
      </c>
      <c r="C41" s="1236"/>
      <c r="D41" s="1236"/>
      <c r="E41" s="1237"/>
      <c r="F41" s="1237"/>
      <c r="G41" s="1237"/>
      <c r="H41" s="1237"/>
      <c r="I41" s="1237"/>
      <c r="J41" s="1238"/>
      <c r="K41" s="1239"/>
      <c r="L41" s="1239"/>
      <c r="M41" s="1239"/>
      <c r="N41" s="1239"/>
      <c r="O41" s="1239"/>
      <c r="P41" s="1239"/>
      <c r="Q41" s="1239"/>
      <c r="R41" s="1239"/>
      <c r="S41" s="1239"/>
      <c r="T41" s="1240" t="s">
        <v>1806</v>
      </c>
      <c r="U41" s="1117"/>
      <c r="V41" s="15"/>
    </row>
    <row r="42" spans="1:22" ht="18">
      <c r="B42" s="8330" t="s">
        <v>1748</v>
      </c>
      <c r="C42" s="8331"/>
      <c r="D42" s="8331"/>
      <c r="E42" s="8331"/>
      <c r="F42" s="8331"/>
      <c r="G42" s="8331"/>
      <c r="H42" s="8331"/>
      <c r="I42" s="8331"/>
      <c r="J42" s="8331"/>
      <c r="K42" s="8332" t="s">
        <v>1749</v>
      </c>
      <c r="L42" s="8333"/>
      <c r="M42" s="8333"/>
      <c r="N42" s="8333"/>
      <c r="O42" s="8333"/>
      <c r="P42" s="8333"/>
      <c r="Q42" s="8333"/>
      <c r="R42" s="8333"/>
      <c r="S42" s="8333"/>
      <c r="T42" s="8334"/>
      <c r="U42" s="15"/>
      <c r="V42" s="15"/>
    </row>
    <row r="43" spans="1:22" ht="38.25" customHeight="1">
      <c r="B43" s="8335" t="s">
        <v>372</v>
      </c>
      <c r="C43" s="8336"/>
      <c r="D43" s="8336"/>
      <c r="E43" s="8337"/>
      <c r="F43" s="1212" t="s">
        <v>1750</v>
      </c>
      <c r="G43" s="1241" t="s">
        <v>1751</v>
      </c>
      <c r="H43" s="8338" t="s">
        <v>1807</v>
      </c>
      <c r="I43" s="8338"/>
      <c r="J43" s="1214" t="s">
        <v>1801</v>
      </c>
      <c r="K43" s="8339" t="s">
        <v>1800</v>
      </c>
      <c r="L43" s="8340"/>
      <c r="M43" s="8341" t="s">
        <v>1753</v>
      </c>
      <c r="N43" s="8342"/>
      <c r="O43" s="1216" t="s">
        <v>1754</v>
      </c>
      <c r="P43" s="1217"/>
      <c r="Q43" s="1217"/>
      <c r="R43" s="1218"/>
      <c r="S43" s="1218"/>
      <c r="T43" s="1219"/>
      <c r="U43" s="15"/>
      <c r="V43" s="15"/>
    </row>
    <row r="44" spans="1:22" ht="18.75">
      <c r="B44" s="8312" t="s">
        <v>1766</v>
      </c>
      <c r="C44" s="8313"/>
      <c r="D44" s="8313"/>
      <c r="E44" s="8313"/>
      <c r="F44" s="1220">
        <v>3</v>
      </c>
      <c r="G44" s="1220" t="s">
        <v>43</v>
      </c>
      <c r="H44" s="8314">
        <v>23</v>
      </c>
      <c r="I44" s="8315"/>
      <c r="J44" s="1242">
        <v>100</v>
      </c>
      <c r="K44" s="8316">
        <f>F44/H44</f>
        <v>0.13043478260869565</v>
      </c>
      <c r="L44" s="8317"/>
      <c r="M44" s="1224">
        <f>K44*J44</f>
        <v>13.043478260869565</v>
      </c>
      <c r="N44" s="1243" t="str">
        <f>G44</f>
        <v>Kg</v>
      </c>
      <c r="O44" s="1244">
        <f>IF(M44=0,0,INT(M44/F44))</f>
        <v>4</v>
      </c>
      <c r="P44" s="1245">
        <f>M44-(O44*F44)</f>
        <v>1.0434782608695645</v>
      </c>
      <c r="Q44" s="1246" t="str">
        <f>IF(P44=0,0,G44)</f>
        <v>Kg</v>
      </c>
      <c r="R44" s="1244">
        <f>IF(P44=0,0,O44+1)</f>
        <v>5</v>
      </c>
      <c r="S44" s="1245">
        <f>IF(P44=0,0,M44-(R44*F44))</f>
        <v>-1.9565217391304355</v>
      </c>
      <c r="T44" s="1247" t="str">
        <f>IF(S44=0,0,G44)</f>
        <v>Kg</v>
      </c>
      <c r="U44" s="15"/>
      <c r="V44" s="15"/>
    </row>
    <row r="45" spans="1:22">
      <c r="P45" s="15"/>
      <c r="Q45" s="15"/>
      <c r="R45" s="15"/>
      <c r="S45" s="15"/>
      <c r="T45" s="15"/>
      <c r="U45" s="15"/>
      <c r="V45" s="15"/>
    </row>
    <row r="46" spans="1:22">
      <c r="P46" s="15"/>
      <c r="Q46" s="15"/>
      <c r="R46" s="15"/>
      <c r="S46" s="15"/>
      <c r="T46" s="15"/>
      <c r="U46" s="15"/>
      <c r="V46" s="15"/>
    </row>
    <row r="47" spans="1:22">
      <c r="B47" s="204"/>
      <c r="C47" s="204"/>
      <c r="D47" s="204"/>
      <c r="E47" s="204"/>
      <c r="F47" s="204"/>
      <c r="G47" s="204"/>
      <c r="H47" s="204"/>
      <c r="I47" s="204"/>
      <c r="J47" s="204"/>
      <c r="K47" s="204"/>
      <c r="L47" s="204"/>
      <c r="M47" s="204"/>
      <c r="N47" s="204"/>
      <c r="O47" s="204"/>
      <c r="P47" s="90"/>
      <c r="Q47" s="15"/>
      <c r="R47" s="15"/>
      <c r="S47" s="15"/>
      <c r="T47" s="15"/>
      <c r="U47" s="15"/>
      <c r="V47" s="15"/>
    </row>
    <row r="48" spans="1:22">
      <c r="A48" s="204"/>
      <c r="B48" s="8318" t="s">
        <v>1808</v>
      </c>
      <c r="C48" s="8318"/>
      <c r="D48" s="8318"/>
      <c r="E48" s="8318"/>
      <c r="F48" s="8318"/>
      <c r="G48" s="8318"/>
      <c r="H48" s="8318"/>
      <c r="I48" s="8318"/>
      <c r="J48" s="8318"/>
      <c r="K48" s="8318"/>
      <c r="L48" s="8318"/>
      <c r="M48" s="8318"/>
      <c r="N48" s="8318"/>
      <c r="O48" s="8318"/>
      <c r="P48" s="90"/>
      <c r="Q48" s="90"/>
      <c r="R48" s="90"/>
      <c r="S48" s="90"/>
      <c r="T48" s="90"/>
      <c r="U48" s="90"/>
      <c r="V48" s="90"/>
    </row>
    <row r="49" spans="1:22">
      <c r="A49" s="204"/>
      <c r="B49" s="8318"/>
      <c r="C49" s="8318"/>
      <c r="D49" s="8318"/>
      <c r="E49" s="8318"/>
      <c r="F49" s="8318"/>
      <c r="G49" s="8318"/>
      <c r="H49" s="8318"/>
      <c r="I49" s="8318"/>
      <c r="J49" s="8318"/>
      <c r="K49" s="8318"/>
      <c r="L49" s="8318"/>
      <c r="M49" s="8318"/>
      <c r="N49" s="8318"/>
      <c r="O49" s="8318"/>
      <c r="P49" s="90"/>
      <c r="Q49" s="90"/>
      <c r="R49" s="90"/>
      <c r="S49" s="90"/>
      <c r="T49" s="90"/>
      <c r="U49" s="90"/>
      <c r="V49" s="90"/>
    </row>
    <row r="50" spans="1:22">
      <c r="A50" s="204"/>
      <c r="B50" s="8318"/>
      <c r="C50" s="8318"/>
      <c r="D50" s="8318"/>
      <c r="E50" s="8318"/>
      <c r="F50" s="8318"/>
      <c r="G50" s="8318"/>
      <c r="H50" s="8318"/>
      <c r="I50" s="8318"/>
      <c r="J50" s="8318"/>
      <c r="K50" s="8318"/>
      <c r="L50" s="8318"/>
      <c r="M50" s="8318"/>
      <c r="N50" s="8318"/>
      <c r="O50" s="8318"/>
      <c r="P50" s="90"/>
      <c r="Q50" s="90"/>
      <c r="R50" s="90"/>
      <c r="S50" s="90"/>
      <c r="T50" s="90"/>
      <c r="U50" s="90"/>
      <c r="V50" s="90"/>
    </row>
    <row r="51" spans="1:22" ht="15.75" thickBot="1">
      <c r="B51" s="1248"/>
      <c r="C51" s="1248"/>
      <c r="D51" s="204"/>
      <c r="E51" s="204"/>
      <c r="F51" s="204"/>
      <c r="G51" s="204"/>
      <c r="H51" s="204"/>
      <c r="I51" s="204"/>
      <c r="J51" s="204"/>
      <c r="K51" s="204"/>
      <c r="L51" s="204"/>
      <c r="M51" s="204"/>
      <c r="N51" s="204"/>
      <c r="O51" s="204"/>
      <c r="P51" s="90"/>
      <c r="Q51" s="15"/>
      <c r="R51" s="15"/>
      <c r="S51" s="15"/>
      <c r="T51" s="15"/>
      <c r="U51" s="15"/>
      <c r="V51" s="15"/>
    </row>
    <row r="52" spans="1:22">
      <c r="B52" s="8319" t="s">
        <v>1307</v>
      </c>
      <c r="C52" s="8321">
        <f ca="1">NOW()</f>
        <v>46257.633905902781</v>
      </c>
      <c r="D52" s="8321"/>
      <c r="E52" s="8323" t="s">
        <v>1809</v>
      </c>
      <c r="F52" s="8323"/>
      <c r="G52" s="8323"/>
      <c r="H52" s="8323"/>
      <c r="I52" s="8323"/>
      <c r="J52" s="8323"/>
      <c r="K52" s="8323"/>
      <c r="L52" s="8323"/>
      <c r="M52" s="8324" t="s">
        <v>1309</v>
      </c>
      <c r="N52" s="8326" t="s">
        <v>1810</v>
      </c>
      <c r="O52" s="8328">
        <v>1</v>
      </c>
      <c r="P52" s="90"/>
      <c r="Q52" s="15"/>
      <c r="R52" s="1249" t="s">
        <v>1811</v>
      </c>
      <c r="S52" s="15"/>
      <c r="T52" s="15"/>
      <c r="U52" s="15"/>
      <c r="V52" s="15"/>
    </row>
    <row r="53" spans="1:22">
      <c r="B53" s="8320"/>
      <c r="C53" s="8322"/>
      <c r="D53" s="8322"/>
      <c r="E53" s="8222"/>
      <c r="F53" s="8222"/>
      <c r="G53" s="8222"/>
      <c r="H53" s="8222"/>
      <c r="I53" s="8222"/>
      <c r="J53" s="8222"/>
      <c r="K53" s="8222"/>
      <c r="L53" s="8222"/>
      <c r="M53" s="8325"/>
      <c r="N53" s="8327"/>
      <c r="O53" s="8329"/>
      <c r="P53" s="90"/>
      <c r="Q53" s="15"/>
      <c r="R53" s="15"/>
      <c r="S53" s="15"/>
      <c r="T53" s="15"/>
      <c r="U53" s="15"/>
      <c r="V53" s="15"/>
    </row>
    <row r="54" spans="1:22">
      <c r="B54" s="8301" t="s">
        <v>1812</v>
      </c>
      <c r="C54" s="8302"/>
      <c r="D54" s="8302"/>
      <c r="E54" s="8302"/>
      <c r="F54" s="8302"/>
      <c r="G54" s="8302"/>
      <c r="H54" s="8302"/>
      <c r="I54" s="8302"/>
      <c r="J54" s="8302"/>
      <c r="K54" s="8302"/>
      <c r="L54" s="8302"/>
      <c r="M54" s="8302"/>
      <c r="N54" s="8302"/>
      <c r="O54" s="8303"/>
      <c r="P54" s="90"/>
      <c r="Q54" s="15"/>
      <c r="R54" s="15"/>
      <c r="S54" s="15"/>
      <c r="T54" s="15"/>
      <c r="U54" s="15"/>
      <c r="V54" s="15"/>
    </row>
    <row r="55" spans="1:22" ht="15.75">
      <c r="B55" s="8304"/>
      <c r="C55" s="8305"/>
      <c r="D55" s="8305"/>
      <c r="E55" s="8305"/>
      <c r="F55" s="8305"/>
      <c r="G55" s="8305"/>
      <c r="H55" s="8305"/>
      <c r="I55" s="8305"/>
      <c r="J55" s="8305"/>
      <c r="K55" s="8305"/>
      <c r="L55" s="8305"/>
      <c r="M55" s="8305"/>
      <c r="N55" s="8305"/>
      <c r="O55" s="8306"/>
      <c r="P55" s="90"/>
      <c r="Q55" s="15"/>
      <c r="R55" s="8208" t="s">
        <v>1813</v>
      </c>
      <c r="S55" s="8208"/>
      <c r="T55" s="8208"/>
      <c r="U55" s="8208"/>
      <c r="V55" s="8208"/>
    </row>
    <row r="56" spans="1:22">
      <c r="B56" s="8218" t="s">
        <v>1814</v>
      </c>
      <c r="C56" s="8219"/>
      <c r="D56" s="8219"/>
      <c r="E56" s="8219"/>
      <c r="F56" s="8219"/>
      <c r="G56" s="8219"/>
      <c r="H56" s="8219"/>
      <c r="I56" s="8219"/>
      <c r="J56" s="8219"/>
      <c r="K56" s="8219"/>
      <c r="L56" s="8219"/>
      <c r="M56" s="8219"/>
      <c r="N56" s="8219"/>
      <c r="O56" s="8220"/>
      <c r="P56" s="90"/>
      <c r="Q56" s="15"/>
      <c r="R56" s="15"/>
      <c r="S56" s="15"/>
      <c r="T56" s="15"/>
      <c r="U56" s="15"/>
      <c r="V56" s="15"/>
    </row>
    <row r="57" spans="1:22">
      <c r="B57" s="8221"/>
      <c r="C57" s="8222"/>
      <c r="D57" s="8222"/>
      <c r="E57" s="8222"/>
      <c r="F57" s="8222"/>
      <c r="G57" s="8222"/>
      <c r="H57" s="8222"/>
      <c r="I57" s="8222"/>
      <c r="J57" s="8222"/>
      <c r="K57" s="8222"/>
      <c r="L57" s="8222"/>
      <c r="M57" s="8222"/>
      <c r="N57" s="8222"/>
      <c r="O57" s="8223"/>
      <c r="P57" s="90"/>
      <c r="Q57" s="15"/>
      <c r="R57" s="15"/>
      <c r="S57" s="15"/>
      <c r="T57" s="15"/>
      <c r="U57" s="15"/>
      <c r="V57" s="15"/>
    </row>
    <row r="58" spans="1:22">
      <c r="B58" s="8255" t="s">
        <v>242</v>
      </c>
      <c r="C58" s="8257" t="s">
        <v>1801</v>
      </c>
      <c r="D58" s="8308" t="s">
        <v>1815</v>
      </c>
      <c r="E58" s="8261" t="s">
        <v>1816</v>
      </c>
      <c r="F58" s="8263" t="s">
        <v>1817</v>
      </c>
      <c r="G58" s="8239" t="s">
        <v>1818</v>
      </c>
      <c r="H58" s="8239"/>
      <c r="I58" s="8239" t="s">
        <v>1819</v>
      </c>
      <c r="J58" s="8239"/>
      <c r="K58" s="8239" t="s">
        <v>1820</v>
      </c>
      <c r="L58" s="8239"/>
      <c r="M58" s="1250" t="s">
        <v>1821</v>
      </c>
      <c r="N58" s="1251"/>
      <c r="O58" s="1252"/>
      <c r="P58" s="90"/>
      <c r="Q58" s="15"/>
      <c r="R58" s="15"/>
      <c r="S58" s="15"/>
      <c r="T58" s="15"/>
      <c r="U58" s="15"/>
      <c r="V58" s="15"/>
    </row>
    <row r="59" spans="1:22">
      <c r="B59" s="8307"/>
      <c r="C59" s="8258"/>
      <c r="D59" s="8309"/>
      <c r="E59" s="8262"/>
      <c r="F59" s="8264"/>
      <c r="G59" s="8240"/>
      <c r="H59" s="8240"/>
      <c r="I59" s="8240"/>
      <c r="J59" s="8240"/>
      <c r="K59" s="8240"/>
      <c r="L59" s="8240"/>
      <c r="M59" s="1253"/>
      <c r="N59" s="1254"/>
      <c r="O59" s="1255"/>
      <c r="P59" s="90"/>
      <c r="Q59" s="15"/>
      <c r="R59" s="15"/>
      <c r="S59" s="15"/>
      <c r="T59" s="15"/>
      <c r="U59" s="15"/>
      <c r="V59" s="15"/>
    </row>
    <row r="60" spans="1:22">
      <c r="B60" s="8256"/>
      <c r="C60" s="8258"/>
      <c r="D60" s="8309"/>
      <c r="E60" s="8262"/>
      <c r="F60" s="8264"/>
      <c r="G60" s="8240"/>
      <c r="H60" s="8240"/>
      <c r="I60" s="8240"/>
      <c r="J60" s="8240"/>
      <c r="K60" s="8240"/>
      <c r="L60" s="8240"/>
      <c r="M60" s="8310"/>
      <c r="N60" s="8310"/>
      <c r="O60" s="8311"/>
      <c r="P60" s="90"/>
      <c r="Q60" s="15"/>
      <c r="R60" s="15"/>
      <c r="S60" s="15"/>
      <c r="T60" s="15"/>
      <c r="U60" s="15"/>
      <c r="V60" s="15"/>
    </row>
    <row r="61" spans="1:22">
      <c r="B61" s="1256" t="s">
        <v>537</v>
      </c>
      <c r="C61" s="1257">
        <v>100</v>
      </c>
      <c r="D61" s="1258">
        <v>0.05</v>
      </c>
      <c r="E61" s="1259">
        <v>1.2</v>
      </c>
      <c r="F61" s="1260">
        <v>30</v>
      </c>
      <c r="G61" s="1261">
        <f t="shared" ref="G61:G66" si="7">(D61*E61)/(100-F61)*100</f>
        <v>8.5714285714285715E-2</v>
      </c>
      <c r="H61" s="1262" t="s">
        <v>43</v>
      </c>
      <c r="I61" s="1263">
        <f t="shared" ref="I61:I66" si="8">(D61*E61)*C61</f>
        <v>6</v>
      </c>
      <c r="J61" s="1262" t="s">
        <v>43</v>
      </c>
      <c r="K61" s="1264">
        <f t="shared" ref="K61:K66" si="9">G61*C61</f>
        <v>8.5714285714285712</v>
      </c>
      <c r="L61" s="1262" t="s">
        <v>43</v>
      </c>
      <c r="M61" s="8310"/>
      <c r="N61" s="8310"/>
      <c r="O61" s="8311"/>
      <c r="P61" s="90"/>
      <c r="Q61" s="15"/>
      <c r="R61" s="1265" t="s">
        <v>1822</v>
      </c>
      <c r="S61" s="15"/>
      <c r="T61" s="15"/>
      <c r="U61" s="15"/>
      <c r="V61" s="15"/>
    </row>
    <row r="62" spans="1:22">
      <c r="B62" s="1256" t="s">
        <v>620</v>
      </c>
      <c r="C62" s="1257">
        <v>100</v>
      </c>
      <c r="D62" s="1258">
        <v>7.0000000000000007E-2</v>
      </c>
      <c r="E62" s="1259">
        <v>2</v>
      </c>
      <c r="F62" s="1260">
        <v>30</v>
      </c>
      <c r="G62" s="1261">
        <f t="shared" si="7"/>
        <v>0.2</v>
      </c>
      <c r="H62" s="1262" t="s">
        <v>43</v>
      </c>
      <c r="I62" s="1263">
        <f t="shared" si="8"/>
        <v>14.000000000000002</v>
      </c>
      <c r="J62" s="1262" t="s">
        <v>43</v>
      </c>
      <c r="K62" s="1264">
        <f t="shared" si="9"/>
        <v>20</v>
      </c>
      <c r="L62" s="1262" t="s">
        <v>43</v>
      </c>
      <c r="M62" s="8310"/>
      <c r="N62" s="8310"/>
      <c r="O62" s="8311"/>
      <c r="P62" s="90"/>
      <c r="Q62" s="15"/>
      <c r="R62" s="15"/>
      <c r="S62" s="15"/>
      <c r="T62" s="15"/>
      <c r="U62" s="15"/>
      <c r="V62" s="15"/>
    </row>
    <row r="63" spans="1:22">
      <c r="B63" s="1266" t="s">
        <v>337</v>
      </c>
      <c r="C63" s="1267">
        <v>100</v>
      </c>
      <c r="D63" s="1268">
        <v>0.11</v>
      </c>
      <c r="E63" s="1259">
        <v>2.5</v>
      </c>
      <c r="F63" s="1260">
        <v>30</v>
      </c>
      <c r="G63" s="1263">
        <f t="shared" si="7"/>
        <v>0.3928571428571429</v>
      </c>
      <c r="H63" s="1262" t="s">
        <v>43</v>
      </c>
      <c r="I63" s="1263">
        <f t="shared" si="8"/>
        <v>27.500000000000004</v>
      </c>
      <c r="J63" s="1262" t="s">
        <v>43</v>
      </c>
      <c r="K63" s="1264">
        <f t="shared" si="9"/>
        <v>39.285714285714292</v>
      </c>
      <c r="L63" s="1262" t="s">
        <v>43</v>
      </c>
      <c r="M63" s="8310"/>
      <c r="N63" s="8310"/>
      <c r="O63" s="8311"/>
      <c r="P63" s="90"/>
      <c r="Q63" s="15"/>
      <c r="R63" s="15"/>
      <c r="S63" s="15"/>
      <c r="T63" s="15"/>
      <c r="U63" s="15"/>
      <c r="V63" s="15"/>
    </row>
    <row r="64" spans="1:22">
      <c r="B64" s="1256" t="s">
        <v>1318</v>
      </c>
      <c r="C64" s="1269">
        <v>100</v>
      </c>
      <c r="D64" s="1270">
        <f>(D63*M64%)+D63</f>
        <v>0.121</v>
      </c>
      <c r="E64" s="1259">
        <v>3</v>
      </c>
      <c r="F64" s="1260">
        <v>30</v>
      </c>
      <c r="G64" s="1263">
        <f t="shared" si="7"/>
        <v>0.51857142857142857</v>
      </c>
      <c r="H64" s="1262" t="s">
        <v>43</v>
      </c>
      <c r="I64" s="1263">
        <f t="shared" si="8"/>
        <v>36.299999999999997</v>
      </c>
      <c r="J64" s="1262" t="s">
        <v>43</v>
      </c>
      <c r="K64" s="1264">
        <f t="shared" si="9"/>
        <v>51.857142857142854</v>
      </c>
      <c r="L64" s="1262" t="s">
        <v>43</v>
      </c>
      <c r="M64" s="1271">
        <v>10</v>
      </c>
      <c r="N64" s="1272" t="s">
        <v>1823</v>
      </c>
      <c r="O64" s="1273"/>
      <c r="P64" s="90"/>
      <c r="Q64" s="15"/>
      <c r="R64" s="15"/>
      <c r="S64" s="15"/>
      <c r="T64" s="15"/>
      <c r="U64" s="15"/>
      <c r="V64" s="15"/>
    </row>
    <row r="65" spans="2:22">
      <c r="B65" s="1256" t="s">
        <v>1319</v>
      </c>
      <c r="C65" s="1257">
        <v>8</v>
      </c>
      <c r="D65" s="1274">
        <v>0.1</v>
      </c>
      <c r="E65" s="1259">
        <v>2.5</v>
      </c>
      <c r="F65" s="1260">
        <v>30</v>
      </c>
      <c r="G65" s="1261">
        <f t="shared" si="7"/>
        <v>0.35714285714285715</v>
      </c>
      <c r="H65" s="1262" t="s">
        <v>43</v>
      </c>
      <c r="I65" s="1263">
        <f t="shared" si="8"/>
        <v>2</v>
      </c>
      <c r="J65" s="1262" t="s">
        <v>43</v>
      </c>
      <c r="K65" s="1264">
        <f t="shared" si="9"/>
        <v>2.8571428571428572</v>
      </c>
      <c r="L65" s="1262" t="s">
        <v>43</v>
      </c>
      <c r="M65" s="8293" t="s">
        <v>1824</v>
      </c>
      <c r="N65" s="8293"/>
      <c r="O65" s="8294"/>
      <c r="P65" s="90"/>
      <c r="Q65" s="15"/>
      <c r="R65" s="15"/>
      <c r="S65" s="15"/>
      <c r="T65" s="15"/>
      <c r="U65" s="15"/>
      <c r="V65" s="15"/>
    </row>
    <row r="66" spans="2:22">
      <c r="B66" s="1256" t="s">
        <v>1825</v>
      </c>
      <c r="C66" s="1257">
        <v>4</v>
      </c>
      <c r="D66" s="1258">
        <v>7.0000000000000007E-2</v>
      </c>
      <c r="E66" s="1259">
        <v>2</v>
      </c>
      <c r="F66" s="1260">
        <v>30</v>
      </c>
      <c r="G66" s="1261">
        <f t="shared" si="7"/>
        <v>0.2</v>
      </c>
      <c r="H66" s="1262" t="s">
        <v>43</v>
      </c>
      <c r="I66" s="1263">
        <f t="shared" si="8"/>
        <v>0.56000000000000005</v>
      </c>
      <c r="J66" s="1262" t="s">
        <v>43</v>
      </c>
      <c r="K66" s="1264">
        <f t="shared" si="9"/>
        <v>0.8</v>
      </c>
      <c r="L66" s="1262" t="s">
        <v>43</v>
      </c>
      <c r="M66" s="8293"/>
      <c r="N66" s="8293"/>
      <c r="O66" s="8294"/>
      <c r="P66" s="90"/>
      <c r="Q66" s="15"/>
      <c r="R66" s="15"/>
      <c r="S66" s="15"/>
      <c r="T66" s="15"/>
      <c r="U66" s="15"/>
      <c r="V66" s="15"/>
    </row>
    <row r="67" spans="2:22">
      <c r="B67" s="8287" t="s">
        <v>1826</v>
      </c>
      <c r="C67" s="8288"/>
      <c r="D67" s="8288"/>
      <c r="E67" s="8288"/>
      <c r="F67" s="8288"/>
      <c r="G67" s="8288"/>
      <c r="H67" s="8288"/>
      <c r="I67" s="8288"/>
      <c r="J67" s="8288"/>
      <c r="K67" s="8288"/>
      <c r="L67" s="8288"/>
      <c r="M67" s="8288"/>
      <c r="N67" s="8288"/>
      <c r="O67" s="8289"/>
      <c r="P67" s="90"/>
      <c r="Q67" s="15"/>
      <c r="R67" s="15"/>
      <c r="S67" s="15"/>
      <c r="T67" s="15"/>
      <c r="U67" s="15"/>
      <c r="V67" s="15"/>
    </row>
    <row r="68" spans="2:22">
      <c r="B68" s="8210" t="s">
        <v>1827</v>
      </c>
      <c r="C68" s="8212">
        <f>SUM(C61:C66)</f>
        <v>412</v>
      </c>
      <c r="D68" s="1275"/>
      <c r="E68" s="1275"/>
      <c r="F68" s="1275"/>
      <c r="G68" s="1276"/>
      <c r="H68" s="1277"/>
      <c r="I68" s="8297">
        <f>SUM(I61:I66)</f>
        <v>86.36</v>
      </c>
      <c r="J68" s="8299" t="s">
        <v>43</v>
      </c>
      <c r="K68" s="8297">
        <f>SUM(K61:K66)</f>
        <v>123.37142857142858</v>
      </c>
      <c r="L68" s="8299" t="s">
        <v>43</v>
      </c>
      <c r="M68" s="1278"/>
      <c r="N68" s="1278"/>
      <c r="O68" s="1279"/>
      <c r="P68" s="90"/>
      <c r="Q68" s="15"/>
      <c r="R68" s="15"/>
      <c r="S68" s="15"/>
      <c r="T68" s="15"/>
      <c r="U68" s="15"/>
      <c r="V68" s="15"/>
    </row>
    <row r="69" spans="2:22">
      <c r="B69" s="8295"/>
      <c r="C69" s="8296"/>
      <c r="D69" s="1280"/>
      <c r="E69" s="1280"/>
      <c r="F69" s="1280"/>
      <c r="G69" s="1281"/>
      <c r="H69" s="1282"/>
      <c r="I69" s="8298"/>
      <c r="J69" s="8300"/>
      <c r="K69" s="8298"/>
      <c r="L69" s="8300"/>
      <c r="M69" s="1283"/>
      <c r="N69" s="1283"/>
      <c r="O69" s="1284"/>
      <c r="P69" s="90"/>
      <c r="Q69" s="15"/>
      <c r="R69" s="15"/>
      <c r="S69" s="15"/>
      <c r="T69" s="15"/>
      <c r="U69" s="15"/>
      <c r="V69" s="15"/>
    </row>
    <row r="70" spans="2:22">
      <c r="B70" s="8218" t="s">
        <v>1828</v>
      </c>
      <c r="C70" s="8219"/>
      <c r="D70" s="8219"/>
      <c r="E70" s="8219"/>
      <c r="F70" s="8219"/>
      <c r="G70" s="8219"/>
      <c r="H70" s="8219"/>
      <c r="I70" s="8219"/>
      <c r="J70" s="8219"/>
      <c r="K70" s="8219"/>
      <c r="L70" s="8219"/>
      <c r="M70" s="8219"/>
      <c r="N70" s="8219"/>
      <c r="O70" s="8220"/>
      <c r="P70" s="90"/>
      <c r="Q70" s="15"/>
      <c r="R70" s="15"/>
      <c r="S70" s="15"/>
      <c r="T70" s="15"/>
      <c r="U70" s="15"/>
      <c r="V70" s="15"/>
    </row>
    <row r="71" spans="2:22">
      <c r="B71" s="8221"/>
      <c r="C71" s="8222"/>
      <c r="D71" s="8222"/>
      <c r="E71" s="8222"/>
      <c r="F71" s="8222"/>
      <c r="G71" s="8222"/>
      <c r="H71" s="8222"/>
      <c r="I71" s="8222"/>
      <c r="J71" s="8222"/>
      <c r="K71" s="8222"/>
      <c r="L71" s="8222"/>
      <c r="M71" s="8222"/>
      <c r="N71" s="8222"/>
      <c r="O71" s="8223"/>
      <c r="P71" s="90"/>
      <c r="Q71" s="15"/>
      <c r="R71" s="15"/>
      <c r="S71" s="15"/>
      <c r="T71" s="15"/>
      <c r="U71" s="15"/>
      <c r="V71" s="15"/>
    </row>
    <row r="72" spans="2:22">
      <c r="B72" s="8292" t="s">
        <v>1829</v>
      </c>
      <c r="C72" s="8226" t="s">
        <v>1801</v>
      </c>
      <c r="D72" s="8228" t="s">
        <v>1830</v>
      </c>
      <c r="E72" s="8230" t="s">
        <v>1831</v>
      </c>
      <c r="F72" s="8232" t="s">
        <v>1832</v>
      </c>
      <c r="G72" s="8234" t="s">
        <v>1833</v>
      </c>
      <c r="H72" s="8202" t="s">
        <v>1834</v>
      </c>
      <c r="I72" s="8203"/>
      <c r="J72" s="8203"/>
      <c r="K72" s="8194" t="s">
        <v>1835</v>
      </c>
      <c r="L72" s="8197" t="s">
        <v>1836</v>
      </c>
      <c r="M72" s="8202" t="s">
        <v>1837</v>
      </c>
      <c r="N72" s="8203"/>
      <c r="O72" s="8204"/>
      <c r="P72" s="90"/>
      <c r="Q72" s="15"/>
      <c r="R72" s="15"/>
      <c r="S72" s="15"/>
      <c r="T72" s="15"/>
      <c r="U72" s="15"/>
      <c r="V72" s="15"/>
    </row>
    <row r="73" spans="2:22">
      <c r="B73" s="8292"/>
      <c r="C73" s="8226"/>
      <c r="D73" s="8228"/>
      <c r="E73" s="8230"/>
      <c r="F73" s="8232"/>
      <c r="G73" s="8234"/>
      <c r="H73" s="8202"/>
      <c r="I73" s="8203"/>
      <c r="J73" s="8203"/>
      <c r="K73" s="8194"/>
      <c r="L73" s="8197"/>
      <c r="M73" s="8202"/>
      <c r="N73" s="8203"/>
      <c r="O73" s="8204"/>
      <c r="P73" s="90"/>
      <c r="Q73" s="15"/>
      <c r="R73" s="1285" t="s">
        <v>1829</v>
      </c>
      <c r="S73" s="15"/>
      <c r="T73" s="15"/>
      <c r="U73" s="15"/>
      <c r="V73" s="15"/>
    </row>
    <row r="74" spans="2:22">
      <c r="B74" s="8292"/>
      <c r="C74" s="8226"/>
      <c r="D74" s="8228"/>
      <c r="E74" s="8230"/>
      <c r="F74" s="8232"/>
      <c r="G74" s="8234"/>
      <c r="H74" s="8202"/>
      <c r="I74" s="8203"/>
      <c r="J74" s="8203"/>
      <c r="K74" s="8194"/>
      <c r="L74" s="8197"/>
      <c r="M74" s="8202"/>
      <c r="N74" s="8203"/>
      <c r="O74" s="8204"/>
      <c r="P74" s="90"/>
      <c r="Q74" s="15"/>
      <c r="R74" s="15"/>
      <c r="S74" s="15"/>
      <c r="T74" s="15"/>
      <c r="U74" s="15"/>
      <c r="V74" s="15"/>
    </row>
    <row r="75" spans="2:22">
      <c r="B75" s="8292"/>
      <c r="C75" s="8226"/>
      <c r="D75" s="8228"/>
      <c r="E75" s="8230"/>
      <c r="F75" s="8232"/>
      <c r="G75" s="8234"/>
      <c r="H75" s="8202"/>
      <c r="I75" s="8203"/>
      <c r="J75" s="8203"/>
      <c r="K75" s="8194"/>
      <c r="L75" s="8197"/>
      <c r="M75" s="8202"/>
      <c r="N75" s="8203"/>
      <c r="O75" s="8204"/>
      <c r="P75" s="90"/>
      <c r="Q75" s="15"/>
      <c r="R75" s="15"/>
      <c r="S75" s="15"/>
      <c r="T75" s="15"/>
      <c r="U75" s="15"/>
      <c r="V75" s="15"/>
    </row>
    <row r="76" spans="2:22">
      <c r="B76" s="8292"/>
      <c r="C76" s="8226"/>
      <c r="D76" s="8228"/>
      <c r="E76" s="8230"/>
      <c r="F76" s="8232"/>
      <c r="G76" s="8234"/>
      <c r="H76" s="8202"/>
      <c r="I76" s="8203"/>
      <c r="J76" s="8203"/>
      <c r="K76" s="8194"/>
      <c r="L76" s="8197"/>
      <c r="M76" s="8202"/>
      <c r="N76" s="8203"/>
      <c r="O76" s="8204"/>
      <c r="P76" s="90"/>
      <c r="Q76" s="15"/>
      <c r="R76" s="15"/>
      <c r="S76" s="15"/>
      <c r="T76" s="15"/>
      <c r="U76" s="15"/>
      <c r="V76" s="15"/>
    </row>
    <row r="77" spans="2:22">
      <c r="B77" s="8292"/>
      <c r="C77" s="8226"/>
      <c r="D77" s="8228"/>
      <c r="E77" s="8230"/>
      <c r="F77" s="8232"/>
      <c r="G77" s="8234"/>
      <c r="H77" s="8202"/>
      <c r="I77" s="8203"/>
      <c r="J77" s="8203"/>
      <c r="K77" s="8194"/>
      <c r="L77" s="8197"/>
      <c r="M77" s="8202"/>
      <c r="N77" s="8203"/>
      <c r="O77" s="8204"/>
      <c r="P77" s="90"/>
      <c r="Q77" s="15"/>
      <c r="R77" s="15"/>
      <c r="S77" s="15"/>
      <c r="T77" s="15"/>
      <c r="U77" s="15"/>
      <c r="V77" s="15"/>
    </row>
    <row r="78" spans="2:22">
      <c r="B78" s="8292"/>
      <c r="C78" s="8227"/>
      <c r="D78" s="8229"/>
      <c r="E78" s="8231"/>
      <c r="F78" s="8233"/>
      <c r="G78" s="8235"/>
      <c r="H78" s="8205"/>
      <c r="I78" s="8206"/>
      <c r="J78" s="8206"/>
      <c r="K78" s="8195"/>
      <c r="L78" s="8198"/>
      <c r="M78" s="8205"/>
      <c r="N78" s="8206"/>
      <c r="O78" s="8207"/>
      <c r="P78" s="90"/>
      <c r="Q78" s="15"/>
      <c r="R78" s="15"/>
      <c r="S78" s="15"/>
      <c r="T78" s="15"/>
      <c r="U78" s="15"/>
      <c r="V78" s="15"/>
    </row>
    <row r="79" spans="2:22" ht="15.75">
      <c r="B79" s="1256" t="s">
        <v>537</v>
      </c>
      <c r="C79" s="1286">
        <f t="shared" ref="C79:C84" si="10">C61</f>
        <v>100</v>
      </c>
      <c r="D79" s="1287" t="s">
        <v>1838</v>
      </c>
      <c r="E79" s="1288">
        <v>5</v>
      </c>
      <c r="F79" s="1289">
        <f t="shared" ref="F79:F84" si="11">IF(C79=0,0,E79-(E79*F61%))</f>
        <v>3.5</v>
      </c>
      <c r="G79" s="1290">
        <f t="shared" ref="G79:G84" si="12">I61</f>
        <v>6</v>
      </c>
      <c r="H79" s="1291">
        <f t="shared" ref="H79:H84" si="13">IF(I61=0,0,INT(I61/F79))</f>
        <v>1</v>
      </c>
      <c r="I79" s="1292">
        <f t="shared" ref="I79:I84" si="14">I61-(F79*H79)</f>
        <v>2.5</v>
      </c>
      <c r="J79" s="1293" t="str">
        <f t="shared" ref="J79:J84" si="15">IF(I79=0,0,"Kg")</f>
        <v>Kg</v>
      </c>
      <c r="K79" s="1294">
        <v>12</v>
      </c>
      <c r="L79" s="1295">
        <f t="shared" ref="L79:L84" si="16">C61*E61</f>
        <v>120</v>
      </c>
      <c r="M79" s="1291">
        <f t="shared" ref="M79:M84" si="17">IF(K79=0,0,INT(E61*C61/K79))</f>
        <v>10</v>
      </c>
      <c r="N79" s="1292">
        <f t="shared" ref="N79:N84" si="18">(C61*E61)-(M79*K79)</f>
        <v>0</v>
      </c>
      <c r="O79" s="1296">
        <f t="shared" ref="O79:O84" si="19">IF(N79=0,0,"Pièce /Mx")</f>
        <v>0</v>
      </c>
      <c r="P79" s="90"/>
      <c r="Q79" s="15"/>
      <c r="R79" s="8208" t="s">
        <v>1813</v>
      </c>
      <c r="S79" s="8208"/>
      <c r="T79" s="8208"/>
      <c r="U79" s="8208"/>
      <c r="V79" s="8208"/>
    </row>
    <row r="80" spans="2:22">
      <c r="B80" s="1256" t="s">
        <v>620</v>
      </c>
      <c r="C80" s="1286">
        <f t="shared" si="10"/>
        <v>100</v>
      </c>
      <c r="D80" s="1287" t="s">
        <v>1838</v>
      </c>
      <c r="E80" s="1288">
        <v>1.5</v>
      </c>
      <c r="F80" s="1289">
        <f t="shared" si="11"/>
        <v>1.05</v>
      </c>
      <c r="G80" s="1290">
        <f t="shared" si="12"/>
        <v>14.000000000000002</v>
      </c>
      <c r="H80" s="1291">
        <f t="shared" si="13"/>
        <v>13</v>
      </c>
      <c r="I80" s="1292">
        <f t="shared" si="14"/>
        <v>0.35000000000000142</v>
      </c>
      <c r="J80" s="1293" t="str">
        <f t="shared" si="15"/>
        <v>Kg</v>
      </c>
      <c r="K80" s="1294">
        <v>20</v>
      </c>
      <c r="L80" s="1295">
        <f t="shared" si="16"/>
        <v>200</v>
      </c>
      <c r="M80" s="1291">
        <f t="shared" si="17"/>
        <v>10</v>
      </c>
      <c r="N80" s="1292">
        <f t="shared" si="18"/>
        <v>0</v>
      </c>
      <c r="O80" s="1296">
        <f t="shared" si="19"/>
        <v>0</v>
      </c>
      <c r="P80" s="90"/>
      <c r="Q80" s="15"/>
      <c r="R80" s="15"/>
      <c r="S80" s="15"/>
      <c r="T80" s="15"/>
      <c r="U80" s="15"/>
      <c r="V80" s="15"/>
    </row>
    <row r="81" spans="2:22">
      <c r="B81" s="1266" t="s">
        <v>337</v>
      </c>
      <c r="C81" s="1286">
        <f t="shared" si="10"/>
        <v>100</v>
      </c>
      <c r="D81" s="1287" t="s">
        <v>1838</v>
      </c>
      <c r="E81" s="1288">
        <v>1.5</v>
      </c>
      <c r="F81" s="1289">
        <f t="shared" si="11"/>
        <v>1.05</v>
      </c>
      <c r="G81" s="1290">
        <f t="shared" si="12"/>
        <v>27.500000000000004</v>
      </c>
      <c r="H81" s="1291">
        <f t="shared" si="13"/>
        <v>26</v>
      </c>
      <c r="I81" s="1292">
        <f t="shared" si="14"/>
        <v>0.20000000000000284</v>
      </c>
      <c r="J81" s="1293" t="str">
        <f t="shared" si="15"/>
        <v>Kg</v>
      </c>
      <c r="K81" s="1294">
        <v>20</v>
      </c>
      <c r="L81" s="1295">
        <f t="shared" si="16"/>
        <v>250</v>
      </c>
      <c r="M81" s="1291">
        <f t="shared" si="17"/>
        <v>12</v>
      </c>
      <c r="N81" s="1292">
        <f t="shared" si="18"/>
        <v>10</v>
      </c>
      <c r="O81" s="1296" t="str">
        <f t="shared" si="19"/>
        <v>Pièce /Mx</v>
      </c>
      <c r="P81" s="90"/>
      <c r="Q81" s="15"/>
      <c r="R81" s="1265" t="s">
        <v>1822</v>
      </c>
      <c r="S81" s="15"/>
      <c r="T81" s="15"/>
      <c r="U81" s="15"/>
      <c r="V81" s="15"/>
    </row>
    <row r="82" spans="2:22">
      <c r="B82" s="1256" t="s">
        <v>1318</v>
      </c>
      <c r="C82" s="1286">
        <f t="shared" si="10"/>
        <v>100</v>
      </c>
      <c r="D82" s="1287" t="s">
        <v>1838</v>
      </c>
      <c r="E82" s="1288">
        <v>1.5</v>
      </c>
      <c r="F82" s="1289">
        <f t="shared" si="11"/>
        <v>1.05</v>
      </c>
      <c r="G82" s="1290">
        <f t="shared" si="12"/>
        <v>36.299999999999997</v>
      </c>
      <c r="H82" s="1291">
        <f t="shared" si="13"/>
        <v>34</v>
      </c>
      <c r="I82" s="1292">
        <f t="shared" si="14"/>
        <v>0.59999999999999432</v>
      </c>
      <c r="J82" s="1293" t="str">
        <f t="shared" si="15"/>
        <v>Kg</v>
      </c>
      <c r="K82" s="1294">
        <v>20</v>
      </c>
      <c r="L82" s="1295">
        <f t="shared" si="16"/>
        <v>300</v>
      </c>
      <c r="M82" s="1291">
        <f t="shared" si="17"/>
        <v>15</v>
      </c>
      <c r="N82" s="1292">
        <f t="shared" si="18"/>
        <v>0</v>
      </c>
      <c r="O82" s="1296">
        <f t="shared" si="19"/>
        <v>0</v>
      </c>
      <c r="P82" s="90"/>
      <c r="Q82" s="15"/>
      <c r="R82" s="15"/>
      <c r="S82" s="15"/>
      <c r="T82" s="15"/>
      <c r="U82" s="15"/>
      <c r="V82" s="15"/>
    </row>
    <row r="83" spans="2:22">
      <c r="B83" s="1256" t="s">
        <v>1319</v>
      </c>
      <c r="C83" s="1297">
        <f t="shared" si="10"/>
        <v>8</v>
      </c>
      <c r="D83" s="1287" t="s">
        <v>1838</v>
      </c>
      <c r="E83" s="1288">
        <v>1.5</v>
      </c>
      <c r="F83" s="1289">
        <f t="shared" si="11"/>
        <v>1.05</v>
      </c>
      <c r="G83" s="1290">
        <f t="shared" si="12"/>
        <v>2</v>
      </c>
      <c r="H83" s="1291">
        <f t="shared" si="13"/>
        <v>1</v>
      </c>
      <c r="I83" s="1292">
        <f t="shared" si="14"/>
        <v>0.95</v>
      </c>
      <c r="J83" s="1293" t="str">
        <f t="shared" si="15"/>
        <v>Kg</v>
      </c>
      <c r="K83" s="1294">
        <v>20</v>
      </c>
      <c r="L83" s="1295">
        <f t="shared" si="16"/>
        <v>20</v>
      </c>
      <c r="M83" s="1291">
        <f t="shared" si="17"/>
        <v>1</v>
      </c>
      <c r="N83" s="1292">
        <f t="shared" si="18"/>
        <v>0</v>
      </c>
      <c r="O83" s="1296">
        <f t="shared" si="19"/>
        <v>0</v>
      </c>
      <c r="P83" s="90"/>
      <c r="Q83" s="15"/>
      <c r="R83" s="15"/>
      <c r="S83" s="15"/>
      <c r="T83" s="15"/>
      <c r="U83" s="15"/>
      <c r="V83" s="15"/>
    </row>
    <row r="84" spans="2:22">
      <c r="B84" s="1298" t="s">
        <v>1825</v>
      </c>
      <c r="C84" s="1299">
        <f t="shared" si="10"/>
        <v>4</v>
      </c>
      <c r="D84" s="1300" t="s">
        <v>1838</v>
      </c>
      <c r="E84" s="1301">
        <v>1.5</v>
      </c>
      <c r="F84" s="1302">
        <f t="shared" si="11"/>
        <v>1.05</v>
      </c>
      <c r="G84" s="1303">
        <f t="shared" si="12"/>
        <v>0.56000000000000005</v>
      </c>
      <c r="H84" s="1304">
        <f t="shared" si="13"/>
        <v>0</v>
      </c>
      <c r="I84" s="1305">
        <f t="shared" si="14"/>
        <v>0.56000000000000005</v>
      </c>
      <c r="J84" s="1306" t="str">
        <f t="shared" si="15"/>
        <v>Kg</v>
      </c>
      <c r="K84" s="1307">
        <v>20</v>
      </c>
      <c r="L84" s="1308">
        <f t="shared" si="16"/>
        <v>8</v>
      </c>
      <c r="M84" s="1304">
        <f t="shared" si="17"/>
        <v>0</v>
      </c>
      <c r="N84" s="1305">
        <f t="shared" si="18"/>
        <v>8</v>
      </c>
      <c r="O84" s="1309" t="str">
        <f t="shared" si="19"/>
        <v>Pièce /Mx</v>
      </c>
      <c r="P84" s="90"/>
      <c r="Q84" s="15"/>
      <c r="R84" s="15"/>
      <c r="S84" s="15"/>
      <c r="T84" s="15"/>
      <c r="U84" s="15"/>
      <c r="V84" s="15"/>
    </row>
    <row r="85" spans="2:22">
      <c r="B85" s="8287" t="s">
        <v>1839</v>
      </c>
      <c r="C85" s="8288"/>
      <c r="D85" s="8288"/>
      <c r="E85" s="8288"/>
      <c r="F85" s="8288"/>
      <c r="G85" s="8288"/>
      <c r="H85" s="8288"/>
      <c r="I85" s="8288"/>
      <c r="J85" s="8288"/>
      <c r="K85" s="8288"/>
      <c r="L85" s="8288"/>
      <c r="M85" s="8288"/>
      <c r="N85" s="8288"/>
      <c r="O85" s="8289"/>
      <c r="P85" s="90"/>
      <c r="Q85" s="15"/>
      <c r="R85" s="15"/>
      <c r="S85" s="15"/>
      <c r="T85" s="15"/>
      <c r="U85" s="15"/>
      <c r="V85" s="15"/>
    </row>
    <row r="86" spans="2:22">
      <c r="B86" s="8210" t="s">
        <v>1827</v>
      </c>
      <c r="C86" s="8212">
        <f>SUM(C79:C84)</f>
        <v>412</v>
      </c>
      <c r="D86" s="1277"/>
      <c r="E86" s="1277"/>
      <c r="F86" s="8290">
        <f>SUM(G79:G84)</f>
        <v>86.36</v>
      </c>
      <c r="G86" s="8291" t="str">
        <f>+J79</f>
        <v>Kg</v>
      </c>
      <c r="H86" s="8183">
        <f>SUM(H79:H84)</f>
        <v>75</v>
      </c>
      <c r="I86" s="8185">
        <f>SUM(I79:I84)</f>
        <v>5.1599999999999984</v>
      </c>
      <c r="J86" s="8266" t="str">
        <f>IF(I86=0,0,"Kg")</f>
        <v>Kg</v>
      </c>
      <c r="K86" s="1277"/>
      <c r="L86" s="8212">
        <f>SUM(L79:L84)</f>
        <v>898</v>
      </c>
      <c r="M86" s="8183">
        <f>SUM(M79:M84)</f>
        <v>48</v>
      </c>
      <c r="N86" s="8185">
        <f>SUM(N79:N84)</f>
        <v>18</v>
      </c>
      <c r="O86" s="8278" t="str">
        <f>IF(N86=0,0,"Pièce /Mx")</f>
        <v>Pièce /Mx</v>
      </c>
      <c r="P86" s="90"/>
      <c r="Q86" s="15"/>
      <c r="R86" s="15"/>
      <c r="S86" s="15"/>
      <c r="T86" s="15"/>
      <c r="U86" s="15"/>
      <c r="V86" s="15"/>
    </row>
    <row r="87" spans="2:22">
      <c r="B87" s="8210"/>
      <c r="C87" s="8212"/>
      <c r="D87" s="1277"/>
      <c r="E87" s="1277"/>
      <c r="F87" s="8290"/>
      <c r="G87" s="8291"/>
      <c r="H87" s="8183"/>
      <c r="I87" s="8185"/>
      <c r="J87" s="8266"/>
      <c r="K87" s="1277"/>
      <c r="L87" s="8212"/>
      <c r="M87" s="8183"/>
      <c r="N87" s="8185"/>
      <c r="O87" s="8278"/>
      <c r="P87" s="90"/>
      <c r="Q87" s="15"/>
      <c r="R87" s="15"/>
      <c r="S87" s="15"/>
      <c r="T87" s="15"/>
      <c r="U87" s="15"/>
      <c r="V87" s="15"/>
    </row>
    <row r="88" spans="2:22">
      <c r="B88" s="1310"/>
      <c r="C88" s="1311"/>
      <c r="D88" s="1311"/>
      <c r="E88" s="1311"/>
      <c r="F88" s="1311"/>
      <c r="G88" s="1311"/>
      <c r="H88" s="1311"/>
      <c r="I88" s="1311"/>
      <c r="J88" s="1311"/>
      <c r="K88" s="1311"/>
      <c r="L88" s="1311"/>
      <c r="M88" s="1311"/>
      <c r="N88" s="1311"/>
      <c r="O88" s="1312"/>
      <c r="P88" s="90"/>
      <c r="Q88" s="15"/>
      <c r="R88" s="15"/>
      <c r="S88" s="15"/>
      <c r="T88" s="15"/>
      <c r="U88" s="15"/>
      <c r="V88" s="15"/>
    </row>
    <row r="89" spans="2:22">
      <c r="B89" s="8279" t="s">
        <v>1840</v>
      </c>
      <c r="C89" s="8280"/>
      <c r="D89" s="8280"/>
      <c r="E89" s="8280"/>
      <c r="F89" s="1313"/>
      <c r="G89" s="8283" t="s">
        <v>1841</v>
      </c>
      <c r="H89" s="8283"/>
      <c r="I89" s="8285">
        <v>0.15</v>
      </c>
      <c r="J89" s="8285"/>
      <c r="K89" s="1314"/>
      <c r="L89" s="1314"/>
      <c r="M89" s="1314"/>
      <c r="N89" s="1314"/>
      <c r="O89" s="1315"/>
      <c r="P89" s="90"/>
      <c r="Q89" s="15"/>
      <c r="R89" s="15"/>
      <c r="S89" s="15"/>
      <c r="T89" s="15"/>
      <c r="U89" s="15"/>
      <c r="V89" s="15"/>
    </row>
    <row r="90" spans="2:22">
      <c r="B90" s="8281"/>
      <c r="C90" s="8282"/>
      <c r="D90" s="8282"/>
      <c r="E90" s="8282"/>
      <c r="F90" s="1316"/>
      <c r="G90" s="8284"/>
      <c r="H90" s="8284"/>
      <c r="I90" s="8286"/>
      <c r="J90" s="8286"/>
      <c r="K90" s="1317"/>
      <c r="L90" s="1317"/>
      <c r="M90" s="1317"/>
      <c r="N90" s="1317"/>
      <c r="O90" s="1318"/>
      <c r="P90" s="90"/>
      <c r="Q90" s="15"/>
      <c r="R90" s="15"/>
      <c r="S90" s="15"/>
      <c r="T90" s="15"/>
      <c r="U90" s="15"/>
      <c r="V90" s="15"/>
    </row>
    <row r="91" spans="2:22">
      <c r="B91" s="8255" t="s">
        <v>242</v>
      </c>
      <c r="C91" s="8257" t="s">
        <v>1801</v>
      </c>
      <c r="D91" s="8259" t="s">
        <v>1815</v>
      </c>
      <c r="E91" s="8263" t="s">
        <v>1817</v>
      </c>
      <c r="F91" s="8239" t="s">
        <v>1818</v>
      </c>
      <c r="G91" s="8239"/>
      <c r="H91" s="8239" t="s">
        <v>1842</v>
      </c>
      <c r="I91" s="8239" t="s">
        <v>1843</v>
      </c>
      <c r="J91" s="8239"/>
      <c r="K91" s="8239" t="s">
        <v>1820</v>
      </c>
      <c r="L91" s="8241"/>
      <c r="M91" s="1319" t="s">
        <v>1821</v>
      </c>
      <c r="N91" s="1251"/>
      <c r="O91" s="1252"/>
      <c r="P91" s="90"/>
      <c r="Q91" s="15"/>
      <c r="R91" s="15"/>
      <c r="S91" s="15"/>
      <c r="T91" s="15"/>
      <c r="U91" s="15"/>
      <c r="V91" s="15"/>
    </row>
    <row r="92" spans="2:22" ht="15.75">
      <c r="B92" s="8256"/>
      <c r="C92" s="8258"/>
      <c r="D92" s="8277"/>
      <c r="E92" s="8264"/>
      <c r="F92" s="8240"/>
      <c r="G92" s="8240"/>
      <c r="H92" s="8240"/>
      <c r="I92" s="8240"/>
      <c r="J92" s="8240"/>
      <c r="K92" s="8242"/>
      <c r="L92" s="8243"/>
      <c r="M92" s="8244"/>
      <c r="N92" s="8245"/>
      <c r="O92" s="8246"/>
      <c r="P92" s="90"/>
      <c r="Q92" s="15"/>
      <c r="R92" s="8208" t="s">
        <v>1813</v>
      </c>
      <c r="S92" s="8208"/>
      <c r="T92" s="8208"/>
      <c r="U92" s="8208"/>
      <c r="V92" s="8208"/>
    </row>
    <row r="93" spans="2:22">
      <c r="B93" s="1256" t="s">
        <v>537</v>
      </c>
      <c r="C93" s="1320">
        <f t="shared" ref="C93:C98" si="20">C61</f>
        <v>100</v>
      </c>
      <c r="D93" s="1321">
        <v>0.03</v>
      </c>
      <c r="E93" s="1260">
        <v>2</v>
      </c>
      <c r="F93" s="1261">
        <f t="shared" ref="F93:F98" si="21">IF(C93=0,0,(D93/(100-E93)*100))</f>
        <v>3.0612244897959183E-2</v>
      </c>
      <c r="G93" s="1262" t="s">
        <v>43</v>
      </c>
      <c r="H93" s="1322">
        <f>I89/D93</f>
        <v>5</v>
      </c>
      <c r="I93" s="1323">
        <f t="shared" ref="I93:I98" si="22">D93*C93</f>
        <v>3</v>
      </c>
      <c r="J93" s="1262" t="s">
        <v>43</v>
      </c>
      <c r="K93" s="1324">
        <f t="shared" ref="K93:K98" si="23">F93*C93</f>
        <v>3.0612244897959182</v>
      </c>
      <c r="L93" s="1262" t="s">
        <v>43</v>
      </c>
      <c r="M93" s="8244"/>
      <c r="N93" s="8245"/>
      <c r="O93" s="8246"/>
      <c r="P93" s="90"/>
      <c r="Q93" s="15"/>
      <c r="R93" s="15"/>
      <c r="S93" s="15"/>
      <c r="T93" s="15"/>
      <c r="U93" s="15"/>
      <c r="V93" s="15"/>
    </row>
    <row r="94" spans="2:22">
      <c r="B94" s="1256" t="s">
        <v>620</v>
      </c>
      <c r="C94" s="1320">
        <f t="shared" si="20"/>
        <v>100</v>
      </c>
      <c r="D94" s="1321">
        <v>0.04</v>
      </c>
      <c r="E94" s="1260">
        <v>2</v>
      </c>
      <c r="F94" s="1261">
        <f t="shared" si="21"/>
        <v>4.0816326530612249E-2</v>
      </c>
      <c r="G94" s="1262" t="s">
        <v>43</v>
      </c>
      <c r="H94" s="1322">
        <f>I89/D94</f>
        <v>3.75</v>
      </c>
      <c r="I94" s="1323">
        <f t="shared" si="22"/>
        <v>4</v>
      </c>
      <c r="J94" s="1262" t="s">
        <v>43</v>
      </c>
      <c r="K94" s="1324">
        <f t="shared" si="23"/>
        <v>4.0816326530612246</v>
      </c>
      <c r="L94" s="1262" t="s">
        <v>43</v>
      </c>
      <c r="M94" s="8244"/>
      <c r="N94" s="8245"/>
      <c r="O94" s="8246"/>
      <c r="P94" s="90"/>
      <c r="Q94" s="15"/>
      <c r="R94" s="15"/>
      <c r="S94" s="15"/>
      <c r="T94" s="15"/>
      <c r="U94" s="15"/>
      <c r="V94" s="15"/>
    </row>
    <row r="95" spans="2:22">
      <c r="B95" s="1266" t="s">
        <v>337</v>
      </c>
      <c r="C95" s="1320">
        <f t="shared" si="20"/>
        <v>100</v>
      </c>
      <c r="D95" s="1321">
        <v>0.06</v>
      </c>
      <c r="E95" s="1260">
        <v>2</v>
      </c>
      <c r="F95" s="1261">
        <f t="shared" si="21"/>
        <v>6.1224489795918366E-2</v>
      </c>
      <c r="G95" s="1262" t="s">
        <v>43</v>
      </c>
      <c r="H95" s="1322">
        <f>I89/D95</f>
        <v>2.5</v>
      </c>
      <c r="I95" s="1323">
        <f t="shared" si="22"/>
        <v>6</v>
      </c>
      <c r="J95" s="1262" t="s">
        <v>43</v>
      </c>
      <c r="K95" s="1324">
        <f t="shared" si="23"/>
        <v>6.1224489795918364</v>
      </c>
      <c r="L95" s="1262" t="s">
        <v>43</v>
      </c>
      <c r="M95" s="8244"/>
      <c r="N95" s="8245"/>
      <c r="O95" s="8246"/>
      <c r="P95" s="90"/>
      <c r="Q95" s="15"/>
      <c r="R95" s="15"/>
      <c r="S95" s="15"/>
      <c r="T95" s="15"/>
      <c r="U95" s="15"/>
      <c r="V95" s="15"/>
    </row>
    <row r="96" spans="2:22">
      <c r="B96" s="1256" t="s">
        <v>1318</v>
      </c>
      <c r="C96" s="1320">
        <f t="shared" si="20"/>
        <v>100</v>
      </c>
      <c r="D96" s="1321">
        <v>7.0000000000000007E-2</v>
      </c>
      <c r="E96" s="1260">
        <v>2</v>
      </c>
      <c r="F96" s="1261">
        <f t="shared" si="21"/>
        <v>7.1428571428571438E-2</v>
      </c>
      <c r="G96" s="1262" t="s">
        <v>43</v>
      </c>
      <c r="H96" s="1322">
        <f>I89/D96</f>
        <v>2.1428571428571428</v>
      </c>
      <c r="I96" s="1323">
        <f t="shared" si="22"/>
        <v>7.0000000000000009</v>
      </c>
      <c r="J96" s="1262" t="s">
        <v>43</v>
      </c>
      <c r="K96" s="1324">
        <f t="shared" si="23"/>
        <v>7.1428571428571441</v>
      </c>
      <c r="L96" s="1262" t="s">
        <v>43</v>
      </c>
      <c r="M96" s="8244"/>
      <c r="N96" s="8245"/>
      <c r="O96" s="8246"/>
      <c r="P96" s="90"/>
      <c r="Q96" s="15"/>
      <c r="R96" s="1265" t="s">
        <v>1822</v>
      </c>
      <c r="S96" s="15"/>
      <c r="T96" s="15"/>
      <c r="U96" s="15"/>
      <c r="V96" s="15"/>
    </row>
    <row r="97" spans="2:22">
      <c r="B97" s="1256" t="s">
        <v>1319</v>
      </c>
      <c r="C97" s="1320">
        <f t="shared" si="20"/>
        <v>8</v>
      </c>
      <c r="D97" s="1321">
        <v>0.06</v>
      </c>
      <c r="E97" s="1260">
        <v>2</v>
      </c>
      <c r="F97" s="1261">
        <f t="shared" si="21"/>
        <v>6.1224489795918366E-2</v>
      </c>
      <c r="G97" s="1262" t="s">
        <v>43</v>
      </c>
      <c r="H97" s="1322">
        <f>I89/D97</f>
        <v>2.5</v>
      </c>
      <c r="I97" s="1323">
        <f t="shared" si="22"/>
        <v>0.48</v>
      </c>
      <c r="J97" s="1262" t="s">
        <v>43</v>
      </c>
      <c r="K97" s="1324">
        <f t="shared" si="23"/>
        <v>0.48979591836734693</v>
      </c>
      <c r="L97" s="1262" t="s">
        <v>43</v>
      </c>
      <c r="M97" s="8244"/>
      <c r="N97" s="8245"/>
      <c r="O97" s="8246"/>
      <c r="P97" s="90"/>
      <c r="Q97" s="15"/>
      <c r="R97" s="15"/>
      <c r="S97" s="15"/>
      <c r="T97" s="15"/>
      <c r="U97" s="15"/>
      <c r="V97" s="15"/>
    </row>
    <row r="98" spans="2:22">
      <c r="B98" s="1298" t="s">
        <v>1825</v>
      </c>
      <c r="C98" s="1325">
        <f t="shared" si="20"/>
        <v>4</v>
      </c>
      <c r="D98" s="1326">
        <v>0.05</v>
      </c>
      <c r="E98" s="1327">
        <v>2</v>
      </c>
      <c r="F98" s="1328">
        <f t="shared" si="21"/>
        <v>5.1020408163265307E-2</v>
      </c>
      <c r="G98" s="1329" t="s">
        <v>43</v>
      </c>
      <c r="H98" s="1330">
        <f>I89/D98</f>
        <v>2.9999999999999996</v>
      </c>
      <c r="I98" s="1331">
        <f t="shared" si="22"/>
        <v>0.2</v>
      </c>
      <c r="J98" s="1329" t="s">
        <v>43</v>
      </c>
      <c r="K98" s="1332">
        <f t="shared" si="23"/>
        <v>0.20408163265306123</v>
      </c>
      <c r="L98" s="1329" t="s">
        <v>43</v>
      </c>
      <c r="M98" s="8268"/>
      <c r="N98" s="8269"/>
      <c r="O98" s="8270"/>
      <c r="P98" s="90"/>
      <c r="Q98" s="15"/>
      <c r="R98" s="15"/>
      <c r="S98" s="15"/>
      <c r="T98" s="15"/>
      <c r="U98" s="15"/>
      <c r="V98" s="15"/>
    </row>
    <row r="99" spans="2:22" ht="20.25">
      <c r="B99" s="1333" t="s">
        <v>1827</v>
      </c>
      <c r="C99" s="1334">
        <f>SUM(C93:C98)</f>
        <v>412</v>
      </c>
      <c r="D99" s="1335"/>
      <c r="E99" s="1335"/>
      <c r="F99" s="1336"/>
      <c r="G99" s="1336"/>
      <c r="H99" s="1336"/>
      <c r="I99" s="1337">
        <f>SUM(I93:I98)</f>
        <v>20.68</v>
      </c>
      <c r="J99" s="1337" t="s">
        <v>43</v>
      </c>
      <c r="K99" s="1338">
        <f>SUM(K93:K98)</f>
        <v>21.102040816326529</v>
      </c>
      <c r="L99" s="1338" t="s">
        <v>43</v>
      </c>
      <c r="M99" s="1339"/>
      <c r="N99" s="1339"/>
      <c r="O99" s="1340"/>
      <c r="P99" s="90"/>
      <c r="Q99" s="15"/>
      <c r="R99" s="15"/>
      <c r="S99" s="15"/>
      <c r="T99" s="15"/>
      <c r="U99" s="15"/>
      <c r="V99" s="15"/>
    </row>
    <row r="100" spans="2:22">
      <c r="B100" s="8218" t="s">
        <v>1844</v>
      </c>
      <c r="C100" s="8219"/>
      <c r="D100" s="8219"/>
      <c r="E100" s="8219"/>
      <c r="F100" s="8219"/>
      <c r="G100" s="8219"/>
      <c r="H100" s="8219"/>
      <c r="I100" s="8219"/>
      <c r="J100" s="8219"/>
      <c r="K100" s="8219"/>
      <c r="L100" s="8219"/>
      <c r="M100" s="8219"/>
      <c r="N100" s="8219"/>
      <c r="O100" s="8220"/>
      <c r="P100" s="90"/>
      <c r="Q100" s="15"/>
      <c r="R100" s="15"/>
      <c r="S100" s="15"/>
      <c r="T100" s="15"/>
      <c r="U100" s="15"/>
      <c r="V100" s="15"/>
    </row>
    <row r="101" spans="2:22">
      <c r="B101" s="8221"/>
      <c r="C101" s="8222"/>
      <c r="D101" s="8222"/>
      <c r="E101" s="8222"/>
      <c r="F101" s="8222"/>
      <c r="G101" s="8222"/>
      <c r="H101" s="8222"/>
      <c r="I101" s="8222"/>
      <c r="J101" s="8222"/>
      <c r="K101" s="8222"/>
      <c r="L101" s="8222"/>
      <c r="M101" s="8222"/>
      <c r="N101" s="8222"/>
      <c r="O101" s="8223"/>
      <c r="P101" s="90"/>
      <c r="Q101" s="15"/>
      <c r="R101" s="15"/>
      <c r="S101" s="15"/>
      <c r="T101" s="15"/>
      <c r="U101" s="15"/>
      <c r="V101" s="15"/>
    </row>
    <row r="102" spans="2:22">
      <c r="B102" s="8271" t="s">
        <v>1829</v>
      </c>
      <c r="C102" s="8273" t="s">
        <v>1801</v>
      </c>
      <c r="D102" s="8274" t="s">
        <v>1830</v>
      </c>
      <c r="E102" s="8275" t="s">
        <v>1845</v>
      </c>
      <c r="F102" s="8276" t="s">
        <v>1832</v>
      </c>
      <c r="G102" s="8267" t="s">
        <v>1833</v>
      </c>
      <c r="H102" s="8199" t="s">
        <v>1834</v>
      </c>
      <c r="I102" s="8200"/>
      <c r="J102" s="8200"/>
      <c r="K102" s="8193" t="s">
        <v>1846</v>
      </c>
      <c r="L102" s="8196" t="s">
        <v>1847</v>
      </c>
      <c r="M102" s="8199" t="s">
        <v>1848</v>
      </c>
      <c r="N102" s="8200"/>
      <c r="O102" s="8201"/>
      <c r="P102" s="90"/>
      <c r="Q102" s="15"/>
      <c r="R102" s="1285" t="s">
        <v>1829</v>
      </c>
      <c r="S102" s="15"/>
      <c r="T102" s="15"/>
      <c r="U102" s="15"/>
      <c r="V102" s="15"/>
    </row>
    <row r="103" spans="2:22">
      <c r="B103" s="8224"/>
      <c r="C103" s="8226"/>
      <c r="D103" s="8228"/>
      <c r="E103" s="8230"/>
      <c r="F103" s="8232"/>
      <c r="G103" s="8234"/>
      <c r="H103" s="8202"/>
      <c r="I103" s="8203"/>
      <c r="J103" s="8203"/>
      <c r="K103" s="8194"/>
      <c r="L103" s="8197"/>
      <c r="M103" s="8202"/>
      <c r="N103" s="8203"/>
      <c r="O103" s="8204"/>
      <c r="P103" s="90"/>
      <c r="Q103" s="15"/>
      <c r="R103" s="15"/>
      <c r="S103" s="15"/>
      <c r="T103" s="15"/>
      <c r="U103" s="15"/>
      <c r="V103" s="15"/>
    </row>
    <row r="104" spans="2:22">
      <c r="B104" s="8224"/>
      <c r="C104" s="8226"/>
      <c r="D104" s="8228"/>
      <c r="E104" s="8230"/>
      <c r="F104" s="8232"/>
      <c r="G104" s="8234"/>
      <c r="H104" s="8202"/>
      <c r="I104" s="8203"/>
      <c r="J104" s="8203"/>
      <c r="K104" s="8194"/>
      <c r="L104" s="8197"/>
      <c r="M104" s="8202"/>
      <c r="N104" s="8203"/>
      <c r="O104" s="8204"/>
      <c r="P104" s="90"/>
      <c r="Q104" s="15"/>
      <c r="R104" s="15"/>
      <c r="S104" s="15"/>
      <c r="T104" s="15"/>
      <c r="U104" s="15"/>
      <c r="V104" s="15"/>
    </row>
    <row r="105" spans="2:22">
      <c r="B105" s="8272"/>
      <c r="C105" s="8227"/>
      <c r="D105" s="8229"/>
      <c r="E105" s="8231"/>
      <c r="F105" s="8233"/>
      <c r="G105" s="8235"/>
      <c r="H105" s="8205"/>
      <c r="I105" s="8206"/>
      <c r="J105" s="8206"/>
      <c r="K105" s="8195"/>
      <c r="L105" s="8198"/>
      <c r="M105" s="8205"/>
      <c r="N105" s="8206"/>
      <c r="O105" s="8207"/>
      <c r="P105" s="90"/>
      <c r="Q105" s="15"/>
      <c r="R105" s="15"/>
      <c r="S105" s="15"/>
      <c r="T105" s="15"/>
      <c r="U105" s="15"/>
      <c r="V105" s="15"/>
    </row>
    <row r="106" spans="2:22" ht="15.75">
      <c r="B106" s="1256" t="s">
        <v>537</v>
      </c>
      <c r="C106" s="1320">
        <f t="shared" ref="C106:C111" si="24">C93</f>
        <v>100</v>
      </c>
      <c r="D106" s="1287" t="s">
        <v>1838</v>
      </c>
      <c r="E106" s="1288">
        <v>2.5</v>
      </c>
      <c r="F106" s="1289">
        <f t="shared" ref="F106:F111" si="25">IF(C106=0,0,E106-(E106*E93%))</f>
        <v>2.4500000000000002</v>
      </c>
      <c r="G106" s="1341">
        <f t="shared" ref="G106:G111" si="26">I93</f>
        <v>3</v>
      </c>
      <c r="H106" s="1291">
        <f t="shared" ref="H106:H111" si="27">IF(I93=0,0,INT(I93/F106))</f>
        <v>1</v>
      </c>
      <c r="I106" s="1292">
        <f t="shared" ref="I106:I111" si="28">I93-(F106*H106)</f>
        <v>0.54999999999999982</v>
      </c>
      <c r="J106" s="1293" t="str">
        <f t="shared" ref="J106:J112" si="29">IF(I106=0,0,"Kg")</f>
        <v>Kg</v>
      </c>
      <c r="K106" s="1294">
        <v>12</v>
      </c>
      <c r="L106" s="1342">
        <f t="shared" ref="L106:L111" si="30">C93/H93</f>
        <v>20</v>
      </c>
      <c r="M106" s="1291">
        <f t="shared" ref="M106:M111" si="31">IF(C93=0,0,INT(L106/K106))</f>
        <v>1</v>
      </c>
      <c r="N106" s="1292">
        <f t="shared" ref="N106:N111" si="32">(C93/H93)-(M106*K106)</f>
        <v>8</v>
      </c>
      <c r="O106" s="1296" t="str">
        <f t="shared" ref="O106:O112" si="33">IF(N106=0,0,"Louches")</f>
        <v>Louches</v>
      </c>
      <c r="P106" s="90"/>
      <c r="Q106" s="15"/>
      <c r="R106" s="8208" t="s">
        <v>1813</v>
      </c>
      <c r="S106" s="8208"/>
      <c r="T106" s="8208"/>
      <c r="U106" s="8208"/>
      <c r="V106" s="8208"/>
    </row>
    <row r="107" spans="2:22">
      <c r="B107" s="1256" t="s">
        <v>620</v>
      </c>
      <c r="C107" s="1320">
        <f t="shared" si="24"/>
        <v>100</v>
      </c>
      <c r="D107" s="1287" t="s">
        <v>1838</v>
      </c>
      <c r="E107" s="1288">
        <v>2.5</v>
      </c>
      <c r="F107" s="1289">
        <f t="shared" si="25"/>
        <v>2.4500000000000002</v>
      </c>
      <c r="G107" s="1341">
        <f t="shared" si="26"/>
        <v>4</v>
      </c>
      <c r="H107" s="1291">
        <f t="shared" si="27"/>
        <v>1</v>
      </c>
      <c r="I107" s="1292">
        <f t="shared" si="28"/>
        <v>1.5499999999999998</v>
      </c>
      <c r="J107" s="1293" t="str">
        <f t="shared" si="29"/>
        <v>Kg</v>
      </c>
      <c r="K107" s="1294">
        <v>20</v>
      </c>
      <c r="L107" s="1342">
        <f t="shared" si="30"/>
        <v>26.666666666666668</v>
      </c>
      <c r="M107" s="1291">
        <f t="shared" si="31"/>
        <v>1</v>
      </c>
      <c r="N107" s="1292">
        <f t="shared" si="32"/>
        <v>6.6666666666666679</v>
      </c>
      <c r="O107" s="1296" t="str">
        <f t="shared" si="33"/>
        <v>Louches</v>
      </c>
      <c r="P107" s="90"/>
      <c r="Q107" s="15"/>
      <c r="R107" s="15"/>
      <c r="S107" s="15"/>
      <c r="T107" s="15"/>
      <c r="U107" s="15"/>
      <c r="V107" s="15"/>
    </row>
    <row r="108" spans="2:22">
      <c r="B108" s="1266" t="s">
        <v>337</v>
      </c>
      <c r="C108" s="1320">
        <f t="shared" si="24"/>
        <v>100</v>
      </c>
      <c r="D108" s="1287" t="s">
        <v>1838</v>
      </c>
      <c r="E108" s="1288">
        <v>2.5</v>
      </c>
      <c r="F108" s="1289">
        <f t="shared" si="25"/>
        <v>2.4500000000000002</v>
      </c>
      <c r="G108" s="1341">
        <f t="shared" si="26"/>
        <v>6</v>
      </c>
      <c r="H108" s="1291">
        <f t="shared" si="27"/>
        <v>2</v>
      </c>
      <c r="I108" s="1292">
        <f t="shared" si="28"/>
        <v>1.0999999999999996</v>
      </c>
      <c r="J108" s="1293" t="str">
        <f t="shared" si="29"/>
        <v>Kg</v>
      </c>
      <c r="K108" s="1294">
        <v>13</v>
      </c>
      <c r="L108" s="1342">
        <f t="shared" si="30"/>
        <v>40</v>
      </c>
      <c r="M108" s="1291">
        <f t="shared" si="31"/>
        <v>3</v>
      </c>
      <c r="N108" s="1292">
        <f t="shared" si="32"/>
        <v>1</v>
      </c>
      <c r="O108" s="1296" t="str">
        <f t="shared" si="33"/>
        <v>Louches</v>
      </c>
      <c r="P108" s="90"/>
      <c r="Q108" s="15"/>
      <c r="R108" s="15"/>
      <c r="S108" s="15"/>
      <c r="T108" s="15"/>
      <c r="U108" s="15"/>
      <c r="V108" s="15"/>
    </row>
    <row r="109" spans="2:22">
      <c r="B109" s="1256" t="s">
        <v>1318</v>
      </c>
      <c r="C109" s="1320">
        <f t="shared" si="24"/>
        <v>100</v>
      </c>
      <c r="D109" s="1287" t="s">
        <v>1838</v>
      </c>
      <c r="E109" s="1288">
        <v>2.5</v>
      </c>
      <c r="F109" s="1289">
        <f t="shared" si="25"/>
        <v>2.4500000000000002</v>
      </c>
      <c r="G109" s="1341">
        <f t="shared" si="26"/>
        <v>7.0000000000000009</v>
      </c>
      <c r="H109" s="1291">
        <f t="shared" si="27"/>
        <v>2</v>
      </c>
      <c r="I109" s="1292">
        <f t="shared" si="28"/>
        <v>2.1000000000000005</v>
      </c>
      <c r="J109" s="1293" t="str">
        <f t="shared" si="29"/>
        <v>Kg</v>
      </c>
      <c r="K109" s="1294">
        <v>20</v>
      </c>
      <c r="L109" s="1342">
        <f t="shared" si="30"/>
        <v>46.666666666666671</v>
      </c>
      <c r="M109" s="1291">
        <f t="shared" si="31"/>
        <v>2</v>
      </c>
      <c r="N109" s="1292">
        <f t="shared" si="32"/>
        <v>6.6666666666666714</v>
      </c>
      <c r="O109" s="1296" t="str">
        <f t="shared" si="33"/>
        <v>Louches</v>
      </c>
      <c r="P109" s="90"/>
      <c r="Q109" s="15"/>
      <c r="R109" s="1265" t="s">
        <v>1822</v>
      </c>
      <c r="S109" s="15"/>
      <c r="T109" s="15"/>
      <c r="U109" s="15"/>
      <c r="V109" s="15"/>
    </row>
    <row r="110" spans="2:22">
      <c r="B110" s="1256" t="s">
        <v>1319</v>
      </c>
      <c r="C110" s="1320">
        <f t="shared" si="24"/>
        <v>8</v>
      </c>
      <c r="D110" s="1287" t="s">
        <v>1838</v>
      </c>
      <c r="E110" s="1288">
        <v>2.5</v>
      </c>
      <c r="F110" s="1289">
        <f t="shared" si="25"/>
        <v>2.4500000000000002</v>
      </c>
      <c r="G110" s="1341">
        <f t="shared" si="26"/>
        <v>0.48</v>
      </c>
      <c r="H110" s="1291">
        <f t="shared" si="27"/>
        <v>0</v>
      </c>
      <c r="I110" s="1292">
        <f t="shared" si="28"/>
        <v>0.48</v>
      </c>
      <c r="J110" s="1293" t="str">
        <f t="shared" si="29"/>
        <v>Kg</v>
      </c>
      <c r="K110" s="1294">
        <v>7.5</v>
      </c>
      <c r="L110" s="1342">
        <f t="shared" si="30"/>
        <v>3.2</v>
      </c>
      <c r="M110" s="1291">
        <f t="shared" si="31"/>
        <v>0</v>
      </c>
      <c r="N110" s="1292">
        <f t="shared" si="32"/>
        <v>3.2</v>
      </c>
      <c r="O110" s="1296" t="str">
        <f t="shared" si="33"/>
        <v>Louches</v>
      </c>
      <c r="P110" s="90"/>
      <c r="Q110" s="15"/>
      <c r="R110" s="15"/>
      <c r="S110" s="15"/>
      <c r="T110" s="15"/>
      <c r="U110" s="15"/>
      <c r="V110" s="15"/>
    </row>
    <row r="111" spans="2:22">
      <c r="B111" s="1256" t="s">
        <v>1825</v>
      </c>
      <c r="C111" s="1320">
        <f t="shared" si="24"/>
        <v>4</v>
      </c>
      <c r="D111" s="1287" t="s">
        <v>1838</v>
      </c>
      <c r="E111" s="1288">
        <v>2.5</v>
      </c>
      <c r="F111" s="1289">
        <f t="shared" si="25"/>
        <v>2.4500000000000002</v>
      </c>
      <c r="G111" s="1341">
        <f t="shared" si="26"/>
        <v>0.2</v>
      </c>
      <c r="H111" s="1291">
        <f t="shared" si="27"/>
        <v>0</v>
      </c>
      <c r="I111" s="1292">
        <f t="shared" si="28"/>
        <v>0.2</v>
      </c>
      <c r="J111" s="1293" t="str">
        <f t="shared" si="29"/>
        <v>Kg</v>
      </c>
      <c r="K111" s="1294">
        <v>10</v>
      </c>
      <c r="L111" s="1342">
        <f t="shared" si="30"/>
        <v>1.3333333333333335</v>
      </c>
      <c r="M111" s="1291">
        <f t="shared" si="31"/>
        <v>0</v>
      </c>
      <c r="N111" s="1292">
        <f t="shared" si="32"/>
        <v>1.3333333333333335</v>
      </c>
      <c r="O111" s="1296" t="str">
        <f t="shared" si="33"/>
        <v>Louches</v>
      </c>
      <c r="P111" s="90"/>
      <c r="Q111" s="15"/>
      <c r="R111" s="15"/>
      <c r="S111" s="15"/>
      <c r="T111" s="15"/>
      <c r="U111" s="15"/>
      <c r="V111" s="15"/>
    </row>
    <row r="112" spans="2:22">
      <c r="B112" s="8209" t="s">
        <v>1827</v>
      </c>
      <c r="C112" s="8211">
        <f>SUM(C106:C111)</f>
        <v>412</v>
      </c>
      <c r="D112" s="1343"/>
      <c r="E112" s="1343"/>
      <c r="F112" s="1343"/>
      <c r="G112" s="8180">
        <f>SUM(G106:G111)</f>
        <v>20.68</v>
      </c>
      <c r="H112" s="8182">
        <f>SUM(H106:H111)</f>
        <v>6</v>
      </c>
      <c r="I112" s="8184">
        <f>SUM(I106:I111)</f>
        <v>5.9799999999999995</v>
      </c>
      <c r="J112" s="8265" t="str">
        <f t="shared" si="29"/>
        <v>Kg</v>
      </c>
      <c r="K112" s="1343"/>
      <c r="L112" s="8180">
        <f>SUM(L106:L111)</f>
        <v>137.86666666666667</v>
      </c>
      <c r="M112" s="8182">
        <f>SUM(M106:M111)</f>
        <v>7</v>
      </c>
      <c r="N112" s="8184">
        <f>SUM(N106:N111)</f>
        <v>26.866666666666671</v>
      </c>
      <c r="O112" s="8247" t="str">
        <f t="shared" si="33"/>
        <v>Louches</v>
      </c>
      <c r="P112" s="90"/>
      <c r="Q112" s="15"/>
      <c r="R112" s="15"/>
      <c r="S112" s="15"/>
      <c r="T112" s="15"/>
      <c r="U112" s="15"/>
      <c r="V112" s="15"/>
    </row>
    <row r="113" spans="2:22">
      <c r="B113" s="8210"/>
      <c r="C113" s="8212"/>
      <c r="D113" s="1277"/>
      <c r="E113" s="1277"/>
      <c r="F113" s="1277"/>
      <c r="G113" s="8181"/>
      <c r="H113" s="8183"/>
      <c r="I113" s="8185"/>
      <c r="J113" s="8266"/>
      <c r="K113" s="1277"/>
      <c r="L113" s="8181"/>
      <c r="M113" s="8183"/>
      <c r="N113" s="8185"/>
      <c r="O113" s="8248"/>
      <c r="P113" s="90"/>
      <c r="Q113" s="15"/>
      <c r="R113" s="15"/>
      <c r="S113" s="15"/>
      <c r="T113" s="15"/>
      <c r="U113" s="15"/>
      <c r="V113" s="15"/>
    </row>
    <row r="114" spans="2:22">
      <c r="B114" s="8249" t="s">
        <v>1849</v>
      </c>
      <c r="C114" s="8250"/>
      <c r="D114" s="8250"/>
      <c r="E114" s="8250"/>
      <c r="F114" s="8250"/>
      <c r="G114" s="8250"/>
      <c r="H114" s="8250"/>
      <c r="I114" s="8250"/>
      <c r="J114" s="8250"/>
      <c r="K114" s="8250"/>
      <c r="L114" s="8250"/>
      <c r="M114" s="8250"/>
      <c r="N114" s="8250"/>
      <c r="O114" s="8251"/>
      <c r="P114" s="90"/>
      <c r="Q114" s="15"/>
      <c r="R114" s="15"/>
      <c r="S114" s="15"/>
      <c r="T114" s="15"/>
      <c r="U114" s="15"/>
      <c r="V114" s="15"/>
    </row>
    <row r="115" spans="2:22">
      <c r="B115" s="8252"/>
      <c r="C115" s="8253"/>
      <c r="D115" s="8253"/>
      <c r="E115" s="8253"/>
      <c r="F115" s="8253"/>
      <c r="G115" s="8253"/>
      <c r="H115" s="8253"/>
      <c r="I115" s="8253"/>
      <c r="J115" s="8253"/>
      <c r="K115" s="8253"/>
      <c r="L115" s="8253"/>
      <c r="M115" s="8253"/>
      <c r="N115" s="8253"/>
      <c r="O115" s="8254"/>
      <c r="P115" s="90"/>
      <c r="Q115" s="15"/>
      <c r="R115" s="15"/>
      <c r="S115" s="15"/>
      <c r="T115" s="15"/>
      <c r="U115" s="15"/>
      <c r="V115" s="15"/>
    </row>
    <row r="116" spans="2:22">
      <c r="B116" s="8255" t="s">
        <v>242</v>
      </c>
      <c r="C116" s="8257" t="s">
        <v>1801</v>
      </c>
      <c r="D116" s="8259" t="s">
        <v>1815</v>
      </c>
      <c r="E116" s="8261" t="s">
        <v>1850</v>
      </c>
      <c r="F116" s="8263" t="s">
        <v>1817</v>
      </c>
      <c r="G116" s="8239" t="s">
        <v>1818</v>
      </c>
      <c r="H116" s="8239"/>
      <c r="I116" s="8239" t="s">
        <v>1843</v>
      </c>
      <c r="J116" s="8239"/>
      <c r="K116" s="8239" t="s">
        <v>1820</v>
      </c>
      <c r="L116" s="8241"/>
      <c r="M116" s="1319" t="s">
        <v>1821</v>
      </c>
      <c r="N116" s="1251"/>
      <c r="O116" s="1252"/>
      <c r="P116" s="90"/>
      <c r="Q116" s="15"/>
      <c r="R116" s="15"/>
      <c r="S116" s="15"/>
      <c r="T116" s="15"/>
      <c r="U116" s="15"/>
      <c r="V116" s="15"/>
    </row>
    <row r="117" spans="2:22">
      <c r="B117" s="8256"/>
      <c r="C117" s="8258"/>
      <c r="D117" s="8260"/>
      <c r="E117" s="8262"/>
      <c r="F117" s="8264"/>
      <c r="G117" s="8240"/>
      <c r="H117" s="8240"/>
      <c r="I117" s="8240"/>
      <c r="J117" s="8240"/>
      <c r="K117" s="8242"/>
      <c r="L117" s="8243"/>
      <c r="M117" s="8244"/>
      <c r="N117" s="8245"/>
      <c r="O117" s="8246"/>
      <c r="P117" s="90"/>
      <c r="Q117" s="15"/>
      <c r="R117" s="15"/>
      <c r="S117" s="15"/>
      <c r="T117" s="15"/>
      <c r="U117" s="15"/>
      <c r="V117" s="15"/>
    </row>
    <row r="118" spans="2:22" ht="15.75">
      <c r="B118" s="1256" t="s">
        <v>537</v>
      </c>
      <c r="C118" s="1320">
        <f t="shared" ref="C118:C123" si="34">C61</f>
        <v>100</v>
      </c>
      <c r="D118" s="1321">
        <v>0.04</v>
      </c>
      <c r="E118" s="1288">
        <v>1</v>
      </c>
      <c r="F118" s="1260">
        <v>5</v>
      </c>
      <c r="G118" s="8236">
        <f t="shared" ref="G118:G123" si="35">IF(C118=0,0,(D118*E118)/(100-F118)*100)</f>
        <v>4.2105263157894736E-2</v>
      </c>
      <c r="H118" s="8237"/>
      <c r="I118" s="8238">
        <f t="shared" ref="I118:I123" si="36">(D118*E118)*C118</f>
        <v>4</v>
      </c>
      <c r="J118" s="8238"/>
      <c r="K118" s="1344">
        <f t="shared" ref="K118:K123" si="37">G118*C118</f>
        <v>4.2105263157894735</v>
      </c>
      <c r="L118" s="1345"/>
      <c r="M118" s="8244"/>
      <c r="N118" s="8245"/>
      <c r="O118" s="8246"/>
      <c r="P118" s="90"/>
      <c r="Q118" s="15"/>
      <c r="R118" s="8208" t="s">
        <v>1813</v>
      </c>
      <c r="S118" s="8208"/>
      <c r="T118" s="8208"/>
      <c r="U118" s="8208"/>
      <c r="V118" s="8208"/>
    </row>
    <row r="119" spans="2:22">
      <c r="B119" s="1256" t="s">
        <v>620</v>
      </c>
      <c r="C119" s="1320">
        <f t="shared" si="34"/>
        <v>100</v>
      </c>
      <c r="D119" s="1321">
        <v>0.04</v>
      </c>
      <c r="E119" s="1288">
        <v>1</v>
      </c>
      <c r="F119" s="1260">
        <v>5</v>
      </c>
      <c r="G119" s="8236">
        <f t="shared" si="35"/>
        <v>4.2105263157894736E-2</v>
      </c>
      <c r="H119" s="8237"/>
      <c r="I119" s="8238">
        <f t="shared" si="36"/>
        <v>4</v>
      </c>
      <c r="J119" s="8238"/>
      <c r="K119" s="1344">
        <f t="shared" si="37"/>
        <v>4.2105263157894735</v>
      </c>
      <c r="L119" s="1345"/>
      <c r="M119" s="8244"/>
      <c r="N119" s="8245"/>
      <c r="O119" s="8246"/>
      <c r="P119" s="90"/>
      <c r="Q119" s="15"/>
      <c r="R119" s="15"/>
      <c r="S119" s="15"/>
      <c r="T119" s="15"/>
      <c r="U119" s="15"/>
      <c r="V119" s="15"/>
    </row>
    <row r="120" spans="2:22">
      <c r="B120" s="1266" t="s">
        <v>337</v>
      </c>
      <c r="C120" s="1320">
        <f t="shared" si="34"/>
        <v>100</v>
      </c>
      <c r="D120" s="1321">
        <v>0.1</v>
      </c>
      <c r="E120" s="1288">
        <v>1</v>
      </c>
      <c r="F120" s="1260">
        <v>5</v>
      </c>
      <c r="G120" s="8236">
        <f t="shared" si="35"/>
        <v>0.10526315789473684</v>
      </c>
      <c r="H120" s="8237"/>
      <c r="I120" s="8238">
        <f t="shared" si="36"/>
        <v>10</v>
      </c>
      <c r="J120" s="8238"/>
      <c r="K120" s="1344">
        <f t="shared" si="37"/>
        <v>10.526315789473683</v>
      </c>
      <c r="L120" s="1345"/>
      <c r="M120" s="8244"/>
      <c r="N120" s="8245"/>
      <c r="O120" s="8246"/>
      <c r="P120" s="90"/>
      <c r="Q120" s="15"/>
      <c r="R120" s="15"/>
      <c r="S120" s="15"/>
      <c r="T120" s="15"/>
      <c r="U120" s="15"/>
      <c r="V120" s="15"/>
    </row>
    <row r="121" spans="2:22">
      <c r="B121" s="1256" t="s">
        <v>1318</v>
      </c>
      <c r="C121" s="1320">
        <f t="shared" si="34"/>
        <v>100</v>
      </c>
      <c r="D121" s="1321">
        <v>0.09</v>
      </c>
      <c r="E121" s="1288">
        <v>1</v>
      </c>
      <c r="F121" s="1260">
        <v>5</v>
      </c>
      <c r="G121" s="8236">
        <f t="shared" si="35"/>
        <v>9.4736842105263147E-2</v>
      </c>
      <c r="H121" s="8237"/>
      <c r="I121" s="8238">
        <f t="shared" si="36"/>
        <v>9</v>
      </c>
      <c r="J121" s="8238"/>
      <c r="K121" s="1344">
        <f t="shared" si="37"/>
        <v>9.473684210526315</v>
      </c>
      <c r="L121" s="1345"/>
      <c r="M121" s="8244"/>
      <c r="N121" s="8245"/>
      <c r="O121" s="8246"/>
      <c r="P121" s="90"/>
      <c r="Q121" s="15"/>
      <c r="R121" s="1265" t="s">
        <v>1822</v>
      </c>
      <c r="S121" s="15"/>
      <c r="T121" s="15"/>
      <c r="U121" s="15"/>
      <c r="V121" s="15"/>
    </row>
    <row r="122" spans="2:22">
      <c r="B122" s="1256" t="s">
        <v>1319</v>
      </c>
      <c r="C122" s="1320">
        <f t="shared" si="34"/>
        <v>8</v>
      </c>
      <c r="D122" s="1321">
        <v>0.1</v>
      </c>
      <c r="E122" s="1288">
        <v>1</v>
      </c>
      <c r="F122" s="1260">
        <v>5</v>
      </c>
      <c r="G122" s="8236">
        <f t="shared" si="35"/>
        <v>0.10526315789473684</v>
      </c>
      <c r="H122" s="8237"/>
      <c r="I122" s="8238">
        <f t="shared" si="36"/>
        <v>0.8</v>
      </c>
      <c r="J122" s="8238"/>
      <c r="K122" s="1344">
        <f t="shared" si="37"/>
        <v>0.84210526315789469</v>
      </c>
      <c r="L122" s="1345"/>
      <c r="M122" s="8244"/>
      <c r="N122" s="8245"/>
      <c r="O122" s="8246"/>
      <c r="P122" s="90"/>
      <c r="Q122" s="15"/>
      <c r="R122" s="15"/>
      <c r="S122" s="15"/>
      <c r="T122" s="15"/>
      <c r="U122" s="15"/>
      <c r="V122" s="15"/>
    </row>
    <row r="123" spans="2:22">
      <c r="B123" s="1256" t="s">
        <v>1825</v>
      </c>
      <c r="C123" s="1320">
        <f t="shared" si="34"/>
        <v>4</v>
      </c>
      <c r="D123" s="1321">
        <v>7.0000000000000007E-2</v>
      </c>
      <c r="E123" s="1288">
        <v>1</v>
      </c>
      <c r="F123" s="1260">
        <v>5</v>
      </c>
      <c r="G123" s="8236">
        <f t="shared" si="35"/>
        <v>7.3684210526315796E-2</v>
      </c>
      <c r="H123" s="8237"/>
      <c r="I123" s="8238">
        <f t="shared" si="36"/>
        <v>0.28000000000000003</v>
      </c>
      <c r="J123" s="8238"/>
      <c r="K123" s="1344">
        <f t="shared" si="37"/>
        <v>0.29473684210526319</v>
      </c>
      <c r="L123" s="1345"/>
      <c r="M123" s="8244"/>
      <c r="N123" s="8245"/>
      <c r="O123" s="8246"/>
      <c r="P123" s="90"/>
      <c r="Q123" s="15"/>
      <c r="R123" s="15"/>
      <c r="S123" s="15"/>
      <c r="T123" s="15"/>
      <c r="U123" s="15"/>
      <c r="V123" s="15"/>
    </row>
    <row r="124" spans="2:22" ht="20.25">
      <c r="B124" s="1346" t="s">
        <v>1827</v>
      </c>
      <c r="C124" s="1347">
        <f>SUM(C118:C123)</f>
        <v>412</v>
      </c>
      <c r="D124" s="1348"/>
      <c r="E124" s="1348"/>
      <c r="F124" s="1343"/>
      <c r="G124" s="1343"/>
      <c r="H124" s="1343"/>
      <c r="I124" s="8215">
        <f>SUM(I118:I123)</f>
        <v>28.080000000000002</v>
      </c>
      <c r="J124" s="8215"/>
      <c r="K124" s="8216">
        <f>SUM(K118:K123)</f>
        <v>29.557894736842101</v>
      </c>
      <c r="L124" s="8217"/>
      <c r="M124" s="8244"/>
      <c r="N124" s="8245"/>
      <c r="O124" s="8246"/>
      <c r="P124" s="90"/>
      <c r="Q124" s="15"/>
      <c r="R124" s="15"/>
      <c r="S124" s="15"/>
      <c r="T124" s="15"/>
      <c r="U124" s="15"/>
      <c r="V124" s="15"/>
    </row>
    <row r="125" spans="2:22">
      <c r="B125" s="8218" t="s">
        <v>1851</v>
      </c>
      <c r="C125" s="8219"/>
      <c r="D125" s="8219"/>
      <c r="E125" s="8219"/>
      <c r="F125" s="8219"/>
      <c r="G125" s="8219"/>
      <c r="H125" s="8219"/>
      <c r="I125" s="8219"/>
      <c r="J125" s="8219"/>
      <c r="K125" s="8219"/>
      <c r="L125" s="8219"/>
      <c r="M125" s="8219"/>
      <c r="N125" s="8219"/>
      <c r="O125" s="8220"/>
      <c r="P125" s="90"/>
      <c r="Q125" s="15"/>
      <c r="R125" s="15"/>
      <c r="S125" s="15"/>
      <c r="T125" s="15"/>
      <c r="U125" s="15"/>
      <c r="V125" s="15"/>
    </row>
    <row r="126" spans="2:22">
      <c r="B126" s="8221"/>
      <c r="C126" s="8222"/>
      <c r="D126" s="8222"/>
      <c r="E126" s="8222"/>
      <c r="F126" s="8222"/>
      <c r="G126" s="8222"/>
      <c r="H126" s="8222"/>
      <c r="I126" s="8222"/>
      <c r="J126" s="8222"/>
      <c r="K126" s="8222"/>
      <c r="L126" s="8222"/>
      <c r="M126" s="8222"/>
      <c r="N126" s="8222"/>
      <c r="O126" s="8223"/>
      <c r="P126" s="90"/>
      <c r="Q126" s="15"/>
      <c r="R126" s="15"/>
      <c r="S126" s="15"/>
      <c r="T126" s="15"/>
      <c r="U126" s="15"/>
      <c r="V126" s="15"/>
    </row>
    <row r="127" spans="2:22">
      <c r="B127" s="8224" t="s">
        <v>1829</v>
      </c>
      <c r="C127" s="8225" t="s">
        <v>1801</v>
      </c>
      <c r="D127" s="8228" t="s">
        <v>1830</v>
      </c>
      <c r="E127" s="8230" t="s">
        <v>1845</v>
      </c>
      <c r="F127" s="8232" t="s">
        <v>1832</v>
      </c>
      <c r="G127" s="8234" t="s">
        <v>1833</v>
      </c>
      <c r="H127" s="8202" t="s">
        <v>1834</v>
      </c>
      <c r="I127" s="8203"/>
      <c r="J127" s="8203"/>
      <c r="K127" s="8193" t="s">
        <v>1852</v>
      </c>
      <c r="L127" s="8196" t="s">
        <v>1847</v>
      </c>
      <c r="M127" s="8199" t="s">
        <v>1853</v>
      </c>
      <c r="N127" s="8200"/>
      <c r="O127" s="8201"/>
      <c r="P127" s="90"/>
      <c r="Q127" s="15"/>
      <c r="R127" s="1285" t="s">
        <v>1829</v>
      </c>
      <c r="S127" s="15"/>
      <c r="T127" s="15"/>
      <c r="U127" s="15"/>
      <c r="V127" s="15"/>
    </row>
    <row r="128" spans="2:22">
      <c r="B128" s="8224"/>
      <c r="C128" s="8226"/>
      <c r="D128" s="8228"/>
      <c r="E128" s="8230"/>
      <c r="F128" s="8232"/>
      <c r="G128" s="8234"/>
      <c r="H128" s="8202"/>
      <c r="I128" s="8203"/>
      <c r="J128" s="8203"/>
      <c r="K128" s="8194"/>
      <c r="L128" s="8197"/>
      <c r="M128" s="8202"/>
      <c r="N128" s="8203"/>
      <c r="O128" s="8204"/>
      <c r="P128" s="90"/>
      <c r="Q128" s="15"/>
      <c r="R128" s="15"/>
      <c r="S128" s="15"/>
      <c r="T128" s="15"/>
      <c r="U128" s="15"/>
      <c r="V128" s="15"/>
    </row>
    <row r="129" spans="2:22">
      <c r="B129" s="8224"/>
      <c r="C129" s="8226"/>
      <c r="D129" s="8228"/>
      <c r="E129" s="8230"/>
      <c r="F129" s="8232"/>
      <c r="G129" s="8234"/>
      <c r="H129" s="8202"/>
      <c r="I129" s="8203"/>
      <c r="J129" s="8203"/>
      <c r="K129" s="8194"/>
      <c r="L129" s="8197"/>
      <c r="M129" s="8202"/>
      <c r="N129" s="8203"/>
      <c r="O129" s="8204"/>
      <c r="P129" s="90"/>
      <c r="Q129" s="15"/>
      <c r="R129" s="15"/>
      <c r="S129" s="15"/>
      <c r="T129" s="15"/>
      <c r="U129" s="15"/>
      <c r="V129" s="15"/>
    </row>
    <row r="130" spans="2:22">
      <c r="B130" s="8224"/>
      <c r="C130" s="8227"/>
      <c r="D130" s="8229"/>
      <c r="E130" s="8231"/>
      <c r="F130" s="8233"/>
      <c r="G130" s="8235"/>
      <c r="H130" s="8205"/>
      <c r="I130" s="8206"/>
      <c r="J130" s="8206"/>
      <c r="K130" s="8195"/>
      <c r="L130" s="8198"/>
      <c r="M130" s="8205"/>
      <c r="N130" s="8206"/>
      <c r="O130" s="8207"/>
      <c r="P130" s="90"/>
      <c r="Q130" s="15"/>
      <c r="R130" s="15"/>
      <c r="S130" s="15"/>
      <c r="T130" s="15"/>
      <c r="U130" s="15"/>
      <c r="V130" s="15"/>
    </row>
    <row r="131" spans="2:22">
      <c r="B131" s="1256" t="s">
        <v>537</v>
      </c>
      <c r="C131" s="1320">
        <f t="shared" ref="C131:C136" si="38">C118</f>
        <v>100</v>
      </c>
      <c r="D131" s="1287" t="s">
        <v>1838</v>
      </c>
      <c r="E131" s="1288">
        <v>5</v>
      </c>
      <c r="F131" s="1289">
        <f t="shared" ref="F131:F136" si="39">IF(C131=0,0,E131-(E131*F118%))</f>
        <v>4.75</v>
      </c>
      <c r="G131" s="1349">
        <f t="shared" ref="G131:G136" si="40">I118</f>
        <v>4</v>
      </c>
      <c r="H131" s="1291">
        <f t="shared" ref="H131:H136" si="41">IF(I118=0,0,INT(I118/F131))</f>
        <v>0</v>
      </c>
      <c r="I131" s="1292">
        <f t="shared" ref="I131:I136" si="42">I118-(F131*H131)</f>
        <v>4</v>
      </c>
      <c r="J131" s="1293" t="s">
        <v>373</v>
      </c>
      <c r="K131" s="1294">
        <v>12</v>
      </c>
      <c r="L131" s="1295">
        <f t="shared" ref="L131:L136" si="43">C118*E118</f>
        <v>100</v>
      </c>
      <c r="M131" s="1350">
        <f t="shared" ref="M131:M136" si="44">IF(K131=0,0,INT(E118*C118/K131))</f>
        <v>8</v>
      </c>
      <c r="N131" s="1292">
        <f t="shared" ref="N131:N136" si="45">(C118*E118)-(M131*K131)</f>
        <v>4</v>
      </c>
      <c r="O131" s="1351" t="str">
        <f t="shared" ref="O131:O137" si="46">IF(N131=0,0,"Louches/Mx")</f>
        <v>Louches/Mx</v>
      </c>
      <c r="P131" s="90"/>
      <c r="Q131" s="15"/>
      <c r="R131" s="15"/>
      <c r="S131" s="15"/>
      <c r="T131" s="15"/>
      <c r="U131" s="15"/>
      <c r="V131" s="15"/>
    </row>
    <row r="132" spans="2:22" ht="15.75">
      <c r="B132" s="1256" t="s">
        <v>620</v>
      </c>
      <c r="C132" s="1320">
        <f t="shared" si="38"/>
        <v>100</v>
      </c>
      <c r="D132" s="1287" t="s">
        <v>1838</v>
      </c>
      <c r="E132" s="1288">
        <v>1.5</v>
      </c>
      <c r="F132" s="1289">
        <f t="shared" si="39"/>
        <v>1.425</v>
      </c>
      <c r="G132" s="1349">
        <f t="shared" si="40"/>
        <v>4</v>
      </c>
      <c r="H132" s="1291">
        <f t="shared" si="41"/>
        <v>2</v>
      </c>
      <c r="I132" s="1292">
        <f t="shared" si="42"/>
        <v>1.1499999999999999</v>
      </c>
      <c r="J132" s="1293" t="s">
        <v>373</v>
      </c>
      <c r="K132" s="1294">
        <v>20</v>
      </c>
      <c r="L132" s="1295">
        <f t="shared" si="43"/>
        <v>100</v>
      </c>
      <c r="M132" s="1350">
        <f t="shared" si="44"/>
        <v>5</v>
      </c>
      <c r="N132" s="1292">
        <f t="shared" si="45"/>
        <v>0</v>
      </c>
      <c r="O132" s="1351">
        <f t="shared" si="46"/>
        <v>0</v>
      </c>
      <c r="P132" s="90"/>
      <c r="Q132" s="15"/>
      <c r="R132" s="8208" t="s">
        <v>1813</v>
      </c>
      <c r="S132" s="8208"/>
      <c r="T132" s="8208"/>
      <c r="U132" s="8208"/>
      <c r="V132" s="8208"/>
    </row>
    <row r="133" spans="2:22">
      <c r="B133" s="1266" t="s">
        <v>337</v>
      </c>
      <c r="C133" s="1320">
        <f t="shared" si="38"/>
        <v>100</v>
      </c>
      <c r="D133" s="1287" t="s">
        <v>1838</v>
      </c>
      <c r="E133" s="1288">
        <v>1.5</v>
      </c>
      <c r="F133" s="1289">
        <f t="shared" si="39"/>
        <v>1.425</v>
      </c>
      <c r="G133" s="1349">
        <f t="shared" si="40"/>
        <v>10</v>
      </c>
      <c r="H133" s="1291">
        <f t="shared" si="41"/>
        <v>7</v>
      </c>
      <c r="I133" s="1292">
        <f t="shared" si="42"/>
        <v>2.5000000000000355E-2</v>
      </c>
      <c r="J133" s="1293" t="s">
        <v>373</v>
      </c>
      <c r="K133" s="1294">
        <v>20</v>
      </c>
      <c r="L133" s="1295">
        <f t="shared" si="43"/>
        <v>100</v>
      </c>
      <c r="M133" s="1350">
        <f t="shared" si="44"/>
        <v>5</v>
      </c>
      <c r="N133" s="1292">
        <f t="shared" si="45"/>
        <v>0</v>
      </c>
      <c r="O133" s="1351">
        <f t="shared" si="46"/>
        <v>0</v>
      </c>
      <c r="P133" s="90"/>
      <c r="Q133" s="15"/>
      <c r="R133" s="15"/>
      <c r="S133" s="15"/>
      <c r="T133" s="15"/>
      <c r="U133" s="15"/>
      <c r="V133" s="15"/>
    </row>
    <row r="134" spans="2:22">
      <c r="B134" s="1256" t="s">
        <v>1318</v>
      </c>
      <c r="C134" s="1320">
        <f t="shared" si="38"/>
        <v>100</v>
      </c>
      <c r="D134" s="1287" t="s">
        <v>1838</v>
      </c>
      <c r="E134" s="1288">
        <v>1.5</v>
      </c>
      <c r="F134" s="1289">
        <f t="shared" si="39"/>
        <v>1.425</v>
      </c>
      <c r="G134" s="1349">
        <f t="shared" si="40"/>
        <v>9</v>
      </c>
      <c r="H134" s="1291">
        <f t="shared" si="41"/>
        <v>6</v>
      </c>
      <c r="I134" s="1292">
        <f t="shared" si="42"/>
        <v>0.44999999999999929</v>
      </c>
      <c r="J134" s="1293" t="s">
        <v>373</v>
      </c>
      <c r="K134" s="1294">
        <v>20</v>
      </c>
      <c r="L134" s="1295">
        <f t="shared" si="43"/>
        <v>100</v>
      </c>
      <c r="M134" s="1350">
        <f t="shared" si="44"/>
        <v>5</v>
      </c>
      <c r="N134" s="1292">
        <f t="shared" si="45"/>
        <v>0</v>
      </c>
      <c r="O134" s="1351">
        <f t="shared" si="46"/>
        <v>0</v>
      </c>
      <c r="P134" s="90"/>
      <c r="Q134" s="15"/>
      <c r="R134" s="1265" t="s">
        <v>1822</v>
      </c>
      <c r="S134" s="15"/>
      <c r="T134" s="15"/>
      <c r="U134" s="15"/>
      <c r="V134" s="15"/>
    </row>
    <row r="135" spans="2:22">
      <c r="B135" s="1256" t="s">
        <v>1319</v>
      </c>
      <c r="C135" s="1320">
        <f t="shared" si="38"/>
        <v>8</v>
      </c>
      <c r="D135" s="1287" t="s">
        <v>1838</v>
      </c>
      <c r="E135" s="1288">
        <v>1.5</v>
      </c>
      <c r="F135" s="1289">
        <f t="shared" si="39"/>
        <v>1.425</v>
      </c>
      <c r="G135" s="1349">
        <f t="shared" si="40"/>
        <v>0.8</v>
      </c>
      <c r="H135" s="1291">
        <f t="shared" si="41"/>
        <v>0</v>
      </c>
      <c r="I135" s="1292">
        <f t="shared" si="42"/>
        <v>0.8</v>
      </c>
      <c r="J135" s="1293" t="s">
        <v>373</v>
      </c>
      <c r="K135" s="1294">
        <v>20</v>
      </c>
      <c r="L135" s="1295">
        <f t="shared" si="43"/>
        <v>8</v>
      </c>
      <c r="M135" s="1350">
        <f t="shared" si="44"/>
        <v>0</v>
      </c>
      <c r="N135" s="1292">
        <f t="shared" si="45"/>
        <v>8</v>
      </c>
      <c r="O135" s="1351" t="str">
        <f t="shared" si="46"/>
        <v>Louches/Mx</v>
      </c>
      <c r="P135" s="90"/>
      <c r="Q135" s="15"/>
      <c r="R135" s="15"/>
      <c r="S135" s="15"/>
      <c r="T135" s="15"/>
      <c r="U135" s="15"/>
      <c r="V135" s="15"/>
    </row>
    <row r="136" spans="2:22">
      <c r="B136" s="1256" t="s">
        <v>1825</v>
      </c>
      <c r="C136" s="1320">
        <f t="shared" si="38"/>
        <v>4</v>
      </c>
      <c r="D136" s="1300" t="s">
        <v>1838</v>
      </c>
      <c r="E136" s="1301">
        <v>1.5</v>
      </c>
      <c r="F136" s="1302">
        <f t="shared" si="39"/>
        <v>1.425</v>
      </c>
      <c r="G136" s="1352">
        <f t="shared" si="40"/>
        <v>0.28000000000000003</v>
      </c>
      <c r="H136" s="1304">
        <f t="shared" si="41"/>
        <v>0</v>
      </c>
      <c r="I136" s="1305">
        <f t="shared" si="42"/>
        <v>0.28000000000000003</v>
      </c>
      <c r="J136" s="1306" t="s">
        <v>373</v>
      </c>
      <c r="K136" s="1307">
        <v>20</v>
      </c>
      <c r="L136" s="1308">
        <f t="shared" si="43"/>
        <v>4</v>
      </c>
      <c r="M136" s="1353">
        <f t="shared" si="44"/>
        <v>0</v>
      </c>
      <c r="N136" s="1305">
        <f t="shared" si="45"/>
        <v>4</v>
      </c>
      <c r="O136" s="1354" t="str">
        <f t="shared" si="46"/>
        <v>Louches/Mx</v>
      </c>
      <c r="P136" s="90"/>
      <c r="Q136" s="15"/>
      <c r="R136" s="15"/>
      <c r="S136" s="15"/>
      <c r="T136" s="15"/>
      <c r="U136" s="15"/>
      <c r="V136" s="15"/>
    </row>
    <row r="137" spans="2:22">
      <c r="B137" s="8209" t="s">
        <v>1827</v>
      </c>
      <c r="C137" s="8211">
        <f>SUM(C131:C136)</f>
        <v>412</v>
      </c>
      <c r="D137" s="1343"/>
      <c r="E137" s="1343"/>
      <c r="F137" s="1343"/>
      <c r="G137" s="8180">
        <f>SUM(G131:G136)</f>
        <v>28.080000000000002</v>
      </c>
      <c r="H137" s="8182">
        <f>SUM(H131:H136)</f>
        <v>15</v>
      </c>
      <c r="I137" s="8184">
        <f>SUM(I131:I136)</f>
        <v>6.7050000000000001</v>
      </c>
      <c r="J137" s="8213" t="s">
        <v>373</v>
      </c>
      <c r="K137" s="1343"/>
      <c r="L137" s="8180">
        <f>SUM(L131:L136)</f>
        <v>412</v>
      </c>
      <c r="M137" s="8182">
        <f>SUM(M131:M136)</f>
        <v>23</v>
      </c>
      <c r="N137" s="8184">
        <f>SUM(N131:N136)</f>
        <v>16</v>
      </c>
      <c r="O137" s="8186" t="str">
        <f t="shared" si="46"/>
        <v>Louches/Mx</v>
      </c>
      <c r="P137" s="90"/>
      <c r="Q137" s="15"/>
      <c r="R137" s="15"/>
      <c r="S137" s="15"/>
      <c r="T137" s="15"/>
      <c r="U137" s="15"/>
      <c r="V137" s="15"/>
    </row>
    <row r="138" spans="2:22">
      <c r="B138" s="8210"/>
      <c r="C138" s="8212"/>
      <c r="D138" s="1277"/>
      <c r="E138" s="1277"/>
      <c r="F138" s="1277"/>
      <c r="G138" s="8181"/>
      <c r="H138" s="8183"/>
      <c r="I138" s="8185"/>
      <c r="J138" s="8214"/>
      <c r="K138" s="1277"/>
      <c r="L138" s="8181"/>
      <c r="M138" s="8183"/>
      <c r="N138" s="8185"/>
      <c r="O138" s="8187"/>
      <c r="P138" s="90"/>
      <c r="Q138" s="15"/>
      <c r="R138" s="15"/>
      <c r="S138" s="15"/>
      <c r="T138" s="15"/>
      <c r="U138" s="15"/>
      <c r="V138" s="15"/>
    </row>
    <row r="139" spans="2:22">
      <c r="B139" s="1355"/>
      <c r="C139" s="1356"/>
      <c r="D139" s="1249"/>
      <c r="E139" s="1249"/>
      <c r="F139" s="1249"/>
      <c r="G139" s="1357"/>
      <c r="H139" s="1358"/>
      <c r="I139" s="1359"/>
      <c r="J139" s="1360"/>
      <c r="K139" s="1249"/>
      <c r="L139" s="1357"/>
      <c r="M139" s="1358"/>
      <c r="N139" s="1359"/>
      <c r="O139" s="1361"/>
      <c r="P139" s="90"/>
      <c r="Q139" s="15"/>
      <c r="R139" s="15"/>
      <c r="S139" s="15"/>
      <c r="T139" s="15"/>
      <c r="U139" s="15"/>
      <c r="V139" s="15"/>
    </row>
    <row r="140" spans="2:22">
      <c r="B140" s="1362" t="s">
        <v>1854</v>
      </c>
      <c r="C140" s="1363"/>
      <c r="D140" s="1364"/>
      <c r="E140" s="1363"/>
      <c r="F140" s="1365" t="s">
        <v>1855</v>
      </c>
      <c r="G140" s="1364"/>
      <c r="H140" s="1366"/>
      <c r="I140" s="1364"/>
      <c r="J140" s="1364"/>
      <c r="K140" s="1364"/>
      <c r="L140" s="1364"/>
      <c r="M140" s="1363" t="s">
        <v>201</v>
      </c>
      <c r="N140" s="1364"/>
      <c r="O140" s="1367"/>
      <c r="P140" s="90"/>
      <c r="Q140" s="15"/>
      <c r="R140" s="15"/>
      <c r="S140" s="15"/>
      <c r="T140" s="15"/>
      <c r="U140" s="15"/>
      <c r="V140" s="15"/>
    </row>
    <row r="141" spans="2:22">
      <c r="B141" s="1362" t="s">
        <v>1856</v>
      </c>
      <c r="C141" s="1363"/>
      <c r="D141" s="1364"/>
      <c r="E141" s="1364"/>
      <c r="F141" s="1363" t="s">
        <v>1314</v>
      </c>
      <c r="G141" s="1364"/>
      <c r="H141" s="1366"/>
      <c r="I141" s="1364"/>
      <c r="J141" s="1364"/>
      <c r="K141" s="1364"/>
      <c r="L141" s="1363" t="s">
        <v>1315</v>
      </c>
      <c r="M141" s="1364"/>
      <c r="N141" s="1364"/>
      <c r="O141" s="1367"/>
      <c r="P141" s="90"/>
      <c r="Q141" s="15"/>
      <c r="R141" s="15"/>
      <c r="S141" s="15"/>
      <c r="T141" s="15"/>
      <c r="U141" s="15"/>
      <c r="V141" s="15"/>
    </row>
    <row r="142" spans="2:22" ht="15.75">
      <c r="B142" s="8188" t="s">
        <v>1813</v>
      </c>
      <c r="C142" s="8189"/>
      <c r="D142" s="8189"/>
      <c r="E142" s="8189"/>
      <c r="F142" s="8189"/>
      <c r="G142" s="8189"/>
      <c r="H142" s="8189"/>
      <c r="I142" s="8189"/>
      <c r="J142" s="8189"/>
      <c r="K142" s="8189"/>
      <c r="L142" s="8189"/>
      <c r="M142" s="8189"/>
      <c r="N142" s="8189"/>
      <c r="O142" s="8190"/>
      <c r="P142" s="90"/>
      <c r="Q142" s="15"/>
      <c r="R142" s="15"/>
      <c r="S142" s="15"/>
      <c r="T142" s="15"/>
      <c r="U142" s="15"/>
      <c r="V142" s="15"/>
    </row>
    <row r="143" spans="2:22" ht="15.75" thickBot="1">
      <c r="B143" s="1368" t="str">
        <f>SUBSTITUTE(ADDRESS(1,COLUMN(),4),"1","")</f>
        <v>B</v>
      </c>
      <c r="C143" s="1369" t="str">
        <f t="shared" ref="C143:O143" si="47">SUBSTITUTE(ADDRESS(1,COLUMN(),4),"1","")</f>
        <v>C</v>
      </c>
      <c r="D143" s="1369" t="str">
        <f t="shared" si="47"/>
        <v>D</v>
      </c>
      <c r="E143" s="1369" t="str">
        <f t="shared" si="47"/>
        <v>E</v>
      </c>
      <c r="F143" s="1369" t="str">
        <f t="shared" si="47"/>
        <v>F</v>
      </c>
      <c r="G143" s="1369" t="str">
        <f t="shared" si="47"/>
        <v>G</v>
      </c>
      <c r="H143" s="1369" t="str">
        <f t="shared" si="47"/>
        <v>H</v>
      </c>
      <c r="I143" s="1369" t="str">
        <f t="shared" si="47"/>
        <v>I</v>
      </c>
      <c r="J143" s="1369" t="str">
        <f t="shared" si="47"/>
        <v>J</v>
      </c>
      <c r="K143" s="1370" t="str">
        <f t="shared" si="47"/>
        <v>K</v>
      </c>
      <c r="L143" s="1370" t="str">
        <f t="shared" si="47"/>
        <v>L</v>
      </c>
      <c r="M143" s="1369" t="str">
        <f t="shared" si="47"/>
        <v>M</v>
      </c>
      <c r="N143" s="1369" t="str">
        <f t="shared" si="47"/>
        <v>N</v>
      </c>
      <c r="O143" s="1371" t="str">
        <f t="shared" si="47"/>
        <v>O</v>
      </c>
      <c r="P143" s="90"/>
      <c r="Q143" s="15"/>
      <c r="R143" s="181" t="s">
        <v>1857</v>
      </c>
      <c r="S143" s="15"/>
      <c r="T143" s="15"/>
      <c r="U143" s="15"/>
      <c r="V143" s="15"/>
    </row>
    <row r="144" spans="2:22" ht="15.75">
      <c r="B144" s="8191" t="s">
        <v>1808</v>
      </c>
      <c r="C144" s="8192"/>
      <c r="D144" s="8192"/>
      <c r="E144" s="8192"/>
      <c r="F144" s="8192"/>
      <c r="G144" s="8192"/>
      <c r="H144" s="8192"/>
      <c r="I144" s="8192"/>
      <c r="J144" s="8192"/>
      <c r="K144" s="8192"/>
      <c r="L144" s="8192"/>
      <c r="M144" s="8192"/>
      <c r="N144" s="8192"/>
      <c r="O144" s="1372"/>
      <c r="P144" s="90"/>
      <c r="Q144" s="15"/>
      <c r="R144" s="15"/>
      <c r="S144" s="15"/>
      <c r="T144" s="15"/>
      <c r="U144" s="15"/>
      <c r="V144" s="15"/>
    </row>
    <row r="145" spans="1:22">
      <c r="B145" s="1373" t="s">
        <v>7</v>
      </c>
      <c r="C145" s="1374" t="str">
        <f ca="1">CELL("nomfichier")</f>
        <v>D:\Données\1.UPRT\0-UPRT.fait\1-UPRT.FR-SITE-WEB\ff-fiches-fabrications\ff.fiches.fabrication.2023\UPRT.23.aout\[ff-20-CHARCUTERIE-michel-Mariette.BOUDIN.BLANC_-1.xlsx]Exemples Michel Mariette</v>
      </c>
      <c r="D145" s="1374"/>
      <c r="E145" s="1374"/>
      <c r="F145" s="1374"/>
      <c r="G145" s="1374"/>
      <c r="H145" s="1374"/>
      <c r="I145" s="1374"/>
      <c r="J145" s="1374"/>
      <c r="K145" s="1374"/>
      <c r="L145" s="1374"/>
      <c r="M145" s="1374"/>
      <c r="N145" s="1374"/>
      <c r="O145" s="1375"/>
      <c r="P145" s="90"/>
      <c r="Q145" s="15"/>
      <c r="R145" s="15"/>
      <c r="S145" s="15"/>
      <c r="T145" s="15"/>
      <c r="U145" s="15"/>
      <c r="V145" s="15"/>
    </row>
    <row r="146" spans="1:22">
      <c r="B146" s="1376" t="s">
        <v>14</v>
      </c>
      <c r="C146" s="1374" t="s">
        <v>1858</v>
      </c>
      <c r="D146" s="1374"/>
      <c r="E146" s="1374"/>
      <c r="F146" s="1374"/>
      <c r="G146" s="1374"/>
      <c r="H146" s="1374"/>
      <c r="I146" s="1374"/>
      <c r="J146" s="1374"/>
      <c r="K146" s="1374"/>
      <c r="L146" s="1374"/>
      <c r="M146" s="1374"/>
      <c r="N146" s="1374"/>
      <c r="O146" s="1375"/>
      <c r="P146" s="90"/>
      <c r="Q146" s="15"/>
      <c r="R146" s="15"/>
      <c r="S146" s="15"/>
      <c r="T146" s="15"/>
      <c r="U146" s="15"/>
      <c r="V146" s="15"/>
    </row>
    <row r="147" spans="1:22" ht="15.75" thickBot="1">
      <c r="B147" s="8177" t="s">
        <v>8</v>
      </c>
      <c r="C147" s="8178"/>
      <c r="D147" s="8178"/>
      <c r="E147" s="8178"/>
      <c r="F147" s="8178"/>
      <c r="G147" s="8178"/>
      <c r="H147" s="8178"/>
      <c r="I147" s="8178"/>
      <c r="J147" s="8178"/>
      <c r="K147" s="8178"/>
      <c r="L147" s="8178"/>
      <c r="M147" s="8178"/>
      <c r="N147" s="8178"/>
      <c r="O147" s="8179"/>
      <c r="P147" s="90"/>
      <c r="Q147" s="15"/>
      <c r="R147" s="15"/>
      <c r="S147" s="15"/>
      <c r="T147" s="15"/>
      <c r="U147" s="15"/>
      <c r="V147" s="15"/>
    </row>
    <row r="148" spans="1:22">
      <c r="B148" s="204"/>
      <c r="C148" s="204"/>
      <c r="D148" s="204"/>
      <c r="E148" s="204"/>
      <c r="F148" s="204"/>
      <c r="G148" s="204"/>
      <c r="H148" s="204"/>
      <c r="I148" s="204"/>
      <c r="J148" s="204"/>
      <c r="K148" s="204"/>
      <c r="L148" s="204"/>
      <c r="M148" s="90"/>
      <c r="N148" s="90"/>
      <c r="O148" s="90"/>
      <c r="P148" s="90"/>
      <c r="Q148" s="15"/>
      <c r="R148" s="15"/>
      <c r="S148" s="15"/>
      <c r="T148" s="15"/>
      <c r="U148" s="15"/>
      <c r="V148" s="15"/>
    </row>
    <row r="149" spans="1:22">
      <c r="A149" s="204"/>
      <c r="B149" s="1248"/>
      <c r="C149" s="204"/>
      <c r="D149" s="204"/>
      <c r="E149" s="204"/>
      <c r="F149" s="204"/>
      <c r="G149" s="204"/>
      <c r="H149" s="204"/>
      <c r="I149" s="204"/>
      <c r="J149" s="204"/>
      <c r="K149" s="204"/>
      <c r="L149" s="204"/>
      <c r="M149" s="90"/>
      <c r="N149" s="90"/>
      <c r="O149" s="90"/>
      <c r="P149" s="90"/>
      <c r="Q149" s="15"/>
      <c r="R149" s="15"/>
      <c r="S149" s="15"/>
      <c r="T149" s="15"/>
      <c r="U149" s="15"/>
      <c r="V149" s="15"/>
    </row>
  </sheetData>
  <mergeCells count="187">
    <mergeCell ref="B8:K8"/>
    <mergeCell ref="L8:T8"/>
    <mergeCell ref="B9:D12"/>
    <mergeCell ref="E9:E12"/>
    <mergeCell ref="F9:F12"/>
    <mergeCell ref="G9:K9"/>
    <mergeCell ref="L9:M10"/>
    <mergeCell ref="N9:T12"/>
    <mergeCell ref="L11:M11"/>
    <mergeCell ref="G12:K12"/>
    <mergeCell ref="B17:D17"/>
    <mergeCell ref="M17:N17"/>
    <mergeCell ref="B18:D18"/>
    <mergeCell ref="M18:N18"/>
    <mergeCell ref="B19:D19"/>
    <mergeCell ref="M19:N19"/>
    <mergeCell ref="L12:M12"/>
    <mergeCell ref="B14:D14"/>
    <mergeCell ref="M14:N14"/>
    <mergeCell ref="B15:D15"/>
    <mergeCell ref="M15:N15"/>
    <mergeCell ref="B16:D16"/>
    <mergeCell ref="M16:N16"/>
    <mergeCell ref="B24:D24"/>
    <mergeCell ref="M24:N24"/>
    <mergeCell ref="B25:D25"/>
    <mergeCell ref="M25:N25"/>
    <mergeCell ref="B27:L27"/>
    <mergeCell ref="B35:J35"/>
    <mergeCell ref="K35:T35"/>
    <mergeCell ref="B20:D20"/>
    <mergeCell ref="M20:N20"/>
    <mergeCell ref="B21:D21"/>
    <mergeCell ref="M21:N21"/>
    <mergeCell ref="B23:D23"/>
    <mergeCell ref="M23:N23"/>
    <mergeCell ref="B42:J42"/>
    <mergeCell ref="K42:T42"/>
    <mergeCell ref="B43:E43"/>
    <mergeCell ref="H43:I43"/>
    <mergeCell ref="K43:L43"/>
    <mergeCell ref="M43:N43"/>
    <mergeCell ref="B36:E36"/>
    <mergeCell ref="G36:H36"/>
    <mergeCell ref="L36:N36"/>
    <mergeCell ref="B37:E37"/>
    <mergeCell ref="G37:H37"/>
    <mergeCell ref="M37:N37"/>
    <mergeCell ref="B44:E44"/>
    <mergeCell ref="H44:I44"/>
    <mergeCell ref="K44:L44"/>
    <mergeCell ref="B48:O50"/>
    <mergeCell ref="B52:B53"/>
    <mergeCell ref="C52:D53"/>
    <mergeCell ref="E52:L53"/>
    <mergeCell ref="M52:M53"/>
    <mergeCell ref="N52:N53"/>
    <mergeCell ref="O52:O53"/>
    <mergeCell ref="B54:O55"/>
    <mergeCell ref="R55:V55"/>
    <mergeCell ref="B56:O57"/>
    <mergeCell ref="B58:B60"/>
    <mergeCell ref="C58:C60"/>
    <mergeCell ref="D58:D60"/>
    <mergeCell ref="E58:E60"/>
    <mergeCell ref="F58:F60"/>
    <mergeCell ref="G58:H60"/>
    <mergeCell ref="I58:J60"/>
    <mergeCell ref="K58:L60"/>
    <mergeCell ref="M60:O63"/>
    <mergeCell ref="K72:K78"/>
    <mergeCell ref="L72:L78"/>
    <mergeCell ref="M65:O66"/>
    <mergeCell ref="B67:O67"/>
    <mergeCell ref="B68:B69"/>
    <mergeCell ref="C68:C69"/>
    <mergeCell ref="I68:I69"/>
    <mergeCell ref="J68:J69"/>
    <mergeCell ref="K68:K69"/>
    <mergeCell ref="L68:L69"/>
    <mergeCell ref="B70:O71"/>
    <mergeCell ref="L86:L87"/>
    <mergeCell ref="M86:M87"/>
    <mergeCell ref="N86:N87"/>
    <mergeCell ref="O86:O87"/>
    <mergeCell ref="B89:E90"/>
    <mergeCell ref="G89:H90"/>
    <mergeCell ref="I89:J90"/>
    <mergeCell ref="M72:O78"/>
    <mergeCell ref="R79:V79"/>
    <mergeCell ref="B85:O85"/>
    <mergeCell ref="B86:B87"/>
    <mergeCell ref="C86:C87"/>
    <mergeCell ref="F86:F87"/>
    <mergeCell ref="G86:G87"/>
    <mergeCell ref="H86:H87"/>
    <mergeCell ref="I86:I87"/>
    <mergeCell ref="J86:J87"/>
    <mergeCell ref="B72:B78"/>
    <mergeCell ref="C72:C78"/>
    <mergeCell ref="D72:D78"/>
    <mergeCell ref="E72:E78"/>
    <mergeCell ref="F72:F78"/>
    <mergeCell ref="G72:G78"/>
    <mergeCell ref="H72:J78"/>
    <mergeCell ref="G102:G105"/>
    <mergeCell ref="H102:J105"/>
    <mergeCell ref="K102:K105"/>
    <mergeCell ref="L102:L105"/>
    <mergeCell ref="M102:O105"/>
    <mergeCell ref="R106:V106"/>
    <mergeCell ref="I91:J92"/>
    <mergeCell ref="K91:L92"/>
    <mergeCell ref="M92:O98"/>
    <mergeCell ref="R92:V92"/>
    <mergeCell ref="B100:O101"/>
    <mergeCell ref="B102:B105"/>
    <mergeCell ref="C102:C105"/>
    <mergeCell ref="D102:D105"/>
    <mergeCell ref="E102:E105"/>
    <mergeCell ref="F102:F105"/>
    <mergeCell ref="B91:B92"/>
    <mergeCell ref="C91:C92"/>
    <mergeCell ref="D91:D92"/>
    <mergeCell ref="E91:E92"/>
    <mergeCell ref="F91:G92"/>
    <mergeCell ref="H91:H92"/>
    <mergeCell ref="L112:L113"/>
    <mergeCell ref="M112:M113"/>
    <mergeCell ref="N112:N113"/>
    <mergeCell ref="O112:O113"/>
    <mergeCell ref="B114:O115"/>
    <mergeCell ref="B116:B117"/>
    <mergeCell ref="C116:C117"/>
    <mergeCell ref="D116:D117"/>
    <mergeCell ref="E116:E117"/>
    <mergeCell ref="F116:F117"/>
    <mergeCell ref="B112:B113"/>
    <mergeCell ref="C112:C113"/>
    <mergeCell ref="G112:G113"/>
    <mergeCell ref="H112:H113"/>
    <mergeCell ref="I112:I113"/>
    <mergeCell ref="J112:J113"/>
    <mergeCell ref="R118:V118"/>
    <mergeCell ref="G119:H119"/>
    <mergeCell ref="I119:J119"/>
    <mergeCell ref="G120:H120"/>
    <mergeCell ref="I120:J120"/>
    <mergeCell ref="G121:H121"/>
    <mergeCell ref="I121:J121"/>
    <mergeCell ref="G116:H117"/>
    <mergeCell ref="I116:J117"/>
    <mergeCell ref="K116:L117"/>
    <mergeCell ref="M117:O124"/>
    <mergeCell ref="G118:H118"/>
    <mergeCell ref="I118:J118"/>
    <mergeCell ref="G122:H122"/>
    <mergeCell ref="I122:J122"/>
    <mergeCell ref="G123:H123"/>
    <mergeCell ref="I123:J123"/>
    <mergeCell ref="R132:V132"/>
    <mergeCell ref="B137:B138"/>
    <mergeCell ref="C137:C138"/>
    <mergeCell ref="G137:G138"/>
    <mergeCell ref="H137:H138"/>
    <mergeCell ref="I137:I138"/>
    <mergeCell ref="J137:J138"/>
    <mergeCell ref="I124:J124"/>
    <mergeCell ref="K124:L124"/>
    <mergeCell ref="B125:O126"/>
    <mergeCell ref="B127:B130"/>
    <mergeCell ref="C127:C130"/>
    <mergeCell ref="D127:D130"/>
    <mergeCell ref="E127:E130"/>
    <mergeCell ref="F127:F130"/>
    <mergeCell ref="G127:G130"/>
    <mergeCell ref="H127:J130"/>
    <mergeCell ref="B147:O147"/>
    <mergeCell ref="L137:L138"/>
    <mergeCell ref="M137:M138"/>
    <mergeCell ref="N137:N138"/>
    <mergeCell ref="O137:O138"/>
    <mergeCell ref="B142:O142"/>
    <mergeCell ref="B144:N144"/>
    <mergeCell ref="K127:K130"/>
    <mergeCell ref="L127:L130"/>
    <mergeCell ref="M127:O130"/>
  </mergeCells>
  <pageMargins left="0.25" right="0.25" top="0.75" bottom="0.75" header="0.3" footer="0.3"/>
  <pageSetup paperSize="9" scale="7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67"/>
  <sheetViews>
    <sheetView showZeros="0" zoomScaleNormal="100" workbookViewId="0">
      <selection activeCell="D2" sqref="D2:I2"/>
    </sheetView>
  </sheetViews>
  <sheetFormatPr baseColWidth="10" defaultRowHeight="12.75"/>
  <cols>
    <col min="1" max="1" width="1.7109375" style="361" customWidth="1"/>
    <col min="2" max="2" width="11.42578125" style="361"/>
    <col min="3" max="3" width="15.28515625" style="361" bestFit="1" customWidth="1"/>
    <col min="4" max="4" width="10.5703125" style="361" customWidth="1"/>
    <col min="5" max="5" width="19" style="361" customWidth="1"/>
    <col min="6" max="7" width="12.7109375" style="361" customWidth="1"/>
    <col min="8" max="8" width="16.140625" style="361" customWidth="1"/>
    <col min="9" max="11" width="12.7109375" style="361" customWidth="1"/>
    <col min="12" max="12" width="13.5703125" style="361" customWidth="1"/>
    <col min="13" max="256" width="11.42578125" style="361"/>
    <col min="257" max="257" width="1.7109375" style="361" customWidth="1"/>
    <col min="258" max="258" width="11.42578125" style="361"/>
    <col min="259" max="259" width="15.28515625" style="361" bestFit="1" customWidth="1"/>
    <col min="260" max="260" width="10.5703125" style="361" customWidth="1"/>
    <col min="261" max="261" width="19" style="361" customWidth="1"/>
    <col min="262" max="264" width="9.7109375" style="361" customWidth="1"/>
    <col min="265" max="265" width="10" style="361" customWidth="1"/>
    <col min="266" max="267" width="9.7109375" style="361" customWidth="1"/>
    <col min="268" max="268" width="7.85546875" style="361" customWidth="1"/>
    <col min="269" max="512" width="11.42578125" style="361"/>
    <col min="513" max="513" width="1.7109375" style="361" customWidth="1"/>
    <col min="514" max="514" width="11.42578125" style="361"/>
    <col min="515" max="515" width="15.28515625" style="361" bestFit="1" customWidth="1"/>
    <col min="516" max="516" width="10.5703125" style="361" customWidth="1"/>
    <col min="517" max="517" width="19" style="361" customWidth="1"/>
    <col min="518" max="520" width="9.7109375" style="361" customWidth="1"/>
    <col min="521" max="521" width="10" style="361" customWidth="1"/>
    <col min="522" max="523" width="9.7109375" style="361" customWidth="1"/>
    <col min="524" max="524" width="7.85546875" style="361" customWidth="1"/>
    <col min="525" max="768" width="11.42578125" style="361"/>
    <col min="769" max="769" width="1.7109375" style="361" customWidth="1"/>
    <col min="770" max="770" width="11.42578125" style="361"/>
    <col min="771" max="771" width="15.28515625" style="361" bestFit="1" customWidth="1"/>
    <col min="772" max="772" width="10.5703125" style="361" customWidth="1"/>
    <col min="773" max="773" width="19" style="361" customWidth="1"/>
    <col min="774" max="776" width="9.7109375" style="361" customWidth="1"/>
    <col min="777" max="777" width="10" style="361" customWidth="1"/>
    <col min="778" max="779" width="9.7109375" style="361" customWidth="1"/>
    <col min="780" max="780" width="7.85546875" style="361" customWidth="1"/>
    <col min="781" max="1024" width="11.42578125" style="361"/>
    <col min="1025" max="1025" width="1.7109375" style="361" customWidth="1"/>
    <col min="1026" max="1026" width="11.42578125" style="361"/>
    <col min="1027" max="1027" width="15.28515625" style="361" bestFit="1" customWidth="1"/>
    <col min="1028" max="1028" width="10.5703125" style="361" customWidth="1"/>
    <col min="1029" max="1029" width="19" style="361" customWidth="1"/>
    <col min="1030" max="1032" width="9.7109375" style="361" customWidth="1"/>
    <col min="1033" max="1033" width="10" style="361" customWidth="1"/>
    <col min="1034" max="1035" width="9.7109375" style="361" customWidth="1"/>
    <col min="1036" max="1036" width="7.85546875" style="361" customWidth="1"/>
    <col min="1037" max="1280" width="11.42578125" style="361"/>
    <col min="1281" max="1281" width="1.7109375" style="361" customWidth="1"/>
    <col min="1282" max="1282" width="11.42578125" style="361"/>
    <col min="1283" max="1283" width="15.28515625" style="361" bestFit="1" customWidth="1"/>
    <col min="1284" max="1284" width="10.5703125" style="361" customWidth="1"/>
    <col min="1285" max="1285" width="19" style="361" customWidth="1"/>
    <col min="1286" max="1288" width="9.7109375" style="361" customWidth="1"/>
    <col min="1289" max="1289" width="10" style="361" customWidth="1"/>
    <col min="1290" max="1291" width="9.7109375" style="361" customWidth="1"/>
    <col min="1292" max="1292" width="7.85546875" style="361" customWidth="1"/>
    <col min="1293" max="1536" width="11.42578125" style="361"/>
    <col min="1537" max="1537" width="1.7109375" style="361" customWidth="1"/>
    <col min="1538" max="1538" width="11.42578125" style="361"/>
    <col min="1539" max="1539" width="15.28515625" style="361" bestFit="1" customWidth="1"/>
    <col min="1540" max="1540" width="10.5703125" style="361" customWidth="1"/>
    <col min="1541" max="1541" width="19" style="361" customWidth="1"/>
    <col min="1542" max="1544" width="9.7109375" style="361" customWidth="1"/>
    <col min="1545" max="1545" width="10" style="361" customWidth="1"/>
    <col min="1546" max="1547" width="9.7109375" style="361" customWidth="1"/>
    <col min="1548" max="1548" width="7.85546875" style="361" customWidth="1"/>
    <col min="1549" max="1792" width="11.42578125" style="361"/>
    <col min="1793" max="1793" width="1.7109375" style="361" customWidth="1"/>
    <col min="1794" max="1794" width="11.42578125" style="361"/>
    <col min="1795" max="1795" width="15.28515625" style="361" bestFit="1" customWidth="1"/>
    <col min="1796" max="1796" width="10.5703125" style="361" customWidth="1"/>
    <col min="1797" max="1797" width="19" style="361" customWidth="1"/>
    <col min="1798" max="1800" width="9.7109375" style="361" customWidth="1"/>
    <col min="1801" max="1801" width="10" style="361" customWidth="1"/>
    <col min="1802" max="1803" width="9.7109375" style="361" customWidth="1"/>
    <col min="1804" max="1804" width="7.85546875" style="361" customWidth="1"/>
    <col min="1805" max="2048" width="11.42578125" style="361"/>
    <col min="2049" max="2049" width="1.7109375" style="361" customWidth="1"/>
    <col min="2050" max="2050" width="11.42578125" style="361"/>
    <col min="2051" max="2051" width="15.28515625" style="361" bestFit="1" customWidth="1"/>
    <col min="2052" max="2052" width="10.5703125" style="361" customWidth="1"/>
    <col min="2053" max="2053" width="19" style="361" customWidth="1"/>
    <col min="2054" max="2056" width="9.7109375" style="361" customWidth="1"/>
    <col min="2057" max="2057" width="10" style="361" customWidth="1"/>
    <col min="2058" max="2059" width="9.7109375" style="361" customWidth="1"/>
    <col min="2060" max="2060" width="7.85546875" style="361" customWidth="1"/>
    <col min="2061" max="2304" width="11.42578125" style="361"/>
    <col min="2305" max="2305" width="1.7109375" style="361" customWidth="1"/>
    <col min="2306" max="2306" width="11.42578125" style="361"/>
    <col min="2307" max="2307" width="15.28515625" style="361" bestFit="1" customWidth="1"/>
    <col min="2308" max="2308" width="10.5703125" style="361" customWidth="1"/>
    <col min="2309" max="2309" width="19" style="361" customWidth="1"/>
    <col min="2310" max="2312" width="9.7109375" style="361" customWidth="1"/>
    <col min="2313" max="2313" width="10" style="361" customWidth="1"/>
    <col min="2314" max="2315" width="9.7109375" style="361" customWidth="1"/>
    <col min="2316" max="2316" width="7.85546875" style="361" customWidth="1"/>
    <col min="2317" max="2560" width="11.42578125" style="361"/>
    <col min="2561" max="2561" width="1.7109375" style="361" customWidth="1"/>
    <col min="2562" max="2562" width="11.42578125" style="361"/>
    <col min="2563" max="2563" width="15.28515625" style="361" bestFit="1" customWidth="1"/>
    <col min="2564" max="2564" width="10.5703125" style="361" customWidth="1"/>
    <col min="2565" max="2565" width="19" style="361" customWidth="1"/>
    <col min="2566" max="2568" width="9.7109375" style="361" customWidth="1"/>
    <col min="2569" max="2569" width="10" style="361" customWidth="1"/>
    <col min="2570" max="2571" width="9.7109375" style="361" customWidth="1"/>
    <col min="2572" max="2572" width="7.85546875" style="361" customWidth="1"/>
    <col min="2573" max="2816" width="11.42578125" style="361"/>
    <col min="2817" max="2817" width="1.7109375" style="361" customWidth="1"/>
    <col min="2818" max="2818" width="11.42578125" style="361"/>
    <col min="2819" max="2819" width="15.28515625" style="361" bestFit="1" customWidth="1"/>
    <col min="2820" max="2820" width="10.5703125" style="361" customWidth="1"/>
    <col min="2821" max="2821" width="19" style="361" customWidth="1"/>
    <col min="2822" max="2824" width="9.7109375" style="361" customWidth="1"/>
    <col min="2825" max="2825" width="10" style="361" customWidth="1"/>
    <col min="2826" max="2827" width="9.7109375" style="361" customWidth="1"/>
    <col min="2828" max="2828" width="7.85546875" style="361" customWidth="1"/>
    <col min="2829" max="3072" width="11.42578125" style="361"/>
    <col min="3073" max="3073" width="1.7109375" style="361" customWidth="1"/>
    <col min="3074" max="3074" width="11.42578125" style="361"/>
    <col min="3075" max="3075" width="15.28515625" style="361" bestFit="1" customWidth="1"/>
    <col min="3076" max="3076" width="10.5703125" style="361" customWidth="1"/>
    <col min="3077" max="3077" width="19" style="361" customWidth="1"/>
    <col min="3078" max="3080" width="9.7109375" style="361" customWidth="1"/>
    <col min="3081" max="3081" width="10" style="361" customWidth="1"/>
    <col min="3082" max="3083" width="9.7109375" style="361" customWidth="1"/>
    <col min="3084" max="3084" width="7.85546875" style="361" customWidth="1"/>
    <col min="3085" max="3328" width="11.42578125" style="361"/>
    <col min="3329" max="3329" width="1.7109375" style="361" customWidth="1"/>
    <col min="3330" max="3330" width="11.42578125" style="361"/>
    <col min="3331" max="3331" width="15.28515625" style="361" bestFit="1" customWidth="1"/>
    <col min="3332" max="3332" width="10.5703125" style="361" customWidth="1"/>
    <col min="3333" max="3333" width="19" style="361" customWidth="1"/>
    <col min="3334" max="3336" width="9.7109375" style="361" customWidth="1"/>
    <col min="3337" max="3337" width="10" style="361" customWidth="1"/>
    <col min="3338" max="3339" width="9.7109375" style="361" customWidth="1"/>
    <col min="3340" max="3340" width="7.85546875" style="361" customWidth="1"/>
    <col min="3341" max="3584" width="11.42578125" style="361"/>
    <col min="3585" max="3585" width="1.7109375" style="361" customWidth="1"/>
    <col min="3586" max="3586" width="11.42578125" style="361"/>
    <col min="3587" max="3587" width="15.28515625" style="361" bestFit="1" customWidth="1"/>
    <col min="3588" max="3588" width="10.5703125" style="361" customWidth="1"/>
    <col min="3589" max="3589" width="19" style="361" customWidth="1"/>
    <col min="3590" max="3592" width="9.7109375" style="361" customWidth="1"/>
    <col min="3593" max="3593" width="10" style="361" customWidth="1"/>
    <col min="3594" max="3595" width="9.7109375" style="361" customWidth="1"/>
    <col min="3596" max="3596" width="7.85546875" style="361" customWidth="1"/>
    <col min="3597" max="3840" width="11.42578125" style="361"/>
    <col min="3841" max="3841" width="1.7109375" style="361" customWidth="1"/>
    <col min="3842" max="3842" width="11.42578125" style="361"/>
    <col min="3843" max="3843" width="15.28515625" style="361" bestFit="1" customWidth="1"/>
    <col min="3844" max="3844" width="10.5703125" style="361" customWidth="1"/>
    <col min="3845" max="3845" width="19" style="361" customWidth="1"/>
    <col min="3846" max="3848" width="9.7109375" style="361" customWidth="1"/>
    <col min="3849" max="3849" width="10" style="361" customWidth="1"/>
    <col min="3850" max="3851" width="9.7109375" style="361" customWidth="1"/>
    <col min="3852" max="3852" width="7.85546875" style="361" customWidth="1"/>
    <col min="3853" max="4096" width="11.42578125" style="361"/>
    <col min="4097" max="4097" width="1.7109375" style="361" customWidth="1"/>
    <col min="4098" max="4098" width="11.42578125" style="361"/>
    <col min="4099" max="4099" width="15.28515625" style="361" bestFit="1" customWidth="1"/>
    <col min="4100" max="4100" width="10.5703125" style="361" customWidth="1"/>
    <col min="4101" max="4101" width="19" style="361" customWidth="1"/>
    <col min="4102" max="4104" width="9.7109375" style="361" customWidth="1"/>
    <col min="4105" max="4105" width="10" style="361" customWidth="1"/>
    <col min="4106" max="4107" width="9.7109375" style="361" customWidth="1"/>
    <col min="4108" max="4108" width="7.85546875" style="361" customWidth="1"/>
    <col min="4109" max="4352" width="11.42578125" style="361"/>
    <col min="4353" max="4353" width="1.7109375" style="361" customWidth="1"/>
    <col min="4354" max="4354" width="11.42578125" style="361"/>
    <col min="4355" max="4355" width="15.28515625" style="361" bestFit="1" customWidth="1"/>
    <col min="4356" max="4356" width="10.5703125" style="361" customWidth="1"/>
    <col min="4357" max="4357" width="19" style="361" customWidth="1"/>
    <col min="4358" max="4360" width="9.7109375" style="361" customWidth="1"/>
    <col min="4361" max="4361" width="10" style="361" customWidth="1"/>
    <col min="4362" max="4363" width="9.7109375" style="361" customWidth="1"/>
    <col min="4364" max="4364" width="7.85546875" style="361" customWidth="1"/>
    <col min="4365" max="4608" width="11.42578125" style="361"/>
    <col min="4609" max="4609" width="1.7109375" style="361" customWidth="1"/>
    <col min="4610" max="4610" width="11.42578125" style="361"/>
    <col min="4611" max="4611" width="15.28515625" style="361" bestFit="1" customWidth="1"/>
    <col min="4612" max="4612" width="10.5703125" style="361" customWidth="1"/>
    <col min="4613" max="4613" width="19" style="361" customWidth="1"/>
    <col min="4614" max="4616" width="9.7109375" style="361" customWidth="1"/>
    <col min="4617" max="4617" width="10" style="361" customWidth="1"/>
    <col min="4618" max="4619" width="9.7109375" style="361" customWidth="1"/>
    <col min="4620" max="4620" width="7.85546875" style="361" customWidth="1"/>
    <col min="4621" max="4864" width="11.42578125" style="361"/>
    <col min="4865" max="4865" width="1.7109375" style="361" customWidth="1"/>
    <col min="4866" max="4866" width="11.42578125" style="361"/>
    <col min="4867" max="4867" width="15.28515625" style="361" bestFit="1" customWidth="1"/>
    <col min="4868" max="4868" width="10.5703125" style="361" customWidth="1"/>
    <col min="4869" max="4869" width="19" style="361" customWidth="1"/>
    <col min="4870" max="4872" width="9.7109375" style="361" customWidth="1"/>
    <col min="4873" max="4873" width="10" style="361" customWidth="1"/>
    <col min="4874" max="4875" width="9.7109375" style="361" customWidth="1"/>
    <col min="4876" max="4876" width="7.85546875" style="361" customWidth="1"/>
    <col min="4877" max="5120" width="11.42578125" style="361"/>
    <col min="5121" max="5121" width="1.7109375" style="361" customWidth="1"/>
    <col min="5122" max="5122" width="11.42578125" style="361"/>
    <col min="5123" max="5123" width="15.28515625" style="361" bestFit="1" customWidth="1"/>
    <col min="5124" max="5124" width="10.5703125" style="361" customWidth="1"/>
    <col min="5125" max="5125" width="19" style="361" customWidth="1"/>
    <col min="5126" max="5128" width="9.7109375" style="361" customWidth="1"/>
    <col min="5129" max="5129" width="10" style="361" customWidth="1"/>
    <col min="5130" max="5131" width="9.7109375" style="361" customWidth="1"/>
    <col min="5132" max="5132" width="7.85546875" style="361" customWidth="1"/>
    <col min="5133" max="5376" width="11.42578125" style="361"/>
    <col min="5377" max="5377" width="1.7109375" style="361" customWidth="1"/>
    <col min="5378" max="5378" width="11.42578125" style="361"/>
    <col min="5379" max="5379" width="15.28515625" style="361" bestFit="1" customWidth="1"/>
    <col min="5380" max="5380" width="10.5703125" style="361" customWidth="1"/>
    <col min="5381" max="5381" width="19" style="361" customWidth="1"/>
    <col min="5382" max="5384" width="9.7109375" style="361" customWidth="1"/>
    <col min="5385" max="5385" width="10" style="361" customWidth="1"/>
    <col min="5386" max="5387" width="9.7109375" style="361" customWidth="1"/>
    <col min="5388" max="5388" width="7.85546875" style="361" customWidth="1"/>
    <col min="5389" max="5632" width="11.42578125" style="361"/>
    <col min="5633" max="5633" width="1.7109375" style="361" customWidth="1"/>
    <col min="5634" max="5634" width="11.42578125" style="361"/>
    <col min="5635" max="5635" width="15.28515625" style="361" bestFit="1" customWidth="1"/>
    <col min="5636" max="5636" width="10.5703125" style="361" customWidth="1"/>
    <col min="5637" max="5637" width="19" style="361" customWidth="1"/>
    <col min="5638" max="5640" width="9.7109375" style="361" customWidth="1"/>
    <col min="5641" max="5641" width="10" style="361" customWidth="1"/>
    <col min="5642" max="5643" width="9.7109375" style="361" customWidth="1"/>
    <col min="5644" max="5644" width="7.85546875" style="361" customWidth="1"/>
    <col min="5645" max="5888" width="11.42578125" style="361"/>
    <col min="5889" max="5889" width="1.7109375" style="361" customWidth="1"/>
    <col min="5890" max="5890" width="11.42578125" style="361"/>
    <col min="5891" max="5891" width="15.28515625" style="361" bestFit="1" customWidth="1"/>
    <col min="5892" max="5892" width="10.5703125" style="361" customWidth="1"/>
    <col min="5893" max="5893" width="19" style="361" customWidth="1"/>
    <col min="5894" max="5896" width="9.7109375" style="361" customWidth="1"/>
    <col min="5897" max="5897" width="10" style="361" customWidth="1"/>
    <col min="5898" max="5899" width="9.7109375" style="361" customWidth="1"/>
    <col min="5900" max="5900" width="7.85546875" style="361" customWidth="1"/>
    <col min="5901" max="6144" width="11.42578125" style="361"/>
    <col min="6145" max="6145" width="1.7109375" style="361" customWidth="1"/>
    <col min="6146" max="6146" width="11.42578125" style="361"/>
    <col min="6147" max="6147" width="15.28515625" style="361" bestFit="1" customWidth="1"/>
    <col min="6148" max="6148" width="10.5703125" style="361" customWidth="1"/>
    <col min="6149" max="6149" width="19" style="361" customWidth="1"/>
    <col min="6150" max="6152" width="9.7109375" style="361" customWidth="1"/>
    <col min="6153" max="6153" width="10" style="361" customWidth="1"/>
    <col min="6154" max="6155" width="9.7109375" style="361" customWidth="1"/>
    <col min="6156" max="6156" width="7.85546875" style="361" customWidth="1"/>
    <col min="6157" max="6400" width="11.42578125" style="361"/>
    <col min="6401" max="6401" width="1.7109375" style="361" customWidth="1"/>
    <col min="6402" max="6402" width="11.42578125" style="361"/>
    <col min="6403" max="6403" width="15.28515625" style="361" bestFit="1" customWidth="1"/>
    <col min="6404" max="6404" width="10.5703125" style="361" customWidth="1"/>
    <col min="6405" max="6405" width="19" style="361" customWidth="1"/>
    <col min="6406" max="6408" width="9.7109375" style="361" customWidth="1"/>
    <col min="6409" max="6409" width="10" style="361" customWidth="1"/>
    <col min="6410" max="6411" width="9.7109375" style="361" customWidth="1"/>
    <col min="6412" max="6412" width="7.85546875" style="361" customWidth="1"/>
    <col min="6413" max="6656" width="11.42578125" style="361"/>
    <col min="6657" max="6657" width="1.7109375" style="361" customWidth="1"/>
    <col min="6658" max="6658" width="11.42578125" style="361"/>
    <col min="6659" max="6659" width="15.28515625" style="361" bestFit="1" customWidth="1"/>
    <col min="6660" max="6660" width="10.5703125" style="361" customWidth="1"/>
    <col min="6661" max="6661" width="19" style="361" customWidth="1"/>
    <col min="6662" max="6664" width="9.7109375" style="361" customWidth="1"/>
    <col min="6665" max="6665" width="10" style="361" customWidth="1"/>
    <col min="6666" max="6667" width="9.7109375" style="361" customWidth="1"/>
    <col min="6668" max="6668" width="7.85546875" style="361" customWidth="1"/>
    <col min="6669" max="6912" width="11.42578125" style="361"/>
    <col min="6913" max="6913" width="1.7109375" style="361" customWidth="1"/>
    <col min="6914" max="6914" width="11.42578125" style="361"/>
    <col min="6915" max="6915" width="15.28515625" style="361" bestFit="1" customWidth="1"/>
    <col min="6916" max="6916" width="10.5703125" style="361" customWidth="1"/>
    <col min="6917" max="6917" width="19" style="361" customWidth="1"/>
    <col min="6918" max="6920" width="9.7109375" style="361" customWidth="1"/>
    <col min="6921" max="6921" width="10" style="361" customWidth="1"/>
    <col min="6922" max="6923" width="9.7109375" style="361" customWidth="1"/>
    <col min="6924" max="6924" width="7.85546875" style="361" customWidth="1"/>
    <col min="6925" max="7168" width="11.42578125" style="361"/>
    <col min="7169" max="7169" width="1.7109375" style="361" customWidth="1"/>
    <col min="7170" max="7170" width="11.42578125" style="361"/>
    <col min="7171" max="7171" width="15.28515625" style="361" bestFit="1" customWidth="1"/>
    <col min="7172" max="7172" width="10.5703125" style="361" customWidth="1"/>
    <col min="7173" max="7173" width="19" style="361" customWidth="1"/>
    <col min="7174" max="7176" width="9.7109375" style="361" customWidth="1"/>
    <col min="7177" max="7177" width="10" style="361" customWidth="1"/>
    <col min="7178" max="7179" width="9.7109375" style="361" customWidth="1"/>
    <col min="7180" max="7180" width="7.85546875" style="361" customWidth="1"/>
    <col min="7181" max="7424" width="11.42578125" style="361"/>
    <col min="7425" max="7425" width="1.7109375" style="361" customWidth="1"/>
    <col min="7426" max="7426" width="11.42578125" style="361"/>
    <col min="7427" max="7427" width="15.28515625" style="361" bestFit="1" customWidth="1"/>
    <col min="7428" max="7428" width="10.5703125" style="361" customWidth="1"/>
    <col min="7429" max="7429" width="19" style="361" customWidth="1"/>
    <col min="7430" max="7432" width="9.7109375" style="361" customWidth="1"/>
    <col min="7433" max="7433" width="10" style="361" customWidth="1"/>
    <col min="7434" max="7435" width="9.7109375" style="361" customWidth="1"/>
    <col min="7436" max="7436" width="7.85546875" style="361" customWidth="1"/>
    <col min="7437" max="7680" width="11.42578125" style="361"/>
    <col min="7681" max="7681" width="1.7109375" style="361" customWidth="1"/>
    <col min="7682" max="7682" width="11.42578125" style="361"/>
    <col min="7683" max="7683" width="15.28515625" style="361" bestFit="1" customWidth="1"/>
    <col min="7684" max="7684" width="10.5703125" style="361" customWidth="1"/>
    <col min="7685" max="7685" width="19" style="361" customWidth="1"/>
    <col min="7686" max="7688" width="9.7109375" style="361" customWidth="1"/>
    <col min="7689" max="7689" width="10" style="361" customWidth="1"/>
    <col min="7690" max="7691" width="9.7109375" style="361" customWidth="1"/>
    <col min="7692" max="7692" width="7.85546875" style="361" customWidth="1"/>
    <col min="7693" max="7936" width="11.42578125" style="361"/>
    <col min="7937" max="7937" width="1.7109375" style="361" customWidth="1"/>
    <col min="7938" max="7938" width="11.42578125" style="361"/>
    <col min="7939" max="7939" width="15.28515625" style="361" bestFit="1" customWidth="1"/>
    <col min="7940" max="7940" width="10.5703125" style="361" customWidth="1"/>
    <col min="7941" max="7941" width="19" style="361" customWidth="1"/>
    <col min="7942" max="7944" width="9.7109375" style="361" customWidth="1"/>
    <col min="7945" max="7945" width="10" style="361" customWidth="1"/>
    <col min="7946" max="7947" width="9.7109375" style="361" customWidth="1"/>
    <col min="7948" max="7948" width="7.85546875" style="361" customWidth="1"/>
    <col min="7949" max="8192" width="11.42578125" style="361"/>
    <col min="8193" max="8193" width="1.7109375" style="361" customWidth="1"/>
    <col min="8194" max="8194" width="11.42578125" style="361"/>
    <col min="8195" max="8195" width="15.28515625" style="361" bestFit="1" customWidth="1"/>
    <col min="8196" max="8196" width="10.5703125" style="361" customWidth="1"/>
    <col min="8197" max="8197" width="19" style="361" customWidth="1"/>
    <col min="8198" max="8200" width="9.7109375" style="361" customWidth="1"/>
    <col min="8201" max="8201" width="10" style="361" customWidth="1"/>
    <col min="8202" max="8203" width="9.7109375" style="361" customWidth="1"/>
    <col min="8204" max="8204" width="7.85546875" style="361" customWidth="1"/>
    <col min="8205" max="8448" width="11.42578125" style="361"/>
    <col min="8449" max="8449" width="1.7109375" style="361" customWidth="1"/>
    <col min="8450" max="8450" width="11.42578125" style="361"/>
    <col min="8451" max="8451" width="15.28515625" style="361" bestFit="1" customWidth="1"/>
    <col min="8452" max="8452" width="10.5703125" style="361" customWidth="1"/>
    <col min="8453" max="8453" width="19" style="361" customWidth="1"/>
    <col min="8454" max="8456" width="9.7109375" style="361" customWidth="1"/>
    <col min="8457" max="8457" width="10" style="361" customWidth="1"/>
    <col min="8458" max="8459" width="9.7109375" style="361" customWidth="1"/>
    <col min="8460" max="8460" width="7.85546875" style="361" customWidth="1"/>
    <col min="8461" max="8704" width="11.42578125" style="361"/>
    <col min="8705" max="8705" width="1.7109375" style="361" customWidth="1"/>
    <col min="8706" max="8706" width="11.42578125" style="361"/>
    <col min="8707" max="8707" width="15.28515625" style="361" bestFit="1" customWidth="1"/>
    <col min="8708" max="8708" width="10.5703125" style="361" customWidth="1"/>
    <col min="8709" max="8709" width="19" style="361" customWidth="1"/>
    <col min="8710" max="8712" width="9.7109375" style="361" customWidth="1"/>
    <col min="8713" max="8713" width="10" style="361" customWidth="1"/>
    <col min="8714" max="8715" width="9.7109375" style="361" customWidth="1"/>
    <col min="8716" max="8716" width="7.85546875" style="361" customWidth="1"/>
    <col min="8717" max="8960" width="11.42578125" style="361"/>
    <col min="8961" max="8961" width="1.7109375" style="361" customWidth="1"/>
    <col min="8962" max="8962" width="11.42578125" style="361"/>
    <col min="8963" max="8963" width="15.28515625" style="361" bestFit="1" customWidth="1"/>
    <col min="8964" max="8964" width="10.5703125" style="361" customWidth="1"/>
    <col min="8965" max="8965" width="19" style="361" customWidth="1"/>
    <col min="8966" max="8968" width="9.7109375" style="361" customWidth="1"/>
    <col min="8969" max="8969" width="10" style="361" customWidth="1"/>
    <col min="8970" max="8971" width="9.7109375" style="361" customWidth="1"/>
    <col min="8972" max="8972" width="7.85546875" style="361" customWidth="1"/>
    <col min="8973" max="9216" width="11.42578125" style="361"/>
    <col min="9217" max="9217" width="1.7109375" style="361" customWidth="1"/>
    <col min="9218" max="9218" width="11.42578125" style="361"/>
    <col min="9219" max="9219" width="15.28515625" style="361" bestFit="1" customWidth="1"/>
    <col min="9220" max="9220" width="10.5703125" style="361" customWidth="1"/>
    <col min="9221" max="9221" width="19" style="361" customWidth="1"/>
    <col min="9222" max="9224" width="9.7109375" style="361" customWidth="1"/>
    <col min="9225" max="9225" width="10" style="361" customWidth="1"/>
    <col min="9226" max="9227" width="9.7109375" style="361" customWidth="1"/>
    <col min="9228" max="9228" width="7.85546875" style="361" customWidth="1"/>
    <col min="9229" max="9472" width="11.42578125" style="361"/>
    <col min="9473" max="9473" width="1.7109375" style="361" customWidth="1"/>
    <col min="9474" max="9474" width="11.42578125" style="361"/>
    <col min="9475" max="9475" width="15.28515625" style="361" bestFit="1" customWidth="1"/>
    <col min="9476" max="9476" width="10.5703125" style="361" customWidth="1"/>
    <col min="9477" max="9477" width="19" style="361" customWidth="1"/>
    <col min="9478" max="9480" width="9.7109375" style="361" customWidth="1"/>
    <col min="9481" max="9481" width="10" style="361" customWidth="1"/>
    <col min="9482" max="9483" width="9.7109375" style="361" customWidth="1"/>
    <col min="9484" max="9484" width="7.85546875" style="361" customWidth="1"/>
    <col min="9485" max="9728" width="11.42578125" style="361"/>
    <col min="9729" max="9729" width="1.7109375" style="361" customWidth="1"/>
    <col min="9730" max="9730" width="11.42578125" style="361"/>
    <col min="9731" max="9731" width="15.28515625" style="361" bestFit="1" customWidth="1"/>
    <col min="9732" max="9732" width="10.5703125" style="361" customWidth="1"/>
    <col min="9733" max="9733" width="19" style="361" customWidth="1"/>
    <col min="9734" max="9736" width="9.7109375" style="361" customWidth="1"/>
    <col min="9737" max="9737" width="10" style="361" customWidth="1"/>
    <col min="9738" max="9739" width="9.7109375" style="361" customWidth="1"/>
    <col min="9740" max="9740" width="7.85546875" style="361" customWidth="1"/>
    <col min="9741" max="9984" width="11.42578125" style="361"/>
    <col min="9985" max="9985" width="1.7109375" style="361" customWidth="1"/>
    <col min="9986" max="9986" width="11.42578125" style="361"/>
    <col min="9987" max="9987" width="15.28515625" style="361" bestFit="1" customWidth="1"/>
    <col min="9988" max="9988" width="10.5703125" style="361" customWidth="1"/>
    <col min="9989" max="9989" width="19" style="361" customWidth="1"/>
    <col min="9990" max="9992" width="9.7109375" style="361" customWidth="1"/>
    <col min="9993" max="9993" width="10" style="361" customWidth="1"/>
    <col min="9994" max="9995" width="9.7109375" style="361" customWidth="1"/>
    <col min="9996" max="9996" width="7.85546875" style="361" customWidth="1"/>
    <col min="9997" max="10240" width="11.42578125" style="361"/>
    <col min="10241" max="10241" width="1.7109375" style="361" customWidth="1"/>
    <col min="10242" max="10242" width="11.42578125" style="361"/>
    <col min="10243" max="10243" width="15.28515625" style="361" bestFit="1" customWidth="1"/>
    <col min="10244" max="10244" width="10.5703125" style="361" customWidth="1"/>
    <col min="10245" max="10245" width="19" style="361" customWidth="1"/>
    <col min="10246" max="10248" width="9.7109375" style="361" customWidth="1"/>
    <col min="10249" max="10249" width="10" style="361" customWidth="1"/>
    <col min="10250" max="10251" width="9.7109375" style="361" customWidth="1"/>
    <col min="10252" max="10252" width="7.85546875" style="361" customWidth="1"/>
    <col min="10253" max="10496" width="11.42578125" style="361"/>
    <col min="10497" max="10497" width="1.7109375" style="361" customWidth="1"/>
    <col min="10498" max="10498" width="11.42578125" style="361"/>
    <col min="10499" max="10499" width="15.28515625" style="361" bestFit="1" customWidth="1"/>
    <col min="10500" max="10500" width="10.5703125" style="361" customWidth="1"/>
    <col min="10501" max="10501" width="19" style="361" customWidth="1"/>
    <col min="10502" max="10504" width="9.7109375" style="361" customWidth="1"/>
    <col min="10505" max="10505" width="10" style="361" customWidth="1"/>
    <col min="10506" max="10507" width="9.7109375" style="361" customWidth="1"/>
    <col min="10508" max="10508" width="7.85546875" style="361" customWidth="1"/>
    <col min="10509" max="10752" width="11.42578125" style="361"/>
    <col min="10753" max="10753" width="1.7109375" style="361" customWidth="1"/>
    <col min="10754" max="10754" width="11.42578125" style="361"/>
    <col min="10755" max="10755" width="15.28515625" style="361" bestFit="1" customWidth="1"/>
    <col min="10756" max="10756" width="10.5703125" style="361" customWidth="1"/>
    <col min="10757" max="10757" width="19" style="361" customWidth="1"/>
    <col min="10758" max="10760" width="9.7109375" style="361" customWidth="1"/>
    <col min="10761" max="10761" width="10" style="361" customWidth="1"/>
    <col min="10762" max="10763" width="9.7109375" style="361" customWidth="1"/>
    <col min="10764" max="10764" width="7.85546875" style="361" customWidth="1"/>
    <col min="10765" max="11008" width="11.42578125" style="361"/>
    <col min="11009" max="11009" width="1.7109375" style="361" customWidth="1"/>
    <col min="11010" max="11010" width="11.42578125" style="361"/>
    <col min="11011" max="11011" width="15.28515625" style="361" bestFit="1" customWidth="1"/>
    <col min="11012" max="11012" width="10.5703125" style="361" customWidth="1"/>
    <col min="11013" max="11013" width="19" style="361" customWidth="1"/>
    <col min="11014" max="11016" width="9.7109375" style="361" customWidth="1"/>
    <col min="11017" max="11017" width="10" style="361" customWidth="1"/>
    <col min="11018" max="11019" width="9.7109375" style="361" customWidth="1"/>
    <col min="11020" max="11020" width="7.85546875" style="361" customWidth="1"/>
    <col min="11021" max="11264" width="11.42578125" style="361"/>
    <col min="11265" max="11265" width="1.7109375" style="361" customWidth="1"/>
    <col min="11266" max="11266" width="11.42578125" style="361"/>
    <col min="11267" max="11267" width="15.28515625" style="361" bestFit="1" customWidth="1"/>
    <col min="11268" max="11268" width="10.5703125" style="361" customWidth="1"/>
    <col min="11269" max="11269" width="19" style="361" customWidth="1"/>
    <col min="11270" max="11272" width="9.7109375" style="361" customWidth="1"/>
    <col min="11273" max="11273" width="10" style="361" customWidth="1"/>
    <col min="11274" max="11275" width="9.7109375" style="361" customWidth="1"/>
    <col min="11276" max="11276" width="7.85546875" style="361" customWidth="1"/>
    <col min="11277" max="11520" width="11.42578125" style="361"/>
    <col min="11521" max="11521" width="1.7109375" style="361" customWidth="1"/>
    <col min="11522" max="11522" width="11.42578125" style="361"/>
    <col min="11523" max="11523" width="15.28515625" style="361" bestFit="1" customWidth="1"/>
    <col min="11524" max="11524" width="10.5703125" style="361" customWidth="1"/>
    <col min="11525" max="11525" width="19" style="361" customWidth="1"/>
    <col min="11526" max="11528" width="9.7109375" style="361" customWidth="1"/>
    <col min="11529" max="11529" width="10" style="361" customWidth="1"/>
    <col min="11530" max="11531" width="9.7109375" style="361" customWidth="1"/>
    <col min="11532" max="11532" width="7.85546875" style="361" customWidth="1"/>
    <col min="11533" max="11776" width="11.42578125" style="361"/>
    <col min="11777" max="11777" width="1.7109375" style="361" customWidth="1"/>
    <col min="11778" max="11778" width="11.42578125" style="361"/>
    <col min="11779" max="11779" width="15.28515625" style="361" bestFit="1" customWidth="1"/>
    <col min="11780" max="11780" width="10.5703125" style="361" customWidth="1"/>
    <col min="11781" max="11781" width="19" style="361" customWidth="1"/>
    <col min="11782" max="11784" width="9.7109375" style="361" customWidth="1"/>
    <col min="11785" max="11785" width="10" style="361" customWidth="1"/>
    <col min="11786" max="11787" width="9.7109375" style="361" customWidth="1"/>
    <col min="11788" max="11788" width="7.85546875" style="361" customWidth="1"/>
    <col min="11789" max="12032" width="11.42578125" style="361"/>
    <col min="12033" max="12033" width="1.7109375" style="361" customWidth="1"/>
    <col min="12034" max="12034" width="11.42578125" style="361"/>
    <col min="12035" max="12035" width="15.28515625" style="361" bestFit="1" customWidth="1"/>
    <col min="12036" max="12036" width="10.5703125" style="361" customWidth="1"/>
    <col min="12037" max="12037" width="19" style="361" customWidth="1"/>
    <col min="12038" max="12040" width="9.7109375" style="361" customWidth="1"/>
    <col min="12041" max="12041" width="10" style="361" customWidth="1"/>
    <col min="12042" max="12043" width="9.7109375" style="361" customWidth="1"/>
    <col min="12044" max="12044" width="7.85546875" style="361" customWidth="1"/>
    <col min="12045" max="12288" width="11.42578125" style="361"/>
    <col min="12289" max="12289" width="1.7109375" style="361" customWidth="1"/>
    <col min="12290" max="12290" width="11.42578125" style="361"/>
    <col min="12291" max="12291" width="15.28515625" style="361" bestFit="1" customWidth="1"/>
    <col min="12292" max="12292" width="10.5703125" style="361" customWidth="1"/>
    <col min="12293" max="12293" width="19" style="361" customWidth="1"/>
    <col min="12294" max="12296" width="9.7109375" style="361" customWidth="1"/>
    <col min="12297" max="12297" width="10" style="361" customWidth="1"/>
    <col min="12298" max="12299" width="9.7109375" style="361" customWidth="1"/>
    <col min="12300" max="12300" width="7.85546875" style="361" customWidth="1"/>
    <col min="12301" max="12544" width="11.42578125" style="361"/>
    <col min="12545" max="12545" width="1.7109375" style="361" customWidth="1"/>
    <col min="12546" max="12546" width="11.42578125" style="361"/>
    <col min="12547" max="12547" width="15.28515625" style="361" bestFit="1" customWidth="1"/>
    <col min="12548" max="12548" width="10.5703125" style="361" customWidth="1"/>
    <col min="12549" max="12549" width="19" style="361" customWidth="1"/>
    <col min="12550" max="12552" width="9.7109375" style="361" customWidth="1"/>
    <col min="12553" max="12553" width="10" style="361" customWidth="1"/>
    <col min="12554" max="12555" width="9.7109375" style="361" customWidth="1"/>
    <col min="12556" max="12556" width="7.85546875" style="361" customWidth="1"/>
    <col min="12557" max="12800" width="11.42578125" style="361"/>
    <col min="12801" max="12801" width="1.7109375" style="361" customWidth="1"/>
    <col min="12802" max="12802" width="11.42578125" style="361"/>
    <col min="12803" max="12803" width="15.28515625" style="361" bestFit="1" customWidth="1"/>
    <col min="12804" max="12804" width="10.5703125" style="361" customWidth="1"/>
    <col min="12805" max="12805" width="19" style="361" customWidth="1"/>
    <col min="12806" max="12808" width="9.7109375" style="361" customWidth="1"/>
    <col min="12809" max="12809" width="10" style="361" customWidth="1"/>
    <col min="12810" max="12811" width="9.7109375" style="361" customWidth="1"/>
    <col min="12812" max="12812" width="7.85546875" style="361" customWidth="1"/>
    <col min="12813" max="13056" width="11.42578125" style="361"/>
    <col min="13057" max="13057" width="1.7109375" style="361" customWidth="1"/>
    <col min="13058" max="13058" width="11.42578125" style="361"/>
    <col min="13059" max="13059" width="15.28515625" style="361" bestFit="1" customWidth="1"/>
    <col min="13060" max="13060" width="10.5703125" style="361" customWidth="1"/>
    <col min="13061" max="13061" width="19" style="361" customWidth="1"/>
    <col min="13062" max="13064" width="9.7109375" style="361" customWidth="1"/>
    <col min="13065" max="13065" width="10" style="361" customWidth="1"/>
    <col min="13066" max="13067" width="9.7109375" style="361" customWidth="1"/>
    <col min="13068" max="13068" width="7.85546875" style="361" customWidth="1"/>
    <col min="13069" max="13312" width="11.42578125" style="361"/>
    <col min="13313" max="13313" width="1.7109375" style="361" customWidth="1"/>
    <col min="13314" max="13314" width="11.42578125" style="361"/>
    <col min="13315" max="13315" width="15.28515625" style="361" bestFit="1" customWidth="1"/>
    <col min="13316" max="13316" width="10.5703125" style="361" customWidth="1"/>
    <col min="13317" max="13317" width="19" style="361" customWidth="1"/>
    <col min="13318" max="13320" width="9.7109375" style="361" customWidth="1"/>
    <col min="13321" max="13321" width="10" style="361" customWidth="1"/>
    <col min="13322" max="13323" width="9.7109375" style="361" customWidth="1"/>
    <col min="13324" max="13324" width="7.85546875" style="361" customWidth="1"/>
    <col min="13325" max="13568" width="11.42578125" style="361"/>
    <col min="13569" max="13569" width="1.7109375" style="361" customWidth="1"/>
    <col min="13570" max="13570" width="11.42578125" style="361"/>
    <col min="13571" max="13571" width="15.28515625" style="361" bestFit="1" customWidth="1"/>
    <col min="13572" max="13572" width="10.5703125" style="361" customWidth="1"/>
    <col min="13573" max="13573" width="19" style="361" customWidth="1"/>
    <col min="13574" max="13576" width="9.7109375" style="361" customWidth="1"/>
    <col min="13577" max="13577" width="10" style="361" customWidth="1"/>
    <col min="13578" max="13579" width="9.7109375" style="361" customWidth="1"/>
    <col min="13580" max="13580" width="7.85546875" style="361" customWidth="1"/>
    <col min="13581" max="13824" width="11.42578125" style="361"/>
    <col min="13825" max="13825" width="1.7109375" style="361" customWidth="1"/>
    <col min="13826" max="13826" width="11.42578125" style="361"/>
    <col min="13827" max="13827" width="15.28515625" style="361" bestFit="1" customWidth="1"/>
    <col min="13828" max="13828" width="10.5703125" style="361" customWidth="1"/>
    <col min="13829" max="13829" width="19" style="361" customWidth="1"/>
    <col min="13830" max="13832" width="9.7109375" style="361" customWidth="1"/>
    <col min="13833" max="13833" width="10" style="361" customWidth="1"/>
    <col min="13834" max="13835" width="9.7109375" style="361" customWidth="1"/>
    <col min="13836" max="13836" width="7.85546875" style="361" customWidth="1"/>
    <col min="13837" max="14080" width="11.42578125" style="361"/>
    <col min="14081" max="14081" width="1.7109375" style="361" customWidth="1"/>
    <col min="14082" max="14082" width="11.42578125" style="361"/>
    <col min="14083" max="14083" width="15.28515625" style="361" bestFit="1" customWidth="1"/>
    <col min="14084" max="14084" width="10.5703125" style="361" customWidth="1"/>
    <col min="14085" max="14085" width="19" style="361" customWidth="1"/>
    <col min="14086" max="14088" width="9.7109375" style="361" customWidth="1"/>
    <col min="14089" max="14089" width="10" style="361" customWidth="1"/>
    <col min="14090" max="14091" width="9.7109375" style="361" customWidth="1"/>
    <col min="14092" max="14092" width="7.85546875" style="361" customWidth="1"/>
    <col min="14093" max="14336" width="11.42578125" style="361"/>
    <col min="14337" max="14337" width="1.7109375" style="361" customWidth="1"/>
    <col min="14338" max="14338" width="11.42578125" style="361"/>
    <col min="14339" max="14339" width="15.28515625" style="361" bestFit="1" customWidth="1"/>
    <col min="14340" max="14340" width="10.5703125" style="361" customWidth="1"/>
    <col min="14341" max="14341" width="19" style="361" customWidth="1"/>
    <col min="14342" max="14344" width="9.7109375" style="361" customWidth="1"/>
    <col min="14345" max="14345" width="10" style="361" customWidth="1"/>
    <col min="14346" max="14347" width="9.7109375" style="361" customWidth="1"/>
    <col min="14348" max="14348" width="7.85546875" style="361" customWidth="1"/>
    <col min="14349" max="14592" width="11.42578125" style="361"/>
    <col min="14593" max="14593" width="1.7109375" style="361" customWidth="1"/>
    <col min="14594" max="14594" width="11.42578125" style="361"/>
    <col min="14595" max="14595" width="15.28515625" style="361" bestFit="1" customWidth="1"/>
    <col min="14596" max="14596" width="10.5703125" style="361" customWidth="1"/>
    <col min="14597" max="14597" width="19" style="361" customWidth="1"/>
    <col min="14598" max="14600" width="9.7109375" style="361" customWidth="1"/>
    <col min="14601" max="14601" width="10" style="361" customWidth="1"/>
    <col min="14602" max="14603" width="9.7109375" style="361" customWidth="1"/>
    <col min="14604" max="14604" width="7.85546875" style="361" customWidth="1"/>
    <col min="14605" max="14848" width="11.42578125" style="361"/>
    <col min="14849" max="14849" width="1.7109375" style="361" customWidth="1"/>
    <col min="14850" max="14850" width="11.42578125" style="361"/>
    <col min="14851" max="14851" width="15.28515625" style="361" bestFit="1" customWidth="1"/>
    <col min="14852" max="14852" width="10.5703125" style="361" customWidth="1"/>
    <col min="14853" max="14853" width="19" style="361" customWidth="1"/>
    <col min="14854" max="14856" width="9.7109375" style="361" customWidth="1"/>
    <col min="14857" max="14857" width="10" style="361" customWidth="1"/>
    <col min="14858" max="14859" width="9.7109375" style="361" customWidth="1"/>
    <col min="14860" max="14860" width="7.85546875" style="361" customWidth="1"/>
    <col min="14861" max="15104" width="11.42578125" style="361"/>
    <col min="15105" max="15105" width="1.7109375" style="361" customWidth="1"/>
    <col min="15106" max="15106" width="11.42578125" style="361"/>
    <col min="15107" max="15107" width="15.28515625" style="361" bestFit="1" customWidth="1"/>
    <col min="15108" max="15108" width="10.5703125" style="361" customWidth="1"/>
    <col min="15109" max="15109" width="19" style="361" customWidth="1"/>
    <col min="15110" max="15112" width="9.7109375" style="361" customWidth="1"/>
    <col min="15113" max="15113" width="10" style="361" customWidth="1"/>
    <col min="15114" max="15115" width="9.7109375" style="361" customWidth="1"/>
    <col min="15116" max="15116" width="7.85546875" style="361" customWidth="1"/>
    <col min="15117" max="15360" width="11.42578125" style="361"/>
    <col min="15361" max="15361" width="1.7109375" style="361" customWidth="1"/>
    <col min="15362" max="15362" width="11.42578125" style="361"/>
    <col min="15363" max="15363" width="15.28515625" style="361" bestFit="1" customWidth="1"/>
    <col min="15364" max="15364" width="10.5703125" style="361" customWidth="1"/>
    <col min="15365" max="15365" width="19" style="361" customWidth="1"/>
    <col min="15366" max="15368" width="9.7109375" style="361" customWidth="1"/>
    <col min="15369" max="15369" width="10" style="361" customWidth="1"/>
    <col min="15370" max="15371" width="9.7109375" style="361" customWidth="1"/>
    <col min="15372" max="15372" width="7.85546875" style="361" customWidth="1"/>
    <col min="15373" max="15616" width="11.42578125" style="361"/>
    <col min="15617" max="15617" width="1.7109375" style="361" customWidth="1"/>
    <col min="15618" max="15618" width="11.42578125" style="361"/>
    <col min="15619" max="15619" width="15.28515625" style="361" bestFit="1" customWidth="1"/>
    <col min="15620" max="15620" width="10.5703125" style="361" customWidth="1"/>
    <col min="15621" max="15621" width="19" style="361" customWidth="1"/>
    <col min="15622" max="15624" width="9.7109375" style="361" customWidth="1"/>
    <col min="15625" max="15625" width="10" style="361" customWidth="1"/>
    <col min="15626" max="15627" width="9.7109375" style="361" customWidth="1"/>
    <col min="15628" max="15628" width="7.85546875" style="361" customWidth="1"/>
    <col min="15629" max="15872" width="11.42578125" style="361"/>
    <col min="15873" max="15873" width="1.7109375" style="361" customWidth="1"/>
    <col min="15874" max="15874" width="11.42578125" style="361"/>
    <col min="15875" max="15875" width="15.28515625" style="361" bestFit="1" customWidth="1"/>
    <col min="15876" max="15876" width="10.5703125" style="361" customWidth="1"/>
    <col min="15877" max="15877" width="19" style="361" customWidth="1"/>
    <col min="15878" max="15880" width="9.7109375" style="361" customWidth="1"/>
    <col min="15881" max="15881" width="10" style="361" customWidth="1"/>
    <col min="15882" max="15883" width="9.7109375" style="361" customWidth="1"/>
    <col min="15884" max="15884" width="7.85546875" style="361" customWidth="1"/>
    <col min="15885" max="16128" width="11.42578125" style="361"/>
    <col min="16129" max="16129" width="1.7109375" style="361" customWidth="1"/>
    <col min="16130" max="16130" width="11.42578125" style="361"/>
    <col min="16131" max="16131" width="15.28515625" style="361" bestFit="1" customWidth="1"/>
    <col min="16132" max="16132" width="10.5703125" style="361" customWidth="1"/>
    <col min="16133" max="16133" width="19" style="361" customWidth="1"/>
    <col min="16134" max="16136" width="9.7109375" style="361" customWidth="1"/>
    <col min="16137" max="16137" width="10" style="361" customWidth="1"/>
    <col min="16138" max="16139" width="9.7109375" style="361" customWidth="1"/>
    <col min="16140" max="16140" width="7.85546875" style="361" customWidth="1"/>
    <col min="16141" max="16384" width="11.42578125" style="361"/>
  </cols>
  <sheetData>
    <row r="1" spans="1:12" ht="9" customHeight="1">
      <c r="B1" s="605"/>
    </row>
    <row r="2" spans="1:12" ht="26.25">
      <c r="B2" s="606" t="s">
        <v>1307</v>
      </c>
      <c r="C2" s="607">
        <f ca="1">NOW()</f>
        <v>46257.633905902781</v>
      </c>
      <c r="D2" s="8403" t="s">
        <v>1308</v>
      </c>
      <c r="E2" s="8404"/>
      <c r="F2" s="8404"/>
      <c r="G2" s="8404"/>
      <c r="H2" s="8404"/>
      <c r="I2" s="8404"/>
      <c r="J2" s="608" t="s">
        <v>1309</v>
      </c>
      <c r="K2" s="609" t="s">
        <v>64</v>
      </c>
      <c r="L2" s="610">
        <v>1</v>
      </c>
    </row>
    <row r="3" spans="1:12" ht="9.9499999999999993" customHeight="1">
      <c r="B3" s="611"/>
      <c r="C3" s="611"/>
      <c r="D3" s="611"/>
      <c r="E3" s="611"/>
      <c r="F3" s="611"/>
      <c r="G3" s="611"/>
      <c r="H3" s="611"/>
      <c r="J3" s="611"/>
      <c r="K3" s="611"/>
      <c r="L3" s="611"/>
    </row>
    <row r="4" spans="1:12" ht="15">
      <c r="B4" s="612" t="s">
        <v>339</v>
      </c>
      <c r="C4" s="612" t="s">
        <v>338</v>
      </c>
      <c r="D4" s="612" t="s">
        <v>342</v>
      </c>
      <c r="E4" s="612" t="s">
        <v>651</v>
      </c>
      <c r="F4" s="612" t="s">
        <v>343</v>
      </c>
      <c r="G4" s="612" t="s">
        <v>515</v>
      </c>
      <c r="H4" s="612" t="s">
        <v>1175</v>
      </c>
      <c r="I4" s="612" t="s">
        <v>346</v>
      </c>
      <c r="J4" s="612" t="s">
        <v>349</v>
      </c>
      <c r="K4" s="612" t="s">
        <v>351</v>
      </c>
      <c r="L4" s="612" t="s">
        <v>34</v>
      </c>
    </row>
    <row r="5" spans="1:12" s="311" customFormat="1" ht="20.25" customHeight="1">
      <c r="B5" s="613" t="str">
        <f ca="1">CELL("nomfichier")</f>
        <v>D:\Données\1.UPRT\0-UPRT.fait\1-UPRT.FR-SITE-WEB\ff-fiches-fabrications\ff.fiches.fabrication.2023\UPRT.23.aout\[ff-20-CHARCUTERIE-michel-Mariette.BOUDIN.BLANC_-1.xlsx]Exemples Michel Mariette</v>
      </c>
      <c r="C5" s="614"/>
      <c r="D5" s="614"/>
      <c r="E5" s="615"/>
      <c r="F5" s="615"/>
      <c r="G5" s="615"/>
      <c r="H5" s="615"/>
      <c r="I5" s="615"/>
      <c r="J5" s="615"/>
      <c r="K5" s="615"/>
      <c r="L5" s="616"/>
    </row>
    <row r="6" spans="1:12" ht="91.5" customHeight="1">
      <c r="B6" s="8405" t="s">
        <v>1310</v>
      </c>
      <c r="C6" s="8406"/>
      <c r="D6" s="8406"/>
      <c r="E6" s="8407"/>
      <c r="F6" s="617" t="s">
        <v>1311</v>
      </c>
      <c r="G6" s="617" t="s">
        <v>1312</v>
      </c>
      <c r="H6" s="617" t="s">
        <v>1313</v>
      </c>
      <c r="I6" s="618" t="s">
        <v>201</v>
      </c>
      <c r="J6" s="617" t="s">
        <v>1314</v>
      </c>
      <c r="K6" s="617" t="s">
        <v>1315</v>
      </c>
      <c r="L6" s="619" t="s">
        <v>1316</v>
      </c>
    </row>
    <row r="7" spans="1:12" ht="20.100000000000001" customHeight="1">
      <c r="B7" s="620" t="s">
        <v>1317</v>
      </c>
      <c r="C7" s="621"/>
      <c r="D7" s="621"/>
      <c r="E7" s="621"/>
      <c r="F7" s="622" t="s">
        <v>537</v>
      </c>
      <c r="G7" s="622" t="s">
        <v>620</v>
      </c>
      <c r="H7" s="623" t="s">
        <v>337</v>
      </c>
      <c r="I7" s="623" t="s">
        <v>1318</v>
      </c>
      <c r="J7" s="622" t="s">
        <v>1319</v>
      </c>
      <c r="K7" s="622" t="s">
        <v>1320</v>
      </c>
      <c r="L7" s="624" t="s">
        <v>1321</v>
      </c>
    </row>
    <row r="8" spans="1:12" ht="20.100000000000001" customHeight="1">
      <c r="B8" s="625"/>
      <c r="C8" s="626"/>
      <c r="D8" s="626"/>
      <c r="E8" s="627" t="s">
        <v>1322</v>
      </c>
      <c r="F8" s="628">
        <v>0.04</v>
      </c>
      <c r="G8" s="628">
        <v>0.05</v>
      </c>
      <c r="H8" s="629">
        <v>0.08</v>
      </c>
      <c r="I8" s="630">
        <f>(H8*L8%)+H8</f>
        <v>8.7999999999999995E-2</v>
      </c>
      <c r="J8" s="631">
        <v>0.05</v>
      </c>
      <c r="K8" s="631">
        <v>0.05</v>
      </c>
      <c r="L8" s="632">
        <v>10</v>
      </c>
    </row>
    <row r="9" spans="1:12" s="360" customFormat="1" ht="20.100000000000001" customHeight="1">
      <c r="A9" s="361"/>
      <c r="B9" s="633"/>
      <c r="C9" s="626"/>
      <c r="D9" s="626"/>
      <c r="E9" s="634" t="s">
        <v>1323</v>
      </c>
      <c r="F9" s="635">
        <v>0</v>
      </c>
      <c r="G9" s="635">
        <v>0</v>
      </c>
      <c r="H9" s="635">
        <v>0</v>
      </c>
      <c r="I9" s="635">
        <v>0</v>
      </c>
      <c r="J9" s="635">
        <v>0</v>
      </c>
      <c r="K9" s="635">
        <v>0</v>
      </c>
      <c r="L9" s="636">
        <v>0</v>
      </c>
    </row>
    <row r="10" spans="1:12" ht="20.100000000000001" customHeight="1">
      <c r="B10" s="625"/>
      <c r="C10" s="626"/>
      <c r="D10" s="626"/>
      <c r="E10" s="627" t="s">
        <v>1324</v>
      </c>
      <c r="F10" s="637">
        <v>0.25</v>
      </c>
      <c r="G10" s="637">
        <v>0.5</v>
      </c>
      <c r="H10" s="638">
        <v>0.5</v>
      </c>
      <c r="I10" s="630">
        <f t="shared" ref="I10:I22" si="0">(H10*L10%)+H10</f>
        <v>0.55000000000000004</v>
      </c>
      <c r="J10" s="637">
        <v>0.5</v>
      </c>
      <c r="K10" s="628">
        <v>0.5</v>
      </c>
      <c r="L10" s="632">
        <v>10</v>
      </c>
    </row>
    <row r="11" spans="1:12" ht="20.100000000000001" customHeight="1">
      <c r="B11" s="625"/>
      <c r="C11" s="626"/>
      <c r="D11" s="626"/>
      <c r="E11" s="627" t="s">
        <v>1325</v>
      </c>
      <c r="F11" s="637">
        <v>0.05</v>
      </c>
      <c r="G11" s="637">
        <v>7.0000000000000007E-2</v>
      </c>
      <c r="H11" s="638">
        <v>0.1</v>
      </c>
      <c r="I11" s="630">
        <f t="shared" si="0"/>
        <v>0.11000000000000001</v>
      </c>
      <c r="J11" s="637">
        <v>7.0000000000000007E-2</v>
      </c>
      <c r="K11" s="628">
        <v>7.0000000000000007E-2</v>
      </c>
      <c r="L11" s="632">
        <v>10</v>
      </c>
    </row>
    <row r="12" spans="1:12" ht="20.100000000000001" customHeight="1">
      <c r="B12" s="625"/>
      <c r="C12" s="626"/>
      <c r="D12" s="626"/>
      <c r="E12" s="627" t="s">
        <v>1326</v>
      </c>
      <c r="F12" s="637">
        <v>0.04</v>
      </c>
      <c r="G12" s="637">
        <v>0.06</v>
      </c>
      <c r="H12" s="638">
        <v>0.1</v>
      </c>
      <c r="I12" s="630">
        <f t="shared" si="0"/>
        <v>0.11000000000000001</v>
      </c>
      <c r="J12" s="637">
        <v>0.08</v>
      </c>
      <c r="K12" s="628">
        <v>0.08</v>
      </c>
      <c r="L12" s="632">
        <v>10</v>
      </c>
    </row>
    <row r="13" spans="1:12" ht="20.100000000000001" customHeight="1">
      <c r="B13" s="625"/>
      <c r="C13" s="626"/>
      <c r="D13" s="626"/>
      <c r="E13" s="627" t="s">
        <v>628</v>
      </c>
      <c r="F13" s="637">
        <v>0.06</v>
      </c>
      <c r="G13" s="637">
        <v>0.08</v>
      </c>
      <c r="H13" s="638">
        <v>0.1</v>
      </c>
      <c r="I13" s="630">
        <f t="shared" si="0"/>
        <v>0.11000000000000001</v>
      </c>
      <c r="J13" s="637">
        <v>0.09</v>
      </c>
      <c r="K13" s="628">
        <v>0.09</v>
      </c>
      <c r="L13" s="632">
        <v>10</v>
      </c>
    </row>
    <row r="14" spans="1:12" ht="20.100000000000001" customHeight="1">
      <c r="B14" s="625"/>
      <c r="C14" s="626"/>
      <c r="D14" s="626"/>
      <c r="E14" s="627" t="s">
        <v>1327</v>
      </c>
      <c r="F14" s="637">
        <v>0.02</v>
      </c>
      <c r="G14" s="637">
        <v>0.03</v>
      </c>
      <c r="H14" s="638">
        <v>0.1</v>
      </c>
      <c r="I14" s="630">
        <f t="shared" si="0"/>
        <v>0.11000000000000001</v>
      </c>
      <c r="J14" s="637">
        <v>0.08</v>
      </c>
      <c r="K14" s="628">
        <v>0.08</v>
      </c>
      <c r="L14" s="632">
        <v>10</v>
      </c>
    </row>
    <row r="15" spans="1:12" ht="20.100000000000001" customHeight="1">
      <c r="B15" s="625"/>
      <c r="C15" s="626"/>
      <c r="D15" s="626"/>
      <c r="E15" s="627" t="s">
        <v>1328</v>
      </c>
      <c r="F15" s="637">
        <v>0.12</v>
      </c>
      <c r="G15" s="637">
        <v>0.15</v>
      </c>
      <c r="H15" s="638">
        <v>0.18</v>
      </c>
      <c r="I15" s="630">
        <f t="shared" si="0"/>
        <v>0.19799999999999998</v>
      </c>
      <c r="J15" s="637">
        <v>0.15</v>
      </c>
      <c r="K15" s="628">
        <v>0.15</v>
      </c>
      <c r="L15" s="632">
        <v>10</v>
      </c>
    </row>
    <row r="16" spans="1:12" ht="20.100000000000001" customHeight="1">
      <c r="B16" s="625"/>
      <c r="C16" s="626"/>
      <c r="D16" s="626"/>
      <c r="E16" s="627" t="s">
        <v>1329</v>
      </c>
      <c r="F16" s="637">
        <v>0.5</v>
      </c>
      <c r="G16" s="637">
        <v>0.5</v>
      </c>
      <c r="H16" s="638">
        <v>0.5</v>
      </c>
      <c r="I16" s="630">
        <f t="shared" si="0"/>
        <v>0.55000000000000004</v>
      </c>
      <c r="J16" s="637">
        <v>0.5</v>
      </c>
      <c r="K16" s="628">
        <v>0.5</v>
      </c>
      <c r="L16" s="632">
        <v>10</v>
      </c>
    </row>
    <row r="17" spans="1:12" ht="20.100000000000001" customHeight="1">
      <c r="B17" s="625"/>
      <c r="C17" s="626"/>
      <c r="D17" s="626"/>
      <c r="E17" s="627" t="s">
        <v>874</v>
      </c>
      <c r="F17" s="637">
        <v>0.03</v>
      </c>
      <c r="G17" s="637">
        <v>0.05</v>
      </c>
      <c r="H17" s="638">
        <v>0.09</v>
      </c>
      <c r="I17" s="630">
        <f t="shared" si="0"/>
        <v>9.8999999999999991E-2</v>
      </c>
      <c r="J17" s="637">
        <v>0.06</v>
      </c>
      <c r="K17" s="628">
        <v>0.06</v>
      </c>
      <c r="L17" s="632">
        <v>10</v>
      </c>
    </row>
    <row r="18" spans="1:12" ht="20.100000000000001" customHeight="1">
      <c r="B18" s="625"/>
      <c r="C18" s="626"/>
      <c r="D18" s="626"/>
      <c r="E18" s="627" t="s">
        <v>1330</v>
      </c>
      <c r="F18" s="628">
        <v>2.5000000000000001E-2</v>
      </c>
      <c r="G18" s="628">
        <v>0.03</v>
      </c>
      <c r="H18" s="629">
        <v>0.05</v>
      </c>
      <c r="I18" s="630">
        <f t="shared" si="0"/>
        <v>5.5000000000000007E-2</v>
      </c>
      <c r="J18" s="637">
        <v>0.03</v>
      </c>
      <c r="K18" s="637">
        <v>0.03</v>
      </c>
      <c r="L18" s="632">
        <v>10</v>
      </c>
    </row>
    <row r="19" spans="1:12" ht="20.100000000000001" customHeight="1">
      <c r="B19" s="625"/>
      <c r="C19" s="626"/>
      <c r="D19" s="626"/>
      <c r="E19" s="627" t="s">
        <v>936</v>
      </c>
      <c r="F19" s="637">
        <v>0.06</v>
      </c>
      <c r="G19" s="637">
        <v>0.08</v>
      </c>
      <c r="H19" s="638">
        <v>0.11</v>
      </c>
      <c r="I19" s="630">
        <f t="shared" si="0"/>
        <v>0.121</v>
      </c>
      <c r="J19" s="637">
        <v>0.08</v>
      </c>
      <c r="K19" s="628">
        <v>0.08</v>
      </c>
      <c r="L19" s="632">
        <v>10</v>
      </c>
    </row>
    <row r="20" spans="1:12" ht="20.100000000000001" customHeight="1">
      <c r="B20" s="625"/>
      <c r="C20" s="626"/>
      <c r="D20" s="626"/>
      <c r="E20" s="627" t="s">
        <v>1331</v>
      </c>
      <c r="F20" s="637">
        <v>0.04</v>
      </c>
      <c r="G20" s="637">
        <v>0.06</v>
      </c>
      <c r="H20" s="638">
        <v>0.09</v>
      </c>
      <c r="I20" s="630">
        <f t="shared" si="0"/>
        <v>9.8999999999999991E-2</v>
      </c>
      <c r="J20" s="637">
        <v>0.08</v>
      </c>
      <c r="K20" s="628">
        <v>0.08</v>
      </c>
      <c r="L20" s="632">
        <v>10</v>
      </c>
    </row>
    <row r="21" spans="1:12" ht="20.100000000000001" customHeight="1">
      <c r="B21" s="625"/>
      <c r="C21" s="626"/>
      <c r="D21" s="626"/>
      <c r="E21" s="627" t="s">
        <v>1332</v>
      </c>
      <c r="F21" s="637">
        <v>0.04</v>
      </c>
      <c r="G21" s="637">
        <v>0.06</v>
      </c>
      <c r="H21" s="638">
        <v>0.09</v>
      </c>
      <c r="I21" s="630">
        <f t="shared" si="0"/>
        <v>9.8999999999999991E-2</v>
      </c>
      <c r="J21" s="637">
        <v>0.08</v>
      </c>
      <c r="K21" s="628">
        <v>0.08</v>
      </c>
      <c r="L21" s="632">
        <v>10</v>
      </c>
    </row>
    <row r="22" spans="1:12" ht="20.100000000000001" customHeight="1">
      <c r="B22" s="625"/>
      <c r="C22" s="626"/>
      <c r="D22" s="626"/>
      <c r="E22" s="627" t="s">
        <v>890</v>
      </c>
      <c r="F22" s="637">
        <v>0.04</v>
      </c>
      <c r="G22" s="637">
        <v>0.06</v>
      </c>
      <c r="H22" s="638">
        <v>0.09</v>
      </c>
      <c r="I22" s="630">
        <f t="shared" si="0"/>
        <v>9.8999999999999991E-2</v>
      </c>
      <c r="J22" s="637">
        <v>0.08</v>
      </c>
      <c r="K22" s="628">
        <v>0.08</v>
      </c>
      <c r="L22" s="632">
        <v>10</v>
      </c>
    </row>
    <row r="23" spans="1:12" s="360" customFormat="1" ht="20.100000000000001" customHeight="1">
      <c r="A23" s="361"/>
      <c r="B23" s="633"/>
      <c r="C23" s="626"/>
      <c r="D23" s="626"/>
      <c r="E23" s="639" t="s">
        <v>1333</v>
      </c>
      <c r="F23" s="635">
        <v>0</v>
      </c>
      <c r="G23" s="635">
        <v>0</v>
      </c>
      <c r="H23" s="635">
        <v>0</v>
      </c>
      <c r="I23" s="635">
        <v>0</v>
      </c>
      <c r="J23" s="635">
        <v>0</v>
      </c>
      <c r="K23" s="635">
        <v>0</v>
      </c>
      <c r="L23" s="636">
        <v>0</v>
      </c>
    </row>
    <row r="24" spans="1:12" ht="20.100000000000001" customHeight="1">
      <c r="B24" s="625"/>
      <c r="C24" s="626"/>
      <c r="D24" s="626"/>
      <c r="E24" s="627" t="s">
        <v>1334</v>
      </c>
      <c r="F24" s="637">
        <v>0.125</v>
      </c>
      <c r="G24" s="637">
        <v>0.16600000000000001</v>
      </c>
      <c r="H24" s="638">
        <v>0.25</v>
      </c>
      <c r="I24" s="630">
        <f t="shared" ref="I24:I38" si="1">(H24*L24%)+H24</f>
        <v>0.27500000000000002</v>
      </c>
      <c r="J24" s="637">
        <v>0.25</v>
      </c>
      <c r="K24" s="628">
        <v>0.25</v>
      </c>
      <c r="L24" s="632">
        <v>10</v>
      </c>
    </row>
    <row r="25" spans="1:12" ht="20.100000000000001" customHeight="1">
      <c r="B25" s="625"/>
      <c r="C25" s="626"/>
      <c r="D25" s="626"/>
      <c r="E25" s="627" t="s">
        <v>1335</v>
      </c>
      <c r="F25" s="637">
        <v>0.5</v>
      </c>
      <c r="G25" s="637">
        <v>0.5</v>
      </c>
      <c r="H25" s="638">
        <v>1</v>
      </c>
      <c r="I25" s="630">
        <f t="shared" si="1"/>
        <v>1.1000000000000001</v>
      </c>
      <c r="J25" s="637">
        <v>1</v>
      </c>
      <c r="K25" s="628">
        <v>1</v>
      </c>
      <c r="L25" s="632">
        <v>10</v>
      </c>
    </row>
    <row r="26" spans="1:12" ht="20.100000000000001" customHeight="1">
      <c r="B26" s="625"/>
      <c r="C26" s="626"/>
      <c r="D26" s="626"/>
      <c r="E26" s="627" t="s">
        <v>1336</v>
      </c>
      <c r="F26" s="637">
        <v>0.05</v>
      </c>
      <c r="G26" s="637">
        <v>7.0000000000000007E-2</v>
      </c>
      <c r="H26" s="638">
        <v>0.09</v>
      </c>
      <c r="I26" s="630">
        <f t="shared" si="1"/>
        <v>9.8999999999999991E-2</v>
      </c>
      <c r="J26" s="637">
        <v>0.08</v>
      </c>
      <c r="K26" s="628">
        <v>0.08</v>
      </c>
      <c r="L26" s="632">
        <v>10</v>
      </c>
    </row>
    <row r="27" spans="1:12" ht="20.100000000000001" customHeight="1">
      <c r="B27" s="625"/>
      <c r="C27" s="626"/>
      <c r="D27" s="626"/>
      <c r="E27" s="627" t="s">
        <v>1304</v>
      </c>
      <c r="F27" s="637">
        <v>0.05</v>
      </c>
      <c r="G27" s="637">
        <v>7.0000000000000007E-2</v>
      </c>
      <c r="H27" s="638">
        <v>0.09</v>
      </c>
      <c r="I27" s="630">
        <f t="shared" si="1"/>
        <v>9.8999999999999991E-2</v>
      </c>
      <c r="J27" s="637">
        <v>0.08</v>
      </c>
      <c r="K27" s="628">
        <v>0.08</v>
      </c>
      <c r="L27" s="632">
        <v>10</v>
      </c>
    </row>
    <row r="28" spans="1:12" ht="20.100000000000001" customHeight="1">
      <c r="B28" s="625"/>
      <c r="C28" s="626"/>
      <c r="D28" s="626"/>
      <c r="E28" s="627" t="s">
        <v>1305</v>
      </c>
      <c r="F28" s="637">
        <v>0.05</v>
      </c>
      <c r="G28" s="637">
        <v>7.0000000000000007E-2</v>
      </c>
      <c r="H28" s="638">
        <v>0.1</v>
      </c>
      <c r="I28" s="630">
        <f t="shared" si="1"/>
        <v>0.11000000000000001</v>
      </c>
      <c r="J28" s="637">
        <v>0.08</v>
      </c>
      <c r="K28" s="628">
        <v>0.08</v>
      </c>
      <c r="L28" s="632">
        <v>10</v>
      </c>
    </row>
    <row r="29" spans="1:12" ht="20.100000000000001" customHeight="1">
      <c r="B29" s="625"/>
      <c r="C29" s="626"/>
      <c r="D29" s="626"/>
      <c r="E29" s="627" t="s">
        <v>1337</v>
      </c>
      <c r="F29" s="637">
        <v>0.05</v>
      </c>
      <c r="G29" s="637">
        <v>7.0000000000000007E-2</v>
      </c>
      <c r="H29" s="638">
        <v>0.1</v>
      </c>
      <c r="I29" s="630">
        <f t="shared" si="1"/>
        <v>0.11000000000000001</v>
      </c>
      <c r="J29" s="637">
        <v>0.08</v>
      </c>
      <c r="K29" s="628">
        <v>0.08</v>
      </c>
      <c r="L29" s="632">
        <v>10</v>
      </c>
    </row>
    <row r="30" spans="1:12" ht="20.100000000000001" customHeight="1">
      <c r="B30" s="625"/>
      <c r="C30" s="626"/>
      <c r="D30" s="626"/>
      <c r="E30" s="627" t="s">
        <v>1306</v>
      </c>
      <c r="F30" s="637">
        <v>0.05</v>
      </c>
      <c r="G30" s="637">
        <v>7.0000000000000007E-2</v>
      </c>
      <c r="H30" s="638">
        <v>0.11</v>
      </c>
      <c r="I30" s="630">
        <f t="shared" si="1"/>
        <v>0.121</v>
      </c>
      <c r="J30" s="637">
        <v>0.08</v>
      </c>
      <c r="K30" s="628">
        <v>0.08</v>
      </c>
      <c r="L30" s="632">
        <v>10</v>
      </c>
    </row>
    <row r="31" spans="1:12" ht="20.100000000000001" customHeight="1">
      <c r="B31" s="625"/>
      <c r="C31" s="626"/>
      <c r="D31" s="626"/>
      <c r="E31" s="627" t="s">
        <v>1338</v>
      </c>
      <c r="F31" s="637">
        <v>0.05</v>
      </c>
      <c r="G31" s="637">
        <v>7.0000000000000007E-2</v>
      </c>
      <c r="H31" s="638">
        <v>0.1</v>
      </c>
      <c r="I31" s="630">
        <f t="shared" si="1"/>
        <v>0.11000000000000001</v>
      </c>
      <c r="J31" s="637">
        <v>0.08</v>
      </c>
      <c r="K31" s="628">
        <v>0.08</v>
      </c>
      <c r="L31" s="632">
        <v>10</v>
      </c>
    </row>
    <row r="32" spans="1:12" ht="20.100000000000001" customHeight="1">
      <c r="B32" s="625"/>
      <c r="C32" s="626"/>
      <c r="D32" s="626"/>
      <c r="E32" s="627" t="s">
        <v>1339</v>
      </c>
      <c r="F32" s="637">
        <v>0.04</v>
      </c>
      <c r="G32" s="637">
        <v>0.06</v>
      </c>
      <c r="H32" s="638">
        <v>0.09</v>
      </c>
      <c r="I32" s="630">
        <f t="shared" si="1"/>
        <v>9.8999999999999991E-2</v>
      </c>
      <c r="J32" s="637">
        <v>7.0000000000000007E-2</v>
      </c>
      <c r="K32" s="628">
        <v>7.0000000000000007E-2</v>
      </c>
      <c r="L32" s="632">
        <v>10</v>
      </c>
    </row>
    <row r="33" spans="1:12" ht="20.100000000000001" customHeight="1">
      <c r="B33" s="625"/>
      <c r="C33" s="626"/>
      <c r="D33" s="626"/>
      <c r="E33" s="627" t="s">
        <v>890</v>
      </c>
      <c r="F33" s="637">
        <v>0.04</v>
      </c>
      <c r="G33" s="637">
        <v>0.06</v>
      </c>
      <c r="H33" s="638">
        <v>0.09</v>
      </c>
      <c r="I33" s="630">
        <f t="shared" si="1"/>
        <v>9.8999999999999991E-2</v>
      </c>
      <c r="J33" s="637">
        <v>7.0000000000000007E-2</v>
      </c>
      <c r="K33" s="628">
        <v>7.0000000000000007E-2</v>
      </c>
      <c r="L33" s="632">
        <v>10</v>
      </c>
    </row>
    <row r="34" spans="1:12" ht="20.100000000000001" customHeight="1">
      <c r="B34" s="625"/>
      <c r="C34" s="626"/>
      <c r="D34" s="626"/>
      <c r="E34" s="627" t="s">
        <v>1340</v>
      </c>
      <c r="F34" s="637">
        <v>0.05</v>
      </c>
      <c r="G34" s="637">
        <v>7.0000000000000007E-2</v>
      </c>
      <c r="H34" s="638">
        <v>0.11</v>
      </c>
      <c r="I34" s="630">
        <f t="shared" si="1"/>
        <v>0.121</v>
      </c>
      <c r="J34" s="637">
        <v>0.08</v>
      </c>
      <c r="K34" s="628">
        <v>0.08</v>
      </c>
      <c r="L34" s="632">
        <v>10</v>
      </c>
    </row>
    <row r="35" spans="1:12" ht="20.100000000000001" customHeight="1">
      <c r="B35" s="625"/>
      <c r="C35" s="626"/>
      <c r="D35" s="626"/>
      <c r="E35" s="627" t="s">
        <v>1341</v>
      </c>
      <c r="F35" s="637">
        <v>0.05</v>
      </c>
      <c r="G35" s="637">
        <v>7.0000000000000007E-2</v>
      </c>
      <c r="H35" s="638">
        <v>0.11</v>
      </c>
      <c r="I35" s="630">
        <f t="shared" si="1"/>
        <v>0.121</v>
      </c>
      <c r="J35" s="637">
        <v>0.08</v>
      </c>
      <c r="K35" s="628">
        <v>0.08</v>
      </c>
      <c r="L35" s="632">
        <v>10</v>
      </c>
    </row>
    <row r="36" spans="1:12" ht="20.100000000000001" customHeight="1">
      <c r="B36" s="625"/>
      <c r="C36" s="626"/>
      <c r="D36" s="626"/>
      <c r="E36" s="627" t="s">
        <v>1342</v>
      </c>
      <c r="F36" s="637">
        <v>0.05</v>
      </c>
      <c r="G36" s="637">
        <v>7.0000000000000007E-2</v>
      </c>
      <c r="H36" s="638">
        <v>0.11</v>
      </c>
      <c r="I36" s="630">
        <f t="shared" si="1"/>
        <v>0.121</v>
      </c>
      <c r="J36" s="637">
        <v>0.08</v>
      </c>
      <c r="K36" s="628">
        <v>0.08</v>
      </c>
      <c r="L36" s="632">
        <v>10</v>
      </c>
    </row>
    <row r="37" spans="1:12" ht="20.100000000000001" customHeight="1">
      <c r="B37" s="625"/>
      <c r="C37" s="626"/>
      <c r="D37" s="626"/>
      <c r="E37" s="627" t="s">
        <v>1343</v>
      </c>
      <c r="F37" s="637">
        <v>0.05</v>
      </c>
      <c r="G37" s="637">
        <v>7.0000000000000007E-2</v>
      </c>
      <c r="H37" s="638">
        <v>0.11</v>
      </c>
      <c r="I37" s="630">
        <f t="shared" si="1"/>
        <v>0.121</v>
      </c>
      <c r="J37" s="637">
        <v>7.0000000000000007E-2</v>
      </c>
      <c r="K37" s="628">
        <v>7.0000000000000007E-2</v>
      </c>
      <c r="L37" s="632">
        <v>10</v>
      </c>
    </row>
    <row r="38" spans="1:12" ht="20.100000000000001" customHeight="1">
      <c r="B38" s="625"/>
      <c r="C38" s="626"/>
      <c r="D38" s="626"/>
      <c r="E38" s="627" t="s">
        <v>1344</v>
      </c>
      <c r="F38" s="637">
        <v>0.03</v>
      </c>
      <c r="G38" s="637">
        <v>0.03</v>
      </c>
      <c r="H38" s="638">
        <v>0.04</v>
      </c>
      <c r="I38" s="630">
        <f t="shared" si="1"/>
        <v>4.3999999999999997E-2</v>
      </c>
      <c r="J38" s="637">
        <v>0.03</v>
      </c>
      <c r="K38" s="628">
        <v>0.03</v>
      </c>
      <c r="L38" s="632">
        <v>10</v>
      </c>
    </row>
    <row r="39" spans="1:12" ht="20.100000000000001" customHeight="1">
      <c r="B39" s="633"/>
      <c r="C39" s="626"/>
      <c r="D39" s="626"/>
      <c r="E39" s="639" t="s">
        <v>1345</v>
      </c>
      <c r="F39" s="635">
        <v>0</v>
      </c>
      <c r="G39" s="635">
        <v>0</v>
      </c>
      <c r="H39" s="635">
        <v>0</v>
      </c>
      <c r="I39" s="635">
        <v>0</v>
      </c>
      <c r="J39" s="635">
        <v>0</v>
      </c>
      <c r="K39" s="635">
        <v>0</v>
      </c>
      <c r="L39" s="636">
        <v>0</v>
      </c>
    </row>
    <row r="40" spans="1:12" ht="20.100000000000001" customHeight="1">
      <c r="B40" s="633"/>
      <c r="C40" s="626"/>
      <c r="D40" s="626"/>
      <c r="E40" s="627" t="s">
        <v>1346</v>
      </c>
      <c r="F40" s="637">
        <v>0.06</v>
      </c>
      <c r="G40" s="637">
        <v>0.08</v>
      </c>
      <c r="H40" s="638">
        <v>0.13</v>
      </c>
      <c r="I40" s="630" t="e">
        <f>(H40*#REF!%)+H40</f>
        <v>#REF!</v>
      </c>
      <c r="J40" s="637">
        <v>0.1</v>
      </c>
      <c r="K40" s="628">
        <v>0.1</v>
      </c>
      <c r="L40" s="632">
        <v>10</v>
      </c>
    </row>
    <row r="41" spans="1:12" s="360" customFormat="1" ht="20.100000000000001" customHeight="1">
      <c r="A41" s="361"/>
      <c r="B41" s="633"/>
      <c r="C41" s="626"/>
      <c r="D41" s="626"/>
      <c r="E41" s="639" t="s">
        <v>1347</v>
      </c>
      <c r="F41" s="635">
        <v>0</v>
      </c>
      <c r="G41" s="635">
        <v>0</v>
      </c>
      <c r="H41" s="635">
        <v>0</v>
      </c>
      <c r="I41" s="635">
        <v>0</v>
      </c>
      <c r="J41" s="635">
        <v>0</v>
      </c>
      <c r="K41" s="635">
        <v>0</v>
      </c>
      <c r="L41" s="636">
        <v>0</v>
      </c>
    </row>
    <row r="42" spans="1:12" ht="20.100000000000001" customHeight="1">
      <c r="B42" s="625"/>
      <c r="C42" s="626"/>
      <c r="D42" s="626"/>
      <c r="E42" s="627" t="s">
        <v>1348</v>
      </c>
      <c r="F42" s="637">
        <v>0.5</v>
      </c>
      <c r="G42" s="637">
        <v>1</v>
      </c>
      <c r="H42" s="638">
        <v>1.25</v>
      </c>
      <c r="I42" s="630">
        <f t="shared" ref="I42:I52" si="2">(H42*L42%)+H42</f>
        <v>1.375</v>
      </c>
      <c r="J42" s="637">
        <v>1</v>
      </c>
      <c r="K42" s="628">
        <v>1</v>
      </c>
      <c r="L42" s="632">
        <v>10</v>
      </c>
    </row>
    <row r="43" spans="1:12" ht="20.100000000000001" customHeight="1">
      <c r="B43" s="625"/>
      <c r="C43" s="626"/>
      <c r="D43" s="626"/>
      <c r="E43" s="627" t="s">
        <v>1349</v>
      </c>
      <c r="F43" s="637">
        <v>0</v>
      </c>
      <c r="G43" s="637">
        <v>0.04</v>
      </c>
      <c r="H43" s="638">
        <v>0.05</v>
      </c>
      <c r="I43" s="630">
        <f t="shared" si="2"/>
        <v>5.5000000000000007E-2</v>
      </c>
      <c r="J43" s="637">
        <v>0.06</v>
      </c>
      <c r="K43" s="628">
        <v>0.06</v>
      </c>
      <c r="L43" s="632">
        <v>10</v>
      </c>
    </row>
    <row r="44" spans="1:12" ht="20.100000000000001" customHeight="1">
      <c r="B44" s="625"/>
      <c r="C44" s="626"/>
      <c r="D44" s="626"/>
      <c r="E44" s="627" t="s">
        <v>1350</v>
      </c>
      <c r="F44" s="637">
        <v>0.03</v>
      </c>
      <c r="G44" s="637">
        <v>0.03</v>
      </c>
      <c r="H44" s="638">
        <v>4.4999999999999998E-2</v>
      </c>
      <c r="I44" s="630">
        <f t="shared" si="2"/>
        <v>4.9499999999999995E-2</v>
      </c>
      <c r="J44" s="637">
        <v>0.05</v>
      </c>
      <c r="K44" s="628">
        <v>0.05</v>
      </c>
      <c r="L44" s="632">
        <v>10</v>
      </c>
    </row>
    <row r="45" spans="1:12" ht="20.100000000000001" customHeight="1">
      <c r="B45" s="625"/>
      <c r="C45" s="626"/>
      <c r="D45" s="626"/>
      <c r="E45" s="627" t="s">
        <v>1351</v>
      </c>
      <c r="F45" s="637">
        <v>1</v>
      </c>
      <c r="G45" s="637">
        <v>1</v>
      </c>
      <c r="H45" s="638">
        <v>2</v>
      </c>
      <c r="I45" s="630">
        <f t="shared" si="2"/>
        <v>2.2000000000000002</v>
      </c>
      <c r="J45" s="637">
        <v>2</v>
      </c>
      <c r="K45" s="628">
        <v>2</v>
      </c>
      <c r="L45" s="632">
        <v>10</v>
      </c>
    </row>
    <row r="46" spans="1:12" ht="20.100000000000001" customHeight="1">
      <c r="B46" s="625"/>
      <c r="C46" s="626"/>
      <c r="D46" s="626"/>
      <c r="E46" s="627" t="s">
        <v>1352</v>
      </c>
      <c r="F46" s="637">
        <v>0.03</v>
      </c>
      <c r="G46" s="637">
        <v>0.03</v>
      </c>
      <c r="H46" s="638">
        <v>4.4999999999999998E-2</v>
      </c>
      <c r="I46" s="630">
        <f t="shared" si="2"/>
        <v>4.9499999999999995E-2</v>
      </c>
      <c r="J46" s="637">
        <v>0.05</v>
      </c>
      <c r="K46" s="628">
        <v>0.05</v>
      </c>
      <c r="L46" s="632">
        <v>10</v>
      </c>
    </row>
    <row r="47" spans="1:12" ht="20.100000000000001" customHeight="1">
      <c r="B47" s="625"/>
      <c r="C47" s="626"/>
      <c r="D47" s="626"/>
      <c r="E47" s="627" t="s">
        <v>1353</v>
      </c>
      <c r="F47" s="637">
        <v>0.02</v>
      </c>
      <c r="G47" s="637">
        <v>0.03</v>
      </c>
      <c r="H47" s="638">
        <v>4.4999999999999998E-2</v>
      </c>
      <c r="I47" s="630">
        <f t="shared" si="2"/>
        <v>4.9499999999999995E-2</v>
      </c>
      <c r="J47" s="637">
        <v>0.05</v>
      </c>
      <c r="K47" s="628">
        <v>0.05</v>
      </c>
      <c r="L47" s="632">
        <v>10</v>
      </c>
    </row>
    <row r="48" spans="1:12" ht="20.100000000000001" customHeight="1">
      <c r="B48" s="625"/>
      <c r="C48" s="626"/>
      <c r="D48" s="626"/>
      <c r="E48" s="627" t="s">
        <v>1354</v>
      </c>
      <c r="F48" s="637">
        <v>0.03</v>
      </c>
      <c r="G48" s="637">
        <v>0.4</v>
      </c>
      <c r="H48" s="638">
        <v>0.05</v>
      </c>
      <c r="I48" s="630">
        <f t="shared" si="2"/>
        <v>5.5000000000000007E-2</v>
      </c>
      <c r="J48" s="637">
        <v>0.05</v>
      </c>
      <c r="K48" s="628">
        <v>0.05</v>
      </c>
      <c r="L48" s="632">
        <v>10</v>
      </c>
    </row>
    <row r="49" spans="1:12" ht="20.100000000000001" customHeight="1">
      <c r="B49" s="625"/>
      <c r="C49" s="626"/>
      <c r="D49" s="626"/>
      <c r="E49" s="627" t="s">
        <v>1355</v>
      </c>
      <c r="F49" s="637">
        <v>0.03</v>
      </c>
      <c r="G49" s="637">
        <v>0.03</v>
      </c>
      <c r="H49" s="638">
        <v>4.4999999999999998E-2</v>
      </c>
      <c r="I49" s="630">
        <f t="shared" si="2"/>
        <v>4.9499999999999995E-2</v>
      </c>
      <c r="J49" s="637">
        <v>0.05</v>
      </c>
      <c r="K49" s="628">
        <v>0.05</v>
      </c>
      <c r="L49" s="632">
        <v>10</v>
      </c>
    </row>
    <row r="50" spans="1:12" ht="20.100000000000001" customHeight="1">
      <c r="B50" s="625"/>
      <c r="C50" s="626"/>
      <c r="D50" s="626"/>
      <c r="E50" s="627" t="s">
        <v>1356</v>
      </c>
      <c r="F50" s="637">
        <v>4.4999999999999998E-2</v>
      </c>
      <c r="G50" s="637">
        <v>4.4999999999999998E-2</v>
      </c>
      <c r="H50" s="638">
        <v>6.5000000000000002E-2</v>
      </c>
      <c r="I50" s="630">
        <f t="shared" si="2"/>
        <v>7.1500000000000008E-2</v>
      </c>
      <c r="J50" s="637">
        <v>0.05</v>
      </c>
      <c r="K50" s="628">
        <v>0.05</v>
      </c>
      <c r="L50" s="632">
        <v>10</v>
      </c>
    </row>
    <row r="51" spans="1:12" ht="20.100000000000001" customHeight="1">
      <c r="B51" s="625"/>
      <c r="C51" s="626"/>
      <c r="D51" s="626"/>
      <c r="E51" s="627" t="s">
        <v>1357</v>
      </c>
      <c r="F51" s="637">
        <v>0.03</v>
      </c>
      <c r="G51" s="637">
        <v>0.03</v>
      </c>
      <c r="H51" s="638">
        <v>4.4999999999999998E-2</v>
      </c>
      <c r="I51" s="630">
        <f t="shared" si="2"/>
        <v>4.9499999999999995E-2</v>
      </c>
      <c r="J51" s="637">
        <v>0.05</v>
      </c>
      <c r="K51" s="628">
        <v>0.05</v>
      </c>
      <c r="L51" s="632">
        <v>10</v>
      </c>
    </row>
    <row r="52" spans="1:12" ht="20.100000000000001" customHeight="1">
      <c r="B52" s="625"/>
      <c r="C52" s="626"/>
      <c r="D52" s="626"/>
      <c r="E52" s="627" t="s">
        <v>1358</v>
      </c>
      <c r="F52" s="637">
        <v>0.03</v>
      </c>
      <c r="G52" s="637">
        <v>0.03</v>
      </c>
      <c r="H52" s="638">
        <v>4.4999999999999998E-2</v>
      </c>
      <c r="I52" s="630">
        <f t="shared" si="2"/>
        <v>4.9499999999999995E-2</v>
      </c>
      <c r="J52" s="637">
        <v>0.05</v>
      </c>
      <c r="K52" s="628">
        <v>0.05</v>
      </c>
      <c r="L52" s="632">
        <v>10</v>
      </c>
    </row>
    <row r="53" spans="1:12" s="360" customFormat="1" ht="20.100000000000001" customHeight="1">
      <c r="A53" s="361"/>
      <c r="B53" s="633"/>
      <c r="C53" s="626"/>
      <c r="D53" s="626"/>
      <c r="E53" s="639" t="s">
        <v>1359</v>
      </c>
      <c r="F53" s="635">
        <v>0</v>
      </c>
      <c r="G53" s="635">
        <v>0</v>
      </c>
      <c r="H53" s="635">
        <v>0</v>
      </c>
      <c r="I53" s="635">
        <v>0</v>
      </c>
      <c r="J53" s="635">
        <v>0</v>
      </c>
      <c r="K53" s="635">
        <v>0</v>
      </c>
      <c r="L53" s="636">
        <v>0</v>
      </c>
    </row>
    <row r="54" spans="1:12" ht="20.100000000000001" customHeight="1">
      <c r="B54" s="625"/>
      <c r="C54" s="626"/>
      <c r="D54" s="626"/>
      <c r="E54" s="627" t="s">
        <v>1360</v>
      </c>
      <c r="F54" s="637">
        <v>0.05</v>
      </c>
      <c r="G54" s="637">
        <v>0.05</v>
      </c>
      <c r="H54" s="638">
        <v>0.1</v>
      </c>
      <c r="I54" s="630">
        <f>(H54*L54%)+H54</f>
        <v>0.11000000000000001</v>
      </c>
      <c r="J54" s="637">
        <v>0.05</v>
      </c>
      <c r="K54" s="628">
        <v>0.05</v>
      </c>
      <c r="L54" s="632">
        <v>10</v>
      </c>
    </row>
    <row r="55" spans="1:12" ht="20.100000000000001" customHeight="1">
      <c r="B55" s="625"/>
      <c r="C55" s="626"/>
      <c r="D55" s="626"/>
      <c r="E55" s="627" t="s">
        <v>1361</v>
      </c>
      <c r="F55" s="637">
        <v>0.05</v>
      </c>
      <c r="G55" s="637">
        <v>0.05</v>
      </c>
      <c r="H55" s="638">
        <v>0.1</v>
      </c>
      <c r="I55" s="630">
        <f>(H55*L55%)+H55</f>
        <v>0.11000000000000001</v>
      </c>
      <c r="J55" s="637">
        <v>0.05</v>
      </c>
      <c r="K55" s="628">
        <v>0.05</v>
      </c>
      <c r="L55" s="632">
        <v>10</v>
      </c>
    </row>
    <row r="56" spans="1:12" ht="20.100000000000001" customHeight="1">
      <c r="B56" s="625"/>
      <c r="C56" s="626"/>
      <c r="D56" s="626"/>
      <c r="E56" s="627" t="s">
        <v>1362</v>
      </c>
      <c r="F56" s="637">
        <v>6.5000000000000002E-2</v>
      </c>
      <c r="G56" s="637">
        <v>6.5000000000000002E-2</v>
      </c>
      <c r="H56" s="638">
        <v>0.1</v>
      </c>
      <c r="I56" s="630">
        <f>(H56*L56%)+H56</f>
        <v>0.11000000000000001</v>
      </c>
      <c r="J56" s="637">
        <v>7.0000000000000007E-2</v>
      </c>
      <c r="K56" s="628">
        <v>7.0000000000000007E-2</v>
      </c>
      <c r="L56" s="632">
        <v>10</v>
      </c>
    </row>
    <row r="57" spans="1:12" ht="20.100000000000001" customHeight="1">
      <c r="B57" s="625"/>
      <c r="C57" s="626"/>
      <c r="D57" s="626"/>
      <c r="E57" s="627" t="s">
        <v>1363</v>
      </c>
      <c r="F57" s="637">
        <v>7.0000000000000007E-2</v>
      </c>
      <c r="G57" s="637">
        <v>7.0000000000000007E-2</v>
      </c>
      <c r="H57" s="638">
        <v>0.09</v>
      </c>
      <c r="I57" s="630">
        <f>(H57*L57%)+H57</f>
        <v>9.8999999999999991E-2</v>
      </c>
      <c r="J57" s="637">
        <v>7.0000000000000007E-2</v>
      </c>
      <c r="K57" s="628">
        <v>7.0000000000000007E-2</v>
      </c>
      <c r="L57" s="632">
        <v>10</v>
      </c>
    </row>
    <row r="58" spans="1:12" ht="20.100000000000001" customHeight="1">
      <c r="B58" s="625"/>
      <c r="C58" s="626"/>
      <c r="D58" s="626"/>
      <c r="E58" s="627" t="s">
        <v>1364</v>
      </c>
      <c r="F58" s="637">
        <v>7.0000000000000007E-2</v>
      </c>
      <c r="G58" s="637">
        <v>7.0000000000000007E-2</v>
      </c>
      <c r="H58" s="638">
        <v>0.09</v>
      </c>
      <c r="I58" s="630">
        <f>(H58*L58%)+H58</f>
        <v>9.8999999999999991E-2</v>
      </c>
      <c r="J58" s="637">
        <v>7.0000000000000007E-2</v>
      </c>
      <c r="K58" s="628">
        <v>7.0000000000000007E-2</v>
      </c>
      <c r="L58" s="632">
        <v>10</v>
      </c>
    </row>
    <row r="59" spans="1:12" ht="20.100000000000001" customHeight="1">
      <c r="B59" s="633"/>
      <c r="C59" s="626"/>
      <c r="D59" s="626"/>
      <c r="E59" s="639" t="s">
        <v>1365</v>
      </c>
      <c r="F59" s="637">
        <v>5.0000000000000001E-3</v>
      </c>
      <c r="G59" s="637">
        <v>7.0000000000000001E-3</v>
      </c>
      <c r="H59" s="638">
        <v>8.0000000000000002E-3</v>
      </c>
      <c r="I59" s="630" t="e">
        <f>(H59*#REF!%)+H59</f>
        <v>#REF!</v>
      </c>
      <c r="J59" s="637">
        <v>8.0000000000000002E-3</v>
      </c>
      <c r="K59" s="628">
        <v>8.0000000000000002E-3</v>
      </c>
      <c r="L59" s="632">
        <v>10</v>
      </c>
    </row>
    <row r="60" spans="1:12" s="360" customFormat="1" ht="20.100000000000001" customHeight="1">
      <c r="A60" s="361"/>
      <c r="B60" s="633"/>
      <c r="C60" s="626"/>
      <c r="D60" s="626"/>
      <c r="E60" s="639" t="s">
        <v>1366</v>
      </c>
      <c r="F60" s="635">
        <v>0</v>
      </c>
      <c r="G60" s="635">
        <v>0</v>
      </c>
      <c r="H60" s="635">
        <v>0</v>
      </c>
      <c r="I60" s="635">
        <v>0</v>
      </c>
      <c r="J60" s="635">
        <v>0</v>
      </c>
      <c r="K60" s="635">
        <v>0</v>
      </c>
      <c r="L60" s="636">
        <v>0</v>
      </c>
    </row>
    <row r="61" spans="1:12" s="360" customFormat="1" ht="20.100000000000001" customHeight="1">
      <c r="A61" s="361"/>
      <c r="B61" s="633"/>
      <c r="C61" s="626"/>
      <c r="D61" s="626"/>
      <c r="E61" s="639" t="s">
        <v>1367</v>
      </c>
      <c r="F61" s="635">
        <v>0</v>
      </c>
      <c r="G61" s="635">
        <v>0</v>
      </c>
      <c r="H61" s="635">
        <v>0</v>
      </c>
      <c r="I61" s="635">
        <v>0</v>
      </c>
      <c r="J61" s="635">
        <v>0</v>
      </c>
      <c r="K61" s="635">
        <v>0</v>
      </c>
      <c r="L61" s="636">
        <v>0</v>
      </c>
    </row>
    <row r="62" spans="1:12" ht="20.100000000000001" customHeight="1">
      <c r="B62" s="625"/>
      <c r="C62" s="626"/>
      <c r="D62" s="626"/>
      <c r="E62" s="627" t="s">
        <v>1368</v>
      </c>
      <c r="F62" s="637">
        <v>0.05</v>
      </c>
      <c r="G62" s="637">
        <v>7.0000000000000007E-2</v>
      </c>
      <c r="H62" s="638">
        <v>0.11</v>
      </c>
      <c r="I62" s="630">
        <f t="shared" ref="I62:I68" si="3">(H62*L62%)+H62</f>
        <v>0.121</v>
      </c>
      <c r="J62" s="637">
        <v>0.1</v>
      </c>
      <c r="K62" s="628">
        <v>7.0000000000000007E-2</v>
      </c>
      <c r="L62" s="632">
        <v>10</v>
      </c>
    </row>
    <row r="63" spans="1:12" ht="20.100000000000001" customHeight="1">
      <c r="B63" s="625"/>
      <c r="C63" s="626"/>
      <c r="D63" s="626"/>
      <c r="E63" s="627" t="s">
        <v>1369</v>
      </c>
      <c r="F63" s="637">
        <v>0.04</v>
      </c>
      <c r="G63" s="637">
        <v>0.06</v>
      </c>
      <c r="H63" s="638">
        <v>0.09</v>
      </c>
      <c r="I63" s="630">
        <f t="shared" si="3"/>
        <v>9.8999999999999991E-2</v>
      </c>
      <c r="J63" s="637">
        <v>0.08</v>
      </c>
      <c r="K63" s="628">
        <v>0.06</v>
      </c>
      <c r="L63" s="632">
        <v>10</v>
      </c>
    </row>
    <row r="64" spans="1:12" ht="20.100000000000001" customHeight="1">
      <c r="B64" s="625"/>
      <c r="C64" s="626"/>
      <c r="D64" s="626"/>
      <c r="E64" s="627" t="s">
        <v>1370</v>
      </c>
      <c r="F64" s="637">
        <v>0.05</v>
      </c>
      <c r="G64" s="637">
        <v>7.0000000000000007E-2</v>
      </c>
      <c r="H64" s="638">
        <v>0.1</v>
      </c>
      <c r="I64" s="630">
        <f t="shared" si="3"/>
        <v>0.11000000000000001</v>
      </c>
      <c r="J64" s="637">
        <v>0.1</v>
      </c>
      <c r="K64" s="628">
        <v>7.0000000000000007E-2</v>
      </c>
      <c r="L64" s="632">
        <v>10</v>
      </c>
    </row>
    <row r="65" spans="1:12" ht="20.100000000000001" customHeight="1">
      <c r="B65" s="625"/>
      <c r="C65" s="626"/>
      <c r="D65" s="626"/>
      <c r="E65" s="627" t="s">
        <v>1371</v>
      </c>
      <c r="F65" s="637">
        <v>0.05</v>
      </c>
      <c r="G65" s="637">
        <v>7.0000000000000007E-2</v>
      </c>
      <c r="H65" s="638">
        <v>0.1</v>
      </c>
      <c r="I65" s="630">
        <f t="shared" si="3"/>
        <v>0.11000000000000001</v>
      </c>
      <c r="J65" s="637">
        <v>0.1</v>
      </c>
      <c r="K65" s="628">
        <v>7.0000000000000007E-2</v>
      </c>
      <c r="L65" s="632">
        <v>10</v>
      </c>
    </row>
    <row r="66" spans="1:12" ht="20.100000000000001" customHeight="1">
      <c r="B66" s="625"/>
      <c r="C66" s="626"/>
      <c r="D66" s="626"/>
      <c r="E66" s="627" t="s">
        <v>1372</v>
      </c>
      <c r="F66" s="637">
        <v>2</v>
      </c>
      <c r="G66" s="637">
        <v>3</v>
      </c>
      <c r="H66" s="638">
        <v>4.5</v>
      </c>
      <c r="I66" s="630">
        <f t="shared" si="3"/>
        <v>4.95</v>
      </c>
      <c r="J66" s="637">
        <v>4</v>
      </c>
      <c r="K66" s="628">
        <v>3</v>
      </c>
      <c r="L66" s="632">
        <v>10</v>
      </c>
    </row>
    <row r="67" spans="1:12" ht="20.100000000000001" customHeight="1">
      <c r="B67" s="625"/>
      <c r="C67" s="626"/>
      <c r="D67" s="626"/>
      <c r="E67" s="627" t="s">
        <v>1373</v>
      </c>
      <c r="F67" s="637">
        <v>0.06</v>
      </c>
      <c r="G67" s="637">
        <v>0.09</v>
      </c>
      <c r="H67" s="638">
        <v>0.13500000000000001</v>
      </c>
      <c r="I67" s="630">
        <f t="shared" si="3"/>
        <v>0.14850000000000002</v>
      </c>
      <c r="J67" s="637">
        <v>0.12</v>
      </c>
      <c r="K67" s="628">
        <v>0.09</v>
      </c>
      <c r="L67" s="632">
        <v>10</v>
      </c>
    </row>
    <row r="68" spans="1:12" ht="20.100000000000001" customHeight="1">
      <c r="B68" s="625"/>
      <c r="C68" s="626"/>
      <c r="D68" s="626"/>
      <c r="E68" s="627" t="s">
        <v>1374</v>
      </c>
      <c r="F68" s="637">
        <v>0.05</v>
      </c>
      <c r="G68" s="637">
        <v>7.0000000000000007E-2</v>
      </c>
      <c r="H68" s="638">
        <v>0.09</v>
      </c>
      <c r="I68" s="630">
        <f t="shared" si="3"/>
        <v>9.8999999999999991E-2</v>
      </c>
      <c r="J68" s="637">
        <v>0.1</v>
      </c>
      <c r="K68" s="628">
        <v>7.0000000000000007E-2</v>
      </c>
      <c r="L68" s="632">
        <v>10</v>
      </c>
    </row>
    <row r="69" spans="1:12" s="360" customFormat="1" ht="20.100000000000001" customHeight="1">
      <c r="A69" s="361"/>
      <c r="B69" s="633"/>
      <c r="C69" s="626"/>
      <c r="D69" s="626"/>
      <c r="E69" s="639" t="s">
        <v>1375</v>
      </c>
      <c r="F69" s="635">
        <v>0</v>
      </c>
      <c r="G69" s="635">
        <v>0</v>
      </c>
      <c r="H69" s="635">
        <v>0</v>
      </c>
      <c r="I69" s="635">
        <v>0</v>
      </c>
      <c r="J69" s="635">
        <v>0</v>
      </c>
      <c r="K69" s="635">
        <v>0</v>
      </c>
      <c r="L69" s="636">
        <v>0</v>
      </c>
    </row>
    <row r="70" spans="1:12" ht="20.100000000000001" customHeight="1">
      <c r="B70" s="625"/>
      <c r="C70" s="626"/>
      <c r="D70" s="626"/>
      <c r="E70" s="627" t="s">
        <v>1376</v>
      </c>
      <c r="F70" s="637">
        <v>0.05</v>
      </c>
      <c r="G70" s="637">
        <v>7.0000000000000007E-2</v>
      </c>
      <c r="H70" s="638">
        <v>0.11</v>
      </c>
      <c r="I70" s="630">
        <f>(H70*L70%)+H70</f>
        <v>0.121</v>
      </c>
      <c r="J70" s="637">
        <v>0.1</v>
      </c>
      <c r="K70" s="628">
        <v>7.0000000000000007E-2</v>
      </c>
      <c r="L70" s="632">
        <v>10</v>
      </c>
    </row>
    <row r="71" spans="1:12" ht="20.100000000000001" customHeight="1">
      <c r="B71" s="625"/>
      <c r="C71" s="626"/>
      <c r="D71" s="626"/>
      <c r="E71" s="627" t="s">
        <v>1377</v>
      </c>
      <c r="F71" s="637">
        <v>0.04</v>
      </c>
      <c r="G71" s="637">
        <v>0.06</v>
      </c>
      <c r="H71" s="638">
        <v>0.09</v>
      </c>
      <c r="I71" s="630">
        <f>(H71*L71%)+H71</f>
        <v>9.8999999999999991E-2</v>
      </c>
      <c r="J71" s="637">
        <v>0.1</v>
      </c>
      <c r="K71" s="628">
        <v>7.0000000000000007E-2</v>
      </c>
      <c r="L71" s="632">
        <v>10</v>
      </c>
    </row>
    <row r="72" spans="1:12" ht="20.100000000000001" customHeight="1">
      <c r="B72" s="625"/>
      <c r="C72" s="626"/>
      <c r="D72" s="626"/>
      <c r="E72" s="627" t="s">
        <v>1378</v>
      </c>
      <c r="F72" s="637">
        <v>0.05</v>
      </c>
      <c r="G72" s="637">
        <v>7.0000000000000007E-2</v>
      </c>
      <c r="H72" s="638">
        <v>0.09</v>
      </c>
      <c r="I72" s="630">
        <f>(H72*L72%)+H72</f>
        <v>9.8999999999999991E-2</v>
      </c>
      <c r="J72" s="637">
        <v>0.1</v>
      </c>
      <c r="K72" s="628">
        <v>7.0000000000000007E-2</v>
      </c>
      <c r="L72" s="632">
        <v>10</v>
      </c>
    </row>
    <row r="73" spans="1:12" ht="20.100000000000001" customHeight="1">
      <c r="B73" s="625"/>
      <c r="C73" s="626"/>
      <c r="D73" s="626"/>
      <c r="E73" s="627" t="s">
        <v>1379</v>
      </c>
      <c r="F73" s="637">
        <v>0.05</v>
      </c>
      <c r="G73" s="637">
        <v>7.0000000000000007E-2</v>
      </c>
      <c r="H73" s="638">
        <v>0.09</v>
      </c>
      <c r="I73" s="630">
        <f>(H73*L73%)+H73</f>
        <v>9.8999999999999991E-2</v>
      </c>
      <c r="J73" s="637">
        <v>0.08</v>
      </c>
      <c r="K73" s="628">
        <v>0.06</v>
      </c>
      <c r="L73" s="632">
        <v>10</v>
      </c>
    </row>
    <row r="74" spans="1:12" ht="20.100000000000001" customHeight="1">
      <c r="B74" s="625"/>
      <c r="C74" s="626"/>
      <c r="D74" s="626"/>
      <c r="E74" s="627" t="s">
        <v>1380</v>
      </c>
      <c r="F74" s="637">
        <v>0.05</v>
      </c>
      <c r="G74" s="637">
        <v>7.0000000000000007E-2</v>
      </c>
      <c r="H74" s="638">
        <v>0.11</v>
      </c>
      <c r="I74" s="630">
        <f>(H74*L74%)+H74</f>
        <v>0.121</v>
      </c>
      <c r="J74" s="637">
        <v>0.1</v>
      </c>
      <c r="K74" s="628">
        <v>7.0000000000000007E-2</v>
      </c>
      <c r="L74" s="632">
        <v>10</v>
      </c>
    </row>
    <row r="75" spans="1:12" s="360" customFormat="1" ht="20.100000000000001" customHeight="1">
      <c r="A75" s="361"/>
      <c r="B75" s="633"/>
      <c r="C75" s="626"/>
      <c r="D75" s="626"/>
      <c r="E75" s="639" t="s">
        <v>1381</v>
      </c>
      <c r="F75" s="635">
        <v>0</v>
      </c>
      <c r="G75" s="635">
        <v>0</v>
      </c>
      <c r="H75" s="635">
        <v>0</v>
      </c>
      <c r="I75" s="635">
        <v>0</v>
      </c>
      <c r="J75" s="635">
        <v>0</v>
      </c>
      <c r="K75" s="635">
        <v>0</v>
      </c>
      <c r="L75" s="636">
        <v>0</v>
      </c>
    </row>
    <row r="76" spans="1:12" ht="20.100000000000001" customHeight="1">
      <c r="B76" s="625"/>
      <c r="C76" s="626"/>
      <c r="D76" s="626"/>
      <c r="E76" s="627" t="s">
        <v>1382</v>
      </c>
      <c r="F76" s="637">
        <v>0.04</v>
      </c>
      <c r="G76" s="637">
        <v>0.06</v>
      </c>
      <c r="H76" s="638">
        <v>0.09</v>
      </c>
      <c r="I76" s="630">
        <f t="shared" ref="I76:I82" si="4">(H76*L76%)+H76</f>
        <v>9.8999999999999991E-2</v>
      </c>
      <c r="J76" s="637">
        <v>0.08</v>
      </c>
      <c r="K76" s="628">
        <v>0.06</v>
      </c>
      <c r="L76" s="632">
        <v>10</v>
      </c>
    </row>
    <row r="77" spans="1:12" ht="20.100000000000001" customHeight="1">
      <c r="B77" s="625"/>
      <c r="C77" s="626"/>
      <c r="D77" s="626"/>
      <c r="E77" s="627" t="s">
        <v>1383</v>
      </c>
      <c r="F77" s="637">
        <v>0.05</v>
      </c>
      <c r="G77" s="637">
        <v>7.0000000000000007E-2</v>
      </c>
      <c r="H77" s="638">
        <v>0.11</v>
      </c>
      <c r="I77" s="630">
        <f t="shared" si="4"/>
        <v>0.121</v>
      </c>
      <c r="J77" s="637">
        <v>0.1</v>
      </c>
      <c r="K77" s="628">
        <v>7.0000000000000007E-2</v>
      </c>
      <c r="L77" s="632">
        <v>10</v>
      </c>
    </row>
    <row r="78" spans="1:12" ht="20.100000000000001" customHeight="1">
      <c r="B78" s="625"/>
      <c r="C78" s="626"/>
      <c r="D78" s="626"/>
      <c r="E78" s="627" t="s">
        <v>1384</v>
      </c>
      <c r="F78" s="637">
        <v>0</v>
      </c>
      <c r="G78" s="637">
        <v>0.08</v>
      </c>
      <c r="H78" s="638">
        <v>0.11</v>
      </c>
      <c r="I78" s="630">
        <f t="shared" si="4"/>
        <v>0.121</v>
      </c>
      <c r="J78" s="637">
        <v>0.1</v>
      </c>
      <c r="K78" s="628">
        <v>7.0000000000000007E-2</v>
      </c>
      <c r="L78" s="632">
        <v>10</v>
      </c>
    </row>
    <row r="79" spans="1:12" ht="20.100000000000001" customHeight="1">
      <c r="B79" s="625"/>
      <c r="C79" s="626"/>
      <c r="D79" s="626"/>
      <c r="E79" s="627" t="s">
        <v>1385</v>
      </c>
      <c r="F79" s="637">
        <v>2</v>
      </c>
      <c r="G79" s="637">
        <v>3</v>
      </c>
      <c r="H79" s="638">
        <v>4.5</v>
      </c>
      <c r="I79" s="630">
        <f t="shared" si="4"/>
        <v>4.95</v>
      </c>
      <c r="J79" s="637">
        <v>3</v>
      </c>
      <c r="K79" s="628">
        <v>2</v>
      </c>
      <c r="L79" s="632">
        <v>10</v>
      </c>
    </row>
    <row r="80" spans="1:12" ht="20.100000000000001" customHeight="1">
      <c r="B80" s="625"/>
      <c r="C80" s="626"/>
      <c r="D80" s="626"/>
      <c r="E80" s="627" t="s">
        <v>1386</v>
      </c>
      <c r="F80" s="637">
        <v>0.06</v>
      </c>
      <c r="G80" s="637">
        <v>0.09</v>
      </c>
      <c r="H80" s="638">
        <v>0.13500000000000001</v>
      </c>
      <c r="I80" s="630">
        <f t="shared" si="4"/>
        <v>0.14850000000000002</v>
      </c>
      <c r="J80" s="637">
        <v>0.09</v>
      </c>
      <c r="K80" s="628">
        <v>0.06</v>
      </c>
      <c r="L80" s="632">
        <v>10</v>
      </c>
    </row>
    <row r="81" spans="1:12" ht="20.100000000000001" customHeight="1">
      <c r="B81" s="625"/>
      <c r="C81" s="626"/>
      <c r="D81" s="626"/>
      <c r="E81" s="627" t="s">
        <v>1387</v>
      </c>
      <c r="F81" s="637">
        <v>1</v>
      </c>
      <c r="G81" s="637">
        <v>2</v>
      </c>
      <c r="H81" s="638">
        <v>2.5</v>
      </c>
      <c r="I81" s="630">
        <f t="shared" si="4"/>
        <v>2.75</v>
      </c>
      <c r="J81" s="637">
        <v>2</v>
      </c>
      <c r="K81" s="628">
        <v>1.5</v>
      </c>
      <c r="L81" s="632">
        <v>10</v>
      </c>
    </row>
    <row r="82" spans="1:12" ht="20.100000000000001" customHeight="1">
      <c r="B82" s="625"/>
      <c r="C82" s="626"/>
      <c r="D82" s="626"/>
      <c r="E82" s="627" t="s">
        <v>1388</v>
      </c>
      <c r="F82" s="637">
        <v>0.05</v>
      </c>
      <c r="G82" s="637">
        <v>0.1</v>
      </c>
      <c r="H82" s="638">
        <v>0.125</v>
      </c>
      <c r="I82" s="630">
        <f t="shared" si="4"/>
        <v>0.13750000000000001</v>
      </c>
      <c r="J82" s="637">
        <v>0.1</v>
      </c>
      <c r="K82" s="628">
        <v>0.75</v>
      </c>
      <c r="L82" s="632">
        <v>10</v>
      </c>
    </row>
    <row r="83" spans="1:12" s="360" customFormat="1" ht="20.100000000000001" customHeight="1">
      <c r="A83" s="361"/>
      <c r="B83" s="633"/>
      <c r="C83" s="626"/>
      <c r="D83" s="626"/>
      <c r="E83" s="639" t="s">
        <v>1389</v>
      </c>
      <c r="F83" s="635">
        <v>0</v>
      </c>
      <c r="G83" s="635">
        <v>0</v>
      </c>
      <c r="H83" s="635">
        <v>0</v>
      </c>
      <c r="I83" s="635">
        <v>0</v>
      </c>
      <c r="J83" s="635">
        <v>0</v>
      </c>
      <c r="K83" s="635">
        <v>0</v>
      </c>
      <c r="L83" s="636">
        <v>0</v>
      </c>
    </row>
    <row r="84" spans="1:12" ht="20.100000000000001" customHeight="1">
      <c r="B84" s="625"/>
      <c r="C84" s="626"/>
      <c r="D84" s="626"/>
      <c r="E84" s="627" t="s">
        <v>1390</v>
      </c>
      <c r="F84" s="637">
        <v>0.04</v>
      </c>
      <c r="G84" s="637">
        <v>0.06</v>
      </c>
      <c r="H84" s="638">
        <v>0.09</v>
      </c>
      <c r="I84" s="630">
        <f t="shared" ref="I84:I93" si="5">(H84*L84%)+H84</f>
        <v>9.8999999999999991E-2</v>
      </c>
      <c r="J84" s="637">
        <v>0.1</v>
      </c>
      <c r="K84" s="628">
        <v>7.0000000000000007E-2</v>
      </c>
      <c r="L84" s="632">
        <v>10</v>
      </c>
    </row>
    <row r="85" spans="1:12" ht="20.100000000000001" customHeight="1">
      <c r="B85" s="625"/>
      <c r="C85" s="626"/>
      <c r="D85" s="626"/>
      <c r="E85" s="627" t="s">
        <v>1383</v>
      </c>
      <c r="F85" s="637">
        <v>0.05</v>
      </c>
      <c r="G85" s="637">
        <v>7.0000000000000007E-2</v>
      </c>
      <c r="H85" s="638">
        <v>0.11</v>
      </c>
      <c r="I85" s="630">
        <f t="shared" si="5"/>
        <v>0.121</v>
      </c>
      <c r="J85" s="637">
        <v>0.1</v>
      </c>
      <c r="K85" s="628">
        <v>7.0000000000000007E-2</v>
      </c>
      <c r="L85" s="632">
        <v>10</v>
      </c>
    </row>
    <row r="86" spans="1:12" ht="20.100000000000001" customHeight="1">
      <c r="B86" s="625"/>
      <c r="C86" s="626"/>
      <c r="D86" s="626"/>
      <c r="E86" s="627" t="s">
        <v>1391</v>
      </c>
      <c r="F86" s="637">
        <v>0</v>
      </c>
      <c r="G86" s="637">
        <v>0.08</v>
      </c>
      <c r="H86" s="638">
        <v>0.11</v>
      </c>
      <c r="I86" s="630">
        <f t="shared" si="5"/>
        <v>0.121</v>
      </c>
      <c r="J86" s="637">
        <v>0.1</v>
      </c>
      <c r="K86" s="628">
        <v>7.0000000000000007E-2</v>
      </c>
      <c r="L86" s="632">
        <v>10</v>
      </c>
    </row>
    <row r="87" spans="1:12" ht="20.100000000000001" customHeight="1">
      <c r="B87" s="625"/>
      <c r="C87" s="626"/>
      <c r="D87" s="626"/>
      <c r="E87" s="627" t="s">
        <v>1392</v>
      </c>
      <c r="F87" s="637">
        <v>0.04</v>
      </c>
      <c r="G87" s="637">
        <v>0.06</v>
      </c>
      <c r="H87" s="638">
        <v>0.09</v>
      </c>
      <c r="I87" s="630">
        <f t="shared" si="5"/>
        <v>9.8999999999999991E-2</v>
      </c>
      <c r="J87" s="637">
        <v>0.08</v>
      </c>
      <c r="K87" s="628">
        <v>7.0000000000000007E-2</v>
      </c>
      <c r="L87" s="632">
        <v>10</v>
      </c>
    </row>
    <row r="88" spans="1:12" ht="20.100000000000001" customHeight="1">
      <c r="B88" s="625"/>
      <c r="C88" s="626"/>
      <c r="D88" s="626"/>
      <c r="E88" s="627" t="s">
        <v>1393</v>
      </c>
      <c r="F88" s="637">
        <v>0.05</v>
      </c>
      <c r="G88" s="637">
        <v>7.0000000000000007E-2</v>
      </c>
      <c r="H88" s="638">
        <v>0.11</v>
      </c>
      <c r="I88" s="630">
        <f t="shared" si="5"/>
        <v>0.121</v>
      </c>
      <c r="J88" s="637">
        <v>0.1</v>
      </c>
      <c r="K88" s="628">
        <v>7.0000000000000007E-2</v>
      </c>
      <c r="L88" s="632">
        <v>10</v>
      </c>
    </row>
    <row r="89" spans="1:12" ht="20.100000000000001" customHeight="1">
      <c r="B89" s="625"/>
      <c r="C89" s="626"/>
      <c r="D89" s="626"/>
      <c r="E89" s="627" t="s">
        <v>1394</v>
      </c>
      <c r="F89" s="637">
        <v>1</v>
      </c>
      <c r="G89" s="637">
        <v>2</v>
      </c>
      <c r="H89" s="638">
        <v>2.5</v>
      </c>
      <c r="I89" s="630">
        <f t="shared" si="5"/>
        <v>2.75</v>
      </c>
      <c r="J89" s="637">
        <v>2</v>
      </c>
      <c r="K89" s="628">
        <v>1.5</v>
      </c>
      <c r="L89" s="632">
        <v>10</v>
      </c>
    </row>
    <row r="90" spans="1:12" ht="20.100000000000001" customHeight="1">
      <c r="B90" s="625"/>
      <c r="C90" s="626"/>
      <c r="D90" s="626"/>
      <c r="E90" s="627" t="s">
        <v>1395</v>
      </c>
      <c r="F90" s="637">
        <v>0.05</v>
      </c>
      <c r="G90" s="637">
        <v>0.1</v>
      </c>
      <c r="H90" s="638">
        <v>0.125</v>
      </c>
      <c r="I90" s="630">
        <f t="shared" si="5"/>
        <v>0.13750000000000001</v>
      </c>
      <c r="J90" s="637">
        <v>0.1</v>
      </c>
      <c r="K90" s="628">
        <v>0.75</v>
      </c>
      <c r="L90" s="632">
        <v>10</v>
      </c>
    </row>
    <row r="91" spans="1:12" ht="20.100000000000001" customHeight="1">
      <c r="B91" s="625"/>
      <c r="C91" s="626"/>
      <c r="D91" s="626"/>
      <c r="E91" s="627" t="s">
        <v>1396</v>
      </c>
      <c r="F91" s="637">
        <v>1</v>
      </c>
      <c r="G91" s="637">
        <v>2</v>
      </c>
      <c r="H91" s="638">
        <v>2.5</v>
      </c>
      <c r="I91" s="630">
        <f t="shared" si="5"/>
        <v>2.75</v>
      </c>
      <c r="J91" s="637">
        <v>2</v>
      </c>
      <c r="K91" s="628">
        <v>1.5</v>
      </c>
      <c r="L91" s="632">
        <v>10</v>
      </c>
    </row>
    <row r="92" spans="1:12" ht="20.100000000000001" customHeight="1">
      <c r="B92" s="625"/>
      <c r="C92" s="626"/>
      <c r="D92" s="626"/>
      <c r="E92" s="627" t="s">
        <v>1396</v>
      </c>
      <c r="F92" s="637">
        <v>0.05</v>
      </c>
      <c r="G92" s="637">
        <v>0.1</v>
      </c>
      <c r="H92" s="638">
        <v>0.125</v>
      </c>
      <c r="I92" s="630">
        <f t="shared" si="5"/>
        <v>0.13750000000000001</v>
      </c>
      <c r="J92" s="637">
        <v>0.1</v>
      </c>
      <c r="K92" s="628">
        <v>0.75</v>
      </c>
      <c r="L92" s="632">
        <v>10</v>
      </c>
    </row>
    <row r="93" spans="1:12" ht="20.100000000000001" customHeight="1">
      <c r="B93" s="625"/>
      <c r="C93" s="626"/>
      <c r="D93" s="626"/>
      <c r="E93" s="627" t="s">
        <v>1397</v>
      </c>
      <c r="F93" s="637">
        <v>0.05</v>
      </c>
      <c r="G93" s="637">
        <v>7.0000000000000007E-2</v>
      </c>
      <c r="H93" s="638">
        <v>0.11</v>
      </c>
      <c r="I93" s="630">
        <f t="shared" si="5"/>
        <v>0.121</v>
      </c>
      <c r="J93" s="637">
        <v>0.1</v>
      </c>
      <c r="K93" s="628">
        <v>7.0000000000000007E-2</v>
      </c>
      <c r="L93" s="632">
        <v>10</v>
      </c>
    </row>
    <row r="94" spans="1:12" s="360" customFormat="1" ht="20.100000000000001" customHeight="1">
      <c r="A94" s="361"/>
      <c r="B94" s="633"/>
      <c r="C94" s="626"/>
      <c r="D94" s="626"/>
      <c r="E94" s="639" t="s">
        <v>1398</v>
      </c>
      <c r="F94" s="635">
        <v>0</v>
      </c>
      <c r="G94" s="635">
        <v>0</v>
      </c>
      <c r="H94" s="635">
        <v>0</v>
      </c>
      <c r="I94" s="635">
        <v>0</v>
      </c>
      <c r="J94" s="635">
        <v>0</v>
      </c>
      <c r="K94" s="635">
        <v>0</v>
      </c>
      <c r="L94" s="636">
        <v>0</v>
      </c>
    </row>
    <row r="95" spans="1:12" ht="20.100000000000001" customHeight="1">
      <c r="B95" s="625"/>
      <c r="C95" s="626"/>
      <c r="D95" s="626"/>
      <c r="E95" s="627" t="s">
        <v>1399</v>
      </c>
      <c r="F95" s="637">
        <v>0.04</v>
      </c>
      <c r="G95" s="637">
        <v>0.06</v>
      </c>
      <c r="H95" s="638">
        <v>0.09</v>
      </c>
      <c r="I95" s="630">
        <f t="shared" ref="I95:I109" si="6">(H95*L95%)+H95</f>
        <v>9.8999999999999991E-2</v>
      </c>
      <c r="J95" s="637">
        <v>0.08</v>
      </c>
      <c r="K95" s="628">
        <v>0.06</v>
      </c>
      <c r="L95" s="632">
        <v>10</v>
      </c>
    </row>
    <row r="96" spans="1:12" ht="20.100000000000001" customHeight="1">
      <c r="B96" s="625"/>
      <c r="C96" s="626"/>
      <c r="D96" s="626"/>
      <c r="E96" s="627" t="s">
        <v>1400</v>
      </c>
      <c r="F96" s="637">
        <v>0.05</v>
      </c>
      <c r="G96" s="637">
        <v>7.0000000000000007E-2</v>
      </c>
      <c r="H96" s="638">
        <v>0.11</v>
      </c>
      <c r="I96" s="630">
        <f t="shared" si="6"/>
        <v>0.121</v>
      </c>
      <c r="J96" s="637">
        <v>0.1</v>
      </c>
      <c r="K96" s="628">
        <v>7.0000000000000007E-2</v>
      </c>
      <c r="L96" s="632">
        <v>10</v>
      </c>
    </row>
    <row r="97" spans="1:12" ht="20.100000000000001" customHeight="1">
      <c r="B97" s="625"/>
      <c r="C97" s="626"/>
      <c r="D97" s="626"/>
      <c r="E97" s="627" t="s">
        <v>1401</v>
      </c>
      <c r="F97" s="637">
        <v>0.04</v>
      </c>
      <c r="G97" s="637">
        <v>0.06</v>
      </c>
      <c r="H97" s="638">
        <v>0.09</v>
      </c>
      <c r="I97" s="630">
        <f t="shared" si="6"/>
        <v>9.8999999999999991E-2</v>
      </c>
      <c r="J97" s="637">
        <v>0.08</v>
      </c>
      <c r="K97" s="628">
        <v>0.06</v>
      </c>
      <c r="L97" s="632">
        <v>10</v>
      </c>
    </row>
    <row r="98" spans="1:12" ht="20.100000000000001" customHeight="1">
      <c r="B98" s="625"/>
      <c r="C98" s="626"/>
      <c r="D98" s="626"/>
      <c r="E98" s="627" t="s">
        <v>1402</v>
      </c>
      <c r="F98" s="637">
        <v>0.05</v>
      </c>
      <c r="G98" s="637">
        <v>7.0000000000000007E-2</v>
      </c>
      <c r="H98" s="638">
        <v>0.11</v>
      </c>
      <c r="I98" s="630">
        <f t="shared" si="6"/>
        <v>0.121</v>
      </c>
      <c r="J98" s="637">
        <v>0.1</v>
      </c>
      <c r="K98" s="628">
        <v>7.0000000000000007E-2</v>
      </c>
      <c r="L98" s="632">
        <v>10</v>
      </c>
    </row>
    <row r="99" spans="1:12" ht="20.100000000000001" customHeight="1">
      <c r="B99" s="625"/>
      <c r="C99" s="626"/>
      <c r="D99" s="626"/>
      <c r="E99" s="627" t="s">
        <v>1403</v>
      </c>
      <c r="F99" s="637">
        <v>0.1</v>
      </c>
      <c r="G99" s="637">
        <v>0.14000000000000001</v>
      </c>
      <c r="H99" s="638">
        <v>0.16</v>
      </c>
      <c r="I99" s="630">
        <f t="shared" si="6"/>
        <v>0.17599999999999999</v>
      </c>
      <c r="J99" s="637">
        <v>0.14000000000000001</v>
      </c>
      <c r="K99" s="628">
        <v>0.1</v>
      </c>
      <c r="L99" s="632">
        <v>10</v>
      </c>
    </row>
    <row r="100" spans="1:12" ht="20.100000000000001" customHeight="1">
      <c r="B100" s="625"/>
      <c r="C100" s="626"/>
      <c r="D100" s="626"/>
      <c r="E100" s="627" t="s">
        <v>1404</v>
      </c>
      <c r="F100" s="637">
        <v>0.05</v>
      </c>
      <c r="G100" s="637">
        <v>7.0000000000000007E-2</v>
      </c>
      <c r="H100" s="638">
        <v>0.11</v>
      </c>
      <c r="I100" s="630">
        <f t="shared" si="6"/>
        <v>0.121</v>
      </c>
      <c r="J100" s="637">
        <v>0.1</v>
      </c>
      <c r="K100" s="628">
        <v>7.0000000000000007E-2</v>
      </c>
      <c r="L100" s="632">
        <v>10</v>
      </c>
    </row>
    <row r="101" spans="1:12" ht="20.100000000000001" customHeight="1">
      <c r="B101" s="625"/>
      <c r="C101" s="626"/>
      <c r="D101" s="626"/>
      <c r="E101" s="627" t="s">
        <v>1405</v>
      </c>
      <c r="F101" s="637">
        <v>0.05</v>
      </c>
      <c r="G101" s="637">
        <v>7.0000000000000007E-2</v>
      </c>
      <c r="H101" s="638">
        <v>0.11</v>
      </c>
      <c r="I101" s="630">
        <f t="shared" si="6"/>
        <v>0.121</v>
      </c>
      <c r="J101" s="637">
        <v>0.1</v>
      </c>
      <c r="K101" s="628">
        <v>7.0000000000000007E-2</v>
      </c>
      <c r="L101" s="632">
        <v>10</v>
      </c>
    </row>
    <row r="102" spans="1:12" ht="20.100000000000001" customHeight="1">
      <c r="B102" s="625"/>
      <c r="C102" s="626"/>
      <c r="D102" s="626"/>
      <c r="E102" s="627" t="s">
        <v>1406</v>
      </c>
      <c r="F102" s="637">
        <v>2</v>
      </c>
      <c r="G102" s="637">
        <v>3</v>
      </c>
      <c r="H102" s="638">
        <v>5</v>
      </c>
      <c r="I102" s="630">
        <f t="shared" si="6"/>
        <v>5.5</v>
      </c>
      <c r="J102" s="637">
        <v>5</v>
      </c>
      <c r="K102" s="628">
        <v>3.5</v>
      </c>
      <c r="L102" s="632">
        <v>10</v>
      </c>
    </row>
    <row r="103" spans="1:12" ht="20.100000000000001" customHeight="1">
      <c r="B103" s="625"/>
      <c r="C103" s="626"/>
      <c r="D103" s="626"/>
      <c r="E103" s="627" t="s">
        <v>1407</v>
      </c>
      <c r="F103" s="637">
        <v>0.04</v>
      </c>
      <c r="G103" s="637">
        <v>0.06</v>
      </c>
      <c r="H103" s="638">
        <v>0.1</v>
      </c>
      <c r="I103" s="630">
        <f t="shared" si="6"/>
        <v>0.11000000000000001</v>
      </c>
      <c r="J103" s="637">
        <v>0.1</v>
      </c>
      <c r="K103" s="628">
        <v>7.0000000000000007E-2</v>
      </c>
      <c r="L103" s="632">
        <v>10</v>
      </c>
    </row>
    <row r="104" spans="1:12" ht="20.100000000000001" customHeight="1">
      <c r="B104" s="625"/>
      <c r="C104" s="626"/>
      <c r="D104" s="626"/>
      <c r="E104" s="627" t="s">
        <v>1408</v>
      </c>
      <c r="F104" s="637">
        <v>0.05</v>
      </c>
      <c r="G104" s="637">
        <v>7.0000000000000007E-2</v>
      </c>
      <c r="H104" s="638">
        <v>0.11</v>
      </c>
      <c r="I104" s="630">
        <f t="shared" si="6"/>
        <v>0.121</v>
      </c>
      <c r="J104" s="637">
        <v>0.1</v>
      </c>
      <c r="K104" s="628">
        <v>7.0000000000000007E-2</v>
      </c>
      <c r="L104" s="632">
        <v>10</v>
      </c>
    </row>
    <row r="105" spans="1:12" ht="20.100000000000001" customHeight="1">
      <c r="B105" s="625"/>
      <c r="C105" s="626"/>
      <c r="D105" s="626"/>
      <c r="E105" s="627" t="s">
        <v>1409</v>
      </c>
      <c r="F105" s="637">
        <v>0.1</v>
      </c>
      <c r="G105" s="637">
        <v>0.14000000000000001</v>
      </c>
      <c r="H105" s="638">
        <v>0.16</v>
      </c>
      <c r="I105" s="630">
        <f t="shared" si="6"/>
        <v>0.17599999999999999</v>
      </c>
      <c r="J105" s="637">
        <v>0.14000000000000001</v>
      </c>
      <c r="K105" s="628">
        <v>0.1</v>
      </c>
      <c r="L105" s="632">
        <v>10</v>
      </c>
    </row>
    <row r="106" spans="1:12" ht="20.100000000000001" customHeight="1">
      <c r="B106" s="625"/>
      <c r="C106" s="626"/>
      <c r="D106" s="626"/>
      <c r="E106" s="627" t="s">
        <v>1410</v>
      </c>
      <c r="F106" s="637">
        <v>0</v>
      </c>
      <c r="G106" s="637">
        <v>0</v>
      </c>
      <c r="H106" s="638">
        <v>0.16</v>
      </c>
      <c r="I106" s="630">
        <f t="shared" si="6"/>
        <v>0.17599999999999999</v>
      </c>
      <c r="J106" s="637">
        <v>0.14000000000000001</v>
      </c>
      <c r="K106" s="628">
        <v>0.1</v>
      </c>
      <c r="L106" s="632">
        <v>10</v>
      </c>
    </row>
    <row r="107" spans="1:12" ht="20.100000000000001" customHeight="1">
      <c r="B107" s="625"/>
      <c r="C107" s="626"/>
      <c r="D107" s="626"/>
      <c r="E107" s="627" t="s">
        <v>1411</v>
      </c>
      <c r="F107" s="637">
        <v>0.05</v>
      </c>
      <c r="G107" s="637">
        <v>7.0000000000000007E-2</v>
      </c>
      <c r="H107" s="638">
        <v>0.11</v>
      </c>
      <c r="I107" s="630">
        <f t="shared" si="6"/>
        <v>0.121</v>
      </c>
      <c r="J107" s="637">
        <v>0.1</v>
      </c>
      <c r="K107" s="628">
        <v>7.0000000000000007E-2</v>
      </c>
      <c r="L107" s="632">
        <v>10</v>
      </c>
    </row>
    <row r="108" spans="1:12" ht="20.100000000000001" customHeight="1">
      <c r="B108" s="625"/>
      <c r="C108" s="626"/>
      <c r="D108" s="626"/>
      <c r="E108" s="627" t="s">
        <v>1412</v>
      </c>
      <c r="F108" s="637">
        <v>1</v>
      </c>
      <c r="G108" s="637">
        <v>2</v>
      </c>
      <c r="H108" s="638">
        <v>2.5</v>
      </c>
      <c r="I108" s="630">
        <f t="shared" si="6"/>
        <v>2.75</v>
      </c>
      <c r="J108" s="637">
        <v>2</v>
      </c>
      <c r="K108" s="628">
        <v>1.5</v>
      </c>
      <c r="L108" s="632">
        <v>10</v>
      </c>
    </row>
    <row r="109" spans="1:12" ht="20.100000000000001" customHeight="1">
      <c r="B109" s="625"/>
      <c r="C109" s="626"/>
      <c r="D109" s="626"/>
      <c r="E109" s="627" t="s">
        <v>1413</v>
      </c>
      <c r="F109" s="637">
        <v>0.05</v>
      </c>
      <c r="G109" s="637">
        <v>0.1</v>
      </c>
      <c r="H109" s="638">
        <v>0.125</v>
      </c>
      <c r="I109" s="630">
        <f t="shared" si="6"/>
        <v>0.13750000000000001</v>
      </c>
      <c r="J109" s="637">
        <v>0.1</v>
      </c>
      <c r="K109" s="628">
        <v>7.4999999999999997E-2</v>
      </c>
      <c r="L109" s="632">
        <v>10</v>
      </c>
    </row>
    <row r="110" spans="1:12" s="360" customFormat="1" ht="20.100000000000001" customHeight="1">
      <c r="A110" s="361"/>
      <c r="B110" s="633"/>
      <c r="C110" s="626"/>
      <c r="D110" s="626"/>
      <c r="E110" s="639" t="s">
        <v>1414</v>
      </c>
      <c r="F110" s="635">
        <v>0</v>
      </c>
      <c r="G110" s="635">
        <v>0</v>
      </c>
      <c r="H110" s="635">
        <v>0</v>
      </c>
      <c r="I110" s="635">
        <v>0</v>
      </c>
      <c r="J110" s="635">
        <v>0</v>
      </c>
      <c r="K110" s="635">
        <v>0</v>
      </c>
      <c r="L110" s="636">
        <v>0</v>
      </c>
    </row>
    <row r="111" spans="1:12" ht="20.100000000000001" customHeight="1">
      <c r="B111" s="625"/>
      <c r="C111" s="626"/>
      <c r="D111" s="626"/>
      <c r="E111" s="627" t="s">
        <v>1415</v>
      </c>
      <c r="F111" s="637">
        <v>0.05</v>
      </c>
      <c r="G111" s="637">
        <v>7.0000000000000007E-2</v>
      </c>
      <c r="H111" s="638">
        <v>0.11</v>
      </c>
      <c r="I111" s="630">
        <f>(H111*L111%)+H111</f>
        <v>0.121</v>
      </c>
      <c r="J111" s="637">
        <v>0.1</v>
      </c>
      <c r="K111" s="628">
        <v>7.0000000000000007E-2</v>
      </c>
      <c r="L111" s="632">
        <v>10</v>
      </c>
    </row>
    <row r="112" spans="1:12" ht="20.100000000000001" customHeight="1">
      <c r="B112" s="625"/>
      <c r="C112" s="626"/>
      <c r="D112" s="626"/>
      <c r="E112" s="627" t="s">
        <v>1416</v>
      </c>
      <c r="F112" s="637">
        <v>0.05</v>
      </c>
      <c r="G112" s="637">
        <v>7.0000000000000007E-2</v>
      </c>
      <c r="H112" s="638">
        <v>0.15</v>
      </c>
      <c r="I112" s="630">
        <f>(H112*L112%)+H112</f>
        <v>0.16499999999999998</v>
      </c>
      <c r="J112" s="637">
        <v>0.15</v>
      </c>
      <c r="K112" s="628">
        <v>0.14000000000000001</v>
      </c>
      <c r="L112" s="632">
        <v>10</v>
      </c>
    </row>
    <row r="113" spans="1:12" s="360" customFormat="1" ht="20.100000000000001" customHeight="1">
      <c r="A113" s="361"/>
      <c r="B113" s="633"/>
      <c r="C113" s="626"/>
      <c r="D113" s="626"/>
      <c r="E113" s="639" t="s">
        <v>1417</v>
      </c>
      <c r="F113" s="635">
        <v>0</v>
      </c>
      <c r="G113" s="635">
        <v>0</v>
      </c>
      <c r="H113" s="635">
        <v>0</v>
      </c>
      <c r="I113" s="635">
        <v>0</v>
      </c>
      <c r="J113" s="635">
        <v>0</v>
      </c>
      <c r="K113" s="635">
        <v>0</v>
      </c>
      <c r="L113" s="636">
        <v>0</v>
      </c>
    </row>
    <row r="114" spans="1:12" ht="20.100000000000001" customHeight="1">
      <c r="B114" s="625"/>
      <c r="C114" s="626"/>
      <c r="D114" s="626"/>
      <c r="E114" s="627" t="s">
        <v>1418</v>
      </c>
      <c r="F114" s="637">
        <v>1</v>
      </c>
      <c r="G114" s="637">
        <v>2</v>
      </c>
      <c r="H114" s="638">
        <v>2.5</v>
      </c>
      <c r="I114" s="630">
        <f>(H114*L114%)+H114</f>
        <v>2.75</v>
      </c>
      <c r="J114" s="637">
        <v>2</v>
      </c>
      <c r="K114" s="628">
        <v>1.5</v>
      </c>
      <c r="L114" s="632">
        <v>10</v>
      </c>
    </row>
    <row r="115" spans="1:12" ht="20.100000000000001" customHeight="1">
      <c r="B115" s="625"/>
      <c r="C115" s="626"/>
      <c r="D115" s="626"/>
      <c r="E115" s="627" t="s">
        <v>1419</v>
      </c>
      <c r="F115" s="637">
        <v>0.06</v>
      </c>
      <c r="G115" s="637">
        <v>0.09</v>
      </c>
      <c r="H115" s="638">
        <v>0.11</v>
      </c>
      <c r="I115" s="630">
        <f>(H115*L115%)+H115</f>
        <v>0.121</v>
      </c>
      <c r="J115" s="637">
        <v>0.09</v>
      </c>
      <c r="K115" s="628">
        <v>0.06</v>
      </c>
      <c r="L115" s="632">
        <v>10</v>
      </c>
    </row>
    <row r="116" spans="1:12" s="360" customFormat="1" ht="20.100000000000001" customHeight="1">
      <c r="A116" s="361"/>
      <c r="B116" s="633"/>
      <c r="C116" s="626"/>
      <c r="D116" s="626"/>
      <c r="E116" s="639" t="s">
        <v>1420</v>
      </c>
      <c r="F116" s="635">
        <v>0</v>
      </c>
      <c r="G116" s="635">
        <v>0</v>
      </c>
      <c r="H116" s="635">
        <v>0</v>
      </c>
      <c r="I116" s="635">
        <v>0</v>
      </c>
      <c r="J116" s="635">
        <v>0</v>
      </c>
      <c r="K116" s="635">
        <v>0</v>
      </c>
      <c r="L116" s="636">
        <v>0</v>
      </c>
    </row>
    <row r="117" spans="1:12" ht="20.100000000000001" customHeight="1">
      <c r="B117" s="625"/>
      <c r="C117" s="626"/>
      <c r="D117" s="626"/>
      <c r="E117" s="627" t="s">
        <v>1421</v>
      </c>
      <c r="F117" s="637">
        <v>0.05</v>
      </c>
      <c r="G117" s="637">
        <v>7.0000000000000007E-2</v>
      </c>
      <c r="H117" s="638">
        <v>0.11</v>
      </c>
      <c r="I117" s="630">
        <f>(H117*L117%)+H117</f>
        <v>0.121</v>
      </c>
      <c r="J117" s="637">
        <v>0.1</v>
      </c>
      <c r="K117" s="628">
        <v>7.0000000000000007E-2</v>
      </c>
      <c r="L117" s="632">
        <v>10</v>
      </c>
    </row>
    <row r="118" spans="1:12" ht="20.100000000000001" customHeight="1">
      <c r="B118" s="625"/>
      <c r="C118" s="626"/>
      <c r="D118" s="626"/>
      <c r="E118" s="627" t="s">
        <v>1422</v>
      </c>
      <c r="F118" s="637">
        <v>0.05</v>
      </c>
      <c r="G118" s="637">
        <v>7.0000000000000007E-2</v>
      </c>
      <c r="H118" s="638">
        <v>0.11</v>
      </c>
      <c r="I118" s="630">
        <f>(H118*L118%)+H118</f>
        <v>0.121</v>
      </c>
      <c r="J118" s="637">
        <v>0.1</v>
      </c>
      <c r="K118" s="628">
        <v>7.0000000000000007E-2</v>
      </c>
      <c r="L118" s="632">
        <v>10</v>
      </c>
    </row>
    <row r="119" spans="1:12" ht="20.100000000000001" customHeight="1">
      <c r="B119" s="625"/>
      <c r="C119" s="626"/>
      <c r="D119" s="626"/>
      <c r="E119" s="627" t="s">
        <v>1423</v>
      </c>
      <c r="F119" s="637">
        <v>0</v>
      </c>
      <c r="G119" s="637">
        <v>0</v>
      </c>
      <c r="H119" s="638">
        <v>1.1299999999999999</v>
      </c>
      <c r="I119" s="630">
        <f>(H119*L119%)+H119</f>
        <v>1.2429999999999999</v>
      </c>
      <c r="J119" s="637">
        <v>0.12</v>
      </c>
      <c r="K119" s="628">
        <v>0.08</v>
      </c>
      <c r="L119" s="632">
        <v>10</v>
      </c>
    </row>
    <row r="120" spans="1:12" ht="20.100000000000001" customHeight="1">
      <c r="B120" s="625"/>
      <c r="C120" s="626"/>
      <c r="D120" s="626"/>
      <c r="E120" s="627" t="s">
        <v>1424</v>
      </c>
      <c r="F120" s="637">
        <v>0.05</v>
      </c>
      <c r="G120" s="637">
        <v>7.0000000000000007E-2</v>
      </c>
      <c r="H120" s="638">
        <v>0.11</v>
      </c>
      <c r="I120" s="630">
        <f>(H120*L120%)+H120</f>
        <v>0.121</v>
      </c>
      <c r="J120" s="637">
        <v>0.1</v>
      </c>
      <c r="K120" s="628">
        <v>7.0000000000000007E-2</v>
      </c>
      <c r="L120" s="632">
        <v>10</v>
      </c>
    </row>
    <row r="121" spans="1:12" ht="20.100000000000001" customHeight="1">
      <c r="B121" s="625"/>
      <c r="C121" s="626"/>
      <c r="D121" s="626"/>
      <c r="E121" s="639" t="s">
        <v>1425</v>
      </c>
      <c r="F121" s="637">
        <v>0</v>
      </c>
      <c r="G121" s="637">
        <v>0</v>
      </c>
      <c r="H121" s="638">
        <v>0.16</v>
      </c>
      <c r="I121" s="630" t="e">
        <f>(H121*#REF!%)+H121</f>
        <v>#REF!</v>
      </c>
      <c r="J121" s="637">
        <v>0.15</v>
      </c>
      <c r="K121" s="628">
        <v>0.11</v>
      </c>
      <c r="L121" s="632">
        <v>10</v>
      </c>
    </row>
    <row r="122" spans="1:12" s="360" customFormat="1" ht="20.100000000000001" customHeight="1">
      <c r="A122" s="361"/>
      <c r="B122" s="633"/>
      <c r="C122" s="626"/>
      <c r="D122" s="626"/>
      <c r="E122" s="639" t="s">
        <v>1426</v>
      </c>
      <c r="F122" s="635">
        <v>0</v>
      </c>
      <c r="G122" s="635">
        <v>0</v>
      </c>
      <c r="H122" s="635">
        <v>0</v>
      </c>
      <c r="I122" s="635">
        <v>0</v>
      </c>
      <c r="J122" s="635">
        <v>0</v>
      </c>
      <c r="K122" s="635">
        <v>0</v>
      </c>
      <c r="L122" s="636">
        <v>0</v>
      </c>
    </row>
    <row r="123" spans="1:12" ht="20.100000000000001" customHeight="1">
      <c r="B123" s="625"/>
      <c r="C123" s="626"/>
      <c r="D123" s="626"/>
      <c r="E123" s="627" t="s">
        <v>1427</v>
      </c>
      <c r="F123" s="637">
        <v>0.05</v>
      </c>
      <c r="G123" s="637">
        <v>7.0000000000000007E-2</v>
      </c>
      <c r="H123" s="638">
        <v>0.11</v>
      </c>
      <c r="I123" s="630">
        <f t="shared" ref="I123:I128" si="7">(H123*L123%)+H123</f>
        <v>0.121</v>
      </c>
      <c r="J123" s="637">
        <v>0.1</v>
      </c>
      <c r="K123" s="628">
        <v>7.0000000000000007E-2</v>
      </c>
      <c r="L123" s="632">
        <v>10</v>
      </c>
    </row>
    <row r="124" spans="1:12" ht="20.100000000000001" customHeight="1">
      <c r="B124" s="625"/>
      <c r="C124" s="626"/>
      <c r="D124" s="626"/>
      <c r="E124" s="627" t="s">
        <v>1428</v>
      </c>
      <c r="F124" s="637">
        <v>0.05</v>
      </c>
      <c r="G124" s="637">
        <v>7.0000000000000007E-2</v>
      </c>
      <c r="H124" s="638">
        <v>0.11</v>
      </c>
      <c r="I124" s="630">
        <f t="shared" si="7"/>
        <v>0.121</v>
      </c>
      <c r="J124" s="637">
        <v>0.1</v>
      </c>
      <c r="K124" s="628">
        <v>7.0000000000000007E-2</v>
      </c>
      <c r="L124" s="632">
        <v>10</v>
      </c>
    </row>
    <row r="125" spans="1:12" ht="20.100000000000001" customHeight="1">
      <c r="B125" s="625"/>
      <c r="C125" s="626"/>
      <c r="D125" s="626"/>
      <c r="E125" s="627" t="s">
        <v>1429</v>
      </c>
      <c r="F125" s="637">
        <v>0.18</v>
      </c>
      <c r="G125" s="637">
        <v>0.25</v>
      </c>
      <c r="H125" s="638">
        <v>0.28000000000000003</v>
      </c>
      <c r="I125" s="630">
        <f t="shared" si="7"/>
        <v>0.30800000000000005</v>
      </c>
      <c r="J125" s="637">
        <v>0.25</v>
      </c>
      <c r="K125" s="628">
        <v>0.17</v>
      </c>
      <c r="L125" s="632">
        <v>10</v>
      </c>
    </row>
    <row r="126" spans="1:12" ht="20.100000000000001" customHeight="1">
      <c r="B126" s="625"/>
      <c r="C126" s="626"/>
      <c r="D126" s="626"/>
      <c r="E126" s="627" t="s">
        <v>1430</v>
      </c>
      <c r="F126" s="637">
        <v>0.1</v>
      </c>
      <c r="G126" s="637">
        <v>0.15</v>
      </c>
      <c r="H126" s="638">
        <v>0.2</v>
      </c>
      <c r="I126" s="630">
        <f t="shared" si="7"/>
        <v>0.22000000000000003</v>
      </c>
      <c r="J126" s="637">
        <v>0.15</v>
      </c>
      <c r="K126" s="628">
        <v>0.15</v>
      </c>
      <c r="L126" s="632">
        <v>10</v>
      </c>
    </row>
    <row r="127" spans="1:12" ht="20.100000000000001" customHeight="1">
      <c r="B127" s="625"/>
      <c r="C127" s="626"/>
      <c r="D127" s="626"/>
      <c r="E127" s="627" t="s">
        <v>1431</v>
      </c>
      <c r="F127" s="637">
        <v>0.06</v>
      </c>
      <c r="G127" s="637">
        <v>0.08</v>
      </c>
      <c r="H127" s="638">
        <v>0.14000000000000001</v>
      </c>
      <c r="I127" s="630">
        <f t="shared" si="7"/>
        <v>0.15400000000000003</v>
      </c>
      <c r="J127" s="637">
        <v>0.12</v>
      </c>
      <c r="K127" s="628">
        <v>0.08</v>
      </c>
      <c r="L127" s="632">
        <v>10</v>
      </c>
    </row>
    <row r="128" spans="1:12" ht="20.100000000000001" customHeight="1">
      <c r="B128" s="625"/>
      <c r="C128" s="626"/>
      <c r="D128" s="626"/>
      <c r="E128" s="627" t="s">
        <v>1432</v>
      </c>
      <c r="F128" s="637">
        <v>0.1</v>
      </c>
      <c r="G128" s="637">
        <v>0.1</v>
      </c>
      <c r="H128" s="638">
        <v>0.15</v>
      </c>
      <c r="I128" s="630">
        <f t="shared" si="7"/>
        <v>0.16499999999999998</v>
      </c>
      <c r="J128" s="637">
        <v>0.15</v>
      </c>
      <c r="K128" s="628">
        <v>0.15</v>
      </c>
      <c r="L128" s="632">
        <v>10</v>
      </c>
    </row>
    <row r="129" spans="1:12" s="360" customFormat="1" ht="20.100000000000001" customHeight="1">
      <c r="A129" s="361"/>
      <c r="B129" s="633"/>
      <c r="C129" s="626"/>
      <c r="D129" s="626"/>
      <c r="E129" s="639" t="s">
        <v>1433</v>
      </c>
      <c r="F129" s="635">
        <v>0</v>
      </c>
      <c r="G129" s="635">
        <v>0</v>
      </c>
      <c r="H129" s="635">
        <v>0</v>
      </c>
      <c r="I129" s="635">
        <v>0</v>
      </c>
      <c r="J129" s="635">
        <v>0</v>
      </c>
      <c r="K129" s="635">
        <v>0</v>
      </c>
      <c r="L129" s="636">
        <v>0</v>
      </c>
    </row>
    <row r="130" spans="1:12" ht="20.100000000000001" customHeight="1">
      <c r="B130" s="625"/>
      <c r="C130" s="626"/>
      <c r="D130" s="626"/>
      <c r="E130" s="627" t="s">
        <v>1434</v>
      </c>
      <c r="F130" s="637">
        <v>0.12</v>
      </c>
      <c r="G130" s="637">
        <v>0.17499999999999999</v>
      </c>
      <c r="H130" s="638">
        <v>0.22</v>
      </c>
      <c r="I130" s="630">
        <f t="shared" ref="I130:I139" si="8">(H130*L130%)+H130</f>
        <v>0.24199999999999999</v>
      </c>
      <c r="J130" s="637">
        <v>0.2</v>
      </c>
      <c r="K130" s="628">
        <v>0.2</v>
      </c>
      <c r="L130" s="632">
        <v>10</v>
      </c>
    </row>
    <row r="131" spans="1:12" ht="20.100000000000001" customHeight="1">
      <c r="B131" s="625"/>
      <c r="C131" s="626"/>
      <c r="D131" s="626"/>
      <c r="E131" s="627" t="s">
        <v>1435</v>
      </c>
      <c r="F131" s="637">
        <v>0.15</v>
      </c>
      <c r="G131" s="637">
        <v>1.18</v>
      </c>
      <c r="H131" s="638">
        <v>0.25</v>
      </c>
      <c r="I131" s="630">
        <f t="shared" si="8"/>
        <v>0.27500000000000002</v>
      </c>
      <c r="J131" s="637">
        <v>0.23</v>
      </c>
      <c r="K131" s="628">
        <v>0.23</v>
      </c>
      <c r="L131" s="632">
        <v>10</v>
      </c>
    </row>
    <row r="132" spans="1:12" ht="20.100000000000001" customHeight="1">
      <c r="B132" s="625"/>
      <c r="C132" s="626"/>
      <c r="D132" s="626"/>
      <c r="E132" s="627" t="s">
        <v>907</v>
      </c>
      <c r="F132" s="637">
        <v>0.12</v>
      </c>
      <c r="G132" s="637">
        <v>0.17</v>
      </c>
      <c r="H132" s="638">
        <v>0.22</v>
      </c>
      <c r="I132" s="630">
        <f t="shared" si="8"/>
        <v>0.24199999999999999</v>
      </c>
      <c r="J132" s="637">
        <v>0.2</v>
      </c>
      <c r="K132" s="628">
        <v>0.2</v>
      </c>
      <c r="L132" s="632">
        <v>10</v>
      </c>
    </row>
    <row r="133" spans="1:12" ht="20.100000000000001" customHeight="1">
      <c r="B133" s="625"/>
      <c r="C133" s="626"/>
      <c r="D133" s="626"/>
      <c r="E133" s="627" t="s">
        <v>1436</v>
      </c>
      <c r="F133" s="637">
        <v>0.12</v>
      </c>
      <c r="G133" s="637">
        <v>0.17</v>
      </c>
      <c r="H133" s="638">
        <v>0.22</v>
      </c>
      <c r="I133" s="630">
        <f t="shared" si="8"/>
        <v>0.24199999999999999</v>
      </c>
      <c r="J133" s="637">
        <v>0.2</v>
      </c>
      <c r="K133" s="628">
        <v>0.2</v>
      </c>
      <c r="L133" s="632">
        <v>10</v>
      </c>
    </row>
    <row r="134" spans="1:12" ht="20.100000000000001" customHeight="1">
      <c r="B134" s="633"/>
      <c r="C134" s="626"/>
      <c r="D134" s="626"/>
      <c r="E134" s="639" t="s">
        <v>1437</v>
      </c>
      <c r="F134" s="637">
        <v>0.05</v>
      </c>
      <c r="G134" s="637">
        <v>7.0000000000000007E-2</v>
      </c>
      <c r="H134" s="638">
        <v>0.08</v>
      </c>
      <c r="I134" s="630">
        <f t="shared" si="8"/>
        <v>8.7999999999999995E-2</v>
      </c>
      <c r="J134" s="637">
        <v>8.0000000000000002E-3</v>
      </c>
      <c r="K134" s="628">
        <v>8.0000000000000002E-3</v>
      </c>
      <c r="L134" s="632">
        <v>10</v>
      </c>
    </row>
    <row r="135" spans="1:12" ht="20.100000000000001" customHeight="1">
      <c r="B135" s="625"/>
      <c r="C135" s="626"/>
      <c r="D135" s="626"/>
      <c r="E135" s="627" t="s">
        <v>1438</v>
      </c>
      <c r="F135" s="637">
        <v>5.0000000000000001E-3</v>
      </c>
      <c r="G135" s="637">
        <v>7.0000000000000001E-3</v>
      </c>
      <c r="H135" s="638">
        <v>8.0000000000000002E-3</v>
      </c>
      <c r="I135" s="630">
        <f t="shared" si="8"/>
        <v>8.8000000000000005E-3</v>
      </c>
      <c r="J135" s="637">
        <v>8.0000000000000002E-3</v>
      </c>
      <c r="K135" s="628">
        <v>8.0000000000000002E-3</v>
      </c>
      <c r="L135" s="632">
        <v>10</v>
      </c>
    </row>
    <row r="136" spans="1:12" ht="20.100000000000001" customHeight="1">
      <c r="B136" s="625"/>
      <c r="C136" s="626"/>
      <c r="D136" s="626"/>
      <c r="E136" s="627" t="s">
        <v>1439</v>
      </c>
      <c r="F136" s="637">
        <v>0.05</v>
      </c>
      <c r="G136" s="637">
        <v>7.0000000000000007E-2</v>
      </c>
      <c r="H136" s="638">
        <v>0.08</v>
      </c>
      <c r="I136" s="630">
        <f t="shared" si="8"/>
        <v>8.7999999999999995E-2</v>
      </c>
      <c r="J136" s="637">
        <v>8.0000000000000002E-3</v>
      </c>
      <c r="K136" s="628">
        <v>8.0000000000000002E-3</v>
      </c>
      <c r="L136" s="632">
        <v>10</v>
      </c>
    </row>
    <row r="137" spans="1:12" ht="20.100000000000001" customHeight="1">
      <c r="B137" s="625"/>
      <c r="C137" s="626"/>
      <c r="D137" s="626"/>
      <c r="E137" s="627" t="s">
        <v>1440</v>
      </c>
      <c r="F137" s="637">
        <v>2.5000000000000001E-2</v>
      </c>
      <c r="G137" s="637">
        <v>0.03</v>
      </c>
      <c r="H137" s="638">
        <v>0.04</v>
      </c>
      <c r="I137" s="630">
        <f t="shared" si="8"/>
        <v>4.3999999999999997E-2</v>
      </c>
      <c r="J137" s="637">
        <v>0.04</v>
      </c>
      <c r="K137" s="628">
        <v>3.5000000000000003E-2</v>
      </c>
      <c r="L137" s="632">
        <v>10</v>
      </c>
    </row>
    <row r="138" spans="1:12" ht="20.100000000000001" customHeight="1">
      <c r="B138" s="625"/>
      <c r="C138" s="626"/>
      <c r="D138" s="626"/>
      <c r="E138" s="627" t="s">
        <v>1441</v>
      </c>
      <c r="F138" s="637">
        <v>0.03</v>
      </c>
      <c r="G138" s="637">
        <v>0.04</v>
      </c>
      <c r="H138" s="638">
        <v>0.06</v>
      </c>
      <c r="I138" s="630">
        <f t="shared" si="8"/>
        <v>6.6000000000000003E-2</v>
      </c>
      <c r="J138" s="637">
        <v>0.06</v>
      </c>
      <c r="K138" s="628">
        <v>0.04</v>
      </c>
      <c r="L138" s="632">
        <v>10</v>
      </c>
    </row>
    <row r="139" spans="1:12" ht="20.100000000000001" customHeight="1">
      <c r="B139" s="625"/>
      <c r="C139" s="626"/>
      <c r="D139" s="626"/>
      <c r="E139" s="627" t="s">
        <v>1442</v>
      </c>
      <c r="F139" s="637">
        <v>0.02</v>
      </c>
      <c r="G139" s="637">
        <v>0.03</v>
      </c>
      <c r="H139" s="638">
        <v>3.5000000000000003E-2</v>
      </c>
      <c r="I139" s="630">
        <f t="shared" si="8"/>
        <v>3.8500000000000006E-2</v>
      </c>
      <c r="J139" s="637">
        <v>0.04</v>
      </c>
      <c r="K139" s="628">
        <v>0.04</v>
      </c>
      <c r="L139" s="632">
        <v>10</v>
      </c>
    </row>
    <row r="140" spans="1:12" s="360" customFormat="1" ht="20.100000000000001" customHeight="1">
      <c r="A140" s="361"/>
      <c r="B140" s="633"/>
      <c r="C140" s="626"/>
      <c r="D140" s="626"/>
      <c r="E140" s="639" t="s">
        <v>1443</v>
      </c>
      <c r="F140" s="635">
        <v>0</v>
      </c>
      <c r="G140" s="635">
        <v>0</v>
      </c>
      <c r="H140" s="635">
        <v>0</v>
      </c>
      <c r="I140" s="635">
        <v>0</v>
      </c>
      <c r="J140" s="635">
        <v>0</v>
      </c>
      <c r="K140" s="635">
        <v>0</v>
      </c>
      <c r="L140" s="636">
        <v>0</v>
      </c>
    </row>
    <row r="141" spans="1:12" ht="20.100000000000001" customHeight="1">
      <c r="B141" s="625"/>
      <c r="C141" s="626"/>
      <c r="D141" s="626"/>
      <c r="E141" s="627" t="s">
        <v>1444</v>
      </c>
      <c r="F141" s="637">
        <v>0.11</v>
      </c>
      <c r="G141" s="637">
        <v>0.11</v>
      </c>
      <c r="H141" s="638">
        <v>0.111</v>
      </c>
      <c r="I141" s="630">
        <f>(H141*L141%)+H141</f>
        <v>0.1221</v>
      </c>
      <c r="J141" s="637">
        <v>0.1</v>
      </c>
      <c r="K141" s="628">
        <v>0.1</v>
      </c>
      <c r="L141" s="632">
        <v>10</v>
      </c>
    </row>
    <row r="142" spans="1:12" ht="20.100000000000001" customHeight="1">
      <c r="B142" s="625"/>
      <c r="C142" s="626"/>
      <c r="D142" s="626"/>
      <c r="E142" s="627" t="s">
        <v>950</v>
      </c>
      <c r="F142" s="637">
        <v>0.115</v>
      </c>
      <c r="G142" s="637">
        <v>0.115</v>
      </c>
      <c r="H142" s="638">
        <v>0.11600000000000001</v>
      </c>
      <c r="I142" s="630">
        <f>(H142*L142%)+H142</f>
        <v>0.12760000000000002</v>
      </c>
      <c r="J142" s="637">
        <v>0.115</v>
      </c>
      <c r="K142" s="628">
        <v>0.115</v>
      </c>
      <c r="L142" s="632">
        <v>10</v>
      </c>
    </row>
    <row r="143" spans="1:12" ht="20.100000000000001" customHeight="1">
      <c r="B143" s="625"/>
      <c r="C143" s="626"/>
      <c r="D143" s="626"/>
      <c r="E143" s="627" t="s">
        <v>1445</v>
      </c>
      <c r="F143" s="637">
        <v>0.06</v>
      </c>
      <c r="G143" s="637">
        <v>0.06</v>
      </c>
      <c r="H143" s="638">
        <v>0.12</v>
      </c>
      <c r="I143" s="630">
        <f>(H143*L143%)+H143</f>
        <v>0.13200000000000001</v>
      </c>
      <c r="J143" s="637">
        <v>0.12</v>
      </c>
      <c r="K143" s="628">
        <v>0.12</v>
      </c>
      <c r="L143" s="632">
        <v>10</v>
      </c>
    </row>
    <row r="144" spans="1:12" ht="20.100000000000001" customHeight="1">
      <c r="B144" s="625"/>
      <c r="C144" s="626"/>
      <c r="D144" s="626"/>
      <c r="E144" s="627" t="s">
        <v>1446</v>
      </c>
      <c r="F144" s="637">
        <v>0.125</v>
      </c>
      <c r="G144" s="637">
        <v>0.125</v>
      </c>
      <c r="H144" s="638">
        <v>0.125</v>
      </c>
      <c r="I144" s="630">
        <f>(H144*L144%)+H144</f>
        <v>0.13750000000000001</v>
      </c>
      <c r="J144" s="637">
        <v>0</v>
      </c>
      <c r="K144" s="628">
        <v>0</v>
      </c>
      <c r="L144" s="632">
        <v>10</v>
      </c>
    </row>
    <row r="145" spans="1:12" s="360" customFormat="1" ht="20.100000000000001" customHeight="1">
      <c r="A145" s="361"/>
      <c r="B145" s="633"/>
      <c r="C145" s="626"/>
      <c r="D145" s="626"/>
      <c r="E145" s="639" t="s">
        <v>1447</v>
      </c>
      <c r="F145" s="635">
        <v>0</v>
      </c>
      <c r="G145" s="635">
        <v>0</v>
      </c>
      <c r="H145" s="635">
        <v>0</v>
      </c>
      <c r="I145" s="635">
        <v>0</v>
      </c>
      <c r="J145" s="635">
        <v>0</v>
      </c>
      <c r="K145" s="635">
        <v>0</v>
      </c>
      <c r="L145" s="636">
        <v>0</v>
      </c>
    </row>
    <row r="146" spans="1:12" ht="20.100000000000001" customHeight="1">
      <c r="B146" s="625"/>
      <c r="C146" s="626"/>
      <c r="D146" s="626"/>
      <c r="E146" s="627" t="s">
        <v>1448</v>
      </c>
      <c r="F146" s="637">
        <v>0.1</v>
      </c>
      <c r="G146" s="637">
        <v>0.1</v>
      </c>
      <c r="H146" s="638">
        <v>0.1</v>
      </c>
      <c r="I146" s="630">
        <f t="shared" ref="I146:I153" si="9">(H146*L146%)+H146</f>
        <v>0.11000000000000001</v>
      </c>
      <c r="J146" s="637">
        <v>0.1</v>
      </c>
      <c r="K146" s="628">
        <v>0.1</v>
      </c>
      <c r="L146" s="632">
        <v>10</v>
      </c>
    </row>
    <row r="147" spans="1:12" ht="20.100000000000001" customHeight="1">
      <c r="B147" s="625"/>
      <c r="C147" s="626"/>
      <c r="D147" s="626"/>
      <c r="E147" s="627" t="s">
        <v>1449</v>
      </c>
      <c r="F147" s="637">
        <v>0.12</v>
      </c>
      <c r="G147" s="637">
        <v>0.12</v>
      </c>
      <c r="H147" s="638">
        <v>0.12</v>
      </c>
      <c r="I147" s="630">
        <f t="shared" si="9"/>
        <v>0.13200000000000001</v>
      </c>
      <c r="J147" s="637">
        <v>0.12</v>
      </c>
      <c r="K147" s="628">
        <v>0.12</v>
      </c>
      <c r="L147" s="632">
        <v>10</v>
      </c>
    </row>
    <row r="148" spans="1:12" ht="20.100000000000001" customHeight="1">
      <c r="B148" s="625"/>
      <c r="C148" s="626"/>
      <c r="D148" s="626"/>
      <c r="E148" s="627" t="s">
        <v>1450</v>
      </c>
      <c r="F148" s="637">
        <v>0.11</v>
      </c>
      <c r="G148" s="637">
        <v>0.1</v>
      </c>
      <c r="H148" s="638">
        <v>0.13</v>
      </c>
      <c r="I148" s="630">
        <f t="shared" si="9"/>
        <v>0.14300000000000002</v>
      </c>
      <c r="J148" s="637">
        <v>0.13</v>
      </c>
      <c r="K148" s="628">
        <v>0.13</v>
      </c>
      <c r="L148" s="632">
        <v>10</v>
      </c>
    </row>
    <row r="149" spans="1:12" ht="20.100000000000001" customHeight="1">
      <c r="B149" s="625"/>
      <c r="C149" s="626"/>
      <c r="D149" s="626"/>
      <c r="E149" s="627" t="s">
        <v>1451</v>
      </c>
      <c r="F149" s="637">
        <v>0.1</v>
      </c>
      <c r="G149" s="637">
        <v>0.1</v>
      </c>
      <c r="H149" s="638">
        <v>0.13</v>
      </c>
      <c r="I149" s="630">
        <f t="shared" si="9"/>
        <v>0.14300000000000002</v>
      </c>
      <c r="J149" s="637">
        <v>0.13</v>
      </c>
      <c r="K149" s="628">
        <v>0.13</v>
      </c>
      <c r="L149" s="632">
        <v>10</v>
      </c>
    </row>
    <row r="150" spans="1:12" ht="20.100000000000001" customHeight="1">
      <c r="B150" s="625"/>
      <c r="C150" s="626"/>
      <c r="D150" s="626"/>
      <c r="E150" s="627" t="s">
        <v>1452</v>
      </c>
      <c r="F150" s="637">
        <v>0.04</v>
      </c>
      <c r="G150" s="637">
        <v>0.04</v>
      </c>
      <c r="H150" s="638">
        <v>0.06</v>
      </c>
      <c r="I150" s="630">
        <f t="shared" si="9"/>
        <v>6.6000000000000003E-2</v>
      </c>
      <c r="J150" s="637">
        <v>0.06</v>
      </c>
      <c r="K150" s="628">
        <v>0.06</v>
      </c>
      <c r="L150" s="632">
        <v>10</v>
      </c>
    </row>
    <row r="151" spans="1:12" ht="20.100000000000001" customHeight="1">
      <c r="B151" s="625"/>
      <c r="C151" s="626"/>
      <c r="D151" s="626"/>
      <c r="E151" s="627" t="s">
        <v>1453</v>
      </c>
      <c r="F151" s="637">
        <v>0.06</v>
      </c>
      <c r="G151" s="637">
        <v>0.06</v>
      </c>
      <c r="H151" s="638">
        <v>0.08</v>
      </c>
      <c r="I151" s="630">
        <f t="shared" si="9"/>
        <v>8.7999999999999995E-2</v>
      </c>
      <c r="J151" s="637">
        <v>0.08</v>
      </c>
      <c r="K151" s="628">
        <v>0.08</v>
      </c>
      <c r="L151" s="632">
        <v>10</v>
      </c>
    </row>
    <row r="152" spans="1:12" ht="20.100000000000001" customHeight="1">
      <c r="B152" s="625"/>
      <c r="C152" s="626"/>
      <c r="D152" s="626"/>
      <c r="E152" s="627" t="s">
        <v>1454</v>
      </c>
      <c r="F152" s="637">
        <v>0.03</v>
      </c>
      <c r="G152" s="637">
        <v>0.03</v>
      </c>
      <c r="H152" s="638">
        <v>0.05</v>
      </c>
      <c r="I152" s="630">
        <f t="shared" si="9"/>
        <v>5.5000000000000007E-2</v>
      </c>
      <c r="J152" s="637">
        <v>0.05</v>
      </c>
      <c r="K152" s="628">
        <v>0.05</v>
      </c>
      <c r="L152" s="632">
        <v>10</v>
      </c>
    </row>
    <row r="153" spans="1:12" ht="20.100000000000001" customHeight="1">
      <c r="B153" s="625"/>
      <c r="C153" s="626"/>
      <c r="D153" s="626"/>
      <c r="E153" s="627" t="s">
        <v>1455</v>
      </c>
      <c r="F153" s="637">
        <v>1.4999999999999999E-2</v>
      </c>
      <c r="G153" s="637">
        <v>1.4999999999999999E-2</v>
      </c>
      <c r="H153" s="638">
        <v>2.1000000000000001E-2</v>
      </c>
      <c r="I153" s="630">
        <f t="shared" si="9"/>
        <v>2.3100000000000002E-2</v>
      </c>
      <c r="J153" s="637">
        <v>2E-3</v>
      </c>
      <c r="K153" s="628">
        <v>2E-3</v>
      </c>
      <c r="L153" s="632">
        <v>10</v>
      </c>
    </row>
    <row r="154" spans="1:12" s="360" customFormat="1" ht="20.100000000000001" customHeight="1">
      <c r="A154" s="361"/>
      <c r="B154" s="633"/>
      <c r="C154" s="626"/>
      <c r="D154" s="626"/>
      <c r="E154" s="639" t="s">
        <v>1456</v>
      </c>
      <c r="F154" s="635">
        <v>0</v>
      </c>
      <c r="G154" s="635">
        <v>0</v>
      </c>
      <c r="H154" s="635">
        <v>0</v>
      </c>
      <c r="I154" s="635">
        <v>0</v>
      </c>
      <c r="J154" s="635">
        <v>0</v>
      </c>
      <c r="K154" s="635">
        <v>0</v>
      </c>
      <c r="L154" s="636">
        <v>0</v>
      </c>
    </row>
    <row r="155" spans="1:12" ht="20.100000000000001" customHeight="1">
      <c r="B155" s="625"/>
      <c r="C155" s="626"/>
      <c r="D155" s="626"/>
      <c r="E155" s="627" t="s">
        <v>1457</v>
      </c>
      <c r="F155" s="637">
        <v>0.04</v>
      </c>
      <c r="G155" s="637">
        <v>0.05</v>
      </c>
      <c r="H155" s="638">
        <v>0.08</v>
      </c>
      <c r="I155" s="630">
        <f>(H155*L155%)+H155</f>
        <v>8.7999999999999995E-2</v>
      </c>
      <c r="J155" s="637">
        <v>0.04</v>
      </c>
      <c r="K155" s="628"/>
      <c r="L155" s="632">
        <v>10</v>
      </c>
    </row>
    <row r="156" spans="1:12" ht="20.100000000000001" customHeight="1">
      <c r="B156" s="625"/>
      <c r="C156" s="626"/>
      <c r="D156" s="626"/>
      <c r="E156" s="627" t="s">
        <v>1458</v>
      </c>
      <c r="F156" s="635">
        <v>0</v>
      </c>
      <c r="G156" s="635">
        <v>0</v>
      </c>
      <c r="H156" s="635">
        <v>0</v>
      </c>
      <c r="I156" s="635">
        <v>0</v>
      </c>
      <c r="J156" s="635">
        <v>0</v>
      </c>
      <c r="K156" s="635">
        <v>0</v>
      </c>
      <c r="L156" s="636">
        <v>0</v>
      </c>
    </row>
    <row r="157" spans="1:12" ht="20.100000000000001" customHeight="1">
      <c r="B157" s="625"/>
      <c r="C157" s="626"/>
      <c r="D157" s="626"/>
      <c r="E157" s="627" t="s">
        <v>1459</v>
      </c>
      <c r="F157" s="637">
        <v>3.5000000000000003E-2</v>
      </c>
      <c r="G157" s="637">
        <v>5.5E-2</v>
      </c>
      <c r="H157" s="638">
        <v>0.08</v>
      </c>
      <c r="I157" s="630">
        <f t="shared" ref="I157:I166" si="10">(H157*L157%)+H157</f>
        <v>8.7999999999999995E-2</v>
      </c>
      <c r="J157" s="637"/>
      <c r="K157" s="628"/>
      <c r="L157" s="632">
        <v>10</v>
      </c>
    </row>
    <row r="158" spans="1:12" ht="20.100000000000001" customHeight="1">
      <c r="B158" s="625"/>
      <c r="C158" s="626"/>
      <c r="D158" s="626"/>
      <c r="E158" s="627" t="s">
        <v>1460</v>
      </c>
      <c r="F158" s="637">
        <v>0.03</v>
      </c>
      <c r="G158" s="637">
        <v>0.03</v>
      </c>
      <c r="H158" s="638">
        <v>0.05</v>
      </c>
      <c r="I158" s="630">
        <f t="shared" si="10"/>
        <v>5.5000000000000007E-2</v>
      </c>
      <c r="J158" s="637">
        <v>0.05</v>
      </c>
      <c r="K158" s="628"/>
      <c r="L158" s="632">
        <v>10</v>
      </c>
    </row>
    <row r="159" spans="1:12" ht="20.100000000000001" customHeight="1">
      <c r="B159" s="625"/>
      <c r="C159" s="626"/>
      <c r="D159" s="626"/>
      <c r="E159" s="627" t="s">
        <v>1461</v>
      </c>
      <c r="F159" s="637">
        <v>0.02</v>
      </c>
      <c r="G159" s="637">
        <v>0.02</v>
      </c>
      <c r="H159" s="638">
        <v>0.03</v>
      </c>
      <c r="I159" s="630">
        <f t="shared" si="10"/>
        <v>3.3000000000000002E-2</v>
      </c>
      <c r="J159" s="637">
        <v>0.03</v>
      </c>
      <c r="K159" s="628"/>
      <c r="L159" s="632">
        <v>10</v>
      </c>
    </row>
    <row r="160" spans="1:12" ht="20.100000000000001" customHeight="1">
      <c r="B160" s="625"/>
      <c r="C160" s="626"/>
      <c r="D160" s="626"/>
      <c r="E160" s="627" t="s">
        <v>1462</v>
      </c>
      <c r="F160" s="637">
        <v>0.1</v>
      </c>
      <c r="G160" s="637">
        <v>0.2</v>
      </c>
      <c r="H160" s="638">
        <v>0.13</v>
      </c>
      <c r="I160" s="630">
        <f t="shared" si="10"/>
        <v>0.14300000000000002</v>
      </c>
      <c r="J160" s="637">
        <v>0.13</v>
      </c>
      <c r="K160" s="628"/>
      <c r="L160" s="632">
        <v>10</v>
      </c>
    </row>
    <row r="161" spans="2:12" ht="20.100000000000001" customHeight="1">
      <c r="B161" s="625"/>
      <c r="C161" s="626"/>
      <c r="D161" s="626"/>
      <c r="E161" s="627" t="s">
        <v>1463</v>
      </c>
      <c r="F161" s="637">
        <v>0.1</v>
      </c>
      <c r="G161" s="637">
        <v>0.1</v>
      </c>
      <c r="H161" s="638">
        <v>0.13</v>
      </c>
      <c r="I161" s="630">
        <f t="shared" si="10"/>
        <v>0.14300000000000002</v>
      </c>
      <c r="J161" s="637">
        <v>0.13</v>
      </c>
      <c r="K161" s="628"/>
      <c r="L161" s="632">
        <v>10</v>
      </c>
    </row>
    <row r="162" spans="2:12" ht="20.100000000000001" customHeight="1">
      <c r="B162" s="625"/>
      <c r="C162" s="626"/>
      <c r="D162" s="626"/>
      <c r="E162" s="627" t="s">
        <v>1464</v>
      </c>
      <c r="F162" s="637">
        <v>0.125</v>
      </c>
      <c r="G162" s="637">
        <v>0.125</v>
      </c>
      <c r="H162" s="638">
        <v>0.25</v>
      </c>
      <c r="I162" s="630">
        <f t="shared" si="10"/>
        <v>0.27500000000000002</v>
      </c>
      <c r="J162" s="637">
        <v>0.15</v>
      </c>
      <c r="K162" s="628"/>
      <c r="L162" s="632">
        <v>10</v>
      </c>
    </row>
    <row r="163" spans="2:12" ht="20.100000000000001" customHeight="1">
      <c r="B163" s="625"/>
      <c r="C163" s="626"/>
      <c r="D163" s="626"/>
      <c r="E163" s="627" t="s">
        <v>950</v>
      </c>
      <c r="F163" s="637">
        <v>0.115</v>
      </c>
      <c r="G163" s="637">
        <v>0.115</v>
      </c>
      <c r="H163" s="638">
        <v>0.11</v>
      </c>
      <c r="I163" s="630">
        <f t="shared" si="10"/>
        <v>0.121</v>
      </c>
      <c r="J163" s="637">
        <v>0.115</v>
      </c>
      <c r="K163" s="628"/>
      <c r="L163" s="632">
        <v>10</v>
      </c>
    </row>
    <row r="164" spans="2:12" ht="20.100000000000001" customHeight="1">
      <c r="B164" s="625"/>
      <c r="C164" s="626"/>
      <c r="D164" s="626"/>
      <c r="E164" s="627" t="s">
        <v>1465</v>
      </c>
      <c r="F164" s="637">
        <v>0.11</v>
      </c>
      <c r="G164" s="637">
        <v>0.11</v>
      </c>
      <c r="H164" s="638">
        <v>0.11</v>
      </c>
      <c r="I164" s="630">
        <f t="shared" si="10"/>
        <v>0.121</v>
      </c>
      <c r="J164" s="637">
        <v>0.1</v>
      </c>
      <c r="K164" s="628"/>
      <c r="L164" s="632">
        <v>10</v>
      </c>
    </row>
    <row r="165" spans="2:12" ht="20.100000000000001" customHeight="1">
      <c r="B165" s="625"/>
      <c r="C165" s="626"/>
      <c r="D165" s="626"/>
      <c r="E165" s="627" t="s">
        <v>1466</v>
      </c>
      <c r="F165" s="637">
        <v>0.02</v>
      </c>
      <c r="G165" s="637">
        <v>0.03</v>
      </c>
      <c r="H165" s="638">
        <v>3.5000000000000003E-2</v>
      </c>
      <c r="I165" s="630">
        <f t="shared" si="10"/>
        <v>3.8500000000000006E-2</v>
      </c>
      <c r="J165" s="637">
        <v>0.04</v>
      </c>
      <c r="K165" s="628"/>
      <c r="L165" s="632">
        <v>10</v>
      </c>
    </row>
    <row r="166" spans="2:12" ht="20.100000000000001" customHeight="1">
      <c r="B166" s="625"/>
      <c r="C166" s="626"/>
      <c r="D166" s="626"/>
      <c r="E166" s="627" t="s">
        <v>1445</v>
      </c>
      <c r="F166" s="637">
        <v>0.06</v>
      </c>
      <c r="G166" s="637">
        <v>0.06</v>
      </c>
      <c r="H166" s="638">
        <v>0.12</v>
      </c>
      <c r="I166" s="630">
        <f t="shared" si="10"/>
        <v>0.13200000000000001</v>
      </c>
      <c r="J166" s="637">
        <v>0.12</v>
      </c>
      <c r="K166" s="628"/>
      <c r="L166" s="632">
        <v>10</v>
      </c>
    </row>
    <row r="167" spans="2:12" ht="16.5" customHeight="1">
      <c r="B167" s="640"/>
      <c r="C167" s="640"/>
      <c r="D167" s="640"/>
      <c r="E167" s="641"/>
      <c r="F167" s="642"/>
      <c r="G167" s="642"/>
      <c r="H167" s="642"/>
      <c r="I167" s="643"/>
      <c r="J167" s="642"/>
      <c r="K167" s="642"/>
      <c r="L167" s="644"/>
    </row>
  </sheetData>
  <mergeCells count="2">
    <mergeCell ref="D2:I2"/>
    <mergeCell ref="B6:E6"/>
  </mergeCells>
  <printOptions horizontalCentered="1"/>
  <pageMargins left="0.19685039370078741" right="0.19685039370078741" top="0.19685039370078741" bottom="0.19685039370078741" header="0.11811023622047245" footer="0.11811023622047245"/>
  <pageSetup paperSize="9" scale="73" orientation="portrait" r:id="rId1"/>
  <headerFooter alignWithMargins="0"/>
  <rowBreaks count="2" manualBreakCount="2">
    <brk id="74" max="18" man="1"/>
    <brk id="153" max="18"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99"/>
  <sheetViews>
    <sheetView zoomScaleNormal="100" workbookViewId="0">
      <selection activeCell="W5" sqref="W5"/>
    </sheetView>
  </sheetViews>
  <sheetFormatPr baseColWidth="10" defaultRowHeight="15"/>
  <cols>
    <col min="1" max="1" width="4.5703125" style="32" customWidth="1"/>
    <col min="2" max="2" width="10.42578125" style="171" customWidth="1"/>
    <col min="3" max="8" width="11.42578125" style="171"/>
    <col min="9" max="9" width="12.85546875" style="171" customWidth="1"/>
    <col min="10" max="10" width="11.42578125" style="171"/>
    <col min="11" max="12" width="11.5703125" style="171" bestFit="1" customWidth="1"/>
    <col min="13" max="13" width="11.42578125" style="171"/>
    <col min="14" max="14" width="11.42578125" style="32"/>
    <col min="15" max="15" width="12.28515625" style="32" bestFit="1" customWidth="1"/>
    <col min="16" max="16" width="11.5703125" style="32" bestFit="1" customWidth="1"/>
    <col min="17" max="17" width="11.42578125" style="32"/>
    <col min="18" max="18" width="12.28515625" style="32" bestFit="1" customWidth="1"/>
    <col min="19" max="19" width="11.5703125" style="32" bestFit="1" customWidth="1"/>
    <col min="20" max="256" width="11.42578125" style="32"/>
    <col min="257" max="257" width="4.5703125" style="32" customWidth="1"/>
    <col min="258" max="258" width="10.42578125" style="32" customWidth="1"/>
    <col min="259" max="264" width="11.42578125" style="32"/>
    <col min="265" max="265" width="12.85546875" style="32" customWidth="1"/>
    <col min="266" max="266" width="11.42578125" style="32"/>
    <col min="267" max="268" width="11.5703125" style="32" bestFit="1" customWidth="1"/>
    <col min="269" max="270" width="11.42578125" style="32"/>
    <col min="271" max="271" width="12.28515625" style="32" bestFit="1" customWidth="1"/>
    <col min="272" max="272" width="11.5703125" style="32" bestFit="1" customWidth="1"/>
    <col min="273" max="273" width="11.42578125" style="32"/>
    <col min="274" max="274" width="12.28515625" style="32" bestFit="1" customWidth="1"/>
    <col min="275" max="275" width="11.5703125" style="32" bestFit="1" customWidth="1"/>
    <col min="276" max="512" width="11.42578125" style="32"/>
    <col min="513" max="513" width="4.5703125" style="32" customWidth="1"/>
    <col min="514" max="514" width="10.42578125" style="32" customWidth="1"/>
    <col min="515" max="520" width="11.42578125" style="32"/>
    <col min="521" max="521" width="12.85546875" style="32" customWidth="1"/>
    <col min="522" max="522" width="11.42578125" style="32"/>
    <col min="523" max="524" width="11.5703125" style="32" bestFit="1" customWidth="1"/>
    <col min="525" max="526" width="11.42578125" style="32"/>
    <col min="527" max="527" width="12.28515625" style="32" bestFit="1" customWidth="1"/>
    <col min="528" max="528" width="11.5703125" style="32" bestFit="1" customWidth="1"/>
    <col min="529" max="529" width="11.42578125" style="32"/>
    <col min="530" max="530" width="12.28515625" style="32" bestFit="1" customWidth="1"/>
    <col min="531" max="531" width="11.5703125" style="32" bestFit="1" customWidth="1"/>
    <col min="532" max="768" width="11.42578125" style="32"/>
    <col min="769" max="769" width="4.5703125" style="32" customWidth="1"/>
    <col min="770" max="770" width="10.42578125" style="32" customWidth="1"/>
    <col min="771" max="776" width="11.42578125" style="32"/>
    <col min="777" max="777" width="12.85546875" style="32" customWidth="1"/>
    <col min="778" max="778" width="11.42578125" style="32"/>
    <col min="779" max="780" width="11.5703125" style="32" bestFit="1" customWidth="1"/>
    <col min="781" max="782" width="11.42578125" style="32"/>
    <col min="783" max="783" width="12.28515625" style="32" bestFit="1" customWidth="1"/>
    <col min="784" max="784" width="11.5703125" style="32" bestFit="1" customWidth="1"/>
    <col min="785" max="785" width="11.42578125" style="32"/>
    <col min="786" max="786" width="12.28515625" style="32" bestFit="1" customWidth="1"/>
    <col min="787" max="787" width="11.5703125" style="32" bestFit="1" customWidth="1"/>
    <col min="788" max="1024" width="11.42578125" style="32"/>
    <col min="1025" max="1025" width="4.5703125" style="32" customWidth="1"/>
    <col min="1026" max="1026" width="10.42578125" style="32" customWidth="1"/>
    <col min="1027" max="1032" width="11.42578125" style="32"/>
    <col min="1033" max="1033" width="12.85546875" style="32" customWidth="1"/>
    <col min="1034" max="1034" width="11.42578125" style="32"/>
    <col min="1035" max="1036" width="11.5703125" style="32" bestFit="1" customWidth="1"/>
    <col min="1037" max="1038" width="11.42578125" style="32"/>
    <col min="1039" max="1039" width="12.28515625" style="32" bestFit="1" customWidth="1"/>
    <col min="1040" max="1040" width="11.5703125" style="32" bestFit="1" customWidth="1"/>
    <col min="1041" max="1041" width="11.42578125" style="32"/>
    <col min="1042" max="1042" width="12.28515625" style="32" bestFit="1" customWidth="1"/>
    <col min="1043" max="1043" width="11.5703125" style="32" bestFit="1" customWidth="1"/>
    <col min="1044" max="1280" width="11.42578125" style="32"/>
    <col min="1281" max="1281" width="4.5703125" style="32" customWidth="1"/>
    <col min="1282" max="1282" width="10.42578125" style="32" customWidth="1"/>
    <col min="1283" max="1288" width="11.42578125" style="32"/>
    <col min="1289" max="1289" width="12.85546875" style="32" customWidth="1"/>
    <col min="1290" max="1290" width="11.42578125" style="32"/>
    <col min="1291" max="1292" width="11.5703125" style="32" bestFit="1" customWidth="1"/>
    <col min="1293" max="1294" width="11.42578125" style="32"/>
    <col min="1295" max="1295" width="12.28515625" style="32" bestFit="1" customWidth="1"/>
    <col min="1296" max="1296" width="11.5703125" style="32" bestFit="1" customWidth="1"/>
    <col min="1297" max="1297" width="11.42578125" style="32"/>
    <col min="1298" max="1298" width="12.28515625" style="32" bestFit="1" customWidth="1"/>
    <col min="1299" max="1299" width="11.5703125" style="32" bestFit="1" customWidth="1"/>
    <col min="1300" max="1536" width="11.42578125" style="32"/>
    <col min="1537" max="1537" width="4.5703125" style="32" customWidth="1"/>
    <col min="1538" max="1538" width="10.42578125" style="32" customWidth="1"/>
    <col min="1539" max="1544" width="11.42578125" style="32"/>
    <col min="1545" max="1545" width="12.85546875" style="32" customWidth="1"/>
    <col min="1546" max="1546" width="11.42578125" style="32"/>
    <col min="1547" max="1548" width="11.5703125" style="32" bestFit="1" customWidth="1"/>
    <col min="1549" max="1550" width="11.42578125" style="32"/>
    <col min="1551" max="1551" width="12.28515625" style="32" bestFit="1" customWidth="1"/>
    <col min="1552" max="1552" width="11.5703125" style="32" bestFit="1" customWidth="1"/>
    <col min="1553" max="1553" width="11.42578125" style="32"/>
    <col min="1554" max="1554" width="12.28515625" style="32" bestFit="1" customWidth="1"/>
    <col min="1555" max="1555" width="11.5703125" style="32" bestFit="1" customWidth="1"/>
    <col min="1556" max="1792" width="11.42578125" style="32"/>
    <col min="1793" max="1793" width="4.5703125" style="32" customWidth="1"/>
    <col min="1794" max="1794" width="10.42578125" style="32" customWidth="1"/>
    <col min="1795" max="1800" width="11.42578125" style="32"/>
    <col min="1801" max="1801" width="12.85546875" style="32" customWidth="1"/>
    <col min="1802" max="1802" width="11.42578125" style="32"/>
    <col min="1803" max="1804" width="11.5703125" style="32" bestFit="1" customWidth="1"/>
    <col min="1805" max="1806" width="11.42578125" style="32"/>
    <col min="1807" max="1807" width="12.28515625" style="32" bestFit="1" customWidth="1"/>
    <col min="1808" max="1808" width="11.5703125" style="32" bestFit="1" customWidth="1"/>
    <col min="1809" max="1809" width="11.42578125" style="32"/>
    <col min="1810" max="1810" width="12.28515625" style="32" bestFit="1" customWidth="1"/>
    <col min="1811" max="1811" width="11.5703125" style="32" bestFit="1" customWidth="1"/>
    <col min="1812" max="2048" width="11.42578125" style="32"/>
    <col min="2049" max="2049" width="4.5703125" style="32" customWidth="1"/>
    <col min="2050" max="2050" width="10.42578125" style="32" customWidth="1"/>
    <col min="2051" max="2056" width="11.42578125" style="32"/>
    <col min="2057" max="2057" width="12.85546875" style="32" customWidth="1"/>
    <col min="2058" max="2058" width="11.42578125" style="32"/>
    <col min="2059" max="2060" width="11.5703125" style="32" bestFit="1" customWidth="1"/>
    <col min="2061" max="2062" width="11.42578125" style="32"/>
    <col min="2063" max="2063" width="12.28515625" style="32" bestFit="1" customWidth="1"/>
    <col min="2064" max="2064" width="11.5703125" style="32" bestFit="1" customWidth="1"/>
    <col min="2065" max="2065" width="11.42578125" style="32"/>
    <col min="2066" max="2066" width="12.28515625" style="32" bestFit="1" customWidth="1"/>
    <col min="2067" max="2067" width="11.5703125" style="32" bestFit="1" customWidth="1"/>
    <col min="2068" max="2304" width="11.42578125" style="32"/>
    <col min="2305" max="2305" width="4.5703125" style="32" customWidth="1"/>
    <col min="2306" max="2306" width="10.42578125" style="32" customWidth="1"/>
    <col min="2307" max="2312" width="11.42578125" style="32"/>
    <col min="2313" max="2313" width="12.85546875" style="32" customWidth="1"/>
    <col min="2314" max="2314" width="11.42578125" style="32"/>
    <col min="2315" max="2316" width="11.5703125" style="32" bestFit="1" customWidth="1"/>
    <col min="2317" max="2318" width="11.42578125" style="32"/>
    <col min="2319" max="2319" width="12.28515625" style="32" bestFit="1" customWidth="1"/>
    <col min="2320" max="2320" width="11.5703125" style="32" bestFit="1" customWidth="1"/>
    <col min="2321" max="2321" width="11.42578125" style="32"/>
    <col min="2322" max="2322" width="12.28515625" style="32" bestFit="1" customWidth="1"/>
    <col min="2323" max="2323" width="11.5703125" style="32" bestFit="1" customWidth="1"/>
    <col min="2324" max="2560" width="11.42578125" style="32"/>
    <col min="2561" max="2561" width="4.5703125" style="32" customWidth="1"/>
    <col min="2562" max="2562" width="10.42578125" style="32" customWidth="1"/>
    <col min="2563" max="2568" width="11.42578125" style="32"/>
    <col min="2569" max="2569" width="12.85546875" style="32" customWidth="1"/>
    <col min="2570" max="2570" width="11.42578125" style="32"/>
    <col min="2571" max="2572" width="11.5703125" style="32" bestFit="1" customWidth="1"/>
    <col min="2573" max="2574" width="11.42578125" style="32"/>
    <col min="2575" max="2575" width="12.28515625" style="32" bestFit="1" customWidth="1"/>
    <col min="2576" max="2576" width="11.5703125" style="32" bestFit="1" customWidth="1"/>
    <col min="2577" max="2577" width="11.42578125" style="32"/>
    <col min="2578" max="2578" width="12.28515625" style="32" bestFit="1" customWidth="1"/>
    <col min="2579" max="2579" width="11.5703125" style="32" bestFit="1" customWidth="1"/>
    <col min="2580" max="2816" width="11.42578125" style="32"/>
    <col min="2817" max="2817" width="4.5703125" style="32" customWidth="1"/>
    <col min="2818" max="2818" width="10.42578125" style="32" customWidth="1"/>
    <col min="2819" max="2824" width="11.42578125" style="32"/>
    <col min="2825" max="2825" width="12.85546875" style="32" customWidth="1"/>
    <col min="2826" max="2826" width="11.42578125" style="32"/>
    <col min="2827" max="2828" width="11.5703125" style="32" bestFit="1" customWidth="1"/>
    <col min="2829" max="2830" width="11.42578125" style="32"/>
    <col min="2831" max="2831" width="12.28515625" style="32" bestFit="1" customWidth="1"/>
    <col min="2832" max="2832" width="11.5703125" style="32" bestFit="1" customWidth="1"/>
    <col min="2833" max="2833" width="11.42578125" style="32"/>
    <col min="2834" max="2834" width="12.28515625" style="32" bestFit="1" customWidth="1"/>
    <col min="2835" max="2835" width="11.5703125" style="32" bestFit="1" customWidth="1"/>
    <col min="2836" max="3072" width="11.42578125" style="32"/>
    <col min="3073" max="3073" width="4.5703125" style="32" customWidth="1"/>
    <col min="3074" max="3074" width="10.42578125" style="32" customWidth="1"/>
    <col min="3075" max="3080" width="11.42578125" style="32"/>
    <col min="3081" max="3081" width="12.85546875" style="32" customWidth="1"/>
    <col min="3082" max="3082" width="11.42578125" style="32"/>
    <col min="3083" max="3084" width="11.5703125" style="32" bestFit="1" customWidth="1"/>
    <col min="3085" max="3086" width="11.42578125" style="32"/>
    <col min="3087" max="3087" width="12.28515625" style="32" bestFit="1" customWidth="1"/>
    <col min="3088" max="3088" width="11.5703125" style="32" bestFit="1" customWidth="1"/>
    <col min="3089" max="3089" width="11.42578125" style="32"/>
    <col min="3090" max="3090" width="12.28515625" style="32" bestFit="1" customWidth="1"/>
    <col min="3091" max="3091" width="11.5703125" style="32" bestFit="1" customWidth="1"/>
    <col min="3092" max="3328" width="11.42578125" style="32"/>
    <col min="3329" max="3329" width="4.5703125" style="32" customWidth="1"/>
    <col min="3330" max="3330" width="10.42578125" style="32" customWidth="1"/>
    <col min="3331" max="3336" width="11.42578125" style="32"/>
    <col min="3337" max="3337" width="12.85546875" style="32" customWidth="1"/>
    <col min="3338" max="3338" width="11.42578125" style="32"/>
    <col min="3339" max="3340" width="11.5703125" style="32" bestFit="1" customWidth="1"/>
    <col min="3341" max="3342" width="11.42578125" style="32"/>
    <col min="3343" max="3343" width="12.28515625" style="32" bestFit="1" customWidth="1"/>
    <col min="3344" max="3344" width="11.5703125" style="32" bestFit="1" customWidth="1"/>
    <col min="3345" max="3345" width="11.42578125" style="32"/>
    <col min="3346" max="3346" width="12.28515625" style="32" bestFit="1" customWidth="1"/>
    <col min="3347" max="3347" width="11.5703125" style="32" bestFit="1" customWidth="1"/>
    <col min="3348" max="3584" width="11.42578125" style="32"/>
    <col min="3585" max="3585" width="4.5703125" style="32" customWidth="1"/>
    <col min="3586" max="3586" width="10.42578125" style="32" customWidth="1"/>
    <col min="3587" max="3592" width="11.42578125" style="32"/>
    <col min="3593" max="3593" width="12.85546875" style="32" customWidth="1"/>
    <col min="3594" max="3594" width="11.42578125" style="32"/>
    <col min="3595" max="3596" width="11.5703125" style="32" bestFit="1" customWidth="1"/>
    <col min="3597" max="3598" width="11.42578125" style="32"/>
    <col min="3599" max="3599" width="12.28515625" style="32" bestFit="1" customWidth="1"/>
    <col min="3600" max="3600" width="11.5703125" style="32" bestFit="1" customWidth="1"/>
    <col min="3601" max="3601" width="11.42578125" style="32"/>
    <col min="3602" max="3602" width="12.28515625" style="32" bestFit="1" customWidth="1"/>
    <col min="3603" max="3603" width="11.5703125" style="32" bestFit="1" customWidth="1"/>
    <col min="3604" max="3840" width="11.42578125" style="32"/>
    <col min="3841" max="3841" width="4.5703125" style="32" customWidth="1"/>
    <col min="3842" max="3842" width="10.42578125" style="32" customWidth="1"/>
    <col min="3843" max="3848" width="11.42578125" style="32"/>
    <col min="3849" max="3849" width="12.85546875" style="32" customWidth="1"/>
    <col min="3850" max="3850" width="11.42578125" style="32"/>
    <col min="3851" max="3852" width="11.5703125" style="32" bestFit="1" customWidth="1"/>
    <col min="3853" max="3854" width="11.42578125" style="32"/>
    <col min="3855" max="3855" width="12.28515625" style="32" bestFit="1" customWidth="1"/>
    <col min="3856" max="3856" width="11.5703125" style="32" bestFit="1" customWidth="1"/>
    <col min="3857" max="3857" width="11.42578125" style="32"/>
    <col min="3858" max="3858" width="12.28515625" style="32" bestFit="1" customWidth="1"/>
    <col min="3859" max="3859" width="11.5703125" style="32" bestFit="1" customWidth="1"/>
    <col min="3860" max="4096" width="11.42578125" style="32"/>
    <col min="4097" max="4097" width="4.5703125" style="32" customWidth="1"/>
    <col min="4098" max="4098" width="10.42578125" style="32" customWidth="1"/>
    <col min="4099" max="4104" width="11.42578125" style="32"/>
    <col min="4105" max="4105" width="12.85546875" style="32" customWidth="1"/>
    <col min="4106" max="4106" width="11.42578125" style="32"/>
    <col min="4107" max="4108" width="11.5703125" style="32" bestFit="1" customWidth="1"/>
    <col min="4109" max="4110" width="11.42578125" style="32"/>
    <col min="4111" max="4111" width="12.28515625" style="32" bestFit="1" customWidth="1"/>
    <col min="4112" max="4112" width="11.5703125" style="32" bestFit="1" customWidth="1"/>
    <col min="4113" max="4113" width="11.42578125" style="32"/>
    <col min="4114" max="4114" width="12.28515625" style="32" bestFit="1" customWidth="1"/>
    <col min="4115" max="4115" width="11.5703125" style="32" bestFit="1" customWidth="1"/>
    <col min="4116" max="4352" width="11.42578125" style="32"/>
    <col min="4353" max="4353" width="4.5703125" style="32" customWidth="1"/>
    <col min="4354" max="4354" width="10.42578125" style="32" customWidth="1"/>
    <col min="4355" max="4360" width="11.42578125" style="32"/>
    <col min="4361" max="4361" width="12.85546875" style="32" customWidth="1"/>
    <col min="4362" max="4362" width="11.42578125" style="32"/>
    <col min="4363" max="4364" width="11.5703125" style="32" bestFit="1" customWidth="1"/>
    <col min="4365" max="4366" width="11.42578125" style="32"/>
    <col min="4367" max="4367" width="12.28515625" style="32" bestFit="1" customWidth="1"/>
    <col min="4368" max="4368" width="11.5703125" style="32" bestFit="1" customWidth="1"/>
    <col min="4369" max="4369" width="11.42578125" style="32"/>
    <col min="4370" max="4370" width="12.28515625" style="32" bestFit="1" customWidth="1"/>
    <col min="4371" max="4371" width="11.5703125" style="32" bestFit="1" customWidth="1"/>
    <col min="4372" max="4608" width="11.42578125" style="32"/>
    <col min="4609" max="4609" width="4.5703125" style="32" customWidth="1"/>
    <col min="4610" max="4610" width="10.42578125" style="32" customWidth="1"/>
    <col min="4611" max="4616" width="11.42578125" style="32"/>
    <col min="4617" max="4617" width="12.85546875" style="32" customWidth="1"/>
    <col min="4618" max="4618" width="11.42578125" style="32"/>
    <col min="4619" max="4620" width="11.5703125" style="32" bestFit="1" customWidth="1"/>
    <col min="4621" max="4622" width="11.42578125" style="32"/>
    <col min="4623" max="4623" width="12.28515625" style="32" bestFit="1" customWidth="1"/>
    <col min="4624" max="4624" width="11.5703125" style="32" bestFit="1" customWidth="1"/>
    <col min="4625" max="4625" width="11.42578125" style="32"/>
    <col min="4626" max="4626" width="12.28515625" style="32" bestFit="1" customWidth="1"/>
    <col min="4627" max="4627" width="11.5703125" style="32" bestFit="1" customWidth="1"/>
    <col min="4628" max="4864" width="11.42578125" style="32"/>
    <col min="4865" max="4865" width="4.5703125" style="32" customWidth="1"/>
    <col min="4866" max="4866" width="10.42578125" style="32" customWidth="1"/>
    <col min="4867" max="4872" width="11.42578125" style="32"/>
    <col min="4873" max="4873" width="12.85546875" style="32" customWidth="1"/>
    <col min="4874" max="4874" width="11.42578125" style="32"/>
    <col min="4875" max="4876" width="11.5703125" style="32" bestFit="1" customWidth="1"/>
    <col min="4877" max="4878" width="11.42578125" style="32"/>
    <col min="4879" max="4879" width="12.28515625" style="32" bestFit="1" customWidth="1"/>
    <col min="4880" max="4880" width="11.5703125" style="32" bestFit="1" customWidth="1"/>
    <col min="4881" max="4881" width="11.42578125" style="32"/>
    <col min="4882" max="4882" width="12.28515625" style="32" bestFit="1" customWidth="1"/>
    <col min="4883" max="4883" width="11.5703125" style="32" bestFit="1" customWidth="1"/>
    <col min="4884" max="5120" width="11.42578125" style="32"/>
    <col min="5121" max="5121" width="4.5703125" style="32" customWidth="1"/>
    <col min="5122" max="5122" width="10.42578125" style="32" customWidth="1"/>
    <col min="5123" max="5128" width="11.42578125" style="32"/>
    <col min="5129" max="5129" width="12.85546875" style="32" customWidth="1"/>
    <col min="5130" max="5130" width="11.42578125" style="32"/>
    <col min="5131" max="5132" width="11.5703125" style="32" bestFit="1" customWidth="1"/>
    <col min="5133" max="5134" width="11.42578125" style="32"/>
    <col min="5135" max="5135" width="12.28515625" style="32" bestFit="1" customWidth="1"/>
    <col min="5136" max="5136" width="11.5703125" style="32" bestFit="1" customWidth="1"/>
    <col min="5137" max="5137" width="11.42578125" style="32"/>
    <col min="5138" max="5138" width="12.28515625" style="32" bestFit="1" customWidth="1"/>
    <col min="5139" max="5139" width="11.5703125" style="32" bestFit="1" customWidth="1"/>
    <col min="5140" max="5376" width="11.42578125" style="32"/>
    <col min="5377" max="5377" width="4.5703125" style="32" customWidth="1"/>
    <col min="5378" max="5378" width="10.42578125" style="32" customWidth="1"/>
    <col min="5379" max="5384" width="11.42578125" style="32"/>
    <col min="5385" max="5385" width="12.85546875" style="32" customWidth="1"/>
    <col min="5386" max="5386" width="11.42578125" style="32"/>
    <col min="5387" max="5388" width="11.5703125" style="32" bestFit="1" customWidth="1"/>
    <col min="5389" max="5390" width="11.42578125" style="32"/>
    <col min="5391" max="5391" width="12.28515625" style="32" bestFit="1" customWidth="1"/>
    <col min="5392" max="5392" width="11.5703125" style="32" bestFit="1" customWidth="1"/>
    <col min="5393" max="5393" width="11.42578125" style="32"/>
    <col min="5394" max="5394" width="12.28515625" style="32" bestFit="1" customWidth="1"/>
    <col min="5395" max="5395" width="11.5703125" style="32" bestFit="1" customWidth="1"/>
    <col min="5396" max="5632" width="11.42578125" style="32"/>
    <col min="5633" max="5633" width="4.5703125" style="32" customWidth="1"/>
    <col min="5634" max="5634" width="10.42578125" style="32" customWidth="1"/>
    <col min="5635" max="5640" width="11.42578125" style="32"/>
    <col min="5641" max="5641" width="12.85546875" style="32" customWidth="1"/>
    <col min="5642" max="5642" width="11.42578125" style="32"/>
    <col min="5643" max="5644" width="11.5703125" style="32" bestFit="1" customWidth="1"/>
    <col min="5645" max="5646" width="11.42578125" style="32"/>
    <col min="5647" max="5647" width="12.28515625" style="32" bestFit="1" customWidth="1"/>
    <col min="5648" max="5648" width="11.5703125" style="32" bestFit="1" customWidth="1"/>
    <col min="5649" max="5649" width="11.42578125" style="32"/>
    <col min="5650" max="5650" width="12.28515625" style="32" bestFit="1" customWidth="1"/>
    <col min="5651" max="5651" width="11.5703125" style="32" bestFit="1" customWidth="1"/>
    <col min="5652" max="5888" width="11.42578125" style="32"/>
    <col min="5889" max="5889" width="4.5703125" style="32" customWidth="1"/>
    <col min="5890" max="5890" width="10.42578125" style="32" customWidth="1"/>
    <col min="5891" max="5896" width="11.42578125" style="32"/>
    <col min="5897" max="5897" width="12.85546875" style="32" customWidth="1"/>
    <col min="5898" max="5898" width="11.42578125" style="32"/>
    <col min="5899" max="5900" width="11.5703125" style="32" bestFit="1" customWidth="1"/>
    <col min="5901" max="5902" width="11.42578125" style="32"/>
    <col min="5903" max="5903" width="12.28515625" style="32" bestFit="1" customWidth="1"/>
    <col min="5904" max="5904" width="11.5703125" style="32" bestFit="1" customWidth="1"/>
    <col min="5905" max="5905" width="11.42578125" style="32"/>
    <col min="5906" max="5906" width="12.28515625" style="32" bestFit="1" customWidth="1"/>
    <col min="5907" max="5907" width="11.5703125" style="32" bestFit="1" customWidth="1"/>
    <col min="5908" max="6144" width="11.42578125" style="32"/>
    <col min="6145" max="6145" width="4.5703125" style="32" customWidth="1"/>
    <col min="6146" max="6146" width="10.42578125" style="32" customWidth="1"/>
    <col min="6147" max="6152" width="11.42578125" style="32"/>
    <col min="6153" max="6153" width="12.85546875" style="32" customWidth="1"/>
    <col min="6154" max="6154" width="11.42578125" style="32"/>
    <col min="6155" max="6156" width="11.5703125" style="32" bestFit="1" customWidth="1"/>
    <col min="6157" max="6158" width="11.42578125" style="32"/>
    <col min="6159" max="6159" width="12.28515625" style="32" bestFit="1" customWidth="1"/>
    <col min="6160" max="6160" width="11.5703125" style="32" bestFit="1" customWidth="1"/>
    <col min="6161" max="6161" width="11.42578125" style="32"/>
    <col min="6162" max="6162" width="12.28515625" style="32" bestFit="1" customWidth="1"/>
    <col min="6163" max="6163" width="11.5703125" style="32" bestFit="1" customWidth="1"/>
    <col min="6164" max="6400" width="11.42578125" style="32"/>
    <col min="6401" max="6401" width="4.5703125" style="32" customWidth="1"/>
    <col min="6402" max="6402" width="10.42578125" style="32" customWidth="1"/>
    <col min="6403" max="6408" width="11.42578125" style="32"/>
    <col min="6409" max="6409" width="12.85546875" style="32" customWidth="1"/>
    <col min="6410" max="6410" width="11.42578125" style="32"/>
    <col min="6411" max="6412" width="11.5703125" style="32" bestFit="1" customWidth="1"/>
    <col min="6413" max="6414" width="11.42578125" style="32"/>
    <col min="6415" max="6415" width="12.28515625" style="32" bestFit="1" customWidth="1"/>
    <col min="6416" max="6416" width="11.5703125" style="32" bestFit="1" customWidth="1"/>
    <col min="6417" max="6417" width="11.42578125" style="32"/>
    <col min="6418" max="6418" width="12.28515625" style="32" bestFit="1" customWidth="1"/>
    <col min="6419" max="6419" width="11.5703125" style="32" bestFit="1" customWidth="1"/>
    <col min="6420" max="6656" width="11.42578125" style="32"/>
    <col min="6657" max="6657" width="4.5703125" style="32" customWidth="1"/>
    <col min="6658" max="6658" width="10.42578125" style="32" customWidth="1"/>
    <col min="6659" max="6664" width="11.42578125" style="32"/>
    <col min="6665" max="6665" width="12.85546875" style="32" customWidth="1"/>
    <col min="6666" max="6666" width="11.42578125" style="32"/>
    <col min="6667" max="6668" width="11.5703125" style="32" bestFit="1" customWidth="1"/>
    <col min="6669" max="6670" width="11.42578125" style="32"/>
    <col min="6671" max="6671" width="12.28515625" style="32" bestFit="1" customWidth="1"/>
    <col min="6672" max="6672" width="11.5703125" style="32" bestFit="1" customWidth="1"/>
    <col min="6673" max="6673" width="11.42578125" style="32"/>
    <col min="6674" max="6674" width="12.28515625" style="32" bestFit="1" customWidth="1"/>
    <col min="6675" max="6675" width="11.5703125" style="32" bestFit="1" customWidth="1"/>
    <col min="6676" max="6912" width="11.42578125" style="32"/>
    <col min="6913" max="6913" width="4.5703125" style="32" customWidth="1"/>
    <col min="6914" max="6914" width="10.42578125" style="32" customWidth="1"/>
    <col min="6915" max="6920" width="11.42578125" style="32"/>
    <col min="6921" max="6921" width="12.85546875" style="32" customWidth="1"/>
    <col min="6922" max="6922" width="11.42578125" style="32"/>
    <col min="6923" max="6924" width="11.5703125" style="32" bestFit="1" customWidth="1"/>
    <col min="6925" max="6926" width="11.42578125" style="32"/>
    <col min="6927" max="6927" width="12.28515625" style="32" bestFit="1" customWidth="1"/>
    <col min="6928" max="6928" width="11.5703125" style="32" bestFit="1" customWidth="1"/>
    <col min="6929" max="6929" width="11.42578125" style="32"/>
    <col min="6930" max="6930" width="12.28515625" style="32" bestFit="1" customWidth="1"/>
    <col min="6931" max="6931" width="11.5703125" style="32" bestFit="1" customWidth="1"/>
    <col min="6932" max="7168" width="11.42578125" style="32"/>
    <col min="7169" max="7169" width="4.5703125" style="32" customWidth="1"/>
    <col min="7170" max="7170" width="10.42578125" style="32" customWidth="1"/>
    <col min="7171" max="7176" width="11.42578125" style="32"/>
    <col min="7177" max="7177" width="12.85546875" style="32" customWidth="1"/>
    <col min="7178" max="7178" width="11.42578125" style="32"/>
    <col min="7179" max="7180" width="11.5703125" style="32" bestFit="1" customWidth="1"/>
    <col min="7181" max="7182" width="11.42578125" style="32"/>
    <col min="7183" max="7183" width="12.28515625" style="32" bestFit="1" customWidth="1"/>
    <col min="7184" max="7184" width="11.5703125" style="32" bestFit="1" customWidth="1"/>
    <col min="7185" max="7185" width="11.42578125" style="32"/>
    <col min="7186" max="7186" width="12.28515625" style="32" bestFit="1" customWidth="1"/>
    <col min="7187" max="7187" width="11.5703125" style="32" bestFit="1" customWidth="1"/>
    <col min="7188" max="7424" width="11.42578125" style="32"/>
    <col min="7425" max="7425" width="4.5703125" style="32" customWidth="1"/>
    <col min="7426" max="7426" width="10.42578125" style="32" customWidth="1"/>
    <col min="7427" max="7432" width="11.42578125" style="32"/>
    <col min="7433" max="7433" width="12.85546875" style="32" customWidth="1"/>
    <col min="7434" max="7434" width="11.42578125" style="32"/>
    <col min="7435" max="7436" width="11.5703125" style="32" bestFit="1" customWidth="1"/>
    <col min="7437" max="7438" width="11.42578125" style="32"/>
    <col min="7439" max="7439" width="12.28515625" style="32" bestFit="1" customWidth="1"/>
    <col min="7440" max="7440" width="11.5703125" style="32" bestFit="1" customWidth="1"/>
    <col min="7441" max="7441" width="11.42578125" style="32"/>
    <col min="7442" max="7442" width="12.28515625" style="32" bestFit="1" customWidth="1"/>
    <col min="7443" max="7443" width="11.5703125" style="32" bestFit="1" customWidth="1"/>
    <col min="7444" max="7680" width="11.42578125" style="32"/>
    <col min="7681" max="7681" width="4.5703125" style="32" customWidth="1"/>
    <col min="7682" max="7682" width="10.42578125" style="32" customWidth="1"/>
    <col min="7683" max="7688" width="11.42578125" style="32"/>
    <col min="7689" max="7689" width="12.85546875" style="32" customWidth="1"/>
    <col min="7690" max="7690" width="11.42578125" style="32"/>
    <col min="7691" max="7692" width="11.5703125" style="32" bestFit="1" customWidth="1"/>
    <col min="7693" max="7694" width="11.42578125" style="32"/>
    <col min="7695" max="7695" width="12.28515625" style="32" bestFit="1" customWidth="1"/>
    <col min="7696" max="7696" width="11.5703125" style="32" bestFit="1" customWidth="1"/>
    <col min="7697" max="7697" width="11.42578125" style="32"/>
    <col min="7698" max="7698" width="12.28515625" style="32" bestFit="1" customWidth="1"/>
    <col min="7699" max="7699" width="11.5703125" style="32" bestFit="1" customWidth="1"/>
    <col min="7700" max="7936" width="11.42578125" style="32"/>
    <col min="7937" max="7937" width="4.5703125" style="32" customWidth="1"/>
    <col min="7938" max="7938" width="10.42578125" style="32" customWidth="1"/>
    <col min="7939" max="7944" width="11.42578125" style="32"/>
    <col min="7945" max="7945" width="12.85546875" style="32" customWidth="1"/>
    <col min="7946" max="7946" width="11.42578125" style="32"/>
    <col min="7947" max="7948" width="11.5703125" style="32" bestFit="1" customWidth="1"/>
    <col min="7949" max="7950" width="11.42578125" style="32"/>
    <col min="7951" max="7951" width="12.28515625" style="32" bestFit="1" customWidth="1"/>
    <col min="7952" max="7952" width="11.5703125" style="32" bestFit="1" customWidth="1"/>
    <col min="7953" max="7953" width="11.42578125" style="32"/>
    <col min="7954" max="7954" width="12.28515625" style="32" bestFit="1" customWidth="1"/>
    <col min="7955" max="7955" width="11.5703125" style="32" bestFit="1" customWidth="1"/>
    <col min="7956" max="8192" width="11.42578125" style="32"/>
    <col min="8193" max="8193" width="4.5703125" style="32" customWidth="1"/>
    <col min="8194" max="8194" width="10.42578125" style="32" customWidth="1"/>
    <col min="8195" max="8200" width="11.42578125" style="32"/>
    <col min="8201" max="8201" width="12.85546875" style="32" customWidth="1"/>
    <col min="8202" max="8202" width="11.42578125" style="32"/>
    <col min="8203" max="8204" width="11.5703125" style="32" bestFit="1" customWidth="1"/>
    <col min="8205" max="8206" width="11.42578125" style="32"/>
    <col min="8207" max="8207" width="12.28515625" style="32" bestFit="1" customWidth="1"/>
    <col min="8208" max="8208" width="11.5703125" style="32" bestFit="1" customWidth="1"/>
    <col min="8209" max="8209" width="11.42578125" style="32"/>
    <col min="8210" max="8210" width="12.28515625" style="32" bestFit="1" customWidth="1"/>
    <col min="8211" max="8211" width="11.5703125" style="32" bestFit="1" customWidth="1"/>
    <col min="8212" max="8448" width="11.42578125" style="32"/>
    <col min="8449" max="8449" width="4.5703125" style="32" customWidth="1"/>
    <col min="8450" max="8450" width="10.42578125" style="32" customWidth="1"/>
    <col min="8451" max="8456" width="11.42578125" style="32"/>
    <col min="8457" max="8457" width="12.85546875" style="32" customWidth="1"/>
    <col min="8458" max="8458" width="11.42578125" style="32"/>
    <col min="8459" max="8460" width="11.5703125" style="32" bestFit="1" customWidth="1"/>
    <col min="8461" max="8462" width="11.42578125" style="32"/>
    <col min="8463" max="8463" width="12.28515625" style="32" bestFit="1" customWidth="1"/>
    <col min="8464" max="8464" width="11.5703125" style="32" bestFit="1" customWidth="1"/>
    <col min="8465" max="8465" width="11.42578125" style="32"/>
    <col min="8466" max="8466" width="12.28515625" style="32" bestFit="1" customWidth="1"/>
    <col min="8467" max="8467" width="11.5703125" style="32" bestFit="1" customWidth="1"/>
    <col min="8468" max="8704" width="11.42578125" style="32"/>
    <col min="8705" max="8705" width="4.5703125" style="32" customWidth="1"/>
    <col min="8706" max="8706" width="10.42578125" style="32" customWidth="1"/>
    <col min="8707" max="8712" width="11.42578125" style="32"/>
    <col min="8713" max="8713" width="12.85546875" style="32" customWidth="1"/>
    <col min="8714" max="8714" width="11.42578125" style="32"/>
    <col min="8715" max="8716" width="11.5703125" style="32" bestFit="1" customWidth="1"/>
    <col min="8717" max="8718" width="11.42578125" style="32"/>
    <col min="8719" max="8719" width="12.28515625" style="32" bestFit="1" customWidth="1"/>
    <col min="8720" max="8720" width="11.5703125" style="32" bestFit="1" customWidth="1"/>
    <col min="8721" max="8721" width="11.42578125" style="32"/>
    <col min="8722" max="8722" width="12.28515625" style="32" bestFit="1" customWidth="1"/>
    <col min="8723" max="8723" width="11.5703125" style="32" bestFit="1" customWidth="1"/>
    <col min="8724" max="8960" width="11.42578125" style="32"/>
    <col min="8961" max="8961" width="4.5703125" style="32" customWidth="1"/>
    <col min="8962" max="8962" width="10.42578125" style="32" customWidth="1"/>
    <col min="8963" max="8968" width="11.42578125" style="32"/>
    <col min="8969" max="8969" width="12.85546875" style="32" customWidth="1"/>
    <col min="8970" max="8970" width="11.42578125" style="32"/>
    <col min="8971" max="8972" width="11.5703125" style="32" bestFit="1" customWidth="1"/>
    <col min="8973" max="8974" width="11.42578125" style="32"/>
    <col min="8975" max="8975" width="12.28515625" style="32" bestFit="1" customWidth="1"/>
    <col min="8976" max="8976" width="11.5703125" style="32" bestFit="1" customWidth="1"/>
    <col min="8977" max="8977" width="11.42578125" style="32"/>
    <col min="8978" max="8978" width="12.28515625" style="32" bestFit="1" customWidth="1"/>
    <col min="8979" max="8979" width="11.5703125" style="32" bestFit="1" customWidth="1"/>
    <col min="8980" max="9216" width="11.42578125" style="32"/>
    <col min="9217" max="9217" width="4.5703125" style="32" customWidth="1"/>
    <col min="9218" max="9218" width="10.42578125" style="32" customWidth="1"/>
    <col min="9219" max="9224" width="11.42578125" style="32"/>
    <col min="9225" max="9225" width="12.85546875" style="32" customWidth="1"/>
    <col min="9226" max="9226" width="11.42578125" style="32"/>
    <col min="9227" max="9228" width="11.5703125" style="32" bestFit="1" customWidth="1"/>
    <col min="9229" max="9230" width="11.42578125" style="32"/>
    <col min="9231" max="9231" width="12.28515625" style="32" bestFit="1" customWidth="1"/>
    <col min="9232" max="9232" width="11.5703125" style="32" bestFit="1" customWidth="1"/>
    <col min="9233" max="9233" width="11.42578125" style="32"/>
    <col min="9234" max="9234" width="12.28515625" style="32" bestFit="1" customWidth="1"/>
    <col min="9235" max="9235" width="11.5703125" style="32" bestFit="1" customWidth="1"/>
    <col min="9236" max="9472" width="11.42578125" style="32"/>
    <col min="9473" max="9473" width="4.5703125" style="32" customWidth="1"/>
    <col min="9474" max="9474" width="10.42578125" style="32" customWidth="1"/>
    <col min="9475" max="9480" width="11.42578125" style="32"/>
    <col min="9481" max="9481" width="12.85546875" style="32" customWidth="1"/>
    <col min="9482" max="9482" width="11.42578125" style="32"/>
    <col min="9483" max="9484" width="11.5703125" style="32" bestFit="1" customWidth="1"/>
    <col min="9485" max="9486" width="11.42578125" style="32"/>
    <col min="9487" max="9487" width="12.28515625" style="32" bestFit="1" customWidth="1"/>
    <col min="9488" max="9488" width="11.5703125" style="32" bestFit="1" customWidth="1"/>
    <col min="9489" max="9489" width="11.42578125" style="32"/>
    <col min="9490" max="9490" width="12.28515625" style="32" bestFit="1" customWidth="1"/>
    <col min="9491" max="9491" width="11.5703125" style="32" bestFit="1" customWidth="1"/>
    <col min="9492" max="9728" width="11.42578125" style="32"/>
    <col min="9729" max="9729" width="4.5703125" style="32" customWidth="1"/>
    <col min="9730" max="9730" width="10.42578125" style="32" customWidth="1"/>
    <col min="9731" max="9736" width="11.42578125" style="32"/>
    <col min="9737" max="9737" width="12.85546875" style="32" customWidth="1"/>
    <col min="9738" max="9738" width="11.42578125" style="32"/>
    <col min="9739" max="9740" width="11.5703125" style="32" bestFit="1" customWidth="1"/>
    <col min="9741" max="9742" width="11.42578125" style="32"/>
    <col min="9743" max="9743" width="12.28515625" style="32" bestFit="1" customWidth="1"/>
    <col min="9744" max="9744" width="11.5703125" style="32" bestFit="1" customWidth="1"/>
    <col min="9745" max="9745" width="11.42578125" style="32"/>
    <col min="9746" max="9746" width="12.28515625" style="32" bestFit="1" customWidth="1"/>
    <col min="9747" max="9747" width="11.5703125" style="32" bestFit="1" customWidth="1"/>
    <col min="9748" max="9984" width="11.42578125" style="32"/>
    <col min="9985" max="9985" width="4.5703125" style="32" customWidth="1"/>
    <col min="9986" max="9986" width="10.42578125" style="32" customWidth="1"/>
    <col min="9987" max="9992" width="11.42578125" style="32"/>
    <col min="9993" max="9993" width="12.85546875" style="32" customWidth="1"/>
    <col min="9994" max="9994" width="11.42578125" style="32"/>
    <col min="9995" max="9996" width="11.5703125" style="32" bestFit="1" customWidth="1"/>
    <col min="9997" max="9998" width="11.42578125" style="32"/>
    <col min="9999" max="9999" width="12.28515625" style="32" bestFit="1" customWidth="1"/>
    <col min="10000" max="10000" width="11.5703125" style="32" bestFit="1" customWidth="1"/>
    <col min="10001" max="10001" width="11.42578125" style="32"/>
    <col min="10002" max="10002" width="12.28515625" style="32" bestFit="1" customWidth="1"/>
    <col min="10003" max="10003" width="11.5703125" style="32" bestFit="1" customWidth="1"/>
    <col min="10004" max="10240" width="11.42578125" style="32"/>
    <col min="10241" max="10241" width="4.5703125" style="32" customWidth="1"/>
    <col min="10242" max="10242" width="10.42578125" style="32" customWidth="1"/>
    <col min="10243" max="10248" width="11.42578125" style="32"/>
    <col min="10249" max="10249" width="12.85546875" style="32" customWidth="1"/>
    <col min="10250" max="10250" width="11.42578125" style="32"/>
    <col min="10251" max="10252" width="11.5703125" style="32" bestFit="1" customWidth="1"/>
    <col min="10253" max="10254" width="11.42578125" style="32"/>
    <col min="10255" max="10255" width="12.28515625" style="32" bestFit="1" customWidth="1"/>
    <col min="10256" max="10256" width="11.5703125" style="32" bestFit="1" customWidth="1"/>
    <col min="10257" max="10257" width="11.42578125" style="32"/>
    <col min="10258" max="10258" width="12.28515625" style="32" bestFit="1" customWidth="1"/>
    <col min="10259" max="10259" width="11.5703125" style="32" bestFit="1" customWidth="1"/>
    <col min="10260" max="10496" width="11.42578125" style="32"/>
    <col min="10497" max="10497" width="4.5703125" style="32" customWidth="1"/>
    <col min="10498" max="10498" width="10.42578125" style="32" customWidth="1"/>
    <col min="10499" max="10504" width="11.42578125" style="32"/>
    <col min="10505" max="10505" width="12.85546875" style="32" customWidth="1"/>
    <col min="10506" max="10506" width="11.42578125" style="32"/>
    <col min="10507" max="10508" width="11.5703125" style="32" bestFit="1" customWidth="1"/>
    <col min="10509" max="10510" width="11.42578125" style="32"/>
    <col min="10511" max="10511" width="12.28515625" style="32" bestFit="1" customWidth="1"/>
    <col min="10512" max="10512" width="11.5703125" style="32" bestFit="1" customWidth="1"/>
    <col min="10513" max="10513" width="11.42578125" style="32"/>
    <col min="10514" max="10514" width="12.28515625" style="32" bestFit="1" customWidth="1"/>
    <col min="10515" max="10515" width="11.5703125" style="32" bestFit="1" customWidth="1"/>
    <col min="10516" max="10752" width="11.42578125" style="32"/>
    <col min="10753" max="10753" width="4.5703125" style="32" customWidth="1"/>
    <col min="10754" max="10754" width="10.42578125" style="32" customWidth="1"/>
    <col min="10755" max="10760" width="11.42578125" style="32"/>
    <col min="10761" max="10761" width="12.85546875" style="32" customWidth="1"/>
    <col min="10762" max="10762" width="11.42578125" style="32"/>
    <col min="10763" max="10764" width="11.5703125" style="32" bestFit="1" customWidth="1"/>
    <col min="10765" max="10766" width="11.42578125" style="32"/>
    <col min="10767" max="10767" width="12.28515625" style="32" bestFit="1" customWidth="1"/>
    <col min="10768" max="10768" width="11.5703125" style="32" bestFit="1" customWidth="1"/>
    <col min="10769" max="10769" width="11.42578125" style="32"/>
    <col min="10770" max="10770" width="12.28515625" style="32" bestFit="1" customWidth="1"/>
    <col min="10771" max="10771" width="11.5703125" style="32" bestFit="1" customWidth="1"/>
    <col min="10772" max="11008" width="11.42578125" style="32"/>
    <col min="11009" max="11009" width="4.5703125" style="32" customWidth="1"/>
    <col min="11010" max="11010" width="10.42578125" style="32" customWidth="1"/>
    <col min="11011" max="11016" width="11.42578125" style="32"/>
    <col min="11017" max="11017" width="12.85546875" style="32" customWidth="1"/>
    <col min="11018" max="11018" width="11.42578125" style="32"/>
    <col min="11019" max="11020" width="11.5703125" style="32" bestFit="1" customWidth="1"/>
    <col min="11021" max="11022" width="11.42578125" style="32"/>
    <col min="11023" max="11023" width="12.28515625" style="32" bestFit="1" customWidth="1"/>
    <col min="11024" max="11024" width="11.5703125" style="32" bestFit="1" customWidth="1"/>
    <col min="11025" max="11025" width="11.42578125" style="32"/>
    <col min="11026" max="11026" width="12.28515625" style="32" bestFit="1" customWidth="1"/>
    <col min="11027" max="11027" width="11.5703125" style="32" bestFit="1" customWidth="1"/>
    <col min="11028" max="11264" width="11.42578125" style="32"/>
    <col min="11265" max="11265" width="4.5703125" style="32" customWidth="1"/>
    <col min="11266" max="11266" width="10.42578125" style="32" customWidth="1"/>
    <col min="11267" max="11272" width="11.42578125" style="32"/>
    <col min="11273" max="11273" width="12.85546875" style="32" customWidth="1"/>
    <col min="11274" max="11274" width="11.42578125" style="32"/>
    <col min="11275" max="11276" width="11.5703125" style="32" bestFit="1" customWidth="1"/>
    <col min="11277" max="11278" width="11.42578125" style="32"/>
    <col min="11279" max="11279" width="12.28515625" style="32" bestFit="1" customWidth="1"/>
    <col min="11280" max="11280" width="11.5703125" style="32" bestFit="1" customWidth="1"/>
    <col min="11281" max="11281" width="11.42578125" style="32"/>
    <col min="11282" max="11282" width="12.28515625" style="32" bestFit="1" customWidth="1"/>
    <col min="11283" max="11283" width="11.5703125" style="32" bestFit="1" customWidth="1"/>
    <col min="11284" max="11520" width="11.42578125" style="32"/>
    <col min="11521" max="11521" width="4.5703125" style="32" customWidth="1"/>
    <col min="11522" max="11522" width="10.42578125" style="32" customWidth="1"/>
    <col min="11523" max="11528" width="11.42578125" style="32"/>
    <col min="11529" max="11529" width="12.85546875" style="32" customWidth="1"/>
    <col min="11530" max="11530" width="11.42578125" style="32"/>
    <col min="11531" max="11532" width="11.5703125" style="32" bestFit="1" customWidth="1"/>
    <col min="11533" max="11534" width="11.42578125" style="32"/>
    <col min="11535" max="11535" width="12.28515625" style="32" bestFit="1" customWidth="1"/>
    <col min="11536" max="11536" width="11.5703125" style="32" bestFit="1" customWidth="1"/>
    <col min="11537" max="11537" width="11.42578125" style="32"/>
    <col min="11538" max="11538" width="12.28515625" style="32" bestFit="1" customWidth="1"/>
    <col min="11539" max="11539" width="11.5703125" style="32" bestFit="1" customWidth="1"/>
    <col min="11540" max="11776" width="11.42578125" style="32"/>
    <col min="11777" max="11777" width="4.5703125" style="32" customWidth="1"/>
    <col min="11778" max="11778" width="10.42578125" style="32" customWidth="1"/>
    <col min="11779" max="11784" width="11.42578125" style="32"/>
    <col min="11785" max="11785" width="12.85546875" style="32" customWidth="1"/>
    <col min="11786" max="11786" width="11.42578125" style="32"/>
    <col min="11787" max="11788" width="11.5703125" style="32" bestFit="1" customWidth="1"/>
    <col min="11789" max="11790" width="11.42578125" style="32"/>
    <col min="11791" max="11791" width="12.28515625" style="32" bestFit="1" customWidth="1"/>
    <col min="11792" max="11792" width="11.5703125" style="32" bestFit="1" customWidth="1"/>
    <col min="11793" max="11793" width="11.42578125" style="32"/>
    <col min="11794" max="11794" width="12.28515625" style="32" bestFit="1" customWidth="1"/>
    <col min="11795" max="11795" width="11.5703125" style="32" bestFit="1" customWidth="1"/>
    <col min="11796" max="12032" width="11.42578125" style="32"/>
    <col min="12033" max="12033" width="4.5703125" style="32" customWidth="1"/>
    <col min="12034" max="12034" width="10.42578125" style="32" customWidth="1"/>
    <col min="12035" max="12040" width="11.42578125" style="32"/>
    <col min="12041" max="12041" width="12.85546875" style="32" customWidth="1"/>
    <col min="12042" max="12042" width="11.42578125" style="32"/>
    <col min="12043" max="12044" width="11.5703125" style="32" bestFit="1" customWidth="1"/>
    <col min="12045" max="12046" width="11.42578125" style="32"/>
    <col min="12047" max="12047" width="12.28515625" style="32" bestFit="1" customWidth="1"/>
    <col min="12048" max="12048" width="11.5703125" style="32" bestFit="1" customWidth="1"/>
    <col min="12049" max="12049" width="11.42578125" style="32"/>
    <col min="12050" max="12050" width="12.28515625" style="32" bestFit="1" customWidth="1"/>
    <col min="12051" max="12051" width="11.5703125" style="32" bestFit="1" customWidth="1"/>
    <col min="12052" max="12288" width="11.42578125" style="32"/>
    <col min="12289" max="12289" width="4.5703125" style="32" customWidth="1"/>
    <col min="12290" max="12290" width="10.42578125" style="32" customWidth="1"/>
    <col min="12291" max="12296" width="11.42578125" style="32"/>
    <col min="12297" max="12297" width="12.85546875" style="32" customWidth="1"/>
    <col min="12298" max="12298" width="11.42578125" style="32"/>
    <col min="12299" max="12300" width="11.5703125" style="32" bestFit="1" customWidth="1"/>
    <col min="12301" max="12302" width="11.42578125" style="32"/>
    <col min="12303" max="12303" width="12.28515625" style="32" bestFit="1" customWidth="1"/>
    <col min="12304" max="12304" width="11.5703125" style="32" bestFit="1" customWidth="1"/>
    <col min="12305" max="12305" width="11.42578125" style="32"/>
    <col min="12306" max="12306" width="12.28515625" style="32" bestFit="1" customWidth="1"/>
    <col min="12307" max="12307" width="11.5703125" style="32" bestFit="1" customWidth="1"/>
    <col min="12308" max="12544" width="11.42578125" style="32"/>
    <col min="12545" max="12545" width="4.5703125" style="32" customWidth="1"/>
    <col min="12546" max="12546" width="10.42578125" style="32" customWidth="1"/>
    <col min="12547" max="12552" width="11.42578125" style="32"/>
    <col min="12553" max="12553" width="12.85546875" style="32" customWidth="1"/>
    <col min="12554" max="12554" width="11.42578125" style="32"/>
    <col min="12555" max="12556" width="11.5703125" style="32" bestFit="1" customWidth="1"/>
    <col min="12557" max="12558" width="11.42578125" style="32"/>
    <col min="12559" max="12559" width="12.28515625" style="32" bestFit="1" customWidth="1"/>
    <col min="12560" max="12560" width="11.5703125" style="32" bestFit="1" customWidth="1"/>
    <col min="12561" max="12561" width="11.42578125" style="32"/>
    <col min="12562" max="12562" width="12.28515625" style="32" bestFit="1" customWidth="1"/>
    <col min="12563" max="12563" width="11.5703125" style="32" bestFit="1" customWidth="1"/>
    <col min="12564" max="12800" width="11.42578125" style="32"/>
    <col min="12801" max="12801" width="4.5703125" style="32" customWidth="1"/>
    <col min="12802" max="12802" width="10.42578125" style="32" customWidth="1"/>
    <col min="12803" max="12808" width="11.42578125" style="32"/>
    <col min="12809" max="12809" width="12.85546875" style="32" customWidth="1"/>
    <col min="12810" max="12810" width="11.42578125" style="32"/>
    <col min="12811" max="12812" width="11.5703125" style="32" bestFit="1" customWidth="1"/>
    <col min="12813" max="12814" width="11.42578125" style="32"/>
    <col min="12815" max="12815" width="12.28515625" style="32" bestFit="1" customWidth="1"/>
    <col min="12816" max="12816" width="11.5703125" style="32" bestFit="1" customWidth="1"/>
    <col min="12817" max="12817" width="11.42578125" style="32"/>
    <col min="12818" max="12818" width="12.28515625" style="32" bestFit="1" customWidth="1"/>
    <col min="12819" max="12819" width="11.5703125" style="32" bestFit="1" customWidth="1"/>
    <col min="12820" max="13056" width="11.42578125" style="32"/>
    <col min="13057" max="13057" width="4.5703125" style="32" customWidth="1"/>
    <col min="13058" max="13058" width="10.42578125" style="32" customWidth="1"/>
    <col min="13059" max="13064" width="11.42578125" style="32"/>
    <col min="13065" max="13065" width="12.85546875" style="32" customWidth="1"/>
    <col min="13066" max="13066" width="11.42578125" style="32"/>
    <col min="13067" max="13068" width="11.5703125" style="32" bestFit="1" customWidth="1"/>
    <col min="13069" max="13070" width="11.42578125" style="32"/>
    <col min="13071" max="13071" width="12.28515625" style="32" bestFit="1" customWidth="1"/>
    <col min="13072" max="13072" width="11.5703125" style="32" bestFit="1" customWidth="1"/>
    <col min="13073" max="13073" width="11.42578125" style="32"/>
    <col min="13074" max="13074" width="12.28515625" style="32" bestFit="1" customWidth="1"/>
    <col min="13075" max="13075" width="11.5703125" style="32" bestFit="1" customWidth="1"/>
    <col min="13076" max="13312" width="11.42578125" style="32"/>
    <col min="13313" max="13313" width="4.5703125" style="32" customWidth="1"/>
    <col min="13314" max="13314" width="10.42578125" style="32" customWidth="1"/>
    <col min="13315" max="13320" width="11.42578125" style="32"/>
    <col min="13321" max="13321" width="12.85546875" style="32" customWidth="1"/>
    <col min="13322" max="13322" width="11.42578125" style="32"/>
    <col min="13323" max="13324" width="11.5703125" style="32" bestFit="1" customWidth="1"/>
    <col min="13325" max="13326" width="11.42578125" style="32"/>
    <col min="13327" max="13327" width="12.28515625" style="32" bestFit="1" customWidth="1"/>
    <col min="13328" max="13328" width="11.5703125" style="32" bestFit="1" customWidth="1"/>
    <col min="13329" max="13329" width="11.42578125" style="32"/>
    <col min="13330" max="13330" width="12.28515625" style="32" bestFit="1" customWidth="1"/>
    <col min="13331" max="13331" width="11.5703125" style="32" bestFit="1" customWidth="1"/>
    <col min="13332" max="13568" width="11.42578125" style="32"/>
    <col min="13569" max="13569" width="4.5703125" style="32" customWidth="1"/>
    <col min="13570" max="13570" width="10.42578125" style="32" customWidth="1"/>
    <col min="13571" max="13576" width="11.42578125" style="32"/>
    <col min="13577" max="13577" width="12.85546875" style="32" customWidth="1"/>
    <col min="13578" max="13578" width="11.42578125" style="32"/>
    <col min="13579" max="13580" width="11.5703125" style="32" bestFit="1" customWidth="1"/>
    <col min="13581" max="13582" width="11.42578125" style="32"/>
    <col min="13583" max="13583" width="12.28515625" style="32" bestFit="1" customWidth="1"/>
    <col min="13584" max="13584" width="11.5703125" style="32" bestFit="1" customWidth="1"/>
    <col min="13585" max="13585" width="11.42578125" style="32"/>
    <col min="13586" max="13586" width="12.28515625" style="32" bestFit="1" customWidth="1"/>
    <col min="13587" max="13587" width="11.5703125" style="32" bestFit="1" customWidth="1"/>
    <col min="13588" max="13824" width="11.42578125" style="32"/>
    <col min="13825" max="13825" width="4.5703125" style="32" customWidth="1"/>
    <col min="13826" max="13826" width="10.42578125" style="32" customWidth="1"/>
    <col min="13827" max="13832" width="11.42578125" style="32"/>
    <col min="13833" max="13833" width="12.85546875" style="32" customWidth="1"/>
    <col min="13834" max="13834" width="11.42578125" style="32"/>
    <col min="13835" max="13836" width="11.5703125" style="32" bestFit="1" customWidth="1"/>
    <col min="13837" max="13838" width="11.42578125" style="32"/>
    <col min="13839" max="13839" width="12.28515625" style="32" bestFit="1" customWidth="1"/>
    <col min="13840" max="13840" width="11.5703125" style="32" bestFit="1" customWidth="1"/>
    <col min="13841" max="13841" width="11.42578125" style="32"/>
    <col min="13842" max="13842" width="12.28515625" style="32" bestFit="1" customWidth="1"/>
    <col min="13843" max="13843" width="11.5703125" style="32" bestFit="1" customWidth="1"/>
    <col min="13844" max="14080" width="11.42578125" style="32"/>
    <col min="14081" max="14081" width="4.5703125" style="32" customWidth="1"/>
    <col min="14082" max="14082" width="10.42578125" style="32" customWidth="1"/>
    <col min="14083" max="14088" width="11.42578125" style="32"/>
    <col min="14089" max="14089" width="12.85546875" style="32" customWidth="1"/>
    <col min="14090" max="14090" width="11.42578125" style="32"/>
    <col min="14091" max="14092" width="11.5703125" style="32" bestFit="1" customWidth="1"/>
    <col min="14093" max="14094" width="11.42578125" style="32"/>
    <col min="14095" max="14095" width="12.28515625" style="32" bestFit="1" customWidth="1"/>
    <col min="14096" max="14096" width="11.5703125" style="32" bestFit="1" customWidth="1"/>
    <col min="14097" max="14097" width="11.42578125" style="32"/>
    <col min="14098" max="14098" width="12.28515625" style="32" bestFit="1" customWidth="1"/>
    <col min="14099" max="14099" width="11.5703125" style="32" bestFit="1" customWidth="1"/>
    <col min="14100" max="14336" width="11.42578125" style="32"/>
    <col min="14337" max="14337" width="4.5703125" style="32" customWidth="1"/>
    <col min="14338" max="14338" width="10.42578125" style="32" customWidth="1"/>
    <col min="14339" max="14344" width="11.42578125" style="32"/>
    <col min="14345" max="14345" width="12.85546875" style="32" customWidth="1"/>
    <col min="14346" max="14346" width="11.42578125" style="32"/>
    <col min="14347" max="14348" width="11.5703125" style="32" bestFit="1" customWidth="1"/>
    <col min="14349" max="14350" width="11.42578125" style="32"/>
    <col min="14351" max="14351" width="12.28515625" style="32" bestFit="1" customWidth="1"/>
    <col min="14352" max="14352" width="11.5703125" style="32" bestFit="1" customWidth="1"/>
    <col min="14353" max="14353" width="11.42578125" style="32"/>
    <col min="14354" max="14354" width="12.28515625" style="32" bestFit="1" customWidth="1"/>
    <col min="14355" max="14355" width="11.5703125" style="32" bestFit="1" customWidth="1"/>
    <col min="14356" max="14592" width="11.42578125" style="32"/>
    <col min="14593" max="14593" width="4.5703125" style="32" customWidth="1"/>
    <col min="14594" max="14594" width="10.42578125" style="32" customWidth="1"/>
    <col min="14595" max="14600" width="11.42578125" style="32"/>
    <col min="14601" max="14601" width="12.85546875" style="32" customWidth="1"/>
    <col min="14602" max="14602" width="11.42578125" style="32"/>
    <col min="14603" max="14604" width="11.5703125" style="32" bestFit="1" customWidth="1"/>
    <col min="14605" max="14606" width="11.42578125" style="32"/>
    <col min="14607" max="14607" width="12.28515625" style="32" bestFit="1" customWidth="1"/>
    <col min="14608" max="14608" width="11.5703125" style="32" bestFit="1" customWidth="1"/>
    <col min="14609" max="14609" width="11.42578125" style="32"/>
    <col min="14610" max="14610" width="12.28515625" style="32" bestFit="1" customWidth="1"/>
    <col min="14611" max="14611" width="11.5703125" style="32" bestFit="1" customWidth="1"/>
    <col min="14612" max="14848" width="11.42578125" style="32"/>
    <col min="14849" max="14849" width="4.5703125" style="32" customWidth="1"/>
    <col min="14850" max="14850" width="10.42578125" style="32" customWidth="1"/>
    <col min="14851" max="14856" width="11.42578125" style="32"/>
    <col min="14857" max="14857" width="12.85546875" style="32" customWidth="1"/>
    <col min="14858" max="14858" width="11.42578125" style="32"/>
    <col min="14859" max="14860" width="11.5703125" style="32" bestFit="1" customWidth="1"/>
    <col min="14861" max="14862" width="11.42578125" style="32"/>
    <col min="14863" max="14863" width="12.28515625" style="32" bestFit="1" customWidth="1"/>
    <col min="14864" max="14864" width="11.5703125" style="32" bestFit="1" customWidth="1"/>
    <col min="14865" max="14865" width="11.42578125" style="32"/>
    <col min="14866" max="14866" width="12.28515625" style="32" bestFit="1" customWidth="1"/>
    <col min="14867" max="14867" width="11.5703125" style="32" bestFit="1" customWidth="1"/>
    <col min="14868" max="15104" width="11.42578125" style="32"/>
    <col min="15105" max="15105" width="4.5703125" style="32" customWidth="1"/>
    <col min="15106" max="15106" width="10.42578125" style="32" customWidth="1"/>
    <col min="15107" max="15112" width="11.42578125" style="32"/>
    <col min="15113" max="15113" width="12.85546875" style="32" customWidth="1"/>
    <col min="15114" max="15114" width="11.42578125" style="32"/>
    <col min="15115" max="15116" width="11.5703125" style="32" bestFit="1" customWidth="1"/>
    <col min="15117" max="15118" width="11.42578125" style="32"/>
    <col min="15119" max="15119" width="12.28515625" style="32" bestFit="1" customWidth="1"/>
    <col min="15120" max="15120" width="11.5703125" style="32" bestFit="1" customWidth="1"/>
    <col min="15121" max="15121" width="11.42578125" style="32"/>
    <col min="15122" max="15122" width="12.28515625" style="32" bestFit="1" customWidth="1"/>
    <col min="15123" max="15123" width="11.5703125" style="32" bestFit="1" customWidth="1"/>
    <col min="15124" max="15360" width="11.42578125" style="32"/>
    <col min="15361" max="15361" width="4.5703125" style="32" customWidth="1"/>
    <col min="15362" max="15362" width="10.42578125" style="32" customWidth="1"/>
    <col min="15363" max="15368" width="11.42578125" style="32"/>
    <col min="15369" max="15369" width="12.85546875" style="32" customWidth="1"/>
    <col min="15370" max="15370" width="11.42578125" style="32"/>
    <col min="15371" max="15372" width="11.5703125" style="32" bestFit="1" customWidth="1"/>
    <col min="15373" max="15374" width="11.42578125" style="32"/>
    <col min="15375" max="15375" width="12.28515625" style="32" bestFit="1" customWidth="1"/>
    <col min="15376" max="15376" width="11.5703125" style="32" bestFit="1" customWidth="1"/>
    <col min="15377" max="15377" width="11.42578125" style="32"/>
    <col min="15378" max="15378" width="12.28515625" style="32" bestFit="1" customWidth="1"/>
    <col min="15379" max="15379" width="11.5703125" style="32" bestFit="1" customWidth="1"/>
    <col min="15380" max="15616" width="11.42578125" style="32"/>
    <col min="15617" max="15617" width="4.5703125" style="32" customWidth="1"/>
    <col min="15618" max="15618" width="10.42578125" style="32" customWidth="1"/>
    <col min="15619" max="15624" width="11.42578125" style="32"/>
    <col min="15625" max="15625" width="12.85546875" style="32" customWidth="1"/>
    <col min="15626" max="15626" width="11.42578125" style="32"/>
    <col min="15627" max="15628" width="11.5703125" style="32" bestFit="1" customWidth="1"/>
    <col min="15629" max="15630" width="11.42578125" style="32"/>
    <col min="15631" max="15631" width="12.28515625" style="32" bestFit="1" customWidth="1"/>
    <col min="15632" max="15632" width="11.5703125" style="32" bestFit="1" customWidth="1"/>
    <col min="15633" max="15633" width="11.42578125" style="32"/>
    <col min="15634" max="15634" width="12.28515625" style="32" bestFit="1" customWidth="1"/>
    <col min="15635" max="15635" width="11.5703125" style="32" bestFit="1" customWidth="1"/>
    <col min="15636" max="15872" width="11.42578125" style="32"/>
    <col min="15873" max="15873" width="4.5703125" style="32" customWidth="1"/>
    <col min="15874" max="15874" width="10.42578125" style="32" customWidth="1"/>
    <col min="15875" max="15880" width="11.42578125" style="32"/>
    <col min="15881" max="15881" width="12.85546875" style="32" customWidth="1"/>
    <col min="15882" max="15882" width="11.42578125" style="32"/>
    <col min="15883" max="15884" width="11.5703125" style="32" bestFit="1" customWidth="1"/>
    <col min="15885" max="15886" width="11.42578125" style="32"/>
    <col min="15887" max="15887" width="12.28515625" style="32" bestFit="1" customWidth="1"/>
    <col min="15888" max="15888" width="11.5703125" style="32" bestFit="1" customWidth="1"/>
    <col min="15889" max="15889" width="11.42578125" style="32"/>
    <col min="15890" max="15890" width="12.28515625" style="32" bestFit="1" customWidth="1"/>
    <col min="15891" max="15891" width="11.5703125" style="32" bestFit="1" customWidth="1"/>
    <col min="15892" max="16128" width="11.42578125" style="32"/>
    <col min="16129" max="16129" width="4.5703125" style="32" customWidth="1"/>
    <col min="16130" max="16130" width="10.42578125" style="32" customWidth="1"/>
    <col min="16131" max="16136" width="11.42578125" style="32"/>
    <col min="16137" max="16137" width="12.85546875" style="32" customWidth="1"/>
    <col min="16138" max="16138" width="11.42578125" style="32"/>
    <col min="16139" max="16140" width="11.5703125" style="32" bestFit="1" customWidth="1"/>
    <col min="16141" max="16142" width="11.42578125" style="32"/>
    <col min="16143" max="16143" width="12.28515625" style="32" bestFit="1" customWidth="1"/>
    <col min="16144" max="16144" width="11.5703125" style="32" bestFit="1" customWidth="1"/>
    <col min="16145" max="16145" width="11.42578125" style="32"/>
    <col min="16146" max="16146" width="12.28515625" style="32" bestFit="1" customWidth="1"/>
    <col min="16147" max="16147" width="11.5703125" style="32" bestFit="1" customWidth="1"/>
    <col min="16148" max="16384" width="11.42578125" style="32"/>
  </cols>
  <sheetData>
    <row r="1" spans="1:22">
      <c r="A1" s="204"/>
      <c r="B1" s="1248"/>
      <c r="C1" s="204"/>
      <c r="D1" s="204"/>
      <c r="E1" s="204"/>
      <c r="F1" s="204"/>
      <c r="G1" s="204"/>
      <c r="H1" s="204"/>
      <c r="I1" s="204"/>
      <c r="J1" s="204"/>
      <c r="K1" s="204"/>
      <c r="L1" s="204"/>
      <c r="M1" s="90"/>
      <c r="N1" s="90"/>
      <c r="O1" s="90"/>
      <c r="P1" s="90"/>
      <c r="Q1" s="15"/>
      <c r="R1" s="15"/>
      <c r="S1" s="15"/>
      <c r="T1" s="15"/>
      <c r="U1" s="15"/>
      <c r="V1" s="15"/>
    </row>
    <row r="2" spans="1:22" ht="26.25">
      <c r="A2" s="204"/>
      <c r="B2" s="1377" t="s">
        <v>1307</v>
      </c>
      <c r="C2" s="1378">
        <f ca="1">NOW()</f>
        <v>46257.633905902781</v>
      </c>
      <c r="D2" s="8442" t="s">
        <v>1859</v>
      </c>
      <c r="E2" s="8443"/>
      <c r="F2" s="8443"/>
      <c r="G2" s="8443"/>
      <c r="H2" s="8443"/>
      <c r="I2" s="8443"/>
      <c r="J2" s="1379" t="s">
        <v>1309</v>
      </c>
      <c r="K2" s="1380" t="s">
        <v>64</v>
      </c>
      <c r="L2" s="1381">
        <v>1</v>
      </c>
      <c r="M2" s="90"/>
      <c r="N2" s="1382" t="s">
        <v>1316</v>
      </c>
      <c r="O2" s="90"/>
      <c r="P2" s="90"/>
      <c r="Q2" s="15"/>
      <c r="R2" s="15"/>
      <c r="S2" s="15"/>
      <c r="T2" s="15"/>
      <c r="U2" s="15"/>
      <c r="V2" s="15"/>
    </row>
    <row r="3" spans="1:22">
      <c r="A3" s="204"/>
      <c r="B3" s="185"/>
      <c r="C3" s="185"/>
      <c r="D3" s="185"/>
      <c r="E3" s="185"/>
      <c r="F3" s="185"/>
      <c r="G3" s="185"/>
      <c r="H3" s="185"/>
      <c r="I3" s="204"/>
      <c r="J3" s="185"/>
      <c r="K3" s="185"/>
      <c r="L3" s="185"/>
      <c r="M3" s="90"/>
      <c r="N3" s="1383" t="s">
        <v>1860</v>
      </c>
      <c r="O3" s="15"/>
      <c r="P3" s="15"/>
      <c r="Q3" s="15"/>
      <c r="R3" s="15"/>
      <c r="S3" s="15"/>
      <c r="T3" s="15"/>
      <c r="U3" s="15"/>
      <c r="V3" s="15"/>
    </row>
    <row r="4" spans="1:22">
      <c r="A4" s="204"/>
      <c r="B4" s="8444" t="s">
        <v>1861</v>
      </c>
      <c r="C4" s="8445"/>
      <c r="D4" s="8445"/>
      <c r="E4" s="8445"/>
      <c r="F4" s="8445"/>
      <c r="G4" s="8445"/>
      <c r="H4" s="8445"/>
      <c r="I4" s="8445"/>
      <c r="J4" s="8445"/>
      <c r="K4" s="8445"/>
      <c r="L4" s="8445"/>
      <c r="M4" s="90"/>
      <c r="N4" s="90"/>
      <c r="O4" s="15"/>
      <c r="P4" s="15"/>
      <c r="Q4" s="15"/>
      <c r="R4" s="15"/>
      <c r="S4" s="15"/>
      <c r="T4" s="15"/>
      <c r="U4" s="15"/>
      <c r="V4" s="15"/>
    </row>
    <row r="5" spans="1:22">
      <c r="A5" s="204"/>
      <c r="B5" s="8444"/>
      <c r="C5" s="8445"/>
      <c r="D5" s="8445"/>
      <c r="E5" s="8445"/>
      <c r="F5" s="8445"/>
      <c r="G5" s="8445"/>
      <c r="H5" s="8445"/>
      <c r="I5" s="8445"/>
      <c r="J5" s="8445"/>
      <c r="K5" s="8445"/>
      <c r="L5" s="8445"/>
      <c r="M5" s="90"/>
      <c r="N5" s="90" t="s">
        <v>1857</v>
      </c>
      <c r="O5" s="15"/>
      <c r="P5" s="15"/>
      <c r="Q5" s="15"/>
      <c r="R5" s="15"/>
      <c r="S5" s="15"/>
      <c r="T5" s="15"/>
      <c r="U5" s="15"/>
      <c r="V5" s="15"/>
    </row>
    <row r="6" spans="1:22" ht="15.75" thickBot="1">
      <c r="A6" s="204"/>
      <c r="B6" s="8444"/>
      <c r="C6" s="8445"/>
      <c r="D6" s="8445"/>
      <c r="E6" s="8445"/>
      <c r="F6" s="8445"/>
      <c r="G6" s="8445"/>
      <c r="H6" s="8445"/>
      <c r="I6" s="8445"/>
      <c r="J6" s="8445"/>
      <c r="K6" s="8445"/>
      <c r="L6" s="8445"/>
      <c r="M6" s="90"/>
      <c r="N6" s="90"/>
      <c r="O6" s="15"/>
      <c r="P6" s="15"/>
      <c r="Q6" s="15"/>
      <c r="R6" s="15"/>
      <c r="S6" s="15"/>
      <c r="T6" s="15"/>
      <c r="U6" s="15"/>
      <c r="V6" s="15"/>
    </row>
    <row r="7" spans="1:22">
      <c r="A7" s="204"/>
      <c r="B7" s="1384" t="str">
        <f t="shared" ref="B7:L7" si="0">SUBSTITUTE(ADDRESS(1,COLUMN(),4),"1","")</f>
        <v>B</v>
      </c>
      <c r="C7" s="1385" t="str">
        <f t="shared" si="0"/>
        <v>C</v>
      </c>
      <c r="D7" s="1385" t="str">
        <f t="shared" si="0"/>
        <v>D</v>
      </c>
      <c r="E7" s="1385" t="str">
        <f t="shared" si="0"/>
        <v>E</v>
      </c>
      <c r="F7" s="1385" t="str">
        <f t="shared" si="0"/>
        <v>F</v>
      </c>
      <c r="G7" s="1385" t="str">
        <f t="shared" si="0"/>
        <v>G</v>
      </c>
      <c r="H7" s="1385" t="str">
        <f t="shared" si="0"/>
        <v>H</v>
      </c>
      <c r="I7" s="1385" t="str">
        <f t="shared" si="0"/>
        <v>I</v>
      </c>
      <c r="J7" s="1385" t="str">
        <f t="shared" si="0"/>
        <v>J</v>
      </c>
      <c r="K7" s="1385" t="str">
        <f t="shared" si="0"/>
        <v>K</v>
      </c>
      <c r="L7" s="1386" t="str">
        <f t="shared" si="0"/>
        <v>L</v>
      </c>
      <c r="M7" s="1387"/>
      <c r="N7" s="1388"/>
      <c r="O7" s="1389"/>
      <c r="P7" s="1385" t="str">
        <f t="shared" ref="P7:V7" si="1">SUBSTITUTE(ADDRESS(1,COLUMN(),4),"1","")</f>
        <v>P</v>
      </c>
      <c r="Q7" s="1385" t="str">
        <f t="shared" si="1"/>
        <v>Q</v>
      </c>
      <c r="R7" s="1385" t="str">
        <f t="shared" si="1"/>
        <v>R</v>
      </c>
      <c r="S7" s="1385" t="str">
        <f t="shared" si="1"/>
        <v>S</v>
      </c>
      <c r="T7" s="1385" t="str">
        <f t="shared" si="1"/>
        <v>T</v>
      </c>
      <c r="U7" s="1385" t="str">
        <f t="shared" si="1"/>
        <v>U</v>
      </c>
      <c r="V7" s="1385" t="str">
        <f t="shared" si="1"/>
        <v>V</v>
      </c>
    </row>
    <row r="8" spans="1:22">
      <c r="B8" s="1390" t="str">
        <f ca="1">CELL("nomfichier")</f>
        <v>D:\Données\1.UPRT\0-UPRT.fait\1-UPRT.FR-SITE-WEB\ff-fiches-fabrications\ff.fiches.fabrication.2023\UPRT.23.aout\[ff-20-CHARCUTERIE-michel-Mariette.BOUDIN.BLANC_-1.xlsx]Exemples Michel Mariette</v>
      </c>
      <c r="C8" s="1391"/>
      <c r="D8" s="1391"/>
      <c r="E8" s="1392"/>
      <c r="F8" s="1392"/>
      <c r="G8" s="1392"/>
      <c r="H8" s="1392"/>
      <c r="I8" s="1392"/>
      <c r="J8" s="1392"/>
      <c r="K8" s="1392"/>
      <c r="L8" s="1393"/>
      <c r="M8" s="15"/>
      <c r="N8" s="181"/>
      <c r="O8" s="15"/>
      <c r="P8" s="8439" t="s">
        <v>1311</v>
      </c>
      <c r="Q8" s="8439" t="s">
        <v>1312</v>
      </c>
      <c r="R8" s="8439" t="s">
        <v>1313</v>
      </c>
      <c r="S8" s="8418" t="s">
        <v>201</v>
      </c>
      <c r="T8" s="8421" t="s">
        <v>1314</v>
      </c>
      <c r="U8" s="8424" t="s">
        <v>1315</v>
      </c>
      <c r="V8" s="8427" t="s">
        <v>1862</v>
      </c>
    </row>
    <row r="9" spans="1:22" ht="15" customHeight="1">
      <c r="A9" s="204"/>
      <c r="B9" s="8430" t="s">
        <v>1310</v>
      </c>
      <c r="C9" s="8431"/>
      <c r="D9" s="8431"/>
      <c r="E9" s="8432"/>
      <c r="F9" s="8439" t="s">
        <v>1311</v>
      </c>
      <c r="G9" s="8439" t="s">
        <v>1312</v>
      </c>
      <c r="H9" s="8439" t="s">
        <v>1313</v>
      </c>
      <c r="I9" s="8418" t="s">
        <v>201</v>
      </c>
      <c r="J9" s="8421" t="s">
        <v>1314</v>
      </c>
      <c r="K9" s="8424" t="s">
        <v>1315</v>
      </c>
      <c r="L9" s="8446" t="s">
        <v>1316</v>
      </c>
      <c r="M9" s="90"/>
      <c r="N9" s="181"/>
      <c r="O9" s="15"/>
      <c r="P9" s="8440"/>
      <c r="Q9" s="8440"/>
      <c r="R9" s="8440"/>
      <c r="S9" s="8419"/>
      <c r="T9" s="8422"/>
      <c r="U9" s="8425"/>
      <c r="V9" s="8428"/>
    </row>
    <row r="10" spans="1:22">
      <c r="A10" s="204"/>
      <c r="B10" s="8433"/>
      <c r="C10" s="8434"/>
      <c r="D10" s="8434"/>
      <c r="E10" s="8435"/>
      <c r="F10" s="8440"/>
      <c r="G10" s="8440"/>
      <c r="H10" s="8440"/>
      <c r="I10" s="8419"/>
      <c r="J10" s="8422"/>
      <c r="K10" s="8425"/>
      <c r="L10" s="8447"/>
      <c r="M10" s="90"/>
      <c r="N10" s="149"/>
      <c r="O10" s="15"/>
      <c r="P10" s="8440"/>
      <c r="Q10" s="8440"/>
      <c r="R10" s="8440"/>
      <c r="S10" s="8419"/>
      <c r="T10" s="8422"/>
      <c r="U10" s="8425"/>
      <c r="V10" s="8428"/>
    </row>
    <row r="11" spans="1:22">
      <c r="A11" s="204"/>
      <c r="B11" s="8433"/>
      <c r="C11" s="8434"/>
      <c r="D11" s="8434"/>
      <c r="E11" s="8435"/>
      <c r="F11" s="8440"/>
      <c r="G11" s="8440"/>
      <c r="H11" s="8440"/>
      <c r="I11" s="8419"/>
      <c r="J11" s="8422"/>
      <c r="K11" s="8425"/>
      <c r="L11" s="8447"/>
      <c r="M11" s="90"/>
      <c r="N11" s="149"/>
      <c r="O11" s="15"/>
      <c r="P11" s="8440"/>
      <c r="Q11" s="8440"/>
      <c r="R11" s="8440"/>
      <c r="S11" s="8419"/>
      <c r="T11" s="8422"/>
      <c r="U11" s="8425"/>
      <c r="V11" s="8428"/>
    </row>
    <row r="12" spans="1:22">
      <c r="A12" s="204"/>
      <c r="B12" s="8433"/>
      <c r="C12" s="8434"/>
      <c r="D12" s="8434"/>
      <c r="E12" s="8435"/>
      <c r="F12" s="8440"/>
      <c r="G12" s="8440"/>
      <c r="H12" s="8440"/>
      <c r="I12" s="8419"/>
      <c r="J12" s="8422"/>
      <c r="K12" s="8425"/>
      <c r="L12" s="8447"/>
      <c r="M12" s="90"/>
      <c r="N12" s="149"/>
      <c r="O12" s="15"/>
      <c r="P12" s="8440"/>
      <c r="Q12" s="8440"/>
      <c r="R12" s="8440"/>
      <c r="S12" s="8419"/>
      <c r="T12" s="8422"/>
      <c r="U12" s="8425"/>
      <c r="V12" s="8428"/>
    </row>
    <row r="13" spans="1:22">
      <c r="A13" s="204"/>
      <c r="B13" s="8433"/>
      <c r="C13" s="8434"/>
      <c r="D13" s="8434"/>
      <c r="E13" s="8435"/>
      <c r="F13" s="8440"/>
      <c r="G13" s="8440"/>
      <c r="H13" s="8440"/>
      <c r="I13" s="8419"/>
      <c r="J13" s="8422"/>
      <c r="K13" s="8425"/>
      <c r="L13" s="8447"/>
      <c r="M13" s="90"/>
      <c r="N13" s="149"/>
      <c r="O13" s="15"/>
      <c r="P13" s="8440"/>
      <c r="Q13" s="8440"/>
      <c r="R13" s="8440"/>
      <c r="S13" s="8419"/>
      <c r="T13" s="8422"/>
      <c r="U13" s="8425"/>
      <c r="V13" s="8428"/>
    </row>
    <row r="14" spans="1:22">
      <c r="A14" s="204"/>
      <c r="B14" s="8433"/>
      <c r="C14" s="8434"/>
      <c r="D14" s="8434"/>
      <c r="E14" s="8435"/>
      <c r="F14" s="8440"/>
      <c r="G14" s="8440"/>
      <c r="H14" s="8440"/>
      <c r="I14" s="8419"/>
      <c r="J14" s="8422"/>
      <c r="K14" s="8425"/>
      <c r="L14" s="8447"/>
      <c r="M14" s="90"/>
      <c r="N14" s="149"/>
      <c r="O14" s="15"/>
      <c r="P14" s="8441"/>
      <c r="Q14" s="8441"/>
      <c r="R14" s="8441"/>
      <c r="S14" s="8420"/>
      <c r="T14" s="8423"/>
      <c r="U14" s="8426"/>
      <c r="V14" s="8429"/>
    </row>
    <row r="15" spans="1:22">
      <c r="A15" s="204"/>
      <c r="B15" s="8436"/>
      <c r="C15" s="8437"/>
      <c r="D15" s="8437"/>
      <c r="E15" s="8438"/>
      <c r="F15" s="8441"/>
      <c r="G15" s="8441"/>
      <c r="H15" s="8441"/>
      <c r="I15" s="8420"/>
      <c r="J15" s="8423"/>
      <c r="K15" s="8426"/>
      <c r="L15" s="8448"/>
      <c r="M15" s="1394"/>
      <c r="N15" s="1395"/>
      <c r="O15" s="1395"/>
      <c r="P15" s="1396" t="s">
        <v>214</v>
      </c>
      <c r="Q15" s="1396" t="s">
        <v>215</v>
      </c>
      <c r="R15" s="1397" t="s">
        <v>216</v>
      </c>
      <c r="S15" s="1397" t="s">
        <v>201</v>
      </c>
      <c r="T15" s="1396" t="s">
        <v>1319</v>
      </c>
      <c r="U15" s="1396" t="s">
        <v>1320</v>
      </c>
      <c r="V15" s="1398" t="s">
        <v>1862</v>
      </c>
    </row>
    <row r="16" spans="1:22" ht="15.75">
      <c r="A16" s="204"/>
      <c r="B16" s="1399" t="s">
        <v>1317</v>
      </c>
      <c r="C16" s="1400"/>
      <c r="D16" s="1400"/>
      <c r="E16" s="1400"/>
      <c r="F16" s="1396" t="s">
        <v>537</v>
      </c>
      <c r="G16" s="1396" t="s">
        <v>620</v>
      </c>
      <c r="H16" s="1397" t="s">
        <v>337</v>
      </c>
      <c r="I16" s="1397" t="s">
        <v>1318</v>
      </c>
      <c r="J16" s="1396" t="s">
        <v>1319</v>
      </c>
      <c r="K16" s="1396" t="s">
        <v>1320</v>
      </c>
      <c r="L16" s="1401" t="s">
        <v>1321</v>
      </c>
      <c r="M16" s="90"/>
      <c r="N16" s="1402"/>
      <c r="O16" s="1403" t="s">
        <v>1863</v>
      </c>
      <c r="P16" s="1124">
        <v>253</v>
      </c>
      <c r="Q16" s="1124">
        <v>829</v>
      </c>
      <c r="R16" s="1124">
        <v>48</v>
      </c>
      <c r="S16" s="1124">
        <v>13</v>
      </c>
      <c r="T16" s="1124">
        <v>29</v>
      </c>
      <c r="U16" s="1124">
        <v>17</v>
      </c>
      <c r="V16" s="1404">
        <f>SUM(P16:U16)</f>
        <v>1189</v>
      </c>
    </row>
    <row r="17" spans="1:22">
      <c r="A17" s="204"/>
      <c r="B17" s="1405"/>
      <c r="C17" s="1406"/>
      <c r="D17" s="1406"/>
      <c r="E17" s="1407" t="s">
        <v>1322</v>
      </c>
      <c r="F17" s="1258">
        <v>0.04</v>
      </c>
      <c r="G17" s="1258">
        <v>0.05</v>
      </c>
      <c r="H17" s="1268">
        <v>0.08</v>
      </c>
      <c r="I17" s="1270">
        <f>(H17*L17%)+H17</f>
        <v>8.7999999999999995E-2</v>
      </c>
      <c r="J17" s="1274">
        <v>0.05</v>
      </c>
      <c r="K17" s="1258">
        <v>0.05</v>
      </c>
      <c r="L17" s="1408">
        <v>10</v>
      </c>
      <c r="M17" s="90"/>
      <c r="N17" s="15"/>
      <c r="O17" s="1409" t="str">
        <f>E17</f>
        <v>PAIN</v>
      </c>
      <c r="P17" s="1410">
        <f t="shared" ref="P17:U17" si="2">F17*P16</f>
        <v>10.120000000000001</v>
      </c>
      <c r="Q17" s="1410">
        <f t="shared" si="2"/>
        <v>41.45</v>
      </c>
      <c r="R17" s="1411">
        <f t="shared" si="2"/>
        <v>3.84</v>
      </c>
      <c r="S17" s="1412">
        <f t="shared" si="2"/>
        <v>1.1439999999999999</v>
      </c>
      <c r="T17" s="1412">
        <f t="shared" si="2"/>
        <v>1.4500000000000002</v>
      </c>
      <c r="U17" s="1410">
        <f t="shared" si="2"/>
        <v>0.85000000000000009</v>
      </c>
      <c r="V17" s="1413">
        <f>SUM(P17:U17)</f>
        <v>58.854000000000013</v>
      </c>
    </row>
    <row r="18" spans="1:22" ht="15" customHeight="1">
      <c r="A18" s="204"/>
      <c r="B18" s="1414"/>
      <c r="C18" s="8408" t="s">
        <v>1864</v>
      </c>
      <c r="D18" s="8408"/>
      <c r="E18" s="8408"/>
      <c r="F18" s="8408"/>
      <c r="G18" s="8408"/>
      <c r="H18" s="8408"/>
      <c r="I18" s="8408"/>
      <c r="J18" s="8408"/>
      <c r="K18" s="8408"/>
      <c r="L18" s="8409"/>
      <c r="M18" s="149"/>
      <c r="N18" s="149"/>
      <c r="O18" s="15"/>
      <c r="P18" s="8412" t="str">
        <f>C18</f>
        <v>*- CRUDITÉS sans assaisonnement</v>
      </c>
      <c r="Q18" s="8413"/>
      <c r="R18" s="8413"/>
      <c r="S18" s="8413"/>
      <c r="T18" s="8413"/>
      <c r="U18" s="8413"/>
      <c r="V18" s="8414"/>
    </row>
    <row r="19" spans="1:22" ht="15" customHeight="1">
      <c r="A19" s="204"/>
      <c r="B19" s="1414"/>
      <c r="C19" s="8410"/>
      <c r="D19" s="8410"/>
      <c r="E19" s="8410"/>
      <c r="F19" s="8410"/>
      <c r="G19" s="8410"/>
      <c r="H19" s="8410"/>
      <c r="I19" s="8410"/>
      <c r="J19" s="8410"/>
      <c r="K19" s="8410"/>
      <c r="L19" s="8411"/>
      <c r="M19" s="149"/>
      <c r="N19" s="149"/>
      <c r="O19" s="15"/>
      <c r="P19" s="8415"/>
      <c r="Q19" s="8416"/>
      <c r="R19" s="8416"/>
      <c r="S19" s="8416"/>
      <c r="T19" s="8416"/>
      <c r="U19" s="8416"/>
      <c r="V19" s="8417"/>
    </row>
    <row r="20" spans="1:22" ht="15.75">
      <c r="A20" s="204"/>
      <c r="B20" s="1405"/>
      <c r="C20" s="1415" t="s">
        <v>1865</v>
      </c>
      <c r="D20" s="1416"/>
      <c r="E20" s="1417"/>
      <c r="F20" s="1258">
        <v>0.25</v>
      </c>
      <c r="G20" s="1258">
        <v>0.5</v>
      </c>
      <c r="H20" s="1268">
        <v>0.5</v>
      </c>
      <c r="I20" s="1270">
        <f t="shared" ref="I20:I32" si="3">(H20*L20%)+H20</f>
        <v>0.55000000000000004</v>
      </c>
      <c r="J20" s="1274">
        <v>0.5</v>
      </c>
      <c r="K20" s="1258">
        <v>0.5</v>
      </c>
      <c r="L20" s="1408">
        <v>10</v>
      </c>
      <c r="M20" s="14"/>
      <c r="N20" s="1418"/>
      <c r="O20" s="1419" t="str">
        <f t="shared" ref="O20:O32" si="4">C20</f>
        <v>Avocat (à l'unité)</v>
      </c>
      <c r="P20" s="1420">
        <f t="shared" ref="P20:U20" si="5">F20*P16</f>
        <v>63.25</v>
      </c>
      <c r="Q20" s="1420">
        <f t="shared" si="5"/>
        <v>414.5</v>
      </c>
      <c r="R20" s="1421">
        <f t="shared" si="5"/>
        <v>24</v>
      </c>
      <c r="S20" s="1422">
        <f t="shared" si="5"/>
        <v>7.15</v>
      </c>
      <c r="T20" s="1422">
        <f t="shared" si="5"/>
        <v>14.5</v>
      </c>
      <c r="U20" s="1420">
        <f t="shared" si="5"/>
        <v>8.5</v>
      </c>
      <c r="V20" s="1423">
        <f>SUM(P20:U20)</f>
        <v>531.9</v>
      </c>
    </row>
    <row r="21" spans="1:22" ht="15.75">
      <c r="A21" s="204"/>
      <c r="B21" s="1424"/>
      <c r="C21" s="1415" t="s">
        <v>1325</v>
      </c>
      <c r="D21" s="1416"/>
      <c r="E21" s="1417"/>
      <c r="F21" s="1258">
        <v>0.05</v>
      </c>
      <c r="G21" s="1258">
        <v>7.0000000000000007E-2</v>
      </c>
      <c r="H21" s="1268">
        <v>0.1</v>
      </c>
      <c r="I21" s="1270">
        <f t="shared" si="3"/>
        <v>0.11000000000000001</v>
      </c>
      <c r="J21" s="1274">
        <v>7.0000000000000007E-2</v>
      </c>
      <c r="K21" s="1258">
        <v>7.0000000000000007E-2</v>
      </c>
      <c r="L21" s="1408">
        <v>10</v>
      </c>
      <c r="M21" s="14"/>
      <c r="N21" s="1418"/>
      <c r="O21" s="1409" t="str">
        <f t="shared" si="4"/>
        <v>Carottes, céleri et autres racines râpées</v>
      </c>
      <c r="P21" s="1410">
        <f t="shared" ref="P21:U21" si="6">F21*P16</f>
        <v>12.65</v>
      </c>
      <c r="Q21" s="1410">
        <f t="shared" si="6"/>
        <v>58.030000000000008</v>
      </c>
      <c r="R21" s="1411">
        <f t="shared" si="6"/>
        <v>4.8000000000000007</v>
      </c>
      <c r="S21" s="1412">
        <f t="shared" si="6"/>
        <v>1.4300000000000002</v>
      </c>
      <c r="T21" s="1412">
        <f t="shared" si="6"/>
        <v>2.0300000000000002</v>
      </c>
      <c r="U21" s="1410">
        <f t="shared" si="6"/>
        <v>1.1900000000000002</v>
      </c>
      <c r="V21" s="1423">
        <f t="shared" ref="V21:V32" si="7">SUM(P21:U21)</f>
        <v>80.13000000000001</v>
      </c>
    </row>
    <row r="22" spans="1:22" ht="15.75" customHeight="1">
      <c r="A22" s="204"/>
      <c r="B22" s="1405"/>
      <c r="C22" s="1415" t="s">
        <v>1326</v>
      </c>
      <c r="D22" s="1416"/>
      <c r="E22" s="1417"/>
      <c r="F22" s="1258">
        <v>0.04</v>
      </c>
      <c r="G22" s="1258">
        <v>0.06</v>
      </c>
      <c r="H22" s="1268">
        <v>0.1</v>
      </c>
      <c r="I22" s="1270">
        <f t="shared" si="3"/>
        <v>0.11000000000000001</v>
      </c>
      <c r="J22" s="1274">
        <v>0.08</v>
      </c>
      <c r="K22" s="1258">
        <v>0.08</v>
      </c>
      <c r="L22" s="1408">
        <v>10</v>
      </c>
      <c r="M22" s="14"/>
      <c r="N22" s="1418"/>
      <c r="O22" s="1409" t="str">
        <f t="shared" si="4"/>
        <v>Choux rouge et choux blanc émincé</v>
      </c>
      <c r="P22" s="1410">
        <f t="shared" ref="P22:U22" si="8">F22*P16</f>
        <v>10.120000000000001</v>
      </c>
      <c r="Q22" s="1410">
        <f t="shared" si="8"/>
        <v>49.739999999999995</v>
      </c>
      <c r="R22" s="1411">
        <f t="shared" si="8"/>
        <v>4.8000000000000007</v>
      </c>
      <c r="S22" s="1412">
        <f t="shared" si="8"/>
        <v>1.4300000000000002</v>
      </c>
      <c r="T22" s="1412">
        <f t="shared" si="8"/>
        <v>2.3199999999999998</v>
      </c>
      <c r="U22" s="1410">
        <f t="shared" si="8"/>
        <v>1.36</v>
      </c>
      <c r="V22" s="1423">
        <f t="shared" si="7"/>
        <v>69.77</v>
      </c>
    </row>
    <row r="23" spans="1:22" ht="15.75">
      <c r="A23" s="204"/>
      <c r="B23" s="1405"/>
      <c r="C23" s="1415" t="s">
        <v>628</v>
      </c>
      <c r="D23" s="1416"/>
      <c r="E23" s="1417"/>
      <c r="F23" s="1258">
        <v>0.06</v>
      </c>
      <c r="G23" s="1258">
        <v>0.08</v>
      </c>
      <c r="H23" s="1268">
        <v>0.1</v>
      </c>
      <c r="I23" s="1270">
        <f t="shared" si="3"/>
        <v>0.11000000000000001</v>
      </c>
      <c r="J23" s="1274">
        <v>0.09</v>
      </c>
      <c r="K23" s="1258">
        <v>0.09</v>
      </c>
      <c r="L23" s="1408">
        <v>10</v>
      </c>
      <c r="M23" s="14"/>
      <c r="N23" s="1418"/>
      <c r="O23" s="1409" t="str">
        <f t="shared" si="4"/>
        <v>Concombre</v>
      </c>
      <c r="P23" s="1410">
        <f t="shared" ref="P23:U23" si="9">F23*P16</f>
        <v>15.18</v>
      </c>
      <c r="Q23" s="1410">
        <f t="shared" si="9"/>
        <v>66.320000000000007</v>
      </c>
      <c r="R23" s="1411">
        <f t="shared" si="9"/>
        <v>4.8000000000000007</v>
      </c>
      <c r="S23" s="1412">
        <f t="shared" si="9"/>
        <v>1.4300000000000002</v>
      </c>
      <c r="T23" s="1412">
        <f t="shared" si="9"/>
        <v>2.61</v>
      </c>
      <c r="U23" s="1410">
        <f t="shared" si="9"/>
        <v>1.53</v>
      </c>
      <c r="V23" s="1423">
        <f t="shared" si="7"/>
        <v>91.87</v>
      </c>
    </row>
    <row r="24" spans="1:22" ht="15.75">
      <c r="A24" s="204"/>
      <c r="B24" s="1405"/>
      <c r="C24" s="1415" t="s">
        <v>1327</v>
      </c>
      <c r="D24" s="1416"/>
      <c r="E24" s="1417"/>
      <c r="F24" s="1258">
        <v>0.02</v>
      </c>
      <c r="G24" s="1258">
        <v>0.03</v>
      </c>
      <c r="H24" s="1268">
        <v>0.1</v>
      </c>
      <c r="I24" s="1270">
        <f t="shared" si="3"/>
        <v>0.11000000000000001</v>
      </c>
      <c r="J24" s="1274">
        <v>0.08</v>
      </c>
      <c r="K24" s="1258">
        <v>0.08</v>
      </c>
      <c r="L24" s="1408">
        <v>10</v>
      </c>
      <c r="M24" s="14"/>
      <c r="N24" s="1418"/>
      <c r="O24" s="1409" t="str">
        <f t="shared" si="4"/>
        <v>Endive</v>
      </c>
      <c r="P24" s="1410">
        <f t="shared" ref="P24:U24" si="10">F24*P16</f>
        <v>5.0600000000000005</v>
      </c>
      <c r="Q24" s="1410">
        <f t="shared" si="10"/>
        <v>24.869999999999997</v>
      </c>
      <c r="R24" s="1411">
        <f t="shared" si="10"/>
        <v>4.8000000000000007</v>
      </c>
      <c r="S24" s="1412">
        <f t="shared" si="10"/>
        <v>1.4300000000000002</v>
      </c>
      <c r="T24" s="1412">
        <f t="shared" si="10"/>
        <v>2.3199999999999998</v>
      </c>
      <c r="U24" s="1410">
        <f t="shared" si="10"/>
        <v>1.36</v>
      </c>
      <c r="V24" s="1423">
        <f t="shared" si="7"/>
        <v>39.840000000000003</v>
      </c>
    </row>
    <row r="25" spans="1:22" ht="15.75">
      <c r="A25" s="204"/>
      <c r="B25" s="1405"/>
      <c r="C25" s="1415" t="s">
        <v>1328</v>
      </c>
      <c r="D25" s="1416"/>
      <c r="E25" s="1417"/>
      <c r="F25" s="1258">
        <v>0.12</v>
      </c>
      <c r="G25" s="1258">
        <v>0.15</v>
      </c>
      <c r="H25" s="1268">
        <v>0.18</v>
      </c>
      <c r="I25" s="1270">
        <f t="shared" si="3"/>
        <v>0.19799999999999998</v>
      </c>
      <c r="J25" s="1274">
        <v>0.15</v>
      </c>
      <c r="K25" s="1258">
        <v>0.15</v>
      </c>
      <c r="L25" s="1408">
        <v>10</v>
      </c>
      <c r="M25" s="14"/>
      <c r="N25" s="1418"/>
      <c r="O25" s="1409" t="str">
        <f t="shared" si="4"/>
        <v>Melon, Pastèque</v>
      </c>
      <c r="P25" s="1410">
        <f t="shared" ref="P25:U25" si="11">F25*P16</f>
        <v>30.36</v>
      </c>
      <c r="Q25" s="1410">
        <f t="shared" si="11"/>
        <v>124.35</v>
      </c>
      <c r="R25" s="1411">
        <f t="shared" si="11"/>
        <v>8.64</v>
      </c>
      <c r="S25" s="1412">
        <f t="shared" si="11"/>
        <v>2.5739999999999998</v>
      </c>
      <c r="T25" s="1412">
        <f t="shared" si="11"/>
        <v>4.3499999999999996</v>
      </c>
      <c r="U25" s="1410">
        <f t="shared" si="11"/>
        <v>2.5499999999999998</v>
      </c>
      <c r="V25" s="1423">
        <f t="shared" si="7"/>
        <v>172.82399999999998</v>
      </c>
    </row>
    <row r="26" spans="1:22" ht="15.75">
      <c r="A26" s="204"/>
      <c r="B26" s="1405"/>
      <c r="C26" s="1415" t="s">
        <v>1866</v>
      </c>
      <c r="D26" s="1416"/>
      <c r="E26" s="1417"/>
      <c r="F26" s="1258">
        <v>0.5</v>
      </c>
      <c r="G26" s="1258">
        <v>0.5</v>
      </c>
      <c r="H26" s="1268">
        <v>0.5</v>
      </c>
      <c r="I26" s="1270">
        <f t="shared" si="3"/>
        <v>0.55000000000000004</v>
      </c>
      <c r="J26" s="1274">
        <v>0.5</v>
      </c>
      <c r="K26" s="1258">
        <v>0.5</v>
      </c>
      <c r="L26" s="1408">
        <v>10</v>
      </c>
      <c r="M26" s="14"/>
      <c r="N26" s="1418"/>
      <c r="O26" s="1419" t="str">
        <f t="shared" si="4"/>
        <v>Pamplemousse (à l'unité)</v>
      </c>
      <c r="P26" s="1420">
        <f t="shared" ref="P26:U26" si="12">F26*P16</f>
        <v>126.5</v>
      </c>
      <c r="Q26" s="1420">
        <f t="shared" si="12"/>
        <v>414.5</v>
      </c>
      <c r="R26" s="1421">
        <f t="shared" si="12"/>
        <v>24</v>
      </c>
      <c r="S26" s="1422">
        <f t="shared" si="12"/>
        <v>7.15</v>
      </c>
      <c r="T26" s="1422">
        <f t="shared" si="12"/>
        <v>14.5</v>
      </c>
      <c r="U26" s="1420">
        <f t="shared" si="12"/>
        <v>8.5</v>
      </c>
      <c r="V26" s="1423">
        <f t="shared" si="7"/>
        <v>595.15</v>
      </c>
    </row>
    <row r="27" spans="1:22" ht="15.75">
      <c r="A27" s="204"/>
      <c r="B27" s="1405"/>
      <c r="C27" s="1415" t="s">
        <v>874</v>
      </c>
      <c r="D27" s="1416"/>
      <c r="E27" s="1417"/>
      <c r="F27" s="1258">
        <v>0.03</v>
      </c>
      <c r="G27" s="1258">
        <v>0.05</v>
      </c>
      <c r="H27" s="1268">
        <v>0.09</v>
      </c>
      <c r="I27" s="1270">
        <f t="shared" si="3"/>
        <v>9.8999999999999991E-2</v>
      </c>
      <c r="J27" s="1274">
        <v>0.06</v>
      </c>
      <c r="K27" s="1258">
        <v>0.06</v>
      </c>
      <c r="L27" s="1408">
        <v>10</v>
      </c>
      <c r="M27" s="14"/>
      <c r="N27" s="1418"/>
      <c r="O27" s="1409" t="str">
        <f t="shared" si="4"/>
        <v>Radis</v>
      </c>
      <c r="P27" s="1410">
        <f t="shared" ref="P27:U27" si="13">F27*P16</f>
        <v>7.59</v>
      </c>
      <c r="Q27" s="1410">
        <f t="shared" si="13"/>
        <v>41.45</v>
      </c>
      <c r="R27" s="1411">
        <f t="shared" si="13"/>
        <v>4.32</v>
      </c>
      <c r="S27" s="1412">
        <f t="shared" si="13"/>
        <v>1.2869999999999999</v>
      </c>
      <c r="T27" s="1412">
        <f t="shared" si="13"/>
        <v>1.74</v>
      </c>
      <c r="U27" s="1410">
        <f t="shared" si="13"/>
        <v>1.02</v>
      </c>
      <c r="V27" s="1423">
        <f t="shared" si="7"/>
        <v>57.407000000000011</v>
      </c>
    </row>
    <row r="28" spans="1:22" ht="15.75">
      <c r="A28" s="204"/>
      <c r="B28" s="1405"/>
      <c r="C28" s="1415" t="s">
        <v>1330</v>
      </c>
      <c r="D28" s="1416"/>
      <c r="E28" s="1417"/>
      <c r="F28" s="1258">
        <v>2.5000000000000001E-2</v>
      </c>
      <c r="G28" s="1258">
        <v>0.03</v>
      </c>
      <c r="H28" s="1268">
        <v>0.05</v>
      </c>
      <c r="I28" s="1270">
        <f t="shared" si="3"/>
        <v>5.5000000000000007E-2</v>
      </c>
      <c r="J28" s="1274">
        <v>0.03</v>
      </c>
      <c r="K28" s="1258">
        <v>0.03</v>
      </c>
      <c r="L28" s="1408">
        <v>10</v>
      </c>
      <c r="M28" s="14"/>
      <c r="N28" s="1418"/>
      <c r="O28" s="1409" t="str">
        <f t="shared" si="4"/>
        <v>Salade verte</v>
      </c>
      <c r="P28" s="1410">
        <f t="shared" ref="P28:U28" si="14">F28*P16</f>
        <v>6.3250000000000002</v>
      </c>
      <c r="Q28" s="1410">
        <f t="shared" si="14"/>
        <v>24.869999999999997</v>
      </c>
      <c r="R28" s="1411">
        <f t="shared" si="14"/>
        <v>2.4000000000000004</v>
      </c>
      <c r="S28" s="1412">
        <f t="shared" si="14"/>
        <v>0.71500000000000008</v>
      </c>
      <c r="T28" s="1412">
        <f t="shared" si="14"/>
        <v>0.87</v>
      </c>
      <c r="U28" s="1410">
        <f t="shared" si="14"/>
        <v>0.51</v>
      </c>
      <c r="V28" s="1423">
        <f t="shared" si="7"/>
        <v>35.69</v>
      </c>
    </row>
    <row r="29" spans="1:22" ht="15.75">
      <c r="A29" s="204"/>
      <c r="B29" s="1405"/>
      <c r="C29" s="1415" t="s">
        <v>936</v>
      </c>
      <c r="D29" s="1416"/>
      <c r="E29" s="1417"/>
      <c r="F29" s="1258">
        <v>0.06</v>
      </c>
      <c r="G29" s="1258">
        <v>0.08</v>
      </c>
      <c r="H29" s="1268">
        <v>0.11</v>
      </c>
      <c r="I29" s="1270">
        <f t="shared" si="3"/>
        <v>0.121</v>
      </c>
      <c r="J29" s="1274">
        <v>0.08</v>
      </c>
      <c r="K29" s="1258">
        <v>0.08</v>
      </c>
      <c r="L29" s="1408">
        <v>10</v>
      </c>
      <c r="M29" s="14"/>
      <c r="N29" s="1418"/>
      <c r="O29" s="1409" t="str">
        <f t="shared" si="4"/>
        <v>Tomate</v>
      </c>
      <c r="P29" s="1410">
        <f t="shared" ref="P29:U29" si="15">F29*P16</f>
        <v>15.18</v>
      </c>
      <c r="Q29" s="1410">
        <f t="shared" si="15"/>
        <v>66.320000000000007</v>
      </c>
      <c r="R29" s="1411">
        <f t="shared" si="15"/>
        <v>5.28</v>
      </c>
      <c r="S29" s="1412">
        <f t="shared" si="15"/>
        <v>1.573</v>
      </c>
      <c r="T29" s="1412">
        <f t="shared" si="15"/>
        <v>2.3199999999999998</v>
      </c>
      <c r="U29" s="1410">
        <f t="shared" si="15"/>
        <v>1.36</v>
      </c>
      <c r="V29" s="1423">
        <f t="shared" si="7"/>
        <v>92.032999999999987</v>
      </c>
    </row>
    <row r="30" spans="1:22" ht="15.75">
      <c r="A30" s="204"/>
      <c r="B30" s="1405"/>
      <c r="C30" s="1415" t="s">
        <v>1331</v>
      </c>
      <c r="D30" s="1416"/>
      <c r="E30" s="1417"/>
      <c r="F30" s="1258">
        <v>0.04</v>
      </c>
      <c r="G30" s="1258">
        <v>0.06</v>
      </c>
      <c r="H30" s="1268">
        <v>0.09</v>
      </c>
      <c r="I30" s="1270">
        <f t="shared" si="3"/>
        <v>9.8999999999999991E-2</v>
      </c>
      <c r="J30" s="1274">
        <v>0.08</v>
      </c>
      <c r="K30" s="1258">
        <v>0.08</v>
      </c>
      <c r="L30" s="1408">
        <v>10</v>
      </c>
      <c r="M30" s="14"/>
      <c r="N30" s="1418"/>
      <c r="O30" s="1409" t="str">
        <f t="shared" si="4"/>
        <v>Salade composée à base de crudités</v>
      </c>
      <c r="P30" s="1410">
        <f t="shared" ref="P30:U30" si="16">F30*P16</f>
        <v>10.120000000000001</v>
      </c>
      <c r="Q30" s="1410">
        <f t="shared" si="16"/>
        <v>49.739999999999995</v>
      </c>
      <c r="R30" s="1411">
        <f t="shared" si="16"/>
        <v>4.32</v>
      </c>
      <c r="S30" s="1412">
        <f t="shared" si="16"/>
        <v>1.2869999999999999</v>
      </c>
      <c r="T30" s="1412">
        <f t="shared" si="16"/>
        <v>2.3199999999999998</v>
      </c>
      <c r="U30" s="1410">
        <f t="shared" si="16"/>
        <v>1.36</v>
      </c>
      <c r="V30" s="1423">
        <f t="shared" si="7"/>
        <v>69.147000000000006</v>
      </c>
    </row>
    <row r="31" spans="1:22" ht="15.75">
      <c r="A31" s="204"/>
      <c r="B31" s="1405"/>
      <c r="C31" s="1415" t="s">
        <v>1332</v>
      </c>
      <c r="D31" s="1416"/>
      <c r="E31" s="1417"/>
      <c r="F31" s="1258">
        <v>0.04</v>
      </c>
      <c r="G31" s="1258">
        <v>0.06</v>
      </c>
      <c r="H31" s="1268">
        <v>0.09</v>
      </c>
      <c r="I31" s="1270">
        <f t="shared" si="3"/>
        <v>9.8999999999999991E-2</v>
      </c>
      <c r="J31" s="1274">
        <v>0.08</v>
      </c>
      <c r="K31" s="1258">
        <v>0.08</v>
      </c>
      <c r="L31" s="1408">
        <v>10</v>
      </c>
      <c r="M31" s="14"/>
      <c r="N31" s="1418"/>
      <c r="O31" s="1409" t="str">
        <f t="shared" si="4"/>
        <v>Champignons crus</v>
      </c>
      <c r="P31" s="1410">
        <f t="shared" ref="P31:U31" si="17">F31*P16</f>
        <v>10.120000000000001</v>
      </c>
      <c r="Q31" s="1410">
        <f t="shared" si="17"/>
        <v>49.739999999999995</v>
      </c>
      <c r="R31" s="1411">
        <f t="shared" si="17"/>
        <v>4.32</v>
      </c>
      <c r="S31" s="1412">
        <f t="shared" si="17"/>
        <v>1.2869999999999999</v>
      </c>
      <c r="T31" s="1412">
        <f t="shared" si="17"/>
        <v>2.3199999999999998</v>
      </c>
      <c r="U31" s="1410">
        <f t="shared" si="17"/>
        <v>1.36</v>
      </c>
      <c r="V31" s="1423">
        <f t="shared" si="7"/>
        <v>69.147000000000006</v>
      </c>
    </row>
    <row r="32" spans="1:22" ht="15.75">
      <c r="A32" s="204"/>
      <c r="B32" s="1405"/>
      <c r="C32" s="1425" t="s">
        <v>890</v>
      </c>
      <c r="D32" s="1426"/>
      <c r="E32" s="1427"/>
      <c r="F32" s="1258">
        <v>0.04</v>
      </c>
      <c r="G32" s="1258">
        <v>0.06</v>
      </c>
      <c r="H32" s="1268">
        <v>0.09</v>
      </c>
      <c r="I32" s="1270">
        <f t="shared" si="3"/>
        <v>9.8999999999999991E-2</v>
      </c>
      <c r="J32" s="1274">
        <v>0.08</v>
      </c>
      <c r="K32" s="1258">
        <v>0.08</v>
      </c>
      <c r="L32" s="1408">
        <v>10</v>
      </c>
      <c r="M32" s="14"/>
      <c r="N32" s="1418"/>
      <c r="O32" s="1409" t="str">
        <f t="shared" si="4"/>
        <v>Fenouil</v>
      </c>
      <c r="P32" s="1410">
        <f t="shared" ref="P32:U32" si="18">F32*P16</f>
        <v>10.120000000000001</v>
      </c>
      <c r="Q32" s="1410">
        <f t="shared" si="18"/>
        <v>49.739999999999995</v>
      </c>
      <c r="R32" s="1411">
        <f t="shared" si="18"/>
        <v>4.32</v>
      </c>
      <c r="S32" s="1412">
        <f t="shared" si="18"/>
        <v>1.2869999999999999</v>
      </c>
      <c r="T32" s="1412">
        <f t="shared" si="18"/>
        <v>2.3199999999999998</v>
      </c>
      <c r="U32" s="1410">
        <f t="shared" si="18"/>
        <v>1.36</v>
      </c>
      <c r="V32" s="1423">
        <f t="shared" si="7"/>
        <v>69.147000000000006</v>
      </c>
    </row>
    <row r="33" spans="1:22" ht="15" customHeight="1">
      <c r="A33" s="204"/>
      <c r="B33" s="1414"/>
      <c r="C33" s="8408" t="s">
        <v>1867</v>
      </c>
      <c r="D33" s="8408"/>
      <c r="E33" s="8408"/>
      <c r="F33" s="8408"/>
      <c r="G33" s="8408"/>
      <c r="H33" s="8408"/>
      <c r="I33" s="8408"/>
      <c r="J33" s="8408"/>
      <c r="K33" s="8408"/>
      <c r="L33" s="8409"/>
      <c r="M33" s="149"/>
      <c r="N33" s="149"/>
      <c r="O33" s="15"/>
      <c r="P33" s="8412" t="str">
        <f>C33</f>
        <v>*- CUIDITES sans assaisonnement</v>
      </c>
      <c r="Q33" s="8413"/>
      <c r="R33" s="8413"/>
      <c r="S33" s="8413"/>
      <c r="T33" s="8413"/>
      <c r="U33" s="8413"/>
      <c r="V33" s="8414"/>
    </row>
    <row r="34" spans="1:22" ht="15" customHeight="1">
      <c r="A34" s="204"/>
      <c r="B34" s="1414"/>
      <c r="C34" s="8410"/>
      <c r="D34" s="8410"/>
      <c r="E34" s="8410"/>
      <c r="F34" s="8410"/>
      <c r="G34" s="8410"/>
      <c r="H34" s="8410"/>
      <c r="I34" s="8410"/>
      <c r="J34" s="8410"/>
      <c r="K34" s="8410"/>
      <c r="L34" s="8411"/>
      <c r="M34" s="149"/>
      <c r="N34" s="149"/>
      <c r="O34" s="15"/>
      <c r="P34" s="8415"/>
      <c r="Q34" s="8416"/>
      <c r="R34" s="8416"/>
      <c r="S34" s="8416"/>
      <c r="T34" s="8416"/>
      <c r="U34" s="8416"/>
      <c r="V34" s="8417"/>
    </row>
    <row r="35" spans="1:22" ht="15.75">
      <c r="A35" s="204"/>
      <c r="B35" s="1405"/>
      <c r="C35" s="1428" t="s">
        <v>1334</v>
      </c>
      <c r="D35" s="1429"/>
      <c r="E35" s="1417"/>
      <c r="F35" s="1258">
        <v>0.125</v>
      </c>
      <c r="G35" s="1258">
        <v>0.16600000000000001</v>
      </c>
      <c r="H35" s="1268">
        <v>0.25</v>
      </c>
      <c r="I35" s="1270">
        <f t="shared" ref="I35:I52" si="19">(H35*L35%)+H35</f>
        <v>0.27500000000000002</v>
      </c>
      <c r="J35" s="1274">
        <v>0.25</v>
      </c>
      <c r="K35" s="1258">
        <v>0.25</v>
      </c>
      <c r="L35" s="1408">
        <v>10</v>
      </c>
      <c r="M35" s="90"/>
      <c r="N35" s="90"/>
      <c r="O35" s="1409" t="str">
        <f t="shared" ref="O35:O49" si="20">C35</f>
        <v>Potage à base de légumes (en litres/Kg)</v>
      </c>
      <c r="P35" s="1410">
        <f t="shared" ref="P35:U35" si="21">F35*P16</f>
        <v>31.625</v>
      </c>
      <c r="Q35" s="1410">
        <f t="shared" si="21"/>
        <v>137.614</v>
      </c>
      <c r="R35" s="1411">
        <f t="shared" si="21"/>
        <v>12</v>
      </c>
      <c r="S35" s="1412">
        <f t="shared" si="21"/>
        <v>3.5750000000000002</v>
      </c>
      <c r="T35" s="1412">
        <f t="shared" si="21"/>
        <v>7.25</v>
      </c>
      <c r="U35" s="1410">
        <f t="shared" si="21"/>
        <v>4.25</v>
      </c>
      <c r="V35" s="1423">
        <f t="shared" ref="V35:V49" si="22">SUM(P35:U35)</f>
        <v>196.31399999999999</v>
      </c>
    </row>
    <row r="36" spans="1:22" ht="15.75">
      <c r="A36" s="204"/>
      <c r="B36" s="1405"/>
      <c r="C36" s="1428" t="s">
        <v>1868</v>
      </c>
      <c r="D36" s="1429"/>
      <c r="E36" s="1417"/>
      <c r="F36" s="1258">
        <v>0.5</v>
      </c>
      <c r="G36" s="1258">
        <v>0.5</v>
      </c>
      <c r="H36" s="1268">
        <v>1</v>
      </c>
      <c r="I36" s="1270">
        <f t="shared" si="19"/>
        <v>1.1000000000000001</v>
      </c>
      <c r="J36" s="1274">
        <v>1</v>
      </c>
      <c r="K36" s="1258">
        <v>1</v>
      </c>
      <c r="L36" s="1408">
        <v>10</v>
      </c>
      <c r="M36" s="90"/>
      <c r="N36" s="90"/>
      <c r="O36" s="1419" t="str">
        <f t="shared" si="20"/>
        <v>Artichaut entier (à l'unité)</v>
      </c>
      <c r="P36" s="1420">
        <f t="shared" ref="P36:U36" si="23">F36*P16</f>
        <v>126.5</v>
      </c>
      <c r="Q36" s="1420">
        <f t="shared" si="23"/>
        <v>414.5</v>
      </c>
      <c r="R36" s="1421">
        <f t="shared" si="23"/>
        <v>48</v>
      </c>
      <c r="S36" s="1422">
        <f t="shared" si="23"/>
        <v>14.3</v>
      </c>
      <c r="T36" s="1422">
        <f t="shared" si="23"/>
        <v>29</v>
      </c>
      <c r="U36" s="1420">
        <f t="shared" si="23"/>
        <v>17</v>
      </c>
      <c r="V36" s="1423">
        <f t="shared" si="22"/>
        <v>649.29999999999995</v>
      </c>
    </row>
    <row r="37" spans="1:22" ht="15.75">
      <c r="A37" s="204"/>
      <c r="B37" s="1405"/>
      <c r="C37" s="1428" t="s">
        <v>1869</v>
      </c>
      <c r="D37" s="1429"/>
      <c r="E37" s="1417"/>
      <c r="F37" s="1258">
        <v>0.05</v>
      </c>
      <c r="G37" s="1258">
        <v>7.0000000000000007E-2</v>
      </c>
      <c r="H37" s="1268">
        <v>0.09</v>
      </c>
      <c r="I37" s="1270">
        <f t="shared" si="19"/>
        <v>9.8999999999999991E-2</v>
      </c>
      <c r="J37" s="1274">
        <v>0.08</v>
      </c>
      <c r="K37" s="1258">
        <v>0.08</v>
      </c>
      <c r="L37" s="1408">
        <v>10</v>
      </c>
      <c r="M37" s="90"/>
      <c r="N37" s="90"/>
      <c r="O37" s="1409" t="str">
        <f t="shared" si="20"/>
        <v>Fond d'artichaut</v>
      </c>
      <c r="P37" s="1410">
        <f t="shared" ref="P37:U37" si="24">F37*P16</f>
        <v>12.65</v>
      </c>
      <c r="Q37" s="1410">
        <f t="shared" si="24"/>
        <v>58.030000000000008</v>
      </c>
      <c r="R37" s="1411">
        <f t="shared" si="24"/>
        <v>4.32</v>
      </c>
      <c r="S37" s="1412">
        <f t="shared" si="24"/>
        <v>1.2869999999999999</v>
      </c>
      <c r="T37" s="1412">
        <f t="shared" si="24"/>
        <v>2.3199999999999998</v>
      </c>
      <c r="U37" s="1410">
        <f t="shared" si="24"/>
        <v>1.36</v>
      </c>
      <c r="V37" s="1423">
        <f t="shared" si="22"/>
        <v>79.966999999999999</v>
      </c>
    </row>
    <row r="38" spans="1:22" ht="15.75">
      <c r="A38" s="204"/>
      <c r="B38" s="1405"/>
      <c r="C38" s="1428" t="s">
        <v>1304</v>
      </c>
      <c r="D38" s="1429"/>
      <c r="E38" s="1417"/>
      <c r="F38" s="1258">
        <v>0.05</v>
      </c>
      <c r="G38" s="1258">
        <v>7.0000000000000007E-2</v>
      </c>
      <c r="H38" s="1268">
        <v>0.09</v>
      </c>
      <c r="I38" s="1270">
        <f t="shared" si="19"/>
        <v>9.8999999999999991E-2</v>
      </c>
      <c r="J38" s="1274">
        <v>0.08</v>
      </c>
      <c r="K38" s="1258">
        <v>0.08</v>
      </c>
      <c r="L38" s="1408">
        <v>10</v>
      </c>
      <c r="M38" s="90"/>
      <c r="N38" s="90"/>
      <c r="O38" s="1409" t="str">
        <f t="shared" si="20"/>
        <v>Asperges</v>
      </c>
      <c r="P38" s="1410">
        <f t="shared" ref="P38:U38" si="25">F38*P16</f>
        <v>12.65</v>
      </c>
      <c r="Q38" s="1410">
        <f t="shared" si="25"/>
        <v>58.030000000000008</v>
      </c>
      <c r="R38" s="1411">
        <f t="shared" si="25"/>
        <v>4.32</v>
      </c>
      <c r="S38" s="1412">
        <f t="shared" si="25"/>
        <v>1.2869999999999999</v>
      </c>
      <c r="T38" s="1412">
        <f t="shared" si="25"/>
        <v>2.3199999999999998</v>
      </c>
      <c r="U38" s="1410">
        <f t="shared" si="25"/>
        <v>1.36</v>
      </c>
      <c r="V38" s="1423">
        <f t="shared" si="22"/>
        <v>79.966999999999999</v>
      </c>
    </row>
    <row r="39" spans="1:22" ht="15.75">
      <c r="A39" s="204"/>
      <c r="B39" s="1405"/>
      <c r="C39" s="1428" t="s">
        <v>1305</v>
      </c>
      <c r="D39" s="1429"/>
      <c r="E39" s="1417"/>
      <c r="F39" s="1258">
        <v>0.05</v>
      </c>
      <c r="G39" s="1258">
        <v>7.0000000000000007E-2</v>
      </c>
      <c r="H39" s="1268">
        <v>0.1</v>
      </c>
      <c r="I39" s="1270">
        <f t="shared" si="19"/>
        <v>0.11000000000000001</v>
      </c>
      <c r="J39" s="1274">
        <v>0.08</v>
      </c>
      <c r="K39" s="1258">
        <v>0.08</v>
      </c>
      <c r="L39" s="1408">
        <v>10</v>
      </c>
      <c r="M39" s="90"/>
      <c r="N39" s="90"/>
      <c r="O39" s="1409" t="str">
        <f t="shared" si="20"/>
        <v>Betteraves</v>
      </c>
      <c r="P39" s="1410">
        <f t="shared" ref="P39:U39" si="26">F39*P16</f>
        <v>12.65</v>
      </c>
      <c r="Q39" s="1410">
        <f t="shared" si="26"/>
        <v>58.030000000000008</v>
      </c>
      <c r="R39" s="1411">
        <f t="shared" si="26"/>
        <v>4.8000000000000007</v>
      </c>
      <c r="S39" s="1412">
        <f t="shared" si="26"/>
        <v>1.4300000000000002</v>
      </c>
      <c r="T39" s="1412">
        <f t="shared" si="26"/>
        <v>2.3199999999999998</v>
      </c>
      <c r="U39" s="1410">
        <f t="shared" si="26"/>
        <v>1.36</v>
      </c>
      <c r="V39" s="1423">
        <f t="shared" si="22"/>
        <v>80.59</v>
      </c>
    </row>
    <row r="40" spans="1:22" ht="15.75">
      <c r="A40" s="204"/>
      <c r="B40" s="1405"/>
      <c r="C40" s="1428" t="s">
        <v>1337</v>
      </c>
      <c r="D40" s="1429"/>
      <c r="E40" s="1417"/>
      <c r="F40" s="1258">
        <v>0.05</v>
      </c>
      <c r="G40" s="1258">
        <v>7.0000000000000007E-2</v>
      </c>
      <c r="H40" s="1268">
        <v>0.1</v>
      </c>
      <c r="I40" s="1270">
        <f t="shared" si="19"/>
        <v>0.11000000000000001</v>
      </c>
      <c r="J40" s="1274">
        <v>0.08</v>
      </c>
      <c r="K40" s="1258">
        <v>0.08</v>
      </c>
      <c r="L40" s="1408">
        <v>10</v>
      </c>
      <c r="M40" s="90"/>
      <c r="N40" s="90"/>
      <c r="O40" s="1409" t="str">
        <f t="shared" si="20"/>
        <v>Céleri</v>
      </c>
      <c r="P40" s="1410">
        <f t="shared" ref="P40:U40" si="27">F40*P16</f>
        <v>12.65</v>
      </c>
      <c r="Q40" s="1410">
        <f t="shared" si="27"/>
        <v>58.030000000000008</v>
      </c>
      <c r="R40" s="1411">
        <f t="shared" si="27"/>
        <v>4.8000000000000007</v>
      </c>
      <c r="S40" s="1412">
        <f t="shared" si="27"/>
        <v>1.4300000000000002</v>
      </c>
      <c r="T40" s="1412">
        <f t="shared" si="27"/>
        <v>2.3199999999999998</v>
      </c>
      <c r="U40" s="1410">
        <f t="shared" si="27"/>
        <v>1.36</v>
      </c>
      <c r="V40" s="1423">
        <f t="shared" si="22"/>
        <v>80.59</v>
      </c>
    </row>
    <row r="41" spans="1:22" ht="15.75">
      <c r="A41" s="204"/>
      <c r="B41" s="1405"/>
      <c r="C41" s="1428" t="s">
        <v>1306</v>
      </c>
      <c r="D41" s="1429"/>
      <c r="E41" s="1417"/>
      <c r="F41" s="1258">
        <v>0.05</v>
      </c>
      <c r="G41" s="1258">
        <v>7.0000000000000007E-2</v>
      </c>
      <c r="H41" s="1268">
        <v>0.11</v>
      </c>
      <c r="I41" s="1270">
        <f t="shared" si="19"/>
        <v>0.121</v>
      </c>
      <c r="J41" s="1274">
        <v>0.08</v>
      </c>
      <c r="K41" s="1258">
        <v>0.08</v>
      </c>
      <c r="L41" s="1408">
        <v>10</v>
      </c>
      <c r="M41" s="90"/>
      <c r="N41" s="90"/>
      <c r="O41" s="1409" t="str">
        <f t="shared" si="20"/>
        <v>Champignons</v>
      </c>
      <c r="P41" s="1410">
        <f t="shared" ref="P41:U41" si="28">F41*P16</f>
        <v>12.65</v>
      </c>
      <c r="Q41" s="1410">
        <f t="shared" si="28"/>
        <v>58.030000000000008</v>
      </c>
      <c r="R41" s="1411">
        <f t="shared" si="28"/>
        <v>5.28</v>
      </c>
      <c r="S41" s="1412">
        <f t="shared" si="28"/>
        <v>1.573</v>
      </c>
      <c r="T41" s="1412">
        <f t="shared" si="28"/>
        <v>2.3199999999999998</v>
      </c>
      <c r="U41" s="1410">
        <f t="shared" si="28"/>
        <v>1.36</v>
      </c>
      <c r="V41" s="1423">
        <f t="shared" si="22"/>
        <v>81.212999999999994</v>
      </c>
    </row>
    <row r="42" spans="1:22" ht="15.75">
      <c r="A42" s="204"/>
      <c r="B42" s="1405"/>
      <c r="C42" s="1428" t="s">
        <v>1338</v>
      </c>
      <c r="D42" s="1429"/>
      <c r="E42" s="1417"/>
      <c r="F42" s="1258">
        <v>0.05</v>
      </c>
      <c r="G42" s="1258">
        <v>7.0000000000000007E-2</v>
      </c>
      <c r="H42" s="1268">
        <v>0.1</v>
      </c>
      <c r="I42" s="1270">
        <f t="shared" si="19"/>
        <v>0.11000000000000001</v>
      </c>
      <c r="J42" s="1274">
        <v>0.08</v>
      </c>
      <c r="K42" s="1258">
        <v>0.08</v>
      </c>
      <c r="L42" s="1408">
        <v>10</v>
      </c>
      <c r="M42" s="90"/>
      <c r="N42" s="90"/>
      <c r="O42" s="1409" t="str">
        <f t="shared" si="20"/>
        <v>Choux fleurs</v>
      </c>
      <c r="P42" s="1410">
        <f t="shared" ref="P42:U42" si="29">F42*P16</f>
        <v>12.65</v>
      </c>
      <c r="Q42" s="1410">
        <f t="shared" si="29"/>
        <v>58.030000000000008</v>
      </c>
      <c r="R42" s="1411">
        <f t="shared" si="29"/>
        <v>4.8000000000000007</v>
      </c>
      <c r="S42" s="1412">
        <f t="shared" si="29"/>
        <v>1.4300000000000002</v>
      </c>
      <c r="T42" s="1412">
        <f t="shared" si="29"/>
        <v>2.3199999999999998</v>
      </c>
      <c r="U42" s="1410">
        <f t="shared" si="29"/>
        <v>1.36</v>
      </c>
      <c r="V42" s="1423">
        <f t="shared" si="22"/>
        <v>80.59</v>
      </c>
    </row>
    <row r="43" spans="1:22" ht="15.75">
      <c r="A43" s="204"/>
      <c r="B43" s="1405"/>
      <c r="C43" s="1428" t="s">
        <v>1339</v>
      </c>
      <c r="D43" s="1429"/>
      <c r="E43" s="1417"/>
      <c r="F43" s="1258">
        <v>0.04</v>
      </c>
      <c r="G43" s="1258">
        <v>0.06</v>
      </c>
      <c r="H43" s="1268">
        <v>0.09</v>
      </c>
      <c r="I43" s="1270">
        <f t="shared" si="19"/>
        <v>9.8999999999999991E-2</v>
      </c>
      <c r="J43" s="1274">
        <v>7.0000000000000007E-2</v>
      </c>
      <c r="K43" s="1258">
        <v>7.0000000000000007E-2</v>
      </c>
      <c r="L43" s="1408">
        <v>10</v>
      </c>
      <c r="M43" s="90"/>
      <c r="N43" s="90"/>
      <c r="O43" s="1409" t="str">
        <f t="shared" si="20"/>
        <v>Cœurs de palmier</v>
      </c>
      <c r="P43" s="1410">
        <f t="shared" ref="P43:U43" si="30">F43*P16</f>
        <v>10.120000000000001</v>
      </c>
      <c r="Q43" s="1410">
        <f t="shared" si="30"/>
        <v>49.739999999999995</v>
      </c>
      <c r="R43" s="1411">
        <f t="shared" si="30"/>
        <v>4.32</v>
      </c>
      <c r="S43" s="1412">
        <f t="shared" si="30"/>
        <v>1.2869999999999999</v>
      </c>
      <c r="T43" s="1412">
        <f t="shared" si="30"/>
        <v>2.0300000000000002</v>
      </c>
      <c r="U43" s="1410">
        <f t="shared" si="30"/>
        <v>1.1900000000000002</v>
      </c>
      <c r="V43" s="1423">
        <f t="shared" si="22"/>
        <v>68.687000000000012</v>
      </c>
    </row>
    <row r="44" spans="1:22" ht="15.75">
      <c r="A44" s="204"/>
      <c r="B44" s="1405"/>
      <c r="C44" s="1428" t="s">
        <v>890</v>
      </c>
      <c r="D44" s="1429"/>
      <c r="E44" s="1417"/>
      <c r="F44" s="1258">
        <v>0.04</v>
      </c>
      <c r="G44" s="1258">
        <v>0.06</v>
      </c>
      <c r="H44" s="1268">
        <v>0.09</v>
      </c>
      <c r="I44" s="1270">
        <f t="shared" si="19"/>
        <v>9.8999999999999991E-2</v>
      </c>
      <c r="J44" s="1274">
        <v>7.0000000000000007E-2</v>
      </c>
      <c r="K44" s="1258">
        <v>7.0000000000000007E-2</v>
      </c>
      <c r="L44" s="1408">
        <v>10</v>
      </c>
      <c r="M44" s="90"/>
      <c r="N44" s="90"/>
      <c r="O44" s="1409" t="str">
        <f t="shared" si="20"/>
        <v>Fenouil</v>
      </c>
      <c r="P44" s="1410">
        <f t="shared" ref="P44:U44" si="31">F44*P16</f>
        <v>10.120000000000001</v>
      </c>
      <c r="Q44" s="1410">
        <f t="shared" si="31"/>
        <v>49.739999999999995</v>
      </c>
      <c r="R44" s="1411">
        <f t="shared" si="31"/>
        <v>4.32</v>
      </c>
      <c r="S44" s="1412">
        <f t="shared" si="31"/>
        <v>1.2869999999999999</v>
      </c>
      <c r="T44" s="1412">
        <f t="shared" si="31"/>
        <v>2.0300000000000002</v>
      </c>
      <c r="U44" s="1410">
        <f t="shared" si="31"/>
        <v>1.1900000000000002</v>
      </c>
      <c r="V44" s="1423">
        <f t="shared" si="22"/>
        <v>68.687000000000012</v>
      </c>
    </row>
    <row r="45" spans="1:22" ht="15.75">
      <c r="A45" s="204"/>
      <c r="B45" s="1405"/>
      <c r="C45" s="1428" t="s">
        <v>1340</v>
      </c>
      <c r="D45" s="1429"/>
      <c r="E45" s="1417"/>
      <c r="F45" s="1258">
        <v>0.05</v>
      </c>
      <c r="G45" s="1258">
        <v>7.0000000000000007E-2</v>
      </c>
      <c r="H45" s="1268">
        <v>0.11</v>
      </c>
      <c r="I45" s="1270">
        <f t="shared" si="19"/>
        <v>0.121</v>
      </c>
      <c r="J45" s="1274">
        <v>0.08</v>
      </c>
      <c r="K45" s="1258">
        <v>0.08</v>
      </c>
      <c r="L45" s="1408">
        <v>10</v>
      </c>
      <c r="M45" s="90"/>
      <c r="N45" s="90"/>
      <c r="O45" s="1409" t="str">
        <f t="shared" si="20"/>
        <v>Haricots verts</v>
      </c>
      <c r="P45" s="1410">
        <f t="shared" ref="P45:U45" si="32">F45*P16</f>
        <v>12.65</v>
      </c>
      <c r="Q45" s="1410">
        <f t="shared" si="32"/>
        <v>58.030000000000008</v>
      </c>
      <c r="R45" s="1411">
        <f t="shared" si="32"/>
        <v>5.28</v>
      </c>
      <c r="S45" s="1412">
        <f t="shared" si="32"/>
        <v>1.573</v>
      </c>
      <c r="T45" s="1412">
        <f t="shared" si="32"/>
        <v>2.3199999999999998</v>
      </c>
      <c r="U45" s="1410">
        <f t="shared" si="32"/>
        <v>1.36</v>
      </c>
      <c r="V45" s="1423">
        <f t="shared" si="22"/>
        <v>81.212999999999994</v>
      </c>
    </row>
    <row r="46" spans="1:22" ht="15.75">
      <c r="A46" s="204"/>
      <c r="B46" s="1405"/>
      <c r="C46" s="1428" t="s">
        <v>1341</v>
      </c>
      <c r="D46" s="1429"/>
      <c r="E46" s="1417"/>
      <c r="F46" s="1258">
        <v>0.05</v>
      </c>
      <c r="G46" s="1258">
        <v>7.0000000000000007E-2</v>
      </c>
      <c r="H46" s="1268">
        <v>0.11</v>
      </c>
      <c r="I46" s="1270">
        <f t="shared" si="19"/>
        <v>0.121</v>
      </c>
      <c r="J46" s="1274">
        <v>0.08</v>
      </c>
      <c r="K46" s="1258">
        <v>0.08</v>
      </c>
      <c r="L46" s="1408">
        <v>10</v>
      </c>
      <c r="M46" s="90"/>
      <c r="N46" s="90"/>
      <c r="O46" s="1409" t="str">
        <f t="shared" si="20"/>
        <v>Poireaux (blancs de poireaux)</v>
      </c>
      <c r="P46" s="1410">
        <f t="shared" ref="P46:U46" si="33">F46*P16</f>
        <v>12.65</v>
      </c>
      <c r="Q46" s="1410">
        <f t="shared" si="33"/>
        <v>58.030000000000008</v>
      </c>
      <c r="R46" s="1411">
        <f t="shared" si="33"/>
        <v>5.28</v>
      </c>
      <c r="S46" s="1412">
        <f t="shared" si="33"/>
        <v>1.573</v>
      </c>
      <c r="T46" s="1412">
        <f t="shared" si="33"/>
        <v>2.3199999999999998</v>
      </c>
      <c r="U46" s="1410">
        <f t="shared" si="33"/>
        <v>1.36</v>
      </c>
      <c r="V46" s="1423">
        <f t="shared" si="22"/>
        <v>81.212999999999994</v>
      </c>
    </row>
    <row r="47" spans="1:22" ht="15.75">
      <c r="A47" s="204"/>
      <c r="B47" s="1405"/>
      <c r="C47" s="1428" t="s">
        <v>1342</v>
      </c>
      <c r="D47" s="1429"/>
      <c r="E47" s="1417"/>
      <c r="F47" s="1258">
        <v>0.05</v>
      </c>
      <c r="G47" s="1258">
        <v>7.0000000000000007E-2</v>
      </c>
      <c r="H47" s="1268">
        <v>0.11</v>
      </c>
      <c r="I47" s="1270">
        <f t="shared" si="19"/>
        <v>0.121</v>
      </c>
      <c r="J47" s="1274">
        <v>0.08</v>
      </c>
      <c r="K47" s="1258">
        <v>0.08</v>
      </c>
      <c r="L47" s="1408">
        <v>10</v>
      </c>
      <c r="M47" s="90"/>
      <c r="N47" s="90"/>
      <c r="O47" s="1409" t="str">
        <f t="shared" si="20"/>
        <v>Salade composée à base de légumes cuits</v>
      </c>
      <c r="P47" s="1410">
        <f t="shared" ref="P47:U47" si="34">F47*P16</f>
        <v>12.65</v>
      </c>
      <c r="Q47" s="1410">
        <f t="shared" si="34"/>
        <v>58.030000000000008</v>
      </c>
      <c r="R47" s="1411">
        <f t="shared" si="34"/>
        <v>5.28</v>
      </c>
      <c r="S47" s="1412">
        <f t="shared" si="34"/>
        <v>1.573</v>
      </c>
      <c r="T47" s="1412">
        <f t="shared" si="34"/>
        <v>2.3199999999999998</v>
      </c>
      <c r="U47" s="1410">
        <f t="shared" si="34"/>
        <v>1.36</v>
      </c>
      <c r="V47" s="1423">
        <f t="shared" si="22"/>
        <v>81.212999999999994</v>
      </c>
    </row>
    <row r="48" spans="1:22" ht="15.75">
      <c r="A48" s="204"/>
      <c r="B48" s="1405"/>
      <c r="C48" s="1428" t="s">
        <v>1343</v>
      </c>
      <c r="D48" s="1429"/>
      <c r="E48" s="1417"/>
      <c r="F48" s="1258">
        <v>0.05</v>
      </c>
      <c r="G48" s="1258">
        <v>7.0000000000000007E-2</v>
      </c>
      <c r="H48" s="1268">
        <v>0.11</v>
      </c>
      <c r="I48" s="1270">
        <f t="shared" si="19"/>
        <v>0.121</v>
      </c>
      <c r="J48" s="1274">
        <v>7.0000000000000007E-2</v>
      </c>
      <c r="K48" s="1258">
        <v>7.0000000000000007E-2</v>
      </c>
      <c r="L48" s="1408">
        <v>10</v>
      </c>
      <c r="M48" s="90"/>
      <c r="N48" s="90"/>
      <c r="O48" s="1409" t="str">
        <f t="shared" si="20"/>
        <v>Soja (germes de haricots mungo)</v>
      </c>
      <c r="P48" s="1410">
        <f t="shared" ref="P48:U48" si="35">F48*P16</f>
        <v>12.65</v>
      </c>
      <c r="Q48" s="1410">
        <f t="shared" si="35"/>
        <v>58.030000000000008</v>
      </c>
      <c r="R48" s="1411">
        <f t="shared" si="35"/>
        <v>5.28</v>
      </c>
      <c r="S48" s="1412">
        <f t="shared" si="35"/>
        <v>1.573</v>
      </c>
      <c r="T48" s="1412">
        <f t="shared" si="35"/>
        <v>2.0300000000000002</v>
      </c>
      <c r="U48" s="1410">
        <f t="shared" si="35"/>
        <v>1.1900000000000002</v>
      </c>
      <c r="V48" s="1423">
        <f t="shared" si="22"/>
        <v>80.753</v>
      </c>
    </row>
    <row r="49" spans="1:22" ht="15.75">
      <c r="A49" s="204"/>
      <c r="B49" s="1405"/>
      <c r="C49" s="1430" t="s">
        <v>1344</v>
      </c>
      <c r="D49" s="1431"/>
      <c r="E49" s="1427"/>
      <c r="F49" s="1258">
        <v>0.03</v>
      </c>
      <c r="G49" s="1258">
        <v>0.03</v>
      </c>
      <c r="H49" s="1268">
        <v>0.04</v>
      </c>
      <c r="I49" s="1270">
        <f t="shared" si="19"/>
        <v>4.3999999999999997E-2</v>
      </c>
      <c r="J49" s="1274">
        <v>0.03</v>
      </c>
      <c r="K49" s="1258">
        <v>0.03</v>
      </c>
      <c r="L49" s="1408">
        <v>10</v>
      </c>
      <c r="M49" s="90"/>
      <c r="N49" s="90"/>
      <c r="O49" s="1409" t="str">
        <f t="shared" si="20"/>
        <v>Terrine de légumes</v>
      </c>
      <c r="P49" s="1410">
        <f t="shared" ref="P49:U49" si="36">F49*P16</f>
        <v>7.59</v>
      </c>
      <c r="Q49" s="1410">
        <f t="shared" si="36"/>
        <v>24.869999999999997</v>
      </c>
      <c r="R49" s="1411">
        <f t="shared" si="36"/>
        <v>1.92</v>
      </c>
      <c r="S49" s="1412">
        <f t="shared" si="36"/>
        <v>0.57199999999999995</v>
      </c>
      <c r="T49" s="1412">
        <f t="shared" si="36"/>
        <v>0.87</v>
      </c>
      <c r="U49" s="1410">
        <f t="shared" si="36"/>
        <v>0.51</v>
      </c>
      <c r="V49" s="1423">
        <f t="shared" si="22"/>
        <v>36.331999999999994</v>
      </c>
    </row>
    <row r="50" spans="1:22" ht="15" customHeight="1">
      <c r="A50" s="204"/>
      <c r="B50" s="1414"/>
      <c r="C50" s="8408" t="s">
        <v>1870</v>
      </c>
      <c r="D50" s="8408"/>
      <c r="E50" s="8408"/>
      <c r="F50" s="8408"/>
      <c r="G50" s="8408"/>
      <c r="H50" s="8408"/>
      <c r="I50" s="8408"/>
      <c r="J50" s="8408"/>
      <c r="K50" s="8408"/>
      <c r="L50" s="8409"/>
      <c r="M50" s="149"/>
      <c r="N50" s="149"/>
      <c r="O50" s="15"/>
      <c r="P50" s="8412" t="str">
        <f>C50</f>
        <v xml:space="preserve">*- ENTRÉES DE FÉCULENT </v>
      </c>
      <c r="Q50" s="8413"/>
      <c r="R50" s="8413"/>
      <c r="S50" s="8413"/>
      <c r="T50" s="8413"/>
      <c r="U50" s="8413"/>
      <c r="V50" s="8414"/>
    </row>
    <row r="51" spans="1:22" ht="15" customHeight="1">
      <c r="A51" s="204"/>
      <c r="B51" s="1414"/>
      <c r="C51" s="8410"/>
      <c r="D51" s="8410"/>
      <c r="E51" s="8410"/>
      <c r="F51" s="8410"/>
      <c r="G51" s="8410"/>
      <c r="H51" s="8410"/>
      <c r="I51" s="8410"/>
      <c r="J51" s="8410"/>
      <c r="K51" s="8410"/>
      <c r="L51" s="8411"/>
      <c r="M51" s="149"/>
      <c r="N51" s="149"/>
      <c r="O51" s="15"/>
      <c r="P51" s="8415"/>
      <c r="Q51" s="8416"/>
      <c r="R51" s="8416"/>
      <c r="S51" s="8416"/>
      <c r="T51" s="8416"/>
      <c r="U51" s="8416"/>
      <c r="V51" s="8417"/>
    </row>
    <row r="52" spans="1:22" ht="15.75">
      <c r="A52" s="204"/>
      <c r="B52" s="1414"/>
      <c r="C52" s="1432" t="s">
        <v>1346</v>
      </c>
      <c r="D52" s="1432"/>
      <c r="E52" s="59"/>
      <c r="F52" s="1433">
        <v>0.06</v>
      </c>
      <c r="G52" s="1433">
        <v>0.08</v>
      </c>
      <c r="H52" s="1434">
        <v>0.13</v>
      </c>
      <c r="I52" s="1270">
        <f t="shared" si="19"/>
        <v>0.14300000000000002</v>
      </c>
      <c r="J52" s="1435">
        <v>0.1</v>
      </c>
      <c r="K52" s="1433">
        <v>0.1</v>
      </c>
      <c r="L52" s="1436">
        <v>10</v>
      </c>
      <c r="M52" s="90"/>
      <c r="N52" s="90"/>
      <c r="O52" s="15"/>
      <c r="P52" s="1410">
        <f t="shared" ref="P52:U52" si="37">F52*P16</f>
        <v>15.18</v>
      </c>
      <c r="Q52" s="1410">
        <f t="shared" si="37"/>
        <v>66.320000000000007</v>
      </c>
      <c r="R52" s="1411">
        <f t="shared" si="37"/>
        <v>6.24</v>
      </c>
      <c r="S52" s="1412">
        <f t="shared" si="37"/>
        <v>1.8590000000000002</v>
      </c>
      <c r="T52" s="1412">
        <f t="shared" si="37"/>
        <v>2.9000000000000004</v>
      </c>
      <c r="U52" s="1410">
        <f t="shared" si="37"/>
        <v>1.7000000000000002</v>
      </c>
      <c r="V52" s="1423">
        <f>SUM(P52:U52)</f>
        <v>94.198999999999998</v>
      </c>
    </row>
    <row r="53" spans="1:22" ht="15" customHeight="1">
      <c r="A53" s="204"/>
      <c r="B53" s="1414"/>
      <c r="C53" s="8408" t="s">
        <v>1871</v>
      </c>
      <c r="D53" s="8408"/>
      <c r="E53" s="8408"/>
      <c r="F53" s="8408"/>
      <c r="G53" s="8408"/>
      <c r="H53" s="8408"/>
      <c r="I53" s="8408"/>
      <c r="J53" s="8408"/>
      <c r="K53" s="8408"/>
      <c r="L53" s="8409"/>
      <c r="M53" s="149"/>
      <c r="N53" s="149"/>
      <c r="O53" s="15"/>
      <c r="P53" s="8412" t="str">
        <f>C53</f>
        <v>*- ENTREES PROTIDIQUES DIVERSES</v>
      </c>
      <c r="Q53" s="8413"/>
      <c r="R53" s="8413"/>
      <c r="S53" s="8413"/>
      <c r="T53" s="8413"/>
      <c r="U53" s="8413"/>
      <c r="V53" s="8414"/>
    </row>
    <row r="54" spans="1:22" ht="15" customHeight="1">
      <c r="A54" s="204"/>
      <c r="B54" s="1414"/>
      <c r="C54" s="8410"/>
      <c r="D54" s="8410"/>
      <c r="E54" s="8410"/>
      <c r="F54" s="8410"/>
      <c r="G54" s="8410"/>
      <c r="H54" s="8410"/>
      <c r="I54" s="8410"/>
      <c r="J54" s="8410"/>
      <c r="K54" s="8410"/>
      <c r="L54" s="8411"/>
      <c r="M54" s="149"/>
      <c r="N54" s="149"/>
      <c r="O54" s="15"/>
      <c r="P54" s="8415"/>
      <c r="Q54" s="8416"/>
      <c r="R54" s="8416"/>
      <c r="S54" s="8416"/>
      <c r="T54" s="8416"/>
      <c r="U54" s="8416"/>
      <c r="V54" s="8417"/>
    </row>
    <row r="55" spans="1:22">
      <c r="A55" s="1437"/>
      <c r="B55" s="1438"/>
      <c r="C55" s="1439" t="s">
        <v>1872</v>
      </c>
      <c r="D55" s="1439"/>
      <c r="E55" s="1440"/>
      <c r="F55" s="1441">
        <v>0.5</v>
      </c>
      <c r="G55" s="1441">
        <v>1</v>
      </c>
      <c r="H55" s="1442">
        <v>1.25</v>
      </c>
      <c r="I55" s="1443">
        <f t="shared" ref="I55:I65" si="38">(H55*L55%)+H55</f>
        <v>1.375</v>
      </c>
      <c r="J55" s="1442">
        <v>1</v>
      </c>
      <c r="K55" s="1441">
        <v>1</v>
      </c>
      <c r="L55" s="1444">
        <v>10</v>
      </c>
      <c r="M55" s="1445"/>
      <c r="N55" s="1445"/>
      <c r="O55" s="1419" t="str">
        <f t="shared" ref="O55:O66" si="39">C55</f>
        <v>Œuf dur (à l'unité)</v>
      </c>
      <c r="P55" s="1420">
        <f t="shared" ref="P55:U55" si="40">F55*P16</f>
        <v>126.5</v>
      </c>
      <c r="Q55" s="1420">
        <f t="shared" si="40"/>
        <v>829</v>
      </c>
      <c r="R55" s="1421">
        <f t="shared" si="40"/>
        <v>60</v>
      </c>
      <c r="S55" s="1422">
        <f t="shared" si="40"/>
        <v>17.875</v>
      </c>
      <c r="T55" s="1422">
        <f t="shared" si="40"/>
        <v>29</v>
      </c>
      <c r="U55" s="1420">
        <f t="shared" si="40"/>
        <v>17</v>
      </c>
      <c r="V55" s="1423">
        <f t="shared" ref="V55:V66" si="41">SUM(P55:U55)</f>
        <v>1079.375</v>
      </c>
    </row>
    <row r="56" spans="1:22" ht="15.75">
      <c r="A56" s="204"/>
      <c r="B56" s="1405"/>
      <c r="C56" s="1429" t="s">
        <v>1349</v>
      </c>
      <c r="D56" s="1429"/>
      <c r="E56" s="1417"/>
      <c r="F56" s="1258">
        <v>0</v>
      </c>
      <c r="G56" s="1258">
        <v>0.04</v>
      </c>
      <c r="H56" s="1268">
        <v>0.05</v>
      </c>
      <c r="I56" s="1270">
        <f t="shared" si="38"/>
        <v>5.5000000000000007E-2</v>
      </c>
      <c r="J56" s="1274">
        <v>0.06</v>
      </c>
      <c r="K56" s="1258">
        <v>0.06</v>
      </c>
      <c r="L56" s="1408">
        <v>10</v>
      </c>
      <c r="M56" s="90"/>
      <c r="N56" s="90"/>
      <c r="O56" s="1409" t="str">
        <f t="shared" si="39"/>
        <v>Hareng/garniture</v>
      </c>
      <c r="P56" s="1410">
        <f t="shared" ref="P56:U56" si="42">F56*P16</f>
        <v>0</v>
      </c>
      <c r="Q56" s="1410">
        <f t="shared" si="42"/>
        <v>33.160000000000004</v>
      </c>
      <c r="R56" s="1411">
        <f t="shared" si="42"/>
        <v>2.4000000000000004</v>
      </c>
      <c r="S56" s="1412">
        <f t="shared" si="42"/>
        <v>0.71500000000000008</v>
      </c>
      <c r="T56" s="1412">
        <f t="shared" si="42"/>
        <v>1.74</v>
      </c>
      <c r="U56" s="1410">
        <f t="shared" si="42"/>
        <v>1.02</v>
      </c>
      <c r="V56" s="1423">
        <f t="shared" si="41"/>
        <v>39.035000000000011</v>
      </c>
    </row>
    <row r="57" spans="1:22" ht="15.75">
      <c r="A57" s="204"/>
      <c r="B57" s="1405"/>
      <c r="C57" s="1429" t="s">
        <v>1350</v>
      </c>
      <c r="D57" s="1429"/>
      <c r="E57" s="1417"/>
      <c r="F57" s="1258">
        <v>0.03</v>
      </c>
      <c r="G57" s="1258">
        <v>0.03</v>
      </c>
      <c r="H57" s="1268">
        <v>4.4999999999999998E-2</v>
      </c>
      <c r="I57" s="1270">
        <f t="shared" si="38"/>
        <v>4.9499999999999995E-2</v>
      </c>
      <c r="J57" s="1274">
        <v>0.05</v>
      </c>
      <c r="K57" s="1258">
        <v>0.05</v>
      </c>
      <c r="L57" s="1408">
        <v>10</v>
      </c>
      <c r="M57" s="90"/>
      <c r="N57" s="90"/>
      <c r="O57" s="1409" t="str">
        <f t="shared" si="39"/>
        <v>Maquereau</v>
      </c>
      <c r="P57" s="1410">
        <f t="shared" ref="P57:U57" si="43">F57*P16</f>
        <v>7.59</v>
      </c>
      <c r="Q57" s="1410">
        <f t="shared" si="43"/>
        <v>24.869999999999997</v>
      </c>
      <c r="R57" s="1411">
        <f t="shared" si="43"/>
        <v>2.16</v>
      </c>
      <c r="S57" s="1412">
        <f t="shared" si="43"/>
        <v>0.64349999999999996</v>
      </c>
      <c r="T57" s="1412">
        <f t="shared" si="43"/>
        <v>1.4500000000000002</v>
      </c>
      <c r="U57" s="1410">
        <f t="shared" si="43"/>
        <v>0.85000000000000009</v>
      </c>
      <c r="V57" s="1423">
        <f t="shared" si="41"/>
        <v>37.563499999999998</v>
      </c>
    </row>
    <row r="58" spans="1:22" ht="15.75">
      <c r="A58" s="204"/>
      <c r="B58" s="1405"/>
      <c r="C58" s="1429" t="s">
        <v>1873</v>
      </c>
      <c r="D58" s="1429"/>
      <c r="E58" s="1417"/>
      <c r="F58" s="1258">
        <v>1</v>
      </c>
      <c r="G58" s="1258">
        <v>1</v>
      </c>
      <c r="H58" s="1268">
        <v>2</v>
      </c>
      <c r="I58" s="1270">
        <f t="shared" si="38"/>
        <v>2.2000000000000002</v>
      </c>
      <c r="J58" s="1274">
        <v>2</v>
      </c>
      <c r="K58" s="1258">
        <v>2</v>
      </c>
      <c r="L58" s="1408">
        <v>10</v>
      </c>
      <c r="M58" s="90"/>
      <c r="N58" s="90"/>
      <c r="O58" s="1419" t="str">
        <f t="shared" si="39"/>
        <v>Sardines (à l'unité) sauf exception mentionnée</v>
      </c>
      <c r="P58" s="1420">
        <f t="shared" ref="P58:U58" si="44">F58*P16</f>
        <v>253</v>
      </c>
      <c r="Q58" s="1420">
        <f t="shared" si="44"/>
        <v>829</v>
      </c>
      <c r="R58" s="1421">
        <f t="shared" si="44"/>
        <v>96</v>
      </c>
      <c r="S58" s="1422">
        <f t="shared" si="44"/>
        <v>28.6</v>
      </c>
      <c r="T58" s="1422">
        <f t="shared" si="44"/>
        <v>58</v>
      </c>
      <c r="U58" s="1420">
        <f t="shared" si="44"/>
        <v>34</v>
      </c>
      <c r="V58" s="1423">
        <f t="shared" si="41"/>
        <v>1298.5999999999999</v>
      </c>
    </row>
    <row r="59" spans="1:22" ht="15.75">
      <c r="A59" s="204"/>
      <c r="B59" s="1405"/>
      <c r="C59" s="1429" t="s">
        <v>1352</v>
      </c>
      <c r="D59" s="1429"/>
      <c r="E59" s="1417"/>
      <c r="F59" s="1258">
        <v>0.03</v>
      </c>
      <c r="G59" s="1258">
        <v>0.03</v>
      </c>
      <c r="H59" s="1268">
        <v>4.4999999999999998E-2</v>
      </c>
      <c r="I59" s="1270">
        <f t="shared" si="38"/>
        <v>4.9499999999999995E-2</v>
      </c>
      <c r="J59" s="1274">
        <v>0.05</v>
      </c>
      <c r="K59" s="1258">
        <v>0.05</v>
      </c>
      <c r="L59" s="1408">
        <v>10</v>
      </c>
      <c r="M59" s="90"/>
      <c r="N59" s="90"/>
      <c r="O59" s="1409" t="str">
        <f t="shared" si="39"/>
        <v>Thon au naturel</v>
      </c>
      <c r="P59" s="1410">
        <f t="shared" ref="P59:U59" si="45">F59*P16</f>
        <v>7.59</v>
      </c>
      <c r="Q59" s="1410">
        <f t="shared" si="45"/>
        <v>24.869999999999997</v>
      </c>
      <c r="R59" s="1411">
        <f t="shared" si="45"/>
        <v>2.16</v>
      </c>
      <c r="S59" s="1412">
        <f t="shared" si="45"/>
        <v>0.64349999999999996</v>
      </c>
      <c r="T59" s="1412">
        <f t="shared" si="45"/>
        <v>1.4500000000000002</v>
      </c>
      <c r="U59" s="1410">
        <f t="shared" si="45"/>
        <v>0.85000000000000009</v>
      </c>
      <c r="V59" s="1423">
        <f t="shared" si="41"/>
        <v>37.563499999999998</v>
      </c>
    </row>
    <row r="60" spans="1:22" ht="15.75">
      <c r="A60" s="204"/>
      <c r="B60" s="1405"/>
      <c r="C60" s="1429" t="s">
        <v>1353</v>
      </c>
      <c r="D60" s="1429"/>
      <c r="E60" s="1417"/>
      <c r="F60" s="1258">
        <v>0.02</v>
      </c>
      <c r="G60" s="1258">
        <v>0.03</v>
      </c>
      <c r="H60" s="1268">
        <v>4.4999999999999998E-2</v>
      </c>
      <c r="I60" s="1270">
        <f t="shared" si="38"/>
        <v>4.9499999999999995E-2</v>
      </c>
      <c r="J60" s="1274">
        <v>0.05</v>
      </c>
      <c r="K60" s="1258">
        <v>0.05</v>
      </c>
      <c r="L60" s="1408">
        <v>10</v>
      </c>
      <c r="M60" s="90"/>
      <c r="N60" s="90"/>
      <c r="O60" s="1409" t="str">
        <f t="shared" si="39"/>
        <v>Jambon cru de pays</v>
      </c>
      <c r="P60" s="1410">
        <f t="shared" ref="P60:U60" si="46">F60*P16</f>
        <v>5.0600000000000005</v>
      </c>
      <c r="Q60" s="1410">
        <f t="shared" si="46"/>
        <v>24.869999999999997</v>
      </c>
      <c r="R60" s="1411">
        <f t="shared" si="46"/>
        <v>2.16</v>
      </c>
      <c r="S60" s="1412">
        <f t="shared" si="46"/>
        <v>0.64349999999999996</v>
      </c>
      <c r="T60" s="1412">
        <f t="shared" si="46"/>
        <v>1.4500000000000002</v>
      </c>
      <c r="U60" s="1410">
        <f t="shared" si="46"/>
        <v>0.85000000000000009</v>
      </c>
      <c r="V60" s="1423">
        <f t="shared" si="41"/>
        <v>35.033500000000011</v>
      </c>
    </row>
    <row r="61" spans="1:22" ht="15.75">
      <c r="A61" s="204"/>
      <c r="B61" s="1405"/>
      <c r="C61" s="1429" t="s">
        <v>1354</v>
      </c>
      <c r="D61" s="1429"/>
      <c r="E61" s="1417"/>
      <c r="F61" s="1258">
        <v>0.03</v>
      </c>
      <c r="G61" s="1258">
        <v>0.4</v>
      </c>
      <c r="H61" s="1268">
        <v>0.05</v>
      </c>
      <c r="I61" s="1270">
        <f t="shared" si="38"/>
        <v>5.5000000000000007E-2</v>
      </c>
      <c r="J61" s="1274">
        <v>0.05</v>
      </c>
      <c r="K61" s="1258">
        <v>0.05</v>
      </c>
      <c r="L61" s="1408">
        <v>10</v>
      </c>
      <c r="M61" s="90"/>
      <c r="N61" s="90"/>
      <c r="O61" s="1409" t="str">
        <f t="shared" si="39"/>
        <v>Jambon blanc</v>
      </c>
      <c r="P61" s="1410">
        <f t="shared" ref="P61:U61" si="47">F61*P16</f>
        <v>7.59</v>
      </c>
      <c r="Q61" s="1410">
        <f t="shared" si="47"/>
        <v>331.6</v>
      </c>
      <c r="R61" s="1411">
        <f t="shared" si="47"/>
        <v>2.4000000000000004</v>
      </c>
      <c r="S61" s="1412">
        <f t="shared" si="47"/>
        <v>0.71500000000000008</v>
      </c>
      <c r="T61" s="1412">
        <f t="shared" si="47"/>
        <v>1.4500000000000002</v>
      </c>
      <c r="U61" s="1410">
        <f t="shared" si="47"/>
        <v>0.85000000000000009</v>
      </c>
      <c r="V61" s="1423">
        <f t="shared" si="41"/>
        <v>344.60499999999996</v>
      </c>
    </row>
    <row r="62" spans="1:22" ht="15.75">
      <c r="A62" s="204"/>
      <c r="B62" s="1405"/>
      <c r="C62" s="1429" t="s">
        <v>1355</v>
      </c>
      <c r="D62" s="1429"/>
      <c r="E62" s="1417"/>
      <c r="F62" s="1258">
        <v>0.03</v>
      </c>
      <c r="G62" s="1258">
        <v>0.03</v>
      </c>
      <c r="H62" s="1268">
        <v>4.4999999999999998E-2</v>
      </c>
      <c r="I62" s="1270">
        <f t="shared" si="38"/>
        <v>4.9499999999999995E-2</v>
      </c>
      <c r="J62" s="1274">
        <v>0.05</v>
      </c>
      <c r="K62" s="1258">
        <v>0.05</v>
      </c>
      <c r="L62" s="1408">
        <v>10</v>
      </c>
      <c r="M62" s="90"/>
      <c r="N62" s="90"/>
      <c r="O62" s="1409" t="str">
        <f t="shared" si="39"/>
        <v>Pâté, terrine , mousse</v>
      </c>
      <c r="P62" s="1410">
        <f t="shared" ref="P62:U62" si="48">F62*P16</f>
        <v>7.59</v>
      </c>
      <c r="Q62" s="1410">
        <f t="shared" si="48"/>
        <v>24.869999999999997</v>
      </c>
      <c r="R62" s="1411">
        <f t="shared" si="48"/>
        <v>2.16</v>
      </c>
      <c r="S62" s="1412">
        <f t="shared" si="48"/>
        <v>0.64349999999999996</v>
      </c>
      <c r="T62" s="1412">
        <f t="shared" si="48"/>
        <v>1.4500000000000002</v>
      </c>
      <c r="U62" s="1410">
        <f t="shared" si="48"/>
        <v>0.85000000000000009</v>
      </c>
      <c r="V62" s="1423">
        <f t="shared" si="41"/>
        <v>37.563499999999998</v>
      </c>
    </row>
    <row r="63" spans="1:22" ht="15.75">
      <c r="A63" s="204"/>
      <c r="B63" s="1405"/>
      <c r="C63" s="1429" t="s">
        <v>1356</v>
      </c>
      <c r="D63" s="1429"/>
      <c r="E63" s="1417"/>
      <c r="F63" s="1258">
        <v>4.4999999999999998E-2</v>
      </c>
      <c r="G63" s="1258">
        <v>4.4999999999999998E-2</v>
      </c>
      <c r="H63" s="1268">
        <v>6.5000000000000002E-2</v>
      </c>
      <c r="I63" s="1270">
        <f t="shared" si="38"/>
        <v>7.1500000000000008E-2</v>
      </c>
      <c r="J63" s="1274">
        <v>0.05</v>
      </c>
      <c r="K63" s="1258">
        <v>0.05</v>
      </c>
      <c r="L63" s="1408">
        <v>10</v>
      </c>
      <c r="M63" s="90"/>
      <c r="N63" s="90"/>
      <c r="O63" s="1409" t="str">
        <f t="shared" si="39"/>
        <v>Pâté en croûte</v>
      </c>
      <c r="P63" s="1410">
        <f t="shared" ref="P63:U63" si="49">F63*P16</f>
        <v>11.385</v>
      </c>
      <c r="Q63" s="1410">
        <f t="shared" si="49"/>
        <v>37.305</v>
      </c>
      <c r="R63" s="1411">
        <f t="shared" si="49"/>
        <v>3.12</v>
      </c>
      <c r="S63" s="1412">
        <f t="shared" si="49"/>
        <v>0.9295000000000001</v>
      </c>
      <c r="T63" s="1412">
        <f t="shared" si="49"/>
        <v>1.4500000000000002</v>
      </c>
      <c r="U63" s="1410">
        <f t="shared" si="49"/>
        <v>0.85000000000000009</v>
      </c>
      <c r="V63" s="1423">
        <f t="shared" si="41"/>
        <v>55.039499999999997</v>
      </c>
    </row>
    <row r="64" spans="1:22" ht="15.75">
      <c r="A64" s="204"/>
      <c r="B64" s="1405"/>
      <c r="C64" s="1429" t="s">
        <v>1357</v>
      </c>
      <c r="D64" s="1429"/>
      <c r="E64" s="1417"/>
      <c r="F64" s="1258">
        <v>0.03</v>
      </c>
      <c r="G64" s="1258">
        <v>0.03</v>
      </c>
      <c r="H64" s="1268">
        <v>4.4999999999999998E-2</v>
      </c>
      <c r="I64" s="1270">
        <f t="shared" si="38"/>
        <v>4.9499999999999995E-2</v>
      </c>
      <c r="J64" s="1274">
        <v>0.05</v>
      </c>
      <c r="K64" s="1258">
        <v>0.05</v>
      </c>
      <c r="L64" s="1408">
        <v>10</v>
      </c>
      <c r="M64" s="90"/>
      <c r="N64" s="90"/>
      <c r="O64" s="1409" t="str">
        <f t="shared" si="39"/>
        <v>Rillettes</v>
      </c>
      <c r="P64" s="1410">
        <f t="shared" ref="P64:U64" si="50">F64*P16</f>
        <v>7.59</v>
      </c>
      <c r="Q64" s="1410">
        <f t="shared" si="50"/>
        <v>24.869999999999997</v>
      </c>
      <c r="R64" s="1411">
        <f t="shared" si="50"/>
        <v>2.16</v>
      </c>
      <c r="S64" s="1412">
        <f t="shared" si="50"/>
        <v>0.64349999999999996</v>
      </c>
      <c r="T64" s="1412">
        <f t="shared" si="50"/>
        <v>1.4500000000000002</v>
      </c>
      <c r="U64" s="1410">
        <f t="shared" si="50"/>
        <v>0.85000000000000009</v>
      </c>
      <c r="V64" s="1423">
        <f t="shared" si="41"/>
        <v>37.563499999999998</v>
      </c>
    </row>
    <row r="65" spans="1:22" ht="15.75">
      <c r="A65" s="204"/>
      <c r="B65" s="1405"/>
      <c r="C65" s="1429" t="s">
        <v>1358</v>
      </c>
      <c r="D65" s="1429"/>
      <c r="E65" s="1417"/>
      <c r="F65" s="1258">
        <v>0.03</v>
      </c>
      <c r="G65" s="1258">
        <v>0.03</v>
      </c>
      <c r="H65" s="1268">
        <v>4.4999999999999998E-2</v>
      </c>
      <c r="I65" s="1270">
        <f t="shared" si="38"/>
        <v>4.9499999999999995E-2</v>
      </c>
      <c r="J65" s="1274">
        <v>0.05</v>
      </c>
      <c r="K65" s="1258">
        <v>0.05</v>
      </c>
      <c r="L65" s="1408">
        <v>10</v>
      </c>
      <c r="M65" s="90"/>
      <c r="N65" s="90"/>
      <c r="O65" s="1409" t="str">
        <f t="shared" si="39"/>
        <v>Salami – Saucisson – Mortadelle</v>
      </c>
      <c r="P65" s="1410">
        <f t="shared" ref="P65:U65" si="51">F65*P16</f>
        <v>7.59</v>
      </c>
      <c r="Q65" s="1410">
        <f t="shared" si="51"/>
        <v>24.869999999999997</v>
      </c>
      <c r="R65" s="1411">
        <f t="shared" si="51"/>
        <v>2.16</v>
      </c>
      <c r="S65" s="1412">
        <f t="shared" si="51"/>
        <v>0.64349999999999996</v>
      </c>
      <c r="T65" s="1412">
        <f t="shared" si="51"/>
        <v>1.4500000000000002</v>
      </c>
      <c r="U65" s="1410">
        <f t="shared" si="51"/>
        <v>0.85000000000000009</v>
      </c>
      <c r="V65" s="1423">
        <f t="shared" si="41"/>
        <v>37.563499999999998</v>
      </c>
    </row>
    <row r="66" spans="1:22">
      <c r="A66" s="204"/>
      <c r="B66" s="1414"/>
      <c r="C66" s="119"/>
      <c r="D66" s="1446"/>
      <c r="E66" s="1447"/>
      <c r="F66" s="1448">
        <v>0</v>
      </c>
      <c r="G66" s="1448">
        <v>0</v>
      </c>
      <c r="H66" s="1448">
        <v>0</v>
      </c>
      <c r="I66" s="1448">
        <v>0</v>
      </c>
      <c r="J66" s="1448">
        <v>0</v>
      </c>
      <c r="K66" s="1448">
        <v>0</v>
      </c>
      <c r="L66" s="1449">
        <v>0</v>
      </c>
      <c r="M66" s="149"/>
      <c r="N66" s="149"/>
      <c r="O66" s="1409">
        <f t="shared" si="39"/>
        <v>0</v>
      </c>
      <c r="P66" s="1410">
        <f t="shared" ref="P66:U66" si="52">F66*P16</f>
        <v>0</v>
      </c>
      <c r="Q66" s="1410">
        <f t="shared" si="52"/>
        <v>0</v>
      </c>
      <c r="R66" s="1411">
        <f t="shared" si="52"/>
        <v>0</v>
      </c>
      <c r="S66" s="1412">
        <f t="shared" si="52"/>
        <v>0</v>
      </c>
      <c r="T66" s="1412">
        <f t="shared" si="52"/>
        <v>0</v>
      </c>
      <c r="U66" s="1410">
        <f t="shared" si="52"/>
        <v>0</v>
      </c>
      <c r="V66" s="1423">
        <f t="shared" si="41"/>
        <v>0</v>
      </c>
    </row>
    <row r="67" spans="1:22" ht="15" customHeight="1">
      <c r="A67" s="204"/>
      <c r="B67" s="1414"/>
      <c r="C67" s="8408" t="s">
        <v>1874</v>
      </c>
      <c r="D67" s="8408"/>
      <c r="E67" s="8408"/>
      <c r="F67" s="8408"/>
      <c r="G67" s="8408"/>
      <c r="H67" s="8408"/>
      <c r="I67" s="8408"/>
      <c r="J67" s="8408"/>
      <c r="K67" s="8408"/>
      <c r="L67" s="8409"/>
      <c r="M67" s="149"/>
      <c r="N67" s="149"/>
      <c r="O67" s="15"/>
      <c r="P67" s="8412" t="str">
        <f>C67</f>
        <v>*- PREPARATIONS PATISSIERES SALEES</v>
      </c>
      <c r="Q67" s="8413"/>
      <c r="R67" s="8413"/>
      <c r="S67" s="8413"/>
      <c r="T67" s="8413"/>
      <c r="U67" s="8413"/>
      <c r="V67" s="8414"/>
    </row>
    <row r="68" spans="1:22" ht="15" customHeight="1">
      <c r="A68" s="204"/>
      <c r="B68" s="1414"/>
      <c r="C68" s="8410"/>
      <c r="D68" s="8410"/>
      <c r="E68" s="8410"/>
      <c r="F68" s="8410"/>
      <c r="G68" s="8410"/>
      <c r="H68" s="8410"/>
      <c r="I68" s="8410"/>
      <c r="J68" s="8410"/>
      <c r="K68" s="8410"/>
      <c r="L68" s="8411"/>
      <c r="M68" s="149"/>
      <c r="N68" s="149"/>
      <c r="O68" s="15"/>
      <c r="P68" s="8415"/>
      <c r="Q68" s="8416"/>
      <c r="R68" s="8416"/>
      <c r="S68" s="8416"/>
      <c r="T68" s="8416"/>
      <c r="U68" s="8416"/>
      <c r="V68" s="8417"/>
    </row>
    <row r="69" spans="1:22" ht="15.75">
      <c r="A69" s="204"/>
      <c r="B69" s="1405"/>
      <c r="C69" s="1429" t="s">
        <v>1360</v>
      </c>
      <c r="D69" s="1429"/>
      <c r="E69" s="1417"/>
      <c r="F69" s="1258">
        <v>0.05</v>
      </c>
      <c r="G69" s="1258">
        <v>0.05</v>
      </c>
      <c r="H69" s="1268">
        <v>0.1</v>
      </c>
      <c r="I69" s="1270">
        <f t="shared" ref="I69:I74" si="53">(H69*L69%)+H69</f>
        <v>0.11000000000000001</v>
      </c>
      <c r="J69" s="1274">
        <v>0.05</v>
      </c>
      <c r="K69" s="1258">
        <v>0.05</v>
      </c>
      <c r="L69" s="1408">
        <v>10</v>
      </c>
      <c r="M69" s="90"/>
      <c r="N69" s="90"/>
      <c r="O69" s="1409" t="str">
        <f t="shared" ref="O69:O74" si="54">C69</f>
        <v>Nems</v>
      </c>
      <c r="P69" s="1410">
        <f t="shared" ref="P69:U69" si="55">F69*P16</f>
        <v>12.65</v>
      </c>
      <c r="Q69" s="1410">
        <f t="shared" si="55"/>
        <v>41.45</v>
      </c>
      <c r="R69" s="1411">
        <f t="shared" si="55"/>
        <v>4.8000000000000007</v>
      </c>
      <c r="S69" s="1412">
        <f t="shared" si="55"/>
        <v>1.4300000000000002</v>
      </c>
      <c r="T69" s="1412">
        <f t="shared" si="55"/>
        <v>1.4500000000000002</v>
      </c>
      <c r="U69" s="1410">
        <f t="shared" si="55"/>
        <v>0.85000000000000009</v>
      </c>
      <c r="V69" s="1423">
        <f t="shared" ref="V69:V74" si="56">SUM(P69:U69)</f>
        <v>62.63000000000001</v>
      </c>
    </row>
    <row r="70" spans="1:22" ht="15.75">
      <c r="A70" s="204"/>
      <c r="B70" s="1405"/>
      <c r="C70" s="1429" t="s">
        <v>1361</v>
      </c>
      <c r="D70" s="1429"/>
      <c r="E70" s="1417"/>
      <c r="F70" s="1258">
        <v>0.05</v>
      </c>
      <c r="G70" s="1258">
        <v>0.05</v>
      </c>
      <c r="H70" s="1268">
        <v>0.1</v>
      </c>
      <c r="I70" s="1270">
        <f t="shared" si="53"/>
        <v>0.11000000000000001</v>
      </c>
      <c r="J70" s="1274">
        <v>0.05</v>
      </c>
      <c r="K70" s="1258">
        <v>0.05</v>
      </c>
      <c r="L70" s="1408">
        <v>10</v>
      </c>
      <c r="M70" s="90"/>
      <c r="N70" s="90"/>
      <c r="O70" s="1409" t="str">
        <f t="shared" si="54"/>
        <v>Crêpes</v>
      </c>
      <c r="P70" s="1410">
        <f t="shared" ref="P70:U70" si="57">F70*P16</f>
        <v>12.65</v>
      </c>
      <c r="Q70" s="1410">
        <f t="shared" si="57"/>
        <v>41.45</v>
      </c>
      <c r="R70" s="1411">
        <f t="shared" si="57"/>
        <v>4.8000000000000007</v>
      </c>
      <c r="S70" s="1412">
        <f t="shared" si="57"/>
        <v>1.4300000000000002</v>
      </c>
      <c r="T70" s="1412">
        <f t="shared" si="57"/>
        <v>1.4500000000000002</v>
      </c>
      <c r="U70" s="1410">
        <f t="shared" si="57"/>
        <v>0.85000000000000009</v>
      </c>
      <c r="V70" s="1423">
        <f t="shared" si="56"/>
        <v>62.63000000000001</v>
      </c>
    </row>
    <row r="71" spans="1:22" ht="15.75">
      <c r="A71" s="204"/>
      <c r="B71" s="1405"/>
      <c r="C71" s="1429" t="s">
        <v>1362</v>
      </c>
      <c r="D71" s="1429"/>
      <c r="E71" s="1417"/>
      <c r="F71" s="1258">
        <v>6.5000000000000002E-2</v>
      </c>
      <c r="G71" s="1258">
        <v>6.5000000000000002E-2</v>
      </c>
      <c r="H71" s="1268">
        <v>0.1</v>
      </c>
      <c r="I71" s="1270">
        <f t="shared" si="53"/>
        <v>0.11000000000000001</v>
      </c>
      <c r="J71" s="1274">
        <v>7.0000000000000007E-2</v>
      </c>
      <c r="K71" s="1258">
        <v>7.0000000000000007E-2</v>
      </c>
      <c r="L71" s="1408">
        <v>10</v>
      </c>
      <c r="M71" s="90"/>
      <c r="N71" s="90"/>
      <c r="O71" s="1409" t="str">
        <f t="shared" si="54"/>
        <v>Friand, feuilleté</v>
      </c>
      <c r="P71" s="1410">
        <f t="shared" ref="P71:U71" si="58">F71*P16</f>
        <v>16.445</v>
      </c>
      <c r="Q71" s="1410">
        <f t="shared" si="58"/>
        <v>53.885000000000005</v>
      </c>
      <c r="R71" s="1411">
        <f t="shared" si="58"/>
        <v>4.8000000000000007</v>
      </c>
      <c r="S71" s="1412">
        <f t="shared" si="58"/>
        <v>1.4300000000000002</v>
      </c>
      <c r="T71" s="1412">
        <f t="shared" si="58"/>
        <v>2.0300000000000002</v>
      </c>
      <c r="U71" s="1410">
        <f t="shared" si="58"/>
        <v>1.1900000000000002</v>
      </c>
      <c r="V71" s="1423">
        <f t="shared" si="56"/>
        <v>79.780000000000015</v>
      </c>
    </row>
    <row r="72" spans="1:22" ht="15.75">
      <c r="A72" s="204"/>
      <c r="B72" s="1405"/>
      <c r="C72" s="1429" t="s">
        <v>1363</v>
      </c>
      <c r="D72" s="1429"/>
      <c r="E72" s="1417"/>
      <c r="F72" s="1258">
        <v>7.0000000000000007E-2</v>
      </c>
      <c r="G72" s="1258">
        <v>7.0000000000000007E-2</v>
      </c>
      <c r="H72" s="1268">
        <v>0.09</v>
      </c>
      <c r="I72" s="1270">
        <f t="shared" si="53"/>
        <v>9.8999999999999991E-2</v>
      </c>
      <c r="J72" s="1274">
        <v>7.0000000000000007E-2</v>
      </c>
      <c r="K72" s="1258">
        <v>7.0000000000000007E-2</v>
      </c>
      <c r="L72" s="1408">
        <v>10</v>
      </c>
      <c r="M72" s="90"/>
      <c r="N72" s="90"/>
      <c r="O72" s="1409" t="str">
        <f t="shared" si="54"/>
        <v>Pizza</v>
      </c>
      <c r="P72" s="1410">
        <f t="shared" ref="P72:U72" si="59">F72*P16</f>
        <v>17.71</v>
      </c>
      <c r="Q72" s="1410">
        <f t="shared" si="59"/>
        <v>58.030000000000008</v>
      </c>
      <c r="R72" s="1411">
        <f t="shared" si="59"/>
        <v>4.32</v>
      </c>
      <c r="S72" s="1412">
        <f t="shared" si="59"/>
        <v>1.2869999999999999</v>
      </c>
      <c r="T72" s="1412">
        <f t="shared" si="59"/>
        <v>2.0300000000000002</v>
      </c>
      <c r="U72" s="1410">
        <f t="shared" si="59"/>
        <v>1.1900000000000002</v>
      </c>
      <c r="V72" s="1423">
        <f t="shared" si="56"/>
        <v>84.567000000000007</v>
      </c>
    </row>
    <row r="73" spans="1:22" ht="15.75">
      <c r="A73" s="204"/>
      <c r="B73" s="1405"/>
      <c r="C73" s="1429" t="s">
        <v>1364</v>
      </c>
      <c r="D73" s="1429"/>
      <c r="E73" s="1417"/>
      <c r="F73" s="1258">
        <v>7.0000000000000007E-2</v>
      </c>
      <c r="G73" s="1258">
        <v>7.0000000000000007E-2</v>
      </c>
      <c r="H73" s="1268">
        <v>0.09</v>
      </c>
      <c r="I73" s="1270">
        <f t="shared" si="53"/>
        <v>9.8999999999999991E-2</v>
      </c>
      <c r="J73" s="1274">
        <v>7.0000000000000007E-2</v>
      </c>
      <c r="K73" s="1258">
        <v>7.0000000000000007E-2</v>
      </c>
      <c r="L73" s="1408">
        <v>10</v>
      </c>
      <c r="M73" s="90"/>
      <c r="N73" s="90"/>
      <c r="O73" s="1409" t="str">
        <f t="shared" si="54"/>
        <v>Tarte salée</v>
      </c>
      <c r="P73" s="1410">
        <f t="shared" ref="P73:U73" si="60">F73*P16</f>
        <v>17.71</v>
      </c>
      <c r="Q73" s="1410">
        <f t="shared" si="60"/>
        <v>58.030000000000008</v>
      </c>
      <c r="R73" s="1411">
        <f t="shared" si="60"/>
        <v>4.32</v>
      </c>
      <c r="S73" s="1412">
        <f t="shared" si="60"/>
        <v>1.2869999999999999</v>
      </c>
      <c r="T73" s="1412">
        <f t="shared" si="60"/>
        <v>2.0300000000000002</v>
      </c>
      <c r="U73" s="1410">
        <f t="shared" si="60"/>
        <v>1.1900000000000002</v>
      </c>
      <c r="V73" s="1423">
        <f t="shared" si="56"/>
        <v>84.567000000000007</v>
      </c>
    </row>
    <row r="74" spans="1:22" ht="15.75">
      <c r="A74" s="204"/>
      <c r="B74" s="1414"/>
      <c r="C74" s="1429" t="s">
        <v>1875</v>
      </c>
      <c r="D74" s="1429"/>
      <c r="E74" s="1417"/>
      <c r="F74" s="1258">
        <v>5.0000000000000001E-3</v>
      </c>
      <c r="G74" s="1258">
        <v>7.0000000000000001E-3</v>
      </c>
      <c r="H74" s="1268">
        <v>8.0000000000000002E-3</v>
      </c>
      <c r="I74" s="1270">
        <f t="shared" si="53"/>
        <v>8.8000000000000005E-3</v>
      </c>
      <c r="J74" s="1274">
        <v>8.0000000000000002E-3</v>
      </c>
      <c r="K74" s="1258">
        <v>8.0000000000000002E-3</v>
      </c>
      <c r="L74" s="1408">
        <v>10</v>
      </c>
      <c r="M74" s="90"/>
      <c r="N74" s="90"/>
      <c r="O74" s="1409" t="str">
        <f t="shared" si="54"/>
        <v>ASSAISONNEMENT HORS D'OEUVRE(poids de la matière grasse)</v>
      </c>
      <c r="P74" s="1410">
        <f t="shared" ref="P74:U74" si="61">F74*P16</f>
        <v>1.2650000000000001</v>
      </c>
      <c r="Q74" s="1410">
        <f t="shared" si="61"/>
        <v>5.8029999999999999</v>
      </c>
      <c r="R74" s="1411">
        <f t="shared" si="61"/>
        <v>0.38400000000000001</v>
      </c>
      <c r="S74" s="1412">
        <f t="shared" si="61"/>
        <v>0.1144</v>
      </c>
      <c r="T74" s="1412">
        <f t="shared" si="61"/>
        <v>0.23200000000000001</v>
      </c>
      <c r="U74" s="1410">
        <f t="shared" si="61"/>
        <v>0.13600000000000001</v>
      </c>
      <c r="V74" s="1423">
        <f t="shared" si="56"/>
        <v>7.9344000000000001</v>
      </c>
    </row>
    <row r="75" spans="1:22" ht="15" customHeight="1">
      <c r="A75" s="204"/>
      <c r="B75" s="1414"/>
      <c r="C75" s="8408" t="s">
        <v>1876</v>
      </c>
      <c r="D75" s="8408"/>
      <c r="E75" s="8408"/>
      <c r="F75" s="8408"/>
      <c r="G75" s="8408"/>
      <c r="H75" s="8408"/>
      <c r="I75" s="8408"/>
      <c r="J75" s="8408"/>
      <c r="K75" s="8408"/>
      <c r="L75" s="8409"/>
      <c r="M75" s="149"/>
      <c r="N75" s="149"/>
      <c r="O75" s="15"/>
      <c r="P75" s="8412" t="str">
        <f>C75</f>
        <v>*- VIANDES SANS SAUCE</v>
      </c>
      <c r="Q75" s="8413"/>
      <c r="R75" s="8413"/>
      <c r="S75" s="8413"/>
      <c r="T75" s="8413"/>
      <c r="U75" s="8413"/>
      <c r="V75" s="8414"/>
    </row>
    <row r="76" spans="1:22" ht="15" customHeight="1">
      <c r="A76" s="204"/>
      <c r="B76" s="1414"/>
      <c r="C76" s="8410"/>
      <c r="D76" s="8410"/>
      <c r="E76" s="8410"/>
      <c r="F76" s="8410"/>
      <c r="G76" s="8410"/>
      <c r="H76" s="8410"/>
      <c r="I76" s="8410"/>
      <c r="J76" s="8410"/>
      <c r="K76" s="8410"/>
      <c r="L76" s="8411"/>
      <c r="M76" s="149"/>
      <c r="N76" s="149"/>
      <c r="O76" s="15"/>
      <c r="P76" s="8415"/>
      <c r="Q76" s="8416"/>
      <c r="R76" s="8416"/>
      <c r="S76" s="8416"/>
      <c r="T76" s="8416"/>
      <c r="U76" s="8416"/>
      <c r="V76" s="8417"/>
    </row>
    <row r="77" spans="1:22" ht="15" customHeight="1">
      <c r="A77" s="204"/>
      <c r="B77" s="1414"/>
      <c r="C77" s="8410" t="s">
        <v>1367</v>
      </c>
      <c r="D77" s="8410"/>
      <c r="E77" s="8410"/>
      <c r="F77" s="8410"/>
      <c r="G77" s="8410"/>
      <c r="H77" s="8410"/>
      <c r="I77" s="8410"/>
      <c r="J77" s="8410"/>
      <c r="K77" s="8410"/>
      <c r="L77" s="8411"/>
      <c r="M77" s="149"/>
      <c r="N77" s="149"/>
      <c r="O77" s="15"/>
      <c r="P77" s="8412" t="str">
        <f>C77</f>
        <v>BŒUF</v>
      </c>
      <c r="Q77" s="8413"/>
      <c r="R77" s="8413"/>
      <c r="S77" s="8413"/>
      <c r="T77" s="8413"/>
      <c r="U77" s="8413"/>
      <c r="V77" s="8414"/>
    </row>
    <row r="78" spans="1:22" ht="15" customHeight="1">
      <c r="A78" s="204"/>
      <c r="B78" s="1414"/>
      <c r="C78" s="8410"/>
      <c r="D78" s="8410"/>
      <c r="E78" s="8410"/>
      <c r="F78" s="8410"/>
      <c r="G78" s="8410"/>
      <c r="H78" s="8410"/>
      <c r="I78" s="8410"/>
      <c r="J78" s="8410"/>
      <c r="K78" s="8410"/>
      <c r="L78" s="8411"/>
      <c r="M78" s="149"/>
      <c r="N78" s="149"/>
      <c r="O78" s="15"/>
      <c r="P78" s="8415"/>
      <c r="Q78" s="8416"/>
      <c r="R78" s="8416"/>
      <c r="S78" s="8416"/>
      <c r="T78" s="8416"/>
      <c r="U78" s="8416"/>
      <c r="V78" s="8417"/>
    </row>
    <row r="79" spans="1:22" ht="15.75">
      <c r="A79" s="204"/>
      <c r="B79" s="1405"/>
      <c r="C79" s="1429" t="s">
        <v>1368</v>
      </c>
      <c r="D79" s="1429"/>
      <c r="E79" s="1417"/>
      <c r="F79" s="1258">
        <v>0.05</v>
      </c>
      <c r="G79" s="1258">
        <v>7.0000000000000007E-2</v>
      </c>
      <c r="H79" s="1268">
        <v>0.11</v>
      </c>
      <c r="I79" s="1270">
        <f t="shared" ref="I79:I85" si="62">(H79*L79%)+H79</f>
        <v>0.121</v>
      </c>
      <c r="J79" s="1274">
        <v>0.1</v>
      </c>
      <c r="K79" s="1258">
        <v>7.0000000000000007E-2</v>
      </c>
      <c r="L79" s="1408">
        <v>10</v>
      </c>
      <c r="M79" s="90"/>
      <c r="N79" s="90"/>
      <c r="O79" s="1409" t="str">
        <f t="shared" ref="O79:O85" si="63">C79</f>
        <v>Bœuf braisé, bœuf sauté, bouilli de bœuf</v>
      </c>
      <c r="P79" s="1410">
        <f t="shared" ref="P79:U79" si="64">F79*P16</f>
        <v>12.65</v>
      </c>
      <c r="Q79" s="1410">
        <f t="shared" si="64"/>
        <v>58.030000000000008</v>
      </c>
      <c r="R79" s="1411">
        <f t="shared" si="64"/>
        <v>5.28</v>
      </c>
      <c r="S79" s="1412">
        <f t="shared" si="64"/>
        <v>1.573</v>
      </c>
      <c r="T79" s="1412">
        <f t="shared" si="64"/>
        <v>2.9000000000000004</v>
      </c>
      <c r="U79" s="1410">
        <f t="shared" si="64"/>
        <v>1.1900000000000002</v>
      </c>
      <c r="V79" s="1423">
        <f t="shared" ref="V79:V85" si="65">SUM(P79:U79)</f>
        <v>81.623000000000005</v>
      </c>
    </row>
    <row r="80" spans="1:22" ht="15.75">
      <c r="A80" s="204"/>
      <c r="B80" s="1405"/>
      <c r="C80" s="1429" t="s">
        <v>1369</v>
      </c>
      <c r="D80" s="1429"/>
      <c r="E80" s="1417"/>
      <c r="F80" s="1258">
        <v>0.04</v>
      </c>
      <c r="G80" s="1258">
        <v>0.06</v>
      </c>
      <c r="H80" s="1268">
        <v>0.09</v>
      </c>
      <c r="I80" s="1270">
        <f t="shared" si="62"/>
        <v>9.8999999999999991E-2</v>
      </c>
      <c r="J80" s="1274">
        <v>0.08</v>
      </c>
      <c r="K80" s="1258">
        <v>0.06</v>
      </c>
      <c r="L80" s="1408">
        <v>10</v>
      </c>
      <c r="M80" s="90"/>
      <c r="N80" s="90"/>
      <c r="O80" s="1409" t="str">
        <f t="shared" si="63"/>
        <v>Rôti de bœuf, steak</v>
      </c>
      <c r="P80" s="1410">
        <f t="shared" ref="P80:U80" si="66">F80*P16</f>
        <v>10.120000000000001</v>
      </c>
      <c r="Q80" s="1410">
        <f t="shared" si="66"/>
        <v>49.739999999999995</v>
      </c>
      <c r="R80" s="1411">
        <f t="shared" si="66"/>
        <v>4.32</v>
      </c>
      <c r="S80" s="1412">
        <f t="shared" si="66"/>
        <v>1.2869999999999999</v>
      </c>
      <c r="T80" s="1412">
        <f t="shared" si="66"/>
        <v>2.3199999999999998</v>
      </c>
      <c r="U80" s="1410">
        <f t="shared" si="66"/>
        <v>1.02</v>
      </c>
      <c r="V80" s="1423">
        <f t="shared" si="65"/>
        <v>68.807000000000002</v>
      </c>
    </row>
    <row r="81" spans="1:22" ht="15.75">
      <c r="A81" s="204"/>
      <c r="B81" s="1405"/>
      <c r="C81" s="1429" t="s">
        <v>1370</v>
      </c>
      <c r="D81" s="1429"/>
      <c r="E81" s="1417"/>
      <c r="F81" s="1258">
        <v>0.05</v>
      </c>
      <c r="G81" s="1258">
        <v>7.0000000000000007E-2</v>
      </c>
      <c r="H81" s="1268">
        <v>0.1</v>
      </c>
      <c r="I81" s="1270">
        <f t="shared" si="62"/>
        <v>0.11000000000000001</v>
      </c>
      <c r="J81" s="1274">
        <v>0.1</v>
      </c>
      <c r="K81" s="1258">
        <v>7.0000000000000007E-2</v>
      </c>
      <c r="L81" s="1408">
        <v>10</v>
      </c>
      <c r="M81" s="90"/>
      <c r="N81" s="90"/>
      <c r="O81" s="1409" t="str">
        <f t="shared" si="63"/>
        <v>Steak haché</v>
      </c>
      <c r="P81" s="1410">
        <f t="shared" ref="P81:U81" si="67">F81*P16</f>
        <v>12.65</v>
      </c>
      <c r="Q81" s="1410">
        <f t="shared" si="67"/>
        <v>58.030000000000008</v>
      </c>
      <c r="R81" s="1411">
        <f t="shared" si="67"/>
        <v>4.8000000000000007</v>
      </c>
      <c r="S81" s="1412">
        <f t="shared" si="67"/>
        <v>1.4300000000000002</v>
      </c>
      <c r="T81" s="1412">
        <f t="shared" si="67"/>
        <v>2.9000000000000004</v>
      </c>
      <c r="U81" s="1410">
        <f t="shared" si="67"/>
        <v>1.1900000000000002</v>
      </c>
      <c r="V81" s="1423">
        <f t="shared" si="65"/>
        <v>81.000000000000014</v>
      </c>
    </row>
    <row r="82" spans="1:22" ht="15.75">
      <c r="A82" s="204"/>
      <c r="B82" s="1405"/>
      <c r="C82" s="1429" t="s">
        <v>1371</v>
      </c>
      <c r="D82" s="1429"/>
      <c r="E82" s="1417"/>
      <c r="F82" s="1258">
        <v>0.05</v>
      </c>
      <c r="G82" s="1258">
        <v>7.0000000000000007E-2</v>
      </c>
      <c r="H82" s="1268">
        <v>0.1</v>
      </c>
      <c r="I82" s="1270">
        <f t="shared" si="62"/>
        <v>0.11000000000000001</v>
      </c>
      <c r="J82" s="1274">
        <v>0.1</v>
      </c>
      <c r="K82" s="1258">
        <v>7.0000000000000007E-2</v>
      </c>
      <c r="L82" s="1408">
        <v>10</v>
      </c>
      <c r="M82" s="90"/>
      <c r="N82" s="90"/>
      <c r="O82" s="1409" t="str">
        <f t="shared" si="63"/>
        <v>Hamburger</v>
      </c>
      <c r="P82" s="1410">
        <f t="shared" ref="P82:U82" si="68">F82*P16</f>
        <v>12.65</v>
      </c>
      <c r="Q82" s="1410">
        <f t="shared" si="68"/>
        <v>58.030000000000008</v>
      </c>
      <c r="R82" s="1411">
        <f t="shared" si="68"/>
        <v>4.8000000000000007</v>
      </c>
      <c r="S82" s="1412">
        <f t="shared" si="68"/>
        <v>1.4300000000000002</v>
      </c>
      <c r="T82" s="1412">
        <f t="shared" si="68"/>
        <v>2.9000000000000004</v>
      </c>
      <c r="U82" s="1410">
        <f t="shared" si="68"/>
        <v>1.1900000000000002</v>
      </c>
      <c r="V82" s="1423">
        <f t="shared" si="65"/>
        <v>81.000000000000014</v>
      </c>
    </row>
    <row r="83" spans="1:22" ht="15.75">
      <c r="A83" s="204"/>
      <c r="B83" s="1405"/>
      <c r="C83" s="1429" t="s">
        <v>1877</v>
      </c>
      <c r="D83" s="1429"/>
      <c r="E83" s="1417"/>
      <c r="F83" s="1258">
        <v>2</v>
      </c>
      <c r="G83" s="1258">
        <v>3</v>
      </c>
      <c r="H83" s="1268">
        <v>4.5</v>
      </c>
      <c r="I83" s="1270">
        <f t="shared" si="62"/>
        <v>4.95</v>
      </c>
      <c r="J83" s="1274">
        <v>4</v>
      </c>
      <c r="K83" s="1258">
        <v>3</v>
      </c>
      <c r="L83" s="1408">
        <v>10</v>
      </c>
      <c r="M83" s="90"/>
      <c r="N83" s="90"/>
      <c r="O83" s="1419" t="str">
        <f t="shared" si="63"/>
        <v>Boulettes de bœuf de 30g pièce crues (à l'unité)</v>
      </c>
      <c r="P83" s="1420">
        <f t="shared" ref="P83:U83" si="69">F83*P16</f>
        <v>506</v>
      </c>
      <c r="Q83" s="1420">
        <f t="shared" si="69"/>
        <v>2487</v>
      </c>
      <c r="R83" s="1421">
        <f t="shared" si="69"/>
        <v>216</v>
      </c>
      <c r="S83" s="1422">
        <f t="shared" si="69"/>
        <v>64.350000000000009</v>
      </c>
      <c r="T83" s="1422">
        <f t="shared" si="69"/>
        <v>116</v>
      </c>
      <c r="U83" s="1420">
        <f t="shared" si="69"/>
        <v>51</v>
      </c>
      <c r="V83" s="1423">
        <f t="shared" si="65"/>
        <v>3440.35</v>
      </c>
    </row>
    <row r="84" spans="1:22" ht="15.75">
      <c r="A84" s="204"/>
      <c r="B84" s="1405"/>
      <c r="C84" s="1429" t="s">
        <v>1878</v>
      </c>
      <c r="D84" s="1429"/>
      <c r="E84" s="1417"/>
      <c r="F84" s="1258">
        <v>0.06</v>
      </c>
      <c r="G84" s="1258">
        <v>0.09</v>
      </c>
      <c r="H84" s="1268">
        <v>0.13500000000000001</v>
      </c>
      <c r="I84" s="1270">
        <f t="shared" si="62"/>
        <v>0.14850000000000002</v>
      </c>
      <c r="J84" s="1274">
        <v>0.12</v>
      </c>
      <c r="K84" s="1258">
        <v>0.09</v>
      </c>
      <c r="L84" s="1408">
        <v>10</v>
      </c>
      <c r="M84" s="90"/>
      <c r="N84" s="90"/>
      <c r="O84" s="1409" t="str">
        <f t="shared" si="63"/>
        <v>Boulettes de bœuf de 30g pièce crues (au poids)</v>
      </c>
      <c r="P84" s="1410">
        <f t="shared" ref="P84:U84" si="70">F84*P16</f>
        <v>15.18</v>
      </c>
      <c r="Q84" s="1410">
        <f t="shared" si="70"/>
        <v>74.61</v>
      </c>
      <c r="R84" s="1411">
        <f t="shared" si="70"/>
        <v>6.48</v>
      </c>
      <c r="S84" s="1412">
        <f t="shared" si="70"/>
        <v>1.9305000000000003</v>
      </c>
      <c r="T84" s="1412">
        <f t="shared" si="70"/>
        <v>3.48</v>
      </c>
      <c r="U84" s="1410">
        <f t="shared" si="70"/>
        <v>1.53</v>
      </c>
      <c r="V84" s="1423">
        <f t="shared" si="65"/>
        <v>103.2105</v>
      </c>
    </row>
    <row r="85" spans="1:22" ht="15.75">
      <c r="A85" s="204"/>
      <c r="B85" s="1405"/>
      <c r="C85" s="1431" t="s">
        <v>1374</v>
      </c>
      <c r="D85" s="1431"/>
      <c r="E85" s="1427"/>
      <c r="F85" s="1258">
        <v>0.05</v>
      </c>
      <c r="G85" s="1258">
        <v>7.0000000000000007E-2</v>
      </c>
      <c r="H85" s="1268">
        <v>0.09</v>
      </c>
      <c r="I85" s="1270">
        <f t="shared" si="62"/>
        <v>9.8999999999999991E-2</v>
      </c>
      <c r="J85" s="1274">
        <v>0.1</v>
      </c>
      <c r="K85" s="1258">
        <v>7.0000000000000007E-2</v>
      </c>
      <c r="L85" s="1408">
        <v>10</v>
      </c>
      <c r="M85" s="90"/>
      <c r="N85" s="90"/>
      <c r="O85" s="1409" t="str">
        <f t="shared" si="63"/>
        <v>Bolognaise viande</v>
      </c>
      <c r="P85" s="1410">
        <f t="shared" ref="P85:U85" si="71">F85*P16</f>
        <v>12.65</v>
      </c>
      <c r="Q85" s="1410">
        <f t="shared" si="71"/>
        <v>58.030000000000008</v>
      </c>
      <c r="R85" s="1411">
        <f t="shared" si="71"/>
        <v>4.32</v>
      </c>
      <c r="S85" s="1412">
        <f t="shared" si="71"/>
        <v>1.2869999999999999</v>
      </c>
      <c r="T85" s="1412">
        <f t="shared" si="71"/>
        <v>2.9000000000000004</v>
      </c>
      <c r="U85" s="1410">
        <f t="shared" si="71"/>
        <v>1.1900000000000002</v>
      </c>
      <c r="V85" s="1423">
        <f t="shared" si="65"/>
        <v>80.37700000000001</v>
      </c>
    </row>
    <row r="86" spans="1:22" ht="15" customHeight="1">
      <c r="A86" s="204"/>
      <c r="B86" s="1414"/>
      <c r="C86" s="8408" t="s">
        <v>1375</v>
      </c>
      <c r="D86" s="8408"/>
      <c r="E86" s="8408"/>
      <c r="F86" s="8408"/>
      <c r="G86" s="8408"/>
      <c r="H86" s="8408"/>
      <c r="I86" s="8408"/>
      <c r="J86" s="8408"/>
      <c r="K86" s="8408"/>
      <c r="L86" s="8409"/>
      <c r="M86" s="149"/>
      <c r="N86" s="149"/>
      <c r="O86" s="15"/>
      <c r="P86" s="8412" t="str">
        <f>C86</f>
        <v>VEAU</v>
      </c>
      <c r="Q86" s="8413"/>
      <c r="R86" s="8413"/>
      <c r="S86" s="8413"/>
      <c r="T86" s="8413"/>
      <c r="U86" s="8413"/>
      <c r="V86" s="8414"/>
    </row>
    <row r="87" spans="1:22" ht="15" customHeight="1">
      <c r="A87" s="204"/>
      <c r="B87" s="1414"/>
      <c r="C87" s="8410"/>
      <c r="D87" s="8410"/>
      <c r="E87" s="8410"/>
      <c r="F87" s="8410"/>
      <c r="G87" s="8410"/>
      <c r="H87" s="8410"/>
      <c r="I87" s="8410"/>
      <c r="J87" s="8410"/>
      <c r="K87" s="8410"/>
      <c r="L87" s="8411"/>
      <c r="M87" s="149"/>
      <c r="N87" s="149"/>
      <c r="O87" s="15"/>
      <c r="P87" s="8415"/>
      <c r="Q87" s="8416"/>
      <c r="R87" s="8416"/>
      <c r="S87" s="8416"/>
      <c r="T87" s="8416"/>
      <c r="U87" s="8416"/>
      <c r="V87" s="8417"/>
    </row>
    <row r="88" spans="1:22" ht="15.75">
      <c r="A88" s="204"/>
      <c r="B88" s="1405"/>
      <c r="C88" s="1429" t="s">
        <v>1376</v>
      </c>
      <c r="D88" s="1429"/>
      <c r="E88" s="1417"/>
      <c r="F88" s="1258">
        <v>0.05</v>
      </c>
      <c r="G88" s="1258">
        <v>7.0000000000000007E-2</v>
      </c>
      <c r="H88" s="1268">
        <v>0.11</v>
      </c>
      <c r="I88" s="1270">
        <f>(H88*L88%)+H88</f>
        <v>0.121</v>
      </c>
      <c r="J88" s="1274">
        <v>0.1</v>
      </c>
      <c r="K88" s="1258">
        <v>7.0000000000000007E-2</v>
      </c>
      <c r="L88" s="1408">
        <v>10</v>
      </c>
      <c r="M88" s="90"/>
      <c r="N88" s="90"/>
      <c r="O88" s="1409" t="str">
        <f>C88</f>
        <v>Sauté de veau ou blanquette (sans os)</v>
      </c>
      <c r="P88" s="1410">
        <f t="shared" ref="P88:U88" si="72">F88*P16</f>
        <v>12.65</v>
      </c>
      <c r="Q88" s="1410">
        <f t="shared" si="72"/>
        <v>58.030000000000008</v>
      </c>
      <c r="R88" s="1411">
        <f t="shared" si="72"/>
        <v>5.28</v>
      </c>
      <c r="S88" s="1412">
        <f t="shared" si="72"/>
        <v>1.573</v>
      </c>
      <c r="T88" s="1412">
        <f t="shared" si="72"/>
        <v>2.9000000000000004</v>
      </c>
      <c r="U88" s="1410">
        <f t="shared" si="72"/>
        <v>1.1900000000000002</v>
      </c>
      <c r="V88" s="1423">
        <f>SUM(P88:U88)</f>
        <v>81.623000000000005</v>
      </c>
    </row>
    <row r="89" spans="1:22" ht="15.75">
      <c r="A89" s="204"/>
      <c r="B89" s="1405"/>
      <c r="C89" s="1429" t="s">
        <v>1377</v>
      </c>
      <c r="D89" s="1429"/>
      <c r="E89" s="1417"/>
      <c r="F89" s="1258">
        <v>0.04</v>
      </c>
      <c r="G89" s="1258">
        <v>0.06</v>
      </c>
      <c r="H89" s="1268">
        <v>0.09</v>
      </c>
      <c r="I89" s="1270">
        <f>(H89*L89%)+H89</f>
        <v>9.8999999999999991E-2</v>
      </c>
      <c r="J89" s="1274">
        <v>0.1</v>
      </c>
      <c r="K89" s="1258">
        <v>7.0000000000000007E-2</v>
      </c>
      <c r="L89" s="1408">
        <v>10</v>
      </c>
      <c r="M89" s="90"/>
      <c r="N89" s="90"/>
      <c r="O89" s="1409" t="str">
        <f>C89</f>
        <v>Escalope de veau, rôti de veau</v>
      </c>
      <c r="P89" s="1410">
        <f t="shared" ref="P89:U89" si="73">F89*P16</f>
        <v>10.120000000000001</v>
      </c>
      <c r="Q89" s="1410">
        <f t="shared" si="73"/>
        <v>49.739999999999995</v>
      </c>
      <c r="R89" s="1411">
        <f t="shared" si="73"/>
        <v>4.32</v>
      </c>
      <c r="S89" s="1412">
        <f t="shared" si="73"/>
        <v>1.2869999999999999</v>
      </c>
      <c r="T89" s="1412">
        <f t="shared" si="73"/>
        <v>2.9000000000000004</v>
      </c>
      <c r="U89" s="1410">
        <f t="shared" si="73"/>
        <v>1.1900000000000002</v>
      </c>
      <c r="V89" s="1423">
        <f>SUM(P89:U89)</f>
        <v>69.557000000000016</v>
      </c>
    </row>
    <row r="90" spans="1:22" ht="15.75">
      <c r="A90" s="204"/>
      <c r="B90" s="1405"/>
      <c r="C90" s="1429" t="s">
        <v>1378</v>
      </c>
      <c r="D90" s="1429"/>
      <c r="E90" s="1417"/>
      <c r="F90" s="1258">
        <v>0.05</v>
      </c>
      <c r="G90" s="1258">
        <v>7.0000000000000007E-2</v>
      </c>
      <c r="H90" s="1268">
        <v>0.09</v>
      </c>
      <c r="I90" s="1270">
        <f>(H90*L90%)+H90</f>
        <v>9.8999999999999991E-2</v>
      </c>
      <c r="J90" s="1274">
        <v>0.1</v>
      </c>
      <c r="K90" s="1258">
        <v>7.0000000000000007E-2</v>
      </c>
      <c r="L90" s="1408">
        <v>10</v>
      </c>
      <c r="M90" s="90"/>
      <c r="N90" s="90"/>
      <c r="O90" s="1409" t="str">
        <f>C90</f>
        <v>Steak haché de veau</v>
      </c>
      <c r="P90" s="1410">
        <f t="shared" ref="P90:U90" si="74">F90*P16</f>
        <v>12.65</v>
      </c>
      <c r="Q90" s="1410">
        <f t="shared" si="74"/>
        <v>58.030000000000008</v>
      </c>
      <c r="R90" s="1411">
        <f t="shared" si="74"/>
        <v>4.32</v>
      </c>
      <c r="S90" s="1412">
        <f t="shared" si="74"/>
        <v>1.2869999999999999</v>
      </c>
      <c r="T90" s="1412">
        <f t="shared" si="74"/>
        <v>2.9000000000000004</v>
      </c>
      <c r="U90" s="1410">
        <f t="shared" si="74"/>
        <v>1.1900000000000002</v>
      </c>
      <c r="V90" s="1423">
        <f>SUM(P90:U90)</f>
        <v>80.37700000000001</v>
      </c>
    </row>
    <row r="91" spans="1:22" ht="15.75">
      <c r="A91" s="204"/>
      <c r="B91" s="1405"/>
      <c r="C91" s="1429" t="s">
        <v>1379</v>
      </c>
      <c r="D91" s="1429"/>
      <c r="E91" s="1417"/>
      <c r="F91" s="1258">
        <v>0.05</v>
      </c>
      <c r="G91" s="1258">
        <v>7.0000000000000007E-2</v>
      </c>
      <c r="H91" s="1268">
        <v>0.09</v>
      </c>
      <c r="I91" s="1270">
        <f>(H91*L91%)+H91</f>
        <v>9.8999999999999991E-2</v>
      </c>
      <c r="J91" s="1274">
        <v>0.08</v>
      </c>
      <c r="K91" s="1258">
        <v>0.06</v>
      </c>
      <c r="L91" s="1408">
        <v>10</v>
      </c>
      <c r="M91" s="90"/>
      <c r="N91" s="90"/>
      <c r="O91" s="1409" t="str">
        <f>C91</f>
        <v>Hamburger veau, Rissolette veau</v>
      </c>
      <c r="P91" s="1410">
        <f t="shared" ref="P91:U91" si="75">F91*P16</f>
        <v>12.65</v>
      </c>
      <c r="Q91" s="1410">
        <f t="shared" si="75"/>
        <v>58.030000000000008</v>
      </c>
      <c r="R91" s="1411">
        <f t="shared" si="75"/>
        <v>4.32</v>
      </c>
      <c r="S91" s="1412">
        <f t="shared" si="75"/>
        <v>1.2869999999999999</v>
      </c>
      <c r="T91" s="1412">
        <f t="shared" si="75"/>
        <v>2.3199999999999998</v>
      </c>
      <c r="U91" s="1410">
        <f t="shared" si="75"/>
        <v>1.02</v>
      </c>
      <c r="V91" s="1423">
        <f>SUM(P91:U91)</f>
        <v>79.626999999999995</v>
      </c>
    </row>
    <row r="92" spans="1:22" ht="15.75">
      <c r="A92" s="204"/>
      <c r="B92" s="1405"/>
      <c r="C92" s="1431" t="s">
        <v>1380</v>
      </c>
      <c r="D92" s="1431"/>
      <c r="E92" s="1427"/>
      <c r="F92" s="1258">
        <v>0.05</v>
      </c>
      <c r="G92" s="1258">
        <v>7.0000000000000007E-2</v>
      </c>
      <c r="H92" s="1268">
        <v>0.11</v>
      </c>
      <c r="I92" s="1270">
        <f>(H92*L92%)+H92</f>
        <v>0.121</v>
      </c>
      <c r="J92" s="1274">
        <v>0.1</v>
      </c>
      <c r="K92" s="1258">
        <v>7.0000000000000007E-2</v>
      </c>
      <c r="L92" s="1408">
        <v>10</v>
      </c>
      <c r="M92" s="90"/>
      <c r="N92" s="90"/>
      <c r="O92" s="1409" t="str">
        <f>C92</f>
        <v>Paupiette de veau</v>
      </c>
      <c r="P92" s="1410">
        <f t="shared" ref="P92:U92" si="76">F92*P16</f>
        <v>12.65</v>
      </c>
      <c r="Q92" s="1410">
        <f t="shared" si="76"/>
        <v>58.030000000000008</v>
      </c>
      <c r="R92" s="1411">
        <f t="shared" si="76"/>
        <v>5.28</v>
      </c>
      <c r="S92" s="1412">
        <f t="shared" si="76"/>
        <v>1.573</v>
      </c>
      <c r="T92" s="1412">
        <f t="shared" si="76"/>
        <v>2.9000000000000004</v>
      </c>
      <c r="U92" s="1410">
        <f t="shared" si="76"/>
        <v>1.1900000000000002</v>
      </c>
      <c r="V92" s="1423">
        <f>SUM(P92:U92)</f>
        <v>81.623000000000005</v>
      </c>
    </row>
    <row r="93" spans="1:22" ht="15" customHeight="1">
      <c r="A93" s="204"/>
      <c r="B93" s="1414"/>
      <c r="C93" s="8408" t="s">
        <v>1381</v>
      </c>
      <c r="D93" s="8408"/>
      <c r="E93" s="8408"/>
      <c r="F93" s="8408"/>
      <c r="G93" s="8408"/>
      <c r="H93" s="8408"/>
      <c r="I93" s="8408"/>
      <c r="J93" s="8408"/>
      <c r="K93" s="8408"/>
      <c r="L93" s="8409"/>
      <c r="M93" s="149"/>
      <c r="N93" s="149"/>
      <c r="O93" s="15"/>
      <c r="P93" s="8412" t="str">
        <f>C93</f>
        <v>AGNEAU-MOUTON</v>
      </c>
      <c r="Q93" s="8413"/>
      <c r="R93" s="8413"/>
      <c r="S93" s="8413"/>
      <c r="T93" s="8413"/>
      <c r="U93" s="8413"/>
      <c r="V93" s="8414"/>
    </row>
    <row r="94" spans="1:22" ht="15" customHeight="1">
      <c r="A94" s="204"/>
      <c r="B94" s="1414"/>
      <c r="C94" s="8410"/>
      <c r="D94" s="8410"/>
      <c r="E94" s="8410"/>
      <c r="F94" s="8410"/>
      <c r="G94" s="8410"/>
      <c r="H94" s="8410"/>
      <c r="I94" s="8410"/>
      <c r="J94" s="8410"/>
      <c r="K94" s="8410"/>
      <c r="L94" s="8411"/>
      <c r="M94" s="149"/>
      <c r="N94" s="149"/>
      <c r="O94" s="15"/>
      <c r="P94" s="8415"/>
      <c r="Q94" s="8416"/>
      <c r="R94" s="8416"/>
      <c r="S94" s="8416"/>
      <c r="T94" s="8416"/>
      <c r="U94" s="8416"/>
      <c r="V94" s="8417"/>
    </row>
    <row r="95" spans="1:22" ht="15.75">
      <c r="A95" s="204"/>
      <c r="B95" s="1405"/>
      <c r="C95" s="1429" t="s">
        <v>1382</v>
      </c>
      <c r="D95" s="1429"/>
      <c r="E95" s="1417"/>
      <c r="F95" s="1258">
        <v>0.04</v>
      </c>
      <c r="G95" s="1258">
        <v>0.06</v>
      </c>
      <c r="H95" s="1268">
        <v>0.09</v>
      </c>
      <c r="I95" s="1270">
        <f t="shared" ref="I95:I101" si="77">(H95*L95%)+H95</f>
        <v>9.8999999999999991E-2</v>
      </c>
      <c r="J95" s="1274">
        <v>0.08</v>
      </c>
      <c r="K95" s="1258">
        <v>0.06</v>
      </c>
      <c r="L95" s="1408">
        <v>10</v>
      </c>
      <c r="M95" s="90"/>
      <c r="N95" s="90"/>
      <c r="O95" s="1409" t="str">
        <f t="shared" ref="O95:O101" si="78">C95</f>
        <v>Gigot</v>
      </c>
      <c r="P95" s="1410">
        <f t="shared" ref="P95:U95" si="79">F95*P16</f>
        <v>10.120000000000001</v>
      </c>
      <c r="Q95" s="1410">
        <f t="shared" si="79"/>
        <v>49.739999999999995</v>
      </c>
      <c r="R95" s="1411">
        <f t="shared" si="79"/>
        <v>4.32</v>
      </c>
      <c r="S95" s="1412">
        <f t="shared" si="79"/>
        <v>1.2869999999999999</v>
      </c>
      <c r="T95" s="1412">
        <f t="shared" si="79"/>
        <v>2.3199999999999998</v>
      </c>
      <c r="U95" s="1410">
        <f t="shared" si="79"/>
        <v>1.02</v>
      </c>
      <c r="V95" s="1423">
        <f t="shared" ref="V95:V101" si="80">SUM(P95:U95)</f>
        <v>68.807000000000002</v>
      </c>
    </row>
    <row r="96" spans="1:22" ht="15.75">
      <c r="A96" s="204"/>
      <c r="B96" s="1405"/>
      <c r="C96" s="1429" t="s">
        <v>1383</v>
      </c>
      <c r="D96" s="1429"/>
      <c r="E96" s="1417"/>
      <c r="F96" s="1258">
        <v>0.05</v>
      </c>
      <c r="G96" s="1258">
        <v>7.0000000000000007E-2</v>
      </c>
      <c r="H96" s="1268">
        <v>0.11</v>
      </c>
      <c r="I96" s="1270">
        <f t="shared" si="77"/>
        <v>0.121</v>
      </c>
      <c r="J96" s="1274">
        <v>0.1</v>
      </c>
      <c r="K96" s="1258">
        <v>7.0000000000000007E-2</v>
      </c>
      <c r="L96" s="1408">
        <v>10</v>
      </c>
      <c r="M96" s="90"/>
      <c r="N96" s="90"/>
      <c r="O96" s="1409" t="str">
        <f t="shared" si="78"/>
        <v>Sauté (sans os)</v>
      </c>
      <c r="P96" s="1410">
        <f t="shared" ref="P96:U96" si="81">F96*P16</f>
        <v>12.65</v>
      </c>
      <c r="Q96" s="1410">
        <f t="shared" si="81"/>
        <v>58.030000000000008</v>
      </c>
      <c r="R96" s="1411">
        <f t="shared" si="81"/>
        <v>5.28</v>
      </c>
      <c r="S96" s="1412">
        <f t="shared" si="81"/>
        <v>1.573</v>
      </c>
      <c r="T96" s="1412">
        <f t="shared" si="81"/>
        <v>2.9000000000000004</v>
      </c>
      <c r="U96" s="1410">
        <f t="shared" si="81"/>
        <v>1.1900000000000002</v>
      </c>
      <c r="V96" s="1423">
        <f t="shared" si="80"/>
        <v>81.623000000000005</v>
      </c>
    </row>
    <row r="97" spans="1:22" ht="15.75">
      <c r="A97" s="204"/>
      <c r="B97" s="1405"/>
      <c r="C97" s="1429" t="s">
        <v>1879</v>
      </c>
      <c r="D97" s="1429"/>
      <c r="E97" s="1417"/>
      <c r="F97" s="1258">
        <v>0</v>
      </c>
      <c r="G97" s="1258">
        <v>0.08</v>
      </c>
      <c r="H97" s="1268">
        <v>0.11</v>
      </c>
      <c r="I97" s="1270">
        <f t="shared" si="77"/>
        <v>0.121</v>
      </c>
      <c r="J97" s="1274">
        <v>0.1</v>
      </c>
      <c r="K97" s="1258">
        <v>7.0000000000000007E-2</v>
      </c>
      <c r="L97" s="1408">
        <v>10</v>
      </c>
      <c r="M97" s="90"/>
      <c r="N97" s="90"/>
      <c r="O97" s="1409" t="str">
        <f t="shared" si="78"/>
        <v>Côte d'agneau avec os</v>
      </c>
      <c r="P97" s="1410">
        <f t="shared" ref="P97:U97" si="82">F97*P16</f>
        <v>0</v>
      </c>
      <c r="Q97" s="1410">
        <f t="shared" si="82"/>
        <v>66.320000000000007</v>
      </c>
      <c r="R97" s="1411">
        <f t="shared" si="82"/>
        <v>5.28</v>
      </c>
      <c r="S97" s="1412">
        <f t="shared" si="82"/>
        <v>1.573</v>
      </c>
      <c r="T97" s="1412">
        <f t="shared" si="82"/>
        <v>2.9000000000000004</v>
      </c>
      <c r="U97" s="1410">
        <f t="shared" si="82"/>
        <v>1.1900000000000002</v>
      </c>
      <c r="V97" s="1423">
        <f t="shared" si="80"/>
        <v>77.263000000000005</v>
      </c>
    </row>
    <row r="98" spans="1:22" ht="15.75">
      <c r="A98" s="204"/>
      <c r="B98" s="1405"/>
      <c r="C98" s="1429" t="s">
        <v>1880</v>
      </c>
      <c r="D98" s="1429"/>
      <c r="E98" s="1417"/>
      <c r="F98" s="1258">
        <v>2</v>
      </c>
      <c r="G98" s="1258">
        <v>3</v>
      </c>
      <c r="H98" s="1268">
        <v>4.5</v>
      </c>
      <c r="I98" s="1270">
        <f t="shared" si="77"/>
        <v>4.95</v>
      </c>
      <c r="J98" s="1274">
        <v>3</v>
      </c>
      <c r="K98" s="1258">
        <v>2</v>
      </c>
      <c r="L98" s="1408">
        <v>10</v>
      </c>
      <c r="M98" s="90"/>
      <c r="N98" s="90"/>
      <c r="O98" s="1419" t="str">
        <f t="shared" si="78"/>
        <v>Boulettes d'agneau-mouton de 30g pièce crues (à l'unité )</v>
      </c>
      <c r="P98" s="1420">
        <f t="shared" ref="P98:U98" si="83">F98*P16</f>
        <v>506</v>
      </c>
      <c r="Q98" s="1420">
        <f t="shared" si="83"/>
        <v>2487</v>
      </c>
      <c r="R98" s="1421">
        <f t="shared" si="83"/>
        <v>216</v>
      </c>
      <c r="S98" s="1422">
        <f t="shared" si="83"/>
        <v>64.350000000000009</v>
      </c>
      <c r="T98" s="1422">
        <f t="shared" si="83"/>
        <v>87</v>
      </c>
      <c r="U98" s="1420">
        <f t="shared" si="83"/>
        <v>34</v>
      </c>
      <c r="V98" s="1423">
        <f t="shared" si="80"/>
        <v>3394.35</v>
      </c>
    </row>
    <row r="99" spans="1:22" ht="15.75">
      <c r="A99" s="204"/>
      <c r="B99" s="1405"/>
      <c r="C99" s="1429" t="s">
        <v>1881</v>
      </c>
      <c r="D99" s="1429"/>
      <c r="E99" s="1417"/>
      <c r="F99" s="1258">
        <v>0.06</v>
      </c>
      <c r="G99" s="1258">
        <v>0.09</v>
      </c>
      <c r="H99" s="1268">
        <v>0.13500000000000001</v>
      </c>
      <c r="I99" s="1270">
        <f t="shared" si="77"/>
        <v>0.14850000000000002</v>
      </c>
      <c r="J99" s="1274">
        <v>0.09</v>
      </c>
      <c r="K99" s="1258">
        <v>0.06</v>
      </c>
      <c r="L99" s="1408">
        <v>10</v>
      </c>
      <c r="M99" s="90"/>
      <c r="N99" s="90"/>
      <c r="O99" s="1409" t="str">
        <f t="shared" si="78"/>
        <v>Boulettes d'agneau-mouton de 30g pièce crues (au Kg )</v>
      </c>
      <c r="P99" s="1410">
        <f t="shared" ref="P99:U99" si="84">F99*P16</f>
        <v>15.18</v>
      </c>
      <c r="Q99" s="1410">
        <f t="shared" si="84"/>
        <v>74.61</v>
      </c>
      <c r="R99" s="1411">
        <f t="shared" si="84"/>
        <v>6.48</v>
      </c>
      <c r="S99" s="1412">
        <f t="shared" si="84"/>
        <v>1.9305000000000003</v>
      </c>
      <c r="T99" s="1412">
        <f t="shared" si="84"/>
        <v>2.61</v>
      </c>
      <c r="U99" s="1410">
        <f t="shared" si="84"/>
        <v>1.02</v>
      </c>
      <c r="V99" s="1423">
        <f t="shared" si="80"/>
        <v>101.83049999999999</v>
      </c>
    </row>
    <row r="100" spans="1:22" ht="15.75">
      <c r="A100" s="204"/>
      <c r="B100" s="1405"/>
      <c r="C100" s="1429" t="s">
        <v>1882</v>
      </c>
      <c r="D100" s="1429"/>
      <c r="E100" s="1417"/>
      <c r="F100" s="1258">
        <v>1</v>
      </c>
      <c r="G100" s="1258">
        <v>2</v>
      </c>
      <c r="H100" s="1268">
        <v>2.5</v>
      </c>
      <c r="I100" s="1270">
        <f t="shared" si="77"/>
        <v>2.75</v>
      </c>
      <c r="J100" s="1274">
        <v>2</v>
      </c>
      <c r="K100" s="1258">
        <v>1.5</v>
      </c>
      <c r="L100" s="1408">
        <v>10</v>
      </c>
      <c r="M100" s="90"/>
      <c r="N100" s="90"/>
      <c r="O100" s="1419" t="str">
        <f t="shared" si="78"/>
        <v>Merguez de 50 g pièce crues (à l'unité)</v>
      </c>
      <c r="P100" s="1420">
        <f t="shared" ref="P100:U100" si="85">F100*P16</f>
        <v>253</v>
      </c>
      <c r="Q100" s="1420">
        <f t="shared" si="85"/>
        <v>1658</v>
      </c>
      <c r="R100" s="1421">
        <f t="shared" si="85"/>
        <v>120</v>
      </c>
      <c r="S100" s="1422">
        <f t="shared" si="85"/>
        <v>35.75</v>
      </c>
      <c r="T100" s="1422">
        <f t="shared" si="85"/>
        <v>58</v>
      </c>
      <c r="U100" s="1420">
        <f t="shared" si="85"/>
        <v>25.5</v>
      </c>
      <c r="V100" s="1423">
        <f t="shared" si="80"/>
        <v>2150.25</v>
      </c>
    </row>
    <row r="101" spans="1:22" ht="15.75">
      <c r="A101" s="204"/>
      <c r="B101" s="1405"/>
      <c r="C101" s="1431" t="s">
        <v>1883</v>
      </c>
      <c r="D101" s="1431"/>
      <c r="E101" s="1427"/>
      <c r="F101" s="1258">
        <v>0.05</v>
      </c>
      <c r="G101" s="1258">
        <v>0.1</v>
      </c>
      <c r="H101" s="1268">
        <v>0.125</v>
      </c>
      <c r="I101" s="1270">
        <f t="shared" si="77"/>
        <v>0.13750000000000001</v>
      </c>
      <c r="J101" s="1274">
        <v>0.1</v>
      </c>
      <c r="K101" s="1258">
        <v>0.75</v>
      </c>
      <c r="L101" s="1408">
        <v>10</v>
      </c>
      <c r="M101" s="90"/>
      <c r="N101" s="90"/>
      <c r="O101" s="1409" t="str">
        <f t="shared" si="78"/>
        <v>Merguez de 50 g pièce crues (au Kg)</v>
      </c>
      <c r="P101" s="1410">
        <f t="shared" ref="P101:U101" si="86">F101*P16</f>
        <v>12.65</v>
      </c>
      <c r="Q101" s="1410">
        <f t="shared" si="86"/>
        <v>82.9</v>
      </c>
      <c r="R101" s="1411">
        <f t="shared" si="86"/>
        <v>6</v>
      </c>
      <c r="S101" s="1412">
        <f t="shared" si="86"/>
        <v>1.7875000000000001</v>
      </c>
      <c r="T101" s="1412">
        <f t="shared" si="86"/>
        <v>2.9000000000000004</v>
      </c>
      <c r="U101" s="1410">
        <f t="shared" si="86"/>
        <v>12.75</v>
      </c>
      <c r="V101" s="1423">
        <f t="shared" si="80"/>
        <v>118.98750000000001</v>
      </c>
    </row>
    <row r="102" spans="1:22" ht="15" customHeight="1">
      <c r="A102" s="204"/>
      <c r="B102" s="1414"/>
      <c r="C102" s="8408" t="s">
        <v>1389</v>
      </c>
      <c r="D102" s="8408"/>
      <c r="E102" s="8408"/>
      <c r="F102" s="8408"/>
      <c r="G102" s="8408"/>
      <c r="H102" s="8408"/>
      <c r="I102" s="8408"/>
      <c r="J102" s="8408"/>
      <c r="K102" s="8408"/>
      <c r="L102" s="8409"/>
      <c r="M102" s="149"/>
      <c r="N102" s="149"/>
      <c r="O102" s="15"/>
      <c r="P102" s="8412" t="str">
        <f>C102</f>
        <v>PORC</v>
      </c>
      <c r="Q102" s="8413"/>
      <c r="R102" s="8413"/>
      <c r="S102" s="8413"/>
      <c r="T102" s="8413"/>
      <c r="U102" s="8413"/>
      <c r="V102" s="8414"/>
    </row>
    <row r="103" spans="1:22" ht="15" customHeight="1">
      <c r="A103" s="204"/>
      <c r="B103" s="1414"/>
      <c r="C103" s="8410"/>
      <c r="D103" s="8410"/>
      <c r="E103" s="8410"/>
      <c r="F103" s="8410"/>
      <c r="G103" s="8410"/>
      <c r="H103" s="8410"/>
      <c r="I103" s="8410"/>
      <c r="J103" s="8410"/>
      <c r="K103" s="8410"/>
      <c r="L103" s="8411"/>
      <c r="M103" s="149"/>
      <c r="N103" s="149"/>
      <c r="O103" s="15"/>
      <c r="P103" s="8415"/>
      <c r="Q103" s="8416"/>
      <c r="R103" s="8416"/>
      <c r="S103" s="8416"/>
      <c r="T103" s="8416"/>
      <c r="U103" s="8416"/>
      <c r="V103" s="8417"/>
    </row>
    <row r="104" spans="1:22" ht="15.75">
      <c r="A104" s="204"/>
      <c r="B104" s="1405"/>
      <c r="C104" s="1429" t="s">
        <v>1390</v>
      </c>
      <c r="D104" s="1429"/>
      <c r="E104" s="1417"/>
      <c r="F104" s="1258">
        <v>0.04</v>
      </c>
      <c r="G104" s="1258">
        <v>0.06</v>
      </c>
      <c r="H104" s="1268">
        <v>0.09</v>
      </c>
      <c r="I104" s="1270">
        <f t="shared" ref="I104:I113" si="87">(H104*L104%)+H104</f>
        <v>9.8999999999999991E-2</v>
      </c>
      <c r="J104" s="1274">
        <v>0.1</v>
      </c>
      <c r="K104" s="1258">
        <v>7.0000000000000007E-2</v>
      </c>
      <c r="L104" s="1408">
        <v>10</v>
      </c>
      <c r="M104" s="90"/>
      <c r="N104" s="90"/>
      <c r="O104" s="1409" t="str">
        <f t="shared" ref="O104:O113" si="88">C104</f>
        <v>Rôti de porc, grillade (sans os)</v>
      </c>
      <c r="P104" s="1410">
        <f t="shared" ref="P104:U104" si="89">F104*P16</f>
        <v>10.120000000000001</v>
      </c>
      <c r="Q104" s="1410">
        <f t="shared" si="89"/>
        <v>49.739999999999995</v>
      </c>
      <c r="R104" s="1411">
        <f t="shared" si="89"/>
        <v>4.32</v>
      </c>
      <c r="S104" s="1412">
        <f t="shared" si="89"/>
        <v>1.2869999999999999</v>
      </c>
      <c r="T104" s="1412">
        <f t="shared" si="89"/>
        <v>2.9000000000000004</v>
      </c>
      <c r="U104" s="1410">
        <f t="shared" si="89"/>
        <v>1.1900000000000002</v>
      </c>
      <c r="V104" s="1423">
        <f t="shared" ref="V104:V113" si="90">SUM(P104:U104)</f>
        <v>69.557000000000016</v>
      </c>
    </row>
    <row r="105" spans="1:22" ht="15.75">
      <c r="A105" s="204"/>
      <c r="B105" s="1405"/>
      <c r="C105" s="1429" t="s">
        <v>1383</v>
      </c>
      <c r="D105" s="1429"/>
      <c r="E105" s="1417"/>
      <c r="F105" s="1258">
        <v>0.05</v>
      </c>
      <c r="G105" s="1258">
        <v>7.0000000000000007E-2</v>
      </c>
      <c r="H105" s="1268">
        <v>0.11</v>
      </c>
      <c r="I105" s="1270">
        <f t="shared" si="87"/>
        <v>0.121</v>
      </c>
      <c r="J105" s="1274">
        <v>0.1</v>
      </c>
      <c r="K105" s="1258">
        <v>7.0000000000000007E-2</v>
      </c>
      <c r="L105" s="1408">
        <v>10</v>
      </c>
      <c r="M105" s="90"/>
      <c r="N105" s="90"/>
      <c r="O105" s="1409" t="str">
        <f t="shared" si="88"/>
        <v>Sauté (sans os)</v>
      </c>
      <c r="P105" s="1410">
        <f t="shared" ref="P105:U105" si="91">F105*P16</f>
        <v>12.65</v>
      </c>
      <c r="Q105" s="1410">
        <f t="shared" si="91"/>
        <v>58.030000000000008</v>
      </c>
      <c r="R105" s="1411">
        <f t="shared" si="91"/>
        <v>5.28</v>
      </c>
      <c r="S105" s="1412">
        <f t="shared" si="91"/>
        <v>1.573</v>
      </c>
      <c r="T105" s="1412">
        <f t="shared" si="91"/>
        <v>2.9000000000000004</v>
      </c>
      <c r="U105" s="1410">
        <f t="shared" si="91"/>
        <v>1.1900000000000002</v>
      </c>
      <c r="V105" s="1423">
        <f t="shared" si="90"/>
        <v>81.623000000000005</v>
      </c>
    </row>
    <row r="106" spans="1:22" ht="15.75">
      <c r="A106" s="204"/>
      <c r="B106" s="1405"/>
      <c r="C106" s="1429" t="s">
        <v>1391</v>
      </c>
      <c r="D106" s="1429"/>
      <c r="E106" s="1417"/>
      <c r="F106" s="1258">
        <v>0</v>
      </c>
      <c r="G106" s="1258">
        <v>0.08</v>
      </c>
      <c r="H106" s="1268">
        <v>0.11</v>
      </c>
      <c r="I106" s="1270">
        <f t="shared" si="87"/>
        <v>0.121</v>
      </c>
      <c r="J106" s="1274">
        <v>0.1</v>
      </c>
      <c r="K106" s="1258">
        <v>7.0000000000000007E-2</v>
      </c>
      <c r="L106" s="1408">
        <v>10</v>
      </c>
      <c r="M106" s="90"/>
      <c r="N106" s="90"/>
      <c r="O106" s="1409" t="str">
        <f t="shared" si="88"/>
        <v>Côte de porc</v>
      </c>
      <c r="P106" s="1410">
        <f t="shared" ref="P106:U106" si="92">F106*P16</f>
        <v>0</v>
      </c>
      <c r="Q106" s="1410">
        <f t="shared" si="92"/>
        <v>66.320000000000007</v>
      </c>
      <c r="R106" s="1411">
        <f t="shared" si="92"/>
        <v>5.28</v>
      </c>
      <c r="S106" s="1412">
        <f t="shared" si="92"/>
        <v>1.573</v>
      </c>
      <c r="T106" s="1412">
        <f t="shared" si="92"/>
        <v>2.9000000000000004</v>
      </c>
      <c r="U106" s="1410">
        <f t="shared" si="92"/>
        <v>1.1900000000000002</v>
      </c>
      <c r="V106" s="1423">
        <f t="shared" si="90"/>
        <v>77.263000000000005</v>
      </c>
    </row>
    <row r="107" spans="1:22" ht="15.75">
      <c r="A107" s="204"/>
      <c r="B107" s="1405"/>
      <c r="C107" s="1429" t="s">
        <v>1392</v>
      </c>
      <c r="D107" s="1429"/>
      <c r="E107" s="1417"/>
      <c r="F107" s="1258">
        <v>0.04</v>
      </c>
      <c r="G107" s="1258">
        <v>0.06</v>
      </c>
      <c r="H107" s="1268">
        <v>0.09</v>
      </c>
      <c r="I107" s="1270">
        <f t="shared" si="87"/>
        <v>9.8999999999999991E-2</v>
      </c>
      <c r="J107" s="1274">
        <v>0.08</v>
      </c>
      <c r="K107" s="1258">
        <v>7.0000000000000007E-2</v>
      </c>
      <c r="L107" s="1408">
        <v>10</v>
      </c>
      <c r="M107" s="90"/>
      <c r="N107" s="90"/>
      <c r="O107" s="1409" t="str">
        <f t="shared" si="88"/>
        <v>Jambon DD, palette de porc</v>
      </c>
      <c r="P107" s="1410">
        <f t="shared" ref="P107:U107" si="93">F107*P16</f>
        <v>10.120000000000001</v>
      </c>
      <c r="Q107" s="1410">
        <f t="shared" si="93"/>
        <v>49.739999999999995</v>
      </c>
      <c r="R107" s="1411">
        <f t="shared" si="93"/>
        <v>4.32</v>
      </c>
      <c r="S107" s="1412">
        <f t="shared" si="93"/>
        <v>1.2869999999999999</v>
      </c>
      <c r="T107" s="1412">
        <f t="shared" si="93"/>
        <v>2.3199999999999998</v>
      </c>
      <c r="U107" s="1410">
        <f t="shared" si="93"/>
        <v>1.1900000000000002</v>
      </c>
      <c r="V107" s="1423">
        <f t="shared" si="90"/>
        <v>68.977000000000004</v>
      </c>
    </row>
    <row r="108" spans="1:22" ht="15.75">
      <c r="A108" s="204"/>
      <c r="B108" s="1405"/>
      <c r="C108" s="1429" t="s">
        <v>1393</v>
      </c>
      <c r="D108" s="1429"/>
      <c r="E108" s="1417"/>
      <c r="F108" s="1258">
        <v>0.05</v>
      </c>
      <c r="G108" s="1258">
        <v>7.0000000000000007E-2</v>
      </c>
      <c r="H108" s="1268">
        <v>0.11</v>
      </c>
      <c r="I108" s="1270">
        <f t="shared" si="87"/>
        <v>0.121</v>
      </c>
      <c r="J108" s="1274">
        <v>0.1</v>
      </c>
      <c r="K108" s="1258">
        <v>7.0000000000000007E-2</v>
      </c>
      <c r="L108" s="1408">
        <v>10</v>
      </c>
      <c r="M108" s="90"/>
      <c r="N108" s="90"/>
      <c r="O108" s="1409" t="str">
        <f t="shared" si="88"/>
        <v>Andouillettes</v>
      </c>
      <c r="P108" s="1410">
        <f t="shared" ref="P108:U108" si="94">F108*P16</f>
        <v>12.65</v>
      </c>
      <c r="Q108" s="1410">
        <f t="shared" si="94"/>
        <v>58.030000000000008</v>
      </c>
      <c r="R108" s="1411">
        <f t="shared" si="94"/>
        <v>5.28</v>
      </c>
      <c r="S108" s="1412">
        <f t="shared" si="94"/>
        <v>1.573</v>
      </c>
      <c r="T108" s="1412">
        <f t="shared" si="94"/>
        <v>2.9000000000000004</v>
      </c>
      <c r="U108" s="1410">
        <f t="shared" si="94"/>
        <v>1.1900000000000002</v>
      </c>
      <c r="V108" s="1423">
        <f t="shared" si="90"/>
        <v>81.623000000000005</v>
      </c>
    </row>
    <row r="109" spans="1:22" ht="15.75">
      <c r="A109" s="204"/>
      <c r="B109" s="1405"/>
      <c r="C109" s="1429" t="s">
        <v>1884</v>
      </c>
      <c r="D109" s="1429"/>
      <c r="E109" s="1417"/>
      <c r="F109" s="1258">
        <v>1</v>
      </c>
      <c r="G109" s="1258">
        <v>2</v>
      </c>
      <c r="H109" s="1268">
        <v>2.5</v>
      </c>
      <c r="I109" s="1270">
        <f t="shared" si="87"/>
        <v>2.75</v>
      </c>
      <c r="J109" s="1274">
        <v>2</v>
      </c>
      <c r="K109" s="1258">
        <v>1.5</v>
      </c>
      <c r="L109" s="1408">
        <v>10</v>
      </c>
      <c r="M109" s="90"/>
      <c r="N109" s="90"/>
      <c r="O109" s="1419" t="str">
        <f t="shared" si="88"/>
        <v>Saucisse chipolatas de 50 g pièce crue ( à l'unité)</v>
      </c>
      <c r="P109" s="1420">
        <f t="shared" ref="P109:U109" si="95">F109*P16</f>
        <v>253</v>
      </c>
      <c r="Q109" s="1420">
        <f t="shared" si="95"/>
        <v>1658</v>
      </c>
      <c r="R109" s="1421">
        <f t="shared" si="95"/>
        <v>120</v>
      </c>
      <c r="S109" s="1422">
        <f t="shared" si="95"/>
        <v>35.75</v>
      </c>
      <c r="T109" s="1422">
        <f t="shared" si="95"/>
        <v>58</v>
      </c>
      <c r="U109" s="1420">
        <f t="shared" si="95"/>
        <v>25.5</v>
      </c>
      <c r="V109" s="1423">
        <f t="shared" si="90"/>
        <v>2150.25</v>
      </c>
    </row>
    <row r="110" spans="1:22" ht="15.75">
      <c r="A110" s="204"/>
      <c r="B110" s="1405"/>
      <c r="C110" s="1429" t="s">
        <v>1885</v>
      </c>
      <c r="D110" s="1429"/>
      <c r="E110" s="1417"/>
      <c r="F110" s="1258">
        <v>0.05</v>
      </c>
      <c r="G110" s="1258">
        <v>0.1</v>
      </c>
      <c r="H110" s="1268">
        <v>0.125</v>
      </c>
      <c r="I110" s="1270">
        <f t="shared" si="87"/>
        <v>0.13750000000000001</v>
      </c>
      <c r="J110" s="1274">
        <v>0.1</v>
      </c>
      <c r="K110" s="1258">
        <v>0.75</v>
      </c>
      <c r="L110" s="1408">
        <v>10</v>
      </c>
      <c r="M110" s="90"/>
      <c r="N110" s="90"/>
      <c r="O110" s="1409" t="str">
        <f t="shared" si="88"/>
        <v>Saucisse chipolatas de 50 g pièce crue ( au Kg)</v>
      </c>
      <c r="P110" s="1420">
        <f t="shared" ref="P110:U110" si="96">F110*P16</f>
        <v>12.65</v>
      </c>
      <c r="Q110" s="1420">
        <f t="shared" si="96"/>
        <v>82.9</v>
      </c>
      <c r="R110" s="1421">
        <f t="shared" si="96"/>
        <v>6</v>
      </c>
      <c r="S110" s="1422">
        <f t="shared" si="96"/>
        <v>1.7875000000000001</v>
      </c>
      <c r="T110" s="1422">
        <f t="shared" si="96"/>
        <v>2.9000000000000004</v>
      </c>
      <c r="U110" s="1420">
        <f t="shared" si="96"/>
        <v>12.75</v>
      </c>
      <c r="V110" s="1423">
        <f t="shared" si="90"/>
        <v>118.98750000000001</v>
      </c>
    </row>
    <row r="111" spans="1:22" ht="15.75">
      <c r="A111" s="204"/>
      <c r="B111" s="1405"/>
      <c r="C111" s="1429" t="s">
        <v>1886</v>
      </c>
      <c r="D111" s="1429"/>
      <c r="E111" s="1417"/>
      <c r="F111" s="1258">
        <v>1</v>
      </c>
      <c r="G111" s="1258">
        <v>2</v>
      </c>
      <c r="H111" s="1268">
        <v>2.5</v>
      </c>
      <c r="I111" s="1270">
        <f t="shared" si="87"/>
        <v>2.75</v>
      </c>
      <c r="J111" s="1274">
        <v>2</v>
      </c>
      <c r="K111" s="1258">
        <v>1.5</v>
      </c>
      <c r="L111" s="1408">
        <v>10</v>
      </c>
      <c r="M111" s="90"/>
      <c r="N111" s="90"/>
      <c r="O111" s="1419" t="str">
        <f t="shared" si="88"/>
        <v>Saucisse de Francfort Strasbourg de 50 g pièce crue (à l'unité)</v>
      </c>
      <c r="P111" s="1420">
        <f t="shared" ref="P111:U111" si="97">F111*P16</f>
        <v>253</v>
      </c>
      <c r="Q111" s="1420">
        <f t="shared" si="97"/>
        <v>1658</v>
      </c>
      <c r="R111" s="1421">
        <f t="shared" si="97"/>
        <v>120</v>
      </c>
      <c r="S111" s="1422">
        <f t="shared" si="97"/>
        <v>35.75</v>
      </c>
      <c r="T111" s="1422">
        <f t="shared" si="97"/>
        <v>58</v>
      </c>
      <c r="U111" s="1420">
        <f t="shared" si="97"/>
        <v>25.5</v>
      </c>
      <c r="V111" s="1423">
        <f t="shared" si="90"/>
        <v>2150.25</v>
      </c>
    </row>
    <row r="112" spans="1:22" ht="15.75">
      <c r="A112" s="204"/>
      <c r="B112" s="1405"/>
      <c r="C112" s="1429" t="s">
        <v>1886</v>
      </c>
      <c r="D112" s="1429"/>
      <c r="E112" s="1417"/>
      <c r="F112" s="1258">
        <v>0.05</v>
      </c>
      <c r="G112" s="1258">
        <v>0.1</v>
      </c>
      <c r="H112" s="1268">
        <v>0.125</v>
      </c>
      <c r="I112" s="1270">
        <f t="shared" si="87"/>
        <v>0.13750000000000001</v>
      </c>
      <c r="J112" s="1274">
        <v>0.1</v>
      </c>
      <c r="K112" s="1258">
        <v>0.75</v>
      </c>
      <c r="L112" s="1408">
        <v>10</v>
      </c>
      <c r="M112" s="90"/>
      <c r="N112" s="90"/>
      <c r="O112" s="1419" t="str">
        <f t="shared" si="88"/>
        <v>Saucisse de Francfort Strasbourg de 50 g pièce crue (à l'unité)</v>
      </c>
      <c r="P112" s="1420">
        <f t="shared" ref="P112:U112" si="98">F112*P16</f>
        <v>12.65</v>
      </c>
      <c r="Q112" s="1420">
        <f t="shared" si="98"/>
        <v>82.9</v>
      </c>
      <c r="R112" s="1421">
        <f t="shared" si="98"/>
        <v>6</v>
      </c>
      <c r="S112" s="1422">
        <f t="shared" si="98"/>
        <v>1.7875000000000001</v>
      </c>
      <c r="T112" s="1422">
        <f t="shared" si="98"/>
        <v>2.9000000000000004</v>
      </c>
      <c r="U112" s="1420">
        <f t="shared" si="98"/>
        <v>12.75</v>
      </c>
      <c r="V112" s="1423">
        <f t="shared" si="90"/>
        <v>118.98750000000001</v>
      </c>
    </row>
    <row r="113" spans="1:22" ht="15.75">
      <c r="A113" s="204"/>
      <c r="B113" s="1405"/>
      <c r="C113" s="1431" t="s">
        <v>1397</v>
      </c>
      <c r="D113" s="1431"/>
      <c r="E113" s="1427"/>
      <c r="F113" s="1258">
        <v>0.05</v>
      </c>
      <c r="G113" s="1258">
        <v>7.0000000000000007E-2</v>
      </c>
      <c r="H113" s="1268">
        <v>0.11</v>
      </c>
      <c r="I113" s="1270">
        <f t="shared" si="87"/>
        <v>0.121</v>
      </c>
      <c r="J113" s="1274">
        <v>0.1</v>
      </c>
      <c r="K113" s="1258">
        <v>7.0000000000000007E-2</v>
      </c>
      <c r="L113" s="1408">
        <v>10</v>
      </c>
      <c r="M113" s="90"/>
      <c r="N113" s="90"/>
      <c r="O113" s="1409" t="str">
        <f t="shared" si="88"/>
        <v>Saucisse Toulouse, Montbéliard, Morteau</v>
      </c>
      <c r="P113" s="1410">
        <f t="shared" ref="P113:U113" si="99">F113*P16</f>
        <v>12.65</v>
      </c>
      <c r="Q113" s="1410">
        <f t="shared" si="99"/>
        <v>58.030000000000008</v>
      </c>
      <c r="R113" s="1411">
        <f t="shared" si="99"/>
        <v>5.28</v>
      </c>
      <c r="S113" s="1412">
        <f t="shared" si="99"/>
        <v>1.573</v>
      </c>
      <c r="T113" s="1412">
        <f t="shared" si="99"/>
        <v>2.9000000000000004</v>
      </c>
      <c r="U113" s="1410">
        <f t="shared" si="99"/>
        <v>1.1900000000000002</v>
      </c>
      <c r="V113" s="1423">
        <f t="shared" si="90"/>
        <v>81.623000000000005</v>
      </c>
    </row>
    <row r="114" spans="1:22" ht="15" customHeight="1">
      <c r="A114" s="204"/>
      <c r="B114" s="1414"/>
      <c r="C114" s="8408" t="s">
        <v>1398</v>
      </c>
      <c r="D114" s="8408"/>
      <c r="E114" s="8408"/>
      <c r="F114" s="8408"/>
      <c r="G114" s="8408"/>
      <c r="H114" s="8408"/>
      <c r="I114" s="8408"/>
      <c r="J114" s="8408"/>
      <c r="K114" s="8408"/>
      <c r="L114" s="8409"/>
      <c r="M114" s="149"/>
      <c r="N114" s="149"/>
      <c r="O114" s="15"/>
      <c r="P114" s="8412" t="str">
        <f>C114</f>
        <v>VOLAILLE-LAPIN</v>
      </c>
      <c r="Q114" s="8413"/>
      <c r="R114" s="8413"/>
      <c r="S114" s="8413"/>
      <c r="T114" s="8413"/>
      <c r="U114" s="8413"/>
      <c r="V114" s="8414"/>
    </row>
    <row r="115" spans="1:22" ht="15" customHeight="1">
      <c r="A115" s="204"/>
      <c r="B115" s="1414"/>
      <c r="C115" s="8410"/>
      <c r="D115" s="8410"/>
      <c r="E115" s="8410"/>
      <c r="F115" s="8410"/>
      <c r="G115" s="8410"/>
      <c r="H115" s="8410"/>
      <c r="I115" s="8410"/>
      <c r="J115" s="8410"/>
      <c r="K115" s="8410"/>
      <c r="L115" s="8411"/>
      <c r="M115" s="149"/>
      <c r="N115" s="149"/>
      <c r="O115" s="15"/>
      <c r="P115" s="8415"/>
      <c r="Q115" s="8416"/>
      <c r="R115" s="8416"/>
      <c r="S115" s="8416"/>
      <c r="T115" s="8416"/>
      <c r="U115" s="8416"/>
      <c r="V115" s="8417"/>
    </row>
    <row r="116" spans="1:22" ht="15.75">
      <c r="A116" s="204"/>
      <c r="B116" s="1405"/>
      <c r="C116" s="1429" t="s">
        <v>1399</v>
      </c>
      <c r="D116" s="1429"/>
      <c r="E116" s="1417"/>
      <c r="F116" s="1258">
        <v>0.04</v>
      </c>
      <c r="G116" s="1258">
        <v>0.06</v>
      </c>
      <c r="H116" s="1268">
        <v>0.09</v>
      </c>
      <c r="I116" s="1270">
        <f t="shared" ref="I116:I130" si="100">(H116*L116%)+H116</f>
        <v>9.8999999999999991E-2</v>
      </c>
      <c r="J116" s="1274">
        <v>0.08</v>
      </c>
      <c r="K116" s="1258">
        <v>0.06</v>
      </c>
      <c r="L116" s="1408">
        <v>10</v>
      </c>
      <c r="M116" s="90"/>
      <c r="N116" s="90"/>
      <c r="O116" s="1409" t="str">
        <f t="shared" ref="O116:O130" si="101">C116</f>
        <v>Rôti de volaille, escalope de volaille, blanc de
poulet</v>
      </c>
      <c r="P116" s="1410">
        <f t="shared" ref="P116:U116" si="102">F116*P16</f>
        <v>10.120000000000001</v>
      </c>
      <c r="Q116" s="1410">
        <f t="shared" si="102"/>
        <v>49.739999999999995</v>
      </c>
      <c r="R116" s="1411">
        <f t="shared" si="102"/>
        <v>4.32</v>
      </c>
      <c r="S116" s="1412">
        <f t="shared" si="102"/>
        <v>1.2869999999999999</v>
      </c>
      <c r="T116" s="1412">
        <f t="shared" si="102"/>
        <v>2.3199999999999998</v>
      </c>
      <c r="U116" s="1410">
        <f t="shared" si="102"/>
        <v>1.02</v>
      </c>
      <c r="V116" s="1423">
        <f t="shared" ref="V116:V130" si="103">SUM(P116:U116)</f>
        <v>68.807000000000002</v>
      </c>
    </row>
    <row r="117" spans="1:22" ht="15.75">
      <c r="A117" s="204"/>
      <c r="B117" s="1405"/>
      <c r="C117" s="1429" t="s">
        <v>1400</v>
      </c>
      <c r="D117" s="1429"/>
      <c r="E117" s="1417"/>
      <c r="F117" s="1258">
        <v>0.05</v>
      </c>
      <c r="G117" s="1258">
        <v>7.0000000000000007E-2</v>
      </c>
      <c r="H117" s="1268">
        <v>0.11</v>
      </c>
      <c r="I117" s="1270">
        <f t="shared" si="100"/>
        <v>0.121</v>
      </c>
      <c r="J117" s="1274">
        <v>0.1</v>
      </c>
      <c r="K117" s="1258">
        <v>7.0000000000000007E-2</v>
      </c>
      <c r="L117" s="1408">
        <v>10</v>
      </c>
      <c r="M117" s="90"/>
      <c r="N117" s="90"/>
      <c r="O117" s="1409" t="str">
        <f t="shared" si="101"/>
        <v>Sauté</v>
      </c>
      <c r="P117" s="1410">
        <f t="shared" ref="P117:U117" si="104">F117*P16</f>
        <v>12.65</v>
      </c>
      <c r="Q117" s="1410">
        <f t="shared" si="104"/>
        <v>58.030000000000008</v>
      </c>
      <c r="R117" s="1411">
        <f t="shared" si="104"/>
        <v>5.28</v>
      </c>
      <c r="S117" s="1412">
        <f t="shared" si="104"/>
        <v>1.573</v>
      </c>
      <c r="T117" s="1412">
        <f t="shared" si="104"/>
        <v>2.9000000000000004</v>
      </c>
      <c r="U117" s="1410">
        <f t="shared" si="104"/>
        <v>1.1900000000000002</v>
      </c>
      <c r="V117" s="1423">
        <f t="shared" si="103"/>
        <v>81.623000000000005</v>
      </c>
    </row>
    <row r="118" spans="1:22" ht="15.75">
      <c r="A118" s="204"/>
      <c r="B118" s="1405"/>
      <c r="C118" s="1429" t="s">
        <v>1401</v>
      </c>
      <c r="D118" s="1429"/>
      <c r="E118" s="1417"/>
      <c r="F118" s="1258">
        <v>0.04</v>
      </c>
      <c r="G118" s="1258">
        <v>0.06</v>
      </c>
      <c r="H118" s="1268">
        <v>0.09</v>
      </c>
      <c r="I118" s="1270">
        <f t="shared" si="100"/>
        <v>9.8999999999999991E-2</v>
      </c>
      <c r="J118" s="1274">
        <v>0.08</v>
      </c>
      <c r="K118" s="1258">
        <v>0.06</v>
      </c>
      <c r="L118" s="1408">
        <v>10</v>
      </c>
      <c r="M118" s="90"/>
      <c r="N118" s="90"/>
      <c r="O118" s="1409" t="str">
        <f t="shared" si="101"/>
        <v>Jambon de volaille</v>
      </c>
      <c r="P118" s="1410">
        <f t="shared" ref="P118:U118" si="105">F118*P16</f>
        <v>10.120000000000001</v>
      </c>
      <c r="Q118" s="1410">
        <f t="shared" si="105"/>
        <v>49.739999999999995</v>
      </c>
      <c r="R118" s="1411">
        <f t="shared" si="105"/>
        <v>4.32</v>
      </c>
      <c r="S118" s="1412">
        <f t="shared" si="105"/>
        <v>1.2869999999999999</v>
      </c>
      <c r="T118" s="1412">
        <f t="shared" si="105"/>
        <v>2.3199999999999998</v>
      </c>
      <c r="U118" s="1410">
        <f t="shared" si="105"/>
        <v>1.02</v>
      </c>
      <c r="V118" s="1423">
        <f t="shared" si="103"/>
        <v>68.807000000000002</v>
      </c>
    </row>
    <row r="119" spans="1:22" ht="15.75">
      <c r="A119" s="204"/>
      <c r="B119" s="1405"/>
      <c r="C119" s="1429" t="s">
        <v>1402</v>
      </c>
      <c r="D119" s="1429"/>
      <c r="E119" s="1417"/>
      <c r="F119" s="1258">
        <v>0.05</v>
      </c>
      <c r="G119" s="1258">
        <v>7.0000000000000007E-2</v>
      </c>
      <c r="H119" s="1268">
        <v>0.11</v>
      </c>
      <c r="I119" s="1270">
        <f t="shared" si="100"/>
        <v>0.121</v>
      </c>
      <c r="J119" s="1274">
        <v>0.1</v>
      </c>
      <c r="K119" s="1258">
        <v>7.0000000000000007E-2</v>
      </c>
      <c r="L119" s="1408">
        <v>10</v>
      </c>
      <c r="M119" s="90"/>
      <c r="N119" s="90"/>
      <c r="O119" s="1409" t="str">
        <f t="shared" si="101"/>
        <v>Cordon bleu</v>
      </c>
      <c r="P119" s="1410">
        <f t="shared" ref="P119:U119" si="106">F119*P16</f>
        <v>12.65</v>
      </c>
      <c r="Q119" s="1410">
        <f t="shared" si="106"/>
        <v>58.030000000000008</v>
      </c>
      <c r="R119" s="1411">
        <f t="shared" si="106"/>
        <v>5.28</v>
      </c>
      <c r="S119" s="1412">
        <f t="shared" si="106"/>
        <v>1.573</v>
      </c>
      <c r="T119" s="1412">
        <f t="shared" si="106"/>
        <v>2.9000000000000004</v>
      </c>
      <c r="U119" s="1410">
        <f t="shared" si="106"/>
        <v>1.1900000000000002</v>
      </c>
      <c r="V119" s="1423">
        <f t="shared" si="103"/>
        <v>81.623000000000005</v>
      </c>
    </row>
    <row r="120" spans="1:22" ht="15.75">
      <c r="A120" s="204"/>
      <c r="B120" s="1405"/>
      <c r="C120" s="1429" t="s">
        <v>1403</v>
      </c>
      <c r="D120" s="1429"/>
      <c r="E120" s="1417"/>
      <c r="F120" s="1258">
        <v>0.1</v>
      </c>
      <c r="G120" s="1258">
        <v>0.14000000000000001</v>
      </c>
      <c r="H120" s="1268">
        <v>0.16</v>
      </c>
      <c r="I120" s="1270">
        <f t="shared" si="100"/>
        <v>0.17599999999999999</v>
      </c>
      <c r="J120" s="1274">
        <v>0.14000000000000001</v>
      </c>
      <c r="K120" s="1258">
        <v>0.1</v>
      </c>
      <c r="L120" s="1408">
        <v>10</v>
      </c>
      <c r="M120" s="90"/>
      <c r="N120" s="90"/>
      <c r="O120" s="1409" t="str">
        <f t="shared" si="101"/>
        <v>Cuisse de poulet, de pintade, de canard</v>
      </c>
      <c r="P120" s="1410">
        <f t="shared" ref="P120:U120" si="107">F120*P16</f>
        <v>25.3</v>
      </c>
      <c r="Q120" s="1410">
        <f t="shared" si="107"/>
        <v>116.06000000000002</v>
      </c>
      <c r="R120" s="1411">
        <f t="shared" si="107"/>
        <v>7.68</v>
      </c>
      <c r="S120" s="1412">
        <f t="shared" si="107"/>
        <v>2.2879999999999998</v>
      </c>
      <c r="T120" s="1412">
        <f t="shared" si="107"/>
        <v>4.0600000000000005</v>
      </c>
      <c r="U120" s="1410">
        <f t="shared" si="107"/>
        <v>1.7000000000000002</v>
      </c>
      <c r="V120" s="1423">
        <f t="shared" si="103"/>
        <v>157.08800000000002</v>
      </c>
    </row>
    <row r="121" spans="1:22" ht="15.75">
      <c r="A121" s="204"/>
      <c r="B121" s="1405"/>
      <c r="C121" s="1429" t="s">
        <v>1404</v>
      </c>
      <c r="D121" s="1429"/>
      <c r="E121" s="1417"/>
      <c r="F121" s="1258">
        <v>0.05</v>
      </c>
      <c r="G121" s="1258">
        <v>7.0000000000000007E-2</v>
      </c>
      <c r="H121" s="1268">
        <v>0.11</v>
      </c>
      <c r="I121" s="1270">
        <f t="shared" si="100"/>
        <v>0.121</v>
      </c>
      <c r="J121" s="1274">
        <v>0.1</v>
      </c>
      <c r="K121" s="1258">
        <v>7.0000000000000007E-2</v>
      </c>
      <c r="L121" s="1408">
        <v>10</v>
      </c>
      <c r="M121" s="90"/>
      <c r="N121" s="90"/>
      <c r="O121" s="1409" t="str">
        <f t="shared" si="101"/>
        <v>Brochette</v>
      </c>
      <c r="P121" s="1410">
        <f t="shared" ref="P121:U121" si="108">F121*P16</f>
        <v>12.65</v>
      </c>
      <c r="Q121" s="1410">
        <f t="shared" si="108"/>
        <v>58.030000000000008</v>
      </c>
      <c r="R121" s="1411">
        <f t="shared" si="108"/>
        <v>5.28</v>
      </c>
      <c r="S121" s="1412">
        <f t="shared" si="108"/>
        <v>1.573</v>
      </c>
      <c r="T121" s="1412">
        <f t="shared" si="108"/>
        <v>2.9000000000000004</v>
      </c>
      <c r="U121" s="1410">
        <f t="shared" si="108"/>
        <v>1.1900000000000002</v>
      </c>
      <c r="V121" s="1423">
        <f t="shared" si="103"/>
        <v>81.623000000000005</v>
      </c>
    </row>
    <row r="122" spans="1:22" ht="15.75">
      <c r="A122" s="204"/>
      <c r="B122" s="1405"/>
      <c r="C122" s="1429" t="s">
        <v>1405</v>
      </c>
      <c r="D122" s="1429"/>
      <c r="E122" s="1417"/>
      <c r="F122" s="1258">
        <v>0.05</v>
      </c>
      <c r="G122" s="1258">
        <v>7.0000000000000007E-2</v>
      </c>
      <c r="H122" s="1268">
        <v>0.11</v>
      </c>
      <c r="I122" s="1270">
        <f t="shared" si="100"/>
        <v>0.121</v>
      </c>
      <c r="J122" s="1274">
        <v>0.1</v>
      </c>
      <c r="K122" s="1258">
        <v>7.0000000000000007E-2</v>
      </c>
      <c r="L122" s="1408">
        <v>10</v>
      </c>
      <c r="M122" s="90"/>
      <c r="N122" s="90"/>
      <c r="O122" s="1409" t="str">
        <f t="shared" si="101"/>
        <v>Paupiette de volaille</v>
      </c>
      <c r="P122" s="1410">
        <f t="shared" ref="P122:U122" si="109">F122*P16</f>
        <v>12.65</v>
      </c>
      <c r="Q122" s="1410">
        <f t="shared" si="109"/>
        <v>58.030000000000008</v>
      </c>
      <c r="R122" s="1411">
        <f t="shared" si="109"/>
        <v>5.28</v>
      </c>
      <c r="S122" s="1412">
        <f t="shared" si="109"/>
        <v>1.573</v>
      </c>
      <c r="T122" s="1412">
        <f t="shared" si="109"/>
        <v>2.9000000000000004</v>
      </c>
      <c r="U122" s="1410">
        <f t="shared" si="109"/>
        <v>1.1900000000000002</v>
      </c>
      <c r="V122" s="1423">
        <f t="shared" si="103"/>
        <v>81.623000000000005</v>
      </c>
    </row>
    <row r="123" spans="1:22" ht="15.75">
      <c r="A123" s="204"/>
      <c r="B123" s="1405"/>
      <c r="C123" s="1429" t="s">
        <v>1406</v>
      </c>
      <c r="D123" s="1429"/>
      <c r="E123" s="1417"/>
      <c r="F123" s="1258">
        <v>2</v>
      </c>
      <c r="G123" s="1258">
        <v>3</v>
      </c>
      <c r="H123" s="1268">
        <v>5</v>
      </c>
      <c r="I123" s="1270">
        <f t="shared" si="100"/>
        <v>5.5</v>
      </c>
      <c r="J123" s="1274">
        <v>5</v>
      </c>
      <c r="K123" s="1258">
        <v>3.5</v>
      </c>
      <c r="L123" s="1408">
        <v>10</v>
      </c>
      <c r="M123" s="90"/>
      <c r="N123" s="90"/>
      <c r="O123" s="1409" t="str">
        <f t="shared" si="101"/>
        <v>Fingers, beignets, nuggets de 20 g pièce crus</v>
      </c>
      <c r="P123" s="1410">
        <f t="shared" ref="P123:U123" si="110">F123*P16</f>
        <v>506</v>
      </c>
      <c r="Q123" s="1410">
        <f t="shared" si="110"/>
        <v>2487</v>
      </c>
      <c r="R123" s="1411">
        <f t="shared" si="110"/>
        <v>240</v>
      </c>
      <c r="S123" s="1412">
        <f t="shared" si="110"/>
        <v>71.5</v>
      </c>
      <c r="T123" s="1412">
        <f t="shared" si="110"/>
        <v>145</v>
      </c>
      <c r="U123" s="1410">
        <f t="shared" si="110"/>
        <v>59.5</v>
      </c>
      <c r="V123" s="1423">
        <f t="shared" si="103"/>
        <v>3509</v>
      </c>
    </row>
    <row r="124" spans="1:22" ht="15.75">
      <c r="A124" s="204"/>
      <c r="B124" s="1405"/>
      <c r="C124" s="1429" t="s">
        <v>1407</v>
      </c>
      <c r="D124" s="1429"/>
      <c r="E124" s="1417"/>
      <c r="F124" s="1258">
        <v>0.04</v>
      </c>
      <c r="G124" s="1258">
        <v>0.06</v>
      </c>
      <c r="H124" s="1268">
        <v>0.1</v>
      </c>
      <c r="I124" s="1270">
        <f t="shared" si="100"/>
        <v>0.11000000000000001</v>
      </c>
      <c r="J124" s="1274">
        <v>0.1</v>
      </c>
      <c r="K124" s="1258">
        <v>7.0000000000000007E-2</v>
      </c>
      <c r="L124" s="1408">
        <v>10</v>
      </c>
      <c r="M124" s="90"/>
      <c r="N124" s="90"/>
      <c r="O124" s="1409" t="str">
        <f t="shared" si="101"/>
        <v>Fingers, beignets, nuggets de 20 g (Kg) crus</v>
      </c>
      <c r="P124" s="1410">
        <f t="shared" ref="P124:U124" si="111">F124*P16</f>
        <v>10.120000000000001</v>
      </c>
      <c r="Q124" s="1410">
        <f t="shared" si="111"/>
        <v>49.739999999999995</v>
      </c>
      <c r="R124" s="1411">
        <f t="shared" si="111"/>
        <v>4.8000000000000007</v>
      </c>
      <c r="S124" s="1412">
        <f t="shared" si="111"/>
        <v>1.4300000000000002</v>
      </c>
      <c r="T124" s="1412">
        <f t="shared" si="111"/>
        <v>2.9000000000000004</v>
      </c>
      <c r="U124" s="1410">
        <f t="shared" si="111"/>
        <v>1.1900000000000002</v>
      </c>
      <c r="V124" s="1423">
        <f t="shared" si="103"/>
        <v>70.180000000000007</v>
      </c>
    </row>
    <row r="125" spans="1:22" ht="15.75">
      <c r="A125" s="204"/>
      <c r="B125" s="1405"/>
      <c r="C125" s="1429" t="s">
        <v>1408</v>
      </c>
      <c r="D125" s="1429"/>
      <c r="E125" s="1417"/>
      <c r="F125" s="1258">
        <v>0.05</v>
      </c>
      <c r="G125" s="1258">
        <v>7.0000000000000007E-2</v>
      </c>
      <c r="H125" s="1268">
        <v>0.11</v>
      </c>
      <c r="I125" s="1270">
        <f t="shared" si="100"/>
        <v>0.121</v>
      </c>
      <c r="J125" s="1274">
        <v>0.1</v>
      </c>
      <c r="K125" s="1258">
        <v>7.0000000000000007E-2</v>
      </c>
      <c r="L125" s="1408">
        <v>10</v>
      </c>
      <c r="M125" s="90"/>
      <c r="N125" s="90"/>
      <c r="O125" s="1409" t="str">
        <f t="shared" si="101"/>
        <v>Escalope panée</v>
      </c>
      <c r="P125" s="1410">
        <f t="shared" ref="P125:U125" si="112">F125*P16</f>
        <v>12.65</v>
      </c>
      <c r="Q125" s="1410">
        <f t="shared" si="112"/>
        <v>58.030000000000008</v>
      </c>
      <c r="R125" s="1411">
        <f t="shared" si="112"/>
        <v>5.28</v>
      </c>
      <c r="S125" s="1412">
        <f t="shared" si="112"/>
        <v>1.573</v>
      </c>
      <c r="T125" s="1412">
        <f t="shared" si="112"/>
        <v>2.9000000000000004</v>
      </c>
      <c r="U125" s="1410">
        <f t="shared" si="112"/>
        <v>1.1900000000000002</v>
      </c>
      <c r="V125" s="1423">
        <f t="shared" si="103"/>
        <v>81.623000000000005</v>
      </c>
    </row>
    <row r="126" spans="1:22" ht="15.75">
      <c r="A126" s="204"/>
      <c r="B126" s="1405"/>
      <c r="C126" s="1429" t="s">
        <v>1409</v>
      </c>
      <c r="D126" s="1429"/>
      <c r="E126" s="1417"/>
      <c r="F126" s="1258">
        <v>0.1</v>
      </c>
      <c r="G126" s="1258">
        <v>0.14000000000000001</v>
      </c>
      <c r="H126" s="1268">
        <v>0.16</v>
      </c>
      <c r="I126" s="1270">
        <f t="shared" si="100"/>
        <v>0.17599999999999999</v>
      </c>
      <c r="J126" s="1274">
        <v>0.14000000000000001</v>
      </c>
      <c r="K126" s="1258">
        <v>0.1</v>
      </c>
      <c r="L126" s="1408">
        <v>10</v>
      </c>
      <c r="M126" s="90"/>
      <c r="N126" s="90"/>
      <c r="O126" s="1409" t="str">
        <f t="shared" si="101"/>
        <v>Cuisse de lapin</v>
      </c>
      <c r="P126" s="1410">
        <f t="shared" ref="P126:U126" si="113">F126*P16</f>
        <v>25.3</v>
      </c>
      <c r="Q126" s="1410">
        <f t="shared" si="113"/>
        <v>116.06000000000002</v>
      </c>
      <c r="R126" s="1411">
        <f t="shared" si="113"/>
        <v>7.68</v>
      </c>
      <c r="S126" s="1412">
        <f t="shared" si="113"/>
        <v>2.2879999999999998</v>
      </c>
      <c r="T126" s="1412">
        <f t="shared" si="113"/>
        <v>4.0600000000000005</v>
      </c>
      <c r="U126" s="1410">
        <f t="shared" si="113"/>
        <v>1.7000000000000002</v>
      </c>
      <c r="V126" s="1423">
        <f t="shared" si="103"/>
        <v>157.08800000000002</v>
      </c>
    </row>
    <row r="127" spans="1:22" ht="15.75">
      <c r="A127" s="204"/>
      <c r="B127" s="1405"/>
      <c r="C127" s="1429" t="s">
        <v>1410</v>
      </c>
      <c r="D127" s="1429"/>
      <c r="E127" s="1417"/>
      <c r="F127" s="1258">
        <v>0</v>
      </c>
      <c r="G127" s="1258">
        <v>0</v>
      </c>
      <c r="H127" s="1268">
        <v>0.16</v>
      </c>
      <c r="I127" s="1270">
        <f t="shared" si="100"/>
        <v>0.17599999999999999</v>
      </c>
      <c r="J127" s="1274">
        <v>0.14000000000000001</v>
      </c>
      <c r="K127" s="1258">
        <v>0.1</v>
      </c>
      <c r="L127" s="1408">
        <v>10</v>
      </c>
      <c r="M127" s="90"/>
      <c r="N127" s="90"/>
      <c r="O127" s="1409" t="str">
        <f t="shared" si="101"/>
        <v>Lapin sauté</v>
      </c>
      <c r="P127" s="1410">
        <f t="shared" ref="P127:U127" si="114">F127*P16</f>
        <v>0</v>
      </c>
      <c r="Q127" s="1410">
        <f t="shared" si="114"/>
        <v>0</v>
      </c>
      <c r="R127" s="1411">
        <f t="shared" si="114"/>
        <v>7.68</v>
      </c>
      <c r="S127" s="1412">
        <f t="shared" si="114"/>
        <v>2.2879999999999998</v>
      </c>
      <c r="T127" s="1412">
        <f t="shared" si="114"/>
        <v>4.0600000000000005</v>
      </c>
      <c r="U127" s="1410">
        <f t="shared" si="114"/>
        <v>1.7000000000000002</v>
      </c>
      <c r="V127" s="1423">
        <f t="shared" si="103"/>
        <v>15.728000000000002</v>
      </c>
    </row>
    <row r="128" spans="1:22" ht="15.75">
      <c r="A128" s="204"/>
      <c r="B128" s="1405"/>
      <c r="C128" s="1429" t="s">
        <v>1411</v>
      </c>
      <c r="D128" s="1429"/>
      <c r="E128" s="1417"/>
      <c r="F128" s="1258">
        <v>0.05</v>
      </c>
      <c r="G128" s="1258">
        <v>7.0000000000000007E-2</v>
      </c>
      <c r="H128" s="1268">
        <v>0.11</v>
      </c>
      <c r="I128" s="1270">
        <f t="shared" si="100"/>
        <v>0.121</v>
      </c>
      <c r="J128" s="1274">
        <v>0.1</v>
      </c>
      <c r="K128" s="1258">
        <v>7.0000000000000007E-2</v>
      </c>
      <c r="L128" s="1408">
        <v>10</v>
      </c>
      <c r="M128" s="90"/>
      <c r="N128" s="90"/>
      <c r="O128" s="1409" t="str">
        <f t="shared" si="101"/>
        <v>Paupiette de lapin</v>
      </c>
      <c r="P128" s="1410">
        <f t="shared" ref="P128:U128" si="115">F128*P16</f>
        <v>12.65</v>
      </c>
      <c r="Q128" s="1410">
        <f t="shared" si="115"/>
        <v>58.030000000000008</v>
      </c>
      <c r="R128" s="1411">
        <f t="shared" si="115"/>
        <v>5.28</v>
      </c>
      <c r="S128" s="1412">
        <f t="shared" si="115"/>
        <v>1.573</v>
      </c>
      <c r="T128" s="1412">
        <f t="shared" si="115"/>
        <v>2.9000000000000004</v>
      </c>
      <c r="U128" s="1410">
        <f t="shared" si="115"/>
        <v>1.1900000000000002</v>
      </c>
      <c r="V128" s="1423">
        <f t="shared" si="103"/>
        <v>81.623000000000005</v>
      </c>
    </row>
    <row r="129" spans="1:22" ht="15.75">
      <c r="A129" s="204"/>
      <c r="B129" s="1405"/>
      <c r="C129" s="1429" t="s">
        <v>1887</v>
      </c>
      <c r="D129" s="1429"/>
      <c r="E129" s="1417"/>
      <c r="F129" s="1258">
        <v>1</v>
      </c>
      <c r="G129" s="1258">
        <v>2</v>
      </c>
      <c r="H129" s="1268">
        <v>2.5</v>
      </c>
      <c r="I129" s="1270">
        <f t="shared" si="100"/>
        <v>2.75</v>
      </c>
      <c r="J129" s="1274">
        <v>2</v>
      </c>
      <c r="K129" s="1258">
        <v>1.5</v>
      </c>
      <c r="L129" s="1408">
        <v>10</v>
      </c>
      <c r="M129" s="90"/>
      <c r="N129" s="90"/>
      <c r="O129" s="1419" t="str">
        <f t="shared" si="101"/>
        <v>Saucisse de volaille de 50g pièce crue (à l’unité)</v>
      </c>
      <c r="P129" s="1420">
        <f t="shared" ref="P129:U129" si="116">F129*P16</f>
        <v>253</v>
      </c>
      <c r="Q129" s="1420">
        <f t="shared" si="116"/>
        <v>1658</v>
      </c>
      <c r="R129" s="1421">
        <f t="shared" si="116"/>
        <v>120</v>
      </c>
      <c r="S129" s="1422">
        <f t="shared" si="116"/>
        <v>35.75</v>
      </c>
      <c r="T129" s="1422">
        <f t="shared" si="116"/>
        <v>58</v>
      </c>
      <c r="U129" s="1420">
        <f t="shared" si="116"/>
        <v>25.5</v>
      </c>
      <c r="V129" s="1423">
        <f t="shared" si="103"/>
        <v>2150.25</v>
      </c>
    </row>
    <row r="130" spans="1:22" ht="15.75">
      <c r="A130" s="204"/>
      <c r="B130" s="1405"/>
      <c r="C130" s="1431" t="s">
        <v>1413</v>
      </c>
      <c r="D130" s="1431"/>
      <c r="E130" s="1427"/>
      <c r="F130" s="1258">
        <v>0.05</v>
      </c>
      <c r="G130" s="1258">
        <v>0.1</v>
      </c>
      <c r="H130" s="1268">
        <v>0.125</v>
      </c>
      <c r="I130" s="1270">
        <f t="shared" si="100"/>
        <v>0.13750000000000001</v>
      </c>
      <c r="J130" s="1274">
        <v>0.1</v>
      </c>
      <c r="K130" s="1258">
        <v>7.4999999999999997E-2</v>
      </c>
      <c r="L130" s="1408">
        <v>10</v>
      </c>
      <c r="M130" s="90"/>
      <c r="N130" s="90"/>
      <c r="O130" s="1409" t="str">
        <f t="shared" si="101"/>
        <v>Saucisse de volaille de 50g pièce crue (Kg)</v>
      </c>
      <c r="P130" s="1410">
        <f t="shared" ref="P130:U130" si="117">F130*P16</f>
        <v>12.65</v>
      </c>
      <c r="Q130" s="1410">
        <f t="shared" si="117"/>
        <v>82.9</v>
      </c>
      <c r="R130" s="1411">
        <f t="shared" si="117"/>
        <v>6</v>
      </c>
      <c r="S130" s="1412">
        <f t="shared" si="117"/>
        <v>1.7875000000000001</v>
      </c>
      <c r="T130" s="1412">
        <f t="shared" si="117"/>
        <v>2.9000000000000004</v>
      </c>
      <c r="U130" s="1410">
        <f t="shared" si="117"/>
        <v>1.2749999999999999</v>
      </c>
      <c r="V130" s="1423">
        <f t="shared" si="103"/>
        <v>107.51250000000002</v>
      </c>
    </row>
    <row r="131" spans="1:22" ht="15" customHeight="1">
      <c r="A131" s="204"/>
      <c r="B131" s="1414"/>
      <c r="C131" s="8408" t="s">
        <v>1414</v>
      </c>
      <c r="D131" s="8408"/>
      <c r="E131" s="8408"/>
      <c r="F131" s="8408"/>
      <c r="G131" s="8408"/>
      <c r="H131" s="8408"/>
      <c r="I131" s="8408"/>
      <c r="J131" s="8408"/>
      <c r="K131" s="8408"/>
      <c r="L131" s="8409"/>
      <c r="M131" s="149"/>
      <c r="N131" s="149"/>
      <c r="O131" s="15"/>
      <c r="P131" s="8412" t="str">
        <f>C131</f>
        <v>ABATS</v>
      </c>
      <c r="Q131" s="8413"/>
      <c r="R131" s="8413"/>
      <c r="S131" s="8413"/>
      <c r="T131" s="8413"/>
      <c r="U131" s="8413"/>
      <c r="V131" s="8414"/>
    </row>
    <row r="132" spans="1:22" ht="15" customHeight="1">
      <c r="A132" s="204"/>
      <c r="B132" s="1414"/>
      <c r="C132" s="8410"/>
      <c r="D132" s="8410"/>
      <c r="E132" s="8410"/>
      <c r="F132" s="8410"/>
      <c r="G132" s="8410"/>
      <c r="H132" s="8410"/>
      <c r="I132" s="8410"/>
      <c r="J132" s="8410"/>
      <c r="K132" s="8410"/>
      <c r="L132" s="8411"/>
      <c r="M132" s="149"/>
      <c r="N132" s="149"/>
      <c r="O132" s="15"/>
      <c r="P132" s="8415"/>
      <c r="Q132" s="8416"/>
      <c r="R132" s="8416"/>
      <c r="S132" s="8416"/>
      <c r="T132" s="8416"/>
      <c r="U132" s="8416"/>
      <c r="V132" s="8417"/>
    </row>
    <row r="133" spans="1:22" ht="15.75">
      <c r="A133" s="204"/>
      <c r="B133" s="1405"/>
      <c r="C133" s="1429" t="s">
        <v>1415</v>
      </c>
      <c r="D133" s="1429"/>
      <c r="E133" s="1450"/>
      <c r="F133" s="1258">
        <v>0.05</v>
      </c>
      <c r="G133" s="1258">
        <v>7.0000000000000007E-2</v>
      </c>
      <c r="H133" s="1268">
        <v>0.11</v>
      </c>
      <c r="I133" s="1270">
        <f>(H133*L133%)+H133</f>
        <v>0.121</v>
      </c>
      <c r="J133" s="1274">
        <v>0.1</v>
      </c>
      <c r="K133" s="1258">
        <v>7.0000000000000007E-2</v>
      </c>
      <c r="L133" s="1408">
        <v>10</v>
      </c>
      <c r="M133" s="90"/>
      <c r="N133" s="90"/>
      <c r="O133" s="1409" t="str">
        <f>C133</f>
        <v>Foie, langue, rognons, boudin</v>
      </c>
      <c r="P133" s="1410">
        <f t="shared" ref="P133:U133" si="118">F133*P16</f>
        <v>12.65</v>
      </c>
      <c r="Q133" s="1410">
        <f t="shared" si="118"/>
        <v>58.030000000000008</v>
      </c>
      <c r="R133" s="1411">
        <f t="shared" si="118"/>
        <v>5.28</v>
      </c>
      <c r="S133" s="1412">
        <f t="shared" si="118"/>
        <v>1.573</v>
      </c>
      <c r="T133" s="1412">
        <f t="shared" si="118"/>
        <v>2.9000000000000004</v>
      </c>
      <c r="U133" s="1410">
        <f t="shared" si="118"/>
        <v>1.1900000000000002</v>
      </c>
      <c r="V133" s="1423">
        <f>SUM(P133:U133)</f>
        <v>81.623000000000005</v>
      </c>
    </row>
    <row r="134" spans="1:22" ht="15.75">
      <c r="A134" s="204"/>
      <c r="B134" s="1405"/>
      <c r="C134" s="1431" t="s">
        <v>1416</v>
      </c>
      <c r="D134" s="1431"/>
      <c r="E134" s="1451"/>
      <c r="F134" s="1258">
        <v>0.05</v>
      </c>
      <c r="G134" s="1258">
        <v>7.0000000000000007E-2</v>
      </c>
      <c r="H134" s="1268">
        <v>0.15</v>
      </c>
      <c r="I134" s="1270">
        <f>(H134*L134%)+H134</f>
        <v>0.16499999999999998</v>
      </c>
      <c r="J134" s="1274">
        <v>0.15</v>
      </c>
      <c r="K134" s="1258">
        <v>0.14000000000000001</v>
      </c>
      <c r="L134" s="1408">
        <v>10</v>
      </c>
      <c r="M134" s="90"/>
      <c r="N134" s="90"/>
      <c r="O134" s="1409" t="str">
        <f>C134</f>
        <v>Tripes avec sauce</v>
      </c>
      <c r="P134" s="1410">
        <f t="shared" ref="P134:U134" si="119">F134*P16</f>
        <v>12.65</v>
      </c>
      <c r="Q134" s="1410">
        <f t="shared" si="119"/>
        <v>58.030000000000008</v>
      </c>
      <c r="R134" s="1411">
        <f t="shared" si="119"/>
        <v>7.1999999999999993</v>
      </c>
      <c r="S134" s="1412">
        <f t="shared" si="119"/>
        <v>2.1449999999999996</v>
      </c>
      <c r="T134" s="1412">
        <f t="shared" si="119"/>
        <v>4.3499999999999996</v>
      </c>
      <c r="U134" s="1410">
        <f t="shared" si="119"/>
        <v>2.3800000000000003</v>
      </c>
      <c r="V134" s="1423">
        <f>SUM(P134:U134)</f>
        <v>86.754999999999995</v>
      </c>
    </row>
    <row r="135" spans="1:22" ht="15" customHeight="1">
      <c r="A135" s="204"/>
      <c r="B135" s="1414"/>
      <c r="C135" s="8408" t="s">
        <v>1417</v>
      </c>
      <c r="D135" s="8408"/>
      <c r="E135" s="8408"/>
      <c r="F135" s="8408"/>
      <c r="G135" s="8408"/>
      <c r="H135" s="8408"/>
      <c r="I135" s="8408"/>
      <c r="J135" s="8408"/>
      <c r="K135" s="8408"/>
      <c r="L135" s="8409"/>
      <c r="M135" s="149"/>
      <c r="N135" s="149"/>
      <c r="O135" s="15"/>
      <c r="P135" s="8412" t="str">
        <f>C135</f>
        <v>OEUFS (plat principal)</v>
      </c>
      <c r="Q135" s="8413"/>
      <c r="R135" s="8413"/>
      <c r="S135" s="8413"/>
      <c r="T135" s="8413"/>
      <c r="U135" s="8413"/>
      <c r="V135" s="8414"/>
    </row>
    <row r="136" spans="1:22" ht="15" customHeight="1">
      <c r="A136" s="204"/>
      <c r="B136" s="1414"/>
      <c r="C136" s="8410"/>
      <c r="D136" s="8410"/>
      <c r="E136" s="8410"/>
      <c r="F136" s="8410"/>
      <c r="G136" s="8410"/>
      <c r="H136" s="8410"/>
      <c r="I136" s="8410"/>
      <c r="J136" s="8410"/>
      <c r="K136" s="8410"/>
      <c r="L136" s="8411"/>
      <c r="M136" s="149"/>
      <c r="N136" s="149"/>
      <c r="O136" s="15"/>
      <c r="P136" s="8415"/>
      <c r="Q136" s="8416"/>
      <c r="R136" s="8416"/>
      <c r="S136" s="8416"/>
      <c r="T136" s="8416"/>
      <c r="U136" s="8416"/>
      <c r="V136" s="8417"/>
    </row>
    <row r="137" spans="1:22" ht="15.75">
      <c r="A137" s="204"/>
      <c r="B137" s="1405"/>
      <c r="C137" s="1429" t="s">
        <v>1888</v>
      </c>
      <c r="D137" s="1429"/>
      <c r="E137" s="1450"/>
      <c r="F137" s="1258">
        <v>1</v>
      </c>
      <c r="G137" s="1258">
        <v>2</v>
      </c>
      <c r="H137" s="1268">
        <v>2.5</v>
      </c>
      <c r="I137" s="1270">
        <f>(H137*L137%)+H137</f>
        <v>2.75</v>
      </c>
      <c r="J137" s="1274">
        <v>2</v>
      </c>
      <c r="K137" s="1258">
        <v>1.5</v>
      </c>
      <c r="L137" s="1408">
        <v>10</v>
      </c>
      <c r="M137" s="90"/>
      <c r="N137" s="90"/>
      <c r="O137" s="1419" t="str">
        <f>C137</f>
        <v>Œufs durs (à l'unité)</v>
      </c>
      <c r="P137" s="1420">
        <f t="shared" ref="P137:U137" si="120">F137*P16</f>
        <v>253</v>
      </c>
      <c r="Q137" s="1420">
        <f t="shared" si="120"/>
        <v>1658</v>
      </c>
      <c r="R137" s="1421">
        <f t="shared" si="120"/>
        <v>120</v>
      </c>
      <c r="S137" s="1422">
        <f t="shared" si="120"/>
        <v>35.75</v>
      </c>
      <c r="T137" s="1422">
        <f t="shared" si="120"/>
        <v>58</v>
      </c>
      <c r="U137" s="1420">
        <f t="shared" si="120"/>
        <v>25.5</v>
      </c>
      <c r="V137" s="1423">
        <f>SUM(P137:U137)</f>
        <v>2150.25</v>
      </c>
    </row>
    <row r="138" spans="1:22" ht="15.75">
      <c r="A138" s="204"/>
      <c r="B138" s="1405"/>
      <c r="C138" s="1431" t="s">
        <v>1419</v>
      </c>
      <c r="D138" s="1431"/>
      <c r="E138" s="1451"/>
      <c r="F138" s="1258">
        <v>0.06</v>
      </c>
      <c r="G138" s="1258">
        <v>0.09</v>
      </c>
      <c r="H138" s="1268">
        <v>0.11</v>
      </c>
      <c r="I138" s="1270">
        <f>(H138*L138%)+H138</f>
        <v>0.121</v>
      </c>
      <c r="J138" s="1274">
        <v>0.09</v>
      </c>
      <c r="K138" s="1258">
        <v>0.06</v>
      </c>
      <c r="L138" s="1408">
        <v>10</v>
      </c>
      <c r="M138" s="90"/>
      <c r="N138" s="90"/>
      <c r="O138" s="1409" t="str">
        <f>C138</f>
        <v>Omelette</v>
      </c>
      <c r="P138" s="1410">
        <f t="shared" ref="P138:U138" si="121">F138*P16</f>
        <v>15.18</v>
      </c>
      <c r="Q138" s="1410">
        <f t="shared" si="121"/>
        <v>74.61</v>
      </c>
      <c r="R138" s="1411">
        <f t="shared" si="121"/>
        <v>5.28</v>
      </c>
      <c r="S138" s="1412">
        <f t="shared" si="121"/>
        <v>1.573</v>
      </c>
      <c r="T138" s="1412">
        <f t="shared" si="121"/>
        <v>2.61</v>
      </c>
      <c r="U138" s="1410">
        <f t="shared" si="121"/>
        <v>1.02</v>
      </c>
      <c r="V138" s="1423">
        <f>SUM(P138:U138)</f>
        <v>100.27299999999998</v>
      </c>
    </row>
    <row r="139" spans="1:22" ht="15" customHeight="1">
      <c r="A139" s="204"/>
      <c r="B139" s="1414"/>
      <c r="C139" s="8408" t="s">
        <v>1420</v>
      </c>
      <c r="D139" s="8408"/>
      <c r="E139" s="8408"/>
      <c r="F139" s="8408"/>
      <c r="G139" s="8408"/>
      <c r="H139" s="8408"/>
      <c r="I139" s="8408"/>
      <c r="J139" s="8408"/>
      <c r="K139" s="8408"/>
      <c r="L139" s="8409"/>
      <c r="M139" s="149"/>
      <c r="N139" s="149"/>
      <c r="O139" s="15"/>
      <c r="P139" s="8412" t="str">
        <f>C139</f>
        <v>POISSONS (Sans sauce)</v>
      </c>
      <c r="Q139" s="8413"/>
      <c r="R139" s="8413"/>
      <c r="S139" s="8413"/>
      <c r="T139" s="8413"/>
      <c r="U139" s="8413"/>
      <c r="V139" s="8414"/>
    </row>
    <row r="140" spans="1:22" ht="15" customHeight="1">
      <c r="A140" s="204"/>
      <c r="B140" s="1414"/>
      <c r="C140" s="8410"/>
      <c r="D140" s="8410"/>
      <c r="E140" s="8410"/>
      <c r="F140" s="8410"/>
      <c r="G140" s="8410"/>
      <c r="H140" s="8410"/>
      <c r="I140" s="8410"/>
      <c r="J140" s="8410"/>
      <c r="K140" s="8410"/>
      <c r="L140" s="8411"/>
      <c r="M140" s="149"/>
      <c r="N140" s="149"/>
      <c r="O140" s="15"/>
      <c r="P140" s="8415"/>
      <c r="Q140" s="8416"/>
      <c r="R140" s="8416"/>
      <c r="S140" s="8416"/>
      <c r="T140" s="8416"/>
      <c r="U140" s="8416"/>
      <c r="V140" s="8417"/>
    </row>
    <row r="141" spans="1:22" ht="15.75">
      <c r="A141" s="204"/>
      <c r="B141" s="1405"/>
      <c r="C141" s="1429" t="s">
        <v>1421</v>
      </c>
      <c r="D141" s="1429"/>
      <c r="E141" s="1450"/>
      <c r="F141" s="1258">
        <v>0.05</v>
      </c>
      <c r="G141" s="1258">
        <v>7.0000000000000007E-2</v>
      </c>
      <c r="H141" s="1268">
        <v>0.11</v>
      </c>
      <c r="I141" s="1270">
        <f>(H141*L141%)+H141</f>
        <v>0.121</v>
      </c>
      <c r="J141" s="1274">
        <v>0.1</v>
      </c>
      <c r="K141" s="1258">
        <v>7.0000000000000007E-2</v>
      </c>
      <c r="L141" s="1408">
        <v>10</v>
      </c>
      <c r="M141" s="90"/>
      <c r="N141" s="90"/>
      <c r="O141" s="1409" t="str">
        <f>C141</f>
        <v>Poissons non enrobés sans arêtes (filets, rôtis,
steaks, brochettes, cubes)</v>
      </c>
      <c r="P141" s="1410">
        <f t="shared" ref="P141:U141" si="122">F141*P16</f>
        <v>12.65</v>
      </c>
      <c r="Q141" s="1410">
        <f t="shared" si="122"/>
        <v>58.030000000000008</v>
      </c>
      <c r="R141" s="1411">
        <f t="shared" si="122"/>
        <v>5.28</v>
      </c>
      <c r="S141" s="1412">
        <f t="shared" si="122"/>
        <v>1.573</v>
      </c>
      <c r="T141" s="1412">
        <f t="shared" si="122"/>
        <v>2.9000000000000004</v>
      </c>
      <c r="U141" s="1410">
        <f t="shared" si="122"/>
        <v>1.1900000000000002</v>
      </c>
      <c r="V141" s="1423">
        <f>SUM(P141:U141)</f>
        <v>81.623000000000005</v>
      </c>
    </row>
    <row r="142" spans="1:22" ht="15.75">
      <c r="A142" s="204"/>
      <c r="B142" s="1405"/>
      <c r="C142" s="1429" t="s">
        <v>1422</v>
      </c>
      <c r="D142" s="1429"/>
      <c r="E142" s="1450"/>
      <c r="F142" s="1258">
        <v>0.05</v>
      </c>
      <c r="G142" s="1258">
        <v>7.0000000000000007E-2</v>
      </c>
      <c r="H142" s="1268">
        <v>0.11</v>
      </c>
      <c r="I142" s="1270">
        <f>(H142*L142%)+H142</f>
        <v>0.121</v>
      </c>
      <c r="J142" s="1274">
        <v>0.1</v>
      </c>
      <c r="K142" s="1258">
        <v>7.0000000000000007E-2</v>
      </c>
      <c r="L142" s="1408">
        <v>10</v>
      </c>
      <c r="M142" s="90"/>
      <c r="N142" s="90"/>
      <c r="O142" s="1409" t="str">
        <f>C142</f>
        <v>Brochettes de poisson</v>
      </c>
      <c r="P142" s="1410">
        <f t="shared" ref="P142:U142" si="123">F142*P16</f>
        <v>12.65</v>
      </c>
      <c r="Q142" s="1410">
        <f t="shared" si="123"/>
        <v>58.030000000000008</v>
      </c>
      <c r="R142" s="1411">
        <f t="shared" si="123"/>
        <v>5.28</v>
      </c>
      <c r="S142" s="1412">
        <f t="shared" si="123"/>
        <v>1.573</v>
      </c>
      <c r="T142" s="1412">
        <f t="shared" si="123"/>
        <v>2.9000000000000004</v>
      </c>
      <c r="U142" s="1410">
        <f t="shared" si="123"/>
        <v>1.1900000000000002</v>
      </c>
      <c r="V142" s="1423">
        <f>SUM(P142:U142)</f>
        <v>81.623000000000005</v>
      </c>
    </row>
    <row r="143" spans="1:22" ht="15.75">
      <c r="A143" s="204"/>
      <c r="B143" s="1405"/>
      <c r="C143" s="1429" t="s">
        <v>1423</v>
      </c>
      <c r="D143" s="1429"/>
      <c r="E143" s="1450"/>
      <c r="F143" s="1258">
        <v>0</v>
      </c>
      <c r="G143" s="1258">
        <v>0</v>
      </c>
      <c r="H143" s="1268">
        <v>1.1299999999999999</v>
      </c>
      <c r="I143" s="1270">
        <f>(H143*L143%)+H143</f>
        <v>1.2429999999999999</v>
      </c>
      <c r="J143" s="1274">
        <v>0.12</v>
      </c>
      <c r="K143" s="1258">
        <v>0.08</v>
      </c>
      <c r="L143" s="1408">
        <v>10</v>
      </c>
      <c r="M143" s="90"/>
      <c r="N143" s="90"/>
      <c r="O143" s="1409" t="str">
        <f>C143</f>
        <v>Darne</v>
      </c>
      <c r="P143" s="1410">
        <f t="shared" ref="P143:U143" si="124">F143*P16</f>
        <v>0</v>
      </c>
      <c r="Q143" s="1410">
        <f t="shared" si="124"/>
        <v>0</v>
      </c>
      <c r="R143" s="1411">
        <f t="shared" si="124"/>
        <v>54.239999999999995</v>
      </c>
      <c r="S143" s="1412">
        <f t="shared" si="124"/>
        <v>16.158999999999999</v>
      </c>
      <c r="T143" s="1412">
        <f t="shared" si="124"/>
        <v>3.48</v>
      </c>
      <c r="U143" s="1410">
        <f t="shared" si="124"/>
        <v>1.36</v>
      </c>
      <c r="V143" s="1423">
        <f>SUM(P143:U143)</f>
        <v>75.239000000000004</v>
      </c>
    </row>
    <row r="144" spans="1:22" ht="15.75">
      <c r="A144" s="204"/>
      <c r="B144" s="1405"/>
      <c r="C144" s="1429" t="s">
        <v>1424</v>
      </c>
      <c r="D144" s="1429"/>
      <c r="E144" s="1450"/>
      <c r="F144" s="1258">
        <v>0.05</v>
      </c>
      <c r="G144" s="1258">
        <v>7.0000000000000007E-2</v>
      </c>
      <c r="H144" s="1268">
        <v>0.11</v>
      </c>
      <c r="I144" s="1270">
        <f>(H144*L144%)+H144</f>
        <v>0.121</v>
      </c>
      <c r="J144" s="1274">
        <v>0.1</v>
      </c>
      <c r="K144" s="1258">
        <v>7.0000000000000007E-2</v>
      </c>
      <c r="L144" s="1408">
        <v>10</v>
      </c>
      <c r="M144" s="90"/>
      <c r="N144" s="90"/>
      <c r="O144" s="1409" t="str">
        <f>C144</f>
        <v>Beignets, poissons panés ou enrobés (croquettes,
paupiettes,…)</v>
      </c>
      <c r="P144" s="1410">
        <f t="shared" ref="P144:U144" si="125">F144*P16</f>
        <v>12.65</v>
      </c>
      <c r="Q144" s="1410">
        <f t="shared" si="125"/>
        <v>58.030000000000008</v>
      </c>
      <c r="R144" s="1411">
        <f t="shared" si="125"/>
        <v>5.28</v>
      </c>
      <c r="S144" s="1412">
        <f t="shared" si="125"/>
        <v>1.573</v>
      </c>
      <c r="T144" s="1412">
        <f t="shared" si="125"/>
        <v>2.9000000000000004</v>
      </c>
      <c r="U144" s="1410">
        <f t="shared" si="125"/>
        <v>1.1900000000000002</v>
      </c>
      <c r="V144" s="1423">
        <f>SUM(P144:U144)</f>
        <v>81.623000000000005</v>
      </c>
    </row>
    <row r="145" spans="1:22" ht="15.75">
      <c r="A145" s="204"/>
      <c r="B145" s="1405"/>
      <c r="C145" s="1431" t="s">
        <v>1425</v>
      </c>
      <c r="D145" s="1431"/>
      <c r="E145" s="1451"/>
      <c r="F145" s="1258">
        <v>0</v>
      </c>
      <c r="G145" s="1258">
        <v>0</v>
      </c>
      <c r="H145" s="1268">
        <v>0.16</v>
      </c>
      <c r="I145" s="1270">
        <f>(H145*L145%)+H145</f>
        <v>0.17599999999999999</v>
      </c>
      <c r="J145" s="1274">
        <v>0.15</v>
      </c>
      <c r="K145" s="1258">
        <v>0.11</v>
      </c>
      <c r="L145" s="1408">
        <v>10</v>
      </c>
      <c r="M145" s="90"/>
      <c r="N145" s="90"/>
      <c r="O145" s="1409" t="str">
        <f>C145</f>
        <v>Poissons entiers</v>
      </c>
      <c r="P145" s="1410">
        <f t="shared" ref="P145:U145" si="126">F145*P16</f>
        <v>0</v>
      </c>
      <c r="Q145" s="1410">
        <f t="shared" si="126"/>
        <v>0</v>
      </c>
      <c r="R145" s="1411">
        <f t="shared" si="126"/>
        <v>7.68</v>
      </c>
      <c r="S145" s="1412">
        <f t="shared" si="126"/>
        <v>2.2879999999999998</v>
      </c>
      <c r="T145" s="1412">
        <f t="shared" si="126"/>
        <v>4.3499999999999996</v>
      </c>
      <c r="U145" s="1410">
        <f t="shared" si="126"/>
        <v>1.87</v>
      </c>
      <c r="V145" s="1423">
        <f>SUM(P145:U145)</f>
        <v>16.187999999999999</v>
      </c>
    </row>
    <row r="146" spans="1:22" ht="15" customHeight="1">
      <c r="A146" s="204"/>
      <c r="B146" s="1414"/>
      <c r="C146" s="8408" t="s">
        <v>1889</v>
      </c>
      <c r="D146" s="8408"/>
      <c r="E146" s="8408"/>
      <c r="F146" s="8408"/>
      <c r="G146" s="8408"/>
      <c r="H146" s="8408"/>
      <c r="I146" s="8408"/>
      <c r="J146" s="8408"/>
      <c r="K146" s="8408"/>
      <c r="L146" s="8409"/>
      <c r="M146" s="149"/>
      <c r="N146" s="149"/>
      <c r="O146" s="15"/>
      <c r="P146" s="8412" t="str">
        <f>C146</f>
        <v>*- PLATS COMPOSES (denrée protidique et garniture)</v>
      </c>
      <c r="Q146" s="8413"/>
      <c r="R146" s="8413"/>
      <c r="S146" s="8413"/>
      <c r="T146" s="8413"/>
      <c r="U146" s="8413"/>
      <c r="V146" s="8414"/>
    </row>
    <row r="147" spans="1:22" ht="15" customHeight="1">
      <c r="A147" s="204"/>
      <c r="B147" s="1414"/>
      <c r="C147" s="8410"/>
      <c r="D147" s="8410"/>
      <c r="E147" s="8410"/>
      <c r="F147" s="8410"/>
      <c r="G147" s="8410"/>
      <c r="H147" s="8410"/>
      <c r="I147" s="8410"/>
      <c r="J147" s="8410"/>
      <c r="K147" s="8410"/>
      <c r="L147" s="8411"/>
      <c r="M147" s="149"/>
      <c r="N147" s="149"/>
      <c r="O147" s="15"/>
      <c r="P147" s="8415"/>
      <c r="Q147" s="8416"/>
      <c r="R147" s="8416"/>
      <c r="S147" s="8416"/>
      <c r="T147" s="8416"/>
      <c r="U147" s="8416"/>
      <c r="V147" s="8417"/>
    </row>
    <row r="148" spans="1:22" ht="15.75">
      <c r="A148" s="204"/>
      <c r="B148" s="1405"/>
      <c r="C148" s="1429" t="s">
        <v>1890</v>
      </c>
      <c r="D148" s="1429"/>
      <c r="E148" s="1450"/>
      <c r="F148" s="1258">
        <v>0.05</v>
      </c>
      <c r="G148" s="1258">
        <v>7.0000000000000007E-2</v>
      </c>
      <c r="H148" s="1268">
        <v>0.11</v>
      </c>
      <c r="I148" s="1270">
        <f t="shared" ref="I148:I155" si="127">(H148*L148%)+H148</f>
        <v>0.121</v>
      </c>
      <c r="J148" s="1274">
        <v>0.1</v>
      </c>
      <c r="K148" s="1258">
        <v>7.0000000000000007E-2</v>
      </c>
      <c r="L148" s="1408">
        <v>10</v>
      </c>
      <c r="M148" s="90"/>
      <c r="N148" s="90"/>
      <c r="O148" s="1409" t="str">
        <f t="shared" ref="O148:O155" si="128">C148</f>
        <v>Plat composé, choucroute, paëlla, etc. (poids minimum d’aliment protidique)</v>
      </c>
      <c r="P148" s="1410">
        <f t="shared" ref="P148:U148" si="129">F148*P16</f>
        <v>12.65</v>
      </c>
      <c r="Q148" s="1410">
        <f t="shared" si="129"/>
        <v>58.030000000000008</v>
      </c>
      <c r="R148" s="1411">
        <f t="shared" si="129"/>
        <v>5.28</v>
      </c>
      <c r="S148" s="1412">
        <f t="shared" si="129"/>
        <v>1.573</v>
      </c>
      <c r="T148" s="1412">
        <f t="shared" si="129"/>
        <v>2.9000000000000004</v>
      </c>
      <c r="U148" s="1410">
        <f t="shared" si="129"/>
        <v>1.1900000000000002</v>
      </c>
      <c r="V148" s="1423">
        <f t="shared" ref="V148:V155" si="130">SUM(P148:U148)</f>
        <v>81.623000000000005</v>
      </c>
    </row>
    <row r="149" spans="1:22" ht="15.75">
      <c r="A149" s="1452"/>
      <c r="B149" s="1405"/>
      <c r="C149" s="1429" t="s">
        <v>1891</v>
      </c>
      <c r="D149" s="1429"/>
      <c r="E149" s="1450"/>
      <c r="F149" s="1258">
        <v>0.05</v>
      </c>
      <c r="G149" s="1258">
        <v>7.0000000000000007E-2</v>
      </c>
      <c r="H149" s="1268">
        <v>0.11</v>
      </c>
      <c r="I149" s="1270">
        <f t="shared" si="127"/>
        <v>0.121</v>
      </c>
      <c r="J149" s="1274">
        <v>0.1</v>
      </c>
      <c r="K149" s="1258">
        <v>7.0000000000000007E-2</v>
      </c>
      <c r="L149" s="1408">
        <v>10</v>
      </c>
      <c r="M149" s="90"/>
      <c r="N149" s="90"/>
      <c r="O149" s="1409" t="str">
        <f t="shared" si="128"/>
        <v>Hachis Parmentier, Brandade, Légumes farcis (poids minimum d’aliment protidique)</v>
      </c>
      <c r="P149" s="1410">
        <f t="shared" ref="P149:U149" si="131">F149*P16</f>
        <v>12.65</v>
      </c>
      <c r="Q149" s="1410">
        <f t="shared" si="131"/>
        <v>58.030000000000008</v>
      </c>
      <c r="R149" s="1411">
        <f t="shared" si="131"/>
        <v>5.28</v>
      </c>
      <c r="S149" s="1412">
        <f t="shared" si="131"/>
        <v>1.573</v>
      </c>
      <c r="T149" s="1412">
        <f t="shared" si="131"/>
        <v>2.9000000000000004</v>
      </c>
      <c r="U149" s="1410">
        <f t="shared" si="131"/>
        <v>1.1900000000000002</v>
      </c>
      <c r="V149" s="1423">
        <f t="shared" si="130"/>
        <v>81.623000000000005</v>
      </c>
    </row>
    <row r="150" spans="1:22" ht="15.75">
      <c r="A150" s="204"/>
      <c r="B150" s="1405"/>
      <c r="C150" s="1429" t="s">
        <v>1892</v>
      </c>
      <c r="D150" s="1429"/>
      <c r="E150" s="1450"/>
      <c r="F150" s="1258">
        <v>0.18</v>
      </c>
      <c r="G150" s="1258">
        <v>0.25</v>
      </c>
      <c r="H150" s="1268">
        <v>0.28000000000000003</v>
      </c>
      <c r="I150" s="1270">
        <f t="shared" si="127"/>
        <v>0.30800000000000005</v>
      </c>
      <c r="J150" s="1274">
        <v>0.25</v>
      </c>
      <c r="K150" s="1258">
        <v>0.17</v>
      </c>
      <c r="L150" s="1408">
        <v>10</v>
      </c>
      <c r="M150" s="90"/>
      <c r="N150" s="90"/>
      <c r="O150" s="1409" t="str">
        <f t="shared" si="128"/>
        <v>Raviolis, Cannellonis, Lasagnes ... (poids ration
avec sauce)</v>
      </c>
      <c r="P150" s="1410">
        <f t="shared" ref="P150:U150" si="132">F150*P16</f>
        <v>45.54</v>
      </c>
      <c r="Q150" s="1410">
        <f t="shared" si="132"/>
        <v>207.25</v>
      </c>
      <c r="R150" s="1411">
        <f t="shared" si="132"/>
        <v>13.440000000000001</v>
      </c>
      <c r="S150" s="1412">
        <f t="shared" si="132"/>
        <v>4.0040000000000004</v>
      </c>
      <c r="T150" s="1412">
        <f t="shared" si="132"/>
        <v>7.25</v>
      </c>
      <c r="U150" s="1410">
        <f t="shared" si="132"/>
        <v>2.89</v>
      </c>
      <c r="V150" s="1423">
        <f t="shared" si="130"/>
        <v>280.37400000000002</v>
      </c>
    </row>
    <row r="151" spans="1:22" ht="15.75">
      <c r="A151" s="204"/>
      <c r="B151" s="1405"/>
      <c r="C151" s="1429" t="s">
        <v>1893</v>
      </c>
      <c r="D151" s="1429"/>
      <c r="E151" s="1450"/>
      <c r="F151" s="1258">
        <v>0.1</v>
      </c>
      <c r="G151" s="1258">
        <v>0.15</v>
      </c>
      <c r="H151" s="1268">
        <v>0.2</v>
      </c>
      <c r="I151" s="1270">
        <f t="shared" si="127"/>
        <v>0.22000000000000003</v>
      </c>
      <c r="J151" s="1274">
        <v>0.15</v>
      </c>
      <c r="K151" s="1258">
        <v>0.15</v>
      </c>
      <c r="L151" s="1408">
        <v>10</v>
      </c>
      <c r="M151" s="90"/>
      <c r="N151" s="90"/>
      <c r="O151" s="1409" t="str">
        <f t="shared" si="128"/>
        <v>Préparations pâtissières (crêpes, pizzas, croque-
monsieur, friands, quiches)</v>
      </c>
      <c r="P151" s="1410">
        <f t="shared" ref="P151:U151" si="133">F151*P16</f>
        <v>25.3</v>
      </c>
      <c r="Q151" s="1410">
        <f t="shared" si="133"/>
        <v>124.35</v>
      </c>
      <c r="R151" s="1411">
        <f t="shared" si="133"/>
        <v>9.6000000000000014</v>
      </c>
      <c r="S151" s="1412">
        <f t="shared" si="133"/>
        <v>2.8600000000000003</v>
      </c>
      <c r="T151" s="1412">
        <f t="shared" si="133"/>
        <v>4.3499999999999996</v>
      </c>
      <c r="U151" s="1410">
        <f t="shared" si="133"/>
        <v>2.5499999999999998</v>
      </c>
      <c r="V151" s="1423">
        <f t="shared" si="130"/>
        <v>169.01000000000002</v>
      </c>
    </row>
    <row r="152" spans="1:22" ht="15.75">
      <c r="A152" s="204"/>
      <c r="B152" s="1405"/>
      <c r="C152" s="1429" t="s">
        <v>1431</v>
      </c>
      <c r="D152" s="1429"/>
      <c r="E152" s="1450"/>
      <c r="F152" s="1258">
        <v>0.06</v>
      </c>
      <c r="G152" s="1258">
        <v>0.08</v>
      </c>
      <c r="H152" s="1268">
        <v>0.14000000000000001</v>
      </c>
      <c r="I152" s="1270">
        <f t="shared" si="127"/>
        <v>0.15400000000000003</v>
      </c>
      <c r="J152" s="1274">
        <v>0.12</v>
      </c>
      <c r="K152" s="1258">
        <v>0.08</v>
      </c>
      <c r="L152" s="1408">
        <v>10</v>
      </c>
      <c r="M152" s="90"/>
      <c r="N152" s="90"/>
      <c r="O152" s="1409" t="str">
        <f t="shared" si="128"/>
        <v>Quenelle</v>
      </c>
      <c r="P152" s="1410">
        <f t="shared" ref="P152:U152" si="134">F152*P16</f>
        <v>15.18</v>
      </c>
      <c r="Q152" s="1410">
        <f t="shared" si="134"/>
        <v>66.320000000000007</v>
      </c>
      <c r="R152" s="1411">
        <f t="shared" si="134"/>
        <v>6.7200000000000006</v>
      </c>
      <c r="S152" s="1412">
        <f t="shared" si="134"/>
        <v>2.0020000000000002</v>
      </c>
      <c r="T152" s="1412">
        <f t="shared" si="134"/>
        <v>3.48</v>
      </c>
      <c r="U152" s="1410">
        <f t="shared" si="134"/>
        <v>1.36</v>
      </c>
      <c r="V152" s="1423">
        <f t="shared" si="130"/>
        <v>95.061999999999998</v>
      </c>
    </row>
    <row r="153" spans="1:22" ht="15.75">
      <c r="A153" s="204"/>
      <c r="B153" s="1405"/>
      <c r="C153" s="1429"/>
      <c r="D153" s="1429"/>
      <c r="E153" s="1450"/>
      <c r="F153" s="1258"/>
      <c r="G153" s="1258"/>
      <c r="H153" s="1268"/>
      <c r="I153" s="1270">
        <f t="shared" si="127"/>
        <v>0</v>
      </c>
      <c r="J153" s="1274"/>
      <c r="K153" s="1258"/>
      <c r="L153" s="1408"/>
      <c r="M153" s="90"/>
      <c r="N153" s="90"/>
      <c r="O153" s="1409">
        <f t="shared" si="128"/>
        <v>0</v>
      </c>
      <c r="P153" s="1410">
        <f t="shared" ref="P153:U153" si="135">F153*P16</f>
        <v>0</v>
      </c>
      <c r="Q153" s="1410">
        <f t="shared" si="135"/>
        <v>0</v>
      </c>
      <c r="R153" s="1411">
        <f t="shared" si="135"/>
        <v>0</v>
      </c>
      <c r="S153" s="1412">
        <f t="shared" si="135"/>
        <v>0</v>
      </c>
      <c r="T153" s="1412">
        <f t="shared" si="135"/>
        <v>0</v>
      </c>
      <c r="U153" s="1410">
        <f t="shared" si="135"/>
        <v>0</v>
      </c>
      <c r="V153" s="1423">
        <f t="shared" si="130"/>
        <v>0</v>
      </c>
    </row>
    <row r="154" spans="1:22" ht="15.75">
      <c r="A154" s="204"/>
      <c r="B154" s="1405"/>
      <c r="C154" s="1429"/>
      <c r="D154" s="1429"/>
      <c r="E154" s="1450"/>
      <c r="F154" s="1258"/>
      <c r="G154" s="1258"/>
      <c r="H154" s="1268"/>
      <c r="I154" s="1270">
        <f t="shared" si="127"/>
        <v>0</v>
      </c>
      <c r="J154" s="1274"/>
      <c r="K154" s="1258"/>
      <c r="L154" s="1408"/>
      <c r="M154" s="90"/>
      <c r="N154" s="90"/>
      <c r="O154" s="1409">
        <f t="shared" si="128"/>
        <v>0</v>
      </c>
      <c r="P154" s="1410">
        <f t="shared" ref="P154:U154" si="136">F154*P16</f>
        <v>0</v>
      </c>
      <c r="Q154" s="1410">
        <f t="shared" si="136"/>
        <v>0</v>
      </c>
      <c r="R154" s="1411">
        <f t="shared" si="136"/>
        <v>0</v>
      </c>
      <c r="S154" s="1412">
        <f t="shared" si="136"/>
        <v>0</v>
      </c>
      <c r="T154" s="1412">
        <f t="shared" si="136"/>
        <v>0</v>
      </c>
      <c r="U154" s="1410">
        <f t="shared" si="136"/>
        <v>0</v>
      </c>
      <c r="V154" s="1423">
        <f t="shared" si="130"/>
        <v>0</v>
      </c>
    </row>
    <row r="155" spans="1:22" ht="15.75">
      <c r="A155" s="204"/>
      <c r="B155" s="1405"/>
      <c r="C155" s="1431" t="s">
        <v>1432</v>
      </c>
      <c r="D155" s="1431"/>
      <c r="E155" s="1451"/>
      <c r="F155" s="1258">
        <v>0.1</v>
      </c>
      <c r="G155" s="1258">
        <v>0.1</v>
      </c>
      <c r="H155" s="1268">
        <v>0.15</v>
      </c>
      <c r="I155" s="1270">
        <f t="shared" si="127"/>
        <v>0.16499999999999998</v>
      </c>
      <c r="J155" s="1274">
        <v>0.15</v>
      </c>
      <c r="K155" s="1258">
        <v>0.15</v>
      </c>
      <c r="L155" s="1408">
        <v>10</v>
      </c>
      <c r="M155" s="90"/>
      <c r="N155" s="90"/>
      <c r="O155" s="1409" t="str">
        <f t="shared" si="128"/>
        <v>LEGUMES CUITS</v>
      </c>
      <c r="P155" s="1410">
        <f t="shared" ref="P155:U155" si="137">F155*P16</f>
        <v>25.3</v>
      </c>
      <c r="Q155" s="1410">
        <f t="shared" si="137"/>
        <v>82.9</v>
      </c>
      <c r="R155" s="1411">
        <f t="shared" si="137"/>
        <v>7.1999999999999993</v>
      </c>
      <c r="S155" s="1412">
        <f t="shared" si="137"/>
        <v>2.1449999999999996</v>
      </c>
      <c r="T155" s="1412">
        <f t="shared" si="137"/>
        <v>4.3499999999999996</v>
      </c>
      <c r="U155" s="1410">
        <f t="shared" si="137"/>
        <v>2.5499999999999998</v>
      </c>
      <c r="V155" s="1423">
        <f t="shared" si="130"/>
        <v>124.44499999999999</v>
      </c>
    </row>
    <row r="156" spans="1:22" ht="15" customHeight="1">
      <c r="A156" s="204"/>
      <c r="B156" s="1414"/>
      <c r="C156" s="8410" t="s">
        <v>1894</v>
      </c>
      <c r="D156" s="8410"/>
      <c r="E156" s="8410"/>
      <c r="F156" s="8408"/>
      <c r="G156" s="8408"/>
      <c r="H156" s="8408"/>
      <c r="I156" s="8408"/>
      <c r="J156" s="8408"/>
      <c r="K156" s="8408"/>
      <c r="L156" s="8409"/>
      <c r="M156" s="149"/>
      <c r="N156" s="149"/>
      <c r="O156" s="15"/>
      <c r="P156" s="8412" t="str">
        <f>C156</f>
        <v>*- FÉCULENTS CUITS</v>
      </c>
      <c r="Q156" s="8413"/>
      <c r="R156" s="8413"/>
      <c r="S156" s="8413"/>
      <c r="T156" s="8413"/>
      <c r="U156" s="8413"/>
      <c r="V156" s="8414"/>
    </row>
    <row r="157" spans="1:22" ht="15" customHeight="1">
      <c r="A157" s="204"/>
      <c r="B157" s="1414"/>
      <c r="C157" s="8410"/>
      <c r="D157" s="8410"/>
      <c r="E157" s="8410"/>
      <c r="F157" s="8410"/>
      <c r="G157" s="8410"/>
      <c r="H157" s="8410"/>
      <c r="I157" s="8410"/>
      <c r="J157" s="8410"/>
      <c r="K157" s="8410"/>
      <c r="L157" s="8411"/>
      <c r="M157" s="149"/>
      <c r="N157" s="149"/>
      <c r="O157" s="15"/>
      <c r="P157" s="8415"/>
      <c r="Q157" s="8416"/>
      <c r="R157" s="8416"/>
      <c r="S157" s="8416"/>
      <c r="T157" s="8416"/>
      <c r="U157" s="8416"/>
      <c r="V157" s="8417"/>
    </row>
    <row r="158" spans="1:22" ht="15.75">
      <c r="A158" s="204"/>
      <c r="B158" s="1405"/>
      <c r="C158" s="1429" t="s">
        <v>1434</v>
      </c>
      <c r="D158" s="1429"/>
      <c r="E158" s="1450"/>
      <c r="F158" s="1258">
        <v>0.12</v>
      </c>
      <c r="G158" s="1258">
        <v>0.17499999999999999</v>
      </c>
      <c r="H158" s="1268">
        <v>0.22</v>
      </c>
      <c r="I158" s="1270">
        <f t="shared" ref="I158:I167" si="138">(H158*L158%)+H158</f>
        <v>0.24199999999999999</v>
      </c>
      <c r="J158" s="1274">
        <v>0.2</v>
      </c>
      <c r="K158" s="1258">
        <v>0.2</v>
      </c>
      <c r="L158" s="1408">
        <v>10</v>
      </c>
      <c r="M158" s="90"/>
      <c r="N158" s="90"/>
      <c r="O158" s="1409" t="str">
        <f t="shared" ref="O158:O167" si="139">C158</f>
        <v>Riz – Pâtes – Pommes de terre</v>
      </c>
      <c r="P158" s="1410">
        <f t="shared" ref="P158:U158" si="140">F158*P16</f>
        <v>30.36</v>
      </c>
      <c r="Q158" s="1410">
        <f t="shared" si="140"/>
        <v>145.07499999999999</v>
      </c>
      <c r="R158" s="1411">
        <f t="shared" si="140"/>
        <v>10.56</v>
      </c>
      <c r="S158" s="1412">
        <f t="shared" si="140"/>
        <v>3.1459999999999999</v>
      </c>
      <c r="T158" s="1412">
        <f t="shared" si="140"/>
        <v>5.8000000000000007</v>
      </c>
      <c r="U158" s="1410">
        <f t="shared" si="140"/>
        <v>3.4000000000000004</v>
      </c>
      <c r="V158" s="1423">
        <f t="shared" ref="V158:V167" si="141">SUM(P158:U158)</f>
        <v>198.34100000000001</v>
      </c>
    </row>
    <row r="159" spans="1:22" ht="15.75">
      <c r="A159" s="204"/>
      <c r="B159" s="1405"/>
      <c r="C159" s="1429" t="s">
        <v>1435</v>
      </c>
      <c r="D159" s="1429"/>
      <c r="E159" s="1450"/>
      <c r="F159" s="1258">
        <v>0.15</v>
      </c>
      <c r="G159" s="1258">
        <v>1.18</v>
      </c>
      <c r="H159" s="1268">
        <v>0.25</v>
      </c>
      <c r="I159" s="1270">
        <f t="shared" si="138"/>
        <v>0.27500000000000002</v>
      </c>
      <c r="J159" s="1274">
        <v>0.23</v>
      </c>
      <c r="K159" s="1258">
        <v>0.23</v>
      </c>
      <c r="L159" s="1408">
        <v>10</v>
      </c>
      <c r="M159" s="90"/>
      <c r="N159" s="90"/>
      <c r="O159" s="1409" t="str">
        <f t="shared" si="139"/>
        <v>Purée de pomme de terre, fraiche ou reconstituée</v>
      </c>
      <c r="P159" s="1410">
        <f t="shared" ref="P159:U159" si="142">F159*P16</f>
        <v>37.949999999999996</v>
      </c>
      <c r="Q159" s="1410">
        <f t="shared" si="142"/>
        <v>978.21999999999991</v>
      </c>
      <c r="R159" s="1411">
        <f t="shared" si="142"/>
        <v>12</v>
      </c>
      <c r="S159" s="1412">
        <f t="shared" si="142"/>
        <v>3.5750000000000002</v>
      </c>
      <c r="T159" s="1412">
        <f t="shared" si="142"/>
        <v>6.67</v>
      </c>
      <c r="U159" s="1410">
        <f t="shared" si="142"/>
        <v>3.91</v>
      </c>
      <c r="V159" s="1423">
        <f t="shared" si="141"/>
        <v>1042.3250000000003</v>
      </c>
    </row>
    <row r="160" spans="1:22" ht="15.75">
      <c r="A160" s="204"/>
      <c r="B160" s="1405"/>
      <c r="C160" s="1429" t="s">
        <v>907</v>
      </c>
      <c r="D160" s="1429"/>
      <c r="E160" s="1450"/>
      <c r="F160" s="1258">
        <v>0.12</v>
      </c>
      <c r="G160" s="1258">
        <v>0.17</v>
      </c>
      <c r="H160" s="1268">
        <v>0.22</v>
      </c>
      <c r="I160" s="1270">
        <f t="shared" si="138"/>
        <v>0.24199999999999999</v>
      </c>
      <c r="J160" s="1274">
        <v>0.2</v>
      </c>
      <c r="K160" s="1258">
        <v>0.2</v>
      </c>
      <c r="L160" s="1408">
        <v>10</v>
      </c>
      <c r="M160" s="90"/>
      <c r="N160" s="90"/>
      <c r="O160" s="1409" t="str">
        <f t="shared" si="139"/>
        <v>Frites</v>
      </c>
      <c r="P160" s="1410">
        <f t="shared" ref="P160:U160" si="143">F160*P16</f>
        <v>30.36</v>
      </c>
      <c r="Q160" s="1410">
        <f t="shared" si="143"/>
        <v>140.93</v>
      </c>
      <c r="R160" s="1411">
        <f t="shared" si="143"/>
        <v>10.56</v>
      </c>
      <c r="S160" s="1412">
        <f t="shared" si="143"/>
        <v>3.1459999999999999</v>
      </c>
      <c r="T160" s="1412">
        <f t="shared" si="143"/>
        <v>5.8000000000000007</v>
      </c>
      <c r="U160" s="1410">
        <f t="shared" si="143"/>
        <v>3.4000000000000004</v>
      </c>
      <c r="V160" s="1423">
        <f t="shared" si="141"/>
        <v>194.19600000000003</v>
      </c>
    </row>
    <row r="161" spans="1:22" ht="15.75">
      <c r="A161" s="204"/>
      <c r="B161" s="1405"/>
      <c r="C161" s="1429" t="s">
        <v>1436</v>
      </c>
      <c r="D161" s="1429"/>
      <c r="E161" s="1450"/>
      <c r="F161" s="1258">
        <v>0.12</v>
      </c>
      <c r="G161" s="1258">
        <v>0.17</v>
      </c>
      <c r="H161" s="1268">
        <v>0.22</v>
      </c>
      <c r="I161" s="1270">
        <f t="shared" si="138"/>
        <v>0.24199999999999999</v>
      </c>
      <c r="J161" s="1274">
        <v>0.2</v>
      </c>
      <c r="K161" s="1258">
        <v>0.2</v>
      </c>
      <c r="L161" s="1408">
        <v>10</v>
      </c>
      <c r="M161" s="90"/>
      <c r="N161" s="90"/>
      <c r="O161" s="1409" t="str">
        <f t="shared" si="139"/>
        <v>Légumes secs</v>
      </c>
      <c r="P161" s="1410">
        <f t="shared" ref="P161:U161" si="144">F161*P16</f>
        <v>30.36</v>
      </c>
      <c r="Q161" s="1410">
        <f t="shared" si="144"/>
        <v>140.93</v>
      </c>
      <c r="R161" s="1411">
        <f t="shared" si="144"/>
        <v>10.56</v>
      </c>
      <c r="S161" s="1412">
        <f t="shared" si="144"/>
        <v>3.1459999999999999</v>
      </c>
      <c r="T161" s="1412">
        <f t="shared" si="144"/>
        <v>5.8000000000000007</v>
      </c>
      <c r="U161" s="1410">
        <f t="shared" si="144"/>
        <v>3.4000000000000004</v>
      </c>
      <c r="V161" s="1423">
        <f t="shared" si="141"/>
        <v>194.19600000000003</v>
      </c>
    </row>
    <row r="162" spans="1:22" ht="15.75">
      <c r="A162" s="204"/>
      <c r="B162" s="1414"/>
      <c r="C162" s="1429" t="s">
        <v>1437</v>
      </c>
      <c r="D162" s="1429"/>
      <c r="E162" s="1450"/>
      <c r="F162" s="1258">
        <v>0.05</v>
      </c>
      <c r="G162" s="1258">
        <v>7.0000000000000007E-2</v>
      </c>
      <c r="H162" s="1268">
        <v>0.08</v>
      </c>
      <c r="I162" s="1270">
        <f t="shared" si="138"/>
        <v>8.7999999999999995E-2</v>
      </c>
      <c r="J162" s="1274">
        <v>8.0000000000000002E-3</v>
      </c>
      <c r="K162" s="1258">
        <v>8.0000000000000002E-3</v>
      </c>
      <c r="L162" s="1408">
        <v>10</v>
      </c>
      <c r="M162" s="90"/>
      <c r="N162" s="90"/>
      <c r="O162" s="1409" t="str">
        <f t="shared" si="139"/>
        <v xml:space="preserve">SAUCES POUR PLATS </v>
      </c>
      <c r="P162" s="1410">
        <f t="shared" ref="P162:U162" si="145">F162*P16</f>
        <v>12.65</v>
      </c>
      <c r="Q162" s="1410">
        <f t="shared" si="145"/>
        <v>58.030000000000008</v>
      </c>
      <c r="R162" s="1411">
        <f t="shared" si="145"/>
        <v>3.84</v>
      </c>
      <c r="S162" s="1412">
        <f t="shared" si="145"/>
        <v>1.1439999999999999</v>
      </c>
      <c r="T162" s="1412">
        <f t="shared" si="145"/>
        <v>0.23200000000000001</v>
      </c>
      <c r="U162" s="1410">
        <f t="shared" si="145"/>
        <v>0.13600000000000001</v>
      </c>
      <c r="V162" s="1423">
        <f t="shared" si="141"/>
        <v>76.032000000000011</v>
      </c>
    </row>
    <row r="163" spans="1:22" ht="15.75">
      <c r="A163" s="204"/>
      <c r="B163" s="1405"/>
      <c r="C163" s="1429" t="s">
        <v>1895</v>
      </c>
      <c r="D163" s="1429"/>
      <c r="E163" s="1450"/>
      <c r="F163" s="1258">
        <v>5.0000000000000001E-3</v>
      </c>
      <c r="G163" s="1258">
        <v>7.0000000000000001E-3</v>
      </c>
      <c r="H163" s="1268">
        <v>8.0000000000000002E-3</v>
      </c>
      <c r="I163" s="1270">
        <f t="shared" si="138"/>
        <v>8.8000000000000005E-3</v>
      </c>
      <c r="J163" s="1274">
        <v>8.0000000000000002E-3</v>
      </c>
      <c r="K163" s="1258">
        <v>8.0000000000000002E-3</v>
      </c>
      <c r="L163" s="1408">
        <v>10</v>
      </c>
      <c r="M163" s="90"/>
      <c r="N163" s="90"/>
      <c r="O163" s="1409" t="str">
        <f t="shared" si="139"/>
        <v>SAUCES POUR PLATS (mayonnaise, ketchup, etc.) Poids de la matière grasse</v>
      </c>
      <c r="P163" s="1410">
        <f t="shared" ref="P163:U163" si="146">F163*P16</f>
        <v>1.2650000000000001</v>
      </c>
      <c r="Q163" s="1410">
        <f t="shared" si="146"/>
        <v>5.8029999999999999</v>
      </c>
      <c r="R163" s="1411">
        <f t="shared" si="146"/>
        <v>0.38400000000000001</v>
      </c>
      <c r="S163" s="1412">
        <f t="shared" si="146"/>
        <v>0.1144</v>
      </c>
      <c r="T163" s="1412">
        <f t="shared" si="146"/>
        <v>0.23200000000000001</v>
      </c>
      <c r="U163" s="1410">
        <f t="shared" si="146"/>
        <v>0.13600000000000001</v>
      </c>
      <c r="V163" s="1423">
        <f t="shared" si="141"/>
        <v>7.9344000000000001</v>
      </c>
    </row>
    <row r="164" spans="1:22" ht="15.75">
      <c r="A164" s="204"/>
      <c r="B164" s="1405"/>
      <c r="C164" s="1429" t="s">
        <v>1896</v>
      </c>
      <c r="D164" s="1429"/>
      <c r="E164" s="1450"/>
      <c r="F164" s="1258">
        <v>0.05</v>
      </c>
      <c r="G164" s="1258">
        <v>7.0000000000000007E-2</v>
      </c>
      <c r="H164" s="1268">
        <v>0.08</v>
      </c>
      <c r="I164" s="1270">
        <f t="shared" si="138"/>
        <v>8.7999999999999995E-2</v>
      </c>
      <c r="J164" s="1274">
        <v>8.0000000000000002E-3</v>
      </c>
      <c r="K164" s="1258">
        <v>8.0000000000000002E-3</v>
      </c>
      <c r="L164" s="1408">
        <v>10</v>
      </c>
      <c r="M164" s="90"/>
      <c r="N164" s="90"/>
      <c r="O164" s="1409" t="str">
        <f t="shared" si="139"/>
        <v>SAUCES POUR PLATS (sauce tomate, béchamel)</v>
      </c>
      <c r="P164" s="1410">
        <f t="shared" ref="P164:U164" si="147">F164*P16</f>
        <v>12.65</v>
      </c>
      <c r="Q164" s="1410">
        <f t="shared" si="147"/>
        <v>58.030000000000008</v>
      </c>
      <c r="R164" s="1411">
        <f t="shared" si="147"/>
        <v>3.84</v>
      </c>
      <c r="S164" s="1412">
        <f t="shared" si="147"/>
        <v>1.1439999999999999</v>
      </c>
      <c r="T164" s="1412">
        <f t="shared" si="147"/>
        <v>0.23200000000000001</v>
      </c>
      <c r="U164" s="1410">
        <f t="shared" si="147"/>
        <v>0.13600000000000001</v>
      </c>
      <c r="V164" s="1423">
        <f t="shared" si="141"/>
        <v>76.032000000000011</v>
      </c>
    </row>
    <row r="165" spans="1:22" ht="15.75">
      <c r="A165" s="204"/>
      <c r="B165" s="1405"/>
      <c r="C165" s="1429" t="s">
        <v>1897</v>
      </c>
      <c r="D165" s="1429"/>
      <c r="E165" s="1450"/>
      <c r="F165" s="1258">
        <v>2.5000000000000001E-2</v>
      </c>
      <c r="G165" s="1258">
        <v>0.03</v>
      </c>
      <c r="H165" s="1268">
        <v>0.04</v>
      </c>
      <c r="I165" s="1270">
        <f t="shared" si="138"/>
        <v>4.3999999999999997E-2</v>
      </c>
      <c r="J165" s="1274">
        <v>0.04</v>
      </c>
      <c r="K165" s="1258">
        <v>3.5000000000000003E-2</v>
      </c>
      <c r="L165" s="1408">
        <v>10</v>
      </c>
      <c r="M165" s="90"/>
      <c r="N165" s="90"/>
      <c r="O165" s="1409" t="str">
        <f t="shared" si="139"/>
        <v>SAUCES POUR PLATS (jus de viande)</v>
      </c>
      <c r="P165" s="1410">
        <f t="shared" ref="P165:U165" si="148">F165*P16</f>
        <v>6.3250000000000002</v>
      </c>
      <c r="Q165" s="1410">
        <f t="shared" si="148"/>
        <v>24.869999999999997</v>
      </c>
      <c r="R165" s="1411">
        <f t="shared" si="148"/>
        <v>1.92</v>
      </c>
      <c r="S165" s="1412">
        <f t="shared" si="148"/>
        <v>0.57199999999999995</v>
      </c>
      <c r="T165" s="1412">
        <f t="shared" si="148"/>
        <v>1.1599999999999999</v>
      </c>
      <c r="U165" s="1410">
        <f t="shared" si="148"/>
        <v>0.59500000000000008</v>
      </c>
      <c r="V165" s="1423">
        <f t="shared" si="141"/>
        <v>35.441999999999993</v>
      </c>
    </row>
    <row r="166" spans="1:22" ht="15.75">
      <c r="A166" s="204"/>
      <c r="B166" s="1405"/>
      <c r="C166" s="1429" t="s">
        <v>1898</v>
      </c>
      <c r="D166" s="1429"/>
      <c r="E166" s="1450"/>
      <c r="F166" s="1258">
        <v>0.03</v>
      </c>
      <c r="G166" s="1258">
        <v>0.04</v>
      </c>
      <c r="H166" s="1268">
        <v>0.06</v>
      </c>
      <c r="I166" s="1270">
        <f t="shared" si="138"/>
        <v>6.6000000000000003E-2</v>
      </c>
      <c r="J166" s="1274">
        <v>0.06</v>
      </c>
      <c r="K166" s="1258">
        <v>0.04</v>
      </c>
      <c r="L166" s="1408">
        <v>10</v>
      </c>
      <c r="M166" s="90"/>
      <c r="N166" s="90"/>
      <c r="O166" s="1409" t="str">
        <f t="shared" si="139"/>
        <v>SAUCES POUR PLATS (beurre blanc, sauce crème,sauce forestière)</v>
      </c>
      <c r="P166" s="1410">
        <f t="shared" ref="P166:U166" si="149">F166*P16</f>
        <v>7.59</v>
      </c>
      <c r="Q166" s="1410">
        <f t="shared" si="149"/>
        <v>33.160000000000004</v>
      </c>
      <c r="R166" s="1411">
        <f t="shared" si="149"/>
        <v>2.88</v>
      </c>
      <c r="S166" s="1412">
        <f t="shared" si="149"/>
        <v>0.8580000000000001</v>
      </c>
      <c r="T166" s="1412">
        <f t="shared" si="149"/>
        <v>1.74</v>
      </c>
      <c r="U166" s="1410">
        <f t="shared" si="149"/>
        <v>0.68</v>
      </c>
      <c r="V166" s="1423">
        <f t="shared" si="141"/>
        <v>46.908000000000001</v>
      </c>
    </row>
    <row r="167" spans="1:22" ht="15.75">
      <c r="A167" s="204"/>
      <c r="B167" s="1405"/>
      <c r="C167" s="1431" t="s">
        <v>1442</v>
      </c>
      <c r="D167" s="1431"/>
      <c r="E167" s="1451"/>
      <c r="F167" s="1258">
        <v>0.02</v>
      </c>
      <c r="G167" s="1258">
        <v>0.03</v>
      </c>
      <c r="H167" s="1268">
        <v>3.5000000000000003E-2</v>
      </c>
      <c r="I167" s="1270">
        <f t="shared" si="138"/>
        <v>3.8500000000000006E-2</v>
      </c>
      <c r="J167" s="1274">
        <v>0.04</v>
      </c>
      <c r="K167" s="1258">
        <v>0.04</v>
      </c>
      <c r="L167" s="1408">
        <v>10</v>
      </c>
      <c r="M167" s="90"/>
      <c r="N167" s="90"/>
      <c r="O167" s="1409" t="str">
        <f t="shared" si="139"/>
        <v>FROMAGES</v>
      </c>
      <c r="P167" s="1410">
        <f t="shared" ref="P167:U167" si="150">F167*P16</f>
        <v>5.0600000000000005</v>
      </c>
      <c r="Q167" s="1410">
        <f t="shared" si="150"/>
        <v>24.869999999999997</v>
      </c>
      <c r="R167" s="1411">
        <f t="shared" si="150"/>
        <v>1.6800000000000002</v>
      </c>
      <c r="S167" s="1412">
        <f t="shared" si="150"/>
        <v>0.50050000000000006</v>
      </c>
      <c r="T167" s="1412">
        <f t="shared" si="150"/>
        <v>1.1599999999999999</v>
      </c>
      <c r="U167" s="1410">
        <f t="shared" si="150"/>
        <v>0.68</v>
      </c>
      <c r="V167" s="1423">
        <f t="shared" si="141"/>
        <v>33.950499999999998</v>
      </c>
    </row>
    <row r="168" spans="1:22" ht="15" customHeight="1">
      <c r="A168" s="204"/>
      <c r="B168" s="1414"/>
      <c r="C168" s="8408" t="s">
        <v>1899</v>
      </c>
      <c r="D168" s="8408"/>
      <c r="E168" s="8408"/>
      <c r="F168" s="8408"/>
      <c r="G168" s="8408"/>
      <c r="H168" s="8408"/>
      <c r="I168" s="8408"/>
      <c r="J168" s="8408"/>
      <c r="K168" s="8408"/>
      <c r="L168" s="8409"/>
      <c r="M168" s="149"/>
      <c r="N168" s="149"/>
      <c r="O168" s="15"/>
      <c r="P168" s="8412" t="str">
        <f>C168</f>
        <v>*- PRODUITS LAITIERS FRAIS</v>
      </c>
      <c r="Q168" s="8413"/>
      <c r="R168" s="8413"/>
      <c r="S168" s="8413"/>
      <c r="T168" s="8413"/>
      <c r="U168" s="8413"/>
      <c r="V168" s="8414"/>
    </row>
    <row r="169" spans="1:22" ht="15" customHeight="1">
      <c r="A169" s="204"/>
      <c r="B169" s="1414"/>
      <c r="C169" s="8410"/>
      <c r="D169" s="8410"/>
      <c r="E169" s="8410"/>
      <c r="F169" s="8410"/>
      <c r="G169" s="8410"/>
      <c r="H169" s="8410"/>
      <c r="I169" s="8410"/>
      <c r="J169" s="8410"/>
      <c r="K169" s="8410"/>
      <c r="L169" s="8411"/>
      <c r="M169" s="149"/>
      <c r="N169" s="149"/>
      <c r="O169" s="15"/>
      <c r="P169" s="8415"/>
      <c r="Q169" s="8416"/>
      <c r="R169" s="8416"/>
      <c r="S169" s="8416"/>
      <c r="T169" s="8416"/>
      <c r="U169" s="8416"/>
      <c r="V169" s="8417"/>
    </row>
    <row r="170" spans="1:22" ht="15.75">
      <c r="A170" s="204"/>
      <c r="B170" s="1405"/>
      <c r="C170" s="1429" t="s">
        <v>1444</v>
      </c>
      <c r="D170" s="1429"/>
      <c r="E170" s="1450"/>
      <c r="F170" s="1258">
        <v>0.11</v>
      </c>
      <c r="G170" s="1258">
        <v>0.11</v>
      </c>
      <c r="H170" s="1268">
        <v>0.111</v>
      </c>
      <c r="I170" s="1270">
        <f>(H170*L170%)+H170</f>
        <v>0.1221</v>
      </c>
      <c r="J170" s="1274">
        <v>0.1</v>
      </c>
      <c r="K170" s="1258">
        <v>0.1</v>
      </c>
      <c r="L170" s="1408">
        <v>10</v>
      </c>
      <c r="M170" s="90"/>
      <c r="N170" s="90"/>
      <c r="O170" s="1409" t="str">
        <f>C170</f>
        <v>Fromage blanc, fromages frais</v>
      </c>
      <c r="P170" s="1410">
        <f t="shared" ref="P170:U170" si="151">F170*P16</f>
        <v>27.830000000000002</v>
      </c>
      <c r="Q170" s="1410">
        <f t="shared" si="151"/>
        <v>91.19</v>
      </c>
      <c r="R170" s="1411">
        <f t="shared" si="151"/>
        <v>5.3280000000000003</v>
      </c>
      <c r="S170" s="1412">
        <f t="shared" si="151"/>
        <v>1.5872999999999999</v>
      </c>
      <c r="T170" s="1412">
        <f t="shared" si="151"/>
        <v>2.9000000000000004</v>
      </c>
      <c r="U170" s="1410">
        <f t="shared" si="151"/>
        <v>1.7000000000000002</v>
      </c>
      <c r="V170" s="1423">
        <f>SUM(P170:U170)</f>
        <v>130.53529999999998</v>
      </c>
    </row>
    <row r="171" spans="1:22" ht="15.75">
      <c r="A171" s="204"/>
      <c r="B171" s="1405"/>
      <c r="C171" s="1429" t="s">
        <v>950</v>
      </c>
      <c r="D171" s="1429"/>
      <c r="E171" s="1450"/>
      <c r="F171" s="1258">
        <v>0.115</v>
      </c>
      <c r="G171" s="1258">
        <v>0.115</v>
      </c>
      <c r="H171" s="1268">
        <v>0.11600000000000001</v>
      </c>
      <c r="I171" s="1270">
        <f>(H171*L171%)+H171</f>
        <v>0.12760000000000002</v>
      </c>
      <c r="J171" s="1274">
        <v>0.115</v>
      </c>
      <c r="K171" s="1258">
        <v>0.115</v>
      </c>
      <c r="L171" s="1408">
        <v>10</v>
      </c>
      <c r="M171" s="90"/>
      <c r="N171" s="90"/>
      <c r="O171" s="1409" t="str">
        <f>C171</f>
        <v>Yaourt</v>
      </c>
      <c r="P171" s="1410">
        <f t="shared" ref="P171:U171" si="152">F171*P16</f>
        <v>29.095000000000002</v>
      </c>
      <c r="Q171" s="1410">
        <f t="shared" si="152"/>
        <v>95.335000000000008</v>
      </c>
      <c r="R171" s="1411">
        <f t="shared" si="152"/>
        <v>5.5680000000000005</v>
      </c>
      <c r="S171" s="1412">
        <f t="shared" si="152"/>
        <v>1.6588000000000003</v>
      </c>
      <c r="T171" s="1412">
        <f t="shared" si="152"/>
        <v>3.335</v>
      </c>
      <c r="U171" s="1410">
        <f t="shared" si="152"/>
        <v>1.9550000000000001</v>
      </c>
      <c r="V171" s="1423">
        <f>SUM(P171:U171)</f>
        <v>136.94680000000005</v>
      </c>
    </row>
    <row r="172" spans="1:22" ht="15.75">
      <c r="A172" s="204"/>
      <c r="B172" s="1405"/>
      <c r="C172" s="1429" t="s">
        <v>1445</v>
      </c>
      <c r="D172" s="1429"/>
      <c r="E172" s="1450"/>
      <c r="F172" s="1258">
        <v>0.06</v>
      </c>
      <c r="G172" s="1258">
        <v>0.06</v>
      </c>
      <c r="H172" s="1268">
        <v>0.12</v>
      </c>
      <c r="I172" s="1270">
        <f>(H172*L172%)+H172</f>
        <v>0.13200000000000001</v>
      </c>
      <c r="J172" s="1274">
        <v>0.12</v>
      </c>
      <c r="K172" s="1258">
        <v>0.12</v>
      </c>
      <c r="L172" s="1408">
        <v>10</v>
      </c>
      <c r="M172" s="90"/>
      <c r="N172" s="90"/>
      <c r="O172" s="1409" t="str">
        <f>C172</f>
        <v>Petit suisse</v>
      </c>
      <c r="P172" s="1410">
        <f t="shared" ref="P172:U172" si="153">F172*P16</f>
        <v>15.18</v>
      </c>
      <c r="Q172" s="1410">
        <f t="shared" si="153"/>
        <v>49.739999999999995</v>
      </c>
      <c r="R172" s="1411">
        <f t="shared" si="153"/>
        <v>5.76</v>
      </c>
      <c r="S172" s="1412">
        <f t="shared" si="153"/>
        <v>1.7160000000000002</v>
      </c>
      <c r="T172" s="1412">
        <f t="shared" si="153"/>
        <v>3.48</v>
      </c>
      <c r="U172" s="1410">
        <f t="shared" si="153"/>
        <v>2.04</v>
      </c>
      <c r="V172" s="1423">
        <f>SUM(P172:U172)</f>
        <v>77.915999999999997</v>
      </c>
    </row>
    <row r="173" spans="1:22" ht="15.75">
      <c r="A173" s="204"/>
      <c r="B173" s="1405"/>
      <c r="C173" s="1431" t="s">
        <v>1446</v>
      </c>
      <c r="D173" s="1431"/>
      <c r="E173" s="1451"/>
      <c r="F173" s="1258">
        <v>0.125</v>
      </c>
      <c r="G173" s="1258">
        <v>0.125</v>
      </c>
      <c r="H173" s="1268">
        <v>0.125</v>
      </c>
      <c r="I173" s="1270">
        <f>(H173*L173%)+H173</f>
        <v>0.13750000000000001</v>
      </c>
      <c r="J173" s="1274">
        <v>0</v>
      </c>
      <c r="K173" s="1258">
        <v>0</v>
      </c>
      <c r="L173" s="1408">
        <v>10</v>
      </c>
      <c r="M173" s="90"/>
      <c r="N173" s="90"/>
      <c r="O173" s="1409" t="str">
        <f>C173</f>
        <v>Lait demi-écrémé en ml des menus 4 composantes</v>
      </c>
      <c r="P173" s="1410">
        <f t="shared" ref="P173:U173" si="154">F173*P16</f>
        <v>31.625</v>
      </c>
      <c r="Q173" s="1410">
        <f t="shared" si="154"/>
        <v>103.625</v>
      </c>
      <c r="R173" s="1411">
        <f t="shared" si="154"/>
        <v>6</v>
      </c>
      <c r="S173" s="1412">
        <f t="shared" si="154"/>
        <v>1.7875000000000001</v>
      </c>
      <c r="T173" s="1412">
        <f t="shared" si="154"/>
        <v>0</v>
      </c>
      <c r="U173" s="1410">
        <f t="shared" si="154"/>
        <v>0</v>
      </c>
      <c r="V173" s="1423">
        <f>SUM(P173:U173)</f>
        <v>143.03749999999999</v>
      </c>
    </row>
    <row r="174" spans="1:22" ht="15" customHeight="1">
      <c r="A174" s="204"/>
      <c r="B174" s="1414"/>
      <c r="C174" s="8408" t="s">
        <v>1900</v>
      </c>
      <c r="D174" s="8408"/>
      <c r="E174" s="8408"/>
      <c r="F174" s="8408"/>
      <c r="G174" s="8408"/>
      <c r="H174" s="8408"/>
      <c r="I174" s="8408"/>
      <c r="J174" s="8408"/>
      <c r="K174" s="8408"/>
      <c r="L174" s="8409"/>
      <c r="M174" s="149"/>
      <c r="N174" s="149"/>
      <c r="O174" s="15"/>
      <c r="P174" s="8412" t="str">
        <f>C174</f>
        <v>*- DESSERTS</v>
      </c>
      <c r="Q174" s="8413"/>
      <c r="R174" s="8413"/>
      <c r="S174" s="8413"/>
      <c r="T174" s="8413"/>
      <c r="U174" s="8413"/>
      <c r="V174" s="8414"/>
    </row>
    <row r="175" spans="1:22" ht="15" customHeight="1">
      <c r="A175" s="204"/>
      <c r="B175" s="1414"/>
      <c r="C175" s="8410"/>
      <c r="D175" s="8410"/>
      <c r="E175" s="8410"/>
      <c r="F175" s="8410"/>
      <c r="G175" s="8410"/>
      <c r="H175" s="8410"/>
      <c r="I175" s="8410"/>
      <c r="J175" s="8410"/>
      <c r="K175" s="8410"/>
      <c r="L175" s="8411"/>
      <c r="M175" s="149"/>
      <c r="N175" s="149"/>
      <c r="O175" s="15"/>
      <c r="P175" s="8415"/>
      <c r="Q175" s="8416"/>
      <c r="R175" s="8416"/>
      <c r="S175" s="8416"/>
      <c r="T175" s="8416"/>
      <c r="U175" s="8416"/>
      <c r="V175" s="8417"/>
    </row>
    <row r="176" spans="1:22" ht="15.75">
      <c r="A176" s="204"/>
      <c r="B176" s="1405"/>
      <c r="C176" s="1429" t="s">
        <v>1448</v>
      </c>
      <c r="D176" s="1429"/>
      <c r="E176" s="1450"/>
      <c r="F176" s="1258">
        <v>0.1</v>
      </c>
      <c r="G176" s="1258">
        <v>0.1</v>
      </c>
      <c r="H176" s="1268">
        <v>0.1</v>
      </c>
      <c r="I176" s="1270">
        <f t="shared" ref="I176:I183" si="155">(H176*L176%)+H176</f>
        <v>0.11000000000000001</v>
      </c>
      <c r="J176" s="1274">
        <v>0.1</v>
      </c>
      <c r="K176" s="1258">
        <v>0.1</v>
      </c>
      <c r="L176" s="1408">
        <v>10</v>
      </c>
      <c r="M176" s="90"/>
      <c r="N176" s="90"/>
      <c r="O176" s="1409" t="str">
        <f t="shared" ref="O176:O183" si="156">C176</f>
        <v>Desserts lactés</v>
      </c>
      <c r="P176" s="1410">
        <f t="shared" ref="P176:U176" si="157">F176*P16</f>
        <v>25.3</v>
      </c>
      <c r="Q176" s="1410">
        <f t="shared" si="157"/>
        <v>82.9</v>
      </c>
      <c r="R176" s="1411">
        <f t="shared" si="157"/>
        <v>4.8000000000000007</v>
      </c>
      <c r="S176" s="1412">
        <f t="shared" si="157"/>
        <v>1.4300000000000002</v>
      </c>
      <c r="T176" s="1412">
        <f t="shared" si="157"/>
        <v>2.9000000000000004</v>
      </c>
      <c r="U176" s="1410">
        <f t="shared" si="157"/>
        <v>1.7000000000000002</v>
      </c>
      <c r="V176" s="1423">
        <f t="shared" ref="V176:V183" si="158">SUM(P176:U176)</f>
        <v>119.03000000000002</v>
      </c>
    </row>
    <row r="177" spans="1:22" ht="15.75">
      <c r="A177" s="204"/>
      <c r="B177" s="1405"/>
      <c r="C177" s="1429" t="s">
        <v>1449</v>
      </c>
      <c r="D177" s="1429"/>
      <c r="E177" s="1450"/>
      <c r="F177" s="1258">
        <v>0.12</v>
      </c>
      <c r="G177" s="1258">
        <v>0.12</v>
      </c>
      <c r="H177" s="1268">
        <v>0.12</v>
      </c>
      <c r="I177" s="1270">
        <f t="shared" si="155"/>
        <v>0.13200000000000001</v>
      </c>
      <c r="J177" s="1274">
        <v>0.12</v>
      </c>
      <c r="K177" s="1258">
        <v>0.12</v>
      </c>
      <c r="L177" s="1408">
        <v>10</v>
      </c>
      <c r="M177" s="90"/>
      <c r="N177" s="90"/>
      <c r="O177" s="1409" t="str">
        <f t="shared" si="156"/>
        <v>Mousse (en Litre)</v>
      </c>
      <c r="P177" s="1410">
        <f t="shared" ref="P177:U177" si="159">F177*P16</f>
        <v>30.36</v>
      </c>
      <c r="Q177" s="1410">
        <f t="shared" si="159"/>
        <v>99.47999999999999</v>
      </c>
      <c r="R177" s="1411">
        <f t="shared" si="159"/>
        <v>5.76</v>
      </c>
      <c r="S177" s="1412">
        <f t="shared" si="159"/>
        <v>1.7160000000000002</v>
      </c>
      <c r="T177" s="1412">
        <f t="shared" si="159"/>
        <v>3.48</v>
      </c>
      <c r="U177" s="1410">
        <f t="shared" si="159"/>
        <v>2.04</v>
      </c>
      <c r="V177" s="1423">
        <f t="shared" si="158"/>
        <v>142.83599999999996</v>
      </c>
    </row>
    <row r="178" spans="1:22" ht="15.75">
      <c r="A178" s="204"/>
      <c r="B178" s="1405"/>
      <c r="C178" s="1429" t="s">
        <v>1450</v>
      </c>
      <c r="D178" s="1429"/>
      <c r="E178" s="1450"/>
      <c r="F178" s="1258">
        <v>0.11</v>
      </c>
      <c r="G178" s="1258">
        <v>0.1</v>
      </c>
      <c r="H178" s="1268">
        <v>0.13</v>
      </c>
      <c r="I178" s="1270">
        <f t="shared" si="155"/>
        <v>0.14300000000000002</v>
      </c>
      <c r="J178" s="1274">
        <v>0.13</v>
      </c>
      <c r="K178" s="1258">
        <v>0.13</v>
      </c>
      <c r="L178" s="1408">
        <v>10</v>
      </c>
      <c r="M178" s="90"/>
      <c r="N178" s="90"/>
      <c r="O178" s="1409" t="str">
        <f t="shared" si="156"/>
        <v>Fruits crus</v>
      </c>
      <c r="P178" s="1410">
        <f t="shared" ref="P178:U178" si="160">F178*P16</f>
        <v>27.830000000000002</v>
      </c>
      <c r="Q178" s="1410">
        <f t="shared" si="160"/>
        <v>82.9</v>
      </c>
      <c r="R178" s="1411">
        <f t="shared" si="160"/>
        <v>6.24</v>
      </c>
      <c r="S178" s="1412">
        <f t="shared" si="160"/>
        <v>1.8590000000000002</v>
      </c>
      <c r="T178" s="1412">
        <f t="shared" si="160"/>
        <v>3.77</v>
      </c>
      <c r="U178" s="1410">
        <f t="shared" si="160"/>
        <v>2.21</v>
      </c>
      <c r="V178" s="1423">
        <f t="shared" si="158"/>
        <v>124.80899999999998</v>
      </c>
    </row>
    <row r="179" spans="1:22" ht="15.75">
      <c r="A179" s="204"/>
      <c r="B179" s="1405"/>
      <c r="C179" s="1429" t="s">
        <v>1451</v>
      </c>
      <c r="D179" s="1429"/>
      <c r="E179" s="1450"/>
      <c r="F179" s="1258">
        <v>0.1</v>
      </c>
      <c r="G179" s="1258">
        <v>0.1</v>
      </c>
      <c r="H179" s="1268">
        <v>0.13</v>
      </c>
      <c r="I179" s="1270">
        <f t="shared" si="155"/>
        <v>0.14300000000000002</v>
      </c>
      <c r="J179" s="1274">
        <v>0.13</v>
      </c>
      <c r="K179" s="1258">
        <v>0.13</v>
      </c>
      <c r="L179" s="1408">
        <v>10</v>
      </c>
      <c r="M179" s="90"/>
      <c r="N179" s="90"/>
      <c r="O179" s="1409" t="str">
        <f t="shared" si="156"/>
        <v>Fruits cuits</v>
      </c>
      <c r="P179" s="1410">
        <f t="shared" ref="P179:U179" si="161">F179*P16</f>
        <v>25.3</v>
      </c>
      <c r="Q179" s="1410">
        <f t="shared" si="161"/>
        <v>82.9</v>
      </c>
      <c r="R179" s="1411">
        <f t="shared" si="161"/>
        <v>6.24</v>
      </c>
      <c r="S179" s="1412">
        <f t="shared" si="161"/>
        <v>1.8590000000000002</v>
      </c>
      <c r="T179" s="1412">
        <f t="shared" si="161"/>
        <v>3.77</v>
      </c>
      <c r="U179" s="1410">
        <f t="shared" si="161"/>
        <v>2.21</v>
      </c>
      <c r="V179" s="1423">
        <f t="shared" si="158"/>
        <v>122.27899999999998</v>
      </c>
    </row>
    <row r="180" spans="1:22" ht="15.75">
      <c r="A180" s="204"/>
      <c r="B180" s="1405"/>
      <c r="C180" s="1429" t="s">
        <v>1452</v>
      </c>
      <c r="D180" s="1429"/>
      <c r="E180" s="1450"/>
      <c r="F180" s="1258">
        <v>0.04</v>
      </c>
      <c r="G180" s="1258">
        <v>0.04</v>
      </c>
      <c r="H180" s="1268">
        <v>0.06</v>
      </c>
      <c r="I180" s="1270">
        <f t="shared" si="155"/>
        <v>6.6000000000000003E-2</v>
      </c>
      <c r="J180" s="1274">
        <v>0.06</v>
      </c>
      <c r="K180" s="1258">
        <v>0.06</v>
      </c>
      <c r="L180" s="1408">
        <v>10</v>
      </c>
      <c r="M180" s="90"/>
      <c r="N180" s="90"/>
      <c r="O180" s="1409" t="str">
        <f t="shared" si="156"/>
        <v>Pâtisseries fraiches ou surgelées en portions</v>
      </c>
      <c r="P180" s="1410">
        <f t="shared" ref="P180:U180" si="162">F180*P16</f>
        <v>10.120000000000001</v>
      </c>
      <c r="Q180" s="1410">
        <f t="shared" si="162"/>
        <v>33.160000000000004</v>
      </c>
      <c r="R180" s="1411">
        <f t="shared" si="162"/>
        <v>2.88</v>
      </c>
      <c r="S180" s="1412">
        <f t="shared" si="162"/>
        <v>0.8580000000000001</v>
      </c>
      <c r="T180" s="1412">
        <f t="shared" si="162"/>
        <v>1.74</v>
      </c>
      <c r="U180" s="1410">
        <f t="shared" si="162"/>
        <v>1.02</v>
      </c>
      <c r="V180" s="1423">
        <f t="shared" si="158"/>
        <v>49.778000000000006</v>
      </c>
    </row>
    <row r="181" spans="1:22" ht="15.75">
      <c r="A181" s="204"/>
      <c r="B181" s="1405"/>
      <c r="C181" s="1429" t="s">
        <v>1453</v>
      </c>
      <c r="D181" s="1429"/>
      <c r="E181" s="1450"/>
      <c r="F181" s="1258">
        <v>0.06</v>
      </c>
      <c r="G181" s="1258">
        <v>0.06</v>
      </c>
      <c r="H181" s="1268">
        <v>0.08</v>
      </c>
      <c r="I181" s="1270">
        <f t="shared" si="155"/>
        <v>8.7999999999999995E-2</v>
      </c>
      <c r="J181" s="1274">
        <v>0.08</v>
      </c>
      <c r="K181" s="1258">
        <v>0.08</v>
      </c>
      <c r="L181" s="1408">
        <v>10</v>
      </c>
      <c r="M181" s="90"/>
      <c r="N181" s="90"/>
      <c r="O181" s="1409" t="str">
        <f t="shared" si="156"/>
        <v>Pâtisseries fraiches ou surgelées à portionner</v>
      </c>
      <c r="P181" s="1410">
        <f t="shared" ref="P181:U181" si="163">F181*P16</f>
        <v>15.18</v>
      </c>
      <c r="Q181" s="1410">
        <f t="shared" si="163"/>
        <v>49.739999999999995</v>
      </c>
      <c r="R181" s="1411">
        <f t="shared" si="163"/>
        <v>3.84</v>
      </c>
      <c r="S181" s="1412">
        <f t="shared" si="163"/>
        <v>1.1439999999999999</v>
      </c>
      <c r="T181" s="1412">
        <f t="shared" si="163"/>
        <v>2.3199999999999998</v>
      </c>
      <c r="U181" s="1410">
        <f t="shared" si="163"/>
        <v>1.36</v>
      </c>
      <c r="V181" s="1423">
        <f t="shared" si="158"/>
        <v>73.583999999999989</v>
      </c>
    </row>
    <row r="182" spans="1:22" ht="15.75">
      <c r="A182" s="204"/>
      <c r="B182" s="1405"/>
      <c r="C182" s="1429" t="s">
        <v>1454</v>
      </c>
      <c r="D182" s="1429"/>
      <c r="E182" s="1450"/>
      <c r="F182" s="1258">
        <v>0.03</v>
      </c>
      <c r="G182" s="1258">
        <v>0.03</v>
      </c>
      <c r="H182" s="1268">
        <v>0.05</v>
      </c>
      <c r="I182" s="1270">
        <f t="shared" si="155"/>
        <v>5.5000000000000007E-2</v>
      </c>
      <c r="J182" s="1274">
        <v>0.05</v>
      </c>
      <c r="K182" s="1258">
        <v>0.05</v>
      </c>
      <c r="L182" s="1408">
        <v>10</v>
      </c>
      <c r="M182" s="90"/>
      <c r="N182" s="90"/>
      <c r="O182" s="1409" t="str">
        <f t="shared" si="156"/>
        <v>Pâtisserie sèche emballée</v>
      </c>
      <c r="P182" s="1410">
        <f t="shared" ref="P182:U182" si="164">F182*P16</f>
        <v>7.59</v>
      </c>
      <c r="Q182" s="1410">
        <f t="shared" si="164"/>
        <v>24.869999999999997</v>
      </c>
      <c r="R182" s="1411">
        <f t="shared" si="164"/>
        <v>2.4000000000000004</v>
      </c>
      <c r="S182" s="1412">
        <f t="shared" si="164"/>
        <v>0.71500000000000008</v>
      </c>
      <c r="T182" s="1412">
        <f t="shared" si="164"/>
        <v>1.4500000000000002</v>
      </c>
      <c r="U182" s="1410">
        <f t="shared" si="164"/>
        <v>0.85000000000000009</v>
      </c>
      <c r="V182" s="1423">
        <f t="shared" si="158"/>
        <v>37.875</v>
      </c>
    </row>
    <row r="183" spans="1:22" ht="15.75">
      <c r="A183" s="204"/>
      <c r="B183" s="1405"/>
      <c r="C183" s="1431" t="s">
        <v>1901</v>
      </c>
      <c r="D183" s="1431"/>
      <c r="E183" s="1451"/>
      <c r="F183" s="1258">
        <v>1.4999999999999999E-2</v>
      </c>
      <c r="G183" s="1258">
        <v>1.4999999999999999E-2</v>
      </c>
      <c r="H183" s="1268">
        <v>2.1000000000000001E-2</v>
      </c>
      <c r="I183" s="1270">
        <f t="shared" si="155"/>
        <v>2.3100000000000002E-2</v>
      </c>
      <c r="J183" s="1274">
        <v>2E-3</v>
      </c>
      <c r="K183" s="1258">
        <v>2E-3</v>
      </c>
      <c r="L183" s="1408">
        <v>10</v>
      </c>
      <c r="M183" s="90"/>
      <c r="N183" s="90"/>
      <c r="O183" s="1409" t="str">
        <f t="shared" si="156"/>
        <v>Biscuits d'accompagnement</v>
      </c>
      <c r="P183" s="1410">
        <f t="shared" ref="P183:U183" si="165">F183*P16</f>
        <v>3.7949999999999999</v>
      </c>
      <c r="Q183" s="1410">
        <f t="shared" si="165"/>
        <v>12.434999999999999</v>
      </c>
      <c r="R183" s="1411">
        <f t="shared" si="165"/>
        <v>1.008</v>
      </c>
      <c r="S183" s="1412">
        <f t="shared" si="165"/>
        <v>0.30030000000000001</v>
      </c>
      <c r="T183" s="1412">
        <f t="shared" si="165"/>
        <v>5.8000000000000003E-2</v>
      </c>
      <c r="U183" s="1410">
        <f t="shared" si="165"/>
        <v>3.4000000000000002E-2</v>
      </c>
      <c r="V183" s="1423">
        <f t="shared" si="158"/>
        <v>17.630299999999995</v>
      </c>
    </row>
    <row r="184" spans="1:22" ht="15" customHeight="1">
      <c r="A184" s="204"/>
      <c r="B184" s="1414"/>
      <c r="C184" s="8408" t="s">
        <v>1456</v>
      </c>
      <c r="D184" s="8408"/>
      <c r="E184" s="8408"/>
      <c r="F184" s="8408"/>
      <c r="G184" s="8408"/>
      <c r="H184" s="8408"/>
      <c r="I184" s="8408"/>
      <c r="J184" s="8408"/>
      <c r="K184" s="8408"/>
      <c r="L184" s="8409"/>
      <c r="M184" s="149"/>
      <c r="N184" s="149"/>
      <c r="O184" s="15"/>
      <c r="P184" s="8412" t="str">
        <f>C184</f>
        <v>GOUTER, COLLATION (enfants, adolescents et personnes âgées en institution)</v>
      </c>
      <c r="Q184" s="8413"/>
      <c r="R184" s="8413"/>
      <c r="S184" s="8413"/>
      <c r="T184" s="8413"/>
      <c r="U184" s="8413"/>
      <c r="V184" s="8414"/>
    </row>
    <row r="185" spans="1:22" ht="15" customHeight="1">
      <c r="A185" s="204"/>
      <c r="B185" s="1414"/>
      <c r="C185" s="8410"/>
      <c r="D185" s="8410"/>
      <c r="E185" s="8410"/>
      <c r="F185" s="8410"/>
      <c r="G185" s="8410"/>
      <c r="H185" s="8410"/>
      <c r="I185" s="8410"/>
      <c r="J185" s="8410"/>
      <c r="K185" s="8410"/>
      <c r="L185" s="8411"/>
      <c r="M185" s="149"/>
      <c r="N185" s="149"/>
      <c r="O185" s="15"/>
      <c r="P185" s="8415"/>
      <c r="Q185" s="8416"/>
      <c r="R185" s="8416"/>
      <c r="S185" s="8416"/>
      <c r="T185" s="8416"/>
      <c r="U185" s="8416"/>
      <c r="V185" s="8417"/>
    </row>
    <row r="186" spans="1:22" ht="15.75">
      <c r="A186" s="204"/>
      <c r="B186" s="1405"/>
      <c r="C186" s="1431" t="s">
        <v>1457</v>
      </c>
      <c r="D186" s="1431"/>
      <c r="E186" s="1451"/>
      <c r="F186" s="1258">
        <v>0.04</v>
      </c>
      <c r="G186" s="1258">
        <v>0.05</v>
      </c>
      <c r="H186" s="1268">
        <v>0.08</v>
      </c>
      <c r="I186" s="1270">
        <f>(H186*L186%)+H186</f>
        <v>8.7999999999999995E-2</v>
      </c>
      <c r="J186" s="1274">
        <v>0.04</v>
      </c>
      <c r="K186" s="1258"/>
      <c r="L186" s="1408">
        <v>10</v>
      </c>
      <c r="M186" s="90"/>
      <c r="N186" s="90"/>
      <c r="O186" s="1409" t="str">
        <f>C186</f>
        <v>Pain</v>
      </c>
      <c r="P186" s="1410">
        <f t="shared" ref="P186:U186" si="166">F186*P16</f>
        <v>10.120000000000001</v>
      </c>
      <c r="Q186" s="1410">
        <f t="shared" si="166"/>
        <v>41.45</v>
      </c>
      <c r="R186" s="1411">
        <f t="shared" si="166"/>
        <v>3.84</v>
      </c>
      <c r="S186" s="1412">
        <f t="shared" si="166"/>
        <v>1.1439999999999999</v>
      </c>
      <c r="T186" s="1412">
        <f t="shared" si="166"/>
        <v>1.1599999999999999</v>
      </c>
      <c r="U186" s="1410">
        <f t="shared" si="166"/>
        <v>0</v>
      </c>
      <c r="V186" s="1423">
        <f>SUM(P186:U186)</f>
        <v>57.714000000000006</v>
      </c>
    </row>
    <row r="187" spans="1:22" ht="15" customHeight="1">
      <c r="A187" s="204"/>
      <c r="B187" s="1414"/>
      <c r="C187" s="8408" t="s">
        <v>1458</v>
      </c>
      <c r="D187" s="8408"/>
      <c r="E187" s="8408"/>
      <c r="F187" s="8408"/>
      <c r="G187" s="8408"/>
      <c r="H187" s="8408"/>
      <c r="I187" s="8408"/>
      <c r="J187" s="8408"/>
      <c r="K187" s="8408"/>
      <c r="L187" s="8409"/>
      <c r="M187" s="149"/>
      <c r="N187" s="149"/>
      <c r="O187" s="15"/>
      <c r="P187" s="8412" t="str">
        <f>C187</f>
        <v>Biscuits secs</v>
      </c>
      <c r="Q187" s="8413"/>
      <c r="R187" s="8413"/>
      <c r="S187" s="8413"/>
      <c r="T187" s="8413"/>
      <c r="U187" s="8413"/>
      <c r="V187" s="8414"/>
    </row>
    <row r="188" spans="1:22" ht="15" customHeight="1">
      <c r="A188" s="204"/>
      <c r="B188" s="1414"/>
      <c r="C188" s="8410"/>
      <c r="D188" s="8410"/>
      <c r="E188" s="8410"/>
      <c r="F188" s="8410"/>
      <c r="G188" s="8410"/>
      <c r="H188" s="8410"/>
      <c r="I188" s="8410"/>
      <c r="J188" s="8410"/>
      <c r="K188" s="8410"/>
      <c r="L188" s="8411"/>
      <c r="M188" s="149"/>
      <c r="N188" s="149"/>
      <c r="O188" s="15"/>
      <c r="P188" s="8415"/>
      <c r="Q188" s="8416"/>
      <c r="R188" s="8416"/>
      <c r="S188" s="8416"/>
      <c r="T188" s="8416"/>
      <c r="U188" s="8416"/>
      <c r="V188" s="8417"/>
    </row>
    <row r="189" spans="1:22" ht="15.75">
      <c r="A189" s="204"/>
      <c r="B189" s="1405"/>
      <c r="C189" s="1429" t="s">
        <v>1459</v>
      </c>
      <c r="D189" s="1429"/>
      <c r="E189" s="1450"/>
      <c r="F189" s="1258">
        <v>3.5000000000000003E-2</v>
      </c>
      <c r="G189" s="1258">
        <v>5.5E-2</v>
      </c>
      <c r="H189" s="1268">
        <v>0.08</v>
      </c>
      <c r="I189" s="1270">
        <f t="shared" ref="I189:I198" si="167">(H189*L189%)+H189</f>
        <v>8.7999999999999995E-2</v>
      </c>
      <c r="J189" s="1274"/>
      <c r="K189" s="1258"/>
      <c r="L189" s="1408">
        <v>10</v>
      </c>
      <c r="M189" s="90"/>
      <c r="N189" s="90"/>
      <c r="O189" s="1409" t="str">
        <f t="shared" ref="O189:O198" si="168">C189</f>
        <v>Céréales (enfants et adolescents uniquement)</v>
      </c>
      <c r="P189" s="1410">
        <f t="shared" ref="P189:U189" si="169">F189*P16</f>
        <v>8.8550000000000004</v>
      </c>
      <c r="Q189" s="1410">
        <f t="shared" si="169"/>
        <v>45.594999999999999</v>
      </c>
      <c r="R189" s="1411">
        <f t="shared" si="169"/>
        <v>3.84</v>
      </c>
      <c r="S189" s="1412">
        <f t="shared" si="169"/>
        <v>1.1439999999999999</v>
      </c>
      <c r="T189" s="1412">
        <f t="shared" si="169"/>
        <v>0</v>
      </c>
      <c r="U189" s="1410">
        <f t="shared" si="169"/>
        <v>0</v>
      </c>
      <c r="V189" s="1423">
        <f t="shared" ref="V189:V198" si="170">SUM(P189:U189)</f>
        <v>59.434000000000005</v>
      </c>
    </row>
    <row r="190" spans="1:22" ht="15.75">
      <c r="A190" s="204"/>
      <c r="B190" s="1405"/>
      <c r="C190" s="1429" t="s">
        <v>1460</v>
      </c>
      <c r="D190" s="1429"/>
      <c r="E190" s="1450"/>
      <c r="F190" s="1258">
        <v>0.03</v>
      </c>
      <c r="G190" s="1258">
        <v>0.03</v>
      </c>
      <c r="H190" s="1268">
        <v>0.05</v>
      </c>
      <c r="I190" s="1270">
        <f t="shared" si="167"/>
        <v>5.5000000000000007E-2</v>
      </c>
      <c r="J190" s="1274">
        <v>0.05</v>
      </c>
      <c r="K190" s="1258"/>
      <c r="L190" s="1408">
        <v>10</v>
      </c>
      <c r="M190" s="90"/>
      <c r="N190" s="90"/>
      <c r="O190" s="1409" t="str">
        <f t="shared" si="168"/>
        <v>Pâtisseries sèches emballées</v>
      </c>
      <c r="P190" s="1410">
        <f t="shared" ref="P190:U190" si="171">F190*P16</f>
        <v>7.59</v>
      </c>
      <c r="Q190" s="1410">
        <f t="shared" si="171"/>
        <v>24.869999999999997</v>
      </c>
      <c r="R190" s="1411">
        <f t="shared" si="171"/>
        <v>2.4000000000000004</v>
      </c>
      <c r="S190" s="1412">
        <f t="shared" si="171"/>
        <v>0.71500000000000008</v>
      </c>
      <c r="T190" s="1412">
        <f t="shared" si="171"/>
        <v>1.4500000000000002</v>
      </c>
      <c r="U190" s="1410">
        <f t="shared" si="171"/>
        <v>0</v>
      </c>
      <c r="V190" s="1423">
        <f t="shared" si="170"/>
        <v>37.024999999999999</v>
      </c>
    </row>
    <row r="191" spans="1:22" ht="15.75">
      <c r="A191" s="204"/>
      <c r="B191" s="1405"/>
      <c r="C191" s="1429" t="s">
        <v>1461</v>
      </c>
      <c r="D191" s="1429"/>
      <c r="E191" s="1450"/>
      <c r="F191" s="1258">
        <v>0.02</v>
      </c>
      <c r="G191" s="1258">
        <v>0.02</v>
      </c>
      <c r="H191" s="1268">
        <v>0.03</v>
      </c>
      <c r="I191" s="1270">
        <f t="shared" si="167"/>
        <v>3.3000000000000002E-2</v>
      </c>
      <c r="J191" s="1274">
        <v>0.03</v>
      </c>
      <c r="K191" s="1258"/>
      <c r="L191" s="1408">
        <v>10</v>
      </c>
      <c r="M191" s="90"/>
      <c r="N191" s="90"/>
      <c r="O191" s="1409" t="str">
        <f t="shared" si="168"/>
        <v>Confiture, chocolat, miel</v>
      </c>
      <c r="P191" s="1410">
        <f t="shared" ref="P191:U191" si="172">F191*P16</f>
        <v>5.0600000000000005</v>
      </c>
      <c r="Q191" s="1410">
        <f t="shared" si="172"/>
        <v>16.580000000000002</v>
      </c>
      <c r="R191" s="1411">
        <f t="shared" si="172"/>
        <v>1.44</v>
      </c>
      <c r="S191" s="1412">
        <f t="shared" si="172"/>
        <v>0.42900000000000005</v>
      </c>
      <c r="T191" s="1412">
        <f t="shared" si="172"/>
        <v>0.87</v>
      </c>
      <c r="U191" s="1410">
        <f t="shared" si="172"/>
        <v>0</v>
      </c>
      <c r="V191" s="1423">
        <f t="shared" si="170"/>
        <v>24.379000000000001</v>
      </c>
    </row>
    <row r="192" spans="1:22" ht="15.75">
      <c r="A192" s="204"/>
      <c r="B192" s="1405"/>
      <c r="C192" s="1429" t="s">
        <v>1462</v>
      </c>
      <c r="D192" s="1429"/>
      <c r="E192" s="1450"/>
      <c r="F192" s="1258">
        <v>0.1</v>
      </c>
      <c r="G192" s="1258">
        <v>0.2</v>
      </c>
      <c r="H192" s="1268">
        <v>0.13</v>
      </c>
      <c r="I192" s="1270">
        <f t="shared" si="167"/>
        <v>0.14300000000000002</v>
      </c>
      <c r="J192" s="1274">
        <v>0.13</v>
      </c>
      <c r="K192" s="1258"/>
      <c r="L192" s="1408">
        <v>10</v>
      </c>
      <c r="M192" s="90"/>
      <c r="N192" s="90"/>
      <c r="O192" s="1409" t="str">
        <f t="shared" si="168"/>
        <v>Fruit cru</v>
      </c>
      <c r="P192" s="1410">
        <f t="shared" ref="P192:U192" si="173">F192*P16</f>
        <v>25.3</v>
      </c>
      <c r="Q192" s="1410">
        <f t="shared" si="173"/>
        <v>165.8</v>
      </c>
      <c r="R192" s="1411">
        <f t="shared" si="173"/>
        <v>6.24</v>
      </c>
      <c r="S192" s="1412">
        <f t="shared" si="173"/>
        <v>1.8590000000000002</v>
      </c>
      <c r="T192" s="1412">
        <f t="shared" si="173"/>
        <v>3.77</v>
      </c>
      <c r="U192" s="1410">
        <f t="shared" si="173"/>
        <v>0</v>
      </c>
      <c r="V192" s="1423">
        <f t="shared" si="170"/>
        <v>202.96900000000005</v>
      </c>
    </row>
    <row r="193" spans="1:22" ht="15.75">
      <c r="A193" s="204"/>
      <c r="B193" s="1405"/>
      <c r="C193" s="1429" t="s">
        <v>1463</v>
      </c>
      <c r="D193" s="1429"/>
      <c r="E193" s="1450"/>
      <c r="F193" s="1258">
        <v>0.1</v>
      </c>
      <c r="G193" s="1258">
        <v>0.1</v>
      </c>
      <c r="H193" s="1268">
        <v>0.13</v>
      </c>
      <c r="I193" s="1270">
        <f t="shared" si="167"/>
        <v>0.14300000000000002</v>
      </c>
      <c r="J193" s="1274">
        <v>0.13</v>
      </c>
      <c r="K193" s="1258"/>
      <c r="L193" s="1408">
        <v>10</v>
      </c>
      <c r="M193" s="90"/>
      <c r="N193" s="90"/>
      <c r="O193" s="1409" t="str">
        <f t="shared" si="168"/>
        <v>Fruit cuit</v>
      </c>
      <c r="P193" s="1410">
        <f t="shared" ref="P193:U193" si="174">F193*P16</f>
        <v>25.3</v>
      </c>
      <c r="Q193" s="1410">
        <f t="shared" si="174"/>
        <v>82.9</v>
      </c>
      <c r="R193" s="1411">
        <f t="shared" si="174"/>
        <v>6.24</v>
      </c>
      <c r="S193" s="1412">
        <f t="shared" si="174"/>
        <v>1.8590000000000002</v>
      </c>
      <c r="T193" s="1412">
        <f t="shared" si="174"/>
        <v>3.77</v>
      </c>
      <c r="U193" s="1410">
        <f t="shared" si="174"/>
        <v>0</v>
      </c>
      <c r="V193" s="1423">
        <f t="shared" si="170"/>
        <v>120.06899999999999</v>
      </c>
    </row>
    <row r="194" spans="1:22" ht="15.75">
      <c r="A194" s="204"/>
      <c r="B194" s="1405"/>
      <c r="C194" s="1429" t="s">
        <v>1464</v>
      </c>
      <c r="D194" s="1429"/>
      <c r="E194" s="1450"/>
      <c r="F194" s="1258">
        <v>0.125</v>
      </c>
      <c r="G194" s="1258">
        <v>0.125</v>
      </c>
      <c r="H194" s="1268">
        <v>0.25</v>
      </c>
      <c r="I194" s="1270">
        <f t="shared" si="167"/>
        <v>0.27500000000000002</v>
      </c>
      <c r="J194" s="1274">
        <v>0.15</v>
      </c>
      <c r="K194" s="1258"/>
      <c r="L194" s="1408">
        <v>10</v>
      </c>
      <c r="M194" s="90"/>
      <c r="N194" s="90"/>
      <c r="O194" s="1409" t="str">
        <f t="shared" si="168"/>
        <v>Lait 1/2 écrémé (en Litre)</v>
      </c>
      <c r="P194" s="1410">
        <f t="shared" ref="P194:U194" si="175">F194*P16</f>
        <v>31.625</v>
      </c>
      <c r="Q194" s="1410">
        <f t="shared" si="175"/>
        <v>103.625</v>
      </c>
      <c r="R194" s="1411">
        <f t="shared" si="175"/>
        <v>12</v>
      </c>
      <c r="S194" s="1412">
        <f t="shared" si="175"/>
        <v>3.5750000000000002</v>
      </c>
      <c r="T194" s="1412">
        <f t="shared" si="175"/>
        <v>4.3499999999999996</v>
      </c>
      <c r="U194" s="1410">
        <f t="shared" si="175"/>
        <v>0</v>
      </c>
      <c r="V194" s="1423">
        <f t="shared" si="170"/>
        <v>155.17499999999998</v>
      </c>
    </row>
    <row r="195" spans="1:22" ht="15.75">
      <c r="A195" s="204"/>
      <c r="B195" s="1405"/>
      <c r="C195" s="1429" t="s">
        <v>950</v>
      </c>
      <c r="D195" s="1429"/>
      <c r="E195" s="1450"/>
      <c r="F195" s="1258">
        <v>0.115</v>
      </c>
      <c r="G195" s="1258">
        <v>0.115</v>
      </c>
      <c r="H195" s="1268">
        <v>0.11</v>
      </c>
      <c r="I195" s="1270">
        <f t="shared" si="167"/>
        <v>0.121</v>
      </c>
      <c r="J195" s="1274">
        <v>0.115</v>
      </c>
      <c r="K195" s="1258"/>
      <c r="L195" s="1408">
        <v>10</v>
      </c>
      <c r="M195" s="90"/>
      <c r="N195" s="90"/>
      <c r="O195" s="1409" t="str">
        <f t="shared" si="168"/>
        <v>Yaourt</v>
      </c>
      <c r="P195" s="1410">
        <f t="shared" ref="P195:U195" si="176">F195*P16</f>
        <v>29.095000000000002</v>
      </c>
      <c r="Q195" s="1410">
        <f t="shared" si="176"/>
        <v>95.335000000000008</v>
      </c>
      <c r="R195" s="1411">
        <f t="shared" si="176"/>
        <v>5.28</v>
      </c>
      <c r="S195" s="1412">
        <f t="shared" si="176"/>
        <v>1.573</v>
      </c>
      <c r="T195" s="1412">
        <f t="shared" si="176"/>
        <v>3.335</v>
      </c>
      <c r="U195" s="1410">
        <f t="shared" si="176"/>
        <v>0</v>
      </c>
      <c r="V195" s="1423">
        <f t="shared" si="170"/>
        <v>134.61800000000002</v>
      </c>
    </row>
    <row r="196" spans="1:22" ht="15.75">
      <c r="A196" s="204"/>
      <c r="B196" s="1405"/>
      <c r="C196" s="1429" t="s">
        <v>1465</v>
      </c>
      <c r="D196" s="1429"/>
      <c r="E196" s="1450"/>
      <c r="F196" s="1258">
        <v>0.11</v>
      </c>
      <c r="G196" s="1258">
        <v>0.11</v>
      </c>
      <c r="H196" s="1268">
        <v>0.11</v>
      </c>
      <c r="I196" s="1270">
        <f t="shared" si="167"/>
        <v>0.121</v>
      </c>
      <c r="J196" s="1274">
        <v>0.1</v>
      </c>
      <c r="K196" s="1258"/>
      <c r="L196" s="1408">
        <v>10</v>
      </c>
      <c r="M196" s="90"/>
      <c r="N196" s="90"/>
      <c r="O196" s="1409" t="str">
        <f t="shared" si="168"/>
        <v>Fromage blanc</v>
      </c>
      <c r="P196" s="1410">
        <f t="shared" ref="P196:U196" si="177">F196*P16</f>
        <v>27.830000000000002</v>
      </c>
      <c r="Q196" s="1410">
        <f t="shared" si="177"/>
        <v>91.19</v>
      </c>
      <c r="R196" s="1411">
        <f t="shared" si="177"/>
        <v>5.28</v>
      </c>
      <c r="S196" s="1412">
        <f t="shared" si="177"/>
        <v>1.573</v>
      </c>
      <c r="T196" s="1412">
        <f t="shared" si="177"/>
        <v>2.9000000000000004</v>
      </c>
      <c r="U196" s="1410">
        <f t="shared" si="177"/>
        <v>0</v>
      </c>
      <c r="V196" s="1423">
        <f t="shared" si="170"/>
        <v>128.773</v>
      </c>
    </row>
    <row r="197" spans="1:22" ht="15.75">
      <c r="A197" s="204"/>
      <c r="B197" s="1405"/>
      <c r="C197" s="1429" t="s">
        <v>1466</v>
      </c>
      <c r="D197" s="1429"/>
      <c r="E197" s="1450"/>
      <c r="F197" s="1258">
        <v>0.02</v>
      </c>
      <c r="G197" s="1258">
        <v>0.03</v>
      </c>
      <c r="H197" s="1268">
        <v>3.5000000000000003E-2</v>
      </c>
      <c r="I197" s="1270">
        <f t="shared" si="167"/>
        <v>3.8500000000000006E-2</v>
      </c>
      <c r="J197" s="1274">
        <v>0.04</v>
      </c>
      <c r="K197" s="1258"/>
      <c r="L197" s="1408">
        <v>10</v>
      </c>
      <c r="M197" s="90"/>
      <c r="N197" s="90"/>
      <c r="O197" s="1409" t="str">
        <f t="shared" si="168"/>
        <v>Fromage</v>
      </c>
      <c r="P197" s="1410">
        <f t="shared" ref="P197:U197" si="178">F197*P16</f>
        <v>5.0600000000000005</v>
      </c>
      <c r="Q197" s="1410">
        <f t="shared" si="178"/>
        <v>24.869999999999997</v>
      </c>
      <c r="R197" s="1411">
        <f t="shared" si="178"/>
        <v>1.6800000000000002</v>
      </c>
      <c r="S197" s="1412">
        <f t="shared" si="178"/>
        <v>0.50050000000000006</v>
      </c>
      <c r="T197" s="1412">
        <f t="shared" si="178"/>
        <v>1.1599999999999999</v>
      </c>
      <c r="U197" s="1410">
        <f t="shared" si="178"/>
        <v>0</v>
      </c>
      <c r="V197" s="1423">
        <f t="shared" si="170"/>
        <v>33.270499999999998</v>
      </c>
    </row>
    <row r="198" spans="1:22" ht="16.5" thickBot="1">
      <c r="A198" s="204"/>
      <c r="B198" s="1453"/>
      <c r="C198" s="1454" t="s">
        <v>1445</v>
      </c>
      <c r="D198" s="1454"/>
      <c r="E198" s="1455"/>
      <c r="F198" s="1456">
        <v>0.06</v>
      </c>
      <c r="G198" s="1456">
        <v>0.06</v>
      </c>
      <c r="H198" s="1457">
        <v>0.12</v>
      </c>
      <c r="I198" s="1458">
        <f t="shared" si="167"/>
        <v>0.13200000000000001</v>
      </c>
      <c r="J198" s="1459">
        <v>0.12</v>
      </c>
      <c r="K198" s="1456"/>
      <c r="L198" s="1460">
        <v>10</v>
      </c>
      <c r="M198" s="1461"/>
      <c r="N198" s="1462"/>
      <c r="O198" s="1463" t="str">
        <f t="shared" si="168"/>
        <v>Petit suisse</v>
      </c>
      <c r="P198" s="1464">
        <f t="shared" ref="P198:U198" si="179">F198*P16</f>
        <v>15.18</v>
      </c>
      <c r="Q198" s="1465">
        <f t="shared" si="179"/>
        <v>49.739999999999995</v>
      </c>
      <c r="R198" s="1466">
        <f t="shared" si="179"/>
        <v>5.76</v>
      </c>
      <c r="S198" s="1464">
        <f t="shared" si="179"/>
        <v>1.7160000000000002</v>
      </c>
      <c r="T198" s="1464">
        <f t="shared" si="179"/>
        <v>3.48</v>
      </c>
      <c r="U198" s="1465">
        <f t="shared" si="179"/>
        <v>0</v>
      </c>
      <c r="V198" s="1423">
        <f t="shared" si="170"/>
        <v>75.875999999999991</v>
      </c>
    </row>
    <row r="199" spans="1:22">
      <c r="A199" s="204"/>
      <c r="B199" s="204"/>
      <c r="C199" s="204"/>
      <c r="D199" s="204"/>
      <c r="E199" s="204"/>
      <c r="F199" s="204"/>
      <c r="G199" s="204"/>
      <c r="H199" s="204"/>
      <c r="I199" s="204"/>
      <c r="J199" s="204"/>
      <c r="K199" s="204"/>
      <c r="L199" s="204"/>
      <c r="M199" s="90"/>
      <c r="N199" s="90"/>
      <c r="O199" s="15"/>
      <c r="P199" s="15"/>
      <c r="Q199" s="15"/>
      <c r="R199" s="15"/>
      <c r="S199" s="15"/>
      <c r="T199" s="15"/>
      <c r="U199" s="15"/>
      <c r="V199" s="15"/>
    </row>
  </sheetData>
  <mergeCells count="57">
    <mergeCell ref="D2:I2"/>
    <mergeCell ref="B4:L6"/>
    <mergeCell ref="P8:P14"/>
    <mergeCell ref="Q8:Q14"/>
    <mergeCell ref="R8:R14"/>
    <mergeCell ref="K9:K15"/>
    <mergeCell ref="L9:L15"/>
    <mergeCell ref="S8:S14"/>
    <mergeCell ref="T8:T14"/>
    <mergeCell ref="U8:U14"/>
    <mergeCell ref="V8:V14"/>
    <mergeCell ref="B9:E15"/>
    <mergeCell ref="F9:F15"/>
    <mergeCell ref="G9:G15"/>
    <mergeCell ref="H9:H15"/>
    <mergeCell ref="I9:I15"/>
    <mergeCell ref="J9:J15"/>
    <mergeCell ref="C18:L19"/>
    <mergeCell ref="P18:V19"/>
    <mergeCell ref="C33:L34"/>
    <mergeCell ref="P33:V34"/>
    <mergeCell ref="C50:L51"/>
    <mergeCell ref="P50:V51"/>
    <mergeCell ref="C53:L54"/>
    <mergeCell ref="P53:V54"/>
    <mergeCell ref="C67:L68"/>
    <mergeCell ref="P67:V68"/>
    <mergeCell ref="C75:L76"/>
    <mergeCell ref="P75:V76"/>
    <mergeCell ref="C77:L78"/>
    <mergeCell ref="P77:V78"/>
    <mergeCell ref="C86:L87"/>
    <mergeCell ref="P86:V87"/>
    <mergeCell ref="C93:L94"/>
    <mergeCell ref="P93:V94"/>
    <mergeCell ref="C102:L103"/>
    <mergeCell ref="P102:V103"/>
    <mergeCell ref="C114:L115"/>
    <mergeCell ref="P114:V115"/>
    <mergeCell ref="C131:L132"/>
    <mergeCell ref="P131:V132"/>
    <mergeCell ref="C135:L136"/>
    <mergeCell ref="P135:V136"/>
    <mergeCell ref="C139:L140"/>
    <mergeCell ref="P139:V140"/>
    <mergeCell ref="C146:L147"/>
    <mergeCell ref="P146:V147"/>
    <mergeCell ref="C184:L185"/>
    <mergeCell ref="P184:V185"/>
    <mergeCell ref="C187:L188"/>
    <mergeCell ref="P187:V188"/>
    <mergeCell ref="C156:L157"/>
    <mergeCell ref="P156:V157"/>
    <mergeCell ref="C168:L169"/>
    <mergeCell ref="P168:V169"/>
    <mergeCell ref="C174:L175"/>
    <mergeCell ref="P174:V175"/>
  </mergeCells>
  <pageMargins left="0.25" right="0.25" top="0.75" bottom="0.75" header="0.3" footer="0.3"/>
  <pageSetup paperSize="9" scale="72"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D37"/>
  <sheetViews>
    <sheetView showZeros="0" workbookViewId="0">
      <selection activeCell="G9" sqref="G9"/>
    </sheetView>
  </sheetViews>
  <sheetFormatPr baseColWidth="10" defaultRowHeight="12.75"/>
  <cols>
    <col min="1" max="1" width="2.140625" style="361" customWidth="1"/>
    <col min="2" max="2" width="75.7109375" style="361" customWidth="1"/>
    <col min="3" max="3" width="3.28515625" style="361" customWidth="1"/>
    <col min="4" max="4" width="88.28515625" style="361" customWidth="1"/>
    <col min="5" max="256" width="11.42578125" style="361"/>
    <col min="257" max="257" width="2.140625" style="361" customWidth="1"/>
    <col min="258" max="258" width="75.7109375" style="361" customWidth="1"/>
    <col min="259" max="259" width="3.28515625" style="361" customWidth="1"/>
    <col min="260" max="260" width="75.7109375" style="361" customWidth="1"/>
    <col min="261" max="512" width="11.42578125" style="361"/>
    <col min="513" max="513" width="2.140625" style="361" customWidth="1"/>
    <col min="514" max="514" width="75.7109375" style="361" customWidth="1"/>
    <col min="515" max="515" width="3.28515625" style="361" customWidth="1"/>
    <col min="516" max="516" width="75.7109375" style="361" customWidth="1"/>
    <col min="517" max="768" width="11.42578125" style="361"/>
    <col min="769" max="769" width="2.140625" style="361" customWidth="1"/>
    <col min="770" max="770" width="75.7109375" style="361" customWidth="1"/>
    <col min="771" max="771" width="3.28515625" style="361" customWidth="1"/>
    <col min="772" max="772" width="75.7109375" style="361" customWidth="1"/>
    <col min="773" max="1024" width="11.42578125" style="361"/>
    <col min="1025" max="1025" width="2.140625" style="361" customWidth="1"/>
    <col min="1026" max="1026" width="75.7109375" style="361" customWidth="1"/>
    <col min="1027" max="1027" width="3.28515625" style="361" customWidth="1"/>
    <col min="1028" max="1028" width="75.7109375" style="361" customWidth="1"/>
    <col min="1029" max="1280" width="11.42578125" style="361"/>
    <col min="1281" max="1281" width="2.140625" style="361" customWidth="1"/>
    <col min="1282" max="1282" width="75.7109375" style="361" customWidth="1"/>
    <col min="1283" max="1283" width="3.28515625" style="361" customWidth="1"/>
    <col min="1284" max="1284" width="75.7109375" style="361" customWidth="1"/>
    <col min="1285" max="1536" width="11.42578125" style="361"/>
    <col min="1537" max="1537" width="2.140625" style="361" customWidth="1"/>
    <col min="1538" max="1538" width="75.7109375" style="361" customWidth="1"/>
    <col min="1539" max="1539" width="3.28515625" style="361" customWidth="1"/>
    <col min="1540" max="1540" width="75.7109375" style="361" customWidth="1"/>
    <col min="1541" max="1792" width="11.42578125" style="361"/>
    <col min="1793" max="1793" width="2.140625" style="361" customWidth="1"/>
    <col min="1794" max="1794" width="75.7109375" style="361" customWidth="1"/>
    <col min="1795" max="1795" width="3.28515625" style="361" customWidth="1"/>
    <col min="1796" max="1796" width="75.7109375" style="361" customWidth="1"/>
    <col min="1797" max="2048" width="11.42578125" style="361"/>
    <col min="2049" max="2049" width="2.140625" style="361" customWidth="1"/>
    <col min="2050" max="2050" width="75.7109375" style="361" customWidth="1"/>
    <col min="2051" max="2051" width="3.28515625" style="361" customWidth="1"/>
    <col min="2052" max="2052" width="75.7109375" style="361" customWidth="1"/>
    <col min="2053" max="2304" width="11.42578125" style="361"/>
    <col min="2305" max="2305" width="2.140625" style="361" customWidth="1"/>
    <col min="2306" max="2306" width="75.7109375" style="361" customWidth="1"/>
    <col min="2307" max="2307" width="3.28515625" style="361" customWidth="1"/>
    <col min="2308" max="2308" width="75.7109375" style="361" customWidth="1"/>
    <col min="2309" max="2560" width="11.42578125" style="361"/>
    <col min="2561" max="2561" width="2.140625" style="361" customWidth="1"/>
    <col min="2562" max="2562" width="75.7109375" style="361" customWidth="1"/>
    <col min="2563" max="2563" width="3.28515625" style="361" customWidth="1"/>
    <col min="2564" max="2564" width="75.7109375" style="361" customWidth="1"/>
    <col min="2565" max="2816" width="11.42578125" style="361"/>
    <col min="2817" max="2817" width="2.140625" style="361" customWidth="1"/>
    <col min="2818" max="2818" width="75.7109375" style="361" customWidth="1"/>
    <col min="2819" max="2819" width="3.28515625" style="361" customWidth="1"/>
    <col min="2820" max="2820" width="75.7109375" style="361" customWidth="1"/>
    <col min="2821" max="3072" width="11.42578125" style="361"/>
    <col min="3073" max="3073" width="2.140625" style="361" customWidth="1"/>
    <col min="3074" max="3074" width="75.7109375" style="361" customWidth="1"/>
    <col min="3075" max="3075" width="3.28515625" style="361" customWidth="1"/>
    <col min="3076" max="3076" width="75.7109375" style="361" customWidth="1"/>
    <col min="3077" max="3328" width="11.42578125" style="361"/>
    <col min="3329" max="3329" width="2.140625" style="361" customWidth="1"/>
    <col min="3330" max="3330" width="75.7109375" style="361" customWidth="1"/>
    <col min="3331" max="3331" width="3.28515625" style="361" customWidth="1"/>
    <col min="3332" max="3332" width="75.7109375" style="361" customWidth="1"/>
    <col min="3333" max="3584" width="11.42578125" style="361"/>
    <col min="3585" max="3585" width="2.140625" style="361" customWidth="1"/>
    <col min="3586" max="3586" width="75.7109375" style="361" customWidth="1"/>
    <col min="3587" max="3587" width="3.28515625" style="361" customWidth="1"/>
    <col min="3588" max="3588" width="75.7109375" style="361" customWidth="1"/>
    <col min="3589" max="3840" width="11.42578125" style="361"/>
    <col min="3841" max="3841" width="2.140625" style="361" customWidth="1"/>
    <col min="3842" max="3842" width="75.7109375" style="361" customWidth="1"/>
    <col min="3843" max="3843" width="3.28515625" style="361" customWidth="1"/>
    <col min="3844" max="3844" width="75.7109375" style="361" customWidth="1"/>
    <col min="3845" max="4096" width="11.42578125" style="361"/>
    <col min="4097" max="4097" width="2.140625" style="361" customWidth="1"/>
    <col min="4098" max="4098" width="75.7109375" style="361" customWidth="1"/>
    <col min="4099" max="4099" width="3.28515625" style="361" customWidth="1"/>
    <col min="4100" max="4100" width="75.7109375" style="361" customWidth="1"/>
    <col min="4101" max="4352" width="11.42578125" style="361"/>
    <col min="4353" max="4353" width="2.140625" style="361" customWidth="1"/>
    <col min="4354" max="4354" width="75.7109375" style="361" customWidth="1"/>
    <col min="4355" max="4355" width="3.28515625" style="361" customWidth="1"/>
    <col min="4356" max="4356" width="75.7109375" style="361" customWidth="1"/>
    <col min="4357" max="4608" width="11.42578125" style="361"/>
    <col min="4609" max="4609" width="2.140625" style="361" customWidth="1"/>
    <col min="4610" max="4610" width="75.7109375" style="361" customWidth="1"/>
    <col min="4611" max="4611" width="3.28515625" style="361" customWidth="1"/>
    <col min="4612" max="4612" width="75.7109375" style="361" customWidth="1"/>
    <col min="4613" max="4864" width="11.42578125" style="361"/>
    <col min="4865" max="4865" width="2.140625" style="361" customWidth="1"/>
    <col min="4866" max="4866" width="75.7109375" style="361" customWidth="1"/>
    <col min="4867" max="4867" width="3.28515625" style="361" customWidth="1"/>
    <col min="4868" max="4868" width="75.7109375" style="361" customWidth="1"/>
    <col min="4869" max="5120" width="11.42578125" style="361"/>
    <col min="5121" max="5121" width="2.140625" style="361" customWidth="1"/>
    <col min="5122" max="5122" width="75.7109375" style="361" customWidth="1"/>
    <col min="5123" max="5123" width="3.28515625" style="361" customWidth="1"/>
    <col min="5124" max="5124" width="75.7109375" style="361" customWidth="1"/>
    <col min="5125" max="5376" width="11.42578125" style="361"/>
    <col min="5377" max="5377" width="2.140625" style="361" customWidth="1"/>
    <col min="5378" max="5378" width="75.7109375" style="361" customWidth="1"/>
    <col min="5379" max="5379" width="3.28515625" style="361" customWidth="1"/>
    <col min="5380" max="5380" width="75.7109375" style="361" customWidth="1"/>
    <col min="5381" max="5632" width="11.42578125" style="361"/>
    <col min="5633" max="5633" width="2.140625" style="361" customWidth="1"/>
    <col min="5634" max="5634" width="75.7109375" style="361" customWidth="1"/>
    <col min="5635" max="5635" width="3.28515625" style="361" customWidth="1"/>
    <col min="5636" max="5636" width="75.7109375" style="361" customWidth="1"/>
    <col min="5637" max="5888" width="11.42578125" style="361"/>
    <col min="5889" max="5889" width="2.140625" style="361" customWidth="1"/>
    <col min="5890" max="5890" width="75.7109375" style="361" customWidth="1"/>
    <col min="5891" max="5891" width="3.28515625" style="361" customWidth="1"/>
    <col min="5892" max="5892" width="75.7109375" style="361" customWidth="1"/>
    <col min="5893" max="6144" width="11.42578125" style="361"/>
    <col min="6145" max="6145" width="2.140625" style="361" customWidth="1"/>
    <col min="6146" max="6146" width="75.7109375" style="361" customWidth="1"/>
    <col min="6147" max="6147" width="3.28515625" style="361" customWidth="1"/>
    <col min="6148" max="6148" width="75.7109375" style="361" customWidth="1"/>
    <col min="6149" max="6400" width="11.42578125" style="361"/>
    <col min="6401" max="6401" width="2.140625" style="361" customWidth="1"/>
    <col min="6402" max="6402" width="75.7109375" style="361" customWidth="1"/>
    <col min="6403" max="6403" width="3.28515625" style="361" customWidth="1"/>
    <col min="6404" max="6404" width="75.7109375" style="361" customWidth="1"/>
    <col min="6405" max="6656" width="11.42578125" style="361"/>
    <col min="6657" max="6657" width="2.140625" style="361" customWidth="1"/>
    <col min="6658" max="6658" width="75.7109375" style="361" customWidth="1"/>
    <col min="6659" max="6659" width="3.28515625" style="361" customWidth="1"/>
    <col min="6660" max="6660" width="75.7109375" style="361" customWidth="1"/>
    <col min="6661" max="6912" width="11.42578125" style="361"/>
    <col min="6913" max="6913" width="2.140625" style="361" customWidth="1"/>
    <col min="6914" max="6914" width="75.7109375" style="361" customWidth="1"/>
    <col min="6915" max="6915" width="3.28515625" style="361" customWidth="1"/>
    <col min="6916" max="6916" width="75.7109375" style="361" customWidth="1"/>
    <col min="6917" max="7168" width="11.42578125" style="361"/>
    <col min="7169" max="7169" width="2.140625" style="361" customWidth="1"/>
    <col min="7170" max="7170" width="75.7109375" style="361" customWidth="1"/>
    <col min="7171" max="7171" width="3.28515625" style="361" customWidth="1"/>
    <col min="7172" max="7172" width="75.7109375" style="361" customWidth="1"/>
    <col min="7173" max="7424" width="11.42578125" style="361"/>
    <col min="7425" max="7425" width="2.140625" style="361" customWidth="1"/>
    <col min="7426" max="7426" width="75.7109375" style="361" customWidth="1"/>
    <col min="7427" max="7427" width="3.28515625" style="361" customWidth="1"/>
    <col min="7428" max="7428" width="75.7109375" style="361" customWidth="1"/>
    <col min="7429" max="7680" width="11.42578125" style="361"/>
    <col min="7681" max="7681" width="2.140625" style="361" customWidth="1"/>
    <col min="7682" max="7682" width="75.7109375" style="361" customWidth="1"/>
    <col min="7683" max="7683" width="3.28515625" style="361" customWidth="1"/>
    <col min="7684" max="7684" width="75.7109375" style="361" customWidth="1"/>
    <col min="7685" max="7936" width="11.42578125" style="361"/>
    <col min="7937" max="7937" width="2.140625" style="361" customWidth="1"/>
    <col min="7938" max="7938" width="75.7109375" style="361" customWidth="1"/>
    <col min="7939" max="7939" width="3.28515625" style="361" customWidth="1"/>
    <col min="7940" max="7940" width="75.7109375" style="361" customWidth="1"/>
    <col min="7941" max="8192" width="11.42578125" style="361"/>
    <col min="8193" max="8193" width="2.140625" style="361" customWidth="1"/>
    <col min="8194" max="8194" width="75.7109375" style="361" customWidth="1"/>
    <col min="8195" max="8195" width="3.28515625" style="361" customWidth="1"/>
    <col min="8196" max="8196" width="75.7109375" style="361" customWidth="1"/>
    <col min="8197" max="8448" width="11.42578125" style="361"/>
    <col min="8449" max="8449" width="2.140625" style="361" customWidth="1"/>
    <col min="8450" max="8450" width="75.7109375" style="361" customWidth="1"/>
    <col min="8451" max="8451" width="3.28515625" style="361" customWidth="1"/>
    <col min="8452" max="8452" width="75.7109375" style="361" customWidth="1"/>
    <col min="8453" max="8704" width="11.42578125" style="361"/>
    <col min="8705" max="8705" width="2.140625" style="361" customWidth="1"/>
    <col min="8706" max="8706" width="75.7109375" style="361" customWidth="1"/>
    <col min="8707" max="8707" width="3.28515625" style="361" customWidth="1"/>
    <col min="8708" max="8708" width="75.7109375" style="361" customWidth="1"/>
    <col min="8709" max="8960" width="11.42578125" style="361"/>
    <col min="8961" max="8961" width="2.140625" style="361" customWidth="1"/>
    <col min="8962" max="8962" width="75.7109375" style="361" customWidth="1"/>
    <col min="8963" max="8963" width="3.28515625" style="361" customWidth="1"/>
    <col min="8964" max="8964" width="75.7109375" style="361" customWidth="1"/>
    <col min="8965" max="9216" width="11.42578125" style="361"/>
    <col min="9217" max="9217" width="2.140625" style="361" customWidth="1"/>
    <col min="9218" max="9218" width="75.7109375" style="361" customWidth="1"/>
    <col min="9219" max="9219" width="3.28515625" style="361" customWidth="1"/>
    <col min="9220" max="9220" width="75.7109375" style="361" customWidth="1"/>
    <col min="9221" max="9472" width="11.42578125" style="361"/>
    <col min="9473" max="9473" width="2.140625" style="361" customWidth="1"/>
    <col min="9474" max="9474" width="75.7109375" style="361" customWidth="1"/>
    <col min="9475" max="9475" width="3.28515625" style="361" customWidth="1"/>
    <col min="9476" max="9476" width="75.7109375" style="361" customWidth="1"/>
    <col min="9477" max="9728" width="11.42578125" style="361"/>
    <col min="9729" max="9729" width="2.140625" style="361" customWidth="1"/>
    <col min="9730" max="9730" width="75.7109375" style="361" customWidth="1"/>
    <col min="9731" max="9731" width="3.28515625" style="361" customWidth="1"/>
    <col min="9732" max="9732" width="75.7109375" style="361" customWidth="1"/>
    <col min="9733" max="9984" width="11.42578125" style="361"/>
    <col min="9985" max="9985" width="2.140625" style="361" customWidth="1"/>
    <col min="9986" max="9986" width="75.7109375" style="361" customWidth="1"/>
    <col min="9987" max="9987" width="3.28515625" style="361" customWidth="1"/>
    <col min="9988" max="9988" width="75.7109375" style="361" customWidth="1"/>
    <col min="9989" max="10240" width="11.42578125" style="361"/>
    <col min="10241" max="10241" width="2.140625" style="361" customWidth="1"/>
    <col min="10242" max="10242" width="75.7109375" style="361" customWidth="1"/>
    <col min="10243" max="10243" width="3.28515625" style="361" customWidth="1"/>
    <col min="10244" max="10244" width="75.7109375" style="361" customWidth="1"/>
    <col min="10245" max="10496" width="11.42578125" style="361"/>
    <col min="10497" max="10497" width="2.140625" style="361" customWidth="1"/>
    <col min="10498" max="10498" width="75.7109375" style="361" customWidth="1"/>
    <col min="10499" max="10499" width="3.28515625" style="361" customWidth="1"/>
    <col min="10500" max="10500" width="75.7109375" style="361" customWidth="1"/>
    <col min="10501" max="10752" width="11.42578125" style="361"/>
    <col min="10753" max="10753" width="2.140625" style="361" customWidth="1"/>
    <col min="10754" max="10754" width="75.7109375" style="361" customWidth="1"/>
    <col min="10755" max="10755" width="3.28515625" style="361" customWidth="1"/>
    <col min="10756" max="10756" width="75.7109375" style="361" customWidth="1"/>
    <col min="10757" max="11008" width="11.42578125" style="361"/>
    <col min="11009" max="11009" width="2.140625" style="361" customWidth="1"/>
    <col min="11010" max="11010" width="75.7109375" style="361" customWidth="1"/>
    <col min="11011" max="11011" width="3.28515625" style="361" customWidth="1"/>
    <col min="11012" max="11012" width="75.7109375" style="361" customWidth="1"/>
    <col min="11013" max="11264" width="11.42578125" style="361"/>
    <col min="11265" max="11265" width="2.140625" style="361" customWidth="1"/>
    <col min="11266" max="11266" width="75.7109375" style="361" customWidth="1"/>
    <col min="11267" max="11267" width="3.28515625" style="361" customWidth="1"/>
    <col min="11268" max="11268" width="75.7109375" style="361" customWidth="1"/>
    <col min="11269" max="11520" width="11.42578125" style="361"/>
    <col min="11521" max="11521" width="2.140625" style="361" customWidth="1"/>
    <col min="11522" max="11522" width="75.7109375" style="361" customWidth="1"/>
    <col min="11523" max="11523" width="3.28515625" style="361" customWidth="1"/>
    <col min="11524" max="11524" width="75.7109375" style="361" customWidth="1"/>
    <col min="11525" max="11776" width="11.42578125" style="361"/>
    <col min="11777" max="11777" width="2.140625" style="361" customWidth="1"/>
    <col min="11778" max="11778" width="75.7109375" style="361" customWidth="1"/>
    <col min="11779" max="11779" width="3.28515625" style="361" customWidth="1"/>
    <col min="11780" max="11780" width="75.7109375" style="361" customWidth="1"/>
    <col min="11781" max="12032" width="11.42578125" style="361"/>
    <col min="12033" max="12033" width="2.140625" style="361" customWidth="1"/>
    <col min="12034" max="12034" width="75.7109375" style="361" customWidth="1"/>
    <col min="12035" max="12035" width="3.28515625" style="361" customWidth="1"/>
    <col min="12036" max="12036" width="75.7109375" style="361" customWidth="1"/>
    <col min="12037" max="12288" width="11.42578125" style="361"/>
    <col min="12289" max="12289" width="2.140625" style="361" customWidth="1"/>
    <col min="12290" max="12290" width="75.7109375" style="361" customWidth="1"/>
    <col min="12291" max="12291" width="3.28515625" style="361" customWidth="1"/>
    <col min="12292" max="12292" width="75.7109375" style="361" customWidth="1"/>
    <col min="12293" max="12544" width="11.42578125" style="361"/>
    <col min="12545" max="12545" width="2.140625" style="361" customWidth="1"/>
    <col min="12546" max="12546" width="75.7109375" style="361" customWidth="1"/>
    <col min="12547" max="12547" width="3.28515625" style="361" customWidth="1"/>
    <col min="12548" max="12548" width="75.7109375" style="361" customWidth="1"/>
    <col min="12549" max="12800" width="11.42578125" style="361"/>
    <col min="12801" max="12801" width="2.140625" style="361" customWidth="1"/>
    <col min="12802" max="12802" width="75.7109375" style="361" customWidth="1"/>
    <col min="12803" max="12803" width="3.28515625" style="361" customWidth="1"/>
    <col min="12804" max="12804" width="75.7109375" style="361" customWidth="1"/>
    <col min="12805" max="13056" width="11.42578125" style="361"/>
    <col min="13057" max="13057" width="2.140625" style="361" customWidth="1"/>
    <col min="13058" max="13058" width="75.7109375" style="361" customWidth="1"/>
    <col min="13059" max="13059" width="3.28515625" style="361" customWidth="1"/>
    <col min="13060" max="13060" width="75.7109375" style="361" customWidth="1"/>
    <col min="13061" max="13312" width="11.42578125" style="361"/>
    <col min="13313" max="13313" width="2.140625" style="361" customWidth="1"/>
    <col min="13314" max="13314" width="75.7109375" style="361" customWidth="1"/>
    <col min="13315" max="13315" width="3.28515625" style="361" customWidth="1"/>
    <col min="13316" max="13316" width="75.7109375" style="361" customWidth="1"/>
    <col min="13317" max="13568" width="11.42578125" style="361"/>
    <col min="13569" max="13569" width="2.140625" style="361" customWidth="1"/>
    <col min="13570" max="13570" width="75.7109375" style="361" customWidth="1"/>
    <col min="13571" max="13571" width="3.28515625" style="361" customWidth="1"/>
    <col min="13572" max="13572" width="75.7109375" style="361" customWidth="1"/>
    <col min="13573" max="13824" width="11.42578125" style="361"/>
    <col min="13825" max="13825" width="2.140625" style="361" customWidth="1"/>
    <col min="13826" max="13826" width="75.7109375" style="361" customWidth="1"/>
    <col min="13827" max="13827" width="3.28515625" style="361" customWidth="1"/>
    <col min="13828" max="13828" width="75.7109375" style="361" customWidth="1"/>
    <col min="13829" max="14080" width="11.42578125" style="361"/>
    <col min="14081" max="14081" width="2.140625" style="361" customWidth="1"/>
    <col min="14082" max="14082" width="75.7109375" style="361" customWidth="1"/>
    <col min="14083" max="14083" width="3.28515625" style="361" customWidth="1"/>
    <col min="14084" max="14084" width="75.7109375" style="361" customWidth="1"/>
    <col min="14085" max="14336" width="11.42578125" style="361"/>
    <col min="14337" max="14337" width="2.140625" style="361" customWidth="1"/>
    <col min="14338" max="14338" width="75.7109375" style="361" customWidth="1"/>
    <col min="14339" max="14339" width="3.28515625" style="361" customWidth="1"/>
    <col min="14340" max="14340" width="75.7109375" style="361" customWidth="1"/>
    <col min="14341" max="14592" width="11.42578125" style="361"/>
    <col min="14593" max="14593" width="2.140625" style="361" customWidth="1"/>
    <col min="14594" max="14594" width="75.7109375" style="361" customWidth="1"/>
    <col min="14595" max="14595" width="3.28515625" style="361" customWidth="1"/>
    <col min="14596" max="14596" width="75.7109375" style="361" customWidth="1"/>
    <col min="14597" max="14848" width="11.42578125" style="361"/>
    <col min="14849" max="14849" width="2.140625" style="361" customWidth="1"/>
    <col min="14850" max="14850" width="75.7109375" style="361" customWidth="1"/>
    <col min="14851" max="14851" width="3.28515625" style="361" customWidth="1"/>
    <col min="14852" max="14852" width="75.7109375" style="361" customWidth="1"/>
    <col min="14853" max="15104" width="11.42578125" style="361"/>
    <col min="15105" max="15105" width="2.140625" style="361" customWidth="1"/>
    <col min="15106" max="15106" width="75.7109375" style="361" customWidth="1"/>
    <col min="15107" max="15107" width="3.28515625" style="361" customWidth="1"/>
    <col min="15108" max="15108" width="75.7109375" style="361" customWidth="1"/>
    <col min="15109" max="15360" width="11.42578125" style="361"/>
    <col min="15361" max="15361" width="2.140625" style="361" customWidth="1"/>
    <col min="15362" max="15362" width="75.7109375" style="361" customWidth="1"/>
    <col min="15363" max="15363" width="3.28515625" style="361" customWidth="1"/>
    <col min="15364" max="15364" width="75.7109375" style="361" customWidth="1"/>
    <col min="15365" max="15616" width="11.42578125" style="361"/>
    <col min="15617" max="15617" width="2.140625" style="361" customWidth="1"/>
    <col min="15618" max="15618" width="75.7109375" style="361" customWidth="1"/>
    <col min="15619" max="15619" width="3.28515625" style="361" customWidth="1"/>
    <col min="15620" max="15620" width="75.7109375" style="361" customWidth="1"/>
    <col min="15621" max="15872" width="11.42578125" style="361"/>
    <col min="15873" max="15873" width="2.140625" style="361" customWidth="1"/>
    <col min="15874" max="15874" width="75.7109375" style="361" customWidth="1"/>
    <col min="15875" max="15875" width="3.28515625" style="361" customWidth="1"/>
    <col min="15876" max="15876" width="75.7109375" style="361" customWidth="1"/>
    <col min="15877" max="16128" width="11.42578125" style="361"/>
    <col min="16129" max="16129" width="2.140625" style="361" customWidth="1"/>
    <col min="16130" max="16130" width="75.7109375" style="361" customWidth="1"/>
    <col min="16131" max="16131" width="3.28515625" style="361" customWidth="1"/>
    <col min="16132" max="16132" width="75.7109375" style="361" customWidth="1"/>
    <col min="16133" max="16384" width="11.42578125" style="361"/>
  </cols>
  <sheetData>
    <row r="1" spans="2:4" ht="19.5" customHeight="1">
      <c r="B1" s="378" t="s">
        <v>1467</v>
      </c>
      <c r="C1" s="378"/>
      <c r="D1" s="378" t="s">
        <v>1467</v>
      </c>
    </row>
    <row r="2" spans="2:4" ht="53.25" customHeight="1">
      <c r="B2" s="645" t="s">
        <v>1468</v>
      </c>
      <c r="C2" s="378"/>
      <c r="D2" s="645" t="s">
        <v>1469</v>
      </c>
    </row>
    <row r="3" spans="2:4" ht="22.5" customHeight="1">
      <c r="B3" s="646" t="s">
        <v>1470</v>
      </c>
      <c r="C3" s="378"/>
      <c r="D3" s="646" t="s">
        <v>1471</v>
      </c>
    </row>
    <row r="4" spans="2:4" ht="37.5">
      <c r="B4" s="647" t="s">
        <v>1472</v>
      </c>
      <c r="C4" s="378"/>
      <c r="D4" s="648" t="s">
        <v>1473</v>
      </c>
    </row>
    <row r="5" spans="2:4" ht="37.5">
      <c r="B5" s="647" t="s">
        <v>1474</v>
      </c>
      <c r="C5" s="378"/>
      <c r="D5" s="647" t="s">
        <v>1475</v>
      </c>
    </row>
    <row r="6" spans="2:4" ht="75">
      <c r="B6" s="647" t="s">
        <v>1476</v>
      </c>
      <c r="C6" s="378"/>
      <c r="D6" s="647" t="s">
        <v>1477</v>
      </c>
    </row>
    <row r="7" spans="2:4" ht="63.75" customHeight="1">
      <c r="B7" s="647" t="s">
        <v>1478</v>
      </c>
      <c r="C7" s="378"/>
      <c r="D7" s="647" t="s">
        <v>1479</v>
      </c>
    </row>
    <row r="8" spans="2:4" ht="80.25" customHeight="1">
      <c r="B8" s="647" t="s">
        <v>1480</v>
      </c>
      <c r="C8" s="378"/>
      <c r="D8" s="647" t="s">
        <v>1481</v>
      </c>
    </row>
    <row r="9" spans="2:4" ht="90" customHeight="1">
      <c r="B9" s="647" t="s">
        <v>1482</v>
      </c>
      <c r="C9" s="378"/>
      <c r="D9" s="647" t="s">
        <v>1483</v>
      </c>
    </row>
    <row r="10" spans="2:4" ht="52.5" customHeight="1">
      <c r="B10" s="647" t="s">
        <v>1484</v>
      </c>
      <c r="C10" s="378"/>
      <c r="D10" s="647" t="s">
        <v>1485</v>
      </c>
    </row>
    <row r="11" spans="2:4" ht="27.75" customHeight="1">
      <c r="B11" s="647" t="s">
        <v>1486</v>
      </c>
      <c r="C11" s="378"/>
      <c r="D11" s="647" t="s">
        <v>1487</v>
      </c>
    </row>
    <row r="12" spans="2:4" ht="55.5" customHeight="1">
      <c r="B12" s="647" t="s">
        <v>1488</v>
      </c>
      <c r="C12" s="378"/>
      <c r="D12" s="647" t="s">
        <v>1489</v>
      </c>
    </row>
    <row r="13" spans="2:4" ht="56.25">
      <c r="B13" s="647" t="s">
        <v>1490</v>
      </c>
      <c r="C13" s="378"/>
      <c r="D13" s="648" t="s">
        <v>1491</v>
      </c>
    </row>
    <row r="14" spans="2:4" ht="37.5">
      <c r="B14" s="647" t="s">
        <v>1492</v>
      </c>
      <c r="C14" s="378"/>
      <c r="D14" s="647" t="s">
        <v>1493</v>
      </c>
    </row>
    <row r="15" spans="2:4" ht="65.25" customHeight="1">
      <c r="B15" s="647" t="s">
        <v>1494</v>
      </c>
      <c r="C15" s="378"/>
      <c r="D15" s="647" t="s">
        <v>1495</v>
      </c>
    </row>
    <row r="16" spans="2:4" ht="49.5" customHeight="1">
      <c r="B16" s="647" t="s">
        <v>1496</v>
      </c>
      <c r="C16" s="378"/>
      <c r="D16" s="647" t="s">
        <v>1497</v>
      </c>
    </row>
    <row r="17" spans="2:4" ht="75">
      <c r="B17" s="649" t="s">
        <v>1498</v>
      </c>
      <c r="C17" s="378"/>
      <c r="D17" s="647" t="s">
        <v>1499</v>
      </c>
    </row>
    <row r="18" spans="2:4" ht="56.25">
      <c r="B18" s="647" t="s">
        <v>1500</v>
      </c>
      <c r="C18" s="378"/>
      <c r="D18" s="647" t="s">
        <v>1501</v>
      </c>
    </row>
    <row r="19" spans="2:4" ht="37.5">
      <c r="B19" s="647" t="s">
        <v>1502</v>
      </c>
      <c r="C19" s="378"/>
      <c r="D19" s="647" t="s">
        <v>1503</v>
      </c>
    </row>
    <row r="20" spans="2:4" ht="56.25">
      <c r="B20" s="647" t="s">
        <v>1504</v>
      </c>
      <c r="C20" s="378"/>
      <c r="D20" s="647" t="s">
        <v>1505</v>
      </c>
    </row>
    <row r="21" spans="2:4" ht="56.25">
      <c r="B21" s="647" t="s">
        <v>1506</v>
      </c>
      <c r="C21" s="378"/>
      <c r="D21" s="647" t="s">
        <v>1507</v>
      </c>
    </row>
    <row r="22" spans="2:4" ht="55.5" customHeight="1">
      <c r="B22" s="647" t="s">
        <v>1508</v>
      </c>
      <c r="C22" s="378"/>
      <c r="D22" s="647" t="s">
        <v>1509</v>
      </c>
    </row>
    <row r="23" spans="2:4" ht="71.25" customHeight="1">
      <c r="B23" s="647" t="s">
        <v>1510</v>
      </c>
      <c r="C23" s="378"/>
      <c r="D23" s="647"/>
    </row>
    <row r="24" spans="2:4" ht="90" customHeight="1">
      <c r="B24" s="647" t="s">
        <v>1511</v>
      </c>
      <c r="C24" s="378"/>
      <c r="D24" s="647"/>
    </row>
    <row r="25" spans="2:4" ht="30.75" customHeight="1">
      <c r="B25" s="647" t="s">
        <v>1512</v>
      </c>
      <c r="C25" s="378"/>
      <c r="D25" s="647">
        <v>0</v>
      </c>
    </row>
    <row r="26" spans="2:4" ht="58.5" customHeight="1">
      <c r="B26" s="647" t="s">
        <v>1513</v>
      </c>
      <c r="C26" s="378"/>
      <c r="D26" s="647">
        <v>0</v>
      </c>
    </row>
    <row r="27" spans="2:4" ht="56.25">
      <c r="B27" s="647" t="s">
        <v>1514</v>
      </c>
      <c r="C27" s="378"/>
      <c r="D27" s="647">
        <v>0</v>
      </c>
    </row>
    <row r="28" spans="2:4" ht="45" customHeight="1"/>
    <row r="32" spans="2:4" ht="51" customHeight="1"/>
    <row r="35" ht="24" customHeight="1"/>
    <row r="36" ht="36" customHeight="1"/>
    <row r="37" ht="48.75" customHeight="1"/>
  </sheetData>
  <printOptions horizontalCentered="1"/>
  <pageMargins left="0.19685039370078741" right="0" top="0.19685039370078741" bottom="0" header="0" footer="0"/>
  <pageSetup paperSize="9" scale="32" orientation="landscape" horizontalDpi="360" verticalDpi="360" r:id="rId1"/>
  <headerFooter alignWithMargins="0">
    <oddFooter>&amp;R&amp;8&amp;F&amp;A-&amp;D</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7"/>
  <dimension ref="A1:BJ136"/>
  <sheetViews>
    <sheetView showZeros="0" workbookViewId="0">
      <selection activeCell="B1" sqref="B1:V1"/>
    </sheetView>
  </sheetViews>
  <sheetFormatPr baseColWidth="10" defaultRowHeight="12.75"/>
  <cols>
    <col min="1" max="1" width="3.7109375" style="311" customWidth="1"/>
    <col min="2" max="2" width="11.42578125" style="311"/>
    <col min="3" max="3" width="32" style="311" customWidth="1"/>
    <col min="4" max="4" width="14.28515625" style="311" customWidth="1"/>
    <col min="5" max="5" width="13.140625" style="311" customWidth="1"/>
    <col min="6" max="7" width="11.42578125" style="311"/>
    <col min="8" max="8" width="3.7109375" style="311" customWidth="1"/>
    <col min="9" max="9" width="11.42578125" style="311"/>
    <col min="10" max="10" width="36" style="311" customWidth="1"/>
    <col min="11" max="11" width="13.7109375" style="311" customWidth="1"/>
    <col min="12" max="14" width="11.42578125" style="311"/>
    <col min="15" max="15" width="4.5703125" style="311" customWidth="1"/>
    <col min="16" max="16" width="11.42578125" style="311"/>
    <col min="17" max="17" width="35.42578125" style="311" customWidth="1"/>
    <col min="18" max="18" width="13.140625" style="311" customWidth="1"/>
    <col min="19" max="21" width="11.42578125" style="311"/>
    <col min="22" max="22" width="4.5703125" style="311" customWidth="1"/>
    <col min="23" max="23" width="11.42578125" style="311"/>
    <col min="24" max="25" width="26.28515625" style="311" customWidth="1"/>
    <col min="26" max="27" width="19.42578125" style="311" customWidth="1"/>
    <col min="28" max="28" width="18.28515625" style="311" customWidth="1"/>
    <col min="29" max="29" width="19.42578125" style="311" customWidth="1"/>
    <col min="30" max="30" width="25.140625" style="311" customWidth="1"/>
    <col min="31" max="31" width="11.42578125" style="311"/>
    <col min="32" max="32" width="31.42578125" style="311" customWidth="1"/>
    <col min="33" max="39" width="15.7109375" style="311" customWidth="1"/>
    <col min="40" max="16384" width="11.42578125" style="311"/>
  </cols>
  <sheetData>
    <row r="1" spans="1:62" ht="60.75" customHeight="1">
      <c r="A1" s="375"/>
      <c r="B1" s="8457" t="s">
        <v>1084</v>
      </c>
      <c r="C1" s="8457"/>
      <c r="D1" s="8457"/>
      <c r="E1" s="8457"/>
      <c r="F1" s="8457"/>
      <c r="G1" s="8457"/>
      <c r="H1" s="8457"/>
      <c r="I1" s="8457"/>
      <c r="J1" s="8457"/>
      <c r="K1" s="8457"/>
      <c r="L1" s="8457"/>
      <c r="M1" s="8457"/>
      <c r="N1" s="8457"/>
      <c r="O1" s="8457"/>
      <c r="P1" s="8457"/>
      <c r="Q1" s="8457"/>
      <c r="R1" s="8457"/>
      <c r="S1" s="8457"/>
      <c r="T1" s="8457"/>
      <c r="U1" s="8457"/>
      <c r="V1" s="8457"/>
      <c r="X1" s="413"/>
      <c r="Y1" s="413"/>
      <c r="Z1" s="413"/>
      <c r="AA1" s="413"/>
      <c r="AB1" s="413"/>
      <c r="AC1" s="413"/>
      <c r="AD1" s="413"/>
      <c r="AF1" s="413"/>
      <c r="AG1" s="413"/>
      <c r="AH1" s="413"/>
      <c r="AI1" s="413"/>
      <c r="AJ1" s="413"/>
      <c r="AK1" s="413"/>
      <c r="AL1" s="413"/>
      <c r="AM1" s="413"/>
      <c r="AN1" s="413"/>
      <c r="AO1" s="413"/>
      <c r="AP1" s="413"/>
      <c r="AQ1" s="413"/>
      <c r="AR1" s="413"/>
      <c r="AS1" s="413"/>
      <c r="AT1" s="413"/>
      <c r="AV1" s="413"/>
      <c r="AW1" s="413"/>
      <c r="AX1" s="413"/>
      <c r="AY1" s="413"/>
      <c r="AZ1" s="413"/>
      <c r="BA1" s="413"/>
      <c r="BB1" s="413"/>
      <c r="BC1" s="413"/>
      <c r="BD1" s="413"/>
      <c r="BE1" s="413"/>
      <c r="BF1" s="413"/>
      <c r="BG1" s="413"/>
      <c r="BH1" s="413"/>
      <c r="BI1" s="413"/>
      <c r="BJ1" s="413"/>
    </row>
    <row r="2" spans="1:62" ht="15.75" customHeight="1">
      <c r="A2" s="375"/>
      <c r="B2" s="8456" t="s">
        <v>1082</v>
      </c>
      <c r="C2" s="8456"/>
      <c r="D2" s="8456"/>
      <c r="E2" s="8456"/>
      <c r="F2" s="8456"/>
      <c r="G2" s="8456"/>
      <c r="H2" s="375"/>
      <c r="I2" s="8456" t="s">
        <v>1082</v>
      </c>
      <c r="J2" s="8456"/>
      <c r="K2" s="8456"/>
      <c r="L2" s="8456"/>
      <c r="M2" s="8456"/>
      <c r="N2" s="8456"/>
      <c r="O2" s="375"/>
      <c r="P2" s="8456" t="s">
        <v>1082</v>
      </c>
      <c r="Q2" s="8456"/>
      <c r="R2" s="8456"/>
      <c r="S2" s="8456"/>
      <c r="T2" s="8456"/>
      <c r="U2" s="8456"/>
      <c r="V2" s="375"/>
      <c r="X2" s="413"/>
      <c r="Y2" s="413"/>
      <c r="Z2" s="413"/>
      <c r="AA2" s="413"/>
      <c r="AB2" s="413"/>
      <c r="AC2" s="413"/>
      <c r="AD2" s="413"/>
      <c r="AF2" s="413"/>
      <c r="AG2" s="413"/>
      <c r="AH2" s="413"/>
      <c r="AI2" s="413"/>
      <c r="AJ2" s="414"/>
      <c r="AK2" s="414"/>
      <c r="AL2" s="414"/>
      <c r="AM2" s="414"/>
      <c r="AN2" s="415"/>
      <c r="AO2" s="415"/>
      <c r="AP2" s="415"/>
      <c r="AQ2" s="415"/>
      <c r="AR2" s="415"/>
      <c r="AS2" s="415"/>
      <c r="AT2" s="413"/>
      <c r="AV2" s="413"/>
      <c r="AW2" s="413"/>
      <c r="AX2" s="413"/>
      <c r="AY2" s="413"/>
      <c r="AZ2" s="413"/>
      <c r="BA2" s="413"/>
      <c r="BB2" s="413"/>
      <c r="BC2" s="413"/>
      <c r="BD2" s="413"/>
      <c r="BE2" s="413"/>
      <c r="BF2" s="413"/>
      <c r="BG2" s="413"/>
      <c r="BH2" s="413"/>
      <c r="BI2" s="413"/>
      <c r="BJ2" s="413"/>
    </row>
    <row r="3" spans="1:62" ht="12.75" customHeight="1">
      <c r="A3" s="375"/>
      <c r="B3" s="8456"/>
      <c r="C3" s="8456"/>
      <c r="D3" s="8456"/>
      <c r="E3" s="8456"/>
      <c r="F3" s="8456"/>
      <c r="G3" s="8456"/>
      <c r="H3" s="375"/>
      <c r="I3" s="8456"/>
      <c r="J3" s="8456"/>
      <c r="K3" s="8456"/>
      <c r="L3" s="8456"/>
      <c r="M3" s="8456"/>
      <c r="N3" s="8456"/>
      <c r="O3" s="375"/>
      <c r="P3" s="8456"/>
      <c r="Q3" s="8456"/>
      <c r="R3" s="8456"/>
      <c r="S3" s="8456"/>
      <c r="T3" s="8456"/>
      <c r="U3" s="8456"/>
      <c r="V3" s="375"/>
      <c r="X3" s="413"/>
      <c r="Y3" s="413"/>
      <c r="Z3" s="413"/>
      <c r="AA3" s="413"/>
      <c r="AB3" s="413"/>
      <c r="AC3" s="413"/>
      <c r="AD3" s="413"/>
      <c r="AF3" s="413"/>
      <c r="AG3" s="413"/>
      <c r="AH3" s="413"/>
      <c r="AI3" s="413"/>
      <c r="AJ3" s="414"/>
      <c r="AK3" s="414"/>
      <c r="AL3" s="414"/>
      <c r="AM3" s="414"/>
      <c r="AN3" s="415"/>
      <c r="AO3" s="415"/>
      <c r="AP3" s="415"/>
      <c r="AQ3" s="415"/>
      <c r="AR3" s="415"/>
      <c r="AS3" s="415"/>
      <c r="AT3" s="413"/>
      <c r="AV3" s="413"/>
      <c r="AW3" s="413"/>
      <c r="AX3" s="413"/>
      <c r="AY3" s="413"/>
      <c r="AZ3" s="413"/>
      <c r="BA3" s="413"/>
      <c r="BB3" s="413"/>
      <c r="BC3" s="413"/>
      <c r="BD3" s="413"/>
      <c r="BE3" s="413"/>
      <c r="BF3" s="413"/>
      <c r="BG3" s="413"/>
      <c r="BH3" s="413"/>
      <c r="BI3" s="413"/>
      <c r="BJ3" s="413"/>
    </row>
    <row r="4" spans="1:62" ht="13.5" customHeight="1">
      <c r="A4" s="375"/>
      <c r="B4" s="8456"/>
      <c r="C4" s="8456"/>
      <c r="D4" s="8456"/>
      <c r="E4" s="8456"/>
      <c r="F4" s="8456"/>
      <c r="G4" s="8456"/>
      <c r="H4" s="375"/>
      <c r="I4" s="8456"/>
      <c r="J4" s="8456"/>
      <c r="K4" s="8456"/>
      <c r="L4" s="8456"/>
      <c r="M4" s="8456"/>
      <c r="N4" s="8456"/>
      <c r="O4" s="375"/>
      <c r="P4" s="8456"/>
      <c r="Q4" s="8456"/>
      <c r="R4" s="8456"/>
      <c r="S4" s="8456"/>
      <c r="T4" s="8456"/>
      <c r="U4" s="8456"/>
      <c r="V4" s="375"/>
      <c r="X4" s="413"/>
      <c r="Y4" s="413"/>
      <c r="Z4" s="413"/>
      <c r="AA4" s="413"/>
      <c r="AB4" s="413"/>
      <c r="AC4" s="413"/>
      <c r="AD4" s="413"/>
      <c r="AF4" s="413"/>
      <c r="AG4" s="413"/>
      <c r="AH4" s="413"/>
      <c r="AI4" s="413"/>
      <c r="AJ4" s="414"/>
      <c r="AK4" s="414"/>
      <c r="AL4" s="414"/>
      <c r="AM4" s="414"/>
      <c r="AN4" s="415"/>
      <c r="AO4" s="415"/>
      <c r="AP4" s="415"/>
      <c r="AQ4" s="415"/>
      <c r="AR4" s="415"/>
      <c r="AS4" s="415"/>
      <c r="AT4" s="413"/>
      <c r="AV4" s="413"/>
      <c r="AW4" s="413"/>
      <c r="AX4" s="413"/>
      <c r="AY4" s="413"/>
      <c r="AZ4" s="413"/>
      <c r="BA4" s="413"/>
      <c r="BB4" s="413"/>
      <c r="BC4" s="413"/>
      <c r="BD4" s="413"/>
      <c r="BE4" s="413"/>
      <c r="BF4" s="413"/>
      <c r="BG4" s="413"/>
      <c r="BH4" s="413"/>
      <c r="BI4" s="413"/>
      <c r="BJ4" s="413"/>
    </row>
    <row r="5" spans="1:62" ht="31.5">
      <c r="A5" s="8458"/>
      <c r="B5" s="371" t="s">
        <v>511</v>
      </c>
      <c r="C5" s="371" t="s">
        <v>512</v>
      </c>
      <c r="D5" s="372" t="s">
        <v>514</v>
      </c>
      <c r="E5" s="373" t="s">
        <v>513</v>
      </c>
      <c r="F5" s="374" t="s">
        <v>63</v>
      </c>
      <c r="G5" s="370" t="s">
        <v>1083</v>
      </c>
      <c r="H5" s="8458"/>
      <c r="I5" s="371" t="s">
        <v>511</v>
      </c>
      <c r="J5" s="371" t="s">
        <v>512</v>
      </c>
      <c r="K5" s="372" t="s">
        <v>514</v>
      </c>
      <c r="L5" s="373" t="s">
        <v>513</v>
      </c>
      <c r="M5" s="374" t="s">
        <v>63</v>
      </c>
      <c r="N5" s="370" t="s">
        <v>1083</v>
      </c>
      <c r="O5" s="8458"/>
      <c r="P5" s="371" t="s">
        <v>511</v>
      </c>
      <c r="Q5" s="371" t="s">
        <v>512</v>
      </c>
      <c r="R5" s="372" t="s">
        <v>514</v>
      </c>
      <c r="S5" s="373" t="s">
        <v>513</v>
      </c>
      <c r="T5" s="374" t="s">
        <v>63</v>
      </c>
      <c r="U5" s="370" t="s">
        <v>1083</v>
      </c>
      <c r="V5" s="8458"/>
      <c r="X5" s="34"/>
      <c r="Y5" s="34"/>
      <c r="Z5" s="34"/>
      <c r="AA5" s="34"/>
      <c r="AB5" s="34"/>
      <c r="AC5" s="34"/>
      <c r="AD5" s="34"/>
      <c r="AF5" s="34"/>
      <c r="AG5" s="34"/>
      <c r="AH5" s="34"/>
      <c r="AI5" s="34"/>
      <c r="AJ5" s="394"/>
      <c r="AK5" s="394"/>
      <c r="AL5" s="394"/>
      <c r="AM5" s="394"/>
      <c r="AN5" s="395"/>
      <c r="AO5" s="395"/>
      <c r="AP5" s="395"/>
      <c r="AQ5" s="395"/>
      <c r="AR5" s="395"/>
      <c r="AS5" s="395"/>
      <c r="AT5" s="34"/>
      <c r="AV5" s="34"/>
      <c r="AW5" s="34"/>
      <c r="AX5" s="34"/>
      <c r="AY5" s="34"/>
      <c r="AZ5" s="34"/>
      <c r="BA5" s="34"/>
      <c r="BB5" s="34"/>
      <c r="BC5" s="34"/>
      <c r="BD5" s="34"/>
      <c r="BE5" s="34"/>
      <c r="BF5" s="34"/>
      <c r="BG5" s="34"/>
      <c r="BH5" s="34"/>
      <c r="BI5" s="34"/>
      <c r="BJ5" s="34"/>
    </row>
    <row r="6" spans="1:62" ht="21">
      <c r="A6" s="8458"/>
      <c r="C6" s="350" t="s">
        <v>337</v>
      </c>
      <c r="D6" s="351"/>
      <c r="E6" s="352"/>
      <c r="F6" s="352"/>
      <c r="G6" s="353"/>
      <c r="H6" s="8458"/>
      <c r="I6" s="354"/>
      <c r="J6" s="350" t="s">
        <v>515</v>
      </c>
      <c r="K6" s="355"/>
      <c r="L6" s="356"/>
      <c r="M6" s="356"/>
      <c r="N6" s="357"/>
      <c r="O6" s="8458"/>
      <c r="P6" s="354"/>
      <c r="Q6" s="350" t="s">
        <v>516</v>
      </c>
      <c r="R6" s="350"/>
      <c r="S6" s="355"/>
      <c r="T6" s="356"/>
      <c r="U6" s="357"/>
      <c r="V6" s="8458"/>
      <c r="X6" s="408" t="s">
        <v>1089</v>
      </c>
      <c r="Y6" s="411"/>
      <c r="Z6" s="34"/>
      <c r="AA6" s="34"/>
      <c r="AB6" s="34"/>
      <c r="AC6" s="34"/>
      <c r="AD6" s="34"/>
      <c r="AF6" s="392" t="s">
        <v>1005</v>
      </c>
      <c r="AG6" s="392"/>
      <c r="AH6" s="392"/>
      <c r="AI6" s="394"/>
      <c r="AJ6" s="394"/>
      <c r="AK6" s="394"/>
      <c r="AL6" s="394"/>
      <c r="AM6" s="394"/>
      <c r="AN6" s="395"/>
      <c r="AO6" s="395"/>
      <c r="AP6" s="395"/>
      <c r="AQ6" s="395"/>
      <c r="AR6" s="395"/>
      <c r="AS6" s="395"/>
      <c r="AT6" s="34"/>
      <c r="AV6" s="402" t="s">
        <v>683</v>
      </c>
      <c r="AW6" s="403"/>
      <c r="AX6" s="403"/>
      <c r="AY6" s="403"/>
      <c r="AZ6" s="403"/>
      <c r="BA6" s="395"/>
      <c r="BB6" s="395"/>
      <c r="BC6" s="395"/>
      <c r="BD6" s="395"/>
      <c r="BE6" s="395"/>
      <c r="BF6" s="395"/>
      <c r="BG6" s="395"/>
      <c r="BH6" s="395"/>
      <c r="BI6" s="395"/>
      <c r="BJ6" s="34"/>
    </row>
    <row r="7" spans="1:62" ht="18.75">
      <c r="A7" s="8458"/>
      <c r="B7" s="369">
        <v>1</v>
      </c>
      <c r="C7" s="3" t="s">
        <v>517</v>
      </c>
      <c r="D7" s="364">
        <v>55</v>
      </c>
      <c r="E7" s="368">
        <v>10</v>
      </c>
      <c r="F7" s="366">
        <f t="shared" ref="F7:F38" si="0">(D7*E7)</f>
        <v>550</v>
      </c>
      <c r="G7" s="365">
        <f t="shared" ref="G7:G10" si="1">F7/1000</f>
        <v>0.55000000000000004</v>
      </c>
      <c r="H7" s="8458"/>
      <c r="I7" s="369">
        <v>56</v>
      </c>
      <c r="J7" s="3" t="s">
        <v>518</v>
      </c>
      <c r="K7" s="364">
        <v>170</v>
      </c>
      <c r="L7" s="368">
        <v>10</v>
      </c>
      <c r="M7" s="366">
        <f>(K7*L7)</f>
        <v>1700</v>
      </c>
      <c r="N7" s="365">
        <f t="shared" ref="N7:N68" si="2">M7/1000</f>
        <v>1.7</v>
      </c>
      <c r="O7" s="8458"/>
      <c r="P7" s="369">
        <v>113</v>
      </c>
      <c r="Q7" s="3" t="s">
        <v>519</v>
      </c>
      <c r="R7" s="364">
        <v>20</v>
      </c>
      <c r="S7" s="368">
        <v>10</v>
      </c>
      <c r="T7" s="366">
        <f t="shared" ref="T7:T19" si="3">(R7*S7)</f>
        <v>200</v>
      </c>
      <c r="U7" s="365">
        <f t="shared" ref="U7:U38" si="4">T7/1000</f>
        <v>0.2</v>
      </c>
      <c r="V7" s="8458"/>
      <c r="X7" s="34"/>
      <c r="Y7" s="34"/>
      <c r="Z7" s="34"/>
      <c r="AA7" s="34"/>
      <c r="AB7" s="34"/>
      <c r="AC7" s="34"/>
      <c r="AD7" s="34"/>
      <c r="AF7" s="393"/>
      <c r="AG7" s="394"/>
      <c r="AH7" s="394"/>
      <c r="AI7" s="394"/>
      <c r="AJ7" s="394"/>
      <c r="AK7" s="394"/>
      <c r="AL7" s="394"/>
      <c r="AM7" s="394"/>
      <c r="AN7" s="395"/>
      <c r="AO7" s="395"/>
      <c r="AP7" s="395"/>
      <c r="AQ7" s="395"/>
      <c r="AR7" s="395"/>
      <c r="AS7" s="395"/>
      <c r="AT7" s="34"/>
      <c r="AV7" s="403"/>
      <c r="AW7" s="403"/>
      <c r="AX7" s="403"/>
      <c r="AY7" s="403"/>
      <c r="AZ7" s="403"/>
      <c r="BA7" s="395"/>
      <c r="BB7" s="395"/>
      <c r="BC7" s="395"/>
      <c r="BD7" s="395"/>
      <c r="BE7" s="395"/>
      <c r="BF7" s="395"/>
      <c r="BG7" s="395"/>
      <c r="BH7" s="395"/>
      <c r="BI7" s="395"/>
      <c r="BJ7" s="34"/>
    </row>
    <row r="8" spans="1:62" ht="18.75">
      <c r="A8" s="8458"/>
      <c r="B8" s="369">
        <v>2</v>
      </c>
      <c r="C8" s="3" t="s">
        <v>520</v>
      </c>
      <c r="D8" s="364">
        <v>5</v>
      </c>
      <c r="E8" s="368">
        <v>10</v>
      </c>
      <c r="F8" s="366">
        <f t="shared" si="0"/>
        <v>50</v>
      </c>
      <c r="G8" s="365">
        <f t="shared" si="1"/>
        <v>0.05</v>
      </c>
      <c r="H8" s="8458"/>
      <c r="I8" s="369">
        <v>57</v>
      </c>
      <c r="J8" s="3" t="s">
        <v>521</v>
      </c>
      <c r="K8" s="364">
        <v>160</v>
      </c>
      <c r="L8" s="368">
        <v>10</v>
      </c>
      <c r="M8" s="366">
        <f t="shared" ref="M8:M68" si="5">(K8*L8)</f>
        <v>1600</v>
      </c>
      <c r="N8" s="365">
        <f t="shared" si="2"/>
        <v>1.6</v>
      </c>
      <c r="O8" s="8458"/>
      <c r="P8" s="369">
        <v>114</v>
      </c>
      <c r="Q8" s="3" t="s">
        <v>522</v>
      </c>
      <c r="R8" s="364">
        <v>125</v>
      </c>
      <c r="S8" s="368">
        <v>10</v>
      </c>
      <c r="T8" s="366">
        <f t="shared" si="3"/>
        <v>1250</v>
      </c>
      <c r="U8" s="365">
        <f t="shared" si="4"/>
        <v>1.25</v>
      </c>
      <c r="V8" s="8458"/>
      <c r="X8" s="411" t="s">
        <v>1085</v>
      </c>
      <c r="Y8" s="411" t="s">
        <v>1086</v>
      </c>
      <c r="Z8" s="411" t="s">
        <v>61</v>
      </c>
      <c r="AA8" s="412"/>
      <c r="AB8" s="411" t="s">
        <v>1085</v>
      </c>
      <c r="AC8" s="411" t="s">
        <v>1086</v>
      </c>
      <c r="AD8" s="411" t="s">
        <v>61</v>
      </c>
      <c r="AF8" s="396" t="s">
        <v>1101</v>
      </c>
      <c r="AG8" s="394"/>
      <c r="AH8" s="394"/>
      <c r="AI8" s="394"/>
      <c r="AJ8" s="394"/>
      <c r="AK8" s="394"/>
      <c r="AL8" s="394"/>
      <c r="AM8" s="394"/>
      <c r="AN8" s="395"/>
      <c r="AO8" s="395"/>
      <c r="AP8" s="395"/>
      <c r="AQ8" s="395"/>
      <c r="AR8" s="395"/>
      <c r="AS8" s="395"/>
      <c r="AT8" s="34"/>
      <c r="AV8" s="404" t="s">
        <v>145</v>
      </c>
      <c r="AW8" s="403"/>
      <c r="AX8" s="403"/>
      <c r="AY8" s="403"/>
      <c r="AZ8" s="403"/>
      <c r="BA8" s="395"/>
      <c r="BB8" s="395"/>
      <c r="BC8" s="395"/>
      <c r="BD8" s="395"/>
      <c r="BE8" s="395"/>
      <c r="BF8" s="395"/>
      <c r="BG8" s="395"/>
      <c r="BH8" s="395"/>
      <c r="BI8" s="395"/>
      <c r="BJ8" s="34"/>
    </row>
    <row r="9" spans="1:62" ht="20.25">
      <c r="A9" s="8458"/>
      <c r="B9" s="369">
        <v>3</v>
      </c>
      <c r="C9" s="3" t="s">
        <v>523</v>
      </c>
      <c r="D9" s="364">
        <v>8</v>
      </c>
      <c r="E9" s="368">
        <v>10</v>
      </c>
      <c r="F9" s="366">
        <f t="shared" si="0"/>
        <v>80</v>
      </c>
      <c r="G9" s="365">
        <f t="shared" si="1"/>
        <v>0.08</v>
      </c>
      <c r="H9" s="8458"/>
      <c r="I9" s="369">
        <v>58</v>
      </c>
      <c r="J9" s="3" t="s">
        <v>524</v>
      </c>
      <c r="K9" s="364">
        <v>885</v>
      </c>
      <c r="L9" s="368">
        <v>10</v>
      </c>
      <c r="M9" s="366">
        <f t="shared" si="5"/>
        <v>8850</v>
      </c>
      <c r="N9" s="365">
        <f t="shared" si="2"/>
        <v>8.85</v>
      </c>
      <c r="O9" s="8458"/>
      <c r="P9" s="369"/>
      <c r="Q9" s="358" t="s">
        <v>353</v>
      </c>
      <c r="R9" s="364">
        <v>0</v>
      </c>
      <c r="S9" s="368"/>
      <c r="T9" s="366">
        <f t="shared" si="3"/>
        <v>0</v>
      </c>
      <c r="U9" s="365">
        <f t="shared" si="4"/>
        <v>0</v>
      </c>
      <c r="V9" s="8458"/>
      <c r="X9" s="34"/>
      <c r="Y9" s="34"/>
      <c r="Z9" s="34"/>
      <c r="AA9" s="34"/>
      <c r="AB9" s="34"/>
      <c r="AC9" s="34"/>
      <c r="AD9" s="34"/>
      <c r="AF9" s="396"/>
      <c r="AG9" s="394"/>
      <c r="AH9" s="394"/>
      <c r="AI9" s="394"/>
      <c r="AJ9" s="394"/>
      <c r="AK9" s="394"/>
      <c r="AL9" s="394"/>
      <c r="AM9" s="394"/>
      <c r="AN9" s="395"/>
      <c r="AO9" s="395"/>
      <c r="AP9" s="395"/>
      <c r="AQ9" s="395"/>
      <c r="AR9" s="395"/>
      <c r="AS9" s="395"/>
      <c r="AT9" s="34"/>
      <c r="AV9" s="404"/>
      <c r="AW9" s="403"/>
      <c r="AX9" s="403"/>
      <c r="AY9" s="403"/>
      <c r="AZ9" s="403"/>
      <c r="BA9" s="394"/>
      <c r="BB9" s="394"/>
      <c r="BC9" s="394"/>
      <c r="BD9" s="395"/>
      <c r="BE9" s="395"/>
      <c r="BF9" s="395"/>
      <c r="BG9" s="395"/>
      <c r="BH9" s="395"/>
      <c r="BI9" s="395"/>
      <c r="BJ9" s="34"/>
    </row>
    <row r="10" spans="1:62" ht="18.75">
      <c r="A10" s="8458"/>
      <c r="B10" s="369">
        <v>4</v>
      </c>
      <c r="C10" s="3" t="s">
        <v>525</v>
      </c>
      <c r="D10" s="364">
        <v>50</v>
      </c>
      <c r="E10" s="368">
        <v>10</v>
      </c>
      <c r="F10" s="366">
        <f t="shared" si="0"/>
        <v>500</v>
      </c>
      <c r="G10" s="365">
        <f t="shared" si="1"/>
        <v>0.5</v>
      </c>
      <c r="H10" s="8458"/>
      <c r="I10" s="369">
        <v>59</v>
      </c>
      <c r="J10" s="3" t="s">
        <v>526</v>
      </c>
      <c r="K10" s="364">
        <v>500</v>
      </c>
      <c r="L10" s="368">
        <v>10</v>
      </c>
      <c r="M10" s="366">
        <f t="shared" si="5"/>
        <v>5000</v>
      </c>
      <c r="N10" s="365">
        <f t="shared" si="2"/>
        <v>5</v>
      </c>
      <c r="O10" s="8458"/>
      <c r="P10" s="369">
        <v>115</v>
      </c>
      <c r="Q10" s="3" t="s">
        <v>527</v>
      </c>
      <c r="R10" s="364">
        <v>45</v>
      </c>
      <c r="S10" s="368">
        <v>10</v>
      </c>
      <c r="T10" s="366">
        <f t="shared" si="3"/>
        <v>450</v>
      </c>
      <c r="U10" s="365">
        <f t="shared" si="4"/>
        <v>0.45</v>
      </c>
      <c r="V10" s="8458"/>
      <c r="X10" s="3" t="s">
        <v>694</v>
      </c>
      <c r="Y10" s="368" t="s">
        <v>695</v>
      </c>
      <c r="Z10" s="364" t="s">
        <v>696</v>
      </c>
      <c r="AA10" s="361"/>
      <c r="AB10" s="3" t="s">
        <v>697</v>
      </c>
      <c r="AC10" s="368" t="s">
        <v>698</v>
      </c>
      <c r="AD10" s="364" t="s">
        <v>699</v>
      </c>
      <c r="AE10" s="361"/>
      <c r="AF10" s="393" t="s">
        <v>1102</v>
      </c>
      <c r="AG10" s="394"/>
      <c r="AH10" s="394"/>
      <c r="AI10" s="394"/>
      <c r="AJ10" s="394"/>
      <c r="AK10" s="394"/>
      <c r="AL10" s="394"/>
      <c r="AM10" s="394"/>
      <c r="AN10" s="395"/>
      <c r="AO10" s="395"/>
      <c r="AP10" s="395"/>
      <c r="AQ10" s="395"/>
      <c r="AR10" s="395"/>
      <c r="AS10" s="395"/>
      <c r="AT10" s="34"/>
      <c r="AV10" s="405" t="s">
        <v>684</v>
      </c>
      <c r="AW10" s="403"/>
      <c r="AX10" s="403"/>
      <c r="AY10" s="403"/>
      <c r="AZ10" s="403"/>
      <c r="BA10" s="395"/>
      <c r="BB10" s="395"/>
      <c r="BC10" s="395"/>
      <c r="BD10" s="395"/>
      <c r="BE10" s="395"/>
      <c r="BF10" s="395"/>
      <c r="BG10" s="395"/>
      <c r="BH10" s="395"/>
      <c r="BI10" s="395"/>
      <c r="BJ10" s="34"/>
    </row>
    <row r="11" spans="1:62" ht="20.25">
      <c r="A11" s="8458"/>
      <c r="B11" s="369">
        <v>5</v>
      </c>
      <c r="C11" s="3" t="s">
        <v>528</v>
      </c>
      <c r="D11" s="364">
        <v>2000</v>
      </c>
      <c r="E11" s="368">
        <v>10</v>
      </c>
      <c r="F11" s="366">
        <f t="shared" si="0"/>
        <v>20000</v>
      </c>
      <c r="G11" s="367">
        <f t="shared" ref="G11:G42" si="6">F11/1000</f>
        <v>20</v>
      </c>
      <c r="H11" s="8458"/>
      <c r="I11" s="369"/>
      <c r="J11" s="358" t="s">
        <v>34</v>
      </c>
      <c r="K11" s="364">
        <v>0</v>
      </c>
      <c r="L11" s="368"/>
      <c r="M11" s="366">
        <f t="shared" si="5"/>
        <v>0</v>
      </c>
      <c r="N11" s="365">
        <f t="shared" si="2"/>
        <v>0</v>
      </c>
      <c r="O11" s="8458"/>
      <c r="P11" s="369">
        <v>116</v>
      </c>
      <c r="Q11" s="3" t="s">
        <v>529</v>
      </c>
      <c r="R11" s="364">
        <v>1</v>
      </c>
      <c r="S11" s="368">
        <v>10</v>
      </c>
      <c r="T11" s="366">
        <f t="shared" si="3"/>
        <v>10</v>
      </c>
      <c r="U11" s="365">
        <f t="shared" si="4"/>
        <v>0.01</v>
      </c>
      <c r="V11" s="8458"/>
      <c r="X11" s="3" t="s">
        <v>700</v>
      </c>
      <c r="Y11" s="368" t="s">
        <v>701</v>
      </c>
      <c r="Z11" s="364" t="s">
        <v>702</v>
      </c>
      <c r="AA11" s="361"/>
      <c r="AB11" s="3" t="s">
        <v>703</v>
      </c>
      <c r="AC11" s="368" t="s">
        <v>698</v>
      </c>
      <c r="AD11" s="364" t="s">
        <v>704</v>
      </c>
      <c r="AE11" s="361"/>
      <c r="AF11" s="393"/>
      <c r="AG11" s="394"/>
      <c r="AH11" s="394"/>
      <c r="AI11" s="394"/>
      <c r="AJ11" s="394"/>
      <c r="AK11" s="394"/>
      <c r="AL11" s="394"/>
      <c r="AM11" s="394"/>
      <c r="AN11" s="395"/>
      <c r="AO11" s="395"/>
      <c r="AP11" s="395"/>
      <c r="AQ11" s="395"/>
      <c r="AR11" s="395"/>
      <c r="AS11" s="395"/>
      <c r="AT11" s="34"/>
      <c r="AV11" s="403"/>
      <c r="AX11" s="403"/>
      <c r="AY11" s="403"/>
      <c r="AZ11" s="403"/>
      <c r="BA11" s="403"/>
      <c r="BB11" s="403"/>
      <c r="BC11" s="403"/>
      <c r="BD11" s="403"/>
      <c r="BE11" s="403"/>
      <c r="BF11" s="403"/>
      <c r="BG11" s="395"/>
      <c r="BH11" s="395"/>
      <c r="BI11" s="395"/>
      <c r="BJ11" s="34"/>
    </row>
    <row r="12" spans="1:62" ht="18.75">
      <c r="A12" s="8458"/>
      <c r="B12" s="369">
        <v>6</v>
      </c>
      <c r="C12" s="3" t="s">
        <v>530</v>
      </c>
      <c r="D12" s="364">
        <v>350</v>
      </c>
      <c r="E12" s="368">
        <v>10</v>
      </c>
      <c r="F12" s="366">
        <f t="shared" si="0"/>
        <v>3500</v>
      </c>
      <c r="G12" s="365">
        <f t="shared" si="6"/>
        <v>3.5</v>
      </c>
      <c r="H12" s="8458"/>
      <c r="I12" s="369">
        <v>60</v>
      </c>
      <c r="J12" s="3" t="s">
        <v>531</v>
      </c>
      <c r="K12" s="364">
        <v>1500</v>
      </c>
      <c r="L12" s="368">
        <v>10</v>
      </c>
      <c r="M12" s="366">
        <f t="shared" si="5"/>
        <v>15000</v>
      </c>
      <c r="N12" s="367">
        <f t="shared" si="2"/>
        <v>15</v>
      </c>
      <c r="O12" s="8458"/>
      <c r="P12" s="369">
        <v>117</v>
      </c>
      <c r="Q12" s="3" t="s">
        <v>532</v>
      </c>
      <c r="R12" s="364">
        <v>50</v>
      </c>
      <c r="S12" s="368">
        <v>10</v>
      </c>
      <c r="T12" s="366">
        <f t="shared" si="3"/>
        <v>500</v>
      </c>
      <c r="U12" s="365">
        <f t="shared" si="4"/>
        <v>0.5</v>
      </c>
      <c r="V12" s="8458"/>
      <c r="X12" s="3" t="s">
        <v>705</v>
      </c>
      <c r="Y12" s="368">
        <v>1</v>
      </c>
      <c r="Z12" s="364" t="s">
        <v>706</v>
      </c>
      <c r="AA12" s="361"/>
      <c r="AB12" s="3" t="s">
        <v>707</v>
      </c>
      <c r="AC12" s="368" t="s">
        <v>708</v>
      </c>
      <c r="AD12" s="364" t="s">
        <v>709</v>
      </c>
      <c r="AE12" s="361"/>
      <c r="AF12" s="393" t="s">
        <v>1103</v>
      </c>
      <c r="AG12" s="394"/>
      <c r="AH12" s="394"/>
      <c r="AI12" s="394"/>
      <c r="AJ12" s="394"/>
      <c r="AK12" s="394"/>
      <c r="AL12" s="394"/>
      <c r="AM12" s="394"/>
      <c r="AN12" s="395"/>
      <c r="AO12" s="395"/>
      <c r="AP12" s="395"/>
      <c r="AQ12" s="395"/>
      <c r="AR12" s="395"/>
      <c r="AS12" s="395"/>
      <c r="AT12" s="34"/>
      <c r="AV12" s="406" t="s">
        <v>685</v>
      </c>
      <c r="AX12" s="407" t="s">
        <v>686</v>
      </c>
      <c r="AY12" s="403"/>
      <c r="AZ12" s="403"/>
      <c r="BA12" s="403"/>
      <c r="BB12" s="403"/>
      <c r="BC12" s="403"/>
      <c r="BD12" s="403"/>
      <c r="BE12" s="403"/>
      <c r="BF12" s="403"/>
      <c r="BG12" s="395"/>
      <c r="BH12" s="395"/>
      <c r="BI12" s="395"/>
      <c r="BJ12" s="34"/>
    </row>
    <row r="13" spans="1:62" ht="18.75">
      <c r="A13" s="8458"/>
      <c r="B13" s="369">
        <v>7</v>
      </c>
      <c r="C13" s="3" t="s">
        <v>533</v>
      </c>
      <c r="D13" s="364">
        <v>110</v>
      </c>
      <c r="E13" s="368">
        <v>10</v>
      </c>
      <c r="F13" s="366">
        <f t="shared" si="0"/>
        <v>1100</v>
      </c>
      <c r="G13" s="365">
        <f t="shared" si="6"/>
        <v>1.1000000000000001</v>
      </c>
      <c r="H13" s="8458"/>
      <c r="I13" s="369">
        <v>61</v>
      </c>
      <c r="J13" s="3" t="s">
        <v>534</v>
      </c>
      <c r="K13" s="364">
        <v>150</v>
      </c>
      <c r="L13" s="368">
        <v>10</v>
      </c>
      <c r="M13" s="366">
        <f t="shared" si="5"/>
        <v>1500</v>
      </c>
      <c r="N13" s="365">
        <f t="shared" si="2"/>
        <v>1.5</v>
      </c>
      <c r="O13" s="8458"/>
      <c r="P13" s="369">
        <v>118</v>
      </c>
      <c r="Q13" s="3" t="s">
        <v>535</v>
      </c>
      <c r="R13" s="364">
        <v>15</v>
      </c>
      <c r="S13" s="368">
        <v>10</v>
      </c>
      <c r="T13" s="366">
        <f t="shared" si="3"/>
        <v>150</v>
      </c>
      <c r="U13" s="365">
        <f t="shared" si="4"/>
        <v>0.15</v>
      </c>
      <c r="V13" s="8458"/>
      <c r="X13" s="3"/>
      <c r="Y13" s="368"/>
      <c r="Z13" s="364"/>
      <c r="AA13" s="361"/>
      <c r="AB13" s="3" t="s">
        <v>710</v>
      </c>
      <c r="AC13" s="368" t="s">
        <v>711</v>
      </c>
      <c r="AD13" s="364" t="s">
        <v>712</v>
      </c>
      <c r="AE13" s="361"/>
      <c r="AF13" s="393"/>
      <c r="AG13" s="394"/>
      <c r="AH13" s="394"/>
      <c r="AI13" s="394"/>
      <c r="AJ13" s="394"/>
      <c r="AK13" s="394"/>
      <c r="AL13" s="394"/>
      <c r="AM13" s="394"/>
      <c r="AN13" s="395"/>
      <c r="AO13" s="395"/>
      <c r="AP13" s="395"/>
      <c r="AQ13" s="395"/>
      <c r="AR13" s="395"/>
      <c r="AS13" s="395"/>
      <c r="AT13" s="34"/>
      <c r="AV13" s="403"/>
      <c r="AW13" s="403"/>
      <c r="AX13" s="403"/>
      <c r="AY13" s="403"/>
      <c r="AZ13" s="403"/>
      <c r="BA13" s="403"/>
      <c r="BB13" s="403"/>
      <c r="BC13" s="403"/>
      <c r="BD13" s="403"/>
      <c r="BE13" s="403"/>
      <c r="BF13" s="403"/>
      <c r="BG13" s="395"/>
      <c r="BH13" s="395"/>
      <c r="BI13" s="395"/>
      <c r="BJ13" s="34"/>
    </row>
    <row r="14" spans="1:62" ht="20.25">
      <c r="A14" s="8458"/>
      <c r="B14" s="369">
        <v>8</v>
      </c>
      <c r="C14" s="3" t="s">
        <v>536</v>
      </c>
      <c r="D14" s="364">
        <v>220</v>
      </c>
      <c r="E14" s="368">
        <v>10</v>
      </c>
      <c r="F14" s="366">
        <f t="shared" si="0"/>
        <v>2200</v>
      </c>
      <c r="G14" s="365">
        <f t="shared" si="6"/>
        <v>2.2000000000000002</v>
      </c>
      <c r="H14" s="8458"/>
      <c r="I14" s="369"/>
      <c r="J14" s="350" t="s">
        <v>537</v>
      </c>
      <c r="K14" s="364">
        <v>0</v>
      </c>
      <c r="L14" s="368"/>
      <c r="M14" s="366">
        <f t="shared" si="5"/>
        <v>0</v>
      </c>
      <c r="N14" s="365">
        <f t="shared" si="2"/>
        <v>0</v>
      </c>
      <c r="O14" s="8458"/>
      <c r="P14" s="369">
        <v>119</v>
      </c>
      <c r="Q14" s="3" t="s">
        <v>538</v>
      </c>
      <c r="R14" s="364">
        <v>200</v>
      </c>
      <c r="S14" s="368">
        <v>10</v>
      </c>
      <c r="T14" s="366">
        <f t="shared" si="3"/>
        <v>2000</v>
      </c>
      <c r="U14" s="365">
        <f t="shared" si="4"/>
        <v>2</v>
      </c>
      <c r="V14" s="8458"/>
      <c r="X14" s="3" t="s">
        <v>713</v>
      </c>
      <c r="Y14" s="368" t="s">
        <v>714</v>
      </c>
      <c r="Z14" s="364" t="s">
        <v>715</v>
      </c>
      <c r="AA14" s="361"/>
      <c r="AB14" s="3" t="s">
        <v>716</v>
      </c>
      <c r="AC14" s="368" t="s">
        <v>711</v>
      </c>
      <c r="AD14" s="364" t="s">
        <v>717</v>
      </c>
      <c r="AE14" s="361"/>
      <c r="AF14" s="396" t="s">
        <v>1100</v>
      </c>
      <c r="AG14" s="394"/>
      <c r="AH14" s="394"/>
      <c r="AI14" s="394"/>
      <c r="AJ14" s="394"/>
      <c r="AK14" s="394"/>
      <c r="AL14" s="394"/>
      <c r="AM14" s="394"/>
      <c r="AN14" s="395"/>
      <c r="AO14" s="395"/>
      <c r="AP14" s="395"/>
      <c r="AQ14" s="395"/>
      <c r="AR14" s="395"/>
      <c r="AS14" s="395"/>
      <c r="AT14" s="34"/>
      <c r="AV14" s="408" t="s">
        <v>687</v>
      </c>
      <c r="AW14" s="403"/>
      <c r="AX14" s="403"/>
      <c r="AY14" s="407" t="s">
        <v>688</v>
      </c>
      <c r="AZ14" s="403"/>
      <c r="BA14" s="403"/>
      <c r="BB14" s="403"/>
      <c r="BC14" s="403"/>
      <c r="BD14" s="403"/>
      <c r="BE14" s="403"/>
      <c r="BF14" s="403"/>
      <c r="BG14" s="395"/>
      <c r="BH14" s="395"/>
      <c r="BI14" s="395"/>
      <c r="BJ14" s="34"/>
    </row>
    <row r="15" spans="1:62" ht="20.25">
      <c r="A15" s="8458"/>
      <c r="B15" s="369"/>
      <c r="C15" s="358" t="s">
        <v>339</v>
      </c>
      <c r="D15" s="364">
        <v>0</v>
      </c>
      <c r="E15" s="368"/>
      <c r="F15" s="366">
        <f t="shared" si="0"/>
        <v>0</v>
      </c>
      <c r="G15" s="365">
        <f t="shared" si="6"/>
        <v>0</v>
      </c>
      <c r="H15" s="8458"/>
      <c r="I15" s="369">
        <v>62</v>
      </c>
      <c r="J15" s="3" t="s">
        <v>539</v>
      </c>
      <c r="K15" s="364">
        <v>10</v>
      </c>
      <c r="L15" s="368">
        <v>10</v>
      </c>
      <c r="M15" s="366">
        <f t="shared" si="5"/>
        <v>100</v>
      </c>
      <c r="N15" s="365">
        <f t="shared" si="2"/>
        <v>0.1</v>
      </c>
      <c r="O15" s="8458"/>
      <c r="P15" s="369">
        <v>120</v>
      </c>
      <c r="Q15" s="3" t="s">
        <v>540</v>
      </c>
      <c r="R15" s="364">
        <v>12</v>
      </c>
      <c r="S15" s="368">
        <v>10</v>
      </c>
      <c r="T15" s="366">
        <f t="shared" si="3"/>
        <v>120</v>
      </c>
      <c r="U15" s="365">
        <f t="shared" si="4"/>
        <v>0.12</v>
      </c>
      <c r="V15" s="8458"/>
      <c r="X15" s="3" t="s">
        <v>541</v>
      </c>
      <c r="Y15" s="368" t="s">
        <v>698</v>
      </c>
      <c r="Z15" s="364" t="s">
        <v>718</v>
      </c>
      <c r="AA15" s="361"/>
      <c r="AB15" s="3" t="s">
        <v>719</v>
      </c>
      <c r="AC15" s="368" t="s">
        <v>701</v>
      </c>
      <c r="AD15" s="364" t="s">
        <v>720</v>
      </c>
      <c r="AE15" s="361"/>
      <c r="AF15" s="396"/>
      <c r="AG15" s="394"/>
      <c r="AH15" s="394"/>
      <c r="AI15" s="394"/>
      <c r="AJ15" s="394"/>
      <c r="AK15" s="394"/>
      <c r="AL15" s="394"/>
      <c r="AM15" s="394"/>
      <c r="AN15" s="395"/>
      <c r="AO15" s="395"/>
      <c r="AP15" s="395"/>
      <c r="AQ15" s="395"/>
      <c r="AR15" s="395"/>
      <c r="AS15" s="395"/>
      <c r="AT15" s="34"/>
      <c r="AV15" s="408"/>
      <c r="AW15" s="403"/>
      <c r="AX15" s="403"/>
      <c r="AY15" s="407"/>
      <c r="AZ15" s="403"/>
      <c r="BA15" s="403"/>
      <c r="BB15" s="403"/>
      <c r="BC15" s="403"/>
      <c r="BD15" s="403"/>
      <c r="BE15" s="403"/>
      <c r="BF15" s="403"/>
      <c r="BG15" s="395"/>
      <c r="BH15" s="395"/>
      <c r="BI15" s="395"/>
      <c r="BJ15" s="34"/>
    </row>
    <row r="16" spans="1:62" ht="18.75">
      <c r="A16" s="8458"/>
      <c r="B16" s="369">
        <v>9</v>
      </c>
      <c r="C16" s="3" t="s">
        <v>541</v>
      </c>
      <c r="D16" s="364">
        <v>120</v>
      </c>
      <c r="E16" s="368">
        <v>10</v>
      </c>
      <c r="F16" s="366">
        <f t="shared" si="0"/>
        <v>1200</v>
      </c>
      <c r="G16" s="365">
        <f t="shared" si="6"/>
        <v>1.2</v>
      </c>
      <c r="H16" s="8458"/>
      <c r="I16" s="369">
        <v>63</v>
      </c>
      <c r="J16" s="3" t="s">
        <v>542</v>
      </c>
      <c r="K16" s="364">
        <v>800</v>
      </c>
      <c r="L16" s="368">
        <v>10</v>
      </c>
      <c r="M16" s="366">
        <f t="shared" si="5"/>
        <v>8000</v>
      </c>
      <c r="N16" s="365">
        <f t="shared" si="2"/>
        <v>8</v>
      </c>
      <c r="O16" s="8458"/>
      <c r="P16" s="369">
        <v>121</v>
      </c>
      <c r="Q16" s="3" t="s">
        <v>543</v>
      </c>
      <c r="R16" s="364">
        <v>12</v>
      </c>
      <c r="S16" s="368">
        <v>10</v>
      </c>
      <c r="T16" s="366">
        <f t="shared" si="3"/>
        <v>120</v>
      </c>
      <c r="U16" s="365">
        <f t="shared" si="4"/>
        <v>0.12</v>
      </c>
      <c r="V16" s="8458"/>
      <c r="X16" s="3" t="s">
        <v>196</v>
      </c>
      <c r="Y16" s="368" t="s">
        <v>711</v>
      </c>
      <c r="Z16" s="364" t="s">
        <v>712</v>
      </c>
      <c r="AA16" s="361"/>
      <c r="AB16" s="3" t="s">
        <v>548</v>
      </c>
      <c r="AC16" s="368" t="s">
        <v>708</v>
      </c>
      <c r="AD16" s="364" t="s">
        <v>721</v>
      </c>
      <c r="AE16" s="361"/>
      <c r="AF16" s="393" t="s">
        <v>1104</v>
      </c>
      <c r="AG16" s="394"/>
      <c r="AH16" s="394"/>
      <c r="AI16" s="394"/>
      <c r="AJ16" s="394"/>
      <c r="AK16" s="394"/>
      <c r="AL16" s="394"/>
      <c r="AM16" s="394"/>
      <c r="AN16" s="395"/>
      <c r="AO16" s="395"/>
      <c r="AP16" s="395"/>
      <c r="AQ16" s="395"/>
      <c r="AR16" s="395"/>
      <c r="AS16" s="395"/>
      <c r="AT16" s="34"/>
      <c r="AV16" s="408" t="s">
        <v>689</v>
      </c>
      <c r="AW16" s="409" t="s">
        <v>690</v>
      </c>
      <c r="AX16" s="409"/>
      <c r="AY16" s="410"/>
      <c r="AZ16" s="410"/>
      <c r="BA16" s="403"/>
      <c r="BB16" s="403"/>
      <c r="BC16" s="403"/>
      <c r="BD16" s="403"/>
      <c r="BE16" s="403"/>
      <c r="BF16" s="403"/>
      <c r="BG16" s="395"/>
      <c r="BH16" s="395"/>
      <c r="BI16" s="395"/>
      <c r="BJ16" s="34"/>
    </row>
    <row r="17" spans="1:62" ht="15.75" customHeight="1">
      <c r="A17" s="8458"/>
      <c r="B17" s="369">
        <v>10</v>
      </c>
      <c r="C17" s="3" t="s">
        <v>544</v>
      </c>
      <c r="D17" s="364">
        <v>8</v>
      </c>
      <c r="E17" s="368">
        <v>10</v>
      </c>
      <c r="F17" s="366">
        <f t="shared" si="0"/>
        <v>80</v>
      </c>
      <c r="G17" s="365">
        <f t="shared" si="6"/>
        <v>0.08</v>
      </c>
      <c r="H17" s="8458"/>
      <c r="I17" s="369">
        <v>64</v>
      </c>
      <c r="J17" s="3" t="s">
        <v>545</v>
      </c>
      <c r="K17" s="364">
        <v>500</v>
      </c>
      <c r="L17" s="368">
        <v>10</v>
      </c>
      <c r="M17" s="366">
        <f t="shared" si="5"/>
        <v>5000</v>
      </c>
      <c r="N17" s="365">
        <f t="shared" si="2"/>
        <v>5</v>
      </c>
      <c r="O17" s="8458"/>
      <c r="P17" s="369">
        <v>122</v>
      </c>
      <c r="Q17" s="3" t="s">
        <v>546</v>
      </c>
      <c r="R17" s="364">
        <v>19</v>
      </c>
      <c r="S17" s="368">
        <v>10</v>
      </c>
      <c r="T17" s="366">
        <f t="shared" si="3"/>
        <v>190</v>
      </c>
      <c r="U17" s="365">
        <f t="shared" si="4"/>
        <v>0.19</v>
      </c>
      <c r="V17" s="8458"/>
      <c r="X17" s="3" t="s">
        <v>722</v>
      </c>
      <c r="Y17" s="368" t="s">
        <v>711</v>
      </c>
      <c r="Z17" s="364" t="s">
        <v>723</v>
      </c>
      <c r="AA17" s="361"/>
      <c r="AB17" s="3" t="s">
        <v>724</v>
      </c>
      <c r="AC17" s="368" t="s">
        <v>711</v>
      </c>
      <c r="AD17" s="364" t="s">
        <v>725</v>
      </c>
      <c r="AE17" s="361"/>
      <c r="AF17" s="393"/>
      <c r="AG17" s="394"/>
      <c r="AH17" s="394"/>
      <c r="AI17" s="394"/>
      <c r="AJ17" s="394"/>
      <c r="AK17" s="394"/>
      <c r="AL17" s="394"/>
      <c r="AM17" s="394"/>
      <c r="AN17" s="395"/>
      <c r="AO17" s="395"/>
      <c r="AP17" s="395"/>
      <c r="AQ17" s="395"/>
      <c r="AR17" s="395"/>
      <c r="AS17" s="395"/>
      <c r="AT17" s="34"/>
      <c r="AV17" s="408"/>
      <c r="AW17" s="409"/>
      <c r="AX17" s="409"/>
      <c r="AY17" s="410"/>
      <c r="AZ17" s="410"/>
      <c r="BA17" s="403"/>
      <c r="BB17" s="403"/>
      <c r="BC17" s="403"/>
      <c r="BD17" s="403"/>
      <c r="BE17" s="403"/>
      <c r="BF17" s="403"/>
      <c r="BG17" s="395"/>
      <c r="BH17" s="395"/>
      <c r="BI17" s="395"/>
      <c r="BJ17" s="34"/>
    </row>
    <row r="18" spans="1:62" ht="15.75" customHeight="1">
      <c r="A18" s="8458"/>
      <c r="B18" s="369">
        <v>11</v>
      </c>
      <c r="C18" s="3" t="s">
        <v>547</v>
      </c>
      <c r="D18" s="364">
        <v>4</v>
      </c>
      <c r="E18" s="368">
        <v>10</v>
      </c>
      <c r="F18" s="366">
        <f t="shared" si="0"/>
        <v>40</v>
      </c>
      <c r="G18" s="365">
        <f t="shared" si="6"/>
        <v>0.04</v>
      </c>
      <c r="H18" s="8458"/>
      <c r="I18" s="369">
        <v>65</v>
      </c>
      <c r="J18" s="3" t="s">
        <v>548</v>
      </c>
      <c r="K18" s="364">
        <v>230</v>
      </c>
      <c r="L18" s="368">
        <v>10</v>
      </c>
      <c r="M18" s="366">
        <f t="shared" si="5"/>
        <v>2300</v>
      </c>
      <c r="N18" s="365">
        <f t="shared" si="2"/>
        <v>2.2999999999999998</v>
      </c>
      <c r="O18" s="8458"/>
      <c r="P18" s="369">
        <v>123</v>
      </c>
      <c r="Q18" s="3" t="s">
        <v>549</v>
      </c>
      <c r="R18" s="364">
        <v>12</v>
      </c>
      <c r="S18" s="368">
        <v>10</v>
      </c>
      <c r="T18" s="366">
        <f t="shared" si="3"/>
        <v>120</v>
      </c>
      <c r="U18" s="365">
        <f t="shared" si="4"/>
        <v>0.12</v>
      </c>
      <c r="V18" s="8458"/>
      <c r="X18" s="3" t="s">
        <v>726</v>
      </c>
      <c r="Y18" s="368" t="s">
        <v>727</v>
      </c>
      <c r="Z18" s="376" t="s">
        <v>728</v>
      </c>
      <c r="AA18" s="361"/>
      <c r="AB18" s="3" t="s">
        <v>729</v>
      </c>
      <c r="AC18" s="368" t="s">
        <v>730</v>
      </c>
      <c r="AD18" s="376" t="s">
        <v>731</v>
      </c>
      <c r="AE18" s="361"/>
      <c r="AF18" s="393" t="s">
        <v>1105</v>
      </c>
      <c r="AG18" s="394"/>
      <c r="AH18" s="394"/>
      <c r="AI18" s="394"/>
      <c r="AJ18" s="394"/>
      <c r="AK18" s="394"/>
      <c r="AL18" s="394"/>
      <c r="AM18" s="394"/>
      <c r="AN18" s="395"/>
      <c r="AO18" s="395"/>
      <c r="AP18" s="395"/>
      <c r="AQ18" s="395"/>
      <c r="AR18" s="395"/>
      <c r="AS18" s="395"/>
      <c r="AT18" s="34"/>
      <c r="AV18" s="408" t="s">
        <v>691</v>
      </c>
      <c r="AW18" s="409"/>
      <c r="AX18" s="409" t="s">
        <v>692</v>
      </c>
      <c r="AY18" s="410"/>
      <c r="AZ18" s="410"/>
      <c r="BA18" s="403"/>
      <c r="BB18" s="403"/>
      <c r="BC18" s="403"/>
      <c r="BD18" s="403"/>
      <c r="BE18" s="403"/>
      <c r="BF18" s="403"/>
      <c r="BG18" s="395"/>
      <c r="BH18" s="395"/>
      <c r="BI18" s="395"/>
      <c r="BJ18" s="34"/>
    </row>
    <row r="19" spans="1:62" ht="18.75">
      <c r="A19" s="8458"/>
      <c r="B19" s="369">
        <v>12</v>
      </c>
      <c r="C19" s="3" t="s">
        <v>550</v>
      </c>
      <c r="D19" s="364">
        <v>15</v>
      </c>
      <c r="E19" s="368">
        <v>10</v>
      </c>
      <c r="F19" s="366">
        <f t="shared" si="0"/>
        <v>150</v>
      </c>
      <c r="G19" s="365">
        <f t="shared" si="6"/>
        <v>0.15</v>
      </c>
      <c r="H19" s="8458"/>
      <c r="I19" s="369">
        <v>66</v>
      </c>
      <c r="J19" s="3" t="s">
        <v>551</v>
      </c>
      <c r="K19" s="364">
        <v>9.5</v>
      </c>
      <c r="L19" s="368">
        <v>10</v>
      </c>
      <c r="M19" s="366">
        <f t="shared" si="5"/>
        <v>95</v>
      </c>
      <c r="N19" s="365">
        <f t="shared" si="2"/>
        <v>9.5000000000000001E-2</v>
      </c>
      <c r="O19" s="8458"/>
      <c r="P19" s="369">
        <v>124</v>
      </c>
      <c r="Q19" s="3" t="s">
        <v>552</v>
      </c>
      <c r="R19" s="364">
        <v>13</v>
      </c>
      <c r="S19" s="368">
        <v>10</v>
      </c>
      <c r="T19" s="366">
        <f t="shared" si="3"/>
        <v>130</v>
      </c>
      <c r="U19" s="365">
        <f t="shared" si="4"/>
        <v>0.13</v>
      </c>
      <c r="V19" s="8458"/>
      <c r="X19" s="3" t="s">
        <v>732</v>
      </c>
      <c r="Y19" s="368">
        <v>1</v>
      </c>
      <c r="Z19" s="364" t="s">
        <v>733</v>
      </c>
      <c r="AA19" s="361"/>
      <c r="AB19" s="3" t="s">
        <v>734</v>
      </c>
      <c r="AC19" s="368" t="s">
        <v>735</v>
      </c>
      <c r="AD19" s="364" t="s">
        <v>736</v>
      </c>
      <c r="AE19" s="361"/>
      <c r="AF19" s="393"/>
      <c r="AG19" s="394"/>
      <c r="AH19" s="394"/>
      <c r="AI19" s="394"/>
      <c r="AJ19" s="394"/>
      <c r="AK19" s="394"/>
      <c r="AL19" s="394"/>
      <c r="AM19" s="394"/>
      <c r="AN19" s="395"/>
      <c r="AO19" s="395"/>
      <c r="AP19" s="395"/>
      <c r="AQ19" s="395"/>
      <c r="AR19" s="395"/>
      <c r="AS19" s="395"/>
      <c r="AT19" s="34"/>
      <c r="AV19" s="408"/>
      <c r="AW19" s="409"/>
      <c r="AX19" s="409"/>
      <c r="AY19" s="410"/>
      <c r="AZ19" s="410"/>
      <c r="BA19" s="403"/>
      <c r="BB19" s="403"/>
      <c r="BC19" s="403"/>
      <c r="BD19" s="403"/>
      <c r="BE19" s="403"/>
      <c r="BF19" s="403"/>
      <c r="BG19" s="395"/>
      <c r="BH19" s="395"/>
      <c r="BI19" s="395"/>
      <c r="BJ19" s="34"/>
    </row>
    <row r="20" spans="1:62" ht="18.75">
      <c r="A20" s="8458"/>
      <c r="B20" s="369">
        <v>13</v>
      </c>
      <c r="C20" s="3" t="s">
        <v>553</v>
      </c>
      <c r="D20" s="364">
        <v>4</v>
      </c>
      <c r="E20" s="368">
        <v>10</v>
      </c>
      <c r="F20" s="366">
        <f t="shared" si="0"/>
        <v>40</v>
      </c>
      <c r="G20" s="365">
        <f t="shared" si="6"/>
        <v>0.04</v>
      </c>
      <c r="H20" s="8458"/>
      <c r="I20" s="369">
        <v>67</v>
      </c>
      <c r="J20" s="3" t="s">
        <v>554</v>
      </c>
      <c r="K20" s="364">
        <v>900</v>
      </c>
      <c r="L20" s="368">
        <v>10</v>
      </c>
      <c r="M20" s="366">
        <f t="shared" si="5"/>
        <v>9000</v>
      </c>
      <c r="N20" s="365">
        <f t="shared" si="2"/>
        <v>9</v>
      </c>
      <c r="O20" s="8458"/>
      <c r="P20" s="369">
        <v>125</v>
      </c>
      <c r="Q20" s="3" t="s">
        <v>555</v>
      </c>
      <c r="R20" s="364">
        <v>12</v>
      </c>
      <c r="S20" s="368">
        <v>10</v>
      </c>
      <c r="T20" s="366">
        <f>(R20*S20)/1000</f>
        <v>0.12</v>
      </c>
      <c r="U20" s="365">
        <f t="shared" si="4"/>
        <v>1.1999999999999999E-4</v>
      </c>
      <c r="V20" s="8458"/>
      <c r="X20" s="3" t="s">
        <v>737</v>
      </c>
      <c r="Y20" s="368">
        <v>1</v>
      </c>
      <c r="Z20" s="364" t="s">
        <v>738</v>
      </c>
      <c r="AA20" s="361"/>
      <c r="AB20" s="3" t="s">
        <v>739</v>
      </c>
      <c r="AC20" s="368" t="s">
        <v>740</v>
      </c>
      <c r="AD20" s="364" t="s">
        <v>741</v>
      </c>
      <c r="AE20" s="361"/>
      <c r="AF20" s="396" t="s">
        <v>1106</v>
      </c>
      <c r="AG20" s="394"/>
      <c r="AH20" s="394"/>
      <c r="AI20" s="394"/>
      <c r="AJ20" s="394"/>
      <c r="AK20" s="394"/>
      <c r="AL20" s="394"/>
      <c r="AM20" s="394"/>
      <c r="AN20" s="395"/>
      <c r="AO20" s="395"/>
      <c r="AP20" s="395"/>
      <c r="AQ20" s="395"/>
      <c r="AR20" s="395"/>
      <c r="AS20" s="395"/>
      <c r="AT20" s="34"/>
      <c r="AV20" s="409" t="s">
        <v>693</v>
      </c>
      <c r="AW20" s="409"/>
      <c r="AX20" s="409"/>
      <c r="AY20" s="410"/>
      <c r="AZ20" s="410"/>
      <c r="BA20" s="403"/>
      <c r="BB20" s="403"/>
      <c r="BC20" s="403"/>
      <c r="BD20" s="403"/>
      <c r="BE20" s="403"/>
      <c r="BF20" s="403"/>
      <c r="BG20" s="395"/>
      <c r="BH20" s="395"/>
      <c r="BI20" s="395"/>
      <c r="BJ20" s="34"/>
    </row>
    <row r="21" spans="1:62" ht="18.75">
      <c r="A21" s="8458"/>
      <c r="B21" s="369">
        <v>14</v>
      </c>
      <c r="C21" s="3" t="s">
        <v>556</v>
      </c>
      <c r="D21" s="364">
        <v>15</v>
      </c>
      <c r="E21" s="368">
        <v>10</v>
      </c>
      <c r="F21" s="366">
        <f t="shared" si="0"/>
        <v>150</v>
      </c>
      <c r="G21" s="365">
        <f t="shared" si="6"/>
        <v>0.15</v>
      </c>
      <c r="H21" s="8458"/>
      <c r="I21" s="369">
        <v>68</v>
      </c>
      <c r="J21" s="3" t="s">
        <v>557</v>
      </c>
      <c r="K21" s="364">
        <v>900</v>
      </c>
      <c r="L21" s="368">
        <v>10</v>
      </c>
      <c r="M21" s="366">
        <f t="shared" si="5"/>
        <v>9000</v>
      </c>
      <c r="N21" s="365">
        <f t="shared" si="2"/>
        <v>9</v>
      </c>
      <c r="O21" s="8458"/>
      <c r="P21" s="369">
        <v>126</v>
      </c>
      <c r="Q21" s="3" t="s">
        <v>558</v>
      </c>
      <c r="R21" s="364">
        <v>13</v>
      </c>
      <c r="S21" s="368">
        <v>10</v>
      </c>
      <c r="T21" s="366">
        <f>(R21*S21)/1000</f>
        <v>0.13</v>
      </c>
      <c r="U21" s="365">
        <f t="shared" si="4"/>
        <v>1.3000000000000002E-4</v>
      </c>
      <c r="V21" s="8458"/>
      <c r="X21" s="3" t="s">
        <v>742</v>
      </c>
      <c r="Y21" s="368" t="s">
        <v>735</v>
      </c>
      <c r="Z21" s="364" t="s">
        <v>736</v>
      </c>
      <c r="AA21" s="361"/>
      <c r="AB21" s="3"/>
      <c r="AC21" s="368"/>
      <c r="AD21" s="364"/>
      <c r="AE21" s="361"/>
      <c r="AF21" s="396"/>
      <c r="AG21" s="394"/>
      <c r="AH21" s="394"/>
      <c r="AI21" s="394"/>
      <c r="AJ21" s="394"/>
      <c r="AK21" s="394"/>
      <c r="AL21" s="394"/>
      <c r="AM21" s="394"/>
      <c r="AN21" s="395"/>
      <c r="AO21" s="395"/>
      <c r="AP21" s="395"/>
      <c r="AQ21" s="395"/>
      <c r="AR21" s="395"/>
      <c r="AS21" s="395"/>
      <c r="AT21" s="34"/>
      <c r="AV21" s="410"/>
      <c r="AW21" s="403"/>
      <c r="AX21" s="403"/>
      <c r="AY21" s="403"/>
      <c r="AZ21" s="403"/>
      <c r="BA21" s="410"/>
      <c r="BB21" s="403"/>
      <c r="BC21" s="403"/>
      <c r="BD21" s="403"/>
      <c r="BE21" s="403"/>
      <c r="BF21" s="403"/>
      <c r="BG21" s="395"/>
      <c r="BH21" s="395"/>
      <c r="BI21" s="395"/>
      <c r="BJ21" s="34"/>
    </row>
    <row r="22" spans="1:62" ht="18.75">
      <c r="A22" s="8458"/>
      <c r="B22" s="369">
        <v>15</v>
      </c>
      <c r="C22" s="3" t="s">
        <v>559</v>
      </c>
      <c r="D22" s="364">
        <v>200</v>
      </c>
      <c r="E22" s="368">
        <v>10</v>
      </c>
      <c r="F22" s="366">
        <f t="shared" si="0"/>
        <v>2000</v>
      </c>
      <c r="G22" s="365">
        <f t="shared" si="6"/>
        <v>2</v>
      </c>
      <c r="H22" s="8458"/>
      <c r="I22" s="369">
        <v>69</v>
      </c>
      <c r="J22" s="3" t="s">
        <v>560</v>
      </c>
      <c r="K22" s="364">
        <v>230</v>
      </c>
      <c r="L22" s="368">
        <v>10</v>
      </c>
      <c r="M22" s="366">
        <f t="shared" si="5"/>
        <v>2300</v>
      </c>
      <c r="N22" s="365">
        <f t="shared" si="2"/>
        <v>2.2999999999999998</v>
      </c>
      <c r="O22" s="8458"/>
      <c r="P22" s="369">
        <v>127</v>
      </c>
      <c r="Q22" s="3" t="s">
        <v>561</v>
      </c>
      <c r="R22" s="364">
        <v>110</v>
      </c>
      <c r="S22" s="368">
        <v>10</v>
      </c>
      <c r="T22" s="366">
        <f>(R22*S22)/1000</f>
        <v>1.1000000000000001</v>
      </c>
      <c r="U22" s="365">
        <f t="shared" si="4"/>
        <v>1.1000000000000001E-3</v>
      </c>
      <c r="V22" s="8458"/>
      <c r="X22" s="3" t="s">
        <v>743</v>
      </c>
      <c r="Y22" s="368">
        <v>1</v>
      </c>
      <c r="Z22" s="364" t="s">
        <v>744</v>
      </c>
      <c r="AA22" s="361"/>
      <c r="AB22" s="3" t="s">
        <v>745</v>
      </c>
      <c r="AC22" s="368">
        <v>1</v>
      </c>
      <c r="AD22" s="364" t="s">
        <v>746</v>
      </c>
      <c r="AE22" s="361"/>
      <c r="AF22" s="396" t="s">
        <v>1107</v>
      </c>
      <c r="AG22" s="394"/>
      <c r="AH22" s="394"/>
      <c r="AI22" s="394"/>
      <c r="AJ22" s="394"/>
      <c r="AK22" s="394"/>
      <c r="AL22" s="394"/>
      <c r="AM22" s="394"/>
      <c r="AN22" s="395"/>
      <c r="AO22" s="395"/>
      <c r="AP22" s="395"/>
      <c r="AQ22" s="395"/>
      <c r="AR22" s="395"/>
      <c r="AS22" s="395"/>
      <c r="AT22" s="34"/>
      <c r="AV22" s="405" t="s">
        <v>1004</v>
      </c>
      <c r="AW22" s="403"/>
      <c r="AX22" s="403"/>
      <c r="AY22" s="403"/>
      <c r="AZ22" s="403"/>
      <c r="BA22" s="410"/>
      <c r="BB22" s="403"/>
      <c r="BC22" s="403"/>
      <c r="BD22" s="403"/>
      <c r="BE22" s="403"/>
      <c r="BF22" s="403"/>
      <c r="BG22" s="395"/>
      <c r="BH22" s="395"/>
      <c r="BI22" s="395"/>
      <c r="BJ22" s="34"/>
    </row>
    <row r="23" spans="1:62" ht="18.75">
      <c r="A23" s="8458"/>
      <c r="B23" s="369">
        <v>16</v>
      </c>
      <c r="C23" s="3" t="s">
        <v>562</v>
      </c>
      <c r="D23" s="364">
        <v>500</v>
      </c>
      <c r="E23" s="368">
        <v>10</v>
      </c>
      <c r="F23" s="366">
        <f t="shared" si="0"/>
        <v>5000</v>
      </c>
      <c r="G23" s="365">
        <f t="shared" si="6"/>
        <v>5</v>
      </c>
      <c r="H23" s="8458"/>
      <c r="I23" s="369">
        <v>70</v>
      </c>
      <c r="J23" s="3" t="s">
        <v>563</v>
      </c>
      <c r="K23" s="364">
        <v>230</v>
      </c>
      <c r="L23" s="368">
        <v>10</v>
      </c>
      <c r="M23" s="366">
        <f t="shared" si="5"/>
        <v>2300</v>
      </c>
      <c r="N23" s="365">
        <f t="shared" si="2"/>
        <v>2.2999999999999998</v>
      </c>
      <c r="O23" s="8458"/>
      <c r="P23" s="369">
        <v>128</v>
      </c>
      <c r="Q23" s="3" t="s">
        <v>564</v>
      </c>
      <c r="R23" s="364">
        <v>130</v>
      </c>
      <c r="S23" s="368">
        <v>10</v>
      </c>
      <c r="T23" s="366">
        <f>(R23*S23)/1000</f>
        <v>1.3</v>
      </c>
      <c r="U23" s="365">
        <f t="shared" si="4"/>
        <v>1.2999999999999999E-3</v>
      </c>
      <c r="V23" s="8458"/>
      <c r="X23" s="3" t="s">
        <v>747</v>
      </c>
      <c r="Y23" s="368">
        <v>1</v>
      </c>
      <c r="Z23" s="364" t="s">
        <v>721</v>
      </c>
      <c r="AA23" s="361"/>
      <c r="AB23" s="3" t="s">
        <v>748</v>
      </c>
      <c r="AC23" s="368" t="s">
        <v>749</v>
      </c>
      <c r="AD23" s="364" t="s">
        <v>750</v>
      </c>
      <c r="AE23" s="361"/>
      <c r="AF23" s="397" t="s">
        <v>1108</v>
      </c>
      <c r="AG23" s="394"/>
      <c r="AH23" s="394"/>
      <c r="AI23" s="394"/>
      <c r="AJ23" s="394"/>
      <c r="AK23" s="394"/>
      <c r="AL23" s="394"/>
      <c r="AM23" s="394"/>
      <c r="AN23" s="395"/>
      <c r="AO23" s="395"/>
      <c r="AP23" s="395"/>
      <c r="AQ23" s="395"/>
      <c r="AR23" s="395"/>
      <c r="AS23" s="395"/>
      <c r="AT23" s="34"/>
      <c r="AV23" s="410"/>
      <c r="AW23" s="403"/>
      <c r="AX23" s="403"/>
      <c r="AY23" s="403"/>
      <c r="AZ23" s="403"/>
      <c r="BA23" s="410"/>
      <c r="BB23" s="403"/>
      <c r="BC23" s="403"/>
      <c r="BD23" s="403"/>
      <c r="BE23" s="403"/>
      <c r="BF23" s="403"/>
      <c r="BG23" s="395"/>
      <c r="BH23" s="395"/>
      <c r="BI23" s="395"/>
      <c r="BJ23" s="34"/>
    </row>
    <row r="24" spans="1:62" ht="18.75">
      <c r="A24" s="8458"/>
      <c r="B24" s="369">
        <v>17</v>
      </c>
      <c r="C24" s="3" t="s">
        <v>565</v>
      </c>
      <c r="D24" s="364">
        <v>2750</v>
      </c>
      <c r="E24" s="368">
        <v>10</v>
      </c>
      <c r="F24" s="366">
        <f t="shared" si="0"/>
        <v>27500</v>
      </c>
      <c r="G24" s="367">
        <f t="shared" si="6"/>
        <v>27.5</v>
      </c>
      <c r="H24" s="8458"/>
      <c r="I24" s="369">
        <v>71</v>
      </c>
      <c r="J24" s="3" t="s">
        <v>566</v>
      </c>
      <c r="K24" s="364">
        <v>1.7</v>
      </c>
      <c r="L24" s="368">
        <v>10</v>
      </c>
      <c r="M24" s="366">
        <f t="shared" si="5"/>
        <v>17</v>
      </c>
      <c r="N24" s="365">
        <f t="shared" si="2"/>
        <v>1.7000000000000001E-2</v>
      </c>
      <c r="O24" s="8458"/>
      <c r="P24" s="369">
        <v>129</v>
      </c>
      <c r="Q24" s="3" t="s">
        <v>567</v>
      </c>
      <c r="R24" s="364">
        <v>280</v>
      </c>
      <c r="S24" s="368">
        <v>10</v>
      </c>
      <c r="T24" s="366">
        <f t="shared" ref="T24:T58" si="7">(R24*S24)</f>
        <v>2800</v>
      </c>
      <c r="U24" s="365">
        <f t="shared" si="4"/>
        <v>2.8</v>
      </c>
      <c r="V24" s="8458"/>
      <c r="X24" s="3" t="s">
        <v>751</v>
      </c>
      <c r="Y24" s="368">
        <v>1</v>
      </c>
      <c r="Z24" s="364" t="s">
        <v>721</v>
      </c>
      <c r="AA24" s="361"/>
      <c r="AB24" s="3"/>
      <c r="AC24" s="368"/>
      <c r="AD24" s="364"/>
      <c r="AE24" s="361"/>
      <c r="AF24" s="393" t="s">
        <v>1109</v>
      </c>
      <c r="AG24" s="394"/>
      <c r="AH24" s="394"/>
      <c r="AI24" s="394"/>
      <c r="AJ24" s="394"/>
      <c r="AK24" s="394"/>
      <c r="AL24" s="394"/>
      <c r="AM24" s="394"/>
      <c r="AN24" s="395"/>
      <c r="AO24" s="395"/>
      <c r="AP24" s="395"/>
      <c r="AQ24" s="395"/>
      <c r="AR24" s="395"/>
      <c r="AS24" s="395"/>
      <c r="AT24" s="34"/>
      <c r="AV24" s="405" t="s">
        <v>144</v>
      </c>
      <c r="AW24" s="403"/>
      <c r="AX24" s="403"/>
      <c r="AY24" s="403"/>
      <c r="AZ24" s="403"/>
      <c r="BA24" s="410"/>
      <c r="BB24" s="403"/>
      <c r="BC24" s="403"/>
      <c r="BD24" s="403"/>
      <c r="BE24" s="403"/>
      <c r="BF24" s="403"/>
      <c r="BG24" s="395"/>
      <c r="BH24" s="395"/>
      <c r="BI24" s="395"/>
      <c r="BJ24" s="34"/>
    </row>
    <row r="25" spans="1:62" ht="18.75">
      <c r="A25" s="8458"/>
      <c r="B25" s="369">
        <v>18</v>
      </c>
      <c r="C25" s="3" t="s">
        <v>568</v>
      </c>
      <c r="D25" s="364">
        <v>6000</v>
      </c>
      <c r="E25" s="368">
        <v>10</v>
      </c>
      <c r="F25" s="366">
        <f t="shared" si="0"/>
        <v>60000</v>
      </c>
      <c r="G25" s="367">
        <f t="shared" si="6"/>
        <v>60</v>
      </c>
      <c r="H25" s="8458"/>
      <c r="I25" s="369">
        <v>72</v>
      </c>
      <c r="J25" s="3" t="s">
        <v>569</v>
      </c>
      <c r="K25" s="364">
        <v>2.2000000000000002</v>
      </c>
      <c r="L25" s="368">
        <v>10</v>
      </c>
      <c r="M25" s="366">
        <f t="shared" si="5"/>
        <v>22</v>
      </c>
      <c r="N25" s="365">
        <f t="shared" si="2"/>
        <v>2.1999999999999999E-2</v>
      </c>
      <c r="O25" s="8458"/>
      <c r="P25" s="369">
        <v>130</v>
      </c>
      <c r="Q25" s="3" t="s">
        <v>570</v>
      </c>
      <c r="R25" s="364">
        <v>350</v>
      </c>
      <c r="S25" s="368">
        <v>10</v>
      </c>
      <c r="T25" s="366">
        <f t="shared" si="7"/>
        <v>3500</v>
      </c>
      <c r="U25" s="365">
        <f t="shared" si="4"/>
        <v>3.5</v>
      </c>
      <c r="V25" s="8458"/>
      <c r="X25" s="3" t="s">
        <v>752</v>
      </c>
      <c r="Y25" s="368">
        <v>1</v>
      </c>
      <c r="Z25" s="364" t="s">
        <v>753</v>
      </c>
      <c r="AA25" s="361"/>
      <c r="AB25" s="3" t="s">
        <v>754</v>
      </c>
      <c r="AC25" s="368">
        <v>1</v>
      </c>
      <c r="AD25" s="364" t="s">
        <v>741</v>
      </c>
      <c r="AE25" s="361"/>
      <c r="AF25" s="398"/>
      <c r="AG25" s="394"/>
      <c r="AH25" s="394"/>
      <c r="AI25" s="394"/>
      <c r="AJ25" s="394"/>
      <c r="AK25" s="394"/>
      <c r="AL25" s="394"/>
      <c r="AM25" s="394"/>
      <c r="AN25" s="395"/>
      <c r="AO25" s="395"/>
      <c r="AP25" s="395"/>
      <c r="AQ25" s="395"/>
      <c r="AR25" s="395"/>
      <c r="AS25" s="395"/>
      <c r="AT25" s="34"/>
      <c r="AV25" s="410"/>
      <c r="AW25" s="403"/>
      <c r="AX25" s="403"/>
      <c r="AY25" s="403"/>
      <c r="AZ25" s="403"/>
      <c r="BA25" s="410"/>
      <c r="BB25" s="403"/>
      <c r="BC25" s="403"/>
      <c r="BD25" s="403"/>
      <c r="BE25" s="403"/>
      <c r="BF25" s="403"/>
      <c r="BG25" s="34"/>
      <c r="BH25" s="34"/>
      <c r="BI25" s="34"/>
      <c r="BJ25" s="34"/>
    </row>
    <row r="26" spans="1:62" ht="18.75">
      <c r="A26" s="8458"/>
      <c r="B26" s="369">
        <v>19</v>
      </c>
      <c r="C26" s="3" t="s">
        <v>571</v>
      </c>
      <c r="D26" s="364">
        <v>8000</v>
      </c>
      <c r="E26" s="368">
        <v>10</v>
      </c>
      <c r="F26" s="366">
        <f t="shared" si="0"/>
        <v>80000</v>
      </c>
      <c r="G26" s="367">
        <f t="shared" si="6"/>
        <v>80</v>
      </c>
      <c r="H26" s="8458"/>
      <c r="I26" s="369">
        <v>73</v>
      </c>
      <c r="J26" s="3" t="s">
        <v>572</v>
      </c>
      <c r="K26" s="364">
        <v>2</v>
      </c>
      <c r="L26" s="368">
        <v>10</v>
      </c>
      <c r="M26" s="366">
        <f t="shared" si="5"/>
        <v>20</v>
      </c>
      <c r="N26" s="365">
        <f t="shared" si="2"/>
        <v>0.02</v>
      </c>
      <c r="O26" s="8458"/>
      <c r="P26" s="369">
        <v>131</v>
      </c>
      <c r="Q26" s="3" t="s">
        <v>573</v>
      </c>
      <c r="R26" s="364">
        <v>500</v>
      </c>
      <c r="S26" s="368">
        <v>10</v>
      </c>
      <c r="T26" s="366">
        <f t="shared" si="7"/>
        <v>5000</v>
      </c>
      <c r="U26" s="365">
        <f t="shared" si="4"/>
        <v>5</v>
      </c>
      <c r="V26" s="8458"/>
      <c r="X26" s="3"/>
      <c r="Y26" s="368"/>
      <c r="Z26" s="364"/>
      <c r="AA26" s="361"/>
      <c r="AB26" s="3" t="s">
        <v>755</v>
      </c>
      <c r="AC26" s="368" t="s">
        <v>701</v>
      </c>
      <c r="AD26" s="364" t="s">
        <v>756</v>
      </c>
      <c r="AE26" s="361"/>
      <c r="AF26" s="398"/>
      <c r="AG26" s="394"/>
      <c r="AH26" s="394"/>
      <c r="AI26" s="394"/>
      <c r="AJ26" s="394"/>
      <c r="AK26" s="394"/>
      <c r="AL26" s="394"/>
      <c r="AM26" s="394"/>
      <c r="AN26" s="395"/>
      <c r="AO26" s="395"/>
      <c r="AP26" s="395"/>
      <c r="AQ26" s="395"/>
      <c r="AR26" s="395"/>
      <c r="AS26" s="395"/>
      <c r="AT26" s="34"/>
      <c r="AV26" s="405" t="s">
        <v>1081</v>
      </c>
      <c r="AW26" s="403"/>
      <c r="AX26" s="403"/>
      <c r="AY26" s="403"/>
      <c r="AZ26" s="403"/>
      <c r="BA26" s="410"/>
      <c r="BB26" s="403"/>
      <c r="BC26" s="403"/>
      <c r="BD26" s="403"/>
      <c r="BE26" s="403"/>
      <c r="BF26" s="403"/>
      <c r="BG26" s="34"/>
      <c r="BH26" s="34"/>
      <c r="BI26" s="34"/>
      <c r="BJ26" s="34"/>
    </row>
    <row r="27" spans="1:62" ht="20.25">
      <c r="A27" s="8458"/>
      <c r="B27" s="369">
        <v>20</v>
      </c>
      <c r="C27" s="3" t="s">
        <v>574</v>
      </c>
      <c r="D27" s="364">
        <v>4200</v>
      </c>
      <c r="E27" s="368">
        <v>10</v>
      </c>
      <c r="F27" s="366">
        <f t="shared" si="0"/>
        <v>42000</v>
      </c>
      <c r="G27" s="367">
        <f t="shared" si="6"/>
        <v>42</v>
      </c>
      <c r="H27" s="8458"/>
      <c r="I27" s="369"/>
      <c r="J27" s="358" t="s">
        <v>575</v>
      </c>
      <c r="K27" s="364">
        <v>0</v>
      </c>
      <c r="L27" s="368"/>
      <c r="M27" s="366">
        <f t="shared" si="5"/>
        <v>0</v>
      </c>
      <c r="N27" s="365">
        <f t="shared" si="2"/>
        <v>0</v>
      </c>
      <c r="O27" s="8458"/>
      <c r="P27" s="369">
        <v>132</v>
      </c>
      <c r="Q27" s="3" t="s">
        <v>576</v>
      </c>
      <c r="R27" s="364">
        <v>600</v>
      </c>
      <c r="S27" s="368">
        <v>10</v>
      </c>
      <c r="T27" s="366">
        <f t="shared" si="7"/>
        <v>6000</v>
      </c>
      <c r="U27" s="365">
        <f t="shared" si="4"/>
        <v>6</v>
      </c>
      <c r="V27" s="8458"/>
      <c r="X27" s="3" t="s">
        <v>757</v>
      </c>
      <c r="Y27" s="368" t="s">
        <v>758</v>
      </c>
      <c r="Z27" s="364" t="s">
        <v>759</v>
      </c>
      <c r="AA27" s="361"/>
      <c r="AB27" s="3" t="s">
        <v>760</v>
      </c>
      <c r="AC27" s="368" t="s">
        <v>698</v>
      </c>
      <c r="AD27" s="364" t="s">
        <v>736</v>
      </c>
      <c r="AE27" s="361"/>
      <c r="AF27" s="393" t="s">
        <v>1006</v>
      </c>
      <c r="AG27" s="394"/>
      <c r="AH27" s="394"/>
      <c r="AI27" s="394"/>
      <c r="AJ27" s="394"/>
      <c r="AK27" s="394"/>
      <c r="AL27" s="394"/>
      <c r="AM27" s="394"/>
      <c r="AN27" s="395"/>
      <c r="AO27" s="395"/>
      <c r="AP27" s="395"/>
      <c r="AQ27" s="395"/>
      <c r="AR27" s="395"/>
      <c r="AS27" s="395"/>
      <c r="AT27" s="34"/>
      <c r="AV27" s="403"/>
      <c r="AW27" s="403"/>
      <c r="AX27" s="403"/>
      <c r="AY27" s="403"/>
      <c r="AZ27" s="403"/>
      <c r="BA27" s="403"/>
      <c r="BB27" s="403"/>
      <c r="BC27" s="403"/>
      <c r="BD27" s="403"/>
      <c r="BE27" s="403"/>
      <c r="BF27" s="403"/>
      <c r="BG27" s="34"/>
      <c r="BH27" s="34"/>
      <c r="BI27" s="34"/>
      <c r="BJ27" s="34"/>
    </row>
    <row r="28" spans="1:62" ht="18.75">
      <c r="A28" s="8458"/>
      <c r="B28" s="369">
        <v>21</v>
      </c>
      <c r="C28" s="3" t="s">
        <v>577</v>
      </c>
      <c r="D28" s="364">
        <v>8500</v>
      </c>
      <c r="E28" s="368">
        <v>10</v>
      </c>
      <c r="F28" s="366">
        <f t="shared" si="0"/>
        <v>85000</v>
      </c>
      <c r="G28" s="367">
        <f t="shared" si="6"/>
        <v>85</v>
      </c>
      <c r="H28" s="8458"/>
      <c r="I28" s="369">
        <v>74</v>
      </c>
      <c r="J28" s="3" t="s">
        <v>578</v>
      </c>
      <c r="K28" s="364">
        <v>8</v>
      </c>
      <c r="L28" s="368">
        <v>10</v>
      </c>
      <c r="M28" s="366">
        <f t="shared" si="5"/>
        <v>80</v>
      </c>
      <c r="N28" s="365">
        <f t="shared" si="2"/>
        <v>0.08</v>
      </c>
      <c r="O28" s="8458"/>
      <c r="P28" s="369">
        <v>133</v>
      </c>
      <c r="Q28" s="3" t="s">
        <v>576</v>
      </c>
      <c r="R28" s="364">
        <v>800</v>
      </c>
      <c r="S28" s="368">
        <v>10</v>
      </c>
      <c r="T28" s="366">
        <f t="shared" si="7"/>
        <v>8000</v>
      </c>
      <c r="U28" s="365">
        <f t="shared" si="4"/>
        <v>8</v>
      </c>
      <c r="V28" s="8458"/>
      <c r="X28" s="3" t="s">
        <v>761</v>
      </c>
      <c r="Y28" s="368" t="s">
        <v>762</v>
      </c>
      <c r="Z28" s="364" t="s">
        <v>763</v>
      </c>
      <c r="AA28" s="361"/>
      <c r="AB28" s="3" t="s">
        <v>764</v>
      </c>
      <c r="AC28" s="368">
        <v>1</v>
      </c>
      <c r="AD28" s="364" t="s">
        <v>699</v>
      </c>
      <c r="AE28" s="361"/>
      <c r="AF28" s="393"/>
      <c r="AG28" s="394"/>
      <c r="AH28" s="394"/>
      <c r="AI28" s="394"/>
      <c r="AJ28" s="394"/>
      <c r="AK28" s="394"/>
      <c r="AL28" s="394"/>
      <c r="AM28" s="394"/>
      <c r="AN28" s="395"/>
      <c r="AO28" s="395"/>
      <c r="AP28" s="395"/>
      <c r="AQ28" s="395"/>
      <c r="AR28" s="395"/>
      <c r="AS28" s="395"/>
      <c r="AT28" s="34"/>
      <c r="AU28" s="378"/>
      <c r="AV28" s="429" t="s">
        <v>1133</v>
      </c>
      <c r="AW28" s="403"/>
      <c r="AX28" s="403"/>
      <c r="AY28" s="403"/>
      <c r="AZ28" s="403"/>
      <c r="BA28" s="403"/>
      <c r="BB28" s="403"/>
      <c r="BC28" s="403"/>
      <c r="BD28" s="403"/>
      <c r="BE28" s="403"/>
      <c r="BF28" s="403"/>
      <c r="BG28" s="34"/>
      <c r="BH28" s="34"/>
      <c r="BI28" s="34"/>
      <c r="BJ28" s="34"/>
    </row>
    <row r="29" spans="1:62" ht="18.75">
      <c r="A29" s="8458"/>
      <c r="B29" s="369">
        <v>22</v>
      </c>
      <c r="C29" s="3" t="s">
        <v>579</v>
      </c>
      <c r="D29" s="364">
        <v>4000</v>
      </c>
      <c r="E29" s="368">
        <v>10</v>
      </c>
      <c r="F29" s="366">
        <f t="shared" si="0"/>
        <v>40000</v>
      </c>
      <c r="G29" s="367">
        <f t="shared" si="6"/>
        <v>40</v>
      </c>
      <c r="H29" s="8458"/>
      <c r="I29" s="369">
        <v>75</v>
      </c>
      <c r="J29" s="3" t="s">
        <v>580</v>
      </c>
      <c r="K29" s="364">
        <v>50</v>
      </c>
      <c r="L29" s="368">
        <v>10</v>
      </c>
      <c r="M29" s="366">
        <f t="shared" si="5"/>
        <v>500</v>
      </c>
      <c r="N29" s="365">
        <f t="shared" si="2"/>
        <v>0.5</v>
      </c>
      <c r="O29" s="8458"/>
      <c r="P29" s="369">
        <v>134</v>
      </c>
      <c r="Q29" s="3" t="s">
        <v>581</v>
      </c>
      <c r="R29" s="364">
        <v>5</v>
      </c>
      <c r="S29" s="368">
        <v>10</v>
      </c>
      <c r="T29" s="366">
        <f t="shared" si="7"/>
        <v>50</v>
      </c>
      <c r="U29" s="365">
        <f t="shared" si="4"/>
        <v>0.05</v>
      </c>
      <c r="V29" s="8458"/>
      <c r="X29" s="3" t="s">
        <v>765</v>
      </c>
      <c r="Y29" s="368" t="s">
        <v>766</v>
      </c>
      <c r="Z29" s="364" t="s">
        <v>767</v>
      </c>
      <c r="AA29" s="361"/>
      <c r="AB29" s="3" t="s">
        <v>614</v>
      </c>
      <c r="AC29" s="368" t="s">
        <v>698</v>
      </c>
      <c r="AD29" s="364" t="s">
        <v>768</v>
      </c>
      <c r="AE29" s="361"/>
      <c r="AF29" s="393" t="s">
        <v>1110</v>
      </c>
      <c r="AG29" s="394"/>
      <c r="AH29" s="394"/>
      <c r="AI29" s="394"/>
      <c r="AJ29" s="394"/>
      <c r="AK29" s="394"/>
      <c r="AL29" s="394"/>
      <c r="AM29" s="394"/>
      <c r="AN29" s="395"/>
      <c r="AO29" s="395"/>
      <c r="AP29" s="395"/>
      <c r="AQ29" s="395"/>
      <c r="AR29" s="395"/>
      <c r="AS29" s="395"/>
      <c r="AT29" s="34"/>
      <c r="AV29" s="403"/>
      <c r="AW29" s="403"/>
      <c r="AX29" s="403"/>
      <c r="AY29" s="403"/>
      <c r="AZ29" s="403"/>
      <c r="BA29" s="403"/>
      <c r="BB29" s="403"/>
      <c r="BC29" s="403"/>
      <c r="BD29" s="403"/>
      <c r="BE29" s="403"/>
      <c r="BF29" s="403"/>
      <c r="BG29" s="34"/>
      <c r="BH29" s="34"/>
      <c r="BI29" s="34"/>
      <c r="BJ29" s="34"/>
    </row>
    <row r="30" spans="1:62" ht="20.25">
      <c r="A30" s="8458"/>
      <c r="B30" s="369">
        <v>23</v>
      </c>
      <c r="C30" s="3" t="s">
        <v>582</v>
      </c>
      <c r="D30" s="364">
        <v>1000</v>
      </c>
      <c r="E30" s="368">
        <v>10</v>
      </c>
      <c r="F30" s="366">
        <f t="shared" si="0"/>
        <v>10000</v>
      </c>
      <c r="G30" s="367">
        <f t="shared" si="6"/>
        <v>10</v>
      </c>
      <c r="H30" s="8458"/>
      <c r="I30" s="369"/>
      <c r="J30" s="350" t="s">
        <v>583</v>
      </c>
      <c r="K30" s="364">
        <v>0</v>
      </c>
      <c r="L30" s="368"/>
      <c r="M30" s="366">
        <f t="shared" si="5"/>
        <v>0</v>
      </c>
      <c r="N30" s="365">
        <f t="shared" si="2"/>
        <v>0</v>
      </c>
      <c r="O30" s="8458"/>
      <c r="P30" s="369">
        <v>135</v>
      </c>
      <c r="Q30" s="3" t="s">
        <v>584</v>
      </c>
      <c r="R30" s="364">
        <v>5</v>
      </c>
      <c r="S30" s="368">
        <v>10</v>
      </c>
      <c r="T30" s="366">
        <f t="shared" si="7"/>
        <v>50</v>
      </c>
      <c r="U30" s="365">
        <f t="shared" si="4"/>
        <v>0.05</v>
      </c>
      <c r="V30" s="8458"/>
      <c r="X30" s="3" t="s">
        <v>769</v>
      </c>
      <c r="Y30" s="368" t="s">
        <v>714</v>
      </c>
      <c r="Z30" s="364" t="s">
        <v>770</v>
      </c>
      <c r="AA30" s="361"/>
      <c r="AB30" s="3"/>
      <c r="AC30" s="368"/>
      <c r="AD30" s="364"/>
      <c r="AE30" s="361"/>
      <c r="AF30" s="393"/>
      <c r="AG30" s="394"/>
      <c r="AH30" s="394"/>
      <c r="AI30" s="394"/>
      <c r="AJ30" s="394"/>
      <c r="AK30" s="394"/>
      <c r="AL30" s="394"/>
      <c r="AM30" s="394"/>
      <c r="AN30" s="395"/>
      <c r="AO30" s="395"/>
      <c r="AP30" s="395"/>
      <c r="AQ30" s="395"/>
      <c r="AR30" s="395"/>
      <c r="AS30" s="395"/>
      <c r="AT30" s="34"/>
      <c r="AV30" s="403"/>
      <c r="AW30" s="403"/>
      <c r="AX30" s="403"/>
      <c r="AY30" s="403"/>
      <c r="AZ30" s="403"/>
      <c r="BA30" s="403"/>
      <c r="BB30" s="403"/>
      <c r="BC30" s="403"/>
      <c r="BD30" s="403"/>
      <c r="BE30" s="403"/>
      <c r="BF30" s="403"/>
      <c r="BG30" s="34"/>
      <c r="BH30" s="34"/>
      <c r="BI30" s="34"/>
      <c r="BJ30" s="34"/>
    </row>
    <row r="31" spans="1:62" ht="18.75">
      <c r="A31" s="8458"/>
      <c r="B31" s="369">
        <v>24</v>
      </c>
      <c r="C31" s="3" t="s">
        <v>585</v>
      </c>
      <c r="D31" s="364">
        <v>8500</v>
      </c>
      <c r="E31" s="368">
        <v>10</v>
      </c>
      <c r="F31" s="366">
        <f t="shared" si="0"/>
        <v>85000</v>
      </c>
      <c r="G31" s="367">
        <f t="shared" si="6"/>
        <v>85</v>
      </c>
      <c r="H31" s="8458"/>
      <c r="I31" s="369">
        <v>76</v>
      </c>
      <c r="J31" s="3" t="s">
        <v>586</v>
      </c>
      <c r="K31" s="364">
        <v>30</v>
      </c>
      <c r="L31" s="368">
        <v>10</v>
      </c>
      <c r="M31" s="366">
        <f t="shared" si="5"/>
        <v>300</v>
      </c>
      <c r="N31" s="365">
        <f t="shared" si="2"/>
        <v>0.3</v>
      </c>
      <c r="O31" s="8458"/>
      <c r="P31" s="369">
        <v>136</v>
      </c>
      <c r="Q31" s="3" t="s">
        <v>587</v>
      </c>
      <c r="R31" s="364">
        <v>15</v>
      </c>
      <c r="S31" s="368">
        <v>10</v>
      </c>
      <c r="T31" s="366">
        <f t="shared" si="7"/>
        <v>150</v>
      </c>
      <c r="U31" s="365">
        <f t="shared" si="4"/>
        <v>0.15</v>
      </c>
      <c r="V31" s="8458"/>
      <c r="X31" s="3" t="s">
        <v>771</v>
      </c>
      <c r="Y31" s="368" t="s">
        <v>714</v>
      </c>
      <c r="Z31" s="364" t="s">
        <v>772</v>
      </c>
      <c r="AA31" s="361"/>
      <c r="AB31" s="3" t="s">
        <v>773</v>
      </c>
      <c r="AC31" s="368" t="s">
        <v>774</v>
      </c>
      <c r="AD31" s="364" t="s">
        <v>725</v>
      </c>
      <c r="AE31" s="361"/>
      <c r="AF31" s="393" t="s">
        <v>1111</v>
      </c>
      <c r="AG31" s="394"/>
      <c r="AH31" s="394"/>
      <c r="AI31" s="394"/>
      <c r="AJ31" s="394"/>
      <c r="AK31" s="394"/>
      <c r="AL31" s="394"/>
      <c r="AM31" s="394"/>
      <c r="AN31" s="395"/>
      <c r="AO31" s="395"/>
      <c r="AP31" s="395"/>
      <c r="AQ31" s="395"/>
      <c r="AR31" s="395"/>
      <c r="AS31" s="395"/>
      <c r="AT31" s="34"/>
      <c r="AV31" s="403"/>
      <c r="AW31" s="403"/>
      <c r="AX31" s="403"/>
      <c r="AY31" s="403"/>
      <c r="AZ31" s="403"/>
      <c r="BA31" s="403"/>
      <c r="BB31" s="403"/>
      <c r="BC31" s="403"/>
      <c r="BD31" s="403"/>
      <c r="BE31" s="403"/>
      <c r="BF31" s="403"/>
      <c r="BG31" s="34"/>
      <c r="BH31" s="34"/>
      <c r="BI31" s="34"/>
      <c r="BJ31" s="34"/>
    </row>
    <row r="32" spans="1:62" ht="18.75">
      <c r="A32" s="8458"/>
      <c r="B32" s="369">
        <v>25</v>
      </c>
      <c r="C32" s="3" t="s">
        <v>588</v>
      </c>
      <c r="D32" s="364">
        <v>1250</v>
      </c>
      <c r="E32" s="368">
        <v>10</v>
      </c>
      <c r="F32" s="366">
        <f t="shared" si="0"/>
        <v>12500</v>
      </c>
      <c r="G32" s="367">
        <f t="shared" si="6"/>
        <v>12.5</v>
      </c>
      <c r="H32" s="8458"/>
      <c r="I32" s="369">
        <v>77</v>
      </c>
      <c r="J32" s="3" t="s">
        <v>589</v>
      </c>
      <c r="K32" s="364">
        <v>60</v>
      </c>
      <c r="L32" s="368">
        <v>10</v>
      </c>
      <c r="M32" s="366">
        <f t="shared" si="5"/>
        <v>600</v>
      </c>
      <c r="N32" s="365">
        <f t="shared" si="2"/>
        <v>0.6</v>
      </c>
      <c r="O32" s="8458"/>
      <c r="P32" s="369">
        <v>137</v>
      </c>
      <c r="Q32" s="3" t="s">
        <v>590</v>
      </c>
      <c r="R32" s="364">
        <v>200</v>
      </c>
      <c r="S32" s="368">
        <v>10</v>
      </c>
      <c r="T32" s="366">
        <f t="shared" si="7"/>
        <v>2000</v>
      </c>
      <c r="U32" s="365">
        <f t="shared" si="4"/>
        <v>2</v>
      </c>
      <c r="V32" s="8458"/>
      <c r="X32" s="3" t="s">
        <v>775</v>
      </c>
      <c r="Y32" s="368" t="s">
        <v>776</v>
      </c>
      <c r="Z32" s="364" t="s">
        <v>777</v>
      </c>
      <c r="AA32" s="361"/>
      <c r="AB32" s="3" t="s">
        <v>773</v>
      </c>
      <c r="AC32" s="368" t="s">
        <v>778</v>
      </c>
      <c r="AD32" s="364" t="s">
        <v>779</v>
      </c>
      <c r="AE32" s="361"/>
      <c r="AF32" s="393"/>
      <c r="AG32" s="394"/>
      <c r="AH32" s="394"/>
      <c r="AI32" s="394"/>
      <c r="AJ32" s="394"/>
      <c r="AK32" s="394"/>
      <c r="AL32" s="394"/>
      <c r="AM32" s="394"/>
      <c r="AN32" s="395"/>
      <c r="AO32" s="395"/>
      <c r="AP32" s="395"/>
      <c r="AQ32" s="395"/>
      <c r="AR32" s="395"/>
      <c r="AS32" s="395"/>
      <c r="AT32" s="34"/>
      <c r="AV32" s="403"/>
      <c r="AW32" s="403"/>
      <c r="AX32" s="403"/>
      <c r="AY32" s="403"/>
      <c r="AZ32" s="403"/>
      <c r="BA32" s="403"/>
      <c r="BB32" s="403"/>
      <c r="BC32" s="403"/>
      <c r="BD32" s="403"/>
      <c r="BE32" s="403"/>
      <c r="BF32" s="403"/>
      <c r="BG32" s="34"/>
      <c r="BH32" s="34"/>
      <c r="BI32" s="34"/>
      <c r="BJ32" s="34"/>
    </row>
    <row r="33" spans="1:62" ht="20.25">
      <c r="A33" s="8458"/>
      <c r="B33" s="369"/>
      <c r="C33" s="350" t="s">
        <v>338</v>
      </c>
      <c r="D33" s="364"/>
      <c r="E33" s="368"/>
      <c r="F33" s="366">
        <f t="shared" si="0"/>
        <v>0</v>
      </c>
      <c r="G33" s="367">
        <f t="shared" si="6"/>
        <v>0</v>
      </c>
      <c r="H33" s="8458"/>
      <c r="I33" s="369">
        <v>78</v>
      </c>
      <c r="J33" s="3" t="s">
        <v>591</v>
      </c>
      <c r="K33" s="364">
        <v>50</v>
      </c>
      <c r="L33" s="368">
        <v>10</v>
      </c>
      <c r="M33" s="366">
        <f t="shared" si="5"/>
        <v>500</v>
      </c>
      <c r="N33" s="365">
        <f t="shared" si="2"/>
        <v>0.5</v>
      </c>
      <c r="O33" s="8458"/>
      <c r="P33" s="369">
        <v>138</v>
      </c>
      <c r="Q33" s="3" t="s">
        <v>592</v>
      </c>
      <c r="R33" s="364">
        <v>150</v>
      </c>
      <c r="S33" s="368">
        <v>10</v>
      </c>
      <c r="T33" s="366">
        <f t="shared" si="7"/>
        <v>1500</v>
      </c>
      <c r="U33" s="365">
        <f t="shared" si="4"/>
        <v>1.5</v>
      </c>
      <c r="V33" s="8458"/>
      <c r="X33" s="3" t="s">
        <v>780</v>
      </c>
      <c r="Y33" s="368" t="s">
        <v>735</v>
      </c>
      <c r="Z33" s="364" t="s">
        <v>781</v>
      </c>
      <c r="AA33" s="361"/>
      <c r="AB33" s="3" t="s">
        <v>782</v>
      </c>
      <c r="AC33" s="368" t="s">
        <v>774</v>
      </c>
      <c r="AD33" s="364" t="s">
        <v>772</v>
      </c>
      <c r="AE33" s="361"/>
      <c r="AF33" s="393" t="s">
        <v>1112</v>
      </c>
      <c r="AG33" s="394"/>
      <c r="AH33" s="394"/>
      <c r="AI33" s="394"/>
      <c r="AJ33" s="394"/>
      <c r="AK33" s="394"/>
      <c r="AL33" s="394"/>
      <c r="AM33" s="394"/>
      <c r="AN33" s="395"/>
      <c r="AO33" s="395"/>
      <c r="AP33" s="395"/>
      <c r="AQ33" s="395"/>
      <c r="AR33" s="395"/>
      <c r="AS33" s="395"/>
      <c r="AT33" s="34"/>
      <c r="AV33" s="403"/>
      <c r="AW33" s="403"/>
      <c r="AX33" s="403"/>
      <c r="AY33" s="403"/>
      <c r="AZ33" s="403"/>
      <c r="BA33" s="403"/>
      <c r="BB33" s="403"/>
      <c r="BC33" s="403"/>
      <c r="BD33" s="403"/>
      <c r="BE33" s="403"/>
      <c r="BF33" s="403"/>
      <c r="BG33" s="34"/>
      <c r="BH33" s="34"/>
      <c r="BI33" s="34"/>
      <c r="BJ33" s="34"/>
    </row>
    <row r="34" spans="1:62" ht="20.25">
      <c r="A34" s="8458"/>
      <c r="B34" s="369">
        <v>26</v>
      </c>
      <c r="C34" s="3" t="s">
        <v>593</v>
      </c>
      <c r="D34" s="364">
        <v>8</v>
      </c>
      <c r="E34" s="368">
        <v>10</v>
      </c>
      <c r="F34" s="366">
        <f t="shared" si="0"/>
        <v>80</v>
      </c>
      <c r="G34" s="365">
        <f t="shared" si="6"/>
        <v>0.08</v>
      </c>
      <c r="H34" s="8458"/>
      <c r="I34" s="369">
        <v>79</v>
      </c>
      <c r="J34" s="3" t="s">
        <v>594</v>
      </c>
      <c r="K34" s="364">
        <v>40</v>
      </c>
      <c r="L34" s="368">
        <v>10</v>
      </c>
      <c r="M34" s="366">
        <f t="shared" si="5"/>
        <v>400</v>
      </c>
      <c r="N34" s="365">
        <f t="shared" si="2"/>
        <v>0.4</v>
      </c>
      <c r="O34" s="8458"/>
      <c r="P34" s="369"/>
      <c r="Q34" s="350" t="s">
        <v>595</v>
      </c>
      <c r="R34" s="364">
        <v>0</v>
      </c>
      <c r="S34" s="368"/>
      <c r="T34" s="366">
        <f t="shared" si="7"/>
        <v>0</v>
      </c>
      <c r="U34" s="365">
        <f t="shared" si="4"/>
        <v>0</v>
      </c>
      <c r="V34" s="8458"/>
      <c r="X34" s="3" t="s">
        <v>783</v>
      </c>
      <c r="Y34" s="368" t="s">
        <v>698</v>
      </c>
      <c r="Z34" s="364" t="s">
        <v>721</v>
      </c>
      <c r="AA34" s="361"/>
      <c r="AB34" s="3" t="s">
        <v>782</v>
      </c>
      <c r="AC34" s="368" t="s">
        <v>778</v>
      </c>
      <c r="AD34" s="364" t="s">
        <v>784</v>
      </c>
      <c r="AE34" s="361"/>
      <c r="AF34" s="393"/>
      <c r="AG34" s="394"/>
      <c r="AH34" s="394"/>
      <c r="AI34" s="394"/>
      <c r="AJ34" s="394"/>
      <c r="AK34" s="394"/>
      <c r="AL34" s="394"/>
      <c r="AM34" s="394"/>
      <c r="AN34" s="395"/>
      <c r="AO34" s="395"/>
      <c r="AP34" s="395"/>
      <c r="AQ34" s="395"/>
      <c r="AR34" s="395"/>
      <c r="AS34" s="395"/>
      <c r="AT34" s="34"/>
      <c r="AV34" s="403"/>
      <c r="AW34" s="403"/>
      <c r="AX34" s="403"/>
      <c r="AY34" s="403"/>
      <c r="AZ34" s="403"/>
      <c r="BA34" s="403"/>
      <c r="BB34" s="403"/>
      <c r="BC34" s="403"/>
      <c r="BD34" s="403"/>
      <c r="BE34" s="403"/>
      <c r="BF34" s="403"/>
      <c r="BG34" s="34"/>
      <c r="BH34" s="34"/>
      <c r="BI34" s="34"/>
      <c r="BJ34" s="34"/>
    </row>
    <row r="35" spans="1:62" ht="18.75">
      <c r="A35" s="8458"/>
      <c r="B35" s="369">
        <v>27</v>
      </c>
      <c r="C35" s="3" t="s">
        <v>596</v>
      </c>
      <c r="D35" s="364">
        <v>120</v>
      </c>
      <c r="E35" s="368">
        <v>10</v>
      </c>
      <c r="F35" s="366">
        <f t="shared" si="0"/>
        <v>1200</v>
      </c>
      <c r="G35" s="365">
        <f t="shared" si="6"/>
        <v>1.2</v>
      </c>
      <c r="H35" s="8458"/>
      <c r="I35" s="369">
        <v>80</v>
      </c>
      <c r="J35" s="3" t="s">
        <v>597</v>
      </c>
      <c r="K35" s="364">
        <v>50</v>
      </c>
      <c r="L35" s="368">
        <v>12</v>
      </c>
      <c r="M35" s="366">
        <f t="shared" si="5"/>
        <v>600</v>
      </c>
      <c r="N35" s="365">
        <f t="shared" si="2"/>
        <v>0.6</v>
      </c>
      <c r="O35" s="8458"/>
      <c r="P35" s="369">
        <v>139</v>
      </c>
      <c r="Q35" s="3" t="s">
        <v>598</v>
      </c>
      <c r="R35" s="364">
        <v>100</v>
      </c>
      <c r="S35" s="368">
        <v>10</v>
      </c>
      <c r="T35" s="366">
        <f t="shared" si="7"/>
        <v>1000</v>
      </c>
      <c r="U35" s="365">
        <f t="shared" si="4"/>
        <v>1</v>
      </c>
      <c r="V35" s="8458"/>
      <c r="X35" s="3" t="s">
        <v>785</v>
      </c>
      <c r="Y35" s="368" t="s">
        <v>776</v>
      </c>
      <c r="Z35" s="364" t="s">
        <v>786</v>
      </c>
      <c r="AA35" s="361"/>
      <c r="AB35" s="3" t="s">
        <v>787</v>
      </c>
      <c r="AC35" s="368">
        <v>1</v>
      </c>
      <c r="AD35" s="364" t="s">
        <v>788</v>
      </c>
      <c r="AE35" s="361"/>
      <c r="AF35" s="393" t="s">
        <v>1113</v>
      </c>
      <c r="AG35" s="394"/>
      <c r="AH35" s="394"/>
      <c r="AI35" s="394"/>
      <c r="AJ35" s="394"/>
      <c r="AK35" s="394"/>
      <c r="AL35" s="394"/>
      <c r="AM35" s="394"/>
      <c r="AN35" s="395"/>
      <c r="AO35" s="395"/>
      <c r="AP35" s="395"/>
      <c r="AQ35" s="395"/>
      <c r="AR35" s="395"/>
      <c r="AS35" s="395"/>
      <c r="AT35" s="34"/>
    </row>
    <row r="36" spans="1:62" ht="18.75">
      <c r="A36" s="8458"/>
      <c r="B36" s="369">
        <v>28</v>
      </c>
      <c r="C36" s="3" t="s">
        <v>599</v>
      </c>
      <c r="D36" s="364">
        <v>1500</v>
      </c>
      <c r="E36" s="368">
        <v>10</v>
      </c>
      <c r="F36" s="366">
        <f t="shared" si="0"/>
        <v>15000</v>
      </c>
      <c r="G36" s="367">
        <f t="shared" si="6"/>
        <v>15</v>
      </c>
      <c r="H36" s="8458"/>
      <c r="I36" s="369">
        <v>81</v>
      </c>
      <c r="J36" s="3" t="s">
        <v>600</v>
      </c>
      <c r="K36" s="364">
        <v>30</v>
      </c>
      <c r="L36" s="368">
        <v>10</v>
      </c>
      <c r="M36" s="366">
        <f t="shared" si="5"/>
        <v>300</v>
      </c>
      <c r="N36" s="365">
        <f t="shared" si="2"/>
        <v>0.3</v>
      </c>
      <c r="O36" s="8458"/>
      <c r="P36" s="369">
        <v>140</v>
      </c>
      <c r="Q36" s="3" t="s">
        <v>601</v>
      </c>
      <c r="R36" s="364">
        <v>80</v>
      </c>
      <c r="S36" s="368">
        <v>10</v>
      </c>
      <c r="T36" s="366">
        <f t="shared" si="7"/>
        <v>800</v>
      </c>
      <c r="U36" s="365">
        <f t="shared" si="4"/>
        <v>0.8</v>
      </c>
      <c r="V36" s="8458"/>
      <c r="X36" s="3" t="s">
        <v>789</v>
      </c>
      <c r="Y36" s="368" t="s">
        <v>740</v>
      </c>
      <c r="Z36" s="364" t="s">
        <v>790</v>
      </c>
      <c r="AA36" s="361"/>
      <c r="AB36" s="3" t="s">
        <v>791</v>
      </c>
      <c r="AC36" s="368" t="s">
        <v>792</v>
      </c>
      <c r="AD36" s="364" t="s">
        <v>793</v>
      </c>
      <c r="AE36" s="361"/>
      <c r="AF36" s="393"/>
      <c r="AG36" s="394"/>
      <c r="AH36" s="394"/>
      <c r="AI36" s="394"/>
      <c r="AJ36" s="394"/>
      <c r="AK36" s="394"/>
      <c r="AL36" s="394"/>
      <c r="AM36" s="394"/>
      <c r="AN36" s="395"/>
      <c r="AO36" s="395"/>
      <c r="AP36" s="395"/>
      <c r="AQ36" s="395"/>
      <c r="AR36" s="395"/>
      <c r="AS36" s="395"/>
      <c r="AT36" s="34"/>
    </row>
    <row r="37" spans="1:62" ht="18.75">
      <c r="A37" s="8458"/>
      <c r="B37" s="369">
        <v>29</v>
      </c>
      <c r="C37" s="3" t="s">
        <v>602</v>
      </c>
      <c r="D37" s="364">
        <v>120</v>
      </c>
      <c r="E37" s="368">
        <v>10</v>
      </c>
      <c r="F37" s="366">
        <f t="shared" si="0"/>
        <v>1200</v>
      </c>
      <c r="G37" s="365">
        <f t="shared" si="6"/>
        <v>1.2</v>
      </c>
      <c r="H37" s="8458"/>
      <c r="I37" s="369">
        <v>82</v>
      </c>
      <c r="J37" s="3" t="s">
        <v>374</v>
      </c>
      <c r="K37" s="364">
        <v>50</v>
      </c>
      <c r="L37" s="368">
        <v>10</v>
      </c>
      <c r="M37" s="366">
        <f t="shared" si="5"/>
        <v>500</v>
      </c>
      <c r="N37" s="365">
        <f t="shared" si="2"/>
        <v>0.5</v>
      </c>
      <c r="O37" s="8458"/>
      <c r="P37" s="369">
        <v>141</v>
      </c>
      <c r="Q37" s="3" t="s">
        <v>603</v>
      </c>
      <c r="R37" s="364">
        <v>260</v>
      </c>
      <c r="S37" s="368">
        <v>10</v>
      </c>
      <c r="T37" s="366">
        <f t="shared" si="7"/>
        <v>2600</v>
      </c>
      <c r="U37" s="365">
        <f t="shared" si="4"/>
        <v>2.6</v>
      </c>
      <c r="V37" s="8458"/>
      <c r="X37" s="3" t="s">
        <v>794</v>
      </c>
      <c r="Y37" s="368">
        <v>1</v>
      </c>
      <c r="Z37" s="364" t="s">
        <v>736</v>
      </c>
      <c r="AA37" s="361"/>
      <c r="AB37" s="3" t="s">
        <v>795</v>
      </c>
      <c r="AC37" s="368" t="s">
        <v>792</v>
      </c>
      <c r="AD37" s="364" t="s">
        <v>790</v>
      </c>
      <c r="AE37" s="361"/>
      <c r="AF37" s="393" t="s">
        <v>1114</v>
      </c>
      <c r="AG37" s="394"/>
      <c r="AH37" s="394"/>
      <c r="AI37" s="394"/>
      <c r="AJ37" s="394"/>
      <c r="AK37" s="394"/>
      <c r="AL37" s="394"/>
      <c r="AM37" s="394"/>
      <c r="AN37" s="395"/>
      <c r="AO37" s="395"/>
      <c r="AP37" s="395"/>
      <c r="AQ37" s="395"/>
      <c r="AR37" s="395"/>
      <c r="AS37" s="395"/>
      <c r="AT37" s="34"/>
    </row>
    <row r="38" spans="1:62" ht="18.75">
      <c r="A38" s="8458"/>
      <c r="B38" s="369">
        <v>30</v>
      </c>
      <c r="C38" s="3" t="s">
        <v>604</v>
      </c>
      <c r="D38" s="364">
        <v>35</v>
      </c>
      <c r="E38" s="368">
        <v>10</v>
      </c>
      <c r="F38" s="366">
        <f t="shared" si="0"/>
        <v>350</v>
      </c>
      <c r="G38" s="365">
        <f t="shared" si="6"/>
        <v>0.35</v>
      </c>
      <c r="H38" s="8458"/>
      <c r="I38" s="369">
        <v>83</v>
      </c>
      <c r="J38" s="3" t="s">
        <v>605</v>
      </c>
      <c r="K38" s="364">
        <v>20</v>
      </c>
      <c r="L38" s="368">
        <v>10</v>
      </c>
      <c r="M38" s="366">
        <f t="shared" si="5"/>
        <v>200</v>
      </c>
      <c r="N38" s="365">
        <f t="shared" si="2"/>
        <v>0.2</v>
      </c>
      <c r="O38" s="8458"/>
      <c r="P38" s="369">
        <v>142</v>
      </c>
      <c r="Q38" s="3" t="s">
        <v>606</v>
      </c>
      <c r="R38" s="364">
        <v>160</v>
      </c>
      <c r="S38" s="368">
        <v>10</v>
      </c>
      <c r="T38" s="366">
        <f t="shared" si="7"/>
        <v>1600</v>
      </c>
      <c r="U38" s="365">
        <f t="shared" si="4"/>
        <v>1.6</v>
      </c>
      <c r="V38" s="8458"/>
      <c r="X38" s="3" t="s">
        <v>796</v>
      </c>
      <c r="Y38" s="368">
        <v>1</v>
      </c>
      <c r="Z38" s="364" t="s">
        <v>706</v>
      </c>
      <c r="AA38" s="361"/>
      <c r="AB38" s="3" t="s">
        <v>797</v>
      </c>
      <c r="AC38" s="368" t="s">
        <v>714</v>
      </c>
      <c r="AD38" s="364" t="s">
        <v>770</v>
      </c>
      <c r="AE38" s="361"/>
      <c r="AF38" s="393"/>
      <c r="AG38" s="394"/>
      <c r="AH38" s="394"/>
      <c r="AI38" s="394"/>
      <c r="AJ38" s="394"/>
      <c r="AK38" s="394"/>
      <c r="AL38" s="394"/>
      <c r="AM38" s="394"/>
      <c r="AN38" s="395"/>
      <c r="AO38" s="395"/>
      <c r="AP38" s="395"/>
      <c r="AQ38" s="395"/>
      <c r="AR38" s="395"/>
      <c r="AS38" s="395"/>
      <c r="AT38" s="34"/>
    </row>
    <row r="39" spans="1:62" ht="21">
      <c r="A39" s="8458"/>
      <c r="B39" s="369">
        <v>31</v>
      </c>
      <c r="C39" s="3" t="s">
        <v>607</v>
      </c>
      <c r="D39" s="364">
        <v>1000</v>
      </c>
      <c r="E39" s="368">
        <v>10</v>
      </c>
      <c r="F39" s="366">
        <f t="shared" ref="F39:F66" si="8">(D39*E39)</f>
        <v>10000</v>
      </c>
      <c r="G39" s="367">
        <f t="shared" si="6"/>
        <v>10</v>
      </c>
      <c r="H39" s="8458"/>
      <c r="I39" s="369">
        <v>84</v>
      </c>
      <c r="J39" s="3" t="s">
        <v>608</v>
      </c>
      <c r="K39" s="364">
        <v>70</v>
      </c>
      <c r="L39" s="368">
        <v>10</v>
      </c>
      <c r="M39" s="366">
        <f t="shared" si="5"/>
        <v>700</v>
      </c>
      <c r="N39" s="365">
        <f t="shared" si="2"/>
        <v>0.7</v>
      </c>
      <c r="O39" s="8458"/>
      <c r="P39" s="369">
        <v>143</v>
      </c>
      <c r="Q39" s="3" t="s">
        <v>609</v>
      </c>
      <c r="R39" s="364">
        <v>430</v>
      </c>
      <c r="S39" s="368">
        <v>10</v>
      </c>
      <c r="T39" s="366">
        <f t="shared" si="7"/>
        <v>4300</v>
      </c>
      <c r="U39" s="365">
        <f t="shared" ref="U39:U58" si="9">T39/1000</f>
        <v>4.3</v>
      </c>
      <c r="V39" s="8458"/>
      <c r="X39" s="3" t="s">
        <v>798</v>
      </c>
      <c r="Y39" s="368" t="s">
        <v>711</v>
      </c>
      <c r="Z39" s="364" t="s">
        <v>770</v>
      </c>
      <c r="AA39" s="361"/>
      <c r="AB39" s="3" t="s">
        <v>799</v>
      </c>
      <c r="AC39" s="368" t="s">
        <v>701</v>
      </c>
      <c r="AD39" s="364" t="s">
        <v>800</v>
      </c>
      <c r="AE39" s="361"/>
      <c r="AF39" s="393" t="s">
        <v>1115</v>
      </c>
      <c r="AG39" s="394"/>
      <c r="AH39" s="394"/>
      <c r="AI39" s="394"/>
      <c r="AJ39" s="394"/>
      <c r="AK39" s="394"/>
      <c r="AL39" s="394"/>
      <c r="AM39" s="394"/>
      <c r="AN39" s="395"/>
      <c r="AO39" s="395"/>
      <c r="AP39" s="395"/>
      <c r="AQ39" s="395"/>
      <c r="AR39" s="395"/>
      <c r="AS39" s="395"/>
      <c r="AT39" s="34"/>
    </row>
    <row r="40" spans="1:62" ht="18.75">
      <c r="A40" s="8458"/>
      <c r="B40" s="369">
        <v>32</v>
      </c>
      <c r="C40" s="3" t="s">
        <v>610</v>
      </c>
      <c r="D40" s="364">
        <v>65</v>
      </c>
      <c r="E40" s="368">
        <v>10</v>
      </c>
      <c r="F40" s="366">
        <f t="shared" si="8"/>
        <v>650</v>
      </c>
      <c r="G40" s="365">
        <f t="shared" si="6"/>
        <v>0.65</v>
      </c>
      <c r="H40" s="8458"/>
      <c r="I40" s="369">
        <v>85</v>
      </c>
      <c r="J40" s="3" t="s">
        <v>611</v>
      </c>
      <c r="K40" s="364">
        <v>4</v>
      </c>
      <c r="L40" s="368">
        <v>10</v>
      </c>
      <c r="M40" s="366">
        <f t="shared" si="5"/>
        <v>40</v>
      </c>
      <c r="N40" s="365">
        <f t="shared" si="2"/>
        <v>0.04</v>
      </c>
      <c r="O40" s="8458"/>
      <c r="P40" s="369">
        <v>144</v>
      </c>
      <c r="Q40" s="3" t="s">
        <v>612</v>
      </c>
      <c r="R40" s="364">
        <v>52</v>
      </c>
      <c r="S40" s="368">
        <v>10</v>
      </c>
      <c r="T40" s="366">
        <f t="shared" si="7"/>
        <v>520</v>
      </c>
      <c r="U40" s="365">
        <f t="shared" si="9"/>
        <v>0.52</v>
      </c>
      <c r="V40" s="8458"/>
      <c r="X40" s="3" t="s">
        <v>801</v>
      </c>
      <c r="Y40" s="368">
        <v>1</v>
      </c>
      <c r="Z40" s="364" t="s">
        <v>721</v>
      </c>
      <c r="AA40" s="361"/>
      <c r="AB40" s="3" t="s">
        <v>623</v>
      </c>
      <c r="AC40" s="368" t="s">
        <v>701</v>
      </c>
      <c r="AD40" s="364" t="s">
        <v>704</v>
      </c>
      <c r="AE40" s="361"/>
      <c r="AF40" s="393"/>
      <c r="AG40" s="394"/>
      <c r="AH40" s="394"/>
      <c r="AI40" s="394"/>
      <c r="AJ40" s="394"/>
      <c r="AK40" s="394"/>
      <c r="AL40" s="394"/>
      <c r="AM40" s="394"/>
      <c r="AN40" s="395"/>
      <c r="AO40" s="395"/>
      <c r="AP40" s="395"/>
      <c r="AQ40" s="395"/>
      <c r="AR40" s="395"/>
      <c r="AS40" s="395"/>
      <c r="AT40" s="34"/>
    </row>
    <row r="41" spans="1:62" ht="18.75">
      <c r="A41" s="8458"/>
      <c r="B41" s="369">
        <v>33</v>
      </c>
      <c r="C41" s="3" t="s">
        <v>613</v>
      </c>
      <c r="D41" s="364">
        <v>1500</v>
      </c>
      <c r="E41" s="368">
        <v>10</v>
      </c>
      <c r="F41" s="366">
        <f t="shared" si="8"/>
        <v>15000</v>
      </c>
      <c r="G41" s="367">
        <f t="shared" si="6"/>
        <v>15</v>
      </c>
      <c r="H41" s="8458"/>
      <c r="I41" s="369">
        <v>86</v>
      </c>
      <c r="J41" s="3" t="s">
        <v>614</v>
      </c>
      <c r="K41" s="364">
        <v>240</v>
      </c>
      <c r="L41" s="368">
        <v>10</v>
      </c>
      <c r="M41" s="366">
        <f t="shared" si="5"/>
        <v>2400</v>
      </c>
      <c r="N41" s="365">
        <f t="shared" si="2"/>
        <v>2.4</v>
      </c>
      <c r="O41" s="8458"/>
      <c r="P41" s="369">
        <v>145</v>
      </c>
      <c r="Q41" s="3" t="s">
        <v>615</v>
      </c>
      <c r="R41" s="364">
        <v>118</v>
      </c>
      <c r="S41" s="368">
        <v>10</v>
      </c>
      <c r="T41" s="366">
        <f t="shared" si="7"/>
        <v>1180</v>
      </c>
      <c r="U41" s="365">
        <f t="shared" si="9"/>
        <v>1.18</v>
      </c>
      <c r="V41" s="8458"/>
      <c r="X41" s="3" t="s">
        <v>802</v>
      </c>
      <c r="Y41" s="368" t="s">
        <v>803</v>
      </c>
      <c r="Z41" s="364" t="s">
        <v>770</v>
      </c>
      <c r="AA41" s="361"/>
      <c r="AB41" s="3" t="s">
        <v>804</v>
      </c>
      <c r="AC41" s="368" t="s">
        <v>698</v>
      </c>
      <c r="AD41" s="391" t="s">
        <v>777</v>
      </c>
      <c r="AE41" s="361"/>
      <c r="AF41" s="393" t="s">
        <v>1116</v>
      </c>
      <c r="AG41" s="394"/>
      <c r="AH41" s="394"/>
      <c r="AI41" s="394"/>
      <c r="AJ41" s="394"/>
      <c r="AK41" s="394"/>
      <c r="AL41" s="394"/>
      <c r="AM41" s="394"/>
      <c r="AN41" s="395"/>
      <c r="AO41" s="395"/>
      <c r="AP41" s="395"/>
      <c r="AQ41" s="395"/>
      <c r="AR41" s="395"/>
      <c r="AS41" s="395"/>
      <c r="AT41" s="34"/>
    </row>
    <row r="42" spans="1:62" ht="18.75">
      <c r="A42" s="8458"/>
      <c r="B42" s="369">
        <v>34</v>
      </c>
      <c r="C42" s="3" t="s">
        <v>616</v>
      </c>
      <c r="D42" s="364">
        <v>2000</v>
      </c>
      <c r="E42" s="368">
        <v>10</v>
      </c>
      <c r="F42" s="366">
        <f t="shared" si="8"/>
        <v>20000</v>
      </c>
      <c r="G42" s="367">
        <f t="shared" si="6"/>
        <v>20</v>
      </c>
      <c r="H42" s="8458"/>
      <c r="I42" s="369">
        <v>87</v>
      </c>
      <c r="J42" s="3" t="s">
        <v>617</v>
      </c>
      <c r="K42" s="364">
        <v>140</v>
      </c>
      <c r="L42" s="368">
        <v>10</v>
      </c>
      <c r="M42" s="366">
        <f t="shared" si="5"/>
        <v>1400</v>
      </c>
      <c r="N42" s="365">
        <f t="shared" si="2"/>
        <v>1.4</v>
      </c>
      <c r="O42" s="8458"/>
      <c r="P42" s="369">
        <v>146</v>
      </c>
      <c r="Q42" s="3" t="s">
        <v>618</v>
      </c>
      <c r="R42" s="364">
        <v>110</v>
      </c>
      <c r="S42" s="368">
        <v>10</v>
      </c>
      <c r="T42" s="366">
        <f t="shared" si="7"/>
        <v>1100</v>
      </c>
      <c r="U42" s="365">
        <f t="shared" si="9"/>
        <v>1.1000000000000001</v>
      </c>
      <c r="V42" s="8458"/>
      <c r="X42" s="3" t="s">
        <v>805</v>
      </c>
      <c r="Y42" s="368" t="s">
        <v>806</v>
      </c>
      <c r="Z42" s="364" t="s">
        <v>717</v>
      </c>
      <c r="AA42" s="361"/>
      <c r="AB42" s="3" t="s">
        <v>807</v>
      </c>
      <c r="AC42" s="368" t="s">
        <v>711</v>
      </c>
      <c r="AD42" s="364" t="s">
        <v>738</v>
      </c>
      <c r="AE42" s="361"/>
      <c r="AF42" s="393"/>
      <c r="AG42" s="394"/>
      <c r="AH42" s="394"/>
      <c r="AI42" s="394"/>
      <c r="AJ42" s="394"/>
      <c r="AK42" s="394"/>
      <c r="AL42" s="394"/>
      <c r="AM42" s="394"/>
      <c r="AN42" s="395"/>
      <c r="AO42" s="395"/>
      <c r="AP42" s="395"/>
      <c r="AQ42" s="395"/>
      <c r="AR42" s="395"/>
      <c r="AS42" s="395"/>
      <c r="AT42" s="34"/>
    </row>
    <row r="43" spans="1:62" ht="21" customHeight="1">
      <c r="A43" s="8458"/>
      <c r="B43" s="369">
        <v>35</v>
      </c>
      <c r="C43" s="3" t="s">
        <v>619</v>
      </c>
      <c r="D43" s="364">
        <v>80</v>
      </c>
      <c r="E43" s="368">
        <v>10</v>
      </c>
      <c r="F43" s="366">
        <f t="shared" si="8"/>
        <v>800</v>
      </c>
      <c r="G43" s="365">
        <f t="shared" ref="G43:G66" si="10">F43/1000</f>
        <v>0.8</v>
      </c>
      <c r="H43" s="8458"/>
      <c r="I43" s="369"/>
      <c r="J43" s="358" t="s">
        <v>620</v>
      </c>
      <c r="K43" s="364">
        <v>0</v>
      </c>
      <c r="L43" s="368"/>
      <c r="M43" s="366">
        <f t="shared" si="5"/>
        <v>0</v>
      </c>
      <c r="N43" s="365">
        <f t="shared" si="2"/>
        <v>0</v>
      </c>
      <c r="O43" s="8458"/>
      <c r="P43" s="369">
        <v>147</v>
      </c>
      <c r="Q43" s="3" t="s">
        <v>621</v>
      </c>
      <c r="R43" s="364">
        <v>50</v>
      </c>
      <c r="S43" s="368">
        <v>10</v>
      </c>
      <c r="T43" s="366">
        <f t="shared" si="7"/>
        <v>500</v>
      </c>
      <c r="U43" s="365">
        <f t="shared" si="9"/>
        <v>0.5</v>
      </c>
      <c r="V43" s="8458"/>
      <c r="X43" s="3" t="s">
        <v>808</v>
      </c>
      <c r="Y43" s="368" t="s">
        <v>711</v>
      </c>
      <c r="Z43" s="364" t="s">
        <v>790</v>
      </c>
      <c r="AA43" s="361"/>
      <c r="AB43" s="3" t="s">
        <v>809</v>
      </c>
      <c r="AC43" s="368" t="s">
        <v>698</v>
      </c>
      <c r="AD43" s="364" t="s">
        <v>810</v>
      </c>
      <c r="AE43" s="361"/>
      <c r="AF43" s="393" t="s">
        <v>1117</v>
      </c>
      <c r="AG43" s="394"/>
      <c r="AH43" s="394"/>
      <c r="AI43" s="394"/>
      <c r="AJ43" s="394"/>
      <c r="AK43" s="394"/>
      <c r="AL43" s="394"/>
      <c r="AM43" s="394"/>
      <c r="AN43" s="395"/>
      <c r="AO43" s="395"/>
      <c r="AP43" s="395"/>
      <c r="AQ43" s="395"/>
      <c r="AR43" s="395"/>
      <c r="AS43" s="395"/>
      <c r="AT43" s="34"/>
    </row>
    <row r="44" spans="1:62" ht="18.75">
      <c r="A44" s="8458"/>
      <c r="B44" s="369">
        <v>36</v>
      </c>
      <c r="C44" s="3" t="s">
        <v>622</v>
      </c>
      <c r="D44" s="364">
        <v>70</v>
      </c>
      <c r="E44" s="368">
        <v>10</v>
      </c>
      <c r="F44" s="366">
        <f t="shared" si="8"/>
        <v>700</v>
      </c>
      <c r="G44" s="365">
        <f t="shared" si="10"/>
        <v>0.7</v>
      </c>
      <c r="H44" s="8458"/>
      <c r="I44" s="369">
        <v>88</v>
      </c>
      <c r="J44" s="3" t="s">
        <v>623</v>
      </c>
      <c r="K44" s="364">
        <v>400</v>
      </c>
      <c r="L44" s="368">
        <v>10</v>
      </c>
      <c r="M44" s="366">
        <f t="shared" si="5"/>
        <v>4000</v>
      </c>
      <c r="N44" s="365">
        <f t="shared" si="2"/>
        <v>4</v>
      </c>
      <c r="O44" s="8458"/>
      <c r="P44" s="369">
        <v>148</v>
      </c>
      <c r="Q44" s="3" t="s">
        <v>624</v>
      </c>
      <c r="R44" s="364">
        <v>50</v>
      </c>
      <c r="S44" s="368">
        <v>10</v>
      </c>
      <c r="T44" s="366">
        <f t="shared" si="7"/>
        <v>500</v>
      </c>
      <c r="U44" s="365">
        <f t="shared" si="9"/>
        <v>0.5</v>
      </c>
      <c r="V44" s="8458"/>
      <c r="X44" s="3" t="s">
        <v>811</v>
      </c>
      <c r="Y44" s="368" t="s">
        <v>711</v>
      </c>
      <c r="Z44" s="364" t="s">
        <v>770</v>
      </c>
      <c r="AA44" s="361"/>
      <c r="AB44" s="3" t="s">
        <v>812</v>
      </c>
      <c r="AC44" s="368" t="s">
        <v>711</v>
      </c>
      <c r="AD44" s="364" t="s">
        <v>813</v>
      </c>
      <c r="AE44" s="361"/>
      <c r="AF44" s="393"/>
      <c r="AG44" s="394"/>
      <c r="AH44" s="394"/>
      <c r="AI44" s="394"/>
      <c r="AJ44" s="394"/>
      <c r="AK44" s="394"/>
      <c r="AL44" s="394"/>
      <c r="AM44" s="394"/>
      <c r="AN44" s="395"/>
      <c r="AO44" s="395"/>
      <c r="AP44" s="395"/>
      <c r="AQ44" s="395"/>
      <c r="AR44" s="395"/>
      <c r="AS44" s="395"/>
      <c r="AT44" s="34"/>
    </row>
    <row r="45" spans="1:62" ht="18.75">
      <c r="A45" s="8458"/>
      <c r="B45" s="369">
        <v>37</v>
      </c>
      <c r="C45" s="3" t="s">
        <v>625</v>
      </c>
      <c r="D45" s="364">
        <v>2000</v>
      </c>
      <c r="E45" s="368">
        <v>10</v>
      </c>
      <c r="F45" s="366">
        <f t="shared" si="8"/>
        <v>20000</v>
      </c>
      <c r="G45" s="367">
        <f t="shared" si="10"/>
        <v>20</v>
      </c>
      <c r="H45" s="8458"/>
      <c r="I45" s="369">
        <v>89</v>
      </c>
      <c r="J45" s="3" t="s">
        <v>626</v>
      </c>
      <c r="K45" s="364">
        <v>120</v>
      </c>
      <c r="L45" s="368">
        <v>10</v>
      </c>
      <c r="M45" s="366">
        <f t="shared" si="5"/>
        <v>1200</v>
      </c>
      <c r="N45" s="365">
        <f t="shared" si="2"/>
        <v>1.2</v>
      </c>
      <c r="O45" s="8458"/>
      <c r="P45" s="369">
        <v>149</v>
      </c>
      <c r="Q45" s="3" t="s">
        <v>627</v>
      </c>
      <c r="R45" s="364">
        <v>250</v>
      </c>
      <c r="S45" s="368">
        <v>10</v>
      </c>
      <c r="T45" s="366">
        <f t="shared" si="7"/>
        <v>2500</v>
      </c>
      <c r="U45" s="365">
        <f t="shared" si="9"/>
        <v>2.5</v>
      </c>
      <c r="V45" s="8458"/>
      <c r="X45" s="3" t="s">
        <v>814</v>
      </c>
      <c r="Y45" s="368" t="s">
        <v>701</v>
      </c>
      <c r="Z45" s="364" t="s">
        <v>815</v>
      </c>
      <c r="AA45" s="361"/>
      <c r="AB45" s="3" t="s">
        <v>816</v>
      </c>
      <c r="AC45" s="368" t="s">
        <v>711</v>
      </c>
      <c r="AD45" s="364" t="s">
        <v>723</v>
      </c>
      <c r="AE45" s="361"/>
      <c r="AF45" s="393" t="s">
        <v>1118</v>
      </c>
      <c r="AG45" s="394"/>
      <c r="AH45" s="394"/>
      <c r="AI45" s="394"/>
      <c r="AJ45" s="394"/>
      <c r="AK45" s="394"/>
      <c r="AL45" s="394"/>
      <c r="AM45" s="394"/>
      <c r="AN45" s="395"/>
      <c r="AO45" s="395"/>
      <c r="AP45" s="395"/>
      <c r="AQ45" s="395"/>
      <c r="AR45" s="395"/>
      <c r="AS45" s="395"/>
      <c r="AT45" s="34"/>
    </row>
    <row r="46" spans="1:62" ht="18.75">
      <c r="A46" s="8458"/>
      <c r="B46" s="369">
        <v>38</v>
      </c>
      <c r="C46" s="3" t="s">
        <v>628</v>
      </c>
      <c r="D46" s="364">
        <v>200</v>
      </c>
      <c r="E46" s="368">
        <v>10</v>
      </c>
      <c r="F46" s="366">
        <f t="shared" si="8"/>
        <v>2000</v>
      </c>
      <c r="G46" s="365">
        <f t="shared" si="10"/>
        <v>2</v>
      </c>
      <c r="H46" s="8458"/>
      <c r="I46" s="369">
        <v>90</v>
      </c>
      <c r="J46" s="3" t="s">
        <v>629</v>
      </c>
      <c r="K46" s="364">
        <v>1</v>
      </c>
      <c r="L46" s="368">
        <v>10</v>
      </c>
      <c r="M46" s="366">
        <f t="shared" si="5"/>
        <v>10</v>
      </c>
      <c r="N46" s="365">
        <f t="shared" si="2"/>
        <v>0.01</v>
      </c>
      <c r="O46" s="8458"/>
      <c r="P46" s="369">
        <v>150</v>
      </c>
      <c r="Q46" s="3" t="s">
        <v>630</v>
      </c>
      <c r="R46" s="364">
        <v>3500</v>
      </c>
      <c r="S46" s="368">
        <v>10</v>
      </c>
      <c r="T46" s="366">
        <f t="shared" si="7"/>
        <v>35000</v>
      </c>
      <c r="U46" s="367">
        <f t="shared" si="9"/>
        <v>35</v>
      </c>
      <c r="V46" s="8458"/>
      <c r="X46" s="3" t="s">
        <v>622</v>
      </c>
      <c r="Y46" s="368">
        <v>1</v>
      </c>
      <c r="Z46" s="364" t="s">
        <v>772</v>
      </c>
      <c r="AA46" s="361"/>
      <c r="AB46" s="3" t="s">
        <v>817</v>
      </c>
      <c r="AC46" s="368" t="s">
        <v>740</v>
      </c>
      <c r="AD46" s="364" t="s">
        <v>818</v>
      </c>
      <c r="AE46" s="361"/>
      <c r="AF46" s="393"/>
      <c r="AG46" s="394"/>
      <c r="AH46" s="394"/>
      <c r="AI46" s="394"/>
      <c r="AJ46" s="394"/>
      <c r="AK46" s="394"/>
      <c r="AL46" s="394"/>
      <c r="AM46" s="394"/>
      <c r="AN46" s="395"/>
      <c r="AO46" s="395"/>
      <c r="AP46" s="395"/>
      <c r="AQ46" s="395"/>
      <c r="AR46" s="395"/>
      <c r="AS46" s="395"/>
      <c r="AT46" s="34"/>
    </row>
    <row r="47" spans="1:62" ht="20.25">
      <c r="A47" s="8458"/>
      <c r="B47" s="369">
        <v>39</v>
      </c>
      <c r="C47" s="3" t="s">
        <v>631</v>
      </c>
      <c r="D47" s="364">
        <v>120</v>
      </c>
      <c r="E47" s="368">
        <v>10</v>
      </c>
      <c r="F47" s="366">
        <f t="shared" si="8"/>
        <v>1200</v>
      </c>
      <c r="G47" s="365">
        <f t="shared" si="10"/>
        <v>1.2</v>
      </c>
      <c r="H47" s="8458"/>
      <c r="I47" s="369">
        <v>91</v>
      </c>
      <c r="J47" s="3" t="s">
        <v>632</v>
      </c>
      <c r="K47" s="364">
        <v>200</v>
      </c>
      <c r="L47" s="368">
        <v>10</v>
      </c>
      <c r="M47" s="366">
        <f t="shared" si="5"/>
        <v>2000</v>
      </c>
      <c r="N47" s="365">
        <f t="shared" si="2"/>
        <v>2</v>
      </c>
      <c r="O47" s="8458"/>
      <c r="P47" s="369"/>
      <c r="Q47" s="358" t="s">
        <v>633</v>
      </c>
      <c r="R47" s="364">
        <v>0</v>
      </c>
      <c r="S47" s="368"/>
      <c r="T47" s="366">
        <f t="shared" si="7"/>
        <v>0</v>
      </c>
      <c r="U47" s="365">
        <f t="shared" si="9"/>
        <v>0</v>
      </c>
      <c r="V47" s="8458"/>
      <c r="X47" s="3" t="s">
        <v>819</v>
      </c>
      <c r="Y47" s="368" t="s">
        <v>711</v>
      </c>
      <c r="Z47" s="364" t="s">
        <v>790</v>
      </c>
      <c r="AA47" s="361"/>
      <c r="AB47" s="3" t="s">
        <v>820</v>
      </c>
      <c r="AC47" s="368" t="s">
        <v>740</v>
      </c>
      <c r="AD47" s="364" t="s">
        <v>815</v>
      </c>
      <c r="AE47" s="361"/>
      <c r="AF47" s="393" t="s">
        <v>1119</v>
      </c>
      <c r="AG47" s="394"/>
      <c r="AH47" s="394"/>
      <c r="AI47" s="394"/>
      <c r="AJ47" s="394"/>
      <c r="AK47" s="394"/>
      <c r="AL47" s="394"/>
      <c r="AM47" s="394"/>
      <c r="AN47" s="395"/>
      <c r="AO47" s="395"/>
      <c r="AP47" s="395"/>
      <c r="AQ47" s="395"/>
      <c r="AR47" s="395"/>
      <c r="AS47" s="395"/>
      <c r="AT47" s="34"/>
    </row>
    <row r="48" spans="1:62" ht="18.75">
      <c r="A48" s="8458"/>
      <c r="B48" s="369">
        <v>40</v>
      </c>
      <c r="C48" s="3" t="s">
        <v>634</v>
      </c>
      <c r="D48" s="364">
        <v>350</v>
      </c>
      <c r="E48" s="368">
        <v>10</v>
      </c>
      <c r="F48" s="366">
        <f t="shared" si="8"/>
        <v>3500</v>
      </c>
      <c r="G48" s="365">
        <f t="shared" si="10"/>
        <v>3.5</v>
      </c>
      <c r="H48" s="8458"/>
      <c r="I48" s="369">
        <v>92</v>
      </c>
      <c r="J48" s="3" t="s">
        <v>635</v>
      </c>
      <c r="K48" s="364">
        <v>40</v>
      </c>
      <c r="L48" s="368">
        <v>10</v>
      </c>
      <c r="M48" s="366">
        <f t="shared" si="5"/>
        <v>400</v>
      </c>
      <c r="N48" s="365">
        <f t="shared" si="2"/>
        <v>0.4</v>
      </c>
      <c r="O48" s="8458"/>
      <c r="P48" s="369">
        <v>151</v>
      </c>
      <c r="Q48" s="3" t="s">
        <v>636</v>
      </c>
      <c r="R48" s="364">
        <v>2200</v>
      </c>
      <c r="S48" s="368">
        <v>10</v>
      </c>
      <c r="T48" s="366">
        <f t="shared" si="7"/>
        <v>22000</v>
      </c>
      <c r="U48" s="367">
        <f t="shared" si="9"/>
        <v>22</v>
      </c>
      <c r="V48" s="8458"/>
      <c r="X48" s="3" t="s">
        <v>821</v>
      </c>
      <c r="Y48" s="368" t="s">
        <v>776</v>
      </c>
      <c r="Z48" s="364" t="s">
        <v>786</v>
      </c>
      <c r="AA48" s="361"/>
      <c r="AB48" s="3" t="s">
        <v>822</v>
      </c>
      <c r="AC48" s="368">
        <v>1</v>
      </c>
      <c r="AD48" s="364" t="s">
        <v>777</v>
      </c>
      <c r="AE48" s="361"/>
      <c r="AF48" s="393"/>
      <c r="AG48" s="394"/>
      <c r="AH48" s="394"/>
      <c r="AI48" s="394"/>
      <c r="AJ48" s="394"/>
      <c r="AK48" s="394"/>
      <c r="AL48" s="394"/>
      <c r="AM48" s="394"/>
      <c r="AN48" s="395"/>
      <c r="AO48" s="395"/>
      <c r="AP48" s="395"/>
      <c r="AQ48" s="395"/>
      <c r="AR48" s="395"/>
      <c r="AS48" s="395"/>
      <c r="AT48" s="34"/>
    </row>
    <row r="49" spans="1:46" ht="18.75">
      <c r="A49" s="8458"/>
      <c r="B49" s="369">
        <v>41</v>
      </c>
      <c r="C49" s="3" t="s">
        <v>637</v>
      </c>
      <c r="D49" s="364">
        <v>200</v>
      </c>
      <c r="E49" s="368">
        <v>10</v>
      </c>
      <c r="F49" s="366">
        <f t="shared" si="8"/>
        <v>2000</v>
      </c>
      <c r="G49" s="365">
        <f t="shared" si="10"/>
        <v>2</v>
      </c>
      <c r="H49" s="8458"/>
      <c r="I49" s="369">
        <v>93</v>
      </c>
      <c r="J49" s="3" t="s">
        <v>638</v>
      </c>
      <c r="K49" s="364">
        <v>150</v>
      </c>
      <c r="L49" s="368">
        <v>10</v>
      </c>
      <c r="M49" s="366">
        <f t="shared" si="5"/>
        <v>1500</v>
      </c>
      <c r="N49" s="365">
        <f t="shared" si="2"/>
        <v>1.5</v>
      </c>
      <c r="O49" s="8458"/>
      <c r="P49" s="369">
        <v>152</v>
      </c>
      <c r="Q49" s="3" t="s">
        <v>639</v>
      </c>
      <c r="R49" s="364">
        <v>2000</v>
      </c>
      <c r="S49" s="368">
        <v>10</v>
      </c>
      <c r="T49" s="366">
        <f t="shared" si="7"/>
        <v>20000</v>
      </c>
      <c r="U49" s="367">
        <f t="shared" si="9"/>
        <v>20</v>
      </c>
      <c r="V49" s="8458"/>
      <c r="X49" s="3" t="s">
        <v>823</v>
      </c>
      <c r="Y49" s="368" t="s">
        <v>711</v>
      </c>
      <c r="Z49" s="364" t="s">
        <v>770</v>
      </c>
      <c r="AA49" s="361"/>
      <c r="AB49" s="3" t="s">
        <v>824</v>
      </c>
      <c r="AC49" s="368" t="s">
        <v>711</v>
      </c>
      <c r="AD49" s="364" t="s">
        <v>723</v>
      </c>
      <c r="AE49" s="361"/>
      <c r="AF49" s="393" t="s">
        <v>1120</v>
      </c>
      <c r="AG49" s="394"/>
      <c r="AH49" s="394"/>
      <c r="AI49" s="394"/>
      <c r="AJ49" s="394"/>
      <c r="AK49" s="394"/>
      <c r="AL49" s="394"/>
      <c r="AM49" s="394"/>
      <c r="AN49" s="395"/>
      <c r="AO49" s="395"/>
      <c r="AP49" s="395"/>
      <c r="AQ49" s="395"/>
      <c r="AR49" s="395"/>
      <c r="AS49" s="395"/>
      <c r="AT49" s="34"/>
    </row>
    <row r="50" spans="1:46" ht="18.75">
      <c r="A50" s="8458"/>
      <c r="B50" s="369">
        <v>42</v>
      </c>
      <c r="C50" s="3" t="s">
        <v>640</v>
      </c>
      <c r="D50" s="364">
        <v>5</v>
      </c>
      <c r="E50" s="368">
        <v>10</v>
      </c>
      <c r="F50" s="366">
        <f t="shared" si="8"/>
        <v>50</v>
      </c>
      <c r="G50" s="365">
        <f t="shared" si="10"/>
        <v>0.05</v>
      </c>
      <c r="H50" s="8458"/>
      <c r="I50" s="369">
        <v>94</v>
      </c>
      <c r="J50" s="3" t="s">
        <v>641</v>
      </c>
      <c r="K50" s="364">
        <v>150</v>
      </c>
      <c r="L50" s="368">
        <v>10</v>
      </c>
      <c r="M50" s="366">
        <f t="shared" si="5"/>
        <v>1500</v>
      </c>
      <c r="N50" s="365">
        <f t="shared" si="2"/>
        <v>1.5</v>
      </c>
      <c r="O50" s="8458"/>
      <c r="P50" s="369">
        <v>153</v>
      </c>
      <c r="Q50" s="3" t="s">
        <v>642</v>
      </c>
      <c r="R50" s="364">
        <v>300</v>
      </c>
      <c r="S50" s="368">
        <v>10</v>
      </c>
      <c r="T50" s="366">
        <f t="shared" si="7"/>
        <v>3000</v>
      </c>
      <c r="U50" s="365">
        <f t="shared" si="9"/>
        <v>3</v>
      </c>
      <c r="V50" s="8458"/>
      <c r="X50" s="3" t="s">
        <v>825</v>
      </c>
      <c r="Y50" s="368" t="s">
        <v>714</v>
      </c>
      <c r="Z50" s="364" t="s">
        <v>744</v>
      </c>
      <c r="AA50" s="361"/>
      <c r="AB50" s="3" t="s">
        <v>826</v>
      </c>
      <c r="AC50" s="368">
        <v>1</v>
      </c>
      <c r="AD50" s="364" t="s">
        <v>784</v>
      </c>
      <c r="AE50" s="361"/>
      <c r="AF50" s="393"/>
      <c r="AG50" s="394"/>
      <c r="AH50" s="394"/>
      <c r="AI50" s="394"/>
      <c r="AJ50" s="394"/>
      <c r="AK50" s="394"/>
      <c r="AL50" s="394"/>
      <c r="AM50" s="394"/>
      <c r="AN50" s="395"/>
      <c r="AO50" s="395"/>
      <c r="AP50" s="395"/>
      <c r="AQ50" s="395"/>
      <c r="AR50" s="395"/>
      <c r="AS50" s="395"/>
      <c r="AT50" s="34"/>
    </row>
    <row r="51" spans="1:46" ht="18.75">
      <c r="A51" s="8458"/>
      <c r="B51" s="369">
        <v>43</v>
      </c>
      <c r="C51" s="3" t="s">
        <v>643</v>
      </c>
      <c r="D51" s="364">
        <v>10</v>
      </c>
      <c r="E51" s="368">
        <v>10</v>
      </c>
      <c r="F51" s="366">
        <f t="shared" si="8"/>
        <v>100</v>
      </c>
      <c r="G51" s="365">
        <f t="shared" si="10"/>
        <v>0.1</v>
      </c>
      <c r="H51" s="8458"/>
      <c r="I51" s="369">
        <v>95</v>
      </c>
      <c r="J51" s="3" t="s">
        <v>644</v>
      </c>
      <c r="K51" s="364">
        <v>200</v>
      </c>
      <c r="L51" s="368">
        <v>10</v>
      </c>
      <c r="M51" s="366">
        <f t="shared" si="5"/>
        <v>2000</v>
      </c>
      <c r="N51" s="365">
        <f t="shared" si="2"/>
        <v>2</v>
      </c>
      <c r="O51" s="8458"/>
      <c r="P51" s="369">
        <v>154</v>
      </c>
      <c r="Q51" s="3" t="s">
        <v>645</v>
      </c>
      <c r="R51" s="364">
        <v>900</v>
      </c>
      <c r="S51" s="368">
        <v>10</v>
      </c>
      <c r="T51" s="366">
        <f t="shared" si="7"/>
        <v>9000</v>
      </c>
      <c r="U51" s="365">
        <f t="shared" si="9"/>
        <v>9</v>
      </c>
      <c r="V51" s="8458"/>
      <c r="X51" s="3" t="s">
        <v>827</v>
      </c>
      <c r="Y51" s="368" t="s">
        <v>740</v>
      </c>
      <c r="Z51" s="364" t="s">
        <v>770</v>
      </c>
      <c r="AA51" s="361"/>
      <c r="AB51" s="3" t="s">
        <v>828</v>
      </c>
      <c r="AC51" s="368" t="s">
        <v>735</v>
      </c>
      <c r="AD51" s="364" t="s">
        <v>829</v>
      </c>
      <c r="AE51" s="361"/>
      <c r="AF51" s="393" t="s">
        <v>1121</v>
      </c>
      <c r="AG51" s="394"/>
      <c r="AH51" s="394"/>
      <c r="AI51" s="394"/>
      <c r="AJ51" s="394"/>
      <c r="AK51" s="394"/>
      <c r="AL51" s="394"/>
      <c r="AM51" s="394"/>
      <c r="AN51" s="395"/>
      <c r="AO51" s="395"/>
      <c r="AP51" s="395"/>
      <c r="AQ51" s="395"/>
      <c r="AR51" s="395"/>
      <c r="AS51" s="395"/>
      <c r="AT51" s="34"/>
    </row>
    <row r="52" spans="1:46" ht="20.25">
      <c r="A52" s="8458"/>
      <c r="B52" s="369"/>
      <c r="C52" s="358" t="s">
        <v>342</v>
      </c>
      <c r="D52" s="364">
        <v>0</v>
      </c>
      <c r="E52" s="368"/>
      <c r="F52" s="366">
        <f t="shared" si="8"/>
        <v>0</v>
      </c>
      <c r="G52" s="365">
        <f t="shared" si="10"/>
        <v>0</v>
      </c>
      <c r="H52" s="8458"/>
      <c r="I52" s="369">
        <v>96</v>
      </c>
      <c r="J52" s="3" t="s">
        <v>646</v>
      </c>
      <c r="K52" s="364">
        <v>140</v>
      </c>
      <c r="L52" s="368">
        <v>10</v>
      </c>
      <c r="M52" s="366">
        <f t="shared" si="5"/>
        <v>1400</v>
      </c>
      <c r="N52" s="365">
        <f t="shared" si="2"/>
        <v>1.4</v>
      </c>
      <c r="O52" s="8458"/>
      <c r="P52" s="369">
        <v>155</v>
      </c>
      <c r="Q52" s="3" t="s">
        <v>647</v>
      </c>
      <c r="R52" s="364">
        <v>3500</v>
      </c>
      <c r="S52" s="368">
        <v>10</v>
      </c>
      <c r="T52" s="366">
        <f t="shared" si="7"/>
        <v>35000</v>
      </c>
      <c r="U52" s="367">
        <f t="shared" si="9"/>
        <v>35</v>
      </c>
      <c r="V52" s="8458"/>
      <c r="X52" s="3" t="s">
        <v>830</v>
      </c>
      <c r="Y52" s="368">
        <v>1</v>
      </c>
      <c r="Z52" s="364" t="s">
        <v>831</v>
      </c>
      <c r="AA52" s="361"/>
      <c r="AB52" s="3" t="s">
        <v>832</v>
      </c>
      <c r="AC52" s="368" t="s">
        <v>698</v>
      </c>
      <c r="AD52" s="364" t="s">
        <v>702</v>
      </c>
      <c r="AE52" s="361"/>
      <c r="AF52" s="393"/>
      <c r="AG52" s="394"/>
      <c r="AH52" s="394"/>
      <c r="AI52" s="394"/>
      <c r="AJ52" s="394"/>
      <c r="AK52" s="394"/>
      <c r="AL52" s="394"/>
      <c r="AM52" s="394"/>
      <c r="AN52" s="395"/>
      <c r="AO52" s="395"/>
      <c r="AP52" s="395"/>
      <c r="AQ52" s="395"/>
      <c r="AR52" s="395"/>
      <c r="AS52" s="395"/>
      <c r="AT52" s="34"/>
    </row>
    <row r="53" spans="1:46" ht="18.75">
      <c r="A53" s="8458"/>
      <c r="B53" s="369">
        <v>44</v>
      </c>
      <c r="C53" s="3" t="s">
        <v>648</v>
      </c>
      <c r="D53" s="364">
        <v>600</v>
      </c>
      <c r="E53" s="368">
        <v>10</v>
      </c>
      <c r="F53" s="366">
        <f t="shared" si="8"/>
        <v>6000</v>
      </c>
      <c r="G53" s="365">
        <f t="shared" si="10"/>
        <v>6</v>
      </c>
      <c r="H53" s="8458"/>
      <c r="I53" s="369">
        <v>97</v>
      </c>
      <c r="J53" s="3" t="s">
        <v>649</v>
      </c>
      <c r="K53" s="364">
        <v>100</v>
      </c>
      <c r="L53" s="368">
        <v>10</v>
      </c>
      <c r="M53" s="366">
        <f t="shared" si="5"/>
        <v>1000</v>
      </c>
      <c r="N53" s="365">
        <f t="shared" si="2"/>
        <v>1</v>
      </c>
      <c r="O53" s="8458"/>
      <c r="P53" s="369">
        <v>156</v>
      </c>
      <c r="Q53" s="3" t="s">
        <v>650</v>
      </c>
      <c r="R53" s="364">
        <v>1200</v>
      </c>
      <c r="S53" s="368">
        <v>10</v>
      </c>
      <c r="T53" s="366">
        <f t="shared" si="7"/>
        <v>12000</v>
      </c>
      <c r="U53" s="367">
        <f t="shared" si="9"/>
        <v>12</v>
      </c>
      <c r="V53" s="8458"/>
      <c r="X53" s="3" t="s">
        <v>833</v>
      </c>
      <c r="Y53" s="368">
        <v>1</v>
      </c>
      <c r="Z53" s="364" t="s">
        <v>834</v>
      </c>
      <c r="AA53" s="361"/>
      <c r="AB53" s="3" t="s">
        <v>835</v>
      </c>
      <c r="AC53" s="368" t="s">
        <v>711</v>
      </c>
      <c r="AD53" s="364" t="s">
        <v>784</v>
      </c>
      <c r="AE53" s="361"/>
      <c r="AF53" s="394"/>
      <c r="AG53" s="393" t="s">
        <v>1007</v>
      </c>
      <c r="AH53" s="394"/>
      <c r="AI53" s="394"/>
      <c r="AJ53" s="394"/>
      <c r="AK53" s="394"/>
      <c r="AL53" s="394"/>
      <c r="AM53" s="394"/>
      <c r="AN53" s="395"/>
      <c r="AO53" s="395"/>
      <c r="AP53" s="395"/>
      <c r="AQ53" s="395"/>
      <c r="AR53" s="395"/>
      <c r="AS53" s="395"/>
      <c r="AT53" s="34"/>
    </row>
    <row r="54" spans="1:46" ht="20.25">
      <c r="A54" s="8458"/>
      <c r="B54" s="369"/>
      <c r="C54" s="350" t="s">
        <v>651</v>
      </c>
      <c r="D54" s="364">
        <v>0</v>
      </c>
      <c r="E54" s="368"/>
      <c r="F54" s="366">
        <f t="shared" si="8"/>
        <v>0</v>
      </c>
      <c r="G54" s="365">
        <f t="shared" si="10"/>
        <v>0</v>
      </c>
      <c r="H54" s="8458"/>
      <c r="I54" s="369">
        <v>98</v>
      </c>
      <c r="J54" s="3" t="s">
        <v>652</v>
      </c>
      <c r="K54" s="364">
        <v>150</v>
      </c>
      <c r="L54" s="368">
        <v>10</v>
      </c>
      <c r="M54" s="366">
        <f t="shared" si="5"/>
        <v>1500</v>
      </c>
      <c r="N54" s="365">
        <f t="shared" si="2"/>
        <v>1.5</v>
      </c>
      <c r="O54" s="8458"/>
      <c r="P54" s="369">
        <v>157</v>
      </c>
      <c r="Q54" s="3" t="s">
        <v>653</v>
      </c>
      <c r="R54" s="364">
        <v>3100</v>
      </c>
      <c r="S54" s="368">
        <v>10</v>
      </c>
      <c r="T54" s="366">
        <f t="shared" si="7"/>
        <v>31000</v>
      </c>
      <c r="U54" s="367">
        <f t="shared" si="9"/>
        <v>31</v>
      </c>
      <c r="V54" s="8458"/>
      <c r="X54" s="3" t="s">
        <v>836</v>
      </c>
      <c r="Y54" s="368" t="s">
        <v>837</v>
      </c>
      <c r="Z54" s="364" t="s">
        <v>838</v>
      </c>
      <c r="AA54" s="361"/>
      <c r="AB54" s="3" t="s">
        <v>839</v>
      </c>
      <c r="AC54" s="368" t="s">
        <v>735</v>
      </c>
      <c r="AD54" s="364" t="s">
        <v>840</v>
      </c>
      <c r="AE54" s="361"/>
      <c r="AF54" s="394"/>
      <c r="AG54" s="393" t="s">
        <v>1008</v>
      </c>
      <c r="AH54" s="394"/>
      <c r="AI54" s="394"/>
      <c r="AJ54" s="394"/>
      <c r="AK54" s="394"/>
      <c r="AL54" s="394"/>
      <c r="AM54" s="394"/>
      <c r="AN54" s="395"/>
      <c r="AO54" s="395"/>
      <c r="AP54" s="395"/>
      <c r="AQ54" s="395"/>
      <c r="AR54" s="395"/>
      <c r="AS54" s="395"/>
      <c r="AT54" s="34"/>
    </row>
    <row r="55" spans="1:46" ht="18.75">
      <c r="A55" s="8458"/>
      <c r="B55" s="369">
        <v>45</v>
      </c>
      <c r="C55" s="3" t="s">
        <v>654</v>
      </c>
      <c r="D55" s="364">
        <v>200</v>
      </c>
      <c r="E55" s="368">
        <v>10</v>
      </c>
      <c r="F55" s="366">
        <f t="shared" si="8"/>
        <v>2000</v>
      </c>
      <c r="G55" s="365">
        <f t="shared" si="10"/>
        <v>2</v>
      </c>
      <c r="H55" s="8458"/>
      <c r="I55" s="369">
        <v>99</v>
      </c>
      <c r="J55" s="3" t="s">
        <v>655</v>
      </c>
      <c r="K55" s="364">
        <v>100</v>
      </c>
      <c r="L55" s="368">
        <v>10</v>
      </c>
      <c r="M55" s="366">
        <f t="shared" si="5"/>
        <v>1000</v>
      </c>
      <c r="N55" s="365">
        <f t="shared" si="2"/>
        <v>1</v>
      </c>
      <c r="O55" s="8458"/>
      <c r="P55" s="369">
        <v>158</v>
      </c>
      <c r="Q55" s="3" t="s">
        <v>656</v>
      </c>
      <c r="R55" s="364">
        <v>2650</v>
      </c>
      <c r="S55" s="368">
        <v>10</v>
      </c>
      <c r="T55" s="366">
        <f t="shared" si="7"/>
        <v>26500</v>
      </c>
      <c r="U55" s="367">
        <f t="shared" si="9"/>
        <v>26.5</v>
      </c>
      <c r="V55" s="8458"/>
      <c r="X55" s="3" t="s">
        <v>841</v>
      </c>
      <c r="Y55" s="368" t="s">
        <v>711</v>
      </c>
      <c r="Z55" s="364" t="s">
        <v>772</v>
      </c>
      <c r="AA55" s="361"/>
      <c r="AB55" s="3" t="s">
        <v>646</v>
      </c>
      <c r="AC55" s="368" t="s">
        <v>698</v>
      </c>
      <c r="AD55" s="364" t="s">
        <v>768</v>
      </c>
      <c r="AE55" s="361"/>
      <c r="AF55" s="394"/>
      <c r="AG55" s="393"/>
      <c r="AH55" s="394"/>
      <c r="AI55" s="394"/>
      <c r="AJ55" s="394"/>
      <c r="AK55" s="394"/>
      <c r="AL55" s="394"/>
      <c r="AM55" s="394"/>
      <c r="AN55" s="395"/>
      <c r="AO55" s="395"/>
      <c r="AP55" s="395"/>
      <c r="AQ55" s="395"/>
      <c r="AR55" s="395"/>
      <c r="AS55" s="395"/>
      <c r="AT55" s="34"/>
    </row>
    <row r="56" spans="1:46" ht="18.75">
      <c r="A56" s="8458"/>
      <c r="B56" s="369">
        <v>46</v>
      </c>
      <c r="C56" s="3" t="s">
        <v>657</v>
      </c>
      <c r="D56" s="364">
        <v>25</v>
      </c>
      <c r="E56" s="368">
        <v>10</v>
      </c>
      <c r="F56" s="366">
        <f t="shared" si="8"/>
        <v>250</v>
      </c>
      <c r="G56" s="365">
        <f t="shared" si="10"/>
        <v>0.25</v>
      </c>
      <c r="H56" s="8458"/>
      <c r="I56" s="369">
        <v>100</v>
      </c>
      <c r="J56" s="3" t="s">
        <v>658</v>
      </c>
      <c r="K56" s="364">
        <v>200</v>
      </c>
      <c r="L56" s="368">
        <v>10</v>
      </c>
      <c r="M56" s="366">
        <f t="shared" si="5"/>
        <v>2000</v>
      </c>
      <c r="N56" s="365">
        <f t="shared" si="2"/>
        <v>2</v>
      </c>
      <c r="O56" s="8458"/>
      <c r="P56" s="369">
        <v>159</v>
      </c>
      <c r="Q56" s="3" t="s">
        <v>659</v>
      </c>
      <c r="R56" s="364">
        <v>750</v>
      </c>
      <c r="S56" s="368">
        <v>10</v>
      </c>
      <c r="T56" s="366">
        <f t="shared" si="7"/>
        <v>7500</v>
      </c>
      <c r="U56" s="365">
        <f t="shared" si="9"/>
        <v>7.5</v>
      </c>
      <c r="V56" s="8458"/>
      <c r="X56" s="3" t="s">
        <v>842</v>
      </c>
      <c r="Y56" s="368" t="s">
        <v>792</v>
      </c>
      <c r="Z56" s="364" t="s">
        <v>790</v>
      </c>
      <c r="AA56" s="361"/>
      <c r="AB56" s="3" t="s">
        <v>843</v>
      </c>
      <c r="AC56" s="368">
        <v>1</v>
      </c>
      <c r="AD56" s="364" t="s">
        <v>741</v>
      </c>
      <c r="AE56" s="361"/>
      <c r="AF56" s="394"/>
      <c r="AG56" s="393" t="s">
        <v>1009</v>
      </c>
      <c r="AH56" s="394"/>
      <c r="AI56" s="394"/>
      <c r="AJ56" s="394"/>
      <c r="AK56" s="394"/>
      <c r="AL56" s="394"/>
      <c r="AM56" s="394"/>
      <c r="AN56" s="395"/>
      <c r="AO56" s="395"/>
      <c r="AP56" s="395"/>
      <c r="AQ56" s="395"/>
      <c r="AR56" s="395"/>
      <c r="AS56" s="395"/>
      <c r="AT56" s="34"/>
    </row>
    <row r="57" spans="1:46" ht="18.75">
      <c r="A57" s="8458"/>
      <c r="B57" s="369">
        <v>47</v>
      </c>
      <c r="C57" s="3" t="s">
        <v>660</v>
      </c>
      <c r="D57" s="364">
        <v>18</v>
      </c>
      <c r="E57" s="368">
        <v>10</v>
      </c>
      <c r="F57" s="366">
        <f t="shared" si="8"/>
        <v>180</v>
      </c>
      <c r="G57" s="365">
        <f t="shared" si="10"/>
        <v>0.18</v>
      </c>
      <c r="H57" s="8458"/>
      <c r="I57" s="369">
        <v>101</v>
      </c>
      <c r="J57" s="3" t="s">
        <v>661</v>
      </c>
      <c r="K57" s="364">
        <v>120</v>
      </c>
      <c r="L57" s="368">
        <v>10</v>
      </c>
      <c r="M57" s="366">
        <f t="shared" si="5"/>
        <v>1200</v>
      </c>
      <c r="N57" s="365">
        <f t="shared" si="2"/>
        <v>1.2</v>
      </c>
      <c r="O57" s="8458"/>
      <c r="P57" s="369">
        <v>160</v>
      </c>
      <c r="Q57" s="3" t="s">
        <v>662</v>
      </c>
      <c r="R57" s="364">
        <v>350</v>
      </c>
      <c r="S57" s="368">
        <v>10</v>
      </c>
      <c r="T57" s="366">
        <f t="shared" si="7"/>
        <v>3500</v>
      </c>
      <c r="U57" s="365">
        <f t="shared" si="9"/>
        <v>3.5</v>
      </c>
      <c r="V57" s="8458"/>
      <c r="X57" s="3" t="s">
        <v>844</v>
      </c>
      <c r="Y57" s="368" t="s">
        <v>711</v>
      </c>
      <c r="Z57" s="364" t="s">
        <v>845</v>
      </c>
      <c r="AA57" s="361"/>
      <c r="AB57" s="3" t="s">
        <v>846</v>
      </c>
      <c r="AC57" s="368" t="s">
        <v>711</v>
      </c>
      <c r="AD57" s="364" t="s">
        <v>770</v>
      </c>
      <c r="AE57" s="361"/>
      <c r="AF57" s="394"/>
      <c r="AG57" s="393"/>
      <c r="AH57" s="394"/>
      <c r="AI57" s="394"/>
      <c r="AJ57" s="394"/>
      <c r="AK57" s="394"/>
      <c r="AL57" s="394"/>
      <c r="AM57" s="394"/>
      <c r="AN57" s="395"/>
      <c r="AO57" s="395"/>
      <c r="AP57" s="395"/>
      <c r="AQ57" s="395"/>
      <c r="AR57" s="395"/>
      <c r="AS57" s="395"/>
      <c r="AT57" s="34"/>
    </row>
    <row r="58" spans="1:46" ht="18.75">
      <c r="A58" s="8458"/>
      <c r="B58" s="369">
        <v>48</v>
      </c>
      <c r="C58" s="3" t="s">
        <v>663</v>
      </c>
      <c r="D58" s="364">
        <v>10</v>
      </c>
      <c r="E58" s="368">
        <v>10</v>
      </c>
      <c r="F58" s="366">
        <f t="shared" si="8"/>
        <v>100</v>
      </c>
      <c r="G58" s="365">
        <f t="shared" si="10"/>
        <v>0.1</v>
      </c>
      <c r="H58" s="8458"/>
      <c r="I58" s="369">
        <v>102</v>
      </c>
      <c r="J58" s="3" t="s">
        <v>664</v>
      </c>
      <c r="K58" s="364">
        <v>80</v>
      </c>
      <c r="L58" s="368">
        <v>10</v>
      </c>
      <c r="M58" s="366">
        <f t="shared" si="5"/>
        <v>800</v>
      </c>
      <c r="N58" s="365">
        <f t="shared" si="2"/>
        <v>0.8</v>
      </c>
      <c r="O58" s="8458"/>
      <c r="P58" s="369">
        <v>161</v>
      </c>
      <c r="Q58" s="3" t="s">
        <v>665</v>
      </c>
      <c r="R58" s="364">
        <v>6200</v>
      </c>
      <c r="S58" s="368">
        <v>10</v>
      </c>
      <c r="T58" s="366">
        <f t="shared" si="7"/>
        <v>62000</v>
      </c>
      <c r="U58" s="367">
        <f t="shared" si="9"/>
        <v>62</v>
      </c>
      <c r="V58" s="8458"/>
      <c r="X58" s="3" t="s">
        <v>847</v>
      </c>
      <c r="Y58" s="368" t="s">
        <v>711</v>
      </c>
      <c r="Z58" s="364" t="s">
        <v>750</v>
      </c>
      <c r="AA58" s="361"/>
      <c r="AB58" s="3" t="s">
        <v>848</v>
      </c>
      <c r="AC58" s="368" t="s">
        <v>849</v>
      </c>
      <c r="AD58" s="376" t="s">
        <v>850</v>
      </c>
      <c r="AE58" s="361"/>
      <c r="AF58" s="394"/>
      <c r="AG58" s="393" t="s">
        <v>1010</v>
      </c>
      <c r="AH58" s="394"/>
      <c r="AI58" s="394"/>
      <c r="AJ58" s="394"/>
      <c r="AK58" s="394"/>
      <c r="AL58" s="394"/>
      <c r="AM58" s="394"/>
      <c r="AN58" s="395"/>
      <c r="AO58" s="395"/>
      <c r="AP58" s="395"/>
      <c r="AQ58" s="395"/>
      <c r="AR58" s="395"/>
      <c r="AS58" s="395"/>
      <c r="AT58" s="34"/>
    </row>
    <row r="59" spans="1:46" ht="18.75">
      <c r="A59" s="8458"/>
      <c r="B59" s="369">
        <v>49</v>
      </c>
      <c r="C59" s="3" t="s">
        <v>666</v>
      </c>
      <c r="D59" s="364">
        <v>35</v>
      </c>
      <c r="E59" s="368">
        <v>10</v>
      </c>
      <c r="F59" s="366">
        <f t="shared" si="8"/>
        <v>350</v>
      </c>
      <c r="G59" s="365">
        <f t="shared" si="10"/>
        <v>0.35</v>
      </c>
      <c r="H59" s="8458"/>
      <c r="I59" s="369">
        <v>103</v>
      </c>
      <c r="J59" s="3" t="s">
        <v>667</v>
      </c>
      <c r="K59" s="364">
        <v>225</v>
      </c>
      <c r="L59" s="368">
        <v>10</v>
      </c>
      <c r="M59" s="366">
        <f t="shared" si="5"/>
        <v>2250</v>
      </c>
      <c r="N59" s="365">
        <f t="shared" si="2"/>
        <v>2.25</v>
      </c>
      <c r="O59" s="8458"/>
      <c r="P59" s="369"/>
      <c r="Q59" s="3"/>
      <c r="R59" s="364"/>
      <c r="S59" s="368"/>
      <c r="T59" s="366"/>
      <c r="U59" s="367"/>
      <c r="V59" s="8458"/>
      <c r="X59" s="3" t="s">
        <v>851</v>
      </c>
      <c r="Y59" s="368" t="s">
        <v>852</v>
      </c>
      <c r="Z59" s="364" t="s">
        <v>741</v>
      </c>
      <c r="AA59" s="361"/>
      <c r="AB59" s="3" t="s">
        <v>853</v>
      </c>
      <c r="AC59" s="368" t="s">
        <v>708</v>
      </c>
      <c r="AD59" s="364" t="s">
        <v>702</v>
      </c>
      <c r="AE59" s="361"/>
      <c r="AF59" s="394"/>
      <c r="AG59" s="393"/>
      <c r="AH59" s="394"/>
      <c r="AI59" s="394"/>
      <c r="AJ59" s="394"/>
      <c r="AK59" s="394"/>
      <c r="AL59" s="394"/>
      <c r="AM59" s="394"/>
      <c r="AN59" s="395"/>
      <c r="AO59" s="395"/>
      <c r="AP59" s="395"/>
      <c r="AQ59" s="395"/>
      <c r="AR59" s="395"/>
      <c r="AS59" s="395"/>
      <c r="AT59" s="34"/>
    </row>
    <row r="60" spans="1:46" ht="20.25">
      <c r="A60" s="8458"/>
      <c r="B60" s="369"/>
      <c r="C60" s="358" t="s">
        <v>343</v>
      </c>
      <c r="D60" s="364">
        <v>0</v>
      </c>
      <c r="E60" s="368"/>
      <c r="F60" s="366">
        <f t="shared" si="8"/>
        <v>0</v>
      </c>
      <c r="G60" s="365">
        <f t="shared" si="10"/>
        <v>0</v>
      </c>
      <c r="H60" s="8458"/>
      <c r="I60" s="369">
        <v>104</v>
      </c>
      <c r="J60" s="3" t="s">
        <v>668</v>
      </c>
      <c r="K60" s="364">
        <v>225</v>
      </c>
      <c r="L60" s="368">
        <v>10</v>
      </c>
      <c r="M60" s="366">
        <f t="shared" si="5"/>
        <v>2250</v>
      </c>
      <c r="N60" s="365">
        <f t="shared" si="2"/>
        <v>2.25</v>
      </c>
      <c r="O60" s="8458"/>
      <c r="P60" s="369"/>
      <c r="Q60" s="3"/>
      <c r="R60" s="364"/>
      <c r="S60" s="368"/>
      <c r="T60" s="366"/>
      <c r="U60" s="367"/>
      <c r="V60" s="8458"/>
      <c r="X60" s="3" t="s">
        <v>854</v>
      </c>
      <c r="Y60" s="368" t="s">
        <v>735</v>
      </c>
      <c r="Z60" s="364" t="s">
        <v>699</v>
      </c>
      <c r="AA60" s="361"/>
      <c r="AB60" s="3" t="s">
        <v>855</v>
      </c>
      <c r="AC60" s="368" t="s">
        <v>856</v>
      </c>
      <c r="AD60" s="364" t="s">
        <v>857</v>
      </c>
      <c r="AE60" s="361"/>
      <c r="AF60" s="394"/>
      <c r="AG60" s="393" t="s">
        <v>1011</v>
      </c>
      <c r="AH60" s="394"/>
      <c r="AI60" s="394"/>
      <c r="AJ60" s="394"/>
      <c r="AK60" s="394"/>
      <c r="AL60" s="394"/>
      <c r="AM60" s="394"/>
      <c r="AN60" s="395"/>
      <c r="AO60" s="395"/>
      <c r="AP60" s="395"/>
      <c r="AQ60" s="395"/>
      <c r="AR60" s="395"/>
      <c r="AS60" s="395"/>
      <c r="AT60" s="34"/>
    </row>
    <row r="61" spans="1:46" ht="18.75">
      <c r="A61" s="8458"/>
      <c r="B61" s="369">
        <v>50</v>
      </c>
      <c r="C61" s="3" t="s">
        <v>669</v>
      </c>
      <c r="D61" s="364">
        <v>3</v>
      </c>
      <c r="E61" s="368">
        <v>10</v>
      </c>
      <c r="F61" s="366">
        <f t="shared" si="8"/>
        <v>30</v>
      </c>
      <c r="G61" s="365">
        <f t="shared" si="10"/>
        <v>0.03</v>
      </c>
      <c r="H61" s="8458"/>
      <c r="I61" s="369">
        <v>105</v>
      </c>
      <c r="J61" s="3" t="s">
        <v>670</v>
      </c>
      <c r="K61" s="364">
        <v>750</v>
      </c>
      <c r="L61" s="368">
        <v>10</v>
      </c>
      <c r="M61" s="366">
        <f t="shared" si="5"/>
        <v>7500</v>
      </c>
      <c r="N61" s="365">
        <f t="shared" si="2"/>
        <v>7.5</v>
      </c>
      <c r="O61" s="8458"/>
      <c r="P61" s="369"/>
      <c r="Q61" s="3"/>
      <c r="R61" s="364"/>
      <c r="S61" s="368"/>
      <c r="T61" s="366"/>
      <c r="U61" s="367"/>
      <c r="V61" s="8458"/>
      <c r="X61" s="3" t="s">
        <v>858</v>
      </c>
      <c r="Y61" s="368" t="s">
        <v>711</v>
      </c>
      <c r="Z61" s="364" t="s">
        <v>712</v>
      </c>
      <c r="AA61" s="361"/>
      <c r="AB61" s="3" t="s">
        <v>859</v>
      </c>
      <c r="AC61" s="368">
        <v>1</v>
      </c>
      <c r="AD61" s="364" t="s">
        <v>723</v>
      </c>
      <c r="AE61" s="361"/>
      <c r="AF61" s="394"/>
      <c r="AG61" s="393"/>
      <c r="AH61" s="394"/>
      <c r="AI61" s="394"/>
      <c r="AJ61" s="394"/>
      <c r="AK61" s="394"/>
      <c r="AL61" s="394"/>
      <c r="AM61" s="394"/>
      <c r="AN61" s="395"/>
      <c r="AO61" s="395"/>
      <c r="AP61" s="395"/>
      <c r="AQ61" s="395"/>
      <c r="AR61" s="395"/>
      <c r="AS61" s="395"/>
      <c r="AT61" s="34"/>
    </row>
    <row r="62" spans="1:46" ht="18.75">
      <c r="A62" s="8458"/>
      <c r="B62" s="369">
        <v>51</v>
      </c>
      <c r="C62" s="3" t="s">
        <v>671</v>
      </c>
      <c r="D62" s="364">
        <v>8</v>
      </c>
      <c r="E62" s="368">
        <v>10</v>
      </c>
      <c r="F62" s="366">
        <f t="shared" si="8"/>
        <v>80</v>
      </c>
      <c r="G62" s="365">
        <f t="shared" si="10"/>
        <v>0.08</v>
      </c>
      <c r="H62" s="8458"/>
      <c r="I62" s="369">
        <v>106</v>
      </c>
      <c r="J62" s="3" t="s">
        <v>672</v>
      </c>
      <c r="K62" s="364">
        <v>8.6</v>
      </c>
      <c r="L62" s="368">
        <v>10</v>
      </c>
      <c r="M62" s="366">
        <f t="shared" si="5"/>
        <v>86</v>
      </c>
      <c r="N62" s="365">
        <f t="shared" si="2"/>
        <v>8.5999999999999993E-2</v>
      </c>
      <c r="O62" s="8458"/>
      <c r="P62" s="369"/>
      <c r="Q62" s="3"/>
      <c r="R62" s="364"/>
      <c r="S62" s="368"/>
      <c r="T62" s="366"/>
      <c r="U62" s="367"/>
      <c r="V62" s="8458"/>
      <c r="X62" s="3" t="s">
        <v>860</v>
      </c>
      <c r="Y62" s="368" t="s">
        <v>701</v>
      </c>
      <c r="Z62" s="364" t="s">
        <v>741</v>
      </c>
      <c r="AA62" s="361"/>
      <c r="AB62" s="3" t="s">
        <v>861</v>
      </c>
      <c r="AC62" s="368" t="s">
        <v>698</v>
      </c>
      <c r="AD62" s="364" t="s">
        <v>862</v>
      </c>
      <c r="AE62" s="361"/>
      <c r="AF62" s="394"/>
      <c r="AG62" s="393" t="s">
        <v>1128</v>
      </c>
      <c r="AH62" s="394"/>
      <c r="AI62" s="394"/>
      <c r="AJ62" s="394"/>
      <c r="AK62" s="394"/>
      <c r="AL62" s="394"/>
      <c r="AM62" s="394"/>
      <c r="AN62" s="395"/>
      <c r="AO62" s="395"/>
      <c r="AP62" s="395"/>
      <c r="AQ62" s="395"/>
      <c r="AR62" s="395"/>
      <c r="AS62" s="395"/>
      <c r="AT62" s="34"/>
    </row>
    <row r="63" spans="1:46" ht="18.75">
      <c r="A63" s="8458"/>
      <c r="B63" s="369">
        <v>52</v>
      </c>
      <c r="C63" s="3" t="s">
        <v>673</v>
      </c>
      <c r="D63" s="364">
        <v>100</v>
      </c>
      <c r="E63" s="368">
        <v>10</v>
      </c>
      <c r="F63" s="366">
        <f t="shared" si="8"/>
        <v>1000</v>
      </c>
      <c r="G63" s="365">
        <f t="shared" si="10"/>
        <v>1</v>
      </c>
      <c r="H63" s="8458"/>
      <c r="I63" s="369">
        <v>107</v>
      </c>
      <c r="J63" s="3" t="s">
        <v>674</v>
      </c>
      <c r="K63" s="364">
        <v>11.5</v>
      </c>
      <c r="L63" s="368">
        <v>10</v>
      </c>
      <c r="M63" s="366">
        <f t="shared" si="5"/>
        <v>115</v>
      </c>
      <c r="N63" s="365">
        <f t="shared" si="2"/>
        <v>0.115</v>
      </c>
      <c r="O63" s="8458"/>
      <c r="P63" s="369"/>
      <c r="Q63" s="3"/>
      <c r="R63" s="364"/>
      <c r="S63" s="368"/>
      <c r="T63" s="366"/>
      <c r="U63" s="367"/>
      <c r="V63" s="8458"/>
      <c r="X63" s="3" t="s">
        <v>863</v>
      </c>
      <c r="Y63" s="368">
        <v>1</v>
      </c>
      <c r="Z63" s="364" t="s">
        <v>829</v>
      </c>
      <c r="AA63" s="361"/>
      <c r="AB63" s="3" t="s">
        <v>864</v>
      </c>
      <c r="AC63" s="368">
        <v>1</v>
      </c>
      <c r="AD63" s="364" t="s">
        <v>865</v>
      </c>
      <c r="AE63" s="361"/>
      <c r="AF63" s="394"/>
      <c r="AG63" s="393"/>
      <c r="AH63" s="394"/>
      <c r="AI63" s="394"/>
      <c r="AJ63" s="394"/>
      <c r="AK63" s="394"/>
      <c r="AL63" s="394"/>
      <c r="AM63" s="394"/>
      <c r="AN63" s="395"/>
      <c r="AO63" s="395"/>
      <c r="AP63" s="395"/>
      <c r="AQ63" s="395"/>
      <c r="AR63" s="395"/>
      <c r="AS63" s="395"/>
      <c r="AT63" s="34"/>
    </row>
    <row r="64" spans="1:46" ht="18.75">
      <c r="A64" s="8458"/>
      <c r="B64" s="369">
        <v>53</v>
      </c>
      <c r="C64" s="3" t="s">
        <v>675</v>
      </c>
      <c r="D64" s="364">
        <v>100</v>
      </c>
      <c r="E64" s="368">
        <v>10</v>
      </c>
      <c r="F64" s="366">
        <f t="shared" si="8"/>
        <v>1000</v>
      </c>
      <c r="G64" s="365">
        <f t="shared" si="10"/>
        <v>1</v>
      </c>
      <c r="H64" s="8458"/>
      <c r="I64" s="369">
        <v>108</v>
      </c>
      <c r="J64" s="3" t="s">
        <v>676</v>
      </c>
      <c r="K64" s="364">
        <v>3.75</v>
      </c>
      <c r="L64" s="368">
        <v>10</v>
      </c>
      <c r="M64" s="366">
        <f t="shared" si="5"/>
        <v>37.5</v>
      </c>
      <c r="N64" s="365">
        <f t="shared" si="2"/>
        <v>3.7499999999999999E-2</v>
      </c>
      <c r="O64" s="8458"/>
      <c r="P64" s="369"/>
      <c r="Q64" s="3"/>
      <c r="R64" s="364"/>
      <c r="S64" s="368"/>
      <c r="T64" s="366"/>
      <c r="U64" s="367"/>
      <c r="V64" s="8458"/>
      <c r="X64" s="3" t="s">
        <v>866</v>
      </c>
      <c r="Y64" s="368" t="s">
        <v>698</v>
      </c>
      <c r="Z64" s="364" t="s">
        <v>725</v>
      </c>
      <c r="AA64" s="361"/>
      <c r="AB64" s="3" t="s">
        <v>867</v>
      </c>
      <c r="AC64" s="368" t="s">
        <v>776</v>
      </c>
      <c r="AD64" s="364" t="s">
        <v>868</v>
      </c>
      <c r="AE64" s="361"/>
      <c r="AF64" s="394"/>
      <c r="AG64" s="393" t="s">
        <v>1012</v>
      </c>
      <c r="AH64" s="394"/>
      <c r="AI64" s="394"/>
      <c r="AJ64" s="394"/>
      <c r="AK64" s="394"/>
      <c r="AL64" s="394"/>
      <c r="AM64" s="394"/>
      <c r="AN64" s="395"/>
      <c r="AO64" s="395"/>
      <c r="AP64" s="395"/>
      <c r="AQ64" s="395"/>
      <c r="AR64" s="395"/>
      <c r="AS64" s="395"/>
      <c r="AT64" s="34"/>
    </row>
    <row r="65" spans="1:46" ht="18.75">
      <c r="A65" s="8458"/>
      <c r="B65" s="369">
        <v>54</v>
      </c>
      <c r="C65" s="3" t="s">
        <v>677</v>
      </c>
      <c r="D65" s="364">
        <v>135</v>
      </c>
      <c r="E65" s="368">
        <v>10</v>
      </c>
      <c r="F65" s="366">
        <f t="shared" si="8"/>
        <v>1350</v>
      </c>
      <c r="G65" s="365">
        <f t="shared" si="10"/>
        <v>1.35</v>
      </c>
      <c r="H65" s="8458"/>
      <c r="I65" s="369">
        <v>109</v>
      </c>
      <c r="J65" s="3" t="s">
        <v>678</v>
      </c>
      <c r="K65" s="364">
        <v>170</v>
      </c>
      <c r="L65" s="368">
        <v>10</v>
      </c>
      <c r="M65" s="366">
        <f t="shared" si="5"/>
        <v>1700</v>
      </c>
      <c r="N65" s="365">
        <f t="shared" si="2"/>
        <v>1.7</v>
      </c>
      <c r="O65" s="8458"/>
      <c r="P65" s="369"/>
      <c r="Q65" s="3"/>
      <c r="R65" s="364"/>
      <c r="S65" s="368"/>
      <c r="T65" s="366"/>
      <c r="U65" s="367"/>
      <c r="V65" s="8458"/>
      <c r="X65" s="361"/>
      <c r="Y65" s="368"/>
      <c r="Z65" s="361"/>
      <c r="AA65" s="361"/>
      <c r="AB65" s="3" t="s">
        <v>869</v>
      </c>
      <c r="AC65" s="368" t="s">
        <v>870</v>
      </c>
      <c r="AD65" s="364" t="s">
        <v>871</v>
      </c>
      <c r="AE65" s="361"/>
      <c r="AF65" s="394"/>
      <c r="AG65" s="393"/>
      <c r="AH65" s="394"/>
      <c r="AI65" s="394"/>
      <c r="AJ65" s="394"/>
      <c r="AK65" s="394"/>
      <c r="AL65" s="394"/>
      <c r="AM65" s="394"/>
      <c r="AN65" s="395"/>
      <c r="AO65" s="395"/>
      <c r="AP65" s="395"/>
      <c r="AQ65" s="395"/>
      <c r="AR65" s="395"/>
      <c r="AS65" s="395"/>
      <c r="AT65" s="34"/>
    </row>
    <row r="66" spans="1:46" ht="18.75">
      <c r="A66" s="8458"/>
      <c r="B66" s="369">
        <v>55</v>
      </c>
      <c r="C66" s="3" t="s">
        <v>679</v>
      </c>
      <c r="D66" s="364">
        <v>12</v>
      </c>
      <c r="E66" s="368">
        <v>10</v>
      </c>
      <c r="F66" s="366">
        <f t="shared" si="8"/>
        <v>120</v>
      </c>
      <c r="G66" s="365">
        <f t="shared" si="10"/>
        <v>0.12</v>
      </c>
      <c r="H66" s="8458"/>
      <c r="I66" s="369">
        <v>110</v>
      </c>
      <c r="J66" s="3" t="s">
        <v>680</v>
      </c>
      <c r="K66" s="364">
        <v>1000</v>
      </c>
      <c r="L66" s="368">
        <v>10</v>
      </c>
      <c r="M66" s="366">
        <f t="shared" si="5"/>
        <v>10000</v>
      </c>
      <c r="N66" s="367">
        <f t="shared" si="2"/>
        <v>10</v>
      </c>
      <c r="O66" s="8458"/>
      <c r="P66" s="369"/>
      <c r="Q66" s="3"/>
      <c r="R66" s="364"/>
      <c r="S66" s="368"/>
      <c r="T66" s="366"/>
      <c r="U66" s="367"/>
      <c r="V66" s="8458"/>
      <c r="X66" s="362"/>
      <c r="Y66" s="368"/>
      <c r="Z66" s="361"/>
      <c r="AA66" s="361"/>
      <c r="AB66" s="361"/>
      <c r="AC66" s="361"/>
      <c r="AD66" s="361"/>
      <c r="AE66" s="361"/>
      <c r="AF66" s="394"/>
      <c r="AG66" s="393" t="s">
        <v>1013</v>
      </c>
      <c r="AH66" s="394"/>
      <c r="AI66" s="394"/>
      <c r="AJ66" s="394"/>
      <c r="AK66" s="394"/>
      <c r="AL66" s="394"/>
      <c r="AM66" s="394"/>
      <c r="AN66" s="395"/>
      <c r="AO66" s="395"/>
      <c r="AP66" s="395"/>
      <c r="AQ66" s="395"/>
      <c r="AR66" s="395"/>
      <c r="AS66" s="395"/>
      <c r="AT66" s="34"/>
    </row>
    <row r="67" spans="1:46" ht="18.75">
      <c r="A67" s="8458"/>
      <c r="B67" s="369"/>
      <c r="C67" s="3"/>
      <c r="D67" s="364"/>
      <c r="E67" s="368"/>
      <c r="F67" s="366"/>
      <c r="G67" s="365"/>
      <c r="H67" s="8458"/>
      <c r="I67" s="369">
        <v>111</v>
      </c>
      <c r="J67" s="3" t="s">
        <v>681</v>
      </c>
      <c r="K67" s="364">
        <v>1500</v>
      </c>
      <c r="L67" s="368">
        <v>10</v>
      </c>
      <c r="M67" s="366">
        <f t="shared" si="5"/>
        <v>15000</v>
      </c>
      <c r="N67" s="367">
        <f t="shared" si="2"/>
        <v>15</v>
      </c>
      <c r="O67" s="8458"/>
      <c r="P67" s="369"/>
      <c r="Q67" s="3"/>
      <c r="R67" s="364"/>
      <c r="S67" s="368"/>
      <c r="T67" s="366"/>
      <c r="U67" s="367"/>
      <c r="V67" s="8458"/>
      <c r="X67" s="377" t="s">
        <v>1085</v>
      </c>
      <c r="Y67" s="377" t="s">
        <v>1086</v>
      </c>
      <c r="Z67" s="377" t="s">
        <v>61</v>
      </c>
      <c r="AA67" s="361"/>
      <c r="AB67" s="377" t="s">
        <v>1085</v>
      </c>
      <c r="AC67" s="377" t="s">
        <v>1086</v>
      </c>
      <c r="AD67" s="377" t="s">
        <v>61</v>
      </c>
      <c r="AE67" s="361"/>
      <c r="AF67" s="394"/>
      <c r="AG67" s="393" t="s">
        <v>1014</v>
      </c>
      <c r="AH67" s="394"/>
      <c r="AI67" s="394"/>
      <c r="AJ67" s="394"/>
      <c r="AK67" s="394"/>
      <c r="AL67" s="394"/>
      <c r="AM67" s="394"/>
      <c r="AN67" s="395"/>
      <c r="AO67" s="395"/>
      <c r="AP67" s="395"/>
      <c r="AQ67" s="395"/>
      <c r="AR67" s="395"/>
      <c r="AS67" s="395"/>
      <c r="AT67" s="34"/>
    </row>
    <row r="68" spans="1:46" ht="18.75">
      <c r="A68" s="8458"/>
      <c r="B68" s="369"/>
      <c r="C68" s="3"/>
      <c r="D68" s="364"/>
      <c r="E68" s="368"/>
      <c r="F68" s="366"/>
      <c r="G68" s="365"/>
      <c r="H68" s="8458"/>
      <c r="I68" s="369">
        <v>112</v>
      </c>
      <c r="J68" s="3" t="s">
        <v>682</v>
      </c>
      <c r="K68" s="364">
        <v>15</v>
      </c>
      <c r="L68" s="368">
        <v>10</v>
      </c>
      <c r="M68" s="366">
        <f t="shared" si="5"/>
        <v>150</v>
      </c>
      <c r="N68" s="365">
        <f t="shared" si="2"/>
        <v>0.15</v>
      </c>
      <c r="O68" s="8458"/>
      <c r="P68" s="369"/>
      <c r="Q68" s="3"/>
      <c r="R68" s="364"/>
      <c r="S68" s="368"/>
      <c r="T68" s="366"/>
      <c r="U68" s="367"/>
      <c r="V68" s="8458"/>
      <c r="AE68" s="361"/>
      <c r="AF68" s="394"/>
      <c r="AG68" s="393"/>
      <c r="AH68" s="394"/>
      <c r="AI68" s="394"/>
      <c r="AJ68" s="394"/>
      <c r="AK68" s="394"/>
      <c r="AL68" s="394"/>
      <c r="AM68" s="394"/>
      <c r="AN68" s="395"/>
      <c r="AO68" s="395"/>
      <c r="AP68" s="395"/>
      <c r="AQ68" s="395"/>
      <c r="AR68" s="395"/>
      <c r="AS68" s="395"/>
      <c r="AT68" s="34"/>
    </row>
    <row r="69" spans="1:46" ht="18.75">
      <c r="X69" s="3" t="s">
        <v>872</v>
      </c>
      <c r="Y69" s="368">
        <v>1</v>
      </c>
      <c r="Z69" s="364" t="s">
        <v>873</v>
      </c>
      <c r="AA69" s="361"/>
      <c r="AB69" s="3" t="s">
        <v>874</v>
      </c>
      <c r="AC69" s="368" t="s">
        <v>735</v>
      </c>
      <c r="AD69" s="364" t="s">
        <v>865</v>
      </c>
      <c r="AE69" s="361"/>
      <c r="AF69" s="394"/>
      <c r="AG69" s="393" t="s">
        <v>1015</v>
      </c>
      <c r="AH69" s="394"/>
      <c r="AI69" s="394"/>
      <c r="AJ69" s="394"/>
      <c r="AK69" s="394"/>
      <c r="AL69" s="394"/>
      <c r="AM69" s="394"/>
      <c r="AN69" s="395"/>
      <c r="AO69" s="395"/>
      <c r="AP69" s="395"/>
      <c r="AQ69" s="395"/>
      <c r="AR69" s="395"/>
      <c r="AS69" s="395"/>
      <c r="AT69" s="34"/>
    </row>
    <row r="70" spans="1:46" ht="18.75">
      <c r="X70" s="3"/>
      <c r="Y70" s="368"/>
      <c r="Z70" s="364"/>
      <c r="AA70" s="361"/>
      <c r="AB70" s="3" t="s">
        <v>875</v>
      </c>
      <c r="AC70" s="368">
        <v>1</v>
      </c>
      <c r="AD70" s="364" t="s">
        <v>876</v>
      </c>
      <c r="AE70" s="361"/>
      <c r="AF70" s="394"/>
      <c r="AG70" s="393" t="s">
        <v>1016</v>
      </c>
      <c r="AH70" s="394"/>
      <c r="AI70" s="394"/>
      <c r="AJ70" s="394"/>
      <c r="AK70" s="394"/>
      <c r="AL70" s="394"/>
      <c r="AM70" s="394"/>
      <c r="AN70" s="395"/>
      <c r="AO70" s="395"/>
      <c r="AP70" s="395"/>
      <c r="AQ70" s="395"/>
      <c r="AR70" s="395"/>
      <c r="AS70" s="395"/>
      <c r="AT70" s="34"/>
    </row>
    <row r="71" spans="1:46" ht="15.75">
      <c r="X71" s="3" t="s">
        <v>877</v>
      </c>
      <c r="Y71" s="368" t="s">
        <v>735</v>
      </c>
      <c r="Z71" s="364" t="s">
        <v>756</v>
      </c>
      <c r="AA71" s="361"/>
      <c r="AB71" s="3" t="s">
        <v>878</v>
      </c>
      <c r="AC71" s="368" t="s">
        <v>711</v>
      </c>
      <c r="AD71" s="364" t="s">
        <v>750</v>
      </c>
      <c r="AE71" s="361"/>
      <c r="AF71" s="394"/>
      <c r="AG71" s="394"/>
      <c r="AH71" s="394"/>
      <c r="AI71" s="394"/>
      <c r="AJ71" s="394"/>
      <c r="AK71" s="394"/>
      <c r="AL71" s="394"/>
      <c r="AM71" s="394"/>
      <c r="AN71" s="395"/>
      <c r="AO71" s="395"/>
      <c r="AP71" s="395"/>
      <c r="AQ71" s="395"/>
      <c r="AR71" s="395"/>
      <c r="AS71" s="395"/>
      <c r="AT71" s="34"/>
    </row>
    <row r="72" spans="1:46" ht="15.75">
      <c r="X72" s="3" t="s">
        <v>879</v>
      </c>
      <c r="Y72" s="368" t="s">
        <v>714</v>
      </c>
      <c r="Z72" s="364" t="s">
        <v>717</v>
      </c>
      <c r="AA72" s="361"/>
      <c r="AB72" s="3" t="s">
        <v>880</v>
      </c>
      <c r="AC72" s="368" t="s">
        <v>776</v>
      </c>
      <c r="AD72" s="364" t="s">
        <v>881</v>
      </c>
      <c r="AE72" s="361"/>
      <c r="AF72" s="394"/>
      <c r="AG72" s="394"/>
      <c r="AH72" s="394"/>
      <c r="AI72" s="394"/>
      <c r="AJ72" s="394"/>
      <c r="AK72" s="394"/>
      <c r="AL72" s="394"/>
      <c r="AM72" s="394"/>
      <c r="AN72" s="395"/>
      <c r="AO72" s="395"/>
      <c r="AP72" s="395"/>
      <c r="AQ72" s="395"/>
      <c r="AR72" s="395"/>
      <c r="AS72" s="395"/>
      <c r="AT72" s="34"/>
    </row>
    <row r="73" spans="1:46" ht="16.5" thickBot="1">
      <c r="X73" s="3"/>
      <c r="Y73" s="368"/>
      <c r="Z73" s="364"/>
      <c r="AA73" s="361"/>
      <c r="AB73" s="3" t="s">
        <v>882</v>
      </c>
      <c r="AC73" s="368" t="s">
        <v>776</v>
      </c>
      <c r="AD73" s="364" t="s">
        <v>883</v>
      </c>
      <c r="AE73" s="361"/>
      <c r="AF73" s="399" t="s">
        <v>1127</v>
      </c>
      <c r="AG73" s="394"/>
      <c r="AH73" s="394"/>
      <c r="AI73" s="394"/>
      <c r="AJ73" s="394"/>
      <c r="AK73" s="394"/>
      <c r="AL73" s="394"/>
      <c r="AM73" s="394"/>
      <c r="AN73" s="395"/>
      <c r="AO73" s="395"/>
      <c r="AP73" s="395"/>
      <c r="AQ73" s="395"/>
      <c r="AR73" s="395"/>
      <c r="AS73" s="395"/>
      <c r="AT73" s="34"/>
    </row>
    <row r="74" spans="1:46" ht="16.5" customHeight="1" thickTop="1">
      <c r="X74" s="3" t="s">
        <v>884</v>
      </c>
      <c r="Y74" s="368" t="s">
        <v>711</v>
      </c>
      <c r="Z74" s="364" t="s">
        <v>750</v>
      </c>
      <c r="AA74" s="361"/>
      <c r="AB74" s="3" t="s">
        <v>885</v>
      </c>
      <c r="AC74" s="368" t="s">
        <v>776</v>
      </c>
      <c r="AD74" s="364" t="s">
        <v>706</v>
      </c>
      <c r="AE74" s="361"/>
      <c r="AF74" s="8451" t="s">
        <v>1017</v>
      </c>
      <c r="AG74" s="8453" t="s">
        <v>1018</v>
      </c>
      <c r="AH74" s="8453"/>
      <c r="AI74" s="8453"/>
      <c r="AJ74" s="8454" t="s">
        <v>1019</v>
      </c>
      <c r="AK74" s="8454"/>
      <c r="AL74" s="8454"/>
      <c r="AM74" s="8455"/>
      <c r="AN74" s="395"/>
      <c r="AO74" s="395"/>
      <c r="AP74" s="395"/>
      <c r="AQ74" s="395"/>
      <c r="AR74" s="395"/>
      <c r="AS74" s="395"/>
      <c r="AT74" s="34"/>
    </row>
    <row r="75" spans="1:46" ht="18">
      <c r="X75" s="3" t="s">
        <v>886</v>
      </c>
      <c r="Y75" s="368" t="s">
        <v>711</v>
      </c>
      <c r="Z75" s="364" t="s">
        <v>750</v>
      </c>
      <c r="AA75" s="361"/>
      <c r="AB75" s="3" t="s">
        <v>887</v>
      </c>
      <c r="AC75" s="368" t="s">
        <v>888</v>
      </c>
      <c r="AD75" s="364" t="s">
        <v>889</v>
      </c>
      <c r="AE75" s="361"/>
      <c r="AF75" s="8452"/>
      <c r="AG75" s="379" t="s">
        <v>1020</v>
      </c>
      <c r="AH75" s="379" t="s">
        <v>1021</v>
      </c>
      <c r="AI75" s="379" t="s">
        <v>1022</v>
      </c>
      <c r="AJ75" s="388" t="s">
        <v>1090</v>
      </c>
      <c r="AK75" s="379" t="s">
        <v>1023</v>
      </c>
      <c r="AL75" s="379" t="s">
        <v>1024</v>
      </c>
      <c r="AM75" s="381" t="s">
        <v>1025</v>
      </c>
      <c r="AN75" s="395"/>
      <c r="AO75" s="395"/>
      <c r="AP75" s="395"/>
      <c r="AQ75" s="395"/>
      <c r="AR75" s="395"/>
      <c r="AS75" s="395"/>
      <c r="AT75" s="34"/>
    </row>
    <row r="76" spans="1:46" ht="18.75">
      <c r="X76" s="3" t="s">
        <v>890</v>
      </c>
      <c r="Y76" s="368">
        <v>1</v>
      </c>
      <c r="Z76" s="364" t="s">
        <v>704</v>
      </c>
      <c r="AA76" s="361"/>
      <c r="AB76" s="3"/>
      <c r="AC76" s="368"/>
      <c r="AD76" s="364"/>
      <c r="AE76" s="361"/>
      <c r="AF76" s="385" t="s">
        <v>1026</v>
      </c>
      <c r="AG76" s="380"/>
      <c r="AH76" s="380"/>
      <c r="AI76" s="380"/>
      <c r="AJ76" s="389"/>
      <c r="AK76" s="380"/>
      <c r="AL76" s="380"/>
      <c r="AM76" s="382"/>
      <c r="AN76" s="395"/>
      <c r="AO76" s="395"/>
      <c r="AP76" s="395"/>
      <c r="AQ76" s="395"/>
      <c r="AR76" s="395"/>
      <c r="AS76" s="395"/>
      <c r="AT76" s="34"/>
    </row>
    <row r="77" spans="1:46" ht="15.75">
      <c r="X77" s="3" t="s">
        <v>891</v>
      </c>
      <c r="Y77" s="368" t="s">
        <v>740</v>
      </c>
      <c r="Z77" s="364" t="s">
        <v>768</v>
      </c>
      <c r="AA77" s="361"/>
      <c r="AB77" s="3" t="s">
        <v>892</v>
      </c>
      <c r="AC77" s="368" t="s">
        <v>714</v>
      </c>
      <c r="AD77" s="364" t="s">
        <v>873</v>
      </c>
      <c r="AE77" s="361"/>
      <c r="AF77" s="386" t="s">
        <v>1027</v>
      </c>
      <c r="AG77" s="380" t="s">
        <v>1028</v>
      </c>
      <c r="AH77" s="380">
        <v>32</v>
      </c>
      <c r="AI77" s="380" t="s">
        <v>1029</v>
      </c>
      <c r="AJ77" s="389" t="s">
        <v>1030</v>
      </c>
      <c r="AK77" s="380" t="s">
        <v>1031</v>
      </c>
      <c r="AL77" s="380" t="s">
        <v>1126</v>
      </c>
      <c r="AM77" s="382" t="s">
        <v>1032</v>
      </c>
      <c r="AN77" s="395"/>
      <c r="AO77" s="395"/>
      <c r="AP77" s="395"/>
      <c r="AQ77" s="395"/>
      <c r="AR77" s="395"/>
      <c r="AS77" s="395"/>
      <c r="AT77" s="34"/>
    </row>
    <row r="78" spans="1:46" ht="15.75">
      <c r="X78" s="3" t="s">
        <v>893</v>
      </c>
      <c r="Y78" s="368" t="s">
        <v>735</v>
      </c>
      <c r="Z78" s="364" t="s">
        <v>744</v>
      </c>
      <c r="AA78" s="361"/>
      <c r="AB78" s="3" t="s">
        <v>894</v>
      </c>
      <c r="AC78" s="368">
        <v>1</v>
      </c>
      <c r="AD78" s="364" t="s">
        <v>790</v>
      </c>
      <c r="AE78" s="361"/>
      <c r="AF78" s="386" t="s">
        <v>1033</v>
      </c>
      <c r="AG78" s="380" t="s">
        <v>1034</v>
      </c>
      <c r="AH78" s="380">
        <v>33</v>
      </c>
      <c r="AI78" s="380" t="s">
        <v>1029</v>
      </c>
      <c r="AJ78" s="389" t="s">
        <v>1035</v>
      </c>
      <c r="AK78" s="380" t="s">
        <v>1035</v>
      </c>
      <c r="AL78" s="380" t="s">
        <v>1126</v>
      </c>
      <c r="AM78" s="382" t="s">
        <v>1032</v>
      </c>
      <c r="AN78" s="395"/>
      <c r="AO78" s="395"/>
      <c r="AP78" s="395"/>
      <c r="AQ78" s="395"/>
      <c r="AR78" s="395"/>
      <c r="AS78" s="395"/>
      <c r="AT78" s="34"/>
    </row>
    <row r="79" spans="1:46" ht="15.75">
      <c r="X79" s="3" t="s">
        <v>895</v>
      </c>
      <c r="Y79" s="368" t="s">
        <v>792</v>
      </c>
      <c r="Z79" s="364" t="s">
        <v>723</v>
      </c>
      <c r="AA79" s="361"/>
      <c r="AB79" s="3" t="s">
        <v>527</v>
      </c>
      <c r="AC79" s="368" t="s">
        <v>735</v>
      </c>
      <c r="AD79" s="364" t="s">
        <v>813</v>
      </c>
      <c r="AE79" s="361"/>
      <c r="AF79" s="386" t="s">
        <v>1036</v>
      </c>
      <c r="AG79" s="380" t="s">
        <v>1037</v>
      </c>
      <c r="AH79" s="380">
        <v>37</v>
      </c>
      <c r="AI79" s="380" t="s">
        <v>1038</v>
      </c>
      <c r="AJ79" s="389" t="s">
        <v>1039</v>
      </c>
      <c r="AK79" s="380" t="s">
        <v>1039</v>
      </c>
      <c r="AL79" s="380" t="s">
        <v>1126</v>
      </c>
      <c r="AM79" s="382" t="s">
        <v>1032</v>
      </c>
      <c r="AN79" s="395"/>
      <c r="AO79" s="395"/>
      <c r="AP79" s="395"/>
      <c r="AQ79" s="395"/>
      <c r="AR79" s="395"/>
      <c r="AS79" s="395"/>
      <c r="AT79" s="34"/>
    </row>
    <row r="80" spans="1:46" ht="18">
      <c r="X80" s="3" t="s">
        <v>896</v>
      </c>
      <c r="Y80" s="368" t="s">
        <v>714</v>
      </c>
      <c r="Z80" s="364" t="s">
        <v>770</v>
      </c>
      <c r="AA80" s="361"/>
      <c r="AB80" s="3" t="s">
        <v>897</v>
      </c>
      <c r="AC80" s="368" t="s">
        <v>792</v>
      </c>
      <c r="AD80" s="364" t="s">
        <v>898</v>
      </c>
      <c r="AE80" s="361"/>
      <c r="AF80" s="386" t="s">
        <v>1040</v>
      </c>
      <c r="AG80" s="380" t="s">
        <v>1041</v>
      </c>
      <c r="AH80" s="380">
        <v>50</v>
      </c>
      <c r="AI80" s="380" t="s">
        <v>1091</v>
      </c>
      <c r="AJ80" s="389" t="s">
        <v>1042</v>
      </c>
      <c r="AK80" s="380" t="s">
        <v>1043</v>
      </c>
      <c r="AL80" s="380" t="s">
        <v>1044</v>
      </c>
      <c r="AM80" s="382" t="s">
        <v>1045</v>
      </c>
      <c r="AN80" s="395"/>
      <c r="AO80" s="395"/>
      <c r="AP80" s="395"/>
      <c r="AQ80" s="395"/>
      <c r="AR80" s="395"/>
      <c r="AS80" s="395"/>
      <c r="AT80" s="34"/>
    </row>
    <row r="81" spans="24:46" ht="18">
      <c r="X81" s="3" t="s">
        <v>899</v>
      </c>
      <c r="Y81" s="368" t="s">
        <v>740</v>
      </c>
      <c r="Z81" s="364" t="s">
        <v>784</v>
      </c>
      <c r="AA81" s="361"/>
      <c r="AB81" s="3" t="s">
        <v>900</v>
      </c>
      <c r="AC81" s="368" t="s">
        <v>714</v>
      </c>
      <c r="AD81" s="364" t="s">
        <v>770</v>
      </c>
      <c r="AE81" s="361"/>
      <c r="AF81" s="386" t="s">
        <v>1046</v>
      </c>
      <c r="AG81" s="380" t="s">
        <v>1092</v>
      </c>
      <c r="AH81" s="380">
        <v>65</v>
      </c>
      <c r="AI81" s="380" t="s">
        <v>1093</v>
      </c>
      <c r="AJ81" s="389" t="s">
        <v>1047</v>
      </c>
      <c r="AK81" s="380" t="s">
        <v>1048</v>
      </c>
      <c r="AL81" s="380" t="s">
        <v>1044</v>
      </c>
      <c r="AM81" s="382" t="s">
        <v>1045</v>
      </c>
      <c r="AN81" s="395"/>
      <c r="AO81" s="395"/>
      <c r="AP81" s="395"/>
      <c r="AQ81" s="395"/>
      <c r="AR81" s="395"/>
      <c r="AS81" s="395"/>
      <c r="AT81" s="34"/>
    </row>
    <row r="82" spans="24:46" ht="18">
      <c r="X82" s="3" t="s">
        <v>679</v>
      </c>
      <c r="Y82" s="368" t="s">
        <v>698</v>
      </c>
      <c r="Z82" s="364" t="s">
        <v>723</v>
      </c>
      <c r="AA82" s="361"/>
      <c r="AB82" s="3" t="s">
        <v>901</v>
      </c>
      <c r="AC82" s="368" t="s">
        <v>711</v>
      </c>
      <c r="AD82" s="364" t="s">
        <v>723</v>
      </c>
      <c r="AE82" s="361"/>
      <c r="AF82" s="386" t="s">
        <v>1049</v>
      </c>
      <c r="AG82" s="380" t="s">
        <v>1094</v>
      </c>
      <c r="AH82" s="380">
        <v>75</v>
      </c>
      <c r="AI82" s="380" t="s">
        <v>1095</v>
      </c>
      <c r="AJ82" s="389" t="s">
        <v>1050</v>
      </c>
      <c r="AK82" s="380" t="s">
        <v>1051</v>
      </c>
      <c r="AL82" s="380" t="s">
        <v>1044</v>
      </c>
      <c r="AM82" s="382" t="s">
        <v>1045</v>
      </c>
      <c r="AN82" s="395"/>
      <c r="AO82" s="395"/>
      <c r="AP82" s="395"/>
      <c r="AQ82" s="395"/>
      <c r="AR82" s="395"/>
      <c r="AS82" s="395"/>
      <c r="AT82" s="34"/>
    </row>
    <row r="83" spans="24:46" ht="18.75">
      <c r="X83" s="3" t="s">
        <v>902</v>
      </c>
      <c r="Y83" s="368" t="s">
        <v>903</v>
      </c>
      <c r="Z83" s="364" t="s">
        <v>721</v>
      </c>
      <c r="AA83" s="361"/>
      <c r="AB83" s="3" t="s">
        <v>904</v>
      </c>
      <c r="AC83" s="368" t="s">
        <v>905</v>
      </c>
      <c r="AD83" s="376" t="s">
        <v>906</v>
      </c>
      <c r="AE83" s="361"/>
      <c r="AF83" s="385" t="s">
        <v>1052</v>
      </c>
      <c r="AG83" s="380"/>
      <c r="AH83" s="380"/>
      <c r="AI83" s="380"/>
      <c r="AJ83" s="389"/>
      <c r="AK83" s="380"/>
      <c r="AL83" s="380"/>
      <c r="AM83" s="382"/>
      <c r="AN83" s="395"/>
      <c r="AO83" s="395"/>
      <c r="AP83" s="395"/>
      <c r="AQ83" s="395"/>
      <c r="AR83" s="395"/>
      <c r="AS83" s="395"/>
      <c r="AT83" s="34"/>
    </row>
    <row r="84" spans="24:46" ht="18">
      <c r="X84" s="3" t="s">
        <v>907</v>
      </c>
      <c r="Y84" s="368" t="s">
        <v>776</v>
      </c>
      <c r="Z84" s="364" t="s">
        <v>908</v>
      </c>
      <c r="AA84" s="361"/>
      <c r="AB84" s="3" t="s">
        <v>909</v>
      </c>
      <c r="AC84" s="368" t="s">
        <v>910</v>
      </c>
      <c r="AD84" s="364" t="s">
        <v>911</v>
      </c>
      <c r="AE84" s="361"/>
      <c r="AF84" s="386" t="s">
        <v>1053</v>
      </c>
      <c r="AG84" s="380" t="s">
        <v>1096</v>
      </c>
      <c r="AH84" s="380">
        <v>60</v>
      </c>
      <c r="AI84" s="380" t="s">
        <v>1054</v>
      </c>
      <c r="AJ84" s="389" t="s">
        <v>1055</v>
      </c>
      <c r="AK84" s="380" t="s">
        <v>1047</v>
      </c>
      <c r="AL84" s="380" t="s">
        <v>1056</v>
      </c>
      <c r="AM84" s="382" t="s">
        <v>1057</v>
      </c>
      <c r="AN84" s="395"/>
      <c r="AO84" s="395"/>
      <c r="AP84" s="395"/>
      <c r="AQ84" s="395"/>
      <c r="AR84" s="395"/>
      <c r="AS84" s="395"/>
      <c r="AT84" s="34"/>
    </row>
    <row r="85" spans="24:46" ht="15.75">
      <c r="X85" s="3" t="s">
        <v>912</v>
      </c>
      <c r="Y85" s="368" t="s">
        <v>711</v>
      </c>
      <c r="Z85" s="364" t="s">
        <v>717</v>
      </c>
      <c r="AA85" s="361"/>
      <c r="AB85" s="3" t="s">
        <v>913</v>
      </c>
      <c r="AC85" s="368" t="s">
        <v>735</v>
      </c>
      <c r="AD85" s="364" t="s">
        <v>876</v>
      </c>
      <c r="AE85" s="361"/>
      <c r="AF85" s="386" t="s">
        <v>1058</v>
      </c>
      <c r="AG85" s="380"/>
      <c r="AH85" s="380"/>
      <c r="AI85" s="380"/>
      <c r="AJ85" s="389"/>
      <c r="AK85" s="380"/>
      <c r="AL85" s="380"/>
      <c r="AM85" s="382"/>
      <c r="AN85" s="395"/>
      <c r="AO85" s="395"/>
      <c r="AP85" s="395"/>
      <c r="AQ85" s="395"/>
      <c r="AR85" s="395"/>
      <c r="AS85" s="395"/>
      <c r="AT85" s="34"/>
    </row>
    <row r="86" spans="24:46" ht="18">
      <c r="X86" s="3" t="s">
        <v>914</v>
      </c>
      <c r="Y86" s="368" t="s">
        <v>915</v>
      </c>
      <c r="Z86" s="364" t="s">
        <v>916</v>
      </c>
      <c r="AA86" s="361"/>
      <c r="AB86" s="3" t="s">
        <v>917</v>
      </c>
      <c r="AC86" s="368" t="s">
        <v>918</v>
      </c>
      <c r="AD86" s="364" t="s">
        <v>919</v>
      </c>
      <c r="AE86" s="361"/>
      <c r="AF86" s="386" t="s">
        <v>1122</v>
      </c>
      <c r="AG86" s="380" t="s">
        <v>1059</v>
      </c>
      <c r="AH86" s="380">
        <v>75</v>
      </c>
      <c r="AI86" s="380" t="s">
        <v>1060</v>
      </c>
      <c r="AJ86" s="389" t="s">
        <v>1042</v>
      </c>
      <c r="AK86" s="380" t="s">
        <v>1061</v>
      </c>
      <c r="AL86" s="380" t="s">
        <v>1062</v>
      </c>
      <c r="AM86" s="382" t="s">
        <v>1063</v>
      </c>
      <c r="AN86" s="395"/>
      <c r="AO86" s="395"/>
      <c r="AP86" s="395"/>
      <c r="AQ86" s="395"/>
      <c r="AR86" s="395"/>
      <c r="AS86" s="395"/>
      <c r="AT86" s="34"/>
    </row>
    <row r="87" spans="24:46" ht="18">
      <c r="X87" s="3" t="s">
        <v>920</v>
      </c>
      <c r="Y87" s="368" t="s">
        <v>701</v>
      </c>
      <c r="Z87" s="364" t="s">
        <v>723</v>
      </c>
      <c r="AA87" s="361"/>
      <c r="AB87" s="3" t="s">
        <v>921</v>
      </c>
      <c r="AC87" s="368" t="s">
        <v>711</v>
      </c>
      <c r="AD87" s="364" t="s">
        <v>865</v>
      </c>
      <c r="AE87" s="361"/>
      <c r="AF87" s="386" t="s">
        <v>1123</v>
      </c>
      <c r="AG87" s="380" t="s">
        <v>1064</v>
      </c>
      <c r="AH87" s="380">
        <v>95</v>
      </c>
      <c r="AI87" s="380" t="s">
        <v>1065</v>
      </c>
      <c r="AJ87" s="389" t="s">
        <v>1050</v>
      </c>
      <c r="AK87" s="380" t="s">
        <v>1066</v>
      </c>
      <c r="AL87" s="380" t="s">
        <v>1067</v>
      </c>
      <c r="AM87" s="382" t="s">
        <v>1068</v>
      </c>
      <c r="AN87" s="395"/>
      <c r="AO87" s="395"/>
      <c r="AP87" s="395"/>
      <c r="AQ87" s="395"/>
      <c r="AR87" s="395"/>
      <c r="AS87" s="395"/>
      <c r="AT87" s="34"/>
    </row>
    <row r="88" spans="24:46" ht="18.75">
      <c r="X88" s="3"/>
      <c r="Y88" s="368"/>
      <c r="Z88" s="364"/>
      <c r="AA88" s="361"/>
      <c r="AB88" s="3"/>
      <c r="AC88" s="368"/>
      <c r="AD88" s="364"/>
      <c r="AE88" s="361"/>
      <c r="AF88" s="385" t="s">
        <v>1069</v>
      </c>
      <c r="AG88" s="380"/>
      <c r="AH88" s="380"/>
      <c r="AI88" s="380"/>
      <c r="AJ88" s="389"/>
      <c r="AK88" s="380"/>
      <c r="AL88" s="380"/>
      <c r="AM88" s="382"/>
      <c r="AN88" s="395"/>
      <c r="AO88" s="395"/>
      <c r="AP88" s="395"/>
      <c r="AQ88" s="395"/>
      <c r="AR88" s="395"/>
      <c r="AS88" s="395"/>
      <c r="AT88" s="34"/>
    </row>
    <row r="89" spans="24:46" ht="18">
      <c r="X89" s="3" t="s">
        <v>922</v>
      </c>
      <c r="Y89" s="368" t="s">
        <v>735</v>
      </c>
      <c r="Z89" s="364" t="s">
        <v>876</v>
      </c>
      <c r="AA89" s="361"/>
      <c r="AB89" s="3" t="s">
        <v>923</v>
      </c>
      <c r="AC89" s="368" t="s">
        <v>903</v>
      </c>
      <c r="AD89" s="364" t="s">
        <v>831</v>
      </c>
      <c r="AE89" s="361"/>
      <c r="AF89" s="386" t="s">
        <v>1053</v>
      </c>
      <c r="AG89" s="380" t="s">
        <v>1097</v>
      </c>
      <c r="AH89" s="380">
        <v>50</v>
      </c>
      <c r="AI89" s="380" t="s">
        <v>1070</v>
      </c>
      <c r="AJ89" s="389" t="s">
        <v>1055</v>
      </c>
      <c r="AK89" s="380" t="s">
        <v>1042</v>
      </c>
      <c r="AL89" s="380" t="s">
        <v>1071</v>
      </c>
      <c r="AM89" s="382" t="s">
        <v>1072</v>
      </c>
      <c r="AN89" s="395"/>
      <c r="AO89" s="395"/>
      <c r="AP89" s="395"/>
      <c r="AQ89" s="395"/>
      <c r="AR89" s="395"/>
      <c r="AS89" s="395"/>
      <c r="AT89" s="34"/>
    </row>
    <row r="90" spans="24:46" ht="18">
      <c r="X90" s="3" t="s">
        <v>924</v>
      </c>
      <c r="Y90" s="368" t="s">
        <v>698</v>
      </c>
      <c r="Z90" s="364" t="s">
        <v>699</v>
      </c>
      <c r="AA90" s="361"/>
      <c r="AB90" s="3" t="s">
        <v>925</v>
      </c>
      <c r="AC90" s="368" t="s">
        <v>903</v>
      </c>
      <c r="AD90" s="364" t="s">
        <v>768</v>
      </c>
      <c r="AE90" s="361"/>
      <c r="AF90" s="386" t="s">
        <v>1124</v>
      </c>
      <c r="AG90" s="380" t="s">
        <v>1063</v>
      </c>
      <c r="AH90" s="380">
        <v>80</v>
      </c>
      <c r="AI90" s="380" t="s">
        <v>1073</v>
      </c>
      <c r="AJ90" s="389" t="s">
        <v>1074</v>
      </c>
      <c r="AK90" s="380" t="s">
        <v>1074</v>
      </c>
      <c r="AL90" s="380" t="s">
        <v>1075</v>
      </c>
      <c r="AM90" s="382" t="s">
        <v>1076</v>
      </c>
      <c r="AN90" s="395"/>
      <c r="AO90" s="395"/>
      <c r="AP90" s="395"/>
      <c r="AQ90" s="395"/>
      <c r="AR90" s="395"/>
      <c r="AS90" s="395"/>
      <c r="AT90" s="34"/>
    </row>
    <row r="91" spans="24:46" ht="18">
      <c r="X91" s="3" t="s">
        <v>926</v>
      </c>
      <c r="Y91" s="368" t="s">
        <v>698</v>
      </c>
      <c r="Z91" s="364" t="s">
        <v>862</v>
      </c>
      <c r="AA91" s="361"/>
      <c r="AB91" s="3" t="s">
        <v>927</v>
      </c>
      <c r="AC91" s="368" t="s">
        <v>903</v>
      </c>
      <c r="AD91" s="364" t="s">
        <v>857</v>
      </c>
      <c r="AE91" s="361"/>
      <c r="AF91" s="386" t="s">
        <v>1098</v>
      </c>
      <c r="AG91" s="380" t="s">
        <v>1064</v>
      </c>
      <c r="AH91" s="380">
        <v>80</v>
      </c>
      <c r="AI91" s="380" t="s">
        <v>1073</v>
      </c>
      <c r="AJ91" s="389" t="s">
        <v>1074</v>
      </c>
      <c r="AK91" s="380" t="s">
        <v>1074</v>
      </c>
      <c r="AL91" s="380" t="s">
        <v>1075</v>
      </c>
      <c r="AM91" s="382" t="s">
        <v>1076</v>
      </c>
      <c r="AN91" s="395"/>
      <c r="AO91" s="395"/>
      <c r="AP91" s="395"/>
      <c r="AQ91" s="395"/>
      <c r="AR91" s="395"/>
      <c r="AS91" s="395"/>
      <c r="AT91" s="34"/>
    </row>
    <row r="92" spans="24:46" ht="21.75" thickBot="1">
      <c r="X92" s="3" t="s">
        <v>928</v>
      </c>
      <c r="Y92" s="368" t="s">
        <v>714</v>
      </c>
      <c r="Z92" s="364" t="s">
        <v>744</v>
      </c>
      <c r="AA92" s="361"/>
      <c r="AB92" s="3" t="s">
        <v>929</v>
      </c>
      <c r="AC92" s="368" t="s">
        <v>930</v>
      </c>
      <c r="AD92" s="364" t="s">
        <v>931</v>
      </c>
      <c r="AE92" s="361"/>
      <c r="AF92" s="387" t="s">
        <v>1125</v>
      </c>
      <c r="AG92" s="383">
        <v>65</v>
      </c>
      <c r="AH92" s="383">
        <v>45</v>
      </c>
      <c r="AI92" s="383" t="s">
        <v>1077</v>
      </c>
      <c r="AJ92" s="390" t="s">
        <v>1078</v>
      </c>
      <c r="AK92" s="383" t="s">
        <v>1078</v>
      </c>
      <c r="AL92" s="383" t="s">
        <v>1079</v>
      </c>
      <c r="AM92" s="384" t="s">
        <v>1080</v>
      </c>
      <c r="AN92" s="395"/>
      <c r="AO92" s="395"/>
      <c r="AP92" s="395"/>
      <c r="AQ92" s="395"/>
      <c r="AR92" s="395"/>
      <c r="AS92" s="395"/>
      <c r="AT92" s="34"/>
    </row>
    <row r="93" spans="24:46" ht="16.5" thickTop="1">
      <c r="X93" s="3" t="s">
        <v>932</v>
      </c>
      <c r="Y93" s="368" t="s">
        <v>711</v>
      </c>
      <c r="Z93" s="364" t="s">
        <v>712</v>
      </c>
      <c r="AA93" s="361"/>
      <c r="AB93" s="3" t="s">
        <v>933</v>
      </c>
      <c r="AC93" s="368" t="s">
        <v>735</v>
      </c>
      <c r="AD93" s="364" t="s">
        <v>934</v>
      </c>
      <c r="AE93" s="361"/>
      <c r="AF93" s="394"/>
      <c r="AG93" s="394"/>
      <c r="AH93" s="394"/>
      <c r="AI93" s="394"/>
      <c r="AJ93" s="394"/>
      <c r="AK93" s="394"/>
      <c r="AL93" s="394"/>
      <c r="AM93" s="394"/>
      <c r="AN93" s="395"/>
      <c r="AO93" s="395"/>
      <c r="AP93" s="395"/>
      <c r="AQ93" s="395"/>
      <c r="AR93" s="395"/>
      <c r="AS93" s="395"/>
      <c r="AT93" s="34"/>
    </row>
    <row r="94" spans="24:46" ht="15.75">
      <c r="X94" s="3" t="s">
        <v>935</v>
      </c>
      <c r="Y94" s="368" t="s">
        <v>714</v>
      </c>
      <c r="Z94" s="364" t="s">
        <v>717</v>
      </c>
      <c r="AA94" s="361"/>
      <c r="AB94" s="3" t="s">
        <v>936</v>
      </c>
      <c r="AC94" s="368" t="s">
        <v>698</v>
      </c>
      <c r="AD94" s="364" t="s">
        <v>706</v>
      </c>
      <c r="AE94" s="361"/>
      <c r="AF94" s="400" t="s">
        <v>1099</v>
      </c>
      <c r="AG94" s="394"/>
      <c r="AH94" s="394"/>
      <c r="AI94" s="394"/>
      <c r="AJ94" s="394"/>
      <c r="AK94" s="394"/>
      <c r="AL94" s="394"/>
      <c r="AM94" s="394"/>
      <c r="AN94" s="395"/>
      <c r="AO94" s="395"/>
      <c r="AP94" s="395"/>
      <c r="AQ94" s="395"/>
      <c r="AR94" s="395"/>
      <c r="AS94" s="395"/>
      <c r="AT94" s="34"/>
    </row>
    <row r="95" spans="24:46" ht="15.75">
      <c r="X95" s="3" t="s">
        <v>937</v>
      </c>
      <c r="Y95" s="368" t="s">
        <v>711</v>
      </c>
      <c r="Z95" s="364" t="s">
        <v>723</v>
      </c>
      <c r="AA95" s="361"/>
      <c r="AB95" s="3" t="s">
        <v>938</v>
      </c>
      <c r="AC95" s="368" t="s">
        <v>735</v>
      </c>
      <c r="AD95" s="364" t="s">
        <v>931</v>
      </c>
      <c r="AE95" s="361"/>
      <c r="AF95" s="394"/>
      <c r="AG95" s="394"/>
      <c r="AH95" s="394"/>
      <c r="AI95" s="394"/>
      <c r="AJ95" s="394"/>
      <c r="AK95" s="394"/>
      <c r="AL95" s="394"/>
      <c r="AM95" s="394"/>
      <c r="AN95" s="395"/>
      <c r="AO95" s="395"/>
      <c r="AP95" s="395"/>
      <c r="AQ95" s="395"/>
      <c r="AR95" s="395"/>
      <c r="AS95" s="395"/>
      <c r="AT95" s="34"/>
    </row>
    <row r="96" spans="24:46" ht="15.75">
      <c r="X96" s="3"/>
      <c r="Y96" s="368"/>
      <c r="Z96" s="364"/>
      <c r="AA96" s="361"/>
      <c r="AB96" s="3"/>
      <c r="AC96" s="368"/>
      <c r="AD96" s="364"/>
      <c r="AE96" s="361"/>
      <c r="AF96" s="395"/>
      <c r="AG96" s="395"/>
      <c r="AH96" s="395"/>
      <c r="AI96" s="395"/>
      <c r="AJ96" s="395"/>
      <c r="AK96" s="395"/>
      <c r="AL96" s="394"/>
      <c r="AM96" s="394"/>
      <c r="AN96" s="395"/>
      <c r="AO96" s="395"/>
      <c r="AP96" s="395"/>
      <c r="AQ96" s="395"/>
      <c r="AR96" s="395"/>
      <c r="AS96" s="395"/>
      <c r="AT96" s="34"/>
    </row>
    <row r="97" spans="24:31" ht="15.75">
      <c r="X97" s="3" t="s">
        <v>939</v>
      </c>
      <c r="Y97" s="368" t="s">
        <v>698</v>
      </c>
      <c r="Z97" s="364" t="s">
        <v>718</v>
      </c>
      <c r="AA97" s="361"/>
      <c r="AB97" s="3" t="s">
        <v>940</v>
      </c>
      <c r="AC97" s="368" t="s">
        <v>941</v>
      </c>
      <c r="AD97" s="364" t="s">
        <v>942</v>
      </c>
      <c r="AE97" s="361"/>
    </row>
    <row r="98" spans="24:31" ht="15.75">
      <c r="X98" s="3" t="s">
        <v>943</v>
      </c>
      <c r="Y98" s="368" t="s">
        <v>711</v>
      </c>
      <c r="Z98" s="364" t="s">
        <v>944</v>
      </c>
      <c r="AA98" s="361"/>
      <c r="AB98" s="3" t="s">
        <v>945</v>
      </c>
      <c r="AC98" s="368">
        <v>1</v>
      </c>
      <c r="AD98" s="364" t="s">
        <v>706</v>
      </c>
      <c r="AE98" s="361"/>
    </row>
    <row r="99" spans="24:31" ht="15.75">
      <c r="X99" s="3" t="s">
        <v>946</v>
      </c>
      <c r="Y99" s="368" t="s">
        <v>701</v>
      </c>
      <c r="Z99" s="364" t="s">
        <v>831</v>
      </c>
      <c r="AA99" s="361"/>
      <c r="AB99" s="3" t="s">
        <v>947</v>
      </c>
      <c r="AC99" s="368" t="s">
        <v>730</v>
      </c>
      <c r="AD99" s="376" t="s">
        <v>948</v>
      </c>
      <c r="AE99" s="361"/>
    </row>
    <row r="100" spans="24:31" ht="15.75">
      <c r="X100" s="3" t="s">
        <v>949</v>
      </c>
      <c r="Y100" s="368" t="s">
        <v>711</v>
      </c>
      <c r="Z100" s="364" t="s">
        <v>738</v>
      </c>
      <c r="AA100" s="361"/>
      <c r="AB100" s="3" t="s">
        <v>950</v>
      </c>
      <c r="AC100" s="368" t="s">
        <v>711</v>
      </c>
      <c r="AD100" s="364" t="s">
        <v>717</v>
      </c>
      <c r="AE100" s="361"/>
    </row>
    <row r="101" spans="24:31" ht="15.75">
      <c r="X101" s="3"/>
      <c r="Y101" s="368"/>
      <c r="Z101" s="364"/>
      <c r="AA101" s="361"/>
      <c r="AB101" s="361"/>
      <c r="AC101" s="361"/>
      <c r="AD101" s="361"/>
      <c r="AE101" s="361"/>
    </row>
    <row r="102" spans="24:31" ht="18">
      <c r="X102" s="3" t="s">
        <v>951</v>
      </c>
      <c r="Y102" s="368" t="s">
        <v>714</v>
      </c>
      <c r="Z102" s="364" t="s">
        <v>717</v>
      </c>
      <c r="AA102" s="361"/>
      <c r="AB102" s="8450" t="s">
        <v>952</v>
      </c>
      <c r="AC102" s="8450"/>
      <c r="AD102" s="8450"/>
      <c r="AE102" s="361"/>
    </row>
    <row r="103" spans="24:31" ht="15.75">
      <c r="X103" s="3" t="s">
        <v>953</v>
      </c>
      <c r="Y103" s="368" t="s">
        <v>714</v>
      </c>
      <c r="Z103" s="364" t="s">
        <v>784</v>
      </c>
      <c r="AA103" s="361"/>
      <c r="AB103" s="8449" t="s">
        <v>1087</v>
      </c>
      <c r="AC103" s="8449"/>
      <c r="AD103" s="377" t="s">
        <v>1088</v>
      </c>
      <c r="AE103" s="361"/>
    </row>
    <row r="104" spans="24:31" ht="15.75">
      <c r="X104" s="3" t="s">
        <v>954</v>
      </c>
      <c r="Y104" s="368" t="s">
        <v>714</v>
      </c>
      <c r="Z104" s="364" t="s">
        <v>744</v>
      </c>
      <c r="AA104" s="361"/>
      <c r="AB104" s="8449"/>
      <c r="AC104" s="8449"/>
      <c r="AD104" s="377"/>
      <c r="AE104" s="361"/>
    </row>
    <row r="105" spans="24:31" ht="15.75">
      <c r="X105" s="3" t="s">
        <v>955</v>
      </c>
      <c r="Y105" s="368" t="s">
        <v>714</v>
      </c>
      <c r="Z105" s="364" t="s">
        <v>744</v>
      </c>
      <c r="AA105" s="361"/>
      <c r="AB105" s="3" t="s">
        <v>956</v>
      </c>
      <c r="AC105" s="3"/>
      <c r="AD105" s="364" t="s">
        <v>957</v>
      </c>
      <c r="AE105" s="361"/>
    </row>
    <row r="106" spans="24:31" ht="15.75">
      <c r="X106" s="3" t="s">
        <v>958</v>
      </c>
      <c r="Y106" s="368" t="s">
        <v>730</v>
      </c>
      <c r="Z106" s="376" t="s">
        <v>731</v>
      </c>
      <c r="AA106" s="361"/>
      <c r="AB106" s="3" t="s">
        <v>959</v>
      </c>
      <c r="AC106" s="3"/>
      <c r="AD106" s="364" t="s">
        <v>750</v>
      </c>
      <c r="AE106" s="361"/>
    </row>
    <row r="107" spans="24:31" ht="15.75">
      <c r="X107" s="3" t="s">
        <v>960</v>
      </c>
      <c r="Y107" s="368" t="s">
        <v>711</v>
      </c>
      <c r="Z107" s="364" t="s">
        <v>793</v>
      </c>
      <c r="AA107" s="361"/>
      <c r="AB107" s="3" t="s">
        <v>961</v>
      </c>
      <c r="AC107" s="3"/>
      <c r="AD107" s="364" t="s">
        <v>962</v>
      </c>
      <c r="AE107" s="361"/>
    </row>
    <row r="108" spans="24:31" ht="15.75">
      <c r="X108" s="3" t="s">
        <v>963</v>
      </c>
      <c r="Y108" s="368" t="s">
        <v>701</v>
      </c>
      <c r="Z108" s="364" t="s">
        <v>834</v>
      </c>
      <c r="AA108" s="361"/>
      <c r="AB108" s="3" t="s">
        <v>964</v>
      </c>
      <c r="AC108" s="3"/>
      <c r="AD108" s="364" t="s">
        <v>717</v>
      </c>
      <c r="AE108" s="361"/>
    </row>
    <row r="109" spans="24:31" ht="15.75">
      <c r="X109" s="3"/>
      <c r="Y109" s="368"/>
      <c r="Z109" s="364"/>
      <c r="AA109" s="361"/>
      <c r="AB109" s="3" t="s">
        <v>965</v>
      </c>
      <c r="AC109" s="3"/>
      <c r="AD109" s="364" t="s">
        <v>706</v>
      </c>
      <c r="AE109" s="361"/>
    </row>
    <row r="110" spans="24:31" ht="15.75">
      <c r="X110" s="3" t="s">
        <v>966</v>
      </c>
      <c r="Y110" s="368" t="s">
        <v>730</v>
      </c>
      <c r="Z110" s="376" t="s">
        <v>731</v>
      </c>
      <c r="AA110" s="361"/>
      <c r="AB110" s="3" t="s">
        <v>967</v>
      </c>
      <c r="AC110" s="3"/>
      <c r="AD110" s="364" t="s">
        <v>706</v>
      </c>
      <c r="AE110" s="361"/>
    </row>
    <row r="111" spans="24:31" ht="15.75">
      <c r="X111" s="3" t="s">
        <v>968</v>
      </c>
      <c r="Y111" s="368" t="s">
        <v>730</v>
      </c>
      <c r="Z111" s="376" t="s">
        <v>731</v>
      </c>
      <c r="AA111" s="361"/>
      <c r="AB111" s="3" t="s">
        <v>969</v>
      </c>
      <c r="AC111" s="3"/>
      <c r="AD111" s="364" t="s">
        <v>777</v>
      </c>
      <c r="AE111" s="361"/>
    </row>
    <row r="112" spans="24:31" ht="15.75">
      <c r="X112" s="3" t="s">
        <v>970</v>
      </c>
      <c r="Y112" s="368" t="s">
        <v>971</v>
      </c>
      <c r="Z112" s="376" t="s">
        <v>972</v>
      </c>
      <c r="AA112" s="361"/>
      <c r="AB112" s="3" t="s">
        <v>973</v>
      </c>
      <c r="AC112" s="3"/>
      <c r="AD112" s="364" t="s">
        <v>908</v>
      </c>
      <c r="AE112" s="361"/>
    </row>
    <row r="113" spans="24:31" ht="15.75">
      <c r="X113" s="3" t="s">
        <v>974</v>
      </c>
      <c r="Y113" s="368" t="s">
        <v>975</v>
      </c>
      <c r="Z113" s="364" t="s">
        <v>976</v>
      </c>
      <c r="AA113" s="361"/>
      <c r="AB113" s="3" t="s">
        <v>977</v>
      </c>
      <c r="AC113" s="3"/>
      <c r="AD113" s="364" t="s">
        <v>978</v>
      </c>
      <c r="AE113" s="361"/>
    </row>
    <row r="114" spans="24:31" ht="15.75">
      <c r="X114" s="3" t="s">
        <v>979</v>
      </c>
      <c r="Y114" s="368" t="s">
        <v>714</v>
      </c>
      <c r="Z114" s="364" t="s">
        <v>723</v>
      </c>
      <c r="AA114" s="361"/>
      <c r="AB114" s="3" t="s">
        <v>980</v>
      </c>
      <c r="AC114" s="3"/>
      <c r="AD114" s="364" t="s">
        <v>706</v>
      </c>
      <c r="AE114" s="361"/>
    </row>
    <row r="115" spans="24:31" ht="15.75">
      <c r="X115" s="3" t="s">
        <v>981</v>
      </c>
      <c r="Y115" s="368" t="s">
        <v>930</v>
      </c>
      <c r="Z115" s="364" t="s">
        <v>908</v>
      </c>
      <c r="AA115" s="361"/>
      <c r="AB115" s="3" t="s">
        <v>982</v>
      </c>
      <c r="AC115" s="3"/>
      <c r="AD115" s="364" t="s">
        <v>777</v>
      </c>
      <c r="AE115" s="361"/>
    </row>
    <row r="116" spans="24:31" ht="15.75">
      <c r="X116" s="3" t="s">
        <v>983</v>
      </c>
      <c r="Y116" s="368" t="s">
        <v>984</v>
      </c>
      <c r="Z116" s="364" t="s">
        <v>723</v>
      </c>
      <c r="AA116" s="361"/>
      <c r="AB116" s="3" t="s">
        <v>985</v>
      </c>
      <c r="AC116" s="3"/>
      <c r="AD116" s="364" t="s">
        <v>911</v>
      </c>
      <c r="AE116" s="361"/>
    </row>
    <row r="117" spans="24:31" ht="15.75">
      <c r="X117" s="3" t="s">
        <v>986</v>
      </c>
      <c r="Y117" s="368" t="s">
        <v>776</v>
      </c>
      <c r="Z117" s="364" t="s">
        <v>881</v>
      </c>
      <c r="AA117" s="361"/>
      <c r="AB117" s="3" t="s">
        <v>987</v>
      </c>
      <c r="AC117" s="3"/>
      <c r="AD117" s="364" t="s">
        <v>908</v>
      </c>
      <c r="AE117" s="361"/>
    </row>
    <row r="118" spans="24:31" ht="15.75">
      <c r="X118" s="3" t="s">
        <v>988</v>
      </c>
      <c r="Y118" s="368" t="s">
        <v>989</v>
      </c>
      <c r="Z118" s="364" t="s">
        <v>990</v>
      </c>
      <c r="AA118" s="361"/>
      <c r="AB118" s="3" t="s">
        <v>991</v>
      </c>
      <c r="AC118" s="3"/>
      <c r="AD118" s="364" t="s">
        <v>706</v>
      </c>
      <c r="AE118" s="361"/>
    </row>
    <row r="119" spans="24:31" ht="15.75">
      <c r="X119" s="3" t="s">
        <v>992</v>
      </c>
      <c r="Y119" s="368" t="s">
        <v>730</v>
      </c>
      <c r="Z119" s="376" t="s">
        <v>731</v>
      </c>
      <c r="AA119" s="361"/>
      <c r="AB119" s="3" t="s">
        <v>993</v>
      </c>
      <c r="AC119" s="3"/>
      <c r="AD119" s="364" t="s">
        <v>706</v>
      </c>
      <c r="AE119" s="361"/>
    </row>
    <row r="120" spans="24:31" ht="15.75">
      <c r="X120" s="3" t="s">
        <v>994</v>
      </c>
      <c r="Y120" s="368">
        <v>1</v>
      </c>
      <c r="Z120" s="364" t="s">
        <v>715</v>
      </c>
      <c r="AA120" s="361"/>
      <c r="AB120" s="3" t="s">
        <v>995</v>
      </c>
      <c r="AC120" s="3"/>
      <c r="AD120" s="364" t="s">
        <v>908</v>
      </c>
      <c r="AE120" s="361"/>
    </row>
    <row r="121" spans="24:31" ht="15.75">
      <c r="X121" s="361"/>
      <c r="Y121" s="361"/>
      <c r="Z121" s="361"/>
      <c r="AA121" s="361"/>
      <c r="AB121" s="3" t="s">
        <v>996</v>
      </c>
      <c r="AC121" s="3"/>
      <c r="AD121" s="364" t="s">
        <v>777</v>
      </c>
      <c r="AE121" s="361"/>
    </row>
    <row r="122" spans="24:31" ht="15.75">
      <c r="X122" s="361"/>
      <c r="Y122" s="361"/>
      <c r="Z122" s="361"/>
      <c r="AA122" s="361"/>
      <c r="AB122" s="3" t="s">
        <v>997</v>
      </c>
      <c r="AC122" s="3"/>
      <c r="AD122" s="364" t="s">
        <v>777</v>
      </c>
      <c r="AE122" s="361"/>
    </row>
    <row r="123" spans="24:31" ht="15.75">
      <c r="X123" s="361"/>
      <c r="Y123" s="361"/>
      <c r="Z123" s="361"/>
      <c r="AA123" s="361"/>
      <c r="AB123" s="3" t="s">
        <v>998</v>
      </c>
      <c r="AC123" s="3"/>
      <c r="AD123" s="364" t="s">
        <v>721</v>
      </c>
      <c r="AE123" s="361"/>
    </row>
    <row r="124" spans="24:31" ht="15.75">
      <c r="X124" s="361"/>
      <c r="Y124" s="361"/>
      <c r="Z124" s="361"/>
      <c r="AA124" s="361"/>
      <c r="AB124" s="3" t="s">
        <v>999</v>
      </c>
      <c r="AC124" s="3"/>
      <c r="AD124" s="364" t="s">
        <v>908</v>
      </c>
      <c r="AE124" s="394"/>
    </row>
    <row r="125" spans="24:31" ht="15.75">
      <c r="X125" s="361"/>
      <c r="Y125" s="361"/>
      <c r="Z125" s="361"/>
      <c r="AA125" s="361"/>
      <c r="AB125" s="3" t="s">
        <v>1000</v>
      </c>
      <c r="AC125" s="3"/>
      <c r="AD125" s="364" t="s">
        <v>1001</v>
      </c>
      <c r="AE125" s="361"/>
    </row>
    <row r="126" spans="24:31">
      <c r="AE126" s="361"/>
    </row>
    <row r="127" spans="24:31">
      <c r="AB127" s="363" t="s">
        <v>1002</v>
      </c>
      <c r="AE127" s="361"/>
    </row>
    <row r="128" spans="24:31">
      <c r="X128" s="361"/>
      <c r="Y128" s="361"/>
      <c r="Z128" s="361"/>
      <c r="AA128" s="361"/>
      <c r="AB128" s="363" t="s">
        <v>1003</v>
      </c>
      <c r="AD128" s="361"/>
      <c r="AE128" s="361"/>
    </row>
    <row r="129" spans="24:31">
      <c r="X129" s="361"/>
      <c r="Y129" s="361"/>
      <c r="Z129" s="361"/>
      <c r="AA129" s="361"/>
      <c r="AC129" s="361"/>
      <c r="AD129" s="361"/>
      <c r="AE129" s="361"/>
    </row>
    <row r="130" spans="24:31">
      <c r="X130" s="361"/>
      <c r="Y130" s="361"/>
      <c r="Z130" s="361"/>
      <c r="AA130" s="361"/>
      <c r="AC130" s="361"/>
      <c r="AD130" s="361"/>
      <c r="AE130" s="361"/>
    </row>
    <row r="131" spans="24:31">
      <c r="Y131" s="361"/>
      <c r="Z131" s="361"/>
      <c r="AA131" s="361"/>
      <c r="AB131" s="361"/>
      <c r="AC131" s="361"/>
      <c r="AD131" s="361"/>
      <c r="AE131" s="361"/>
    </row>
    <row r="132" spans="24:31">
      <c r="Y132" s="361"/>
      <c r="Z132" s="361"/>
      <c r="AA132" s="361"/>
      <c r="AB132" s="361"/>
      <c r="AC132" s="361"/>
      <c r="AD132" s="361"/>
      <c r="AE132" s="361"/>
    </row>
    <row r="133" spans="24:31">
      <c r="Y133" s="361"/>
      <c r="Z133" s="361"/>
      <c r="AA133" s="361"/>
      <c r="AB133" s="361"/>
      <c r="AC133" s="361"/>
      <c r="AD133" s="361"/>
      <c r="AE133" s="361"/>
    </row>
    <row r="134" spans="24:31">
      <c r="Y134" s="361"/>
      <c r="Z134" s="361"/>
      <c r="AA134" s="361"/>
      <c r="AB134" s="361"/>
      <c r="AC134" s="361"/>
      <c r="AD134" s="361"/>
      <c r="AE134" s="361"/>
    </row>
    <row r="135" spans="24:31">
      <c r="Y135" s="361"/>
      <c r="Z135" s="361"/>
      <c r="AA135" s="361"/>
      <c r="AB135" s="361"/>
      <c r="AC135" s="361"/>
      <c r="AD135" s="361"/>
      <c r="AE135" s="361"/>
    </row>
    <row r="136" spans="24:31">
      <c r="Y136" s="361"/>
      <c r="Z136" s="361"/>
      <c r="AA136" s="361"/>
      <c r="AB136" s="361"/>
      <c r="AC136" s="361"/>
      <c r="AD136" s="361"/>
      <c r="AE136" s="361"/>
    </row>
  </sheetData>
  <mergeCells count="13">
    <mergeCell ref="B2:G4"/>
    <mergeCell ref="I2:N4"/>
    <mergeCell ref="P2:U4"/>
    <mergeCell ref="B1:V1"/>
    <mergeCell ref="A5:A68"/>
    <mergeCell ref="H5:H68"/>
    <mergeCell ref="O5:O68"/>
    <mergeCell ref="V5:V68"/>
    <mergeCell ref="AB103:AC104"/>
    <mergeCell ref="AB102:AD102"/>
    <mergeCell ref="AF74:AF75"/>
    <mergeCell ref="AG74:AI74"/>
    <mergeCell ref="AJ74:AM74"/>
  </mergeCells>
  <hyperlinks>
    <hyperlink ref="AV8" r:id="rId1" xr:uid="{00000000-0004-0000-0A00-000000000000}"/>
    <hyperlink ref="AV10" r:id="rId2" xr:uid="{00000000-0004-0000-0A00-000001000000}"/>
    <hyperlink ref="AX12" r:id="rId3" xr:uid="{00000000-0004-0000-0A00-000002000000}"/>
    <hyperlink ref="AY14" r:id="rId4" xr:uid="{00000000-0004-0000-0A00-000003000000}"/>
    <hyperlink ref="AW16" r:id="rId5" xr:uid="{00000000-0004-0000-0A00-000004000000}"/>
    <hyperlink ref="AX18" r:id="rId6" xr:uid="{00000000-0004-0000-0A00-000005000000}"/>
    <hyperlink ref="AV20" r:id="rId7" location="q=Correspondance+Calibre%2F+Poids+fruits+legumes" xr:uid="{00000000-0004-0000-0A00-000006000000}"/>
    <hyperlink ref="AV22" r:id="rId8" xr:uid="{00000000-0004-0000-0A00-000007000000}"/>
    <hyperlink ref="AV24" r:id="rId9" xr:uid="{00000000-0004-0000-0A00-000008000000}"/>
    <hyperlink ref="AV26" r:id="rId10" xr:uid="{00000000-0004-0000-0A00-000009000000}"/>
    <hyperlink ref="AV28" r:id="rId11" display="https://www.lanutrition.fr/bien-dans-son-assiette/bien-manger/les-recommandations-de-lanutrition.fr/une-portion-cest-combien-" xr:uid="{00000000-0004-0000-0A00-00000A000000}"/>
  </hyperlinks>
  <pageMargins left="0.7" right="0.7" top="0.75" bottom="0.75" header="0.3" footer="0.3"/>
  <pageSetup paperSize="9" orientation="portrait" r:id="rId1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751EE-A0CF-49AE-9733-9F44FBCA2444}">
  <dimension ref="A1:AXJ894"/>
  <sheetViews>
    <sheetView topLeftCell="A16" zoomScaleNormal="100" workbookViewId="0">
      <selection activeCell="L13" sqref="L13"/>
    </sheetView>
  </sheetViews>
  <sheetFormatPr baseColWidth="10" defaultRowHeight="15"/>
  <cols>
    <col min="1" max="1" width="3.7109375" customWidth="1"/>
    <col min="2" max="14" width="15.7109375" customWidth="1"/>
    <col min="16" max="16" width="16.5703125" customWidth="1"/>
  </cols>
  <sheetData>
    <row r="1" spans="1:17" ht="15.75" thickBot="1">
      <c r="A1" s="13">
        <f t="shared" ref="A1:Q1" ca="1" si="0">CELL("largeur",A1)</f>
        <v>3</v>
      </c>
      <c r="B1" s="13">
        <f t="shared" ca="1" si="0"/>
        <v>15</v>
      </c>
      <c r="C1" s="13">
        <f t="shared" ca="1" si="0"/>
        <v>15</v>
      </c>
      <c r="D1" s="13">
        <f t="shared" ca="1" si="0"/>
        <v>15</v>
      </c>
      <c r="E1" s="13">
        <f t="shared" ca="1" si="0"/>
        <v>15</v>
      </c>
      <c r="F1" s="13">
        <f t="shared" ca="1" si="0"/>
        <v>15</v>
      </c>
      <c r="G1" s="13">
        <f t="shared" ca="1" si="0"/>
        <v>15</v>
      </c>
      <c r="H1" s="13">
        <f t="shared" ca="1" si="0"/>
        <v>15</v>
      </c>
      <c r="I1" s="13">
        <f t="shared" ca="1" si="0"/>
        <v>15</v>
      </c>
      <c r="J1" s="13">
        <f t="shared" ca="1" si="0"/>
        <v>15</v>
      </c>
      <c r="K1" s="13">
        <f t="shared" ca="1" si="0"/>
        <v>15</v>
      </c>
      <c r="L1" s="13">
        <f t="shared" ca="1" si="0"/>
        <v>15</v>
      </c>
      <c r="M1" s="13">
        <f t="shared" ca="1" si="0"/>
        <v>15</v>
      </c>
      <c r="N1" s="13">
        <f t="shared" ca="1" si="0"/>
        <v>15</v>
      </c>
      <c r="O1" s="13">
        <f t="shared" ca="1" si="0"/>
        <v>11</v>
      </c>
      <c r="P1" s="13">
        <f t="shared" ca="1" si="0"/>
        <v>16</v>
      </c>
      <c r="Q1" s="13">
        <f t="shared" ca="1" si="0"/>
        <v>11</v>
      </c>
    </row>
    <row r="2" spans="1:17" ht="26.25">
      <c r="A2" s="14"/>
      <c r="B2" s="9108" t="s">
        <v>71</v>
      </c>
      <c r="C2" s="9109"/>
      <c r="D2" s="9109"/>
      <c r="E2" s="9109"/>
      <c r="F2" s="9109"/>
      <c r="G2" s="9109"/>
      <c r="H2" s="9109"/>
      <c r="I2" s="9109"/>
      <c r="J2" s="9109"/>
      <c r="K2" s="9109"/>
      <c r="L2" s="9109"/>
      <c r="M2" s="9109"/>
      <c r="N2" s="9109"/>
      <c r="O2" s="9109"/>
      <c r="P2" s="9109"/>
      <c r="Q2" s="9110"/>
    </row>
    <row r="3" spans="1:17" ht="20.100000000000001" customHeight="1">
      <c r="A3" s="14"/>
      <c r="B3" s="9111" t="s">
        <v>72</v>
      </c>
      <c r="C3" s="9112"/>
      <c r="D3" s="9112"/>
      <c r="E3" s="9112"/>
      <c r="F3" s="9112"/>
      <c r="G3" s="9112"/>
      <c r="H3" s="9112"/>
      <c r="I3" s="9112"/>
      <c r="J3" s="9112"/>
      <c r="K3" s="9112"/>
      <c r="L3" s="9112"/>
      <c r="M3" s="9112"/>
      <c r="N3" s="9112"/>
      <c r="O3" s="9112"/>
      <c r="P3" s="9112"/>
      <c r="Q3" s="9113"/>
    </row>
    <row r="4" spans="1:17" ht="20.100000000000001" customHeight="1">
      <c r="A4" s="14"/>
      <c r="B4" s="9111" t="s">
        <v>73</v>
      </c>
      <c r="C4" s="9112"/>
      <c r="D4" s="9112"/>
      <c r="E4" s="9112"/>
      <c r="F4" s="9112"/>
      <c r="G4" s="9112"/>
      <c r="H4" s="9112"/>
      <c r="I4" s="9112"/>
      <c r="J4" s="9112"/>
      <c r="K4" s="9112"/>
      <c r="L4" s="9112"/>
      <c r="M4" s="9112"/>
      <c r="N4" s="9112"/>
      <c r="O4" s="9112"/>
      <c r="P4" s="9112"/>
      <c r="Q4" s="9113"/>
    </row>
    <row r="5" spans="1:17" ht="20.100000000000001" customHeight="1">
      <c r="A5" s="14"/>
      <c r="B5" s="9111" t="s">
        <v>74</v>
      </c>
      <c r="C5" s="9112"/>
      <c r="D5" s="9112"/>
      <c r="E5" s="9112"/>
      <c r="F5" s="9112"/>
      <c r="G5" s="9112"/>
      <c r="H5" s="9112"/>
      <c r="I5" s="9112"/>
      <c r="J5" s="9112"/>
      <c r="K5" s="9112"/>
      <c r="L5" s="9112"/>
      <c r="M5" s="9112"/>
      <c r="N5" s="9112"/>
      <c r="O5" s="9112"/>
      <c r="P5" s="9112"/>
      <c r="Q5" s="9113"/>
    </row>
    <row r="6" spans="1:17" ht="27" thickBot="1">
      <c r="A6" s="14"/>
      <c r="B6" s="2192" t="s">
        <v>1283</v>
      </c>
      <c r="C6" s="9114" t="s">
        <v>75</v>
      </c>
      <c r="D6" s="9114"/>
      <c r="E6" s="9114"/>
      <c r="F6" s="9114"/>
      <c r="G6" s="9114"/>
      <c r="H6" s="9114"/>
      <c r="I6" s="9114"/>
      <c r="J6" s="9114"/>
      <c r="K6" s="9114"/>
      <c r="L6" s="9114"/>
      <c r="M6" s="9114"/>
      <c r="N6" s="9114"/>
      <c r="O6" s="9114"/>
      <c r="P6" s="9114"/>
      <c r="Q6" s="9115"/>
    </row>
    <row r="7" spans="1:17" ht="15.75">
      <c r="A7" s="15"/>
      <c r="B7" s="14"/>
      <c r="C7" s="16"/>
      <c r="D7" s="14"/>
      <c r="E7" s="14"/>
      <c r="F7" s="14"/>
      <c r="G7" s="14"/>
      <c r="H7" s="14"/>
      <c r="I7" s="14"/>
      <c r="J7" s="14"/>
      <c r="K7" s="14"/>
      <c r="L7" s="14"/>
      <c r="M7" s="15"/>
      <c r="N7" s="15"/>
      <c r="O7" s="15"/>
      <c r="P7" s="15"/>
      <c r="Q7" s="15"/>
    </row>
    <row r="8" spans="1:17" ht="15.75" customHeight="1">
      <c r="A8" s="15"/>
      <c r="B8" s="9116" t="s">
        <v>1284</v>
      </c>
      <c r="C8" s="9116"/>
      <c r="D8" s="9116"/>
      <c r="E8" s="9116"/>
      <c r="F8" s="9116"/>
      <c r="G8" s="9116"/>
      <c r="H8" s="9116"/>
      <c r="I8" s="9116"/>
      <c r="J8" s="9116"/>
      <c r="K8" s="9116"/>
      <c r="L8" s="9116"/>
      <c r="M8" s="9116"/>
      <c r="N8" s="9116"/>
      <c r="O8" s="9116"/>
      <c r="P8" s="9116"/>
      <c r="Q8" s="9116"/>
    </row>
    <row r="9" spans="1:17" ht="15.75" customHeight="1">
      <c r="A9" s="15"/>
      <c r="B9" s="9116"/>
      <c r="C9" s="9116"/>
      <c r="D9" s="9116"/>
      <c r="E9" s="9116"/>
      <c r="F9" s="9116"/>
      <c r="G9" s="9116"/>
      <c r="H9" s="9116"/>
      <c r="I9" s="9116"/>
      <c r="J9" s="9116"/>
      <c r="K9" s="9116"/>
      <c r="L9" s="9116"/>
      <c r="M9" s="9116"/>
      <c r="N9" s="9116"/>
      <c r="O9" s="9116"/>
      <c r="P9" s="9116"/>
      <c r="Q9" s="9116"/>
    </row>
    <row r="10" spans="1:17" ht="30.75" customHeight="1">
      <c r="A10" s="15"/>
      <c r="B10" s="9116"/>
      <c r="C10" s="9116"/>
      <c r="D10" s="9116"/>
      <c r="E10" s="9116"/>
      <c r="F10" s="9116"/>
      <c r="G10" s="9116"/>
      <c r="H10" s="9116"/>
      <c r="I10" s="9116"/>
      <c r="J10" s="9116"/>
      <c r="K10" s="9116"/>
      <c r="L10" s="9116"/>
      <c r="M10" s="9116"/>
      <c r="N10" s="9116"/>
      <c r="O10" s="9116"/>
      <c r="P10" s="9116"/>
      <c r="Q10" s="9116"/>
    </row>
    <row r="11" spans="1:17" ht="15.75" thickBot="1">
      <c r="A11" s="15"/>
      <c r="B11" s="14"/>
      <c r="C11" s="17"/>
      <c r="D11" s="14"/>
      <c r="E11" s="14"/>
      <c r="F11" s="14"/>
      <c r="G11" s="14"/>
      <c r="H11" s="14"/>
      <c r="I11" s="14"/>
      <c r="J11" s="14"/>
      <c r="K11" s="14"/>
      <c r="L11" s="14"/>
      <c r="M11" s="15"/>
      <c r="N11" s="15"/>
      <c r="O11" s="15"/>
      <c r="P11" s="15"/>
      <c r="Q11" s="15"/>
    </row>
    <row r="12" spans="1:17" ht="31.5" customHeight="1" thickBot="1">
      <c r="A12" s="15"/>
      <c r="B12" s="9073" t="s">
        <v>1285</v>
      </c>
      <c r="C12" s="9074"/>
      <c r="D12" s="9074"/>
      <c r="E12" s="9074"/>
      <c r="F12" s="9074"/>
      <c r="G12" s="9074"/>
      <c r="H12" s="9074"/>
      <c r="I12" s="9074"/>
      <c r="J12" s="9074"/>
      <c r="K12" s="9074"/>
      <c r="L12" s="9074"/>
      <c r="M12" s="9074"/>
      <c r="N12" s="9074"/>
      <c r="O12" s="9074"/>
      <c r="P12" s="9074"/>
      <c r="Q12" s="9075"/>
    </row>
    <row r="13" spans="1:17">
      <c r="A13" s="15"/>
      <c r="B13" s="18"/>
      <c r="C13" s="14"/>
      <c r="D13" s="14"/>
      <c r="E13" s="14"/>
      <c r="F13" s="14"/>
      <c r="G13" s="14"/>
      <c r="H13" s="14"/>
      <c r="I13" s="14"/>
      <c r="J13" s="14"/>
      <c r="K13" s="14"/>
      <c r="L13" s="14"/>
      <c r="M13" s="15"/>
      <c r="N13" s="15"/>
      <c r="O13" s="15"/>
      <c r="P13" s="15"/>
      <c r="Q13" s="15"/>
    </row>
    <row r="14" spans="1:17">
      <c r="A14" s="15"/>
      <c r="B14" s="18"/>
      <c r="C14" s="19" t="s">
        <v>76</v>
      </c>
      <c r="D14" s="14"/>
      <c r="E14" s="14"/>
      <c r="F14" s="14"/>
      <c r="G14" s="14"/>
      <c r="H14" s="14"/>
      <c r="I14" s="14"/>
      <c r="J14" s="14"/>
      <c r="K14" s="14"/>
      <c r="L14" s="14"/>
      <c r="M14" s="15"/>
      <c r="N14" s="15"/>
      <c r="O14" s="15"/>
      <c r="P14" s="15"/>
      <c r="Q14" s="15"/>
    </row>
    <row r="15" spans="1:17">
      <c r="A15" s="15"/>
      <c r="B15" s="18"/>
      <c r="C15" s="14"/>
      <c r="D15" s="14"/>
      <c r="E15" s="14"/>
      <c r="F15" s="14"/>
      <c r="G15" s="14"/>
      <c r="H15" s="14"/>
      <c r="I15" s="14"/>
      <c r="J15" s="14"/>
      <c r="K15" s="14"/>
      <c r="L15" s="14"/>
      <c r="M15" s="15"/>
      <c r="N15" s="15"/>
      <c r="O15" s="15"/>
      <c r="P15" s="15"/>
      <c r="Q15" s="15"/>
    </row>
    <row r="16" spans="1:17">
      <c r="A16" s="15"/>
      <c r="B16" s="18"/>
      <c r="C16" s="497" t="s">
        <v>59</v>
      </c>
      <c r="D16" s="498" t="s">
        <v>58</v>
      </c>
      <c r="E16" s="499" t="s">
        <v>60</v>
      </c>
      <c r="F16" s="499" t="s">
        <v>77</v>
      </c>
      <c r="G16" s="14"/>
      <c r="H16" s="14"/>
      <c r="I16" s="14"/>
      <c r="J16" s="14"/>
      <c r="K16" s="14"/>
      <c r="L16" s="14"/>
      <c r="M16" s="15"/>
      <c r="N16" s="20" t="s">
        <v>78</v>
      </c>
      <c r="O16" s="15"/>
      <c r="P16" s="15"/>
      <c r="Q16" s="15"/>
    </row>
    <row r="17" spans="1:17">
      <c r="A17" s="15"/>
      <c r="B17" s="18"/>
      <c r="C17" s="14"/>
      <c r="D17" s="14"/>
      <c r="E17" s="14"/>
      <c r="F17" s="14"/>
      <c r="G17" s="14"/>
      <c r="H17" s="14"/>
      <c r="I17" s="14"/>
      <c r="J17" s="14"/>
      <c r="K17" s="14"/>
      <c r="L17" s="14"/>
      <c r="M17" s="15"/>
      <c r="N17" s="15"/>
      <c r="O17" s="15"/>
      <c r="P17" s="15"/>
      <c r="Q17" s="15"/>
    </row>
    <row r="18" spans="1:17" ht="15.75">
      <c r="A18" s="15"/>
      <c r="B18" s="14"/>
      <c r="C18" s="21" t="s">
        <v>79</v>
      </c>
      <c r="D18" s="22"/>
      <c r="E18" s="22"/>
      <c r="F18" s="14"/>
      <c r="G18" s="14"/>
      <c r="H18" s="14"/>
      <c r="I18" s="14"/>
      <c r="J18" s="14"/>
      <c r="K18" s="14"/>
      <c r="L18" s="14"/>
      <c r="M18" s="15"/>
      <c r="N18" s="500" t="s">
        <v>66</v>
      </c>
      <c r="O18" s="15"/>
      <c r="P18" s="15"/>
      <c r="Q18" s="15"/>
    </row>
    <row r="19" spans="1:17" ht="15.75">
      <c r="A19" s="15"/>
      <c r="B19" s="14"/>
      <c r="C19" s="2193"/>
      <c r="D19" s="2194"/>
      <c r="E19" s="2195">
        <v>1050</v>
      </c>
      <c r="F19" s="23" t="s">
        <v>80</v>
      </c>
      <c r="G19" s="1"/>
      <c r="H19" s="14"/>
      <c r="I19" s="14"/>
      <c r="J19" s="14"/>
      <c r="K19" s="14"/>
      <c r="L19" s="14"/>
      <c r="M19" s="15"/>
      <c r="N19" s="500" t="s">
        <v>81</v>
      </c>
      <c r="O19" s="24" t="s">
        <v>82</v>
      </c>
      <c r="P19" s="15"/>
      <c r="Q19" s="15"/>
    </row>
    <row r="20" spans="1:17" ht="15.75">
      <c r="A20" s="15"/>
      <c r="B20" s="14"/>
      <c r="C20" s="2193"/>
      <c r="D20" s="2194"/>
      <c r="E20" s="2195">
        <v>400</v>
      </c>
      <c r="F20" s="23" t="s">
        <v>83</v>
      </c>
      <c r="G20" s="1"/>
      <c r="H20" s="14"/>
      <c r="I20" s="14"/>
      <c r="J20" s="14"/>
      <c r="K20" s="14"/>
      <c r="L20" s="14"/>
      <c r="M20" s="15"/>
      <c r="N20" s="500" t="s">
        <v>84</v>
      </c>
      <c r="O20" s="15"/>
      <c r="P20" s="15"/>
      <c r="Q20" s="15"/>
    </row>
    <row r="21" spans="1:17" ht="15.75">
      <c r="A21" s="15"/>
      <c r="B21" s="14"/>
      <c r="C21" s="25"/>
      <c r="D21" s="25"/>
      <c r="E21" s="25"/>
      <c r="F21" s="14"/>
      <c r="G21" s="14"/>
      <c r="H21" s="14"/>
      <c r="I21" s="14"/>
      <c r="J21" s="14"/>
      <c r="K21" s="14"/>
      <c r="L21" s="14"/>
      <c r="M21" s="15"/>
      <c r="N21" s="500" t="s">
        <v>85</v>
      </c>
      <c r="O21" s="15"/>
      <c r="P21" s="15"/>
      <c r="Q21" s="15"/>
    </row>
    <row r="22" spans="1:17" ht="20.25">
      <c r="A22" s="15"/>
      <c r="B22" s="14"/>
      <c r="C22" s="26" t="s">
        <v>86</v>
      </c>
      <c r="D22" s="27"/>
      <c r="E22" s="27"/>
      <c r="F22" s="28"/>
      <c r="G22" s="28"/>
      <c r="H22" s="28"/>
      <c r="I22" s="28"/>
      <c r="J22" s="14"/>
      <c r="K22" s="14"/>
      <c r="L22" s="14"/>
      <c r="M22" s="15"/>
      <c r="N22" s="500" t="s">
        <v>87</v>
      </c>
      <c r="O22" s="15"/>
      <c r="P22" s="15"/>
      <c r="Q22" s="15"/>
    </row>
    <row r="23" spans="1:17" ht="15.75">
      <c r="A23" s="15"/>
      <c r="B23" s="14"/>
      <c r="C23" s="27" t="s">
        <v>88</v>
      </c>
      <c r="D23" s="22"/>
      <c r="E23" s="22"/>
      <c r="F23" s="14"/>
      <c r="G23" s="14"/>
      <c r="H23" s="14"/>
      <c r="I23" s="14"/>
      <c r="J23" s="14"/>
      <c r="K23" s="14"/>
      <c r="L23" s="14"/>
      <c r="M23" s="15"/>
      <c r="N23" s="500" t="s">
        <v>6</v>
      </c>
      <c r="O23" s="15"/>
      <c r="P23" s="15"/>
      <c r="Q23" s="15"/>
    </row>
    <row r="24" spans="1:17" ht="15.75">
      <c r="A24" s="15"/>
      <c r="B24" s="14"/>
      <c r="C24" s="27"/>
      <c r="D24" s="22"/>
      <c r="E24" s="22"/>
      <c r="F24" s="14"/>
      <c r="G24" s="14"/>
      <c r="H24" s="27"/>
      <c r="I24" s="14"/>
      <c r="J24" s="14"/>
      <c r="K24" s="14"/>
      <c r="L24" s="14"/>
      <c r="M24" s="15"/>
      <c r="N24" s="500" t="s">
        <v>89</v>
      </c>
      <c r="O24" s="15"/>
      <c r="P24" s="15"/>
      <c r="Q24" s="15"/>
    </row>
    <row r="25" spans="1:17" ht="15.75">
      <c r="A25" s="15"/>
      <c r="B25" s="14"/>
      <c r="C25" s="497" t="s">
        <v>59</v>
      </c>
      <c r="D25" s="498" t="s">
        <v>58</v>
      </c>
      <c r="E25" s="499" t="s">
        <v>60</v>
      </c>
      <c r="F25" s="499" t="s">
        <v>77</v>
      </c>
      <c r="G25" s="14"/>
      <c r="H25" s="14"/>
      <c r="I25" s="14"/>
      <c r="J25" s="14"/>
      <c r="K25" s="14"/>
      <c r="L25" s="14"/>
      <c r="M25" s="15"/>
      <c r="N25" s="500" t="s">
        <v>90</v>
      </c>
      <c r="O25" s="15"/>
      <c r="P25" s="15"/>
      <c r="Q25" s="15"/>
    </row>
    <row r="26" spans="1:17" ht="15.75">
      <c r="A26" s="15"/>
      <c r="B26" s="14"/>
      <c r="C26" s="2193">
        <v>2</v>
      </c>
      <c r="D26" s="2196" t="s">
        <v>68</v>
      </c>
      <c r="E26" s="2195">
        <v>50</v>
      </c>
      <c r="F26" s="29" t="s">
        <v>91</v>
      </c>
      <c r="G26" s="14"/>
      <c r="H26" s="14"/>
      <c r="I26" s="14"/>
      <c r="J26" s="14"/>
      <c r="K26" s="14"/>
      <c r="L26" s="14"/>
      <c r="M26" s="15"/>
      <c r="N26" s="500" t="s">
        <v>92</v>
      </c>
      <c r="O26" s="15"/>
      <c r="P26" s="15"/>
      <c r="Q26" s="15"/>
    </row>
    <row r="27" spans="1:17" ht="15.75">
      <c r="A27" s="15"/>
      <c r="B27" s="14"/>
      <c r="C27" s="30" t="s">
        <v>93</v>
      </c>
      <c r="D27" s="27"/>
      <c r="E27" s="29"/>
      <c r="F27" s="29"/>
      <c r="G27" s="14"/>
      <c r="H27" s="14"/>
      <c r="I27" s="14"/>
      <c r="J27" s="14"/>
      <c r="K27" s="14"/>
      <c r="L27" s="14"/>
      <c r="M27" s="15"/>
      <c r="N27" s="500" t="s">
        <v>94</v>
      </c>
      <c r="O27" s="15"/>
      <c r="P27" s="15"/>
      <c r="Q27" s="15"/>
    </row>
    <row r="28" spans="1:17" ht="15.75">
      <c r="A28" s="15"/>
      <c r="B28" s="14"/>
      <c r="C28" s="27" t="s">
        <v>95</v>
      </c>
      <c r="D28" s="1"/>
      <c r="E28" s="23"/>
      <c r="F28" s="29"/>
      <c r="G28" s="14"/>
      <c r="H28" s="14"/>
      <c r="I28" s="14"/>
      <c r="J28" s="14"/>
      <c r="K28" s="14"/>
      <c r="L28" s="14"/>
      <c r="M28" s="15"/>
      <c r="N28" s="500" t="s">
        <v>96</v>
      </c>
      <c r="O28" s="15"/>
      <c r="P28" s="15"/>
      <c r="Q28" s="15"/>
    </row>
    <row r="29" spans="1:17" ht="15.75">
      <c r="A29" s="15"/>
      <c r="B29" s="14"/>
      <c r="C29" s="27"/>
      <c r="D29" s="29"/>
      <c r="E29" s="29"/>
      <c r="F29" s="29"/>
      <c r="G29" s="14"/>
      <c r="H29" s="14"/>
      <c r="I29" s="14"/>
      <c r="J29" s="14"/>
      <c r="K29" s="14"/>
      <c r="L29" s="14"/>
      <c r="M29" s="15"/>
      <c r="N29" s="500" t="s">
        <v>97</v>
      </c>
      <c r="O29" s="15"/>
      <c r="P29" s="15"/>
      <c r="Q29" s="15"/>
    </row>
    <row r="30" spans="1:17" ht="20.25">
      <c r="A30" s="15"/>
      <c r="B30" s="14"/>
      <c r="C30" s="26" t="s">
        <v>98</v>
      </c>
      <c r="E30" s="29"/>
      <c r="F30" s="29"/>
      <c r="G30" s="14"/>
      <c r="H30" s="14"/>
      <c r="I30" s="14"/>
      <c r="J30" s="14"/>
      <c r="K30" s="14"/>
      <c r="L30" s="14"/>
      <c r="M30" s="15"/>
      <c r="N30" s="500" t="s">
        <v>99</v>
      </c>
      <c r="O30" s="15"/>
      <c r="P30" s="15"/>
      <c r="Q30" s="15"/>
    </row>
    <row r="31" spans="1:17" ht="15.75">
      <c r="A31" s="15"/>
      <c r="B31" s="14"/>
      <c r="C31" s="27" t="s">
        <v>100</v>
      </c>
      <c r="D31" s="1"/>
      <c r="E31" s="23"/>
      <c r="F31" s="29"/>
      <c r="G31" s="14"/>
      <c r="H31" s="14"/>
      <c r="I31" s="14"/>
      <c r="J31" s="14"/>
      <c r="K31" s="14"/>
      <c r="L31" s="14"/>
      <c r="M31" s="15"/>
      <c r="N31" s="500" t="s">
        <v>101</v>
      </c>
      <c r="O31" s="15"/>
      <c r="P31" s="15"/>
      <c r="Q31" s="15"/>
    </row>
    <row r="32" spans="1:17" ht="15.75">
      <c r="A32" s="15"/>
      <c r="B32" s="14"/>
      <c r="C32" s="27" t="s">
        <v>102</v>
      </c>
      <c r="D32" s="1"/>
      <c r="E32" s="23"/>
      <c r="F32" s="29"/>
      <c r="G32" s="14"/>
      <c r="H32" s="14"/>
      <c r="I32" s="14"/>
      <c r="J32" s="14"/>
      <c r="K32" s="14"/>
      <c r="L32" s="14"/>
      <c r="M32" s="15"/>
      <c r="N32" s="500" t="s">
        <v>103</v>
      </c>
      <c r="O32" s="15"/>
      <c r="P32" s="15"/>
      <c r="Q32" s="15"/>
    </row>
    <row r="33" spans="1:17" ht="15.75">
      <c r="A33" s="15"/>
      <c r="B33" s="14"/>
      <c r="C33" s="22" t="s">
        <v>104</v>
      </c>
      <c r="D33" s="1"/>
      <c r="E33" s="23"/>
      <c r="F33" s="29"/>
      <c r="G33" s="14"/>
      <c r="H33" s="14"/>
      <c r="I33" s="14"/>
      <c r="J33" s="14"/>
      <c r="K33" s="14"/>
      <c r="L33" s="14"/>
      <c r="M33" s="15"/>
      <c r="N33" s="500" t="s">
        <v>105</v>
      </c>
      <c r="O33" s="15"/>
      <c r="P33" s="15"/>
      <c r="Q33" s="15"/>
    </row>
    <row r="34" spans="1:17" ht="15.75">
      <c r="A34" s="15"/>
      <c r="B34" s="14"/>
      <c r="C34" s="22" t="s">
        <v>106</v>
      </c>
      <c r="D34" s="1"/>
      <c r="E34" s="23"/>
      <c r="F34" s="29"/>
      <c r="G34" s="14"/>
      <c r="H34" s="1"/>
      <c r="I34" s="1"/>
      <c r="J34" s="1"/>
      <c r="K34" s="14"/>
      <c r="L34" s="14"/>
      <c r="M34" s="15"/>
      <c r="N34" s="500" t="s">
        <v>107</v>
      </c>
      <c r="O34" s="15"/>
      <c r="P34" s="15"/>
      <c r="Q34" s="15"/>
    </row>
    <row r="35" spans="1:17" ht="15.75">
      <c r="A35" s="15"/>
      <c r="B35" s="14"/>
      <c r="C35" s="27"/>
      <c r="E35" s="29"/>
      <c r="F35" s="29"/>
      <c r="G35" s="14"/>
      <c r="H35" s="14"/>
      <c r="I35" s="14"/>
      <c r="J35" s="14"/>
      <c r="K35" s="14"/>
      <c r="L35" s="14"/>
      <c r="M35" s="15"/>
      <c r="N35" s="500" t="s">
        <v>108</v>
      </c>
      <c r="O35" s="15"/>
      <c r="P35" s="15"/>
      <c r="Q35" s="15"/>
    </row>
    <row r="36" spans="1:17" ht="18.75">
      <c r="A36" s="15"/>
      <c r="B36" s="14"/>
      <c r="C36" s="497" t="s">
        <v>59</v>
      </c>
      <c r="D36" s="498" t="s">
        <v>58</v>
      </c>
      <c r="E36" s="499" t="s">
        <v>60</v>
      </c>
      <c r="F36" s="499" t="s">
        <v>77</v>
      </c>
      <c r="G36" s="14"/>
      <c r="H36" s="428" t="s">
        <v>1132</v>
      </c>
      <c r="I36" s="14"/>
      <c r="J36" s="14"/>
      <c r="K36" s="19" t="s">
        <v>1131</v>
      </c>
      <c r="L36" s="14"/>
      <c r="M36" s="15"/>
      <c r="N36" s="500" t="s">
        <v>109</v>
      </c>
      <c r="O36" s="15"/>
      <c r="P36" s="15"/>
      <c r="Q36" s="15"/>
    </row>
    <row r="37" spans="1:17" ht="15.75">
      <c r="A37" s="15"/>
      <c r="B37" s="14"/>
      <c r="C37" s="2193">
        <v>2</v>
      </c>
      <c r="D37" s="2196" t="s">
        <v>68</v>
      </c>
      <c r="E37" s="2195"/>
      <c r="F37" s="29" t="s">
        <v>91</v>
      </c>
      <c r="G37" s="2197">
        <v>2</v>
      </c>
      <c r="H37" s="2198" t="s">
        <v>68</v>
      </c>
      <c r="I37" s="2199">
        <v>0.05</v>
      </c>
      <c r="J37" s="2200">
        <v>2</v>
      </c>
      <c r="K37" s="2201" t="s">
        <v>68</v>
      </c>
      <c r="L37" s="2202">
        <v>0.05</v>
      </c>
      <c r="M37" s="427" t="s">
        <v>91</v>
      </c>
      <c r="N37" s="500" t="s">
        <v>110</v>
      </c>
      <c r="O37" s="15"/>
      <c r="P37" s="15"/>
      <c r="Q37" s="15"/>
    </row>
    <row r="38" spans="1:17" ht="15.75">
      <c r="A38" s="15"/>
      <c r="B38" s="14"/>
      <c r="C38" s="2193">
        <v>5</v>
      </c>
      <c r="D38" s="2194" t="s">
        <v>111</v>
      </c>
      <c r="E38" s="2195"/>
      <c r="F38" s="29" t="s">
        <v>112</v>
      </c>
      <c r="G38" s="2197">
        <v>5</v>
      </c>
      <c r="H38" s="2198" t="s">
        <v>111</v>
      </c>
      <c r="I38" s="2199"/>
      <c r="J38" s="2200">
        <v>5</v>
      </c>
      <c r="K38" s="2201" t="s">
        <v>111</v>
      </c>
      <c r="L38" s="2202"/>
      <c r="M38" s="427" t="s">
        <v>112</v>
      </c>
      <c r="N38" s="15"/>
      <c r="O38" s="15"/>
      <c r="P38" s="15"/>
      <c r="Q38" s="15"/>
    </row>
    <row r="39" spans="1:17" ht="18.75">
      <c r="A39" s="15"/>
      <c r="B39" s="14"/>
      <c r="C39" s="495">
        <v>1</v>
      </c>
      <c r="D39" s="502" t="s">
        <v>113</v>
      </c>
      <c r="E39" s="2203"/>
      <c r="F39" s="29" t="s">
        <v>114</v>
      </c>
      <c r="G39" s="2197">
        <v>1</v>
      </c>
      <c r="H39" s="2198" t="s">
        <v>113</v>
      </c>
      <c r="I39" s="2199"/>
      <c r="J39" s="2200">
        <v>1</v>
      </c>
      <c r="K39" s="2201" t="s">
        <v>113</v>
      </c>
      <c r="L39" s="2202"/>
      <c r="M39" s="427" t="s">
        <v>114</v>
      </c>
      <c r="N39" s="15"/>
      <c r="O39" s="320" t="s">
        <v>117</v>
      </c>
      <c r="P39" s="15"/>
      <c r="Q39" s="15"/>
    </row>
    <row r="40" spans="1:17" ht="18.75">
      <c r="A40" s="15"/>
      <c r="B40" s="14"/>
      <c r="C40" s="2193">
        <v>1</v>
      </c>
      <c r="D40" s="2194" t="s">
        <v>115</v>
      </c>
      <c r="E40" s="2195"/>
      <c r="F40" s="29" t="s">
        <v>116</v>
      </c>
      <c r="G40" s="2197">
        <v>1</v>
      </c>
      <c r="H40" s="2198" t="s">
        <v>115</v>
      </c>
      <c r="I40" s="2199"/>
      <c r="J40" s="2200">
        <v>1</v>
      </c>
      <c r="K40" s="2201" t="s">
        <v>115</v>
      </c>
      <c r="L40" s="2202"/>
      <c r="M40" s="427" t="s">
        <v>116</v>
      </c>
      <c r="O40" s="31" t="s">
        <v>120</v>
      </c>
      <c r="P40" s="15"/>
      <c r="Q40" s="15"/>
    </row>
    <row r="41" spans="1:17" ht="18.75">
      <c r="A41" s="15"/>
      <c r="B41" s="14"/>
      <c r="C41" s="2193">
        <v>1</v>
      </c>
      <c r="D41" s="2194" t="s">
        <v>118</v>
      </c>
      <c r="E41" s="2195"/>
      <c r="F41" s="29" t="s">
        <v>119</v>
      </c>
      <c r="G41" s="2197">
        <v>1</v>
      </c>
      <c r="H41" s="2198" t="s">
        <v>118</v>
      </c>
      <c r="I41" s="2199"/>
      <c r="J41" s="2200">
        <v>1</v>
      </c>
      <c r="K41" s="2201" t="s">
        <v>118</v>
      </c>
      <c r="L41" s="2202"/>
      <c r="M41" s="427" t="s">
        <v>119</v>
      </c>
      <c r="N41" s="14"/>
      <c r="O41" s="319" t="s">
        <v>508</v>
      </c>
      <c r="P41" s="15"/>
      <c r="Q41" s="15"/>
    </row>
    <row r="42" spans="1:17" ht="18.75">
      <c r="A42" s="15"/>
      <c r="B42" s="14"/>
      <c r="C42" s="22"/>
      <c r="D42" s="29"/>
      <c r="E42" s="29"/>
      <c r="F42" s="29"/>
      <c r="G42" s="14"/>
      <c r="H42" s="14"/>
      <c r="I42" s="14"/>
      <c r="J42" s="14"/>
      <c r="K42" s="14"/>
      <c r="L42" s="14"/>
      <c r="M42" s="15"/>
      <c r="N42" s="321" t="s">
        <v>510</v>
      </c>
      <c r="O42" s="321" t="s">
        <v>509</v>
      </c>
      <c r="P42" s="15"/>
      <c r="Q42" s="15"/>
    </row>
    <row r="43" spans="1:17">
      <c r="A43" s="15"/>
      <c r="B43" s="14"/>
      <c r="C43" s="19" t="s">
        <v>121</v>
      </c>
      <c r="D43" s="29"/>
      <c r="E43" s="29"/>
      <c r="F43" s="29"/>
      <c r="G43" s="14"/>
      <c r="H43" s="14"/>
      <c r="I43" s="14"/>
      <c r="J43" s="14"/>
      <c r="K43" s="14"/>
      <c r="L43" s="14"/>
      <c r="M43" s="14"/>
      <c r="N43" s="14"/>
      <c r="O43" s="15"/>
      <c r="P43" s="15"/>
      <c r="Q43" s="15"/>
    </row>
    <row r="44" spans="1:17">
      <c r="A44" s="15"/>
      <c r="B44" s="14"/>
      <c r="C44" s="22" t="s">
        <v>123</v>
      </c>
      <c r="D44" s="29"/>
      <c r="E44" s="29"/>
      <c r="F44" s="29"/>
      <c r="G44" s="14"/>
      <c r="H44" s="14"/>
      <c r="I44" s="14"/>
      <c r="J44" s="14"/>
      <c r="K44" s="14"/>
      <c r="L44" s="14"/>
      <c r="M44" s="9076" t="s">
        <v>130</v>
      </c>
      <c r="N44" s="9077"/>
      <c r="O44" s="9077"/>
      <c r="P44" s="9078"/>
      <c r="Q44" s="15"/>
    </row>
    <row r="45" spans="1:17" ht="15.75">
      <c r="A45" s="15"/>
      <c r="B45" s="14"/>
      <c r="C45" s="2193">
        <v>0.5</v>
      </c>
      <c r="D45" s="2194" t="s">
        <v>126</v>
      </c>
      <c r="E45" s="2195"/>
      <c r="F45" s="29" t="s">
        <v>127</v>
      </c>
      <c r="G45" s="14"/>
      <c r="H45" s="2194" t="s">
        <v>111</v>
      </c>
      <c r="I45" s="29" t="s">
        <v>122</v>
      </c>
      <c r="J45" s="14"/>
      <c r="K45" s="14"/>
      <c r="L45" s="14"/>
      <c r="M45" s="9079"/>
      <c r="N45" s="9080"/>
      <c r="O45" s="9080"/>
      <c r="P45" s="9081"/>
      <c r="Q45" s="15"/>
    </row>
    <row r="46" spans="1:17" ht="15.75">
      <c r="A46" s="15"/>
      <c r="B46" s="14"/>
      <c r="C46" s="2193">
        <v>0.25</v>
      </c>
      <c r="D46" s="2194" t="s">
        <v>128</v>
      </c>
      <c r="E46" s="2195"/>
      <c r="F46" s="29" t="s">
        <v>129</v>
      </c>
      <c r="G46" s="14"/>
      <c r="H46" s="2194" t="s">
        <v>124</v>
      </c>
      <c r="I46" s="29" t="s">
        <v>125</v>
      </c>
      <c r="J46" s="14"/>
      <c r="K46" s="14"/>
      <c r="L46" s="14"/>
      <c r="M46" s="9079"/>
      <c r="N46" s="9080"/>
      <c r="O46" s="9080"/>
      <c r="P46" s="9081"/>
      <c r="Q46" s="15"/>
    </row>
    <row r="47" spans="1:17" ht="15" customHeight="1">
      <c r="A47" s="15"/>
      <c r="B47" s="14"/>
      <c r="C47" s="22"/>
      <c r="D47" s="22"/>
      <c r="E47" s="22"/>
      <c r="F47" s="14"/>
      <c r="G47" s="14"/>
      <c r="H47" s="14"/>
      <c r="I47" s="14"/>
      <c r="J47" s="14"/>
      <c r="K47" s="14"/>
      <c r="L47" s="14"/>
      <c r="M47" s="9079"/>
      <c r="N47" s="9080"/>
      <c r="O47" s="9080"/>
      <c r="P47" s="9081"/>
      <c r="Q47" s="15"/>
    </row>
    <row r="48" spans="1:17" ht="15" customHeight="1">
      <c r="A48" s="15"/>
      <c r="B48" s="14"/>
      <c r="C48" s="19" t="s">
        <v>132</v>
      </c>
      <c r="D48" s="22"/>
      <c r="E48" s="22"/>
      <c r="F48" s="14"/>
      <c r="G48" s="14"/>
      <c r="H48" s="14"/>
      <c r="I48" s="14"/>
      <c r="J48" s="14"/>
      <c r="K48" s="14"/>
      <c r="L48" s="14"/>
      <c r="M48" s="9079"/>
      <c r="N48" s="9080"/>
      <c r="O48" s="9080"/>
      <c r="P48" s="9081"/>
      <c r="Q48" s="15"/>
    </row>
    <row r="49" spans="1:17" ht="15" customHeight="1">
      <c r="A49" s="15"/>
      <c r="B49" s="14"/>
      <c r="C49" s="19" t="s">
        <v>133</v>
      </c>
      <c r="D49" s="22"/>
      <c r="E49" s="22"/>
      <c r="F49" s="14"/>
      <c r="G49" s="14"/>
      <c r="H49" s="14"/>
      <c r="I49" s="14"/>
      <c r="J49" s="14"/>
      <c r="K49" s="14"/>
      <c r="L49" s="14"/>
      <c r="M49" s="9082"/>
      <c r="N49" s="9083"/>
      <c r="O49" s="9083"/>
      <c r="P49" s="9084"/>
      <c r="Q49" s="15"/>
    </row>
    <row r="50" spans="1:17" ht="15" customHeight="1">
      <c r="A50" s="15"/>
      <c r="B50" s="14"/>
      <c r="C50" s="27" t="s">
        <v>134</v>
      </c>
      <c r="D50" s="27"/>
      <c r="E50" s="27"/>
      <c r="F50" s="27"/>
      <c r="G50" s="27"/>
      <c r="H50" s="27"/>
      <c r="I50" s="27"/>
      <c r="J50" s="14"/>
      <c r="K50" s="14"/>
      <c r="L50" s="14"/>
      <c r="M50" s="1"/>
      <c r="N50" s="1"/>
      <c r="O50" s="1"/>
      <c r="P50" s="1"/>
      <c r="Q50" s="15"/>
    </row>
    <row r="51" spans="1:17" ht="15" customHeight="1">
      <c r="A51" s="15"/>
      <c r="B51" s="14"/>
      <c r="C51" s="27"/>
      <c r="D51" s="27" t="s">
        <v>457</v>
      </c>
      <c r="E51" s="27"/>
      <c r="F51" s="27"/>
      <c r="G51" s="27"/>
      <c r="H51" s="27"/>
      <c r="I51" s="27"/>
      <c r="J51" s="14"/>
      <c r="K51" s="14"/>
      <c r="L51" s="14"/>
      <c r="M51" s="9085" t="s">
        <v>137</v>
      </c>
      <c r="N51" s="9086"/>
      <c r="O51" s="9086"/>
      <c r="P51" s="9087"/>
      <c r="Q51" s="15"/>
    </row>
    <row r="52" spans="1:17" ht="15" customHeight="1">
      <c r="A52" s="15"/>
      <c r="B52" s="14"/>
      <c r="C52" s="27"/>
      <c r="D52" s="27" t="s">
        <v>458</v>
      </c>
      <c r="E52" s="27"/>
      <c r="F52" s="27"/>
      <c r="G52" s="27"/>
      <c r="H52" s="27"/>
      <c r="I52" s="27"/>
      <c r="J52" s="14"/>
      <c r="K52" s="14"/>
      <c r="L52" s="14"/>
      <c r="M52" s="9088"/>
      <c r="N52" s="9089"/>
      <c r="O52" s="9089"/>
      <c r="P52" s="9090"/>
      <c r="Q52" s="15"/>
    </row>
    <row r="53" spans="1:17" ht="15" customHeight="1">
      <c r="A53" s="15"/>
      <c r="B53" s="14"/>
      <c r="C53" s="27"/>
      <c r="D53" s="27" t="s">
        <v>459</v>
      </c>
      <c r="E53" s="27"/>
      <c r="F53" s="27"/>
      <c r="G53" s="27"/>
      <c r="H53" s="27"/>
      <c r="I53" s="27"/>
      <c r="J53" s="14"/>
      <c r="K53" s="14"/>
      <c r="L53" s="15"/>
      <c r="M53" s="9088"/>
      <c r="N53" s="9089"/>
      <c r="O53" s="9089"/>
      <c r="P53" s="9090"/>
      <c r="Q53" s="15"/>
    </row>
    <row r="54" spans="1:17" ht="15" customHeight="1">
      <c r="A54" s="15"/>
      <c r="B54" s="14"/>
      <c r="C54" s="27"/>
      <c r="D54" s="27" t="s">
        <v>136</v>
      </c>
      <c r="E54" s="27"/>
      <c r="F54" s="27"/>
      <c r="G54" s="27"/>
      <c r="H54" s="27"/>
      <c r="I54" s="27"/>
      <c r="J54" s="14"/>
      <c r="K54" s="14"/>
      <c r="L54" s="15"/>
      <c r="M54" s="9091"/>
      <c r="N54" s="9092"/>
      <c r="O54" s="9092"/>
      <c r="P54" s="9093"/>
      <c r="Q54" s="15"/>
    </row>
    <row r="55" spans="1:17" ht="15" customHeight="1">
      <c r="A55" s="15"/>
      <c r="B55" s="14"/>
      <c r="C55" s="27"/>
      <c r="D55" s="27"/>
      <c r="E55" s="27"/>
      <c r="F55" s="27"/>
      <c r="G55" s="27"/>
      <c r="H55" s="27"/>
      <c r="I55" s="27"/>
      <c r="J55" s="14"/>
      <c r="K55" s="14"/>
      <c r="L55" s="15"/>
      <c r="M55" s="15"/>
      <c r="N55" s="15"/>
      <c r="O55" s="15"/>
      <c r="P55" s="15"/>
      <c r="Q55" s="15"/>
    </row>
    <row r="56" spans="1:17">
      <c r="A56" s="525"/>
      <c r="B56" s="526"/>
      <c r="C56" s="527"/>
      <c r="D56" s="527"/>
      <c r="E56" s="527"/>
      <c r="F56" s="527"/>
      <c r="G56" s="527"/>
      <c r="H56" s="527"/>
      <c r="I56" s="527"/>
      <c r="J56" s="526"/>
      <c r="K56" s="526"/>
      <c r="L56" s="526"/>
      <c r="M56" s="525"/>
      <c r="N56" s="525"/>
      <c r="O56" s="525"/>
      <c r="P56" s="525"/>
      <c r="Q56" s="525"/>
    </row>
    <row r="57" spans="1:17" ht="15" customHeight="1">
      <c r="B57" s="1"/>
      <c r="C57" s="1"/>
      <c r="D57" s="1"/>
      <c r="E57" s="462"/>
      <c r="F57" s="462"/>
      <c r="G57" s="1"/>
      <c r="H57" s="1"/>
      <c r="I57" s="1"/>
      <c r="J57" s="1"/>
      <c r="K57" s="1"/>
      <c r="L57" s="15"/>
      <c r="M57" s="15"/>
      <c r="N57" s="15"/>
      <c r="O57" s="15"/>
      <c r="P57" s="15"/>
      <c r="Q57" s="15"/>
    </row>
    <row r="58" spans="1:17" ht="15" customHeight="1">
      <c r="A58" s="15"/>
      <c r="B58" s="462"/>
      <c r="C58" s="464" t="s">
        <v>143</v>
      </c>
      <c r="D58" s="1"/>
      <c r="E58" s="462"/>
      <c r="F58" s="462"/>
      <c r="G58" s="1"/>
      <c r="H58" s="1"/>
      <c r="I58" s="1"/>
      <c r="J58" s="1"/>
      <c r="K58" s="1"/>
      <c r="L58" s="1"/>
      <c r="M58" s="15"/>
      <c r="N58" s="15"/>
      <c r="O58" s="15"/>
      <c r="P58" s="15"/>
      <c r="Q58" s="15"/>
    </row>
    <row r="59" spans="1:17" ht="15" customHeight="1">
      <c r="A59" s="15"/>
      <c r="B59" s="519" t="s">
        <v>1283</v>
      </c>
      <c r="C59" s="465" t="s">
        <v>144</v>
      </c>
      <c r="D59" s="1"/>
      <c r="E59" s="465"/>
      <c r="F59" s="465"/>
      <c r="G59" s="27"/>
      <c r="H59" s="1"/>
      <c r="I59" s="1"/>
      <c r="J59" s="1"/>
      <c r="K59" s="1"/>
      <c r="L59" s="1"/>
      <c r="M59" s="9094" t="s">
        <v>4</v>
      </c>
      <c r="N59" s="9095"/>
      <c r="O59" s="9095"/>
      <c r="P59" s="9096"/>
      <c r="Q59" s="15"/>
    </row>
    <row r="60" spans="1:17" ht="21">
      <c r="A60" s="15"/>
      <c r="B60" s="466"/>
      <c r="C60" s="466"/>
      <c r="D60" s="1"/>
      <c r="E60" s="465"/>
      <c r="F60" s="465"/>
      <c r="G60" s="27"/>
      <c r="H60" s="1"/>
      <c r="I60" s="1"/>
      <c r="J60" s="1"/>
      <c r="K60" s="1"/>
      <c r="L60" s="1"/>
      <c r="M60" s="9097"/>
      <c r="N60" s="9098"/>
      <c r="O60" s="9098"/>
      <c r="P60" s="9099"/>
      <c r="Q60" s="15"/>
    </row>
    <row r="61" spans="1:17" ht="15" customHeight="1">
      <c r="A61" s="15"/>
      <c r="B61" s="519" t="s">
        <v>1283</v>
      </c>
      <c r="C61" s="9100" t="s">
        <v>145</v>
      </c>
      <c r="D61" s="9100"/>
      <c r="E61" s="9100"/>
      <c r="F61" s="9100"/>
      <c r="G61" s="9100"/>
      <c r="H61" s="9100"/>
      <c r="I61" s="27"/>
      <c r="J61" s="14"/>
      <c r="K61" s="1"/>
      <c r="L61" s="1"/>
      <c r="M61" s="9097"/>
      <c r="N61" s="9098"/>
      <c r="O61" s="9098"/>
      <c r="P61" s="9099"/>
      <c r="Q61" s="15"/>
    </row>
    <row r="62" spans="1:17" ht="21">
      <c r="A62" s="15"/>
      <c r="B62" s="466"/>
      <c r="C62" s="462"/>
      <c r="D62" s="1"/>
      <c r="E62" s="462"/>
      <c r="F62" s="462"/>
      <c r="G62" s="27"/>
      <c r="H62" s="27"/>
      <c r="I62" s="27"/>
      <c r="J62" s="14"/>
      <c r="K62" s="1"/>
      <c r="L62" s="1"/>
      <c r="M62" s="9097"/>
      <c r="N62" s="9098"/>
      <c r="O62" s="9098"/>
      <c r="P62" s="9099"/>
      <c r="Q62" s="15"/>
    </row>
    <row r="63" spans="1:17" ht="21">
      <c r="A63" s="15"/>
      <c r="B63" s="462"/>
      <c r="C63" s="464" t="s">
        <v>146</v>
      </c>
      <c r="D63" s="1"/>
      <c r="E63" s="462"/>
      <c r="F63" s="462"/>
      <c r="G63" s="27"/>
      <c r="H63" s="27"/>
      <c r="I63" s="27"/>
      <c r="J63" s="14"/>
      <c r="K63" s="1"/>
      <c r="L63" s="14"/>
      <c r="M63" s="9101" t="s">
        <v>3</v>
      </c>
      <c r="N63" s="9102"/>
      <c r="O63" s="9102"/>
      <c r="P63" s="9103"/>
      <c r="Q63" s="15"/>
    </row>
    <row r="64" spans="1:17" ht="21">
      <c r="A64" s="15"/>
      <c r="B64" s="519" t="s">
        <v>1283</v>
      </c>
      <c r="C64" s="9107" t="s">
        <v>147</v>
      </c>
      <c r="D64" s="9107"/>
      <c r="E64" s="9107"/>
      <c r="F64" s="9107"/>
      <c r="G64" s="9107"/>
      <c r="H64" s="9107"/>
      <c r="I64" s="9107"/>
      <c r="J64" s="9107"/>
      <c r="K64" s="1"/>
      <c r="L64" s="14"/>
      <c r="M64" s="9101"/>
      <c r="N64" s="9102"/>
      <c r="O64" s="9102"/>
      <c r="P64" s="9103"/>
      <c r="Q64" s="15"/>
    </row>
    <row r="65" spans="1:17" ht="21">
      <c r="A65" s="15"/>
      <c r="B65" s="465"/>
      <c r="C65" s="465"/>
      <c r="D65" s="1"/>
      <c r="E65" s="465"/>
      <c r="F65" s="465"/>
      <c r="G65" s="27"/>
      <c r="H65" s="33"/>
      <c r="I65" s="27"/>
      <c r="J65" s="14"/>
      <c r="K65" s="14"/>
      <c r="L65" s="14"/>
      <c r="M65" s="9104"/>
      <c r="N65" s="9105"/>
      <c r="O65" s="9105"/>
      <c r="P65" s="9106"/>
      <c r="Q65" s="15"/>
    </row>
    <row r="66" spans="1:17" ht="21">
      <c r="A66" s="15"/>
      <c r="B66" s="519" t="s">
        <v>1283</v>
      </c>
      <c r="C66" s="9117" t="s">
        <v>1247</v>
      </c>
      <c r="D66" s="9117"/>
      <c r="E66" s="9117"/>
      <c r="F66" s="9117"/>
      <c r="G66" s="27"/>
      <c r="H66" s="33"/>
      <c r="I66" s="27"/>
      <c r="J66" s="14"/>
      <c r="K66" s="14"/>
      <c r="L66" s="14"/>
      <c r="M66" s="15"/>
      <c r="N66" s="15"/>
      <c r="O66" s="15"/>
      <c r="P66" s="15"/>
      <c r="Q66" s="15"/>
    </row>
    <row r="67" spans="1:17" ht="21" customHeight="1">
      <c r="A67" s="15"/>
      <c r="B67" s="33"/>
      <c r="C67" s="33"/>
      <c r="D67" s="1"/>
      <c r="E67" s="465"/>
      <c r="F67" s="465"/>
      <c r="G67" s="27"/>
      <c r="H67" s="33"/>
      <c r="I67" s="27"/>
      <c r="J67" s="14"/>
      <c r="K67" s="14"/>
      <c r="L67" s="14"/>
      <c r="M67" s="14"/>
      <c r="N67" s="14"/>
      <c r="O67" s="14"/>
      <c r="P67" s="14"/>
      <c r="Q67" s="15"/>
    </row>
    <row r="68" spans="1:17" ht="21">
      <c r="A68" s="15"/>
      <c r="B68" s="519" t="s">
        <v>1283</v>
      </c>
      <c r="C68" s="9072" t="s">
        <v>1248</v>
      </c>
      <c r="D68" s="9072"/>
      <c r="E68" s="33"/>
      <c r="F68" s="33"/>
      <c r="G68" s="27"/>
      <c r="H68" s="33"/>
      <c r="I68" s="27"/>
      <c r="J68" s="14"/>
      <c r="K68" s="14"/>
      <c r="L68" s="14"/>
      <c r="M68" s="9118" t="s">
        <v>1281</v>
      </c>
      <c r="N68" s="9119"/>
      <c r="O68" s="9119"/>
      <c r="P68" s="9120"/>
      <c r="Q68" s="15"/>
    </row>
    <row r="69" spans="1:17" ht="21">
      <c r="A69" s="15"/>
      <c r="B69" s="465"/>
      <c r="C69" s="467"/>
      <c r="D69" s="465"/>
      <c r="E69" s="33"/>
      <c r="F69" s="27"/>
      <c r="G69" s="27"/>
      <c r="H69" s="33"/>
      <c r="I69" s="27"/>
      <c r="J69" s="14"/>
      <c r="K69" s="14"/>
      <c r="L69" s="14"/>
      <c r="M69" s="9069" t="s">
        <v>131</v>
      </c>
      <c r="N69" s="9070"/>
      <c r="O69" s="9070"/>
      <c r="P69" s="9071"/>
      <c r="Q69" s="15"/>
    </row>
    <row r="70" spans="1:17" ht="21">
      <c r="A70" s="15"/>
      <c r="B70" s="519" t="s">
        <v>1283</v>
      </c>
      <c r="C70" s="9072" t="s">
        <v>1249</v>
      </c>
      <c r="D70" s="9072"/>
      <c r="E70" s="9072"/>
      <c r="F70" s="27"/>
      <c r="I70" s="27"/>
      <c r="J70" s="14"/>
      <c r="K70" s="1"/>
      <c r="L70" s="1"/>
      <c r="M70" s="9069"/>
      <c r="N70" s="9070"/>
      <c r="O70" s="9070"/>
      <c r="P70" s="9071"/>
      <c r="Q70" s="15"/>
    </row>
    <row r="71" spans="1:17">
      <c r="A71" s="15"/>
      <c r="B71" s="33"/>
      <c r="C71" s="33"/>
      <c r="D71" s="33"/>
      <c r="E71" s="33"/>
      <c r="F71" s="27"/>
      <c r="G71" s="27"/>
      <c r="H71" s="33"/>
      <c r="I71" s="27"/>
      <c r="J71" s="14"/>
      <c r="K71" s="1"/>
      <c r="L71" s="1"/>
      <c r="M71" s="9069"/>
      <c r="N71" s="9070"/>
      <c r="O71" s="9070"/>
      <c r="P71" s="9071"/>
      <c r="Q71" s="15"/>
    </row>
    <row r="72" spans="1:17" ht="21">
      <c r="A72" s="15"/>
      <c r="B72" s="519" t="s">
        <v>1283</v>
      </c>
      <c r="C72" s="9072" t="s">
        <v>1250</v>
      </c>
      <c r="D72" s="9072"/>
      <c r="E72" s="9072"/>
      <c r="F72" s="33"/>
      <c r="G72" s="27"/>
      <c r="H72" s="33"/>
      <c r="I72" s="27"/>
      <c r="J72" s="14"/>
      <c r="K72" s="1"/>
      <c r="L72" s="1"/>
      <c r="M72" s="9069"/>
      <c r="N72" s="9070"/>
      <c r="O72" s="9070"/>
      <c r="P72" s="9071"/>
      <c r="Q72" s="15"/>
    </row>
    <row r="73" spans="1:17" ht="21">
      <c r="A73" s="15"/>
      <c r="B73" s="465"/>
      <c r="C73" s="465"/>
      <c r="D73" s="33"/>
      <c r="E73" s="33"/>
      <c r="F73" s="33"/>
      <c r="G73" s="27"/>
      <c r="H73" s="33"/>
      <c r="I73" s="27"/>
      <c r="J73" s="14"/>
      <c r="K73" s="1"/>
      <c r="L73" s="1"/>
      <c r="M73" s="9053" t="s">
        <v>135</v>
      </c>
      <c r="N73" s="9054"/>
      <c r="O73" s="9054"/>
      <c r="P73" s="9055"/>
      <c r="Q73" s="15"/>
    </row>
    <row r="74" spans="1:17" ht="21">
      <c r="A74" s="15"/>
      <c r="B74" s="519" t="s">
        <v>1283</v>
      </c>
      <c r="C74" s="9056" t="s">
        <v>1290</v>
      </c>
      <c r="D74" s="9056"/>
      <c r="E74" s="9056"/>
      <c r="G74" s="27"/>
      <c r="H74" s="33"/>
      <c r="I74" s="27"/>
      <c r="J74" s="14"/>
      <c r="K74" s="1"/>
      <c r="L74" s="1"/>
      <c r="M74" s="9053"/>
      <c r="N74" s="9054"/>
      <c r="O74" s="9054"/>
      <c r="P74" s="9055"/>
      <c r="Q74" s="15"/>
    </row>
    <row r="75" spans="1:17" ht="15" customHeight="1">
      <c r="A75" s="15"/>
      <c r="B75" s="14"/>
      <c r="C75" s="27"/>
      <c r="D75" s="27"/>
      <c r="E75" s="27"/>
      <c r="F75" s="27"/>
      <c r="G75" s="27"/>
      <c r="H75" s="27"/>
      <c r="I75" s="27"/>
      <c r="J75" s="14"/>
      <c r="K75" s="1"/>
      <c r="L75" s="1"/>
      <c r="M75" s="9053"/>
      <c r="N75" s="9054"/>
      <c r="O75" s="9054"/>
      <c r="P75" s="9055"/>
      <c r="Q75" s="15"/>
    </row>
    <row r="76" spans="1:17" ht="21">
      <c r="A76" s="15"/>
      <c r="B76" s="519" t="s">
        <v>1283</v>
      </c>
      <c r="C76" s="9057" t="s">
        <v>1291</v>
      </c>
      <c r="D76" s="9057"/>
      <c r="E76" s="9057"/>
      <c r="F76" s="9057"/>
      <c r="G76" s="27"/>
      <c r="H76" s="27"/>
      <c r="I76" s="27"/>
      <c r="J76" s="14"/>
      <c r="K76" s="1"/>
      <c r="L76" s="1"/>
      <c r="M76" s="9058" t="s">
        <v>139</v>
      </c>
      <c r="N76" s="9059"/>
      <c r="O76" s="9059"/>
      <c r="P76" s="9060"/>
      <c r="Q76" s="15"/>
    </row>
    <row r="77" spans="1:17">
      <c r="A77" s="1"/>
      <c r="B77" s="1"/>
      <c r="C77" s="1"/>
      <c r="D77" s="1"/>
      <c r="E77" s="1"/>
      <c r="F77" s="1"/>
      <c r="G77" s="1"/>
      <c r="H77" s="1"/>
      <c r="I77" s="1"/>
      <c r="J77" s="1"/>
      <c r="K77" s="14"/>
      <c r="L77" s="14"/>
      <c r="M77" s="9058"/>
      <c r="N77" s="9059"/>
      <c r="O77" s="9059"/>
      <c r="P77" s="9060"/>
      <c r="Q77" s="15"/>
    </row>
    <row r="78" spans="1:17">
      <c r="A78" s="1"/>
      <c r="B78" s="1"/>
      <c r="C78" s="1"/>
      <c r="D78" s="1"/>
      <c r="E78" s="1"/>
      <c r="F78" s="1"/>
      <c r="G78" s="1"/>
      <c r="H78" s="1"/>
      <c r="I78" s="1"/>
      <c r="J78" s="1"/>
      <c r="K78" s="14"/>
      <c r="L78" s="14"/>
      <c r="M78" s="9061"/>
      <c r="N78" s="9062"/>
      <c r="O78" s="9062"/>
      <c r="P78" s="9063"/>
      <c r="Q78" s="15"/>
    </row>
    <row r="79" spans="1:17">
      <c r="A79" s="15"/>
      <c r="B79" s="14"/>
      <c r="C79" s="27"/>
      <c r="D79" s="27"/>
      <c r="E79" s="27"/>
      <c r="F79" s="27"/>
      <c r="G79" s="27"/>
      <c r="H79" s="27"/>
      <c r="I79" s="27"/>
      <c r="J79" s="14"/>
      <c r="K79" s="14"/>
      <c r="L79" s="14"/>
      <c r="M79" s="15"/>
      <c r="N79" s="15"/>
      <c r="O79" s="15"/>
      <c r="P79" s="15"/>
      <c r="Q79" s="15"/>
    </row>
    <row r="80" spans="1:17">
      <c r="A80" s="525"/>
      <c r="B80" s="526"/>
      <c r="C80" s="527"/>
      <c r="D80" s="527"/>
      <c r="E80" s="527"/>
      <c r="F80" s="527"/>
      <c r="G80" s="527"/>
      <c r="H80" s="527"/>
      <c r="I80" s="527"/>
      <c r="J80" s="526"/>
      <c r="K80" s="526"/>
      <c r="L80" s="526"/>
      <c r="M80" s="525"/>
      <c r="N80" s="525"/>
      <c r="O80" s="525"/>
      <c r="P80" s="525"/>
      <c r="Q80" s="525"/>
    </row>
    <row r="81" spans="2:17" ht="15" customHeight="1">
      <c r="B81" s="1"/>
      <c r="C81" s="1"/>
      <c r="D81" s="1"/>
      <c r="E81" s="462"/>
      <c r="F81" s="462"/>
      <c r="G81" s="1"/>
      <c r="H81" s="1"/>
      <c r="I81" s="1"/>
      <c r="J81" s="1"/>
      <c r="K81" s="1"/>
      <c r="L81" s="15"/>
      <c r="M81" s="15"/>
      <c r="N81" s="15"/>
      <c r="O81" s="15"/>
      <c r="P81" s="15"/>
      <c r="Q81" s="15"/>
    </row>
    <row r="82" spans="2:17" ht="15" customHeight="1">
      <c r="B82" s="1"/>
      <c r="C82" s="455" t="s">
        <v>1184</v>
      </c>
      <c r="D82" s="456"/>
      <c r="E82" s="456"/>
      <c r="F82" s="456"/>
      <c r="G82" s="456"/>
      <c r="H82" s="456"/>
      <c r="I82" s="456"/>
      <c r="J82" s="456"/>
      <c r="K82" s="456"/>
      <c r="L82" s="456"/>
      <c r="M82" s="359"/>
      <c r="N82" s="15"/>
      <c r="O82" s="15"/>
      <c r="P82" s="15"/>
      <c r="Q82" s="15"/>
    </row>
    <row r="83" spans="2:17" ht="45" customHeight="1">
      <c r="B83" s="1"/>
      <c r="C83" s="503"/>
      <c r="D83" s="503"/>
      <c r="E83" s="503"/>
      <c r="F83" s="503"/>
      <c r="G83" s="503"/>
      <c r="H83" s="503"/>
      <c r="I83" s="503"/>
      <c r="J83" s="503"/>
      <c r="K83" s="503"/>
      <c r="L83" s="15"/>
      <c r="M83" s="15"/>
      <c r="N83" s="15"/>
      <c r="O83" s="15"/>
      <c r="P83" s="15"/>
      <c r="Q83" s="15"/>
    </row>
    <row r="84" spans="2:17" ht="15" customHeight="1">
      <c r="B84" s="1"/>
      <c r="C84" s="1"/>
      <c r="D84" s="1"/>
      <c r="E84" s="462"/>
      <c r="F84" s="462"/>
      <c r="G84" s="1"/>
      <c r="H84" s="1"/>
      <c r="I84" s="1"/>
      <c r="J84" s="1"/>
      <c r="K84" s="1"/>
      <c r="L84" s="15"/>
      <c r="M84" s="15"/>
      <c r="N84" s="15"/>
      <c r="O84" s="15"/>
      <c r="P84" s="15"/>
      <c r="Q84" s="15"/>
    </row>
    <row r="85" spans="2:17" ht="15" customHeight="1" thickBot="1">
      <c r="B85" s="1"/>
      <c r="C85" s="1"/>
      <c r="D85" s="1"/>
      <c r="E85" s="462"/>
      <c r="F85" s="462"/>
      <c r="G85" s="1"/>
      <c r="H85" s="1"/>
      <c r="I85" s="1"/>
      <c r="J85" s="1"/>
      <c r="K85" s="1"/>
      <c r="L85" s="15"/>
      <c r="M85" s="15"/>
      <c r="N85" s="15"/>
      <c r="O85" s="15"/>
      <c r="P85" s="15"/>
      <c r="Q85" s="15"/>
    </row>
    <row r="86" spans="2:17" ht="20.100000000000001" customHeight="1">
      <c r="B86" s="9064" t="s">
        <v>1148</v>
      </c>
      <c r="C86" s="9065"/>
      <c r="D86" s="9065"/>
      <c r="E86" s="9065"/>
      <c r="F86" s="9065"/>
      <c r="G86" s="9065"/>
      <c r="H86" s="9065"/>
      <c r="I86" s="9065"/>
      <c r="J86" s="9065"/>
      <c r="K86" s="9065"/>
      <c r="L86" s="9066"/>
      <c r="M86" s="1"/>
      <c r="N86" s="15"/>
      <c r="O86" s="15"/>
      <c r="P86" s="15"/>
      <c r="Q86" s="15"/>
    </row>
    <row r="87" spans="2:17" ht="20.100000000000001" customHeight="1">
      <c r="B87" s="504"/>
      <c r="C87" s="505"/>
      <c r="D87" s="505"/>
      <c r="E87" s="505"/>
      <c r="F87" s="505"/>
      <c r="G87" s="505"/>
      <c r="H87" s="505"/>
      <c r="I87" s="505"/>
      <c r="J87" s="505"/>
      <c r="K87" s="505"/>
      <c r="L87" s="2204"/>
      <c r="M87" s="1"/>
      <c r="N87" s="15"/>
      <c r="O87" s="15"/>
      <c r="P87" s="15"/>
      <c r="Q87" s="15"/>
    </row>
    <row r="88" spans="2:17" ht="20.100000000000001" customHeight="1">
      <c r="B88" s="434" t="s">
        <v>1151</v>
      </c>
      <c r="C88" s="435">
        <v>3</v>
      </c>
      <c r="D88" s="34"/>
      <c r="E88" s="9067" t="s">
        <v>1152</v>
      </c>
      <c r="F88" s="9067"/>
      <c r="G88" s="9067"/>
      <c r="H88" s="9067"/>
      <c r="I88" s="9067"/>
      <c r="J88" s="9067"/>
      <c r="K88" s="9067"/>
      <c r="L88" s="9068"/>
      <c r="M88" s="1"/>
      <c r="N88" s="15"/>
      <c r="O88" s="15"/>
      <c r="P88" s="15"/>
      <c r="Q88" s="15"/>
    </row>
    <row r="89" spans="2:17" ht="20.100000000000001" customHeight="1">
      <c r="B89" s="434"/>
      <c r="C89" s="507"/>
      <c r="D89" s="34"/>
      <c r="E89" s="9067"/>
      <c r="F89" s="9067"/>
      <c r="G89" s="9067"/>
      <c r="H89" s="9067"/>
      <c r="I89" s="9067"/>
      <c r="J89" s="9067"/>
      <c r="K89" s="9067"/>
      <c r="L89" s="9068"/>
      <c r="M89" s="1"/>
      <c r="N89" s="15"/>
      <c r="O89" s="15"/>
      <c r="P89" s="15"/>
      <c r="Q89" s="15"/>
    </row>
    <row r="90" spans="2:17" ht="20.100000000000001" customHeight="1">
      <c r="B90" s="434" t="s">
        <v>1155</v>
      </c>
      <c r="C90" s="436"/>
      <c r="D90" s="34"/>
      <c r="E90" s="9067"/>
      <c r="F90" s="9067"/>
      <c r="G90" s="9067"/>
      <c r="H90" s="9067"/>
      <c r="I90" s="9067"/>
      <c r="J90" s="9067"/>
      <c r="K90" s="9067"/>
      <c r="L90" s="9068"/>
      <c r="M90" s="15"/>
      <c r="N90" s="15"/>
      <c r="O90" s="15"/>
      <c r="P90" s="15"/>
      <c r="Q90" s="15"/>
    </row>
    <row r="91" spans="2:17" ht="20.100000000000001" customHeight="1">
      <c r="B91" s="434"/>
      <c r="C91" s="436"/>
      <c r="D91" s="34"/>
      <c r="E91" s="9067"/>
      <c r="F91" s="9067"/>
      <c r="G91" s="9067"/>
      <c r="H91" s="9067"/>
      <c r="I91" s="9067"/>
      <c r="J91" s="9067"/>
      <c r="K91" s="9067"/>
      <c r="L91" s="9068"/>
      <c r="M91" s="15"/>
      <c r="N91" s="15"/>
      <c r="O91" s="15"/>
      <c r="P91" s="15"/>
      <c r="Q91" s="15"/>
    </row>
    <row r="92" spans="2:17" ht="20.100000000000001" customHeight="1">
      <c r="B92" s="434" t="s">
        <v>1158</v>
      </c>
      <c r="C92" s="436"/>
      <c r="D92" s="34"/>
      <c r="E92" s="9067"/>
      <c r="F92" s="9067"/>
      <c r="G92" s="9067"/>
      <c r="H92" s="9067"/>
      <c r="I92" s="9067"/>
      <c r="J92" s="9067"/>
      <c r="K92" s="9067"/>
      <c r="L92" s="9068"/>
      <c r="M92" s="15"/>
      <c r="N92" s="15"/>
      <c r="O92" s="15"/>
      <c r="P92" s="15"/>
      <c r="Q92" s="15"/>
    </row>
    <row r="93" spans="2:17" ht="20.100000000000001" customHeight="1">
      <c r="B93" s="434"/>
      <c r="C93" s="436"/>
      <c r="D93" s="34"/>
      <c r="E93" s="717"/>
      <c r="F93" s="717"/>
      <c r="G93" s="717"/>
      <c r="H93" s="717"/>
      <c r="I93" s="717"/>
      <c r="J93" s="717"/>
      <c r="K93" s="717"/>
      <c r="L93" s="2205"/>
      <c r="M93" s="15"/>
      <c r="N93" s="15"/>
      <c r="O93" s="15"/>
      <c r="P93" s="15"/>
      <c r="Q93" s="15"/>
    </row>
    <row r="94" spans="2:17" ht="20.100000000000001" customHeight="1">
      <c r="B94" s="437"/>
      <c r="C94" s="34"/>
      <c r="D94" s="34"/>
      <c r="E94" s="438"/>
      <c r="F94" s="439" t="s">
        <v>1161</v>
      </c>
      <c r="G94" s="440" t="s">
        <v>1162</v>
      </c>
      <c r="H94" s="440" t="s">
        <v>1163</v>
      </c>
      <c r="I94" s="440" t="s">
        <v>1164</v>
      </c>
      <c r="J94" s="440" t="s">
        <v>1165</v>
      </c>
      <c r="K94" s="440" t="s">
        <v>1166</v>
      </c>
      <c r="L94" s="2206" t="s">
        <v>1167</v>
      </c>
      <c r="M94" s="15"/>
      <c r="N94" s="15"/>
      <c r="O94" s="15"/>
      <c r="P94" s="15"/>
      <c r="Q94" s="15"/>
    </row>
    <row r="95" spans="2:17" ht="20.100000000000001" customHeight="1">
      <c r="B95" s="437"/>
      <c r="C95" s="34"/>
      <c r="D95" s="34"/>
      <c r="E95" s="438"/>
      <c r="F95" s="439"/>
      <c r="G95" s="440"/>
      <c r="H95" s="440"/>
      <c r="I95" s="440"/>
      <c r="J95" s="440"/>
      <c r="K95" s="440"/>
      <c r="L95" s="2206"/>
      <c r="M95" s="15"/>
      <c r="N95" s="15"/>
      <c r="O95" s="15"/>
      <c r="P95" s="15"/>
      <c r="Q95" s="15"/>
    </row>
    <row r="96" spans="2:17" ht="20.100000000000001" customHeight="1">
      <c r="B96" s="437" t="s">
        <v>1169</v>
      </c>
      <c r="C96" s="34"/>
      <c r="D96" s="34"/>
      <c r="E96" s="311"/>
      <c r="F96" s="508" t="s">
        <v>66</v>
      </c>
      <c r="G96" s="508" t="s">
        <v>81</v>
      </c>
      <c r="H96" s="508" t="s">
        <v>84</v>
      </c>
      <c r="I96" s="508" t="s">
        <v>85</v>
      </c>
      <c r="J96" s="508" t="s">
        <v>87</v>
      </c>
      <c r="K96" s="443" t="s">
        <v>1170</v>
      </c>
      <c r="L96" s="2207" t="s">
        <v>1171</v>
      </c>
      <c r="M96" s="15"/>
      <c r="N96" s="15"/>
      <c r="O96" s="15"/>
      <c r="P96" s="15"/>
      <c r="Q96" s="15"/>
    </row>
    <row r="97" spans="2:17" ht="20.100000000000001" customHeight="1">
      <c r="B97" s="437"/>
      <c r="C97" s="34"/>
      <c r="D97" s="34"/>
      <c r="E97" s="34"/>
      <c r="F97" s="442"/>
      <c r="G97" s="442"/>
      <c r="H97" s="442"/>
      <c r="I97" s="442"/>
      <c r="J97" s="442"/>
      <c r="K97" s="509"/>
      <c r="L97" s="2208"/>
      <c r="M97" s="15"/>
      <c r="N97" s="15"/>
      <c r="O97" s="15"/>
      <c r="P97" s="15"/>
      <c r="Q97" s="15"/>
    </row>
    <row r="98" spans="2:17" ht="20.100000000000001" customHeight="1">
      <c r="B98" s="511" t="s">
        <v>6</v>
      </c>
      <c r="C98" s="508" t="s">
        <v>89</v>
      </c>
      <c r="D98" s="508" t="s">
        <v>90</v>
      </c>
      <c r="E98" s="508" t="s">
        <v>92</v>
      </c>
      <c r="F98" s="508" t="s">
        <v>94</v>
      </c>
      <c r="G98" s="508" t="s">
        <v>96</v>
      </c>
      <c r="H98" s="508" t="s">
        <v>97</v>
      </c>
      <c r="I98" s="508" t="s">
        <v>99</v>
      </c>
      <c r="J98" s="508" t="s">
        <v>101</v>
      </c>
      <c r="K98" s="443" t="s">
        <v>1173</v>
      </c>
      <c r="L98" s="2207" t="s">
        <v>1174</v>
      </c>
      <c r="M98" s="15"/>
      <c r="N98" s="15"/>
      <c r="O98" s="15"/>
      <c r="P98" s="15"/>
      <c r="Q98" s="15"/>
    </row>
    <row r="99" spans="2:17" ht="20.100000000000001" customHeight="1">
      <c r="B99" s="445"/>
      <c r="C99" s="442"/>
      <c r="D99" s="442"/>
      <c r="E99" s="442"/>
      <c r="F99" s="442"/>
      <c r="G99" s="442"/>
      <c r="H99" s="442"/>
      <c r="I99" s="442"/>
      <c r="J99" s="442"/>
      <c r="K99" s="509"/>
      <c r="L99" s="2208"/>
      <c r="M99" s="15"/>
      <c r="N99" s="15"/>
      <c r="O99" s="15"/>
      <c r="P99" s="15"/>
      <c r="Q99" s="15"/>
    </row>
    <row r="100" spans="2:17" ht="20.100000000000001" customHeight="1">
      <c r="B100" s="446"/>
      <c r="C100" s="401"/>
      <c r="D100" s="2209" t="s">
        <v>1558</v>
      </c>
      <c r="E100" s="2210">
        <f>COLUMN()</f>
        <v>5</v>
      </c>
      <c r="F100" s="401"/>
      <c r="G100" s="2209" t="s">
        <v>503</v>
      </c>
      <c r="H100" s="305" t="str">
        <f>ADDRESS(ROW(),COLUMN(),4)</f>
        <v>H100</v>
      </c>
      <c r="I100" s="401"/>
      <c r="J100" s="401"/>
      <c r="K100" s="449" t="s">
        <v>1177</v>
      </c>
      <c r="L100" s="2207" t="s">
        <v>1178</v>
      </c>
      <c r="M100" s="15"/>
      <c r="N100" s="15"/>
      <c r="O100" s="15"/>
      <c r="P100" s="15"/>
      <c r="Q100" s="15"/>
    </row>
    <row r="101" spans="2:17" ht="20.100000000000001" customHeight="1">
      <c r="B101" s="446"/>
      <c r="C101" s="401"/>
      <c r="D101" s="2209"/>
      <c r="E101" s="2211"/>
      <c r="F101" s="401"/>
      <c r="G101" s="401"/>
      <c r="H101" s="401"/>
      <c r="I101" s="401"/>
      <c r="J101" s="401"/>
      <c r="K101" s="513"/>
      <c r="L101" s="2208"/>
      <c r="M101" s="15"/>
      <c r="N101" s="15"/>
      <c r="O101" s="15"/>
      <c r="P101" s="15"/>
      <c r="Q101" s="15"/>
    </row>
    <row r="102" spans="2:17" ht="20.100000000000001" customHeight="1">
      <c r="B102" s="446"/>
      <c r="C102" s="401"/>
      <c r="D102" s="2209" t="s">
        <v>1180</v>
      </c>
      <c r="E102" s="712" t="str">
        <f>LEFT(ADDRESS(1,COLUMN(),4),LEN(ADDRESS(1,COLUMN(),4))-1)</f>
        <v>E</v>
      </c>
      <c r="F102" s="401"/>
      <c r="G102" s="2209" t="s">
        <v>504</v>
      </c>
      <c r="H102" s="307">
        <f>ROW()</f>
        <v>102</v>
      </c>
      <c r="I102" s="401"/>
      <c r="J102" s="450" t="s">
        <v>1155</v>
      </c>
      <c r="K102" s="401"/>
      <c r="L102" s="2212"/>
      <c r="M102" s="15"/>
      <c r="N102" s="15"/>
      <c r="O102" s="15"/>
      <c r="P102" s="15"/>
      <c r="Q102" s="15"/>
    </row>
    <row r="103" spans="2:17" ht="20.100000000000001" customHeight="1">
      <c r="B103" s="446"/>
      <c r="C103" s="401"/>
      <c r="D103" s="2209"/>
      <c r="E103" s="2209"/>
      <c r="F103" s="2209"/>
      <c r="G103" s="2209"/>
      <c r="H103" s="2209"/>
      <c r="I103" s="2209"/>
      <c r="J103" s="450"/>
      <c r="K103" s="401"/>
      <c r="L103" s="2212"/>
      <c r="M103" s="15"/>
      <c r="N103" s="15"/>
      <c r="O103" s="15"/>
      <c r="P103" s="15"/>
      <c r="Q103" s="15"/>
    </row>
    <row r="104" spans="2:17" ht="20.100000000000001" customHeight="1">
      <c r="B104" s="446"/>
      <c r="C104" s="306" t="s">
        <v>7</v>
      </c>
      <c r="D104" s="318" t="str">
        <f ca="1">CELL("nomfichier")</f>
        <v>D:\Données\1.UPRT\0-UPRT.fait\1-UPRT.FR-SITE-WEB\ff-fiches-fabrications\ff.fiches.fabrication.2023\UPRT.23.aout\[ff-20-CHARCUTERIE-michel-Mariette.BOUDIN.BLANC_-1.xlsx]Exemples Michel Mariette</v>
      </c>
      <c r="E104" s="14"/>
      <c r="F104" s="2209"/>
      <c r="G104" s="2209"/>
      <c r="H104" s="2209"/>
      <c r="I104" s="2209"/>
      <c r="J104" s="450"/>
      <c r="K104" s="401"/>
      <c r="L104" s="2212"/>
      <c r="M104" s="15"/>
      <c r="N104" s="15"/>
      <c r="O104" s="15"/>
      <c r="P104" s="15"/>
      <c r="Q104" s="15"/>
    </row>
    <row r="105" spans="2:17" ht="20.100000000000001" customHeight="1" thickBot="1">
      <c r="B105" s="2213"/>
      <c r="C105" s="453"/>
      <c r="D105" s="453"/>
      <c r="E105" s="453"/>
      <c r="F105" s="453"/>
      <c r="G105" s="453"/>
      <c r="H105" s="453"/>
      <c r="I105" s="453"/>
      <c r="J105" s="453"/>
      <c r="K105" s="453"/>
      <c r="L105" s="454"/>
      <c r="M105" s="15"/>
      <c r="N105" s="15"/>
      <c r="O105" s="15"/>
      <c r="P105" s="15"/>
      <c r="Q105" s="15"/>
    </row>
    <row r="106" spans="2:17" ht="15" customHeight="1" thickBot="1">
      <c r="B106" s="1"/>
      <c r="C106" s="1"/>
      <c r="D106" s="1"/>
      <c r="E106" s="462"/>
      <c r="F106" s="462"/>
      <c r="G106" s="1"/>
      <c r="H106" s="1"/>
      <c r="I106" s="1"/>
      <c r="J106" s="1"/>
      <c r="K106" s="1"/>
      <c r="L106" s="15"/>
      <c r="M106" s="15"/>
      <c r="N106" s="15"/>
      <c r="O106" s="15"/>
      <c r="P106" s="15"/>
      <c r="Q106" s="15"/>
    </row>
    <row r="107" spans="2:17" ht="24.95" customHeight="1">
      <c r="B107" s="514" t="s">
        <v>337</v>
      </c>
      <c r="C107" s="9042" t="s">
        <v>1149</v>
      </c>
      <c r="D107" s="9042"/>
      <c r="E107" s="9042"/>
      <c r="F107" s="9042"/>
      <c r="G107" s="9042"/>
      <c r="H107" s="9042"/>
      <c r="I107" s="9042"/>
      <c r="J107" s="9042"/>
      <c r="K107" s="9043"/>
      <c r="L107" s="15"/>
      <c r="M107" s="15"/>
      <c r="N107" s="15"/>
      <c r="O107" s="15"/>
      <c r="P107" s="15"/>
      <c r="Q107" s="15"/>
    </row>
    <row r="108" spans="2:17" ht="24.95" customHeight="1">
      <c r="B108" s="515" t="s">
        <v>339</v>
      </c>
      <c r="C108" s="9044" t="s">
        <v>1153</v>
      </c>
      <c r="D108" s="9044"/>
      <c r="E108" s="9044"/>
      <c r="F108" s="9044"/>
      <c r="G108" s="9044"/>
      <c r="H108" s="9044"/>
      <c r="I108" s="9044"/>
      <c r="J108" s="9044"/>
      <c r="K108" s="9045"/>
      <c r="L108" s="15"/>
      <c r="M108" s="15"/>
      <c r="N108" s="15"/>
      <c r="O108" s="15"/>
      <c r="P108" s="15"/>
      <c r="Q108" s="15"/>
    </row>
    <row r="109" spans="2:17" ht="24.95" customHeight="1">
      <c r="B109" s="516" t="s">
        <v>338</v>
      </c>
      <c r="C109" s="9046" t="s">
        <v>1156</v>
      </c>
      <c r="D109" s="9046"/>
      <c r="E109" s="9046"/>
      <c r="F109" s="9046"/>
      <c r="G109" s="9046"/>
      <c r="H109" s="9046"/>
      <c r="I109" s="9046"/>
      <c r="J109" s="9046"/>
      <c r="K109" s="9047"/>
      <c r="L109" s="15"/>
      <c r="M109" s="15"/>
      <c r="N109" s="15"/>
      <c r="O109" s="15"/>
      <c r="P109" s="15"/>
      <c r="Q109" s="15"/>
    </row>
    <row r="110" spans="2:17" ht="24.95" customHeight="1">
      <c r="B110" s="517"/>
      <c r="C110" s="9048" t="s">
        <v>1159</v>
      </c>
      <c r="D110" s="9048"/>
      <c r="E110" s="9048"/>
      <c r="F110" s="9048"/>
      <c r="G110" s="9048"/>
      <c r="H110" s="9048"/>
      <c r="I110" s="9048"/>
      <c r="J110" s="9048"/>
      <c r="K110" s="9049"/>
      <c r="L110" s="15"/>
      <c r="M110" s="15"/>
      <c r="N110" s="15"/>
      <c r="O110" s="15"/>
      <c r="P110" s="15"/>
      <c r="Q110" s="15"/>
    </row>
    <row r="111" spans="2:17" ht="24.95" customHeight="1">
      <c r="B111" s="9050" t="s">
        <v>338</v>
      </c>
      <c r="C111" s="9051" t="str">
        <f>C109</f>
        <v>Saisir ICI</v>
      </c>
      <c r="D111" s="9051"/>
      <c r="E111" s="9051"/>
      <c r="F111" s="9051"/>
      <c r="G111" s="9051"/>
      <c r="H111" s="9051"/>
      <c r="I111" s="9051"/>
      <c r="J111" s="9051"/>
      <c r="K111" s="9052"/>
      <c r="L111" s="15"/>
      <c r="M111" s="15"/>
      <c r="N111" s="15"/>
      <c r="O111" s="15"/>
      <c r="P111" s="15"/>
      <c r="Q111" s="15"/>
    </row>
    <row r="112" spans="2:17" ht="24.95" customHeight="1">
      <c r="B112" s="9050"/>
      <c r="C112" s="9051"/>
      <c r="D112" s="9051"/>
      <c r="E112" s="9051"/>
      <c r="F112" s="9051"/>
      <c r="G112" s="9051"/>
      <c r="H112" s="9051"/>
      <c r="I112" s="9051"/>
      <c r="J112" s="9051"/>
      <c r="K112" s="9052"/>
      <c r="L112" s="15"/>
      <c r="M112" s="15"/>
      <c r="N112" s="15"/>
      <c r="O112" s="15"/>
      <c r="P112" s="15"/>
      <c r="Q112" s="15"/>
    </row>
    <row r="113" spans="2:17" ht="24.95" customHeight="1">
      <c r="B113" s="9050"/>
      <c r="C113" s="9051"/>
      <c r="D113" s="9051"/>
      <c r="E113" s="9051"/>
      <c r="F113" s="9051"/>
      <c r="G113" s="9051"/>
      <c r="H113" s="9051"/>
      <c r="I113" s="9051"/>
      <c r="J113" s="9051"/>
      <c r="K113" s="9052"/>
      <c r="L113" s="15"/>
      <c r="M113" s="15"/>
      <c r="N113" s="15"/>
      <c r="O113" s="15"/>
      <c r="P113" s="15"/>
      <c r="Q113" s="15"/>
    </row>
    <row r="114" spans="2:17" ht="24.95" customHeight="1">
      <c r="B114" s="9028" t="s">
        <v>337</v>
      </c>
      <c r="C114" s="9031" t="str">
        <f>+C107</f>
        <v>TEST POLICE DE CARACTERES</v>
      </c>
      <c r="D114" s="9031"/>
      <c r="E114" s="9031"/>
      <c r="F114" s="9031"/>
      <c r="G114" s="9031"/>
      <c r="H114" s="9031"/>
      <c r="I114" s="9031"/>
      <c r="J114" s="9031"/>
      <c r="K114" s="9032"/>
      <c r="L114" s="15"/>
      <c r="M114" s="15"/>
      <c r="N114" s="15"/>
      <c r="O114" s="15"/>
      <c r="P114" s="15"/>
      <c r="Q114" s="15"/>
    </row>
    <row r="115" spans="2:17" ht="24.95" customHeight="1">
      <c r="B115" s="9029"/>
      <c r="C115" s="9033"/>
      <c r="D115" s="9033"/>
      <c r="E115" s="9033"/>
      <c r="F115" s="9033"/>
      <c r="G115" s="9033"/>
      <c r="H115" s="9033"/>
      <c r="I115" s="9033"/>
      <c r="J115" s="9033"/>
      <c r="K115" s="9034"/>
      <c r="L115" s="15"/>
      <c r="M115" s="15"/>
      <c r="N115" s="15"/>
      <c r="O115" s="15"/>
      <c r="P115" s="15"/>
      <c r="Q115" s="15"/>
    </row>
    <row r="116" spans="2:17" ht="24.95" customHeight="1">
      <c r="B116" s="9030"/>
      <c r="C116" s="9035"/>
      <c r="D116" s="9035"/>
      <c r="E116" s="9035"/>
      <c r="F116" s="9035"/>
      <c r="G116" s="9035"/>
      <c r="H116" s="9035"/>
      <c r="I116" s="9035"/>
      <c r="J116" s="9035"/>
      <c r="K116" s="9036"/>
      <c r="L116" s="15"/>
      <c r="M116" s="15"/>
      <c r="N116" s="15"/>
      <c r="O116" s="15"/>
      <c r="P116" s="15"/>
      <c r="Q116" s="15"/>
    </row>
    <row r="117" spans="2:17" ht="24.95" customHeight="1">
      <c r="B117" s="9029" t="s">
        <v>339</v>
      </c>
      <c r="C117" s="9038" t="str">
        <f>+C108</f>
        <v>Saisir une ou des lettres / nombres ou une phrase cellule C jaune</v>
      </c>
      <c r="D117" s="9038"/>
      <c r="E117" s="9038"/>
      <c r="F117" s="9038"/>
      <c r="G117" s="9038"/>
      <c r="H117" s="9038"/>
      <c r="I117" s="9038"/>
      <c r="J117" s="9038"/>
      <c r="K117" s="9039"/>
      <c r="L117" s="15"/>
      <c r="M117" s="15"/>
      <c r="N117" s="15"/>
      <c r="O117" s="15"/>
      <c r="P117" s="15"/>
      <c r="Q117" s="15"/>
    </row>
    <row r="118" spans="2:17" ht="24.95" customHeight="1">
      <c r="B118" s="9029"/>
      <c r="C118" s="9038"/>
      <c r="D118" s="9038"/>
      <c r="E118" s="9038"/>
      <c r="F118" s="9038"/>
      <c r="G118" s="9038"/>
      <c r="H118" s="9038"/>
      <c r="I118" s="9038"/>
      <c r="J118" s="9038"/>
      <c r="K118" s="9039"/>
      <c r="L118" s="15"/>
      <c r="M118" s="15"/>
      <c r="N118" s="15"/>
      <c r="O118" s="15"/>
      <c r="P118" s="15"/>
      <c r="Q118" s="15"/>
    </row>
    <row r="119" spans="2:17" ht="24.95" customHeight="1">
      <c r="B119" s="9029"/>
      <c r="C119" s="9038"/>
      <c r="D119" s="9038"/>
      <c r="E119" s="9038"/>
      <c r="F119" s="9038"/>
      <c r="G119" s="9038"/>
      <c r="H119" s="9038"/>
      <c r="I119" s="9038"/>
      <c r="J119" s="9038"/>
      <c r="K119" s="9039"/>
      <c r="L119" s="15"/>
      <c r="M119" s="15"/>
      <c r="N119" s="15"/>
      <c r="O119" s="15"/>
      <c r="P119" s="15"/>
      <c r="Q119" s="15"/>
    </row>
    <row r="120" spans="2:17" ht="24.95" customHeight="1">
      <c r="B120" s="9029"/>
      <c r="C120" s="9038"/>
      <c r="D120" s="9038"/>
      <c r="E120" s="9038"/>
      <c r="F120" s="9038"/>
      <c r="G120" s="9038"/>
      <c r="H120" s="9038"/>
      <c r="I120" s="9038"/>
      <c r="J120" s="9038"/>
      <c r="K120" s="9039"/>
      <c r="L120" s="15"/>
      <c r="M120" s="15"/>
      <c r="N120" s="15"/>
      <c r="O120" s="15"/>
      <c r="P120" s="15"/>
      <c r="Q120" s="15"/>
    </row>
    <row r="121" spans="2:17" ht="24.95" customHeight="1" thickBot="1">
      <c r="B121" s="9037"/>
      <c r="C121" s="9040"/>
      <c r="D121" s="9040"/>
      <c r="E121" s="9040"/>
      <c r="F121" s="9040"/>
      <c r="G121" s="9040"/>
      <c r="H121" s="9040"/>
      <c r="I121" s="9040"/>
      <c r="J121" s="9040"/>
      <c r="K121" s="9041"/>
      <c r="L121" s="15"/>
      <c r="M121" s="15"/>
      <c r="N121" s="15"/>
      <c r="O121" s="15"/>
      <c r="P121" s="15"/>
      <c r="Q121" s="15"/>
    </row>
    <row r="122" spans="2:17" ht="15" customHeight="1">
      <c r="B122" s="15"/>
      <c r="C122" s="15"/>
      <c r="D122" s="15"/>
      <c r="E122" s="15"/>
      <c r="F122" s="15"/>
      <c r="G122" s="15"/>
      <c r="H122" s="15"/>
      <c r="I122" s="15"/>
      <c r="J122" s="15"/>
      <c r="K122" s="15"/>
      <c r="L122" s="15"/>
      <c r="M122" s="15"/>
      <c r="N122" s="15"/>
      <c r="O122" s="15"/>
      <c r="P122" s="15"/>
      <c r="Q122" s="15"/>
    </row>
    <row r="123" spans="2:17" ht="15" customHeight="1">
      <c r="B123" s="1"/>
      <c r="C123" s="1"/>
      <c r="D123" s="1"/>
      <c r="E123" s="462"/>
      <c r="F123" s="462"/>
      <c r="G123" s="1"/>
      <c r="H123" s="1"/>
      <c r="I123" s="1"/>
      <c r="J123" s="1"/>
      <c r="K123" s="1"/>
      <c r="L123" s="15"/>
      <c r="M123" s="15"/>
      <c r="N123" s="15"/>
      <c r="O123" s="15"/>
      <c r="P123" s="15"/>
      <c r="Q123" s="15"/>
    </row>
    <row r="124" spans="2:17" ht="20.100000000000001" customHeight="1">
      <c r="B124" s="1"/>
      <c r="C124" s="436" t="s">
        <v>1286</v>
      </c>
      <c r="D124" s="518"/>
      <c r="E124" s="518"/>
      <c r="F124" s="518"/>
      <c r="G124" s="1"/>
      <c r="H124" s="1"/>
      <c r="I124" s="1"/>
      <c r="J124" s="1"/>
      <c r="K124" s="1"/>
      <c r="L124" s="15"/>
      <c r="M124" s="15"/>
      <c r="N124" s="15"/>
      <c r="O124" s="15"/>
      <c r="P124" s="15"/>
      <c r="Q124" s="15"/>
    </row>
    <row r="125" spans="2:17" ht="20.100000000000001" customHeight="1">
      <c r="B125" s="519" t="s">
        <v>1283</v>
      </c>
      <c r="C125" s="8051" t="s">
        <v>1287</v>
      </c>
      <c r="D125" s="8051"/>
      <c r="E125" s="8051"/>
      <c r="F125" s="8051"/>
      <c r="G125" s="8051"/>
      <c r="H125" s="8051"/>
      <c r="I125" s="1"/>
      <c r="J125" s="1"/>
      <c r="K125" s="1"/>
      <c r="L125" s="15"/>
      <c r="M125" s="15"/>
      <c r="N125" s="15"/>
      <c r="O125" s="15"/>
      <c r="P125" s="15"/>
      <c r="Q125" s="15"/>
    </row>
    <row r="126" spans="2:17" ht="20.100000000000001" customHeight="1">
      <c r="B126" s="1"/>
      <c r="C126" s="436"/>
      <c r="D126" s="518"/>
      <c r="E126" s="518"/>
      <c r="F126" s="518"/>
      <c r="G126" s="1"/>
      <c r="H126" s="1"/>
      <c r="I126" s="1"/>
      <c r="J126" s="1"/>
      <c r="K126" s="1"/>
      <c r="L126" s="15"/>
      <c r="M126" s="15"/>
      <c r="N126" s="15"/>
      <c r="O126" s="15"/>
      <c r="P126" s="15"/>
      <c r="Q126" s="15"/>
    </row>
    <row r="127" spans="2:17" ht="20.100000000000001" customHeight="1">
      <c r="B127" s="519" t="s">
        <v>1283</v>
      </c>
      <c r="C127" s="8051" t="s">
        <v>1288</v>
      </c>
      <c r="D127" s="9023"/>
      <c r="E127" s="9023"/>
      <c r="F127" s="9023"/>
      <c r="G127" s="1"/>
      <c r="H127" s="1"/>
      <c r="I127" s="1"/>
      <c r="J127" s="1"/>
      <c r="K127" s="1"/>
      <c r="L127" s="15"/>
      <c r="M127" s="15"/>
      <c r="N127" s="15"/>
      <c r="O127" s="15"/>
      <c r="P127" s="15"/>
      <c r="Q127" s="15"/>
    </row>
    <row r="128" spans="2:17" ht="20.100000000000001" customHeight="1">
      <c r="B128" s="1"/>
      <c r="C128" s="518"/>
      <c r="D128" s="518"/>
      <c r="E128" s="518"/>
      <c r="F128" s="518"/>
      <c r="G128" s="1"/>
      <c r="H128" s="1"/>
      <c r="I128" s="1"/>
      <c r="J128" s="1"/>
      <c r="K128" s="1"/>
      <c r="L128" s="15"/>
      <c r="M128" s="15"/>
      <c r="N128" s="15"/>
      <c r="O128" s="15"/>
      <c r="P128" s="15"/>
      <c r="Q128" s="15"/>
    </row>
    <row r="129" spans="2:17" ht="20.100000000000001" customHeight="1">
      <c r="B129" s="519" t="s">
        <v>1283</v>
      </c>
      <c r="C129" s="9027" t="s">
        <v>1289</v>
      </c>
      <c r="D129" s="9027"/>
      <c r="E129" s="9027"/>
      <c r="F129" s="9027"/>
      <c r="G129" s="1"/>
      <c r="H129" s="1"/>
      <c r="I129" s="1"/>
      <c r="J129" s="1"/>
      <c r="K129" s="1"/>
      <c r="L129" s="15"/>
      <c r="M129" s="15"/>
      <c r="N129" s="15"/>
      <c r="O129" s="15"/>
      <c r="P129" s="15"/>
      <c r="Q129" s="15"/>
    </row>
    <row r="130" spans="2:17" ht="20.100000000000001" customHeight="1">
      <c r="B130" s="1"/>
      <c r="C130" s="518"/>
      <c r="D130" s="518"/>
      <c r="E130" s="518"/>
      <c r="F130" s="518"/>
      <c r="G130" s="1"/>
      <c r="H130" s="1"/>
      <c r="I130" s="1"/>
      <c r="J130" s="1"/>
      <c r="K130" s="1"/>
      <c r="L130" s="15"/>
      <c r="M130" s="15"/>
      <c r="N130" s="15"/>
      <c r="O130" s="15"/>
      <c r="P130" s="15"/>
      <c r="Q130" s="15"/>
    </row>
    <row r="131" spans="2:17" ht="20.100000000000001" customHeight="1">
      <c r="B131" s="1"/>
      <c r="C131" s="520" t="s">
        <v>1196</v>
      </c>
      <c r="D131" s="518"/>
      <c r="E131" s="518"/>
      <c r="F131" s="521"/>
      <c r="G131" s="1"/>
      <c r="H131" s="1"/>
      <c r="I131" s="1"/>
      <c r="J131" s="1"/>
      <c r="K131" s="1"/>
      <c r="L131" s="15"/>
      <c r="M131" s="15"/>
      <c r="N131" s="15"/>
      <c r="O131" s="15"/>
      <c r="P131" s="15"/>
      <c r="Q131" s="15"/>
    </row>
    <row r="132" spans="2:17" ht="20.100000000000001" customHeight="1">
      <c r="B132" s="519" t="s">
        <v>1283</v>
      </c>
      <c r="C132" s="9024" t="s">
        <v>1199</v>
      </c>
      <c r="D132" s="9024"/>
      <c r="E132" s="9024"/>
      <c r="F132" s="9024"/>
      <c r="G132" s="9024"/>
      <c r="H132" s="9024"/>
      <c r="I132" s="9024"/>
      <c r="J132" s="1"/>
      <c r="K132" s="1"/>
      <c r="L132" s="15"/>
      <c r="M132" s="15"/>
      <c r="N132" s="15"/>
      <c r="O132" s="15"/>
      <c r="P132" s="15"/>
      <c r="Q132" s="15"/>
    </row>
    <row r="133" spans="2:17" ht="20.100000000000001" customHeight="1">
      <c r="B133" s="719"/>
      <c r="C133" s="719"/>
      <c r="D133" s="719"/>
      <c r="E133" s="719"/>
      <c r="F133" s="719"/>
      <c r="G133" s="719"/>
      <c r="H133" s="719"/>
      <c r="I133" s="719"/>
      <c r="J133" s="1"/>
      <c r="K133" s="1"/>
      <c r="L133" s="15"/>
      <c r="M133" s="15"/>
      <c r="N133" s="15"/>
      <c r="O133" s="15"/>
      <c r="P133" s="15"/>
      <c r="Q133" s="15"/>
    </row>
    <row r="134" spans="2:17" ht="20.100000000000001" customHeight="1">
      <c r="B134" s="519" t="s">
        <v>1283</v>
      </c>
      <c r="C134" s="9024" t="s">
        <v>1201</v>
      </c>
      <c r="D134" s="9024"/>
      <c r="E134" s="518"/>
      <c r="F134" s="518"/>
      <c r="G134" s="1"/>
      <c r="H134" s="1"/>
      <c r="I134" s="1"/>
      <c r="J134" s="1"/>
      <c r="K134" s="1"/>
      <c r="L134" s="15"/>
      <c r="M134" s="15"/>
      <c r="N134" s="15"/>
      <c r="O134" s="15"/>
      <c r="P134" s="15"/>
      <c r="Q134" s="15"/>
    </row>
    <row r="135" spans="2:17" ht="20.100000000000001" customHeight="1">
      <c r="B135" s="1"/>
      <c r="C135" s="518"/>
      <c r="D135" s="518"/>
      <c r="E135" s="518"/>
      <c r="F135" s="521"/>
      <c r="G135" s="1"/>
      <c r="H135" s="1"/>
      <c r="I135" s="1"/>
      <c r="J135" s="1"/>
      <c r="K135" s="1"/>
      <c r="L135" s="15"/>
      <c r="M135" s="15"/>
      <c r="N135" s="15"/>
      <c r="O135" s="15"/>
      <c r="P135" s="15"/>
      <c r="Q135" s="15"/>
    </row>
    <row r="136" spans="2:17" ht="20.100000000000001" customHeight="1">
      <c r="B136" s="1"/>
      <c r="C136" s="520" t="s">
        <v>1208</v>
      </c>
      <c r="D136" s="518"/>
      <c r="E136" s="518"/>
      <c r="F136" s="518"/>
      <c r="G136" s="1"/>
      <c r="H136" s="1"/>
      <c r="I136" s="1"/>
      <c r="J136" s="1"/>
      <c r="K136" s="1"/>
      <c r="L136" s="15"/>
      <c r="M136" s="15"/>
      <c r="N136" s="15"/>
      <c r="O136" s="15"/>
      <c r="P136" s="15"/>
      <c r="Q136" s="15"/>
    </row>
    <row r="137" spans="2:17" ht="20.100000000000001" customHeight="1">
      <c r="B137" s="519" t="s">
        <v>1283</v>
      </c>
      <c r="C137" s="9024" t="s">
        <v>1213</v>
      </c>
      <c r="D137" s="9024"/>
      <c r="E137" s="9024"/>
      <c r="F137" s="9024"/>
      <c r="G137" s="1"/>
      <c r="H137" s="1"/>
      <c r="I137" s="1"/>
      <c r="J137" s="1"/>
      <c r="K137" s="1"/>
      <c r="L137" s="15"/>
      <c r="M137" s="15"/>
      <c r="N137" s="15"/>
      <c r="O137" s="15"/>
      <c r="P137" s="15"/>
      <c r="Q137" s="15"/>
    </row>
    <row r="138" spans="2:17" ht="20.100000000000001" customHeight="1">
      <c r="B138" s="1"/>
      <c r="C138" s="518"/>
      <c r="D138" s="518"/>
      <c r="E138" s="518"/>
      <c r="F138" s="518"/>
      <c r="G138" s="1"/>
      <c r="H138" s="1"/>
      <c r="I138" s="1"/>
      <c r="J138" s="1"/>
      <c r="K138" s="1"/>
      <c r="L138" s="15"/>
      <c r="M138" s="15"/>
      <c r="N138" s="15"/>
      <c r="O138" s="15"/>
      <c r="P138" s="15"/>
      <c r="Q138" s="15"/>
    </row>
    <row r="139" spans="2:17" ht="20.100000000000001" customHeight="1">
      <c r="B139" s="1"/>
      <c r="C139" s="520" t="s">
        <v>1220</v>
      </c>
      <c r="D139" s="518"/>
      <c r="E139" s="518"/>
      <c r="F139" s="518"/>
      <c r="G139" s="1"/>
      <c r="H139" s="1"/>
      <c r="I139" s="1"/>
      <c r="J139" s="1"/>
      <c r="K139" s="1"/>
      <c r="L139" s="15"/>
      <c r="M139" s="15"/>
      <c r="N139" s="15"/>
      <c r="O139" s="15"/>
      <c r="P139" s="15"/>
      <c r="Q139" s="15"/>
    </row>
    <row r="140" spans="2:17" ht="20.100000000000001" customHeight="1">
      <c r="B140" s="519" t="s">
        <v>1283</v>
      </c>
      <c r="C140" s="9024" t="s">
        <v>1225</v>
      </c>
      <c r="D140" s="9024"/>
      <c r="E140" s="9024"/>
      <c r="F140" s="9024"/>
      <c r="G140" s="1"/>
      <c r="H140" s="1"/>
      <c r="I140" s="1"/>
      <c r="J140" s="1"/>
      <c r="K140" s="1"/>
      <c r="L140" s="15"/>
      <c r="M140" s="15"/>
      <c r="N140" s="15"/>
      <c r="O140" s="15"/>
      <c r="P140" s="15"/>
      <c r="Q140" s="15"/>
    </row>
    <row r="141" spans="2:17" ht="20.100000000000001" customHeight="1">
      <c r="B141" s="1"/>
      <c r="C141" s="518"/>
      <c r="D141" s="518"/>
      <c r="E141" s="518"/>
      <c r="F141" s="518"/>
      <c r="G141" s="1"/>
      <c r="H141" s="1"/>
      <c r="I141" s="1"/>
      <c r="J141" s="1"/>
      <c r="K141" s="1"/>
      <c r="L141" s="15"/>
      <c r="M141" s="15"/>
      <c r="N141" s="15"/>
      <c r="O141" s="15"/>
      <c r="P141" s="15"/>
      <c r="Q141" s="15"/>
    </row>
    <row r="142" spans="2:17" ht="20.100000000000001" customHeight="1">
      <c r="B142" s="1"/>
      <c r="C142" s="520" t="s">
        <v>1233</v>
      </c>
      <c r="D142" s="518"/>
      <c r="E142" s="518"/>
      <c r="F142" s="518"/>
      <c r="G142" s="1"/>
      <c r="H142" s="1"/>
      <c r="I142" s="1"/>
      <c r="J142" s="1"/>
      <c r="K142" s="1"/>
      <c r="L142" s="15"/>
      <c r="M142" s="15"/>
      <c r="N142" s="15"/>
      <c r="O142" s="15"/>
      <c r="P142" s="15"/>
      <c r="Q142" s="15"/>
    </row>
    <row r="143" spans="2:17" ht="20.100000000000001" customHeight="1">
      <c r="B143" s="519" t="s">
        <v>1283</v>
      </c>
      <c r="C143" s="9024" t="s">
        <v>1236</v>
      </c>
      <c r="D143" s="9024"/>
      <c r="E143" s="518"/>
      <c r="F143" s="518"/>
      <c r="G143" s="1"/>
      <c r="H143" s="1"/>
      <c r="I143" s="1"/>
      <c r="J143" s="1"/>
      <c r="K143" s="1"/>
      <c r="L143" s="15"/>
      <c r="M143" s="15"/>
      <c r="N143" s="15"/>
      <c r="O143" s="15"/>
      <c r="P143" s="15"/>
      <c r="Q143" s="15"/>
    </row>
    <row r="144" spans="2:17" ht="20.100000000000001" customHeight="1">
      <c r="B144" s="719"/>
      <c r="C144" s="719"/>
      <c r="D144" s="719"/>
      <c r="E144" s="518"/>
      <c r="F144" s="518"/>
      <c r="G144" s="1"/>
      <c r="H144" s="1"/>
      <c r="I144" s="1"/>
      <c r="J144" s="1"/>
      <c r="K144" s="1"/>
      <c r="L144" s="15"/>
      <c r="M144" s="15"/>
      <c r="N144" s="15"/>
      <c r="O144" s="15"/>
      <c r="P144" s="15"/>
      <c r="Q144" s="15"/>
    </row>
    <row r="145" spans="1:17" ht="20.100000000000001" customHeight="1">
      <c r="B145" s="522" t="s">
        <v>1283</v>
      </c>
      <c r="C145" s="8051" t="s">
        <v>1237</v>
      </c>
      <c r="D145" s="9023"/>
      <c r="E145" s="9023"/>
      <c r="F145" s="9023"/>
      <c r="G145" s="1"/>
      <c r="H145" s="1"/>
      <c r="I145" s="1"/>
      <c r="J145" s="1"/>
      <c r="K145" s="1"/>
      <c r="L145" s="15"/>
      <c r="M145" s="15"/>
      <c r="N145" s="15"/>
      <c r="O145" s="15"/>
      <c r="P145" s="15"/>
      <c r="Q145" s="15"/>
    </row>
    <row r="146" spans="1:17" ht="20.100000000000001" customHeight="1">
      <c r="B146" s="1"/>
      <c r="C146" s="518"/>
      <c r="D146" s="523"/>
      <c r="E146" s="518"/>
      <c r="F146" s="524"/>
      <c r="G146" s="1"/>
      <c r="H146" s="1"/>
      <c r="I146" s="1"/>
      <c r="J146" s="1"/>
      <c r="K146" s="1"/>
      <c r="L146" s="15"/>
      <c r="M146" s="15"/>
      <c r="N146" s="15"/>
      <c r="O146" s="15"/>
      <c r="P146" s="15"/>
      <c r="Q146" s="15"/>
    </row>
    <row r="147" spans="1:17" ht="20.100000000000001" customHeight="1">
      <c r="B147" s="1"/>
      <c r="C147" s="520" t="s">
        <v>1240</v>
      </c>
      <c r="D147" s="523"/>
      <c r="E147" s="518"/>
      <c r="F147" s="524"/>
      <c r="G147" s="1"/>
      <c r="H147" s="1"/>
      <c r="I147" s="1"/>
      <c r="J147" s="1"/>
      <c r="K147" s="1"/>
      <c r="L147" s="15"/>
      <c r="M147" s="15"/>
      <c r="N147" s="15"/>
      <c r="O147" s="15"/>
      <c r="P147" s="15"/>
      <c r="Q147" s="15"/>
    </row>
    <row r="148" spans="1:17" ht="20.100000000000001" customHeight="1">
      <c r="B148" s="519" t="s">
        <v>1283</v>
      </c>
      <c r="C148" s="9024" t="s">
        <v>1241</v>
      </c>
      <c r="D148" s="9024"/>
      <c r="E148" s="9024"/>
      <c r="F148" s="9024"/>
      <c r="G148" s="9024"/>
      <c r="H148" s="1"/>
      <c r="I148" s="1"/>
      <c r="J148" s="1"/>
      <c r="K148" s="1"/>
      <c r="L148" s="15"/>
      <c r="M148" s="15"/>
      <c r="N148" s="15"/>
      <c r="O148" s="15"/>
      <c r="P148" s="15"/>
      <c r="Q148" s="15"/>
    </row>
    <row r="149" spans="1:17" ht="20.100000000000001" customHeight="1">
      <c r="B149" s="1"/>
      <c r="C149" s="1"/>
      <c r="D149" s="1"/>
      <c r="E149" s="462"/>
      <c r="F149" s="462"/>
      <c r="G149" s="1"/>
      <c r="H149" s="1"/>
      <c r="I149" s="1"/>
      <c r="J149" s="1"/>
      <c r="K149" s="1"/>
      <c r="L149" s="15"/>
      <c r="M149" s="15"/>
      <c r="N149" s="15"/>
      <c r="O149" s="15"/>
      <c r="P149" s="15"/>
      <c r="Q149" s="15"/>
    </row>
    <row r="150" spans="1:17">
      <c r="A150" s="525"/>
      <c r="B150" s="526"/>
      <c r="C150" s="527"/>
      <c r="D150" s="527"/>
      <c r="E150" s="527"/>
      <c r="F150" s="527"/>
      <c r="G150" s="527"/>
      <c r="H150" s="527"/>
      <c r="I150" s="527"/>
      <c r="J150" s="526"/>
      <c r="K150" s="526"/>
      <c r="L150" s="526"/>
      <c r="M150" s="525"/>
      <c r="N150" s="525"/>
      <c r="O150" s="525"/>
      <c r="P150" s="525"/>
      <c r="Q150" s="525"/>
    </row>
    <row r="151" spans="1:17" ht="18.75">
      <c r="A151" s="15"/>
      <c r="B151" s="308" t="s">
        <v>502</v>
      </c>
      <c r="C151" s="1"/>
      <c r="D151" s="1"/>
      <c r="E151" s="1"/>
      <c r="F151" s="723"/>
      <c r="G151" s="723"/>
      <c r="H151" s="14"/>
      <c r="I151" s="721"/>
      <c r="J151" s="282"/>
      <c r="K151" s="282"/>
      <c r="L151" s="38"/>
      <c r="M151" s="721"/>
      <c r="N151" s="721"/>
      <c r="O151" s="15"/>
      <c r="P151" s="15"/>
      <c r="Q151" s="14"/>
    </row>
    <row r="152" spans="1:17" ht="18.75">
      <c r="A152" s="15"/>
      <c r="B152" s="308"/>
      <c r="C152" s="9025" t="s">
        <v>500</v>
      </c>
      <c r="D152" s="9025"/>
      <c r="E152" s="9025"/>
      <c r="F152" s="9025"/>
      <c r="G152" s="9025"/>
      <c r="H152" s="9025"/>
      <c r="I152" s="721"/>
      <c r="J152" s="721"/>
      <c r="K152" s="38"/>
      <c r="L152" s="38"/>
      <c r="M152" s="721"/>
      <c r="N152" s="721"/>
      <c r="O152" s="15"/>
      <c r="P152" s="15"/>
      <c r="Q152" s="14"/>
    </row>
    <row r="153" spans="1:17" ht="18.75">
      <c r="A153" s="15"/>
      <c r="B153" s="308"/>
      <c r="C153" s="316"/>
      <c r="D153" s="723"/>
      <c r="E153" s="723"/>
      <c r="F153" s="723"/>
      <c r="G153" s="723"/>
      <c r="H153" s="14"/>
      <c r="I153" s="721"/>
      <c r="J153" s="721"/>
      <c r="K153" s="38"/>
      <c r="L153" s="38"/>
      <c r="M153" s="721"/>
      <c r="N153" s="721"/>
      <c r="O153" s="15"/>
      <c r="P153" s="15"/>
      <c r="Q153" s="14"/>
    </row>
    <row r="154" spans="1:17" ht="18.75">
      <c r="A154" s="15"/>
      <c r="B154" s="317"/>
      <c r="C154" s="9026" t="s">
        <v>501</v>
      </c>
      <c r="D154" s="9026"/>
      <c r="E154" s="9026"/>
      <c r="F154" s="9026"/>
      <c r="G154" s="14"/>
      <c r="H154" s="14"/>
      <c r="I154" s="14"/>
      <c r="J154" s="14"/>
      <c r="K154" s="14"/>
      <c r="L154" s="38"/>
      <c r="M154" s="721"/>
      <c r="N154" s="721"/>
      <c r="O154" s="15"/>
      <c r="P154" s="15"/>
      <c r="Q154" s="14"/>
    </row>
    <row r="155" spans="1:17" ht="18.75">
      <c r="A155" s="15"/>
      <c r="B155" s="317"/>
      <c r="C155" s="738"/>
      <c r="D155" s="723"/>
      <c r="E155" s="723"/>
      <c r="F155" s="723"/>
      <c r="G155" s="14"/>
      <c r="H155" s="14"/>
      <c r="I155" s="14"/>
      <c r="J155" s="14"/>
      <c r="K155" s="38"/>
      <c r="L155" s="38"/>
      <c r="M155" s="721"/>
      <c r="N155" s="721"/>
      <c r="O155" s="15"/>
      <c r="P155" s="15"/>
      <c r="Q155" s="14"/>
    </row>
    <row r="156" spans="1:17" ht="18.75">
      <c r="A156" s="15"/>
      <c r="B156" s="308"/>
      <c r="C156" s="9025" t="s">
        <v>499</v>
      </c>
      <c r="D156" s="9025"/>
      <c r="E156" s="9025"/>
      <c r="F156" s="9025"/>
      <c r="G156" s="14"/>
      <c r="H156" s="14"/>
      <c r="I156" s="14"/>
      <c r="J156" s="14"/>
      <c r="K156" s="14"/>
      <c r="L156" s="38"/>
      <c r="M156" s="721"/>
      <c r="N156" s="721"/>
      <c r="O156" s="15"/>
      <c r="P156" s="15"/>
      <c r="Q156" s="14"/>
    </row>
    <row r="157" spans="1:17" ht="18.75">
      <c r="A157" s="15"/>
      <c r="B157" s="308"/>
      <c r="C157" s="308"/>
      <c r="D157" s="308"/>
      <c r="E157" s="308"/>
      <c r="F157" s="308"/>
      <c r="G157" s="14"/>
      <c r="H157" s="14"/>
      <c r="I157" s="14"/>
      <c r="J157" s="14"/>
      <c r="K157" s="14"/>
      <c r="L157" s="38"/>
      <c r="M157" s="721"/>
      <c r="N157" s="721"/>
      <c r="O157" s="15"/>
      <c r="P157" s="15"/>
      <c r="Q157" s="14"/>
    </row>
    <row r="158" spans="1:17" ht="18.75">
      <c r="A158" s="15"/>
      <c r="B158" s="308"/>
      <c r="C158" s="9025" t="s">
        <v>1251</v>
      </c>
      <c r="D158" s="9025"/>
      <c r="E158" s="9025"/>
      <c r="F158" s="9025"/>
      <c r="G158" s="14"/>
      <c r="H158" s="14"/>
      <c r="I158" s="14"/>
      <c r="J158" s="14"/>
      <c r="K158" s="14"/>
      <c r="L158" s="38"/>
      <c r="M158" s="721"/>
      <c r="N158" s="721"/>
      <c r="O158" s="15"/>
      <c r="P158" s="15"/>
      <c r="Q158" s="14"/>
    </row>
    <row r="159" spans="1:17" ht="18.75">
      <c r="A159" s="15"/>
      <c r="B159" s="308"/>
      <c r="C159" s="316"/>
      <c r="D159" s="723"/>
      <c r="E159" s="723"/>
      <c r="F159" s="723"/>
      <c r="G159" s="14"/>
      <c r="H159" s="14"/>
      <c r="I159" s="14"/>
      <c r="J159" s="14"/>
      <c r="K159" s="14"/>
      <c r="L159" s="38"/>
      <c r="M159" s="721"/>
      <c r="N159" s="721"/>
      <c r="O159" s="15"/>
      <c r="P159" s="15"/>
      <c r="Q159" s="14"/>
    </row>
    <row r="160" spans="1:17" ht="16.5" customHeight="1">
      <c r="A160" s="15"/>
      <c r="B160" s="265" t="s">
        <v>361</v>
      </c>
      <c r="C160" s="266"/>
      <c r="D160" s="267"/>
      <c r="E160" s="266"/>
      <c r="F160" s="266"/>
      <c r="G160" s="266"/>
      <c r="H160" s="266"/>
      <c r="I160" s="266"/>
      <c r="J160" s="266"/>
      <c r="K160" s="266"/>
      <c r="L160" s="15"/>
      <c r="M160" s="15"/>
      <c r="N160" s="15"/>
      <c r="O160" s="15"/>
      <c r="P160" s="15"/>
      <c r="Q160" s="15"/>
    </row>
    <row r="161" spans="1:17" ht="16.5" customHeight="1">
      <c r="A161" s="15"/>
      <c r="B161" s="268"/>
      <c r="C161" s="266"/>
      <c r="D161" s="299" t="s">
        <v>456</v>
      </c>
      <c r="E161" s="297"/>
      <c r="F161" s="297"/>
      <c r="G161" s="266"/>
      <c r="H161" s="266"/>
      <c r="I161" s="266"/>
      <c r="J161" s="266"/>
      <c r="K161" s="266"/>
      <c r="L161" s="15"/>
      <c r="M161" s="15"/>
      <c r="N161" s="15"/>
      <c r="O161" s="15"/>
      <c r="P161" s="15"/>
      <c r="Q161" s="15"/>
    </row>
    <row r="162" spans="1:17" ht="20.100000000000001" customHeight="1">
      <c r="A162" s="15"/>
      <c r="B162" s="269"/>
      <c r="C162" s="266"/>
      <c r="D162" s="297" t="s">
        <v>362</v>
      </c>
      <c r="E162" s="266"/>
      <c r="F162" s="266"/>
      <c r="G162" s="266"/>
      <c r="H162" s="266"/>
      <c r="I162" s="266"/>
      <c r="J162" s="266"/>
      <c r="K162" s="266"/>
      <c r="L162" s="15"/>
      <c r="M162" s="15"/>
      <c r="N162" s="15"/>
      <c r="O162" s="15"/>
      <c r="P162" s="15"/>
      <c r="Q162" s="15"/>
    </row>
    <row r="163" spans="1:17" ht="20.100000000000001" customHeight="1">
      <c r="A163" s="15"/>
      <c r="B163" s="269"/>
      <c r="C163" s="266"/>
      <c r="D163" s="297" t="s">
        <v>1515</v>
      </c>
      <c r="E163" s="266"/>
      <c r="F163" s="266"/>
      <c r="G163" s="266"/>
      <c r="H163" s="266"/>
      <c r="I163" s="299" t="s">
        <v>1516</v>
      </c>
      <c r="J163" s="266"/>
      <c r="K163" s="266"/>
      <c r="L163" s="15"/>
      <c r="M163" s="15"/>
      <c r="N163" s="15"/>
      <c r="O163" s="15"/>
      <c r="P163" s="15"/>
      <c r="Q163" s="15"/>
    </row>
    <row r="164" spans="1:17" ht="20.100000000000001" customHeight="1" thickBot="1">
      <c r="A164" s="15"/>
      <c r="B164" s="270" t="s">
        <v>1517</v>
      </c>
      <c r="C164" s="271"/>
      <c r="D164" s="272"/>
      <c r="E164" s="271"/>
      <c r="F164" s="650"/>
      <c r="G164" s="271"/>
      <c r="H164" s="271"/>
      <c r="I164" s="271"/>
      <c r="J164" s="271"/>
      <c r="K164" s="271"/>
      <c r="L164" s="15"/>
      <c r="M164" s="15"/>
      <c r="N164" s="15"/>
      <c r="O164" s="15"/>
      <c r="P164" s="15"/>
      <c r="Q164" s="15"/>
    </row>
    <row r="165" spans="1:17" ht="20.100000000000001" customHeight="1" thickTop="1" thickBot="1">
      <c r="A165" s="15"/>
      <c r="B165" s="270"/>
      <c r="C165" s="273"/>
      <c r="D165" s="274">
        <f>LEN(F165)</f>
        <v>58</v>
      </c>
      <c r="E165" s="275" t="s">
        <v>363</v>
      </c>
      <c r="F165" s="651" t="s">
        <v>361</v>
      </c>
      <c r="G165" s="271"/>
      <c r="H165" s="271"/>
      <c r="I165" s="271"/>
      <c r="J165" s="271"/>
      <c r="K165" s="271"/>
      <c r="L165" s="15"/>
      <c r="M165" s="15"/>
      <c r="N165" s="15"/>
      <c r="O165" s="15"/>
      <c r="P165" s="15"/>
      <c r="Q165" s="15"/>
    </row>
    <row r="166" spans="1:17" ht="20.100000000000001" customHeight="1" thickTop="1">
      <c r="A166" s="15"/>
      <c r="B166" s="270"/>
      <c r="C166" s="271"/>
      <c r="D166" s="271"/>
      <c r="E166" s="271"/>
      <c r="F166" s="652"/>
      <c r="G166" s="271"/>
      <c r="H166" s="271"/>
      <c r="I166" s="271"/>
      <c r="J166" s="271"/>
      <c r="K166" s="271"/>
      <c r="L166" s="15"/>
      <c r="M166" s="15"/>
      <c r="N166" s="15"/>
      <c r="O166" s="15"/>
      <c r="P166" s="15"/>
      <c r="Q166" s="15"/>
    </row>
    <row r="167" spans="1:17" ht="20.100000000000001" customHeight="1">
      <c r="A167" s="15"/>
      <c r="B167" s="270" t="s">
        <v>364</v>
      </c>
      <c r="C167" s="276"/>
      <c r="D167" s="276"/>
      <c r="E167" s="276"/>
      <c r="F167" s="276"/>
      <c r="G167" s="276"/>
      <c r="H167" s="276"/>
      <c r="I167" s="276"/>
      <c r="J167" s="276"/>
      <c r="K167" s="276"/>
      <c r="L167" s="15"/>
      <c r="M167" s="15"/>
      <c r="N167" s="15"/>
      <c r="O167" s="15"/>
      <c r="P167" s="15"/>
      <c r="Q167" s="15"/>
    </row>
    <row r="168" spans="1:17" ht="20.100000000000001" customHeight="1">
      <c r="A168" s="15"/>
      <c r="B168" s="270"/>
      <c r="C168" s="273"/>
      <c r="D168" s="274">
        <f>LEN(F168)</f>
        <v>50</v>
      </c>
      <c r="E168" s="275" t="s">
        <v>363</v>
      </c>
      <c r="F168" s="298" t="str">
        <f>SUBSTITUTE(F165," ","")</f>
        <v>Utilitairepoursupprimerlesespacevidesdansunephrase</v>
      </c>
      <c r="G168" s="271"/>
      <c r="H168" s="271"/>
      <c r="I168" s="271"/>
      <c r="J168" s="271"/>
      <c r="K168" s="271"/>
      <c r="L168" s="15"/>
      <c r="M168" s="15"/>
      <c r="N168" s="15"/>
      <c r="O168" s="15"/>
      <c r="P168" s="15"/>
      <c r="Q168" s="15"/>
    </row>
    <row r="169" spans="1:17" ht="18">
      <c r="A169" s="15"/>
      <c r="B169" s="270"/>
      <c r="C169" s="270" t="s">
        <v>1518</v>
      </c>
      <c r="D169" s="276"/>
      <c r="E169" s="276"/>
      <c r="F169" s="276"/>
      <c r="G169" s="276"/>
      <c r="H169" s="276"/>
      <c r="I169" s="276"/>
      <c r="J169" s="276"/>
      <c r="K169" s="276"/>
      <c r="L169" s="15"/>
      <c r="M169" s="15"/>
      <c r="N169" s="15"/>
      <c r="O169" s="15"/>
      <c r="P169" s="15"/>
      <c r="Q169" s="15"/>
    </row>
    <row r="170" spans="1:17" ht="18">
      <c r="A170" s="15"/>
      <c r="B170" s="277"/>
      <c r="C170" s="270" t="s">
        <v>1519</v>
      </c>
      <c r="D170" s="270"/>
      <c r="E170" s="277"/>
      <c r="F170" s="277"/>
      <c r="G170" s="277"/>
      <c r="H170" s="277"/>
      <c r="I170" s="277"/>
      <c r="J170" s="277"/>
      <c r="K170" s="277"/>
      <c r="L170" s="15"/>
      <c r="M170" s="15"/>
      <c r="N170" s="15"/>
      <c r="O170" s="15"/>
      <c r="P170" s="15"/>
      <c r="Q170" s="15"/>
    </row>
    <row r="171" spans="1:17" ht="18">
      <c r="A171" s="15"/>
      <c r="B171" s="277"/>
      <c r="C171" s="270" t="s">
        <v>1520</v>
      </c>
      <c r="D171" s="270"/>
      <c r="E171" s="277"/>
      <c r="F171" s="277"/>
      <c r="G171" s="277"/>
      <c r="H171" s="277"/>
      <c r="I171" s="277"/>
      <c r="J171" s="277"/>
      <c r="K171" s="277"/>
      <c r="L171" s="15"/>
      <c r="M171" s="15"/>
      <c r="N171" s="15"/>
      <c r="O171" s="15"/>
      <c r="P171" s="15"/>
      <c r="Q171" s="15"/>
    </row>
    <row r="172" spans="1:17" ht="18">
      <c r="A172" s="15"/>
      <c r="B172" s="277"/>
      <c r="C172" s="270"/>
      <c r="D172" s="270"/>
      <c r="E172" s="277"/>
      <c r="F172" s="277"/>
      <c r="G172" s="277"/>
      <c r="H172" s="277"/>
      <c r="I172" s="277"/>
      <c r="J172" s="277"/>
      <c r="K172" s="277"/>
      <c r="L172" s="15"/>
      <c r="M172" s="15"/>
      <c r="N172" s="15"/>
      <c r="O172" s="15"/>
      <c r="P172" s="15"/>
      <c r="Q172" s="15"/>
    </row>
    <row r="173" spans="1:17" ht="15.75">
      <c r="A173" s="15"/>
      <c r="B173" s="277"/>
      <c r="C173" s="653" t="s">
        <v>1521</v>
      </c>
      <c r="D173" s="654" t="s">
        <v>1522</v>
      </c>
      <c r="E173" s="277"/>
      <c r="F173" s="277"/>
      <c r="G173" s="277"/>
      <c r="H173" s="277"/>
      <c r="I173" s="277"/>
      <c r="J173" s="277"/>
      <c r="K173" s="277"/>
      <c r="L173" s="15"/>
      <c r="M173" s="15"/>
      <c r="N173" s="15"/>
      <c r="O173" s="15"/>
      <c r="P173" s="15"/>
      <c r="Q173" s="15"/>
    </row>
    <row r="174" spans="1:17" ht="15" customHeight="1">
      <c r="B174" s="277"/>
      <c r="C174" s="277"/>
      <c r="D174" s="277"/>
      <c r="E174" s="277"/>
      <c r="F174" s="277"/>
      <c r="G174" s="277"/>
      <c r="H174" s="277"/>
      <c r="I174" s="277"/>
      <c r="J174" s="277"/>
      <c r="K174" s="277"/>
      <c r="L174" s="15"/>
      <c r="M174" s="15"/>
      <c r="N174" s="15"/>
      <c r="O174" s="15"/>
      <c r="P174" s="15"/>
      <c r="Q174" s="15"/>
    </row>
    <row r="175" spans="1:17">
      <c r="A175" s="15"/>
      <c r="B175" s="14"/>
      <c r="C175" s="14"/>
      <c r="D175" s="14"/>
      <c r="E175" s="14"/>
      <c r="F175" s="14"/>
      <c r="G175" s="14"/>
      <c r="H175" s="14"/>
      <c r="I175" s="14"/>
      <c r="J175" s="14"/>
      <c r="K175" s="14"/>
      <c r="L175" s="14"/>
      <c r="M175" s="15"/>
      <c r="N175" s="15"/>
      <c r="O175" s="15"/>
      <c r="P175" s="15"/>
      <c r="Q175" s="15"/>
    </row>
    <row r="176" spans="1:17" ht="18.75">
      <c r="A176" s="15"/>
      <c r="B176" s="14"/>
      <c r="C176" s="420"/>
      <c r="D176" s="316" t="s">
        <v>499</v>
      </c>
      <c r="E176" s="421"/>
      <c r="F176" s="421"/>
      <c r="G176" s="15"/>
      <c r="H176" s="15"/>
      <c r="I176" s="15"/>
      <c r="J176" s="15"/>
      <c r="K176" s="15"/>
      <c r="L176" s="15"/>
      <c r="M176" s="15"/>
      <c r="N176" s="15"/>
      <c r="O176" s="15"/>
      <c r="P176" s="15"/>
      <c r="Q176" s="15"/>
    </row>
    <row r="177" spans="1:17">
      <c r="A177" s="15"/>
      <c r="B177" s="14"/>
      <c r="C177" s="1"/>
      <c r="D177" s="422"/>
      <c r="E177" s="15"/>
      <c r="F177" s="15"/>
      <c r="G177" s="15"/>
      <c r="H177" s="15"/>
      <c r="I177" s="15"/>
      <c r="J177" s="15"/>
      <c r="K177" s="15"/>
      <c r="L177" s="15"/>
      <c r="M177" s="15"/>
      <c r="N177" s="15"/>
      <c r="O177" s="15"/>
      <c r="P177" s="15"/>
      <c r="Q177" s="15"/>
    </row>
    <row r="178" spans="1:17">
      <c r="A178" s="15"/>
      <c r="B178" s="14"/>
      <c r="C178" s="423" t="s">
        <v>498</v>
      </c>
      <c r="D178" s="1"/>
      <c r="E178" s="1"/>
      <c r="F178" s="15"/>
      <c r="G178" s="15"/>
      <c r="H178" s="15"/>
      <c r="I178" s="416" t="s">
        <v>470</v>
      </c>
      <c r="J178" s="416" t="s">
        <v>471</v>
      </c>
      <c r="K178" s="15"/>
      <c r="L178" s="15"/>
      <c r="M178" s="15"/>
      <c r="N178" s="15"/>
      <c r="O178" s="15"/>
      <c r="P178" s="15"/>
      <c r="Q178" s="15"/>
    </row>
    <row r="179" spans="1:17">
      <c r="A179" s="15"/>
      <c r="B179" s="14"/>
      <c r="C179" s="417" t="s">
        <v>472</v>
      </c>
      <c r="D179" s="1"/>
      <c r="E179" s="1"/>
      <c r="F179" s="15"/>
      <c r="G179" s="15"/>
      <c r="H179" s="15"/>
      <c r="I179" s="418">
        <v>41422</v>
      </c>
      <c r="J179" s="419">
        <v>4416</v>
      </c>
      <c r="K179" s="15"/>
      <c r="L179" s="15"/>
      <c r="M179" s="15"/>
      <c r="N179" s="15"/>
      <c r="O179" s="15"/>
      <c r="P179" s="15"/>
      <c r="Q179" s="15"/>
    </row>
    <row r="180" spans="1:17">
      <c r="A180" s="15"/>
      <c r="B180" s="14"/>
      <c r="C180" s="417" t="s">
        <v>473</v>
      </c>
      <c r="D180" s="1"/>
      <c r="E180" s="1"/>
      <c r="F180" s="15"/>
      <c r="G180" s="15"/>
      <c r="H180" s="15"/>
      <c r="I180" s="418">
        <v>41092</v>
      </c>
      <c r="J180" s="419">
        <v>14900</v>
      </c>
      <c r="K180" s="15"/>
      <c r="L180" s="15"/>
      <c r="M180" s="15"/>
      <c r="N180" s="15"/>
      <c r="O180" s="15"/>
      <c r="P180" s="15"/>
      <c r="Q180" s="15"/>
    </row>
    <row r="181" spans="1:17">
      <c r="A181" s="15"/>
      <c r="B181" s="14"/>
      <c r="C181" s="417" t="s">
        <v>474</v>
      </c>
      <c r="D181" s="1"/>
      <c r="E181" s="1"/>
      <c r="F181" s="15"/>
      <c r="G181" s="15"/>
      <c r="H181" s="15"/>
      <c r="I181" s="418">
        <v>41062</v>
      </c>
      <c r="J181" s="419">
        <v>36257</v>
      </c>
      <c r="K181" s="15"/>
      <c r="L181" s="15"/>
      <c r="M181" s="15"/>
      <c r="N181" s="15"/>
      <c r="O181" s="15"/>
      <c r="P181" s="15"/>
      <c r="Q181" s="15"/>
    </row>
    <row r="182" spans="1:17">
      <c r="A182" s="15"/>
      <c r="B182" s="14"/>
      <c r="C182" s="417" t="s">
        <v>475</v>
      </c>
      <c r="D182" s="1"/>
      <c r="E182" s="1"/>
      <c r="F182" s="15"/>
      <c r="G182" s="15"/>
      <c r="H182" s="15"/>
      <c r="I182" s="418">
        <v>41062</v>
      </c>
      <c r="J182" s="419">
        <v>14390</v>
      </c>
      <c r="K182" s="15"/>
      <c r="L182" s="15"/>
      <c r="M182" s="15"/>
      <c r="N182" s="15"/>
      <c r="O182" s="15"/>
      <c r="P182" s="15"/>
      <c r="Q182" s="15"/>
    </row>
    <row r="183" spans="1:17">
      <c r="A183" s="15"/>
      <c r="B183" s="14"/>
      <c r="C183" s="716" t="s">
        <v>476</v>
      </c>
      <c r="D183" s="1"/>
      <c r="E183" s="1"/>
      <c r="F183" s="15"/>
      <c r="G183" s="15"/>
      <c r="H183" s="15"/>
      <c r="I183" s="418">
        <v>41052</v>
      </c>
      <c r="J183" s="419">
        <v>48910</v>
      </c>
      <c r="K183" s="15"/>
      <c r="L183" s="15"/>
      <c r="M183" s="15"/>
      <c r="N183" s="15"/>
      <c r="O183" s="15"/>
      <c r="P183" s="15"/>
      <c r="Q183" s="15"/>
    </row>
    <row r="184" spans="1:17">
      <c r="A184" s="15"/>
      <c r="B184" s="14"/>
      <c r="C184" s="417" t="s">
        <v>477</v>
      </c>
      <c r="D184" s="1"/>
      <c r="E184" s="1"/>
      <c r="F184" s="15"/>
      <c r="G184" s="15"/>
      <c r="H184" s="15"/>
      <c r="I184" s="418">
        <v>41025</v>
      </c>
      <c r="J184" s="419">
        <v>14751</v>
      </c>
      <c r="K184" s="15"/>
      <c r="L184" s="15"/>
      <c r="M184" s="15"/>
      <c r="N184" s="15"/>
      <c r="O184" s="15"/>
      <c r="P184" s="15"/>
      <c r="Q184" s="15"/>
    </row>
    <row r="185" spans="1:17">
      <c r="A185" s="15"/>
      <c r="B185" s="14"/>
      <c r="C185" s="417" t="s">
        <v>478</v>
      </c>
      <c r="D185" s="1"/>
      <c r="E185" s="1"/>
      <c r="F185" s="15"/>
      <c r="G185" s="15"/>
      <c r="H185" s="15"/>
      <c r="I185" s="418">
        <v>40848</v>
      </c>
      <c r="J185" s="419">
        <v>10084</v>
      </c>
      <c r="K185" s="15"/>
      <c r="L185" s="15"/>
      <c r="M185" s="15"/>
      <c r="N185" s="15"/>
      <c r="O185" s="15"/>
      <c r="P185" s="15"/>
      <c r="Q185" s="15"/>
    </row>
    <row r="186" spans="1:17">
      <c r="A186" s="15"/>
      <c r="B186" s="14"/>
      <c r="C186" s="417" t="s">
        <v>479</v>
      </c>
      <c r="D186" s="1"/>
      <c r="E186" s="1"/>
      <c r="F186" s="15"/>
      <c r="G186" s="15"/>
      <c r="H186" s="15"/>
      <c r="I186" s="418">
        <v>40454</v>
      </c>
      <c r="J186" s="419">
        <v>45222</v>
      </c>
      <c r="K186" s="15"/>
      <c r="L186" s="15"/>
      <c r="M186" s="15"/>
      <c r="N186" s="15"/>
      <c r="O186" s="15"/>
      <c r="P186" s="15"/>
      <c r="Q186" s="15"/>
    </row>
    <row r="187" spans="1:17">
      <c r="A187" s="15"/>
      <c r="B187" s="14"/>
      <c r="C187" s="417" t="s">
        <v>480</v>
      </c>
      <c r="D187" s="1"/>
      <c r="E187" s="1"/>
      <c r="F187" s="15"/>
      <c r="G187" s="15"/>
      <c r="H187" s="15"/>
      <c r="I187" s="418">
        <v>40294</v>
      </c>
      <c r="J187" s="419">
        <v>65784</v>
      </c>
      <c r="K187" s="15"/>
      <c r="L187" s="15"/>
      <c r="M187" s="15"/>
      <c r="N187" s="15"/>
      <c r="O187" s="15"/>
      <c r="P187" s="15"/>
      <c r="Q187" s="15"/>
    </row>
    <row r="188" spans="1:17">
      <c r="A188" s="15"/>
      <c r="B188" s="14"/>
      <c r="C188" s="417" t="s">
        <v>481</v>
      </c>
      <c r="D188" s="1"/>
      <c r="E188" s="1"/>
      <c r="F188" s="15"/>
      <c r="G188" s="15"/>
      <c r="H188" s="15"/>
      <c r="I188" s="418">
        <v>40273</v>
      </c>
      <c r="J188" s="419">
        <v>96965</v>
      </c>
      <c r="K188" s="15"/>
      <c r="L188" s="15"/>
      <c r="M188" s="15"/>
      <c r="N188" s="15"/>
      <c r="O188" s="15"/>
      <c r="P188" s="15"/>
      <c r="Q188" s="15"/>
    </row>
    <row r="189" spans="1:17">
      <c r="A189" s="15"/>
      <c r="B189" s="14"/>
      <c r="C189" s="417" t="s">
        <v>482</v>
      </c>
      <c r="D189" s="1"/>
      <c r="E189" s="1"/>
      <c r="F189" s="15"/>
      <c r="G189" s="15"/>
      <c r="H189" s="15"/>
      <c r="I189" s="418">
        <v>40273</v>
      </c>
      <c r="J189" s="419">
        <v>45902</v>
      </c>
      <c r="K189" s="15"/>
      <c r="L189" s="15"/>
      <c r="M189" s="15"/>
      <c r="N189" s="15"/>
      <c r="O189" s="15"/>
      <c r="P189" s="15"/>
      <c r="Q189" s="15"/>
    </row>
    <row r="190" spans="1:17">
      <c r="A190" s="15"/>
      <c r="B190" s="14"/>
      <c r="C190" s="417" t="s">
        <v>483</v>
      </c>
      <c r="D190" s="1"/>
      <c r="E190" s="1"/>
      <c r="F190" s="15"/>
      <c r="G190" s="15"/>
      <c r="H190" s="15"/>
      <c r="I190" s="418">
        <v>40250</v>
      </c>
      <c r="J190" s="419">
        <v>122444</v>
      </c>
      <c r="K190" s="15"/>
      <c r="L190" s="15"/>
      <c r="M190" s="15"/>
      <c r="N190" s="15"/>
      <c r="O190" s="15"/>
      <c r="P190" s="15"/>
      <c r="Q190" s="15"/>
    </row>
    <row r="191" spans="1:17">
      <c r="A191" s="15"/>
      <c r="B191" s="14"/>
      <c r="C191" s="417" t="s">
        <v>484</v>
      </c>
      <c r="D191" s="1"/>
      <c r="E191" s="1"/>
      <c r="F191" s="15"/>
      <c r="G191" s="15"/>
      <c r="H191" s="15"/>
      <c r="I191" s="418">
        <v>40182</v>
      </c>
      <c r="J191" s="419">
        <v>100241</v>
      </c>
      <c r="K191" s="15"/>
      <c r="L191" s="15"/>
      <c r="M191" s="15"/>
      <c r="N191" s="15"/>
      <c r="O191" s="15"/>
      <c r="P191" s="15"/>
      <c r="Q191" s="15"/>
    </row>
    <row r="192" spans="1:17">
      <c r="A192" s="15"/>
      <c r="B192" s="14"/>
      <c r="C192" s="417" t="s">
        <v>485</v>
      </c>
      <c r="D192" s="1"/>
      <c r="E192" s="1"/>
      <c r="F192" s="15"/>
      <c r="G192" s="15"/>
      <c r="H192" s="15"/>
      <c r="I192" s="418">
        <v>40138</v>
      </c>
      <c r="J192" s="419">
        <v>23956</v>
      </c>
      <c r="K192" s="15"/>
      <c r="L192" s="15"/>
      <c r="M192" s="15"/>
      <c r="N192" s="15"/>
      <c r="O192" s="15"/>
      <c r="P192" s="15"/>
      <c r="Q192" s="15"/>
    </row>
    <row r="193" spans="1:17">
      <c r="A193" s="15"/>
      <c r="B193" s="14"/>
      <c r="C193" s="417" t="s">
        <v>486</v>
      </c>
      <c r="D193" s="1"/>
      <c r="E193" s="1"/>
      <c r="F193" s="15"/>
      <c r="G193" s="15"/>
      <c r="H193" s="15"/>
      <c r="I193" s="418">
        <v>40125</v>
      </c>
      <c r="J193" s="419">
        <v>113684</v>
      </c>
      <c r="K193" s="15"/>
      <c r="L193" s="15"/>
      <c r="M193" s="15"/>
      <c r="N193" s="15"/>
      <c r="O193" s="15"/>
      <c r="P193" s="15"/>
      <c r="Q193" s="15"/>
    </row>
    <row r="194" spans="1:17">
      <c r="A194" s="15"/>
      <c r="B194" s="14"/>
      <c r="C194" s="417" t="s">
        <v>487</v>
      </c>
      <c r="D194" s="1"/>
      <c r="E194" s="1"/>
      <c r="F194" s="15"/>
      <c r="G194" s="15"/>
      <c r="H194" s="15"/>
      <c r="I194" s="418">
        <v>40111</v>
      </c>
      <c r="J194" s="419">
        <v>27154</v>
      </c>
      <c r="K194" s="15"/>
      <c r="L194" s="15"/>
      <c r="M194" s="15"/>
      <c r="N194" s="15"/>
      <c r="O194" s="15"/>
      <c r="P194" s="15"/>
      <c r="Q194" s="15"/>
    </row>
    <row r="195" spans="1:17">
      <c r="A195" s="15"/>
      <c r="B195" s="14"/>
      <c r="C195" s="417" t="s">
        <v>488</v>
      </c>
      <c r="D195" s="1"/>
      <c r="E195" s="1"/>
      <c r="F195" s="15"/>
      <c r="G195" s="15"/>
      <c r="H195" s="15"/>
      <c r="I195" s="418">
        <v>40096</v>
      </c>
      <c r="J195" s="419">
        <v>25774</v>
      </c>
      <c r="K195" s="15"/>
      <c r="L195" s="15"/>
      <c r="M195" s="15"/>
      <c r="N195" s="15"/>
      <c r="O195" s="15"/>
      <c r="P195" s="15"/>
      <c r="Q195" s="15"/>
    </row>
    <row r="196" spans="1:17">
      <c r="A196" s="15"/>
      <c r="B196" s="14"/>
      <c r="C196" s="417" t="s">
        <v>489</v>
      </c>
      <c r="D196" s="1"/>
      <c r="E196" s="1"/>
      <c r="F196" s="15"/>
      <c r="G196" s="15"/>
      <c r="H196" s="15"/>
      <c r="I196" s="418">
        <v>40085</v>
      </c>
      <c r="J196" s="419">
        <v>79344</v>
      </c>
      <c r="K196" s="15"/>
      <c r="L196" s="15"/>
      <c r="M196" s="15"/>
      <c r="N196" s="15"/>
      <c r="O196" s="15"/>
      <c r="P196" s="15"/>
      <c r="Q196" s="15"/>
    </row>
    <row r="197" spans="1:17">
      <c r="A197" s="15"/>
      <c r="B197" s="14"/>
      <c r="C197" s="417" t="s">
        <v>490</v>
      </c>
      <c r="D197" s="1"/>
      <c r="E197" s="1"/>
      <c r="F197" s="15"/>
      <c r="G197" s="15"/>
      <c r="H197" s="15"/>
      <c r="I197" s="418">
        <v>40068</v>
      </c>
      <c r="J197" s="419">
        <v>145176</v>
      </c>
      <c r="K197" s="15"/>
      <c r="L197" s="15"/>
      <c r="M197" s="15"/>
      <c r="N197" s="15"/>
      <c r="O197" s="15"/>
      <c r="P197" s="15"/>
      <c r="Q197" s="15"/>
    </row>
    <row r="198" spans="1:17">
      <c r="A198" s="15"/>
      <c r="B198" s="14"/>
      <c r="C198" s="417" t="s">
        <v>491</v>
      </c>
      <c r="D198" s="1"/>
      <c r="E198" s="1"/>
      <c r="F198" s="15"/>
      <c r="G198" s="15"/>
      <c r="H198" s="15"/>
      <c r="I198" s="418">
        <v>40048</v>
      </c>
      <c r="J198" s="419">
        <v>7657</v>
      </c>
      <c r="K198" s="15"/>
      <c r="L198" s="15"/>
      <c r="M198" s="15"/>
      <c r="N198" s="15"/>
      <c r="O198" s="15"/>
      <c r="P198" s="15"/>
      <c r="Q198" s="15"/>
    </row>
    <row r="199" spans="1:17">
      <c r="A199" s="15"/>
      <c r="B199" s="14"/>
      <c r="C199" s="417" t="s">
        <v>492</v>
      </c>
      <c r="D199" s="1"/>
      <c r="E199" s="1"/>
      <c r="F199" s="15"/>
      <c r="G199" s="15"/>
      <c r="H199" s="15"/>
      <c r="I199" s="418">
        <v>40044</v>
      </c>
      <c r="J199" s="419">
        <v>45164</v>
      </c>
      <c r="K199" s="15"/>
      <c r="L199" s="15"/>
      <c r="M199" s="15"/>
      <c r="N199" s="15"/>
      <c r="O199" s="15"/>
      <c r="P199" s="15"/>
      <c r="Q199" s="15"/>
    </row>
    <row r="200" spans="1:17">
      <c r="A200" s="15"/>
      <c r="B200" s="14"/>
      <c r="C200" s="417" t="s">
        <v>493</v>
      </c>
      <c r="D200" s="1"/>
      <c r="E200" s="1"/>
      <c r="F200" s="15"/>
      <c r="G200" s="15"/>
      <c r="H200" s="15"/>
      <c r="I200" s="418">
        <v>40020</v>
      </c>
      <c r="J200" s="419">
        <v>105218</v>
      </c>
      <c r="K200" s="15"/>
      <c r="L200" s="15"/>
      <c r="M200" s="15"/>
      <c r="N200" s="15"/>
      <c r="O200" s="15"/>
      <c r="P200" s="15"/>
      <c r="Q200" s="15"/>
    </row>
    <row r="201" spans="1:17">
      <c r="A201" s="15"/>
      <c r="B201" s="14"/>
      <c r="C201" s="417" t="s">
        <v>494</v>
      </c>
      <c r="D201" s="1"/>
      <c r="E201" s="1"/>
      <c r="F201" s="15"/>
      <c r="G201" s="15"/>
      <c r="H201" s="15"/>
      <c r="I201" s="418">
        <v>39788</v>
      </c>
      <c r="J201" s="419">
        <v>59780</v>
      </c>
      <c r="K201" s="15"/>
      <c r="L201" s="15"/>
      <c r="M201" s="15"/>
      <c r="N201" s="15"/>
      <c r="O201" s="15"/>
      <c r="P201" s="15"/>
      <c r="Q201" s="15"/>
    </row>
    <row r="202" spans="1:17">
      <c r="A202" s="15"/>
      <c r="B202" s="14"/>
      <c r="C202" s="417" t="s">
        <v>495</v>
      </c>
      <c r="D202" s="1"/>
      <c r="E202" s="1"/>
      <c r="F202" s="15"/>
      <c r="G202" s="15"/>
      <c r="H202" s="15"/>
      <c r="I202" s="418">
        <v>39787</v>
      </c>
      <c r="J202" s="419">
        <v>75563</v>
      </c>
      <c r="K202" s="15"/>
      <c r="L202" s="15"/>
      <c r="M202" s="15"/>
      <c r="N202" s="15"/>
      <c r="O202" s="15"/>
      <c r="P202" s="15"/>
      <c r="Q202" s="15"/>
    </row>
    <row r="203" spans="1:17">
      <c r="A203" s="15"/>
      <c r="B203" s="14"/>
      <c r="C203" s="417" t="s">
        <v>496</v>
      </c>
      <c r="D203" s="1"/>
      <c r="E203" s="1"/>
      <c r="F203" s="15"/>
      <c r="G203" s="15"/>
      <c r="H203" s="15"/>
      <c r="I203" s="418">
        <v>39787</v>
      </c>
      <c r="J203" s="419">
        <v>15781</v>
      </c>
      <c r="K203" s="15"/>
      <c r="L203" s="15"/>
      <c r="M203" s="15"/>
      <c r="N203" s="15"/>
      <c r="O203" s="15"/>
      <c r="P203" s="15"/>
      <c r="Q203" s="15"/>
    </row>
    <row r="204" spans="1:17">
      <c r="A204" s="15"/>
      <c r="B204" s="14"/>
      <c r="C204" s="417" t="s">
        <v>497</v>
      </c>
      <c r="D204" s="1"/>
      <c r="E204" s="1"/>
      <c r="F204" s="15"/>
      <c r="G204" s="15"/>
      <c r="H204" s="15"/>
      <c r="I204" s="15"/>
      <c r="J204" s="15"/>
      <c r="K204" s="15"/>
      <c r="L204" s="15"/>
      <c r="M204" s="15"/>
      <c r="N204" s="15"/>
      <c r="O204" s="15"/>
      <c r="P204" s="15"/>
      <c r="Q204" s="15"/>
    </row>
    <row r="205" spans="1:17" ht="20.100000000000001" customHeight="1">
      <c r="B205" s="1"/>
      <c r="C205" s="1"/>
      <c r="D205" s="1"/>
      <c r="E205" s="462"/>
      <c r="F205" s="462"/>
      <c r="G205" s="1"/>
      <c r="H205" s="1"/>
      <c r="I205" s="1"/>
      <c r="J205" s="1"/>
      <c r="K205" s="1"/>
      <c r="L205" s="15"/>
      <c r="M205" s="15"/>
      <c r="N205" s="15"/>
      <c r="O205" s="15"/>
      <c r="P205" s="15"/>
      <c r="Q205" s="15"/>
    </row>
    <row r="206" spans="1:17" ht="20.100000000000001" customHeight="1">
      <c r="B206" s="1"/>
      <c r="C206" s="739" t="s">
        <v>1559</v>
      </c>
      <c r="D206" s="1"/>
      <c r="E206" s="462"/>
      <c r="F206" s="462"/>
      <c r="G206" s="1"/>
      <c r="H206" s="1"/>
      <c r="I206" s="1"/>
      <c r="J206" s="1"/>
      <c r="K206" s="1"/>
      <c r="L206" s="15"/>
      <c r="M206" s="15"/>
      <c r="N206" s="15"/>
      <c r="O206" s="15"/>
      <c r="P206" s="15"/>
      <c r="Q206" s="15"/>
    </row>
    <row r="207" spans="1:17" ht="20.100000000000001" customHeight="1">
      <c r="B207" s="1"/>
      <c r="C207" s="1"/>
      <c r="D207" s="1"/>
      <c r="E207" s="462"/>
      <c r="F207" s="462"/>
      <c r="G207" s="1"/>
      <c r="H207" s="1"/>
      <c r="I207" s="1"/>
      <c r="J207" s="1"/>
      <c r="K207" s="1"/>
      <c r="L207" s="15"/>
      <c r="M207" s="15"/>
      <c r="N207" s="15"/>
      <c r="O207" s="15"/>
      <c r="P207" s="15"/>
      <c r="Q207" s="15"/>
    </row>
    <row r="208" spans="1:17" ht="20.100000000000001" customHeight="1">
      <c r="B208" s="1"/>
      <c r="C208" s="1"/>
      <c r="D208" s="1"/>
      <c r="E208" s="462"/>
      <c r="F208" s="462"/>
      <c r="G208" s="1"/>
      <c r="H208" s="1"/>
      <c r="I208" s="1"/>
      <c r="J208" s="1"/>
      <c r="K208" s="1"/>
      <c r="L208" s="15"/>
      <c r="M208" s="15"/>
      <c r="N208" s="15"/>
      <c r="O208" s="15"/>
      <c r="P208" s="15"/>
      <c r="Q208" s="15"/>
    </row>
    <row r="209" spans="1:1310" ht="20.100000000000001" customHeight="1">
      <c r="B209" s="1"/>
      <c r="C209" s="1"/>
      <c r="D209" s="1"/>
      <c r="E209" s="462"/>
      <c r="F209" s="462"/>
      <c r="G209" s="1"/>
      <c r="H209" s="1"/>
      <c r="I209" s="1"/>
      <c r="J209" s="1"/>
      <c r="K209" s="1"/>
      <c r="L209" s="15"/>
      <c r="M209" s="15"/>
      <c r="N209" s="15"/>
      <c r="O209" s="15"/>
      <c r="P209" s="15"/>
      <c r="Q209" s="15"/>
    </row>
    <row r="210" spans="1:1310" ht="20.100000000000001" customHeight="1">
      <c r="B210" s="1"/>
      <c r="C210" s="1"/>
      <c r="D210" s="1"/>
      <c r="E210" s="462"/>
      <c r="F210" s="462"/>
      <c r="G210" s="1"/>
      <c r="H210" s="1"/>
      <c r="I210" s="1"/>
      <c r="J210" s="1"/>
      <c r="K210" s="1"/>
      <c r="L210" s="15"/>
      <c r="M210" s="15"/>
      <c r="N210" s="15"/>
      <c r="O210" s="15"/>
      <c r="P210" s="15"/>
      <c r="Q210" s="15"/>
    </row>
    <row r="211" spans="1:1310" ht="20.100000000000001" customHeight="1">
      <c r="B211" s="1"/>
      <c r="C211" s="1"/>
      <c r="D211" s="1"/>
      <c r="E211" s="462"/>
      <c r="F211" s="462"/>
      <c r="G211" s="1"/>
      <c r="H211" s="1"/>
      <c r="I211" s="1"/>
      <c r="J211" s="1"/>
      <c r="K211" s="1"/>
      <c r="L211" s="15"/>
      <c r="M211" s="15"/>
      <c r="N211" s="15"/>
      <c r="O211" s="15"/>
      <c r="P211" s="15"/>
      <c r="Q211" s="15"/>
    </row>
    <row r="212" spans="1:1310" ht="20.100000000000001" customHeight="1">
      <c r="B212" s="1"/>
      <c r="C212" s="1"/>
      <c r="D212" s="1"/>
      <c r="E212" s="462"/>
      <c r="F212" s="462"/>
      <c r="G212" s="1"/>
      <c r="H212" s="1"/>
      <c r="I212" s="1"/>
      <c r="J212" s="1"/>
      <c r="K212" s="1"/>
      <c r="L212" s="15"/>
      <c r="M212" s="15"/>
      <c r="N212" s="15"/>
      <c r="O212" s="15"/>
      <c r="P212" s="15"/>
      <c r="Q212" s="15"/>
    </row>
    <row r="213" spans="1:1310" ht="20.100000000000001" customHeight="1">
      <c r="B213" s="1"/>
      <c r="C213" s="1"/>
      <c r="D213" s="1"/>
      <c r="E213" s="462"/>
      <c r="F213" s="462"/>
      <c r="G213" s="1"/>
      <c r="H213" s="1"/>
      <c r="I213" s="1"/>
      <c r="J213" s="1"/>
      <c r="K213" s="1"/>
      <c r="L213" s="15"/>
      <c r="M213" s="15"/>
      <c r="N213" s="15"/>
      <c r="O213" s="15"/>
      <c r="P213" s="15"/>
      <c r="Q213" s="15"/>
    </row>
    <row r="214" spans="1:1310" ht="20.100000000000001" customHeight="1">
      <c r="B214" s="1"/>
      <c r="C214" s="1"/>
      <c r="D214" s="1"/>
      <c r="E214" s="462"/>
      <c r="F214" s="462"/>
      <c r="G214" s="1"/>
      <c r="H214" s="1"/>
      <c r="I214" s="1"/>
      <c r="J214" s="1"/>
      <c r="K214" s="1"/>
      <c r="L214" s="15"/>
      <c r="M214" s="15"/>
      <c r="N214" s="15"/>
      <c r="O214" s="15"/>
      <c r="P214" s="15"/>
      <c r="Q214" s="15"/>
    </row>
    <row r="215" spans="1:1310" ht="20.100000000000001" customHeight="1">
      <c r="B215" s="1"/>
      <c r="C215" s="1"/>
      <c r="D215" s="1"/>
      <c r="E215" s="462"/>
      <c r="F215" s="462"/>
      <c r="G215" s="1"/>
      <c r="H215" s="1"/>
      <c r="I215" s="1"/>
      <c r="J215" s="1"/>
      <c r="K215" s="1"/>
      <c r="L215" s="15"/>
      <c r="M215" s="15"/>
      <c r="N215" s="15"/>
      <c r="O215" s="15"/>
      <c r="P215" s="15"/>
      <c r="Q215" s="15"/>
    </row>
    <row r="216" spans="1:1310" ht="20.100000000000001" customHeight="1">
      <c r="B216" s="1"/>
      <c r="C216" s="1"/>
      <c r="D216" s="1"/>
      <c r="E216" s="462"/>
      <c r="F216" s="462"/>
      <c r="G216" s="1"/>
      <c r="H216" s="1"/>
      <c r="I216" s="1"/>
      <c r="J216" s="1"/>
      <c r="K216" s="1"/>
      <c r="L216" s="15"/>
      <c r="M216" s="15"/>
      <c r="N216" s="15"/>
      <c r="O216" s="15"/>
      <c r="P216" s="15"/>
      <c r="Q216" s="15"/>
    </row>
    <row r="217" spans="1:1310" ht="20.100000000000001" customHeight="1">
      <c r="B217" s="1"/>
      <c r="C217" s="1"/>
      <c r="D217" s="1"/>
      <c r="E217" s="462"/>
      <c r="F217" s="462"/>
      <c r="G217" s="1"/>
      <c r="H217" s="1"/>
      <c r="I217" s="1"/>
      <c r="J217" s="1"/>
      <c r="K217" s="1"/>
      <c r="L217" s="15"/>
      <c r="M217" s="15"/>
      <c r="N217" s="15"/>
      <c r="O217" s="15"/>
      <c r="P217" s="15"/>
      <c r="Q217" s="15"/>
    </row>
    <row r="218" spans="1:1310" ht="20.100000000000001" customHeight="1">
      <c r="B218" s="1"/>
      <c r="C218" s="1"/>
      <c r="D218" s="1"/>
      <c r="E218" s="462"/>
      <c r="F218" s="462"/>
      <c r="G218" s="1"/>
      <c r="H218" s="1"/>
      <c r="I218" s="1"/>
      <c r="J218" s="1"/>
      <c r="K218" s="1"/>
      <c r="L218" s="15"/>
      <c r="M218" s="15"/>
      <c r="N218" s="15"/>
      <c r="O218" s="15"/>
      <c r="P218" s="15"/>
      <c r="Q218" s="15"/>
    </row>
    <row r="219" spans="1:1310" s="2215" customFormat="1" ht="23.25" customHeight="1">
      <c r="A219" s="759">
        <v>1</v>
      </c>
      <c r="B219" s="9020" t="s">
        <v>1560</v>
      </c>
      <c r="C219" s="9020"/>
      <c r="D219" s="9020"/>
      <c r="E219" s="9020"/>
      <c r="F219" s="9020"/>
      <c r="G219" s="9020"/>
      <c r="H219" s="9020"/>
      <c r="I219" s="9020"/>
      <c r="J219" s="9020"/>
      <c r="K219" s="9020"/>
      <c r="L219" s="9020"/>
      <c r="M219" s="9020"/>
      <c r="N219" s="9020"/>
      <c r="O219" s="9020"/>
      <c r="P219" s="9020"/>
      <c r="Q219" s="9020"/>
      <c r="R219" s="311"/>
      <c r="S219" s="311"/>
      <c r="T219" s="311"/>
      <c r="U219" s="311"/>
      <c r="V219" s="311"/>
      <c r="W219" s="311"/>
      <c r="X219" s="311"/>
      <c r="Y219" s="311"/>
      <c r="Z219" s="311"/>
      <c r="AA219" s="311"/>
      <c r="AB219" s="311"/>
      <c r="AC219" s="311"/>
      <c r="AD219" s="2214"/>
      <c r="AE219" s="2214"/>
      <c r="AF219" s="2214"/>
      <c r="AG219" s="2214"/>
      <c r="AH219" s="2214"/>
      <c r="AI219" s="2214"/>
      <c r="AJ219" s="2214"/>
      <c r="AK219" s="2214"/>
      <c r="AL219" s="2214"/>
      <c r="AM219" s="2214"/>
      <c r="AN219" s="2214"/>
      <c r="AO219" s="2214"/>
      <c r="AP219" s="2214"/>
      <c r="AQ219" s="2214"/>
      <c r="AR219" s="2214"/>
      <c r="AS219" s="2214"/>
      <c r="AT219" s="2214"/>
      <c r="AU219" s="2214"/>
      <c r="AV219" s="2214"/>
      <c r="AW219" s="2214"/>
      <c r="AX219" s="2214"/>
      <c r="AY219" s="2214"/>
      <c r="AZ219" s="2214"/>
      <c r="BA219" s="2214"/>
      <c r="BB219" s="2214"/>
      <c r="BC219" s="2214"/>
      <c r="BD219" s="2214"/>
      <c r="BE219" s="2214"/>
      <c r="BF219" s="2214"/>
      <c r="BG219" s="2214"/>
      <c r="BH219" s="2214"/>
      <c r="BI219" s="2214"/>
      <c r="BJ219" s="2214"/>
      <c r="BK219" s="2214"/>
      <c r="BL219" s="2214"/>
      <c r="BM219" s="2214"/>
      <c r="BN219" s="2214"/>
      <c r="BO219" s="2214"/>
      <c r="BP219" s="2214"/>
      <c r="BQ219" s="2214"/>
      <c r="BR219" s="2214"/>
      <c r="BS219" s="2214"/>
      <c r="BT219" s="2214"/>
      <c r="BU219" s="2214"/>
      <c r="BV219" s="2214"/>
      <c r="BW219" s="2214"/>
      <c r="BX219" s="2214"/>
      <c r="BY219" s="2214"/>
      <c r="BZ219" s="2214"/>
      <c r="CA219" s="2214"/>
      <c r="CB219" s="2214"/>
      <c r="CC219" s="2214"/>
      <c r="CD219" s="2214"/>
      <c r="CE219" s="2214"/>
      <c r="CF219" s="2214"/>
      <c r="CG219" s="2214"/>
      <c r="CH219" s="2214"/>
      <c r="CI219" s="2214"/>
      <c r="CJ219" s="2214"/>
      <c r="CK219" s="2214"/>
      <c r="CL219" s="2214"/>
      <c r="CM219" s="2214"/>
      <c r="CN219" s="2214"/>
      <c r="CO219" s="2214"/>
      <c r="CP219" s="2214"/>
      <c r="CQ219" s="2214"/>
      <c r="CR219" s="2214"/>
      <c r="CS219" s="2214"/>
      <c r="CT219" s="2214"/>
      <c r="CU219" s="2214"/>
      <c r="CV219" s="2214"/>
      <c r="CW219" s="2214"/>
      <c r="CX219" s="2214"/>
      <c r="CY219" s="2214"/>
      <c r="CZ219" s="2214"/>
      <c r="DA219" s="2214"/>
      <c r="DB219" s="2214"/>
      <c r="DC219" s="2214"/>
      <c r="DD219" s="2214"/>
      <c r="DE219" s="2214"/>
      <c r="DF219" s="2214"/>
      <c r="DG219" s="2214"/>
      <c r="DH219" s="2214"/>
      <c r="DI219" s="2214"/>
      <c r="DJ219" s="2214"/>
      <c r="DK219" s="2214"/>
      <c r="DL219" s="2214"/>
      <c r="DM219" s="2214"/>
      <c r="DN219" s="2214"/>
      <c r="DO219" s="2214"/>
      <c r="DP219" s="2214"/>
      <c r="DQ219" s="2214"/>
      <c r="DR219" s="2214"/>
      <c r="DS219" s="2214"/>
      <c r="DT219" s="2214"/>
      <c r="DU219" s="2214"/>
      <c r="DV219" s="2214"/>
      <c r="DW219" s="2214"/>
      <c r="DX219" s="2214"/>
      <c r="DY219" s="2214"/>
      <c r="DZ219" s="2214"/>
      <c r="EA219" s="2214"/>
      <c r="EB219" s="2214"/>
      <c r="EC219" s="2214"/>
      <c r="ED219" s="2214"/>
      <c r="EE219" s="2214"/>
      <c r="EF219" s="2214"/>
      <c r="EG219" s="2214"/>
      <c r="EH219" s="2214"/>
      <c r="EI219" s="2214"/>
      <c r="EJ219" s="2214"/>
      <c r="EK219" s="2214"/>
      <c r="EL219" s="2214"/>
      <c r="EM219" s="2214"/>
      <c r="EN219" s="2214"/>
      <c r="EO219" s="2214"/>
      <c r="EP219" s="2214"/>
      <c r="EQ219" s="2214"/>
      <c r="ER219" s="2214"/>
      <c r="ES219" s="2214"/>
      <c r="ET219" s="2214"/>
      <c r="EU219" s="2214"/>
      <c r="EV219" s="2214"/>
      <c r="EW219" s="2214"/>
      <c r="EX219" s="2214"/>
      <c r="EY219" s="2214"/>
      <c r="EZ219" s="2214"/>
      <c r="FA219" s="2214"/>
      <c r="FB219" s="2214"/>
      <c r="FC219" s="2214"/>
      <c r="FD219" s="2214"/>
      <c r="FE219" s="2214"/>
      <c r="FF219" s="2214"/>
      <c r="FG219" s="2214"/>
      <c r="FH219" s="2214"/>
      <c r="FI219" s="2214"/>
      <c r="FJ219" s="2214"/>
      <c r="FK219" s="2214"/>
      <c r="FL219" s="2214"/>
      <c r="FM219" s="2214"/>
      <c r="FN219" s="2214"/>
      <c r="FO219" s="2214"/>
      <c r="FP219" s="2214"/>
      <c r="FQ219" s="2214"/>
      <c r="FR219" s="2214"/>
      <c r="FS219" s="2214"/>
      <c r="FT219" s="2214"/>
      <c r="FU219" s="2214"/>
      <c r="FV219" s="2214"/>
      <c r="FW219" s="2214"/>
      <c r="FX219" s="2214"/>
      <c r="FY219" s="2214"/>
      <c r="FZ219" s="2214"/>
      <c r="GA219" s="2214"/>
      <c r="GB219" s="2214"/>
      <c r="GC219" s="2214"/>
      <c r="GD219" s="2214"/>
      <c r="GE219" s="2214"/>
      <c r="GF219" s="2214"/>
      <c r="GG219" s="2214"/>
      <c r="GH219" s="2214"/>
      <c r="GI219" s="2214"/>
      <c r="GJ219" s="2214"/>
      <c r="GK219" s="2214"/>
      <c r="GL219" s="2214"/>
      <c r="GM219" s="2214"/>
      <c r="GN219" s="2214"/>
      <c r="GO219" s="2214"/>
      <c r="GP219" s="2214"/>
      <c r="GQ219" s="2214"/>
      <c r="GR219" s="2214"/>
      <c r="GS219" s="2214"/>
      <c r="GT219" s="2214"/>
      <c r="GU219" s="2214"/>
      <c r="GV219" s="2214"/>
      <c r="GW219" s="2214"/>
      <c r="GX219" s="2214"/>
      <c r="GY219" s="2214"/>
      <c r="GZ219" s="2214"/>
      <c r="HA219" s="2214"/>
      <c r="HB219" s="2214"/>
      <c r="HC219" s="2214"/>
      <c r="HD219" s="2214"/>
      <c r="HE219" s="2214"/>
      <c r="HF219" s="2214"/>
      <c r="HG219" s="2214"/>
      <c r="HH219" s="2214"/>
      <c r="HI219" s="2214"/>
      <c r="HJ219" s="2214"/>
      <c r="HK219" s="2214"/>
      <c r="HL219" s="2214"/>
      <c r="HM219" s="2214"/>
      <c r="HN219" s="2214"/>
      <c r="HO219" s="2214"/>
      <c r="HP219" s="2214"/>
      <c r="HQ219" s="2214"/>
      <c r="HR219" s="2214"/>
      <c r="HS219" s="2214"/>
      <c r="HT219" s="2214"/>
      <c r="HU219" s="2214"/>
      <c r="HV219" s="2214"/>
      <c r="HW219" s="2214"/>
      <c r="HX219" s="2214"/>
      <c r="HY219" s="2214"/>
      <c r="HZ219" s="2214"/>
      <c r="IA219" s="2214"/>
      <c r="IB219" s="2214"/>
      <c r="IC219" s="2214"/>
      <c r="ID219" s="2214"/>
      <c r="IE219" s="2214"/>
      <c r="IF219" s="2214"/>
      <c r="IG219" s="2214"/>
      <c r="IH219" s="2214"/>
      <c r="II219" s="2214"/>
      <c r="IJ219" s="2214"/>
      <c r="IK219" s="2214"/>
      <c r="IL219" s="2214"/>
      <c r="IM219" s="2214"/>
      <c r="IN219" s="2214"/>
      <c r="IO219" s="2214"/>
      <c r="IP219" s="2214"/>
      <c r="IQ219" s="2214"/>
      <c r="IR219" s="2214"/>
      <c r="IS219" s="2214"/>
      <c r="IT219" s="2214"/>
      <c r="IU219" s="2214"/>
      <c r="IV219" s="2214"/>
      <c r="IW219" s="2214"/>
      <c r="IX219" s="2214"/>
      <c r="IY219" s="2214"/>
      <c r="IZ219" s="2214"/>
      <c r="JA219" s="2214"/>
      <c r="JB219" s="2214"/>
      <c r="JC219" s="2214"/>
      <c r="JD219" s="2214"/>
      <c r="JE219" s="2214"/>
      <c r="JF219" s="2214"/>
      <c r="JG219" s="2214"/>
      <c r="JH219" s="2214"/>
      <c r="JI219" s="2214"/>
      <c r="JJ219" s="2214"/>
      <c r="JK219" s="2214"/>
      <c r="JL219" s="2214"/>
      <c r="JM219" s="2214"/>
      <c r="JN219" s="2214"/>
      <c r="JO219" s="2214"/>
      <c r="JP219" s="2214"/>
      <c r="JQ219" s="2214"/>
      <c r="JR219" s="2214"/>
      <c r="JS219" s="2214"/>
      <c r="JT219" s="2214"/>
      <c r="JU219" s="2214"/>
      <c r="JV219" s="2214"/>
      <c r="JW219" s="2214"/>
      <c r="JX219" s="2214"/>
      <c r="JY219" s="2214"/>
      <c r="JZ219" s="2214"/>
      <c r="KA219" s="2214"/>
      <c r="KB219" s="2214"/>
      <c r="KC219" s="2214"/>
      <c r="KD219" s="2214"/>
      <c r="KE219" s="2214"/>
      <c r="KF219" s="2214"/>
      <c r="KG219" s="2214"/>
      <c r="KH219" s="2214"/>
      <c r="KI219" s="2214"/>
      <c r="KJ219" s="2214"/>
      <c r="KK219" s="2214"/>
      <c r="KL219" s="2214"/>
      <c r="KM219" s="2214"/>
      <c r="KN219" s="2214"/>
      <c r="KO219" s="2214"/>
      <c r="KP219" s="2214"/>
      <c r="KQ219" s="2214"/>
      <c r="KR219" s="2214"/>
      <c r="KS219" s="2214"/>
      <c r="KT219" s="2214"/>
      <c r="KU219" s="2214"/>
      <c r="KV219" s="2214"/>
      <c r="KW219" s="2214"/>
      <c r="KX219" s="2214"/>
      <c r="KY219" s="2214"/>
      <c r="KZ219" s="2214"/>
      <c r="LA219" s="2214"/>
      <c r="LB219" s="2214"/>
      <c r="LC219" s="2214"/>
      <c r="LD219" s="2214"/>
      <c r="LE219" s="2214"/>
      <c r="LF219" s="2214"/>
      <c r="LG219" s="2214"/>
      <c r="LH219" s="2214"/>
      <c r="LI219" s="2214"/>
      <c r="LJ219" s="2214"/>
      <c r="LK219" s="2214"/>
      <c r="LL219" s="2214"/>
      <c r="LM219" s="2214"/>
      <c r="LN219" s="2214"/>
      <c r="LO219" s="2214"/>
      <c r="LP219" s="2214"/>
      <c r="LQ219" s="2214"/>
      <c r="LR219" s="2214"/>
      <c r="LS219" s="2214"/>
      <c r="LT219" s="2214"/>
      <c r="LU219" s="2214"/>
      <c r="LV219" s="2214"/>
      <c r="LW219" s="2214"/>
      <c r="LX219" s="2214"/>
      <c r="LY219" s="2214"/>
      <c r="LZ219" s="2214"/>
      <c r="MA219" s="2214"/>
      <c r="MB219" s="2214"/>
      <c r="MC219" s="2214"/>
      <c r="MD219" s="2214"/>
      <c r="ME219" s="2214"/>
      <c r="MF219" s="2214"/>
      <c r="MG219" s="2214"/>
      <c r="MH219" s="2214"/>
      <c r="MI219" s="2214"/>
      <c r="MJ219" s="2214"/>
      <c r="MK219" s="2214"/>
      <c r="ML219" s="2214"/>
      <c r="MM219" s="2214"/>
      <c r="MN219" s="2214"/>
      <c r="MO219" s="2214"/>
      <c r="MP219" s="2214"/>
      <c r="MQ219" s="2214"/>
      <c r="MR219" s="2214"/>
      <c r="MS219" s="2214"/>
      <c r="MT219" s="2214"/>
      <c r="MU219" s="2214"/>
      <c r="MV219" s="2214"/>
      <c r="MW219" s="2214"/>
      <c r="MX219" s="2214"/>
      <c r="MY219" s="2214"/>
      <c r="MZ219" s="2214"/>
      <c r="NA219" s="2214"/>
      <c r="NB219" s="2214"/>
      <c r="NC219" s="2214"/>
      <c r="ND219" s="2214"/>
      <c r="NE219" s="2214"/>
      <c r="NF219" s="2214"/>
      <c r="NG219" s="2214"/>
      <c r="NH219" s="2214"/>
      <c r="NI219" s="2214"/>
      <c r="NJ219" s="2214"/>
      <c r="NK219" s="2214"/>
      <c r="NL219" s="2214"/>
      <c r="NM219" s="2214"/>
      <c r="NN219" s="2214"/>
      <c r="NO219" s="2214"/>
      <c r="NP219" s="2214"/>
      <c r="NQ219" s="2214"/>
      <c r="NR219" s="2214"/>
      <c r="NS219" s="2214"/>
      <c r="NT219" s="2214"/>
      <c r="NU219" s="2214"/>
      <c r="NV219" s="2214"/>
      <c r="NW219" s="2214"/>
      <c r="NX219" s="2214"/>
      <c r="NY219" s="2214"/>
      <c r="NZ219" s="2214"/>
      <c r="OA219" s="2214"/>
      <c r="OB219" s="2214"/>
      <c r="OC219" s="2214"/>
      <c r="OD219" s="2214"/>
      <c r="OE219" s="2214"/>
      <c r="OF219" s="2214"/>
      <c r="OG219" s="2214"/>
      <c r="OH219" s="2214"/>
      <c r="OI219" s="2214"/>
      <c r="OJ219" s="2214"/>
      <c r="OK219" s="2214"/>
      <c r="OL219" s="2214"/>
      <c r="OM219" s="2214"/>
      <c r="ON219" s="2214"/>
      <c r="OO219" s="2214"/>
      <c r="OP219" s="2214"/>
      <c r="OQ219" s="2214"/>
      <c r="OR219" s="2214"/>
      <c r="OS219" s="2214"/>
      <c r="OT219" s="2214"/>
      <c r="OU219" s="2214"/>
      <c r="OV219" s="2214"/>
      <c r="OW219" s="2214"/>
      <c r="OX219" s="2214"/>
      <c r="OY219" s="2214"/>
      <c r="OZ219" s="2214"/>
      <c r="PA219" s="2214"/>
      <c r="PB219" s="2214"/>
      <c r="PC219" s="2214"/>
      <c r="PD219" s="2214"/>
      <c r="PE219" s="2214"/>
      <c r="PF219" s="2214"/>
      <c r="PG219" s="2214"/>
      <c r="PH219" s="2214"/>
      <c r="PI219" s="2214"/>
      <c r="PJ219" s="2214"/>
      <c r="PK219" s="2214"/>
      <c r="PL219" s="2214"/>
      <c r="PM219" s="2214"/>
      <c r="PN219" s="2214"/>
      <c r="PO219" s="2214"/>
      <c r="PP219" s="2214"/>
      <c r="PQ219" s="2214"/>
      <c r="PR219" s="2214"/>
      <c r="PS219" s="2214"/>
      <c r="PT219" s="2214"/>
      <c r="PU219" s="2214"/>
      <c r="PV219" s="2214"/>
      <c r="PW219" s="2214"/>
      <c r="PX219" s="2214"/>
      <c r="PY219" s="2214"/>
      <c r="PZ219" s="2214"/>
      <c r="QA219" s="2214"/>
      <c r="QB219" s="2214"/>
      <c r="QC219" s="2214"/>
      <c r="QD219" s="2214"/>
      <c r="QE219" s="2214"/>
      <c r="QF219" s="2214"/>
      <c r="QG219" s="2214"/>
      <c r="QH219" s="2214"/>
      <c r="QI219" s="2214"/>
      <c r="QJ219" s="2214"/>
      <c r="QK219" s="2214"/>
      <c r="QL219" s="2214"/>
      <c r="QM219" s="2214"/>
      <c r="QN219" s="2214"/>
      <c r="QO219" s="2214"/>
      <c r="QP219" s="2214"/>
      <c r="QQ219" s="2214"/>
      <c r="QR219" s="2214"/>
      <c r="QS219" s="2214"/>
      <c r="QT219" s="2214"/>
      <c r="QU219" s="2214"/>
      <c r="QV219" s="2214"/>
      <c r="QW219" s="2214"/>
      <c r="QX219" s="2214"/>
      <c r="QY219" s="2214"/>
      <c r="QZ219" s="2214"/>
      <c r="RA219" s="2214"/>
      <c r="RB219" s="2214"/>
      <c r="RC219" s="2214"/>
      <c r="RD219" s="2214"/>
      <c r="RE219" s="2214"/>
      <c r="RF219" s="2214"/>
      <c r="RG219" s="2214"/>
      <c r="RH219" s="2214"/>
      <c r="RI219" s="2214"/>
      <c r="RJ219" s="2214"/>
      <c r="RK219" s="2214"/>
      <c r="RL219" s="2214"/>
      <c r="RM219" s="2214"/>
      <c r="RN219" s="2214"/>
      <c r="RO219" s="2214"/>
      <c r="RP219" s="2214"/>
      <c r="RQ219" s="2214"/>
      <c r="RR219" s="2214"/>
      <c r="RS219" s="2214"/>
      <c r="RT219" s="2214"/>
      <c r="RU219" s="2214"/>
      <c r="RV219" s="2214"/>
      <c r="RW219" s="2214"/>
      <c r="RX219" s="2214"/>
      <c r="RY219" s="2214"/>
      <c r="RZ219" s="2214"/>
      <c r="SA219" s="2214"/>
      <c r="SB219" s="2214"/>
      <c r="SC219" s="2214"/>
      <c r="SD219" s="2214"/>
      <c r="SE219" s="2214"/>
      <c r="SF219" s="2214"/>
      <c r="SG219" s="2214"/>
      <c r="SH219" s="2214"/>
      <c r="SI219" s="2214"/>
      <c r="SJ219" s="2214"/>
      <c r="SK219" s="2214"/>
      <c r="SL219" s="2214"/>
      <c r="SM219" s="2214"/>
      <c r="SN219" s="2214"/>
      <c r="SO219" s="2214"/>
      <c r="SP219" s="2214"/>
      <c r="SQ219" s="2214"/>
      <c r="SR219" s="2214"/>
      <c r="SS219" s="2214"/>
      <c r="ST219" s="2214"/>
      <c r="SU219" s="2214"/>
      <c r="SV219" s="2214"/>
      <c r="SW219" s="2214"/>
      <c r="SX219" s="2214"/>
      <c r="SY219" s="2214"/>
      <c r="SZ219" s="2214"/>
      <c r="TA219" s="2214"/>
      <c r="TB219" s="2214"/>
      <c r="TC219" s="2214"/>
      <c r="TD219" s="2214"/>
      <c r="TE219" s="2214"/>
      <c r="TF219" s="2214"/>
      <c r="TG219" s="2214"/>
      <c r="TH219" s="2214"/>
      <c r="TI219" s="2214"/>
      <c r="TJ219" s="2214"/>
      <c r="TK219" s="2214"/>
      <c r="TL219" s="2214"/>
      <c r="TM219" s="2214"/>
      <c r="TN219" s="2214"/>
      <c r="TO219" s="2214"/>
      <c r="TP219" s="2214"/>
      <c r="TQ219" s="2214"/>
      <c r="TR219" s="2214"/>
      <c r="TS219" s="2214"/>
      <c r="TT219" s="2214"/>
      <c r="TU219" s="2214"/>
      <c r="TV219" s="2214"/>
      <c r="TW219" s="2214"/>
      <c r="TX219" s="2214"/>
      <c r="TY219" s="2214"/>
      <c r="TZ219" s="2214"/>
      <c r="UA219" s="2214"/>
      <c r="UB219" s="2214"/>
      <c r="UC219" s="2214"/>
      <c r="UD219" s="2214"/>
      <c r="UE219" s="2214"/>
      <c r="UF219" s="2214"/>
      <c r="UG219" s="2214"/>
      <c r="UH219" s="2214"/>
      <c r="UI219" s="2214"/>
      <c r="UJ219" s="2214"/>
      <c r="UK219" s="2214"/>
      <c r="UL219" s="2214"/>
      <c r="UM219" s="2214"/>
      <c r="UN219" s="2214"/>
      <c r="UO219" s="2214"/>
      <c r="UP219" s="2214"/>
      <c r="UQ219" s="2214"/>
      <c r="UR219" s="2214"/>
      <c r="US219" s="2214"/>
      <c r="UT219" s="2214"/>
      <c r="UU219" s="2214"/>
      <c r="UV219" s="2214"/>
      <c r="UW219" s="2214"/>
      <c r="UX219" s="2214"/>
      <c r="UY219" s="2214"/>
      <c r="UZ219" s="2214"/>
      <c r="VA219" s="2214"/>
      <c r="VB219" s="2214"/>
      <c r="VC219" s="2214"/>
      <c r="VD219" s="2214"/>
      <c r="VE219" s="2214"/>
      <c r="VF219" s="2214"/>
      <c r="VG219" s="2214"/>
      <c r="VH219" s="2214"/>
      <c r="VI219" s="2214"/>
      <c r="VJ219" s="2214"/>
      <c r="VK219" s="2214"/>
      <c r="VL219" s="2214"/>
      <c r="VM219" s="2214"/>
      <c r="VN219" s="2214"/>
      <c r="VO219" s="2214"/>
      <c r="VP219" s="2214"/>
      <c r="VQ219" s="2214"/>
      <c r="VR219" s="2214"/>
      <c r="VS219" s="2214"/>
      <c r="VT219" s="2214"/>
      <c r="VU219" s="2214"/>
      <c r="VV219" s="2214"/>
      <c r="VW219" s="2214"/>
      <c r="VX219" s="2214"/>
      <c r="VY219" s="2214"/>
      <c r="VZ219" s="2214"/>
      <c r="WA219" s="2214"/>
      <c r="WB219" s="2214"/>
      <c r="WC219" s="2214"/>
      <c r="WD219" s="2214"/>
      <c r="WE219" s="2214"/>
      <c r="WF219" s="2214"/>
      <c r="WG219" s="2214"/>
      <c r="WH219" s="2214"/>
      <c r="WI219" s="2214"/>
      <c r="WJ219" s="2214"/>
      <c r="WK219" s="2214"/>
      <c r="WL219" s="2214"/>
      <c r="WM219" s="2214"/>
      <c r="WN219" s="2214"/>
      <c r="WO219" s="2214"/>
      <c r="WP219" s="2214"/>
      <c r="WQ219" s="2214"/>
      <c r="WR219" s="2214"/>
      <c r="WS219" s="2214"/>
      <c r="WT219" s="2214"/>
      <c r="WU219" s="2214"/>
      <c r="WV219" s="2214"/>
      <c r="WW219" s="2214"/>
      <c r="WX219" s="2214"/>
      <c r="WY219" s="2214"/>
      <c r="WZ219" s="2214"/>
      <c r="XA219" s="2214"/>
      <c r="XB219" s="2214"/>
      <c r="XC219" s="2214"/>
      <c r="XD219" s="2214"/>
      <c r="XE219" s="2214"/>
      <c r="XF219" s="2214"/>
      <c r="XG219" s="2214"/>
      <c r="XH219" s="2214"/>
      <c r="XI219" s="2214"/>
      <c r="XJ219" s="2214"/>
      <c r="XK219" s="2214"/>
      <c r="XL219" s="2214"/>
      <c r="XM219" s="2214"/>
      <c r="XN219" s="2214"/>
      <c r="XO219" s="2214"/>
      <c r="XP219" s="2214"/>
      <c r="XQ219" s="2214"/>
      <c r="XR219" s="2214"/>
      <c r="XS219" s="2214"/>
      <c r="XT219" s="2214"/>
      <c r="XU219" s="2214"/>
      <c r="XV219" s="2214"/>
      <c r="XW219" s="2214"/>
      <c r="XX219" s="2214"/>
      <c r="XY219" s="2214"/>
      <c r="XZ219" s="2214"/>
      <c r="YA219" s="2214"/>
      <c r="YB219" s="2214"/>
      <c r="YC219" s="2214"/>
      <c r="YD219" s="2214"/>
      <c r="YE219" s="2214"/>
      <c r="YF219" s="2214"/>
      <c r="YG219" s="2214"/>
      <c r="YH219" s="2214"/>
      <c r="YI219" s="2214"/>
      <c r="YJ219" s="2214"/>
      <c r="YK219" s="2214"/>
      <c r="YL219" s="2214"/>
      <c r="YM219" s="2214"/>
      <c r="YN219" s="2214"/>
      <c r="YO219" s="2214"/>
      <c r="YP219" s="2214"/>
      <c r="YQ219" s="2214"/>
      <c r="YR219" s="2214"/>
      <c r="YS219" s="2214"/>
      <c r="YT219" s="2214"/>
      <c r="YU219" s="2214"/>
      <c r="YV219" s="2214"/>
      <c r="YW219" s="2214"/>
      <c r="YX219" s="2214"/>
      <c r="YY219" s="2214"/>
      <c r="YZ219" s="2214"/>
      <c r="ZA219" s="2214"/>
      <c r="ZB219" s="2214"/>
      <c r="ZC219" s="2214"/>
      <c r="ZD219" s="2214"/>
      <c r="ZE219" s="2214"/>
      <c r="ZF219" s="2214"/>
      <c r="ZG219" s="2214"/>
      <c r="ZH219" s="2214"/>
      <c r="ZI219" s="2214"/>
      <c r="ZJ219" s="2214"/>
      <c r="ZK219" s="2214"/>
      <c r="ZL219" s="2214"/>
      <c r="ZM219" s="2214"/>
      <c r="ZN219" s="2214"/>
      <c r="ZO219" s="2214"/>
      <c r="ZP219" s="2214"/>
      <c r="ZQ219" s="2214"/>
      <c r="ZR219" s="2214"/>
      <c r="ZS219" s="2214"/>
      <c r="ZT219" s="2214"/>
      <c r="ZU219" s="2214"/>
      <c r="ZV219" s="2214"/>
      <c r="ZW219" s="2214"/>
      <c r="ZX219" s="2214"/>
      <c r="ZY219" s="2214"/>
      <c r="ZZ219" s="2214"/>
      <c r="AAA219" s="2214"/>
      <c r="AAB219" s="2214"/>
      <c r="AAC219" s="2214"/>
      <c r="AAD219" s="2214"/>
      <c r="AAE219" s="2214"/>
      <c r="AAF219" s="2214"/>
      <c r="AAG219" s="2214"/>
      <c r="AAH219" s="2214"/>
      <c r="AAI219" s="2214"/>
      <c r="AAJ219" s="2214"/>
      <c r="AAK219" s="2214"/>
      <c r="AAL219" s="2214"/>
      <c r="AAM219" s="2214"/>
      <c r="AAN219" s="2214"/>
      <c r="AAO219" s="2214"/>
      <c r="AAP219" s="2214"/>
      <c r="AAQ219" s="2214"/>
      <c r="AAR219" s="2214"/>
      <c r="AAS219" s="2214"/>
      <c r="AAT219" s="2214"/>
      <c r="AAU219" s="2214"/>
      <c r="AAV219" s="2214"/>
      <c r="AAW219" s="2214"/>
      <c r="AAX219" s="2214"/>
      <c r="AAY219" s="2214"/>
      <c r="AAZ219" s="2214"/>
      <c r="ABA219" s="2214"/>
      <c r="ABB219" s="2214"/>
      <c r="ABC219" s="2214"/>
      <c r="ABD219" s="2214"/>
      <c r="ABE219" s="2214"/>
      <c r="ABF219" s="2214"/>
      <c r="ABG219" s="2214"/>
      <c r="ABH219" s="2214"/>
      <c r="ABI219" s="2214"/>
      <c r="ABJ219" s="2214"/>
      <c r="ABK219" s="2214"/>
      <c r="ABL219" s="2214"/>
      <c r="ABM219" s="2214"/>
      <c r="ABN219" s="2214"/>
      <c r="ABO219" s="2214"/>
      <c r="ABP219" s="2214"/>
      <c r="ABQ219" s="2214"/>
      <c r="ABR219" s="2214"/>
      <c r="ABS219" s="2214"/>
      <c r="ABT219" s="2214"/>
      <c r="ABU219" s="2214"/>
      <c r="ABV219" s="2214"/>
      <c r="ABW219" s="2214"/>
      <c r="ABX219" s="2214"/>
      <c r="ABY219" s="2214"/>
      <c r="ABZ219" s="2214"/>
      <c r="ACA219" s="2214"/>
      <c r="ACB219" s="2214"/>
      <c r="ACC219" s="2214"/>
      <c r="ACD219" s="2214"/>
      <c r="ACE219" s="2214"/>
      <c r="ACF219" s="2214"/>
      <c r="ACG219" s="2214"/>
      <c r="ACH219" s="2214"/>
      <c r="ACI219" s="2214"/>
      <c r="ACJ219" s="2214"/>
      <c r="ACK219" s="2214"/>
      <c r="ACL219" s="2214"/>
      <c r="ACM219" s="2214"/>
      <c r="ACN219" s="2214"/>
      <c r="ACO219" s="2214"/>
      <c r="ACP219" s="2214"/>
      <c r="ACQ219" s="2214"/>
      <c r="ACR219" s="2214"/>
      <c r="ACS219" s="2214"/>
      <c r="ACT219" s="2214"/>
      <c r="ACU219" s="2214"/>
      <c r="ACV219" s="2214"/>
      <c r="ACW219" s="2214"/>
      <c r="ACX219" s="2214"/>
      <c r="ACY219" s="2214"/>
      <c r="ACZ219" s="2214"/>
      <c r="ADA219" s="2214"/>
      <c r="ADB219" s="2214"/>
      <c r="ADC219" s="2214"/>
      <c r="ADD219" s="2214"/>
      <c r="ADE219" s="2214"/>
      <c r="ADF219" s="2214"/>
      <c r="ADG219" s="2214"/>
      <c r="ADH219" s="2214"/>
      <c r="ADI219" s="2214"/>
      <c r="ADJ219" s="2214"/>
      <c r="ADK219" s="2214"/>
      <c r="ADL219" s="2214"/>
      <c r="ADM219" s="2214"/>
      <c r="ADN219" s="2214"/>
      <c r="ADO219" s="2214"/>
      <c r="ADP219" s="2214"/>
      <c r="ADQ219" s="2214"/>
      <c r="ADR219" s="2214"/>
      <c r="ADS219" s="2214"/>
      <c r="ADT219" s="2214"/>
      <c r="ADU219" s="2214"/>
      <c r="ADV219" s="2214"/>
      <c r="ADW219" s="2214"/>
      <c r="ADX219" s="2214"/>
      <c r="ADY219" s="2214"/>
      <c r="ADZ219" s="2214"/>
      <c r="AEA219" s="2214"/>
      <c r="AEB219" s="2214"/>
      <c r="AEC219" s="2214"/>
      <c r="AED219" s="2214"/>
      <c r="AEE219" s="2214"/>
      <c r="AEF219" s="2214"/>
      <c r="AEG219" s="2214"/>
      <c r="AEH219" s="2214"/>
      <c r="AEI219" s="2214"/>
      <c r="AEJ219" s="2214"/>
      <c r="AEK219" s="2214"/>
      <c r="AEL219" s="2214"/>
      <c r="AEM219" s="2214"/>
      <c r="AEN219" s="2214"/>
      <c r="AEO219" s="2214"/>
      <c r="AEP219" s="2214"/>
      <c r="AEQ219" s="2214"/>
      <c r="AER219" s="2214"/>
      <c r="AES219" s="2214"/>
      <c r="AET219" s="2214"/>
      <c r="AEU219" s="2214"/>
      <c r="AEV219" s="2214"/>
      <c r="AEW219" s="2214"/>
      <c r="AEX219" s="2214"/>
      <c r="AEY219" s="2214"/>
      <c r="AEZ219" s="2214"/>
      <c r="AFA219" s="2214"/>
      <c r="AFB219" s="2214"/>
      <c r="AFC219" s="2214"/>
      <c r="AFD219" s="2214"/>
      <c r="AFE219" s="2214"/>
      <c r="AFF219" s="2214"/>
      <c r="AFG219" s="2214"/>
      <c r="AFH219" s="2214"/>
      <c r="AFI219" s="2214"/>
      <c r="AFJ219" s="2214"/>
      <c r="AFK219" s="2214"/>
      <c r="AFL219" s="2214"/>
      <c r="AFM219" s="2214"/>
      <c r="AFN219" s="2214"/>
      <c r="AFO219" s="2214"/>
      <c r="AFP219" s="2214"/>
      <c r="AFQ219" s="2214"/>
      <c r="AFR219" s="2214"/>
      <c r="AFS219" s="2214"/>
      <c r="AFT219" s="2214"/>
      <c r="AFU219" s="2214"/>
      <c r="AFV219" s="2214"/>
      <c r="AFW219" s="2214"/>
      <c r="AFX219" s="2214"/>
      <c r="AFY219" s="2214"/>
      <c r="AFZ219" s="2214"/>
      <c r="AGA219" s="2214"/>
      <c r="AGB219" s="2214"/>
      <c r="AGC219" s="2214"/>
      <c r="AGD219" s="2214"/>
      <c r="AGE219" s="2214"/>
      <c r="AGF219" s="2214"/>
      <c r="AGG219" s="2214"/>
      <c r="AGH219" s="2214"/>
      <c r="AGI219" s="2214"/>
      <c r="AGJ219" s="2214"/>
      <c r="AGK219" s="2214"/>
      <c r="AGL219" s="2214"/>
      <c r="AGM219" s="2214"/>
      <c r="AGN219" s="2214"/>
      <c r="AGO219" s="2214"/>
      <c r="AGP219" s="2214"/>
      <c r="AGQ219" s="2214"/>
      <c r="AGR219" s="2214"/>
      <c r="AGS219" s="2214"/>
      <c r="AGT219" s="2214"/>
      <c r="AGU219" s="2214"/>
      <c r="AGV219" s="2214"/>
      <c r="AGW219" s="2214"/>
      <c r="AGX219" s="2214"/>
      <c r="AGY219" s="2214"/>
      <c r="AGZ219" s="2214"/>
      <c r="AHA219" s="2214"/>
      <c r="AHB219" s="2214"/>
      <c r="AHC219" s="2214"/>
      <c r="AHD219" s="2214"/>
      <c r="AHE219" s="2214"/>
      <c r="AHF219" s="2214"/>
      <c r="AHG219" s="2214"/>
      <c r="AHH219" s="2214"/>
      <c r="AHI219" s="2214"/>
      <c r="AHJ219" s="2214"/>
      <c r="AHK219" s="2214"/>
      <c r="AHL219" s="2214"/>
      <c r="AHM219" s="2214"/>
      <c r="AHN219" s="2214"/>
      <c r="AHO219" s="2214"/>
      <c r="AHP219" s="2214"/>
      <c r="AHQ219" s="2214"/>
      <c r="AHR219" s="2214"/>
      <c r="AHS219" s="2214"/>
      <c r="AHT219" s="2214"/>
      <c r="AHU219" s="2214"/>
      <c r="AHV219" s="2214"/>
      <c r="AHW219" s="2214"/>
      <c r="AHX219" s="2214"/>
      <c r="AHY219" s="2214"/>
      <c r="AHZ219" s="2214"/>
      <c r="AIA219" s="2214"/>
      <c r="AIB219" s="2214"/>
      <c r="AIC219" s="2214"/>
      <c r="AID219" s="2214"/>
      <c r="AIE219" s="2214"/>
      <c r="AIF219" s="2214"/>
      <c r="AIG219" s="2214"/>
      <c r="AIH219" s="2214"/>
      <c r="AII219" s="2214"/>
      <c r="AIJ219" s="2214"/>
      <c r="AIK219" s="2214"/>
      <c r="AIL219" s="2214"/>
      <c r="AIM219" s="2214"/>
      <c r="AIN219" s="2214"/>
      <c r="AIO219" s="2214"/>
      <c r="AIP219" s="2214"/>
      <c r="AIQ219" s="2214"/>
      <c r="AIR219" s="2214"/>
      <c r="AIS219" s="2214"/>
      <c r="AIT219" s="2214"/>
      <c r="AIU219" s="2214"/>
      <c r="AIV219" s="2214"/>
      <c r="AIW219" s="2214"/>
      <c r="AIX219" s="2214"/>
      <c r="AIY219" s="2214"/>
      <c r="AIZ219" s="2214"/>
      <c r="AJA219" s="2214"/>
      <c r="AJB219" s="2214"/>
      <c r="AJC219" s="2214"/>
      <c r="AJD219" s="2214"/>
      <c r="AJE219" s="2214"/>
      <c r="AJF219" s="2214"/>
      <c r="AJG219" s="2214"/>
      <c r="AJH219" s="2214"/>
      <c r="AJI219" s="2214"/>
      <c r="AJJ219" s="2214"/>
      <c r="AJK219" s="2214"/>
      <c r="AJL219" s="2214"/>
      <c r="AJM219" s="2214"/>
      <c r="AJN219" s="2214"/>
      <c r="AJO219" s="2214"/>
      <c r="AJP219" s="2214"/>
      <c r="AJQ219" s="2214"/>
      <c r="AJR219" s="2214"/>
      <c r="AJS219" s="2214"/>
      <c r="AJT219" s="2214"/>
      <c r="AJU219" s="2214"/>
      <c r="AJV219" s="2214"/>
      <c r="AJW219" s="2214"/>
      <c r="AJX219" s="2214"/>
      <c r="AJY219" s="2214"/>
      <c r="AJZ219" s="2214"/>
      <c r="AKA219" s="2214"/>
      <c r="AKB219" s="2214"/>
      <c r="AKC219" s="2214"/>
      <c r="AKD219" s="2214"/>
      <c r="AKE219" s="2214"/>
      <c r="AKF219" s="2214"/>
      <c r="AKG219" s="2214"/>
      <c r="AKH219" s="2214"/>
      <c r="AKI219" s="2214"/>
      <c r="AKJ219" s="2214"/>
      <c r="AKK219" s="2214"/>
      <c r="AKL219" s="2214"/>
      <c r="AKM219" s="2214"/>
      <c r="AKN219" s="2214"/>
      <c r="AKO219" s="2214"/>
      <c r="AKP219" s="2214"/>
      <c r="AKQ219" s="2214"/>
      <c r="AKR219" s="2214"/>
      <c r="AKS219" s="2214"/>
      <c r="AKT219" s="2214"/>
      <c r="AKU219" s="2214"/>
      <c r="AKV219" s="2214"/>
      <c r="AKW219" s="2214"/>
      <c r="AKX219" s="2214"/>
      <c r="AKY219" s="2214"/>
      <c r="AKZ219" s="2214"/>
      <c r="ALA219" s="2214"/>
      <c r="ALB219" s="2214"/>
      <c r="ALC219" s="2214"/>
      <c r="ALD219" s="2214"/>
      <c r="ALE219" s="2214"/>
      <c r="ALF219" s="2214"/>
      <c r="ALG219" s="2214"/>
      <c r="ALH219" s="2214"/>
      <c r="ALI219" s="2214"/>
      <c r="ALJ219" s="2214"/>
      <c r="ALK219" s="2214"/>
      <c r="ALL219" s="2214"/>
      <c r="ALM219" s="2214"/>
      <c r="ALN219" s="2214"/>
      <c r="ALO219" s="2214"/>
      <c r="ALP219" s="2214"/>
      <c r="ALQ219" s="2214"/>
      <c r="ALR219" s="2214"/>
      <c r="ALS219" s="2214"/>
      <c r="ALT219" s="2214"/>
      <c r="ALU219" s="2214"/>
      <c r="ALV219" s="2214"/>
      <c r="ALW219" s="2214"/>
      <c r="ALX219" s="2214"/>
      <c r="ALY219" s="2214"/>
      <c r="ALZ219" s="2214"/>
      <c r="AMA219" s="2214"/>
      <c r="AMB219" s="2214"/>
      <c r="AMC219" s="2214"/>
      <c r="AMD219" s="2214"/>
      <c r="AME219" s="2214"/>
      <c r="AMF219" s="2214"/>
      <c r="AMG219" s="2214"/>
      <c r="AMH219" s="2214"/>
      <c r="AMI219" s="2214"/>
      <c r="AMJ219" s="2214"/>
      <c r="AMK219" s="2214"/>
      <c r="AML219" s="2214"/>
      <c r="AMM219" s="2214"/>
      <c r="AMN219" s="2214"/>
      <c r="AMO219" s="2214"/>
      <c r="AMP219" s="2214"/>
      <c r="AMQ219" s="2214"/>
      <c r="AMR219" s="2214"/>
      <c r="AMS219" s="2214"/>
      <c r="AMT219" s="2214"/>
      <c r="AMU219" s="2214"/>
      <c r="AMV219" s="2214"/>
      <c r="AMW219" s="2214"/>
      <c r="AMX219" s="2214"/>
      <c r="AMY219" s="2214"/>
      <c r="AMZ219" s="2214"/>
      <c r="ANA219" s="2214"/>
      <c r="ANB219" s="2214"/>
      <c r="ANC219" s="2214"/>
      <c r="AND219" s="2214"/>
      <c r="ANE219" s="2214"/>
      <c r="ANF219" s="2214"/>
      <c r="ANG219" s="2214"/>
      <c r="ANH219" s="2214"/>
      <c r="ANI219" s="2214"/>
      <c r="ANJ219" s="2214"/>
      <c r="ANK219" s="2214"/>
      <c r="ANL219" s="2214"/>
      <c r="ANM219" s="2214"/>
      <c r="ANN219" s="2214"/>
      <c r="ANO219" s="2214"/>
      <c r="ANP219" s="2214"/>
      <c r="ANQ219" s="2214"/>
      <c r="ANR219" s="2214"/>
      <c r="ANS219" s="2214"/>
      <c r="ANT219" s="2214"/>
      <c r="ANU219" s="2214"/>
      <c r="ANV219" s="2214"/>
      <c r="ANW219" s="2214"/>
      <c r="ANX219" s="2214"/>
      <c r="ANY219" s="2214"/>
      <c r="ANZ219" s="2214"/>
      <c r="AOA219" s="2214"/>
      <c r="AOB219" s="2214"/>
      <c r="AOC219" s="2214"/>
      <c r="AOD219" s="2214"/>
      <c r="AOE219" s="2214"/>
      <c r="AOF219" s="2214"/>
      <c r="AOG219" s="2214"/>
      <c r="AOH219" s="2214"/>
      <c r="AOI219" s="2214"/>
      <c r="AOJ219" s="2214"/>
      <c r="AOK219" s="2214"/>
      <c r="AOL219" s="2214"/>
      <c r="AOM219" s="2214"/>
      <c r="AON219" s="2214"/>
      <c r="AOO219" s="2214"/>
      <c r="AOP219" s="2214"/>
      <c r="AOQ219" s="2214"/>
      <c r="AOR219" s="2214"/>
      <c r="AOS219" s="2214"/>
      <c r="AOT219" s="2214"/>
      <c r="AOU219" s="2214"/>
      <c r="AOV219" s="2214"/>
      <c r="AOW219" s="2214"/>
      <c r="AOX219" s="2214"/>
      <c r="AOY219" s="2214"/>
      <c r="AOZ219" s="2214"/>
      <c r="APA219" s="2214"/>
      <c r="APB219" s="2214"/>
      <c r="APC219" s="2214"/>
      <c r="APD219" s="2214"/>
      <c r="APE219" s="2214"/>
      <c r="APF219" s="2214"/>
      <c r="APG219" s="2214"/>
      <c r="APH219" s="2214"/>
      <c r="API219" s="2214"/>
      <c r="APJ219" s="2214"/>
      <c r="APK219" s="2214"/>
      <c r="APL219" s="2214"/>
      <c r="APM219" s="2214"/>
      <c r="APN219" s="2214"/>
      <c r="APO219" s="2214"/>
      <c r="APP219" s="2214"/>
      <c r="APQ219" s="2214"/>
      <c r="APR219" s="2214"/>
      <c r="APS219" s="2214"/>
      <c r="APT219" s="2214"/>
      <c r="APU219" s="2214"/>
      <c r="APV219" s="2214"/>
      <c r="APW219" s="2214"/>
      <c r="APX219" s="2214"/>
      <c r="APY219" s="2214"/>
      <c r="APZ219" s="2214"/>
      <c r="AQA219" s="2214"/>
      <c r="AQB219" s="2214"/>
      <c r="AQC219" s="2214"/>
      <c r="AQD219" s="2214"/>
      <c r="AQE219" s="2214"/>
      <c r="AQF219" s="2214"/>
      <c r="AQG219" s="2214"/>
      <c r="AQH219" s="2214"/>
      <c r="AQI219" s="2214"/>
      <c r="AQJ219" s="2214"/>
      <c r="AQK219" s="2214"/>
      <c r="AQL219" s="2214"/>
      <c r="AQM219" s="2214"/>
      <c r="AQN219" s="2214"/>
      <c r="AQO219" s="2214"/>
      <c r="AQP219" s="2214"/>
      <c r="AQQ219" s="2214"/>
      <c r="AQR219" s="2214"/>
      <c r="AQS219" s="2214"/>
      <c r="AQT219" s="2214"/>
      <c r="AQU219" s="2214"/>
      <c r="AQV219" s="2214"/>
      <c r="AQW219" s="2214"/>
      <c r="AQX219" s="2214"/>
      <c r="AQY219" s="2214"/>
      <c r="AQZ219" s="2214"/>
      <c r="ARA219" s="2214"/>
      <c r="ARB219" s="2214"/>
      <c r="ARC219" s="2214"/>
      <c r="ARD219" s="2214"/>
      <c r="ARE219" s="2214"/>
      <c r="ARF219" s="2214"/>
      <c r="ARG219" s="2214"/>
      <c r="ARH219" s="2214"/>
      <c r="ARI219" s="2214"/>
      <c r="ARJ219" s="2214"/>
      <c r="ARK219" s="2214"/>
      <c r="ARL219" s="2214"/>
      <c r="ARM219" s="2214"/>
      <c r="ARN219" s="2214"/>
      <c r="ARO219" s="2214"/>
      <c r="ARP219" s="2214"/>
      <c r="ARQ219" s="2214"/>
      <c r="ARR219" s="2214"/>
      <c r="ARS219" s="2214"/>
      <c r="ART219" s="2214"/>
      <c r="ARU219" s="2214"/>
      <c r="ARV219" s="2214"/>
      <c r="ARW219" s="2214"/>
      <c r="ARX219" s="2214"/>
      <c r="ARY219" s="2214"/>
      <c r="ARZ219" s="2214"/>
      <c r="ASA219" s="2214"/>
      <c r="ASB219" s="2214"/>
      <c r="ASC219" s="2214"/>
      <c r="ASD219" s="2214"/>
      <c r="ASE219" s="2214"/>
      <c r="ASF219" s="2214"/>
      <c r="ASG219" s="2214"/>
      <c r="ASH219" s="2214"/>
      <c r="ASI219" s="2214"/>
      <c r="ASJ219" s="2214"/>
      <c r="ASK219" s="2214"/>
      <c r="ASL219" s="2214"/>
      <c r="ASM219" s="2214"/>
      <c r="ASN219" s="2214"/>
      <c r="ASO219" s="2214"/>
      <c r="ASP219" s="2214"/>
      <c r="ASQ219" s="2214"/>
      <c r="ASR219" s="2214"/>
      <c r="ASS219" s="2214"/>
      <c r="AST219" s="2214"/>
      <c r="ASU219" s="2214"/>
      <c r="ASV219" s="2214"/>
      <c r="ASW219" s="2214"/>
      <c r="ASX219" s="2214"/>
      <c r="ASY219" s="2214"/>
      <c r="ASZ219" s="2214"/>
      <c r="ATA219" s="2214"/>
      <c r="ATB219" s="2214"/>
      <c r="ATC219" s="2214"/>
      <c r="ATD219" s="2214"/>
      <c r="ATE219" s="2214"/>
      <c r="ATF219" s="2214"/>
      <c r="ATG219" s="2214"/>
      <c r="ATH219" s="2214"/>
      <c r="ATI219" s="2214"/>
      <c r="ATJ219" s="2214"/>
      <c r="ATK219" s="2214"/>
      <c r="ATL219" s="2214"/>
      <c r="ATM219" s="2214"/>
      <c r="ATN219" s="2214"/>
      <c r="ATO219" s="2214"/>
      <c r="ATP219" s="2214"/>
      <c r="ATQ219" s="2214"/>
      <c r="ATR219" s="2214"/>
      <c r="ATS219" s="2214"/>
      <c r="ATT219" s="2214"/>
      <c r="ATU219" s="2214"/>
      <c r="ATV219" s="2214"/>
      <c r="ATW219" s="2214"/>
      <c r="ATX219" s="2214"/>
      <c r="ATY219" s="2214"/>
      <c r="ATZ219" s="2214"/>
      <c r="AUA219" s="2214"/>
      <c r="AUB219" s="2214"/>
      <c r="AUC219" s="2214"/>
      <c r="AUD219" s="2214"/>
      <c r="AUE219" s="2214"/>
      <c r="AUF219" s="2214"/>
      <c r="AUG219" s="2214"/>
      <c r="AUH219" s="2214"/>
      <c r="AUI219" s="2214"/>
      <c r="AUJ219" s="2214"/>
      <c r="AUK219" s="2214"/>
      <c r="AUL219" s="2214"/>
      <c r="AUM219" s="2214"/>
      <c r="AUN219" s="2214"/>
      <c r="AUO219" s="2214"/>
      <c r="AUP219" s="2214"/>
      <c r="AUQ219" s="2214"/>
      <c r="AUR219" s="2214"/>
      <c r="AUS219" s="2214"/>
      <c r="AUT219" s="2214"/>
      <c r="AUU219" s="2214"/>
      <c r="AUV219" s="2214"/>
      <c r="AUW219" s="2214"/>
      <c r="AUX219" s="2214"/>
      <c r="AUY219" s="2214"/>
      <c r="AUZ219" s="2214"/>
      <c r="AVA219" s="2214"/>
      <c r="AVB219" s="2214"/>
      <c r="AVC219" s="2214"/>
      <c r="AVD219" s="2214"/>
      <c r="AVE219" s="2214"/>
      <c r="AVF219" s="2214"/>
      <c r="AVG219" s="2214"/>
      <c r="AVH219" s="2214"/>
      <c r="AVI219" s="2214"/>
      <c r="AVJ219" s="2214"/>
      <c r="AVK219" s="2214"/>
      <c r="AVL219" s="2214"/>
      <c r="AVM219" s="2214"/>
      <c r="AVN219" s="2214"/>
      <c r="AVO219" s="2214"/>
      <c r="AVP219" s="2214"/>
      <c r="AVQ219" s="2214"/>
      <c r="AVR219" s="2214"/>
      <c r="AVS219" s="2214"/>
      <c r="AVT219" s="2214"/>
      <c r="AVU219" s="2214"/>
      <c r="AVV219" s="2214"/>
      <c r="AVW219" s="2214"/>
      <c r="AVX219" s="2214"/>
      <c r="AVY219" s="2214"/>
      <c r="AVZ219" s="2214"/>
      <c r="AWA219" s="2214"/>
      <c r="AWB219" s="2214"/>
      <c r="AWC219" s="2214"/>
      <c r="AWD219" s="2214"/>
      <c r="AWE219" s="2214"/>
      <c r="AWF219" s="2214"/>
      <c r="AWG219" s="2214"/>
      <c r="AWH219" s="2214"/>
      <c r="AWI219" s="2214"/>
      <c r="AWJ219" s="2214"/>
      <c r="AWK219" s="2214"/>
      <c r="AWL219" s="2214"/>
      <c r="AWM219" s="2214"/>
      <c r="AWN219" s="2214"/>
      <c r="AWO219" s="2214"/>
      <c r="AWP219" s="2214"/>
      <c r="AWQ219" s="2214"/>
      <c r="AWR219" s="2214"/>
      <c r="AWS219" s="2214"/>
      <c r="AWT219" s="2214"/>
      <c r="AWU219" s="2214"/>
      <c r="AWV219" s="2214"/>
      <c r="AWW219" s="2214"/>
      <c r="AWX219" s="2214"/>
      <c r="AWY219" s="2214"/>
      <c r="AWZ219" s="2214"/>
      <c r="AXA219" s="2214"/>
      <c r="AXB219" s="2214"/>
      <c r="AXC219" s="2214"/>
      <c r="AXD219" s="2214"/>
      <c r="AXE219" s="2214"/>
      <c r="AXF219" s="2214"/>
      <c r="AXG219" s="2214"/>
      <c r="AXH219" s="2214"/>
      <c r="AXI219" s="2214"/>
      <c r="AXJ219" s="2214"/>
    </row>
    <row r="220" spans="1:1310" s="2215" customFormat="1" ht="23.25" customHeight="1">
      <c r="A220" s="756"/>
      <c r="B220" s="9021" t="s">
        <v>1561</v>
      </c>
      <c r="C220" s="9021"/>
      <c r="D220" s="9021"/>
      <c r="E220" s="9021"/>
      <c r="F220" s="9021"/>
      <c r="G220" s="9021"/>
      <c r="H220" s="9021"/>
      <c r="I220" s="9021"/>
      <c r="J220" s="9021"/>
      <c r="K220" s="9021"/>
      <c r="L220" s="9021"/>
      <c r="M220" s="9021"/>
      <c r="N220" s="9021"/>
      <c r="O220" s="9021"/>
      <c r="P220" s="9021"/>
      <c r="Q220" s="9021"/>
      <c r="R220" s="311"/>
      <c r="S220" s="311"/>
      <c r="T220" s="311"/>
      <c r="U220" s="311"/>
      <c r="V220" s="311"/>
      <c r="W220" s="311"/>
      <c r="X220" s="311"/>
      <c r="Y220" s="311"/>
      <c r="Z220" s="311"/>
      <c r="AA220" s="311"/>
      <c r="AB220" s="311"/>
      <c r="AC220" s="311"/>
      <c r="AD220" s="2214"/>
      <c r="AE220" s="2214"/>
      <c r="AF220" s="2214"/>
      <c r="AG220" s="2214"/>
      <c r="AH220" s="2214"/>
      <c r="AI220" s="2214"/>
      <c r="AJ220" s="2214"/>
      <c r="AK220" s="2214"/>
      <c r="AL220" s="2214"/>
      <c r="AM220" s="2214"/>
      <c r="AN220" s="2214"/>
      <c r="AO220" s="2214"/>
      <c r="AP220" s="2214"/>
      <c r="AQ220" s="2214"/>
      <c r="AR220" s="2214"/>
      <c r="AS220" s="2214"/>
      <c r="AT220" s="2214"/>
      <c r="AU220" s="2214"/>
      <c r="AV220" s="2214"/>
      <c r="AW220" s="2214"/>
      <c r="AX220" s="2214"/>
      <c r="AY220" s="2214"/>
      <c r="AZ220" s="2214"/>
      <c r="BA220" s="2214"/>
      <c r="BB220" s="2214"/>
      <c r="BC220" s="2214"/>
      <c r="BD220" s="2214"/>
      <c r="BE220" s="2214"/>
      <c r="BF220" s="2214"/>
      <c r="BG220" s="2214"/>
      <c r="BH220" s="2214"/>
      <c r="BI220" s="2214"/>
      <c r="BJ220" s="2214"/>
      <c r="BK220" s="2214"/>
      <c r="BL220" s="2214"/>
      <c r="BM220" s="2214"/>
      <c r="BN220" s="2214"/>
      <c r="BO220" s="2214"/>
      <c r="BP220" s="2214"/>
      <c r="BQ220" s="2214"/>
      <c r="BR220" s="2214"/>
      <c r="BS220" s="2214"/>
      <c r="BT220" s="2214"/>
      <c r="BU220" s="2214"/>
      <c r="BV220" s="2214"/>
      <c r="BW220" s="2214"/>
      <c r="BX220" s="2214"/>
      <c r="BY220" s="2214"/>
      <c r="BZ220" s="2214"/>
      <c r="CA220" s="2214"/>
      <c r="CB220" s="2214"/>
      <c r="CC220" s="2214"/>
      <c r="CD220" s="2214"/>
      <c r="CE220" s="2214"/>
      <c r="CF220" s="2214"/>
      <c r="CG220" s="2214"/>
      <c r="CH220" s="2214"/>
      <c r="CI220" s="2214"/>
      <c r="CJ220" s="2214"/>
      <c r="CK220" s="2214"/>
      <c r="CL220" s="2214"/>
      <c r="CM220" s="2214"/>
      <c r="CN220" s="2214"/>
      <c r="CO220" s="2214"/>
      <c r="CP220" s="2214"/>
      <c r="CQ220" s="2214"/>
      <c r="CR220" s="2214"/>
      <c r="CS220" s="2214"/>
      <c r="CT220" s="2214"/>
      <c r="CU220" s="2214"/>
      <c r="CV220" s="2214"/>
      <c r="CW220" s="2214"/>
      <c r="CX220" s="2214"/>
      <c r="CY220" s="2214"/>
      <c r="CZ220" s="2214"/>
      <c r="DA220" s="2214"/>
      <c r="DB220" s="2214"/>
      <c r="DC220" s="2214"/>
      <c r="DD220" s="2214"/>
      <c r="DE220" s="2214"/>
      <c r="DF220" s="2214"/>
      <c r="DG220" s="2214"/>
      <c r="DH220" s="2214"/>
      <c r="DI220" s="2214"/>
      <c r="DJ220" s="2214"/>
      <c r="DK220" s="2214"/>
      <c r="DL220" s="2214"/>
      <c r="DM220" s="2214"/>
      <c r="DN220" s="2214"/>
      <c r="DO220" s="2214"/>
      <c r="DP220" s="2214"/>
      <c r="DQ220" s="2214"/>
      <c r="DR220" s="2214"/>
      <c r="DS220" s="2214"/>
      <c r="DT220" s="2214"/>
      <c r="DU220" s="2214"/>
      <c r="DV220" s="2214"/>
      <c r="DW220" s="2214"/>
      <c r="DX220" s="2214"/>
      <c r="DY220" s="2214"/>
      <c r="DZ220" s="2214"/>
      <c r="EA220" s="2214"/>
      <c r="EB220" s="2214"/>
      <c r="EC220" s="2214"/>
      <c r="ED220" s="2214"/>
      <c r="EE220" s="2214"/>
      <c r="EF220" s="2214"/>
      <c r="EG220" s="2214"/>
      <c r="EH220" s="2214"/>
      <c r="EI220" s="2214"/>
      <c r="EJ220" s="2214"/>
      <c r="EK220" s="2214"/>
      <c r="EL220" s="2214"/>
      <c r="EM220" s="2214"/>
      <c r="EN220" s="2214"/>
      <c r="EO220" s="2214"/>
      <c r="EP220" s="2214"/>
      <c r="EQ220" s="2214"/>
      <c r="ER220" s="2214"/>
      <c r="ES220" s="2214"/>
      <c r="ET220" s="2214"/>
      <c r="EU220" s="2214"/>
      <c r="EV220" s="2214"/>
      <c r="EW220" s="2214"/>
      <c r="EX220" s="2214"/>
      <c r="EY220" s="2214"/>
      <c r="EZ220" s="2214"/>
      <c r="FA220" s="2214"/>
      <c r="FB220" s="2214"/>
      <c r="FC220" s="2214"/>
      <c r="FD220" s="2214"/>
      <c r="FE220" s="2214"/>
      <c r="FF220" s="2214"/>
      <c r="FG220" s="2214"/>
      <c r="FH220" s="2214"/>
      <c r="FI220" s="2214"/>
      <c r="FJ220" s="2214"/>
      <c r="FK220" s="2214"/>
      <c r="FL220" s="2214"/>
      <c r="FM220" s="2214"/>
      <c r="FN220" s="2214"/>
      <c r="FO220" s="2214"/>
      <c r="FP220" s="2214"/>
      <c r="FQ220" s="2214"/>
      <c r="FR220" s="2214"/>
      <c r="FS220" s="2214"/>
      <c r="FT220" s="2214"/>
      <c r="FU220" s="2214"/>
      <c r="FV220" s="2214"/>
      <c r="FW220" s="2214"/>
      <c r="FX220" s="2214"/>
      <c r="FY220" s="2214"/>
      <c r="FZ220" s="2214"/>
      <c r="GA220" s="2214"/>
      <c r="GB220" s="2214"/>
      <c r="GC220" s="2214"/>
      <c r="GD220" s="2214"/>
      <c r="GE220" s="2214"/>
      <c r="GF220" s="2214"/>
      <c r="GG220" s="2214"/>
      <c r="GH220" s="2214"/>
      <c r="GI220" s="2214"/>
      <c r="GJ220" s="2214"/>
      <c r="GK220" s="2214"/>
      <c r="GL220" s="2214"/>
      <c r="GM220" s="2214"/>
      <c r="GN220" s="2214"/>
      <c r="GO220" s="2214"/>
      <c r="GP220" s="2214"/>
      <c r="GQ220" s="2214"/>
      <c r="GR220" s="2214"/>
      <c r="GS220" s="2214"/>
      <c r="GT220" s="2214"/>
      <c r="GU220" s="2214"/>
      <c r="GV220" s="2214"/>
      <c r="GW220" s="2214"/>
      <c r="GX220" s="2214"/>
      <c r="GY220" s="2214"/>
      <c r="GZ220" s="2214"/>
      <c r="HA220" s="2214"/>
      <c r="HB220" s="2214"/>
      <c r="HC220" s="2214"/>
      <c r="HD220" s="2214"/>
      <c r="HE220" s="2214"/>
      <c r="HF220" s="2214"/>
      <c r="HG220" s="2214"/>
      <c r="HH220" s="2214"/>
      <c r="HI220" s="2214"/>
      <c r="HJ220" s="2214"/>
      <c r="HK220" s="2214"/>
      <c r="HL220" s="2214"/>
      <c r="HM220" s="2214"/>
      <c r="HN220" s="2214"/>
      <c r="HO220" s="2214"/>
      <c r="HP220" s="2214"/>
      <c r="HQ220" s="2214"/>
      <c r="HR220" s="2214"/>
      <c r="HS220" s="2214"/>
      <c r="HT220" s="2214"/>
      <c r="HU220" s="2214"/>
      <c r="HV220" s="2214"/>
      <c r="HW220" s="2214"/>
      <c r="HX220" s="2214"/>
      <c r="HY220" s="2214"/>
      <c r="HZ220" s="2214"/>
      <c r="IA220" s="2214"/>
      <c r="IB220" s="2214"/>
      <c r="IC220" s="2214"/>
      <c r="ID220" s="2214"/>
      <c r="IE220" s="2214"/>
      <c r="IF220" s="2214"/>
      <c r="IG220" s="2214"/>
      <c r="IH220" s="2214"/>
      <c r="II220" s="2214"/>
      <c r="IJ220" s="2214"/>
      <c r="IK220" s="2214"/>
      <c r="IL220" s="2214"/>
      <c r="IM220" s="2214"/>
      <c r="IN220" s="2214"/>
      <c r="IO220" s="2214"/>
      <c r="IP220" s="2214"/>
      <c r="IQ220" s="2214"/>
      <c r="IR220" s="2214"/>
      <c r="IS220" s="2214"/>
      <c r="IT220" s="2214"/>
      <c r="IU220" s="2214"/>
      <c r="IV220" s="2214"/>
      <c r="IW220" s="2214"/>
      <c r="IX220" s="2214"/>
      <c r="IY220" s="2214"/>
      <c r="IZ220" s="2214"/>
      <c r="JA220" s="2214"/>
      <c r="JB220" s="2214"/>
      <c r="JC220" s="2214"/>
      <c r="JD220" s="2214"/>
      <c r="JE220" s="2214"/>
      <c r="JF220" s="2214"/>
      <c r="JG220" s="2214"/>
      <c r="JH220" s="2214"/>
      <c r="JI220" s="2214"/>
      <c r="JJ220" s="2214"/>
      <c r="JK220" s="2214"/>
      <c r="JL220" s="2214"/>
      <c r="JM220" s="2214"/>
      <c r="JN220" s="2214"/>
      <c r="JO220" s="2214"/>
      <c r="JP220" s="2214"/>
      <c r="JQ220" s="2214"/>
      <c r="JR220" s="2214"/>
      <c r="JS220" s="2214"/>
      <c r="JT220" s="2214"/>
      <c r="JU220" s="2214"/>
      <c r="JV220" s="2214"/>
      <c r="JW220" s="2214"/>
      <c r="JX220" s="2214"/>
      <c r="JY220" s="2214"/>
      <c r="JZ220" s="2214"/>
      <c r="KA220" s="2214"/>
      <c r="KB220" s="2214"/>
      <c r="KC220" s="2214"/>
      <c r="KD220" s="2214"/>
      <c r="KE220" s="2214"/>
      <c r="KF220" s="2214"/>
      <c r="KG220" s="2214"/>
      <c r="KH220" s="2214"/>
      <c r="KI220" s="2214"/>
      <c r="KJ220" s="2214"/>
      <c r="KK220" s="2214"/>
      <c r="KL220" s="2214"/>
      <c r="KM220" s="2214"/>
      <c r="KN220" s="2214"/>
      <c r="KO220" s="2214"/>
      <c r="KP220" s="2214"/>
      <c r="KQ220" s="2214"/>
      <c r="KR220" s="2214"/>
      <c r="KS220" s="2214"/>
      <c r="KT220" s="2214"/>
      <c r="KU220" s="2214"/>
      <c r="KV220" s="2214"/>
      <c r="KW220" s="2214"/>
      <c r="KX220" s="2214"/>
      <c r="KY220" s="2214"/>
      <c r="KZ220" s="2214"/>
      <c r="LA220" s="2214"/>
      <c r="LB220" s="2214"/>
      <c r="LC220" s="2214"/>
      <c r="LD220" s="2214"/>
      <c r="LE220" s="2214"/>
      <c r="LF220" s="2214"/>
      <c r="LG220" s="2214"/>
      <c r="LH220" s="2214"/>
      <c r="LI220" s="2214"/>
      <c r="LJ220" s="2214"/>
      <c r="LK220" s="2214"/>
      <c r="LL220" s="2214"/>
      <c r="LM220" s="2214"/>
      <c r="LN220" s="2214"/>
      <c r="LO220" s="2214"/>
      <c r="LP220" s="2214"/>
      <c r="LQ220" s="2214"/>
      <c r="LR220" s="2214"/>
      <c r="LS220" s="2214"/>
      <c r="LT220" s="2214"/>
      <c r="LU220" s="2214"/>
      <c r="LV220" s="2214"/>
      <c r="LW220" s="2214"/>
      <c r="LX220" s="2214"/>
      <c r="LY220" s="2214"/>
      <c r="LZ220" s="2214"/>
      <c r="MA220" s="2214"/>
      <c r="MB220" s="2214"/>
      <c r="MC220" s="2214"/>
      <c r="MD220" s="2214"/>
      <c r="ME220" s="2214"/>
      <c r="MF220" s="2214"/>
      <c r="MG220" s="2214"/>
      <c r="MH220" s="2214"/>
      <c r="MI220" s="2214"/>
      <c r="MJ220" s="2214"/>
      <c r="MK220" s="2214"/>
      <c r="ML220" s="2214"/>
      <c r="MM220" s="2214"/>
      <c r="MN220" s="2214"/>
      <c r="MO220" s="2214"/>
      <c r="MP220" s="2214"/>
      <c r="MQ220" s="2214"/>
      <c r="MR220" s="2214"/>
      <c r="MS220" s="2214"/>
      <c r="MT220" s="2214"/>
      <c r="MU220" s="2214"/>
      <c r="MV220" s="2214"/>
      <c r="MW220" s="2214"/>
      <c r="MX220" s="2214"/>
      <c r="MY220" s="2214"/>
      <c r="MZ220" s="2214"/>
      <c r="NA220" s="2214"/>
      <c r="NB220" s="2214"/>
      <c r="NC220" s="2214"/>
      <c r="ND220" s="2214"/>
      <c r="NE220" s="2214"/>
      <c r="NF220" s="2214"/>
      <c r="NG220" s="2214"/>
      <c r="NH220" s="2214"/>
      <c r="NI220" s="2214"/>
      <c r="NJ220" s="2214"/>
      <c r="NK220" s="2214"/>
      <c r="NL220" s="2214"/>
      <c r="NM220" s="2214"/>
      <c r="NN220" s="2214"/>
      <c r="NO220" s="2214"/>
      <c r="NP220" s="2214"/>
      <c r="NQ220" s="2214"/>
      <c r="NR220" s="2214"/>
      <c r="NS220" s="2214"/>
      <c r="NT220" s="2214"/>
      <c r="NU220" s="2214"/>
      <c r="NV220" s="2214"/>
      <c r="NW220" s="2214"/>
      <c r="NX220" s="2214"/>
      <c r="NY220" s="2214"/>
      <c r="NZ220" s="2214"/>
      <c r="OA220" s="2214"/>
      <c r="OB220" s="2214"/>
      <c r="OC220" s="2214"/>
      <c r="OD220" s="2214"/>
      <c r="OE220" s="2214"/>
      <c r="OF220" s="2214"/>
      <c r="OG220" s="2214"/>
      <c r="OH220" s="2214"/>
      <c r="OI220" s="2214"/>
      <c r="OJ220" s="2214"/>
      <c r="OK220" s="2214"/>
      <c r="OL220" s="2214"/>
      <c r="OM220" s="2214"/>
      <c r="ON220" s="2214"/>
      <c r="OO220" s="2214"/>
      <c r="OP220" s="2214"/>
      <c r="OQ220" s="2214"/>
      <c r="OR220" s="2214"/>
      <c r="OS220" s="2214"/>
      <c r="OT220" s="2214"/>
      <c r="OU220" s="2214"/>
      <c r="OV220" s="2214"/>
      <c r="OW220" s="2214"/>
      <c r="OX220" s="2214"/>
      <c r="OY220" s="2214"/>
      <c r="OZ220" s="2214"/>
      <c r="PA220" s="2214"/>
      <c r="PB220" s="2214"/>
      <c r="PC220" s="2214"/>
      <c r="PD220" s="2214"/>
      <c r="PE220" s="2214"/>
      <c r="PF220" s="2214"/>
      <c r="PG220" s="2214"/>
      <c r="PH220" s="2214"/>
      <c r="PI220" s="2214"/>
      <c r="PJ220" s="2214"/>
      <c r="PK220" s="2214"/>
      <c r="PL220" s="2214"/>
      <c r="PM220" s="2214"/>
      <c r="PN220" s="2214"/>
      <c r="PO220" s="2214"/>
      <c r="PP220" s="2214"/>
      <c r="PQ220" s="2214"/>
      <c r="PR220" s="2214"/>
      <c r="PS220" s="2214"/>
      <c r="PT220" s="2214"/>
      <c r="PU220" s="2214"/>
      <c r="PV220" s="2214"/>
      <c r="PW220" s="2214"/>
      <c r="PX220" s="2214"/>
      <c r="PY220" s="2214"/>
      <c r="PZ220" s="2214"/>
      <c r="QA220" s="2214"/>
      <c r="QB220" s="2214"/>
      <c r="QC220" s="2214"/>
      <c r="QD220" s="2214"/>
      <c r="QE220" s="2214"/>
      <c r="QF220" s="2214"/>
      <c r="QG220" s="2214"/>
      <c r="QH220" s="2214"/>
      <c r="QI220" s="2214"/>
      <c r="QJ220" s="2214"/>
      <c r="QK220" s="2214"/>
      <c r="QL220" s="2214"/>
      <c r="QM220" s="2214"/>
      <c r="QN220" s="2214"/>
      <c r="QO220" s="2214"/>
      <c r="QP220" s="2214"/>
      <c r="QQ220" s="2214"/>
      <c r="QR220" s="2214"/>
      <c r="QS220" s="2214"/>
      <c r="QT220" s="2214"/>
      <c r="QU220" s="2214"/>
      <c r="QV220" s="2214"/>
      <c r="QW220" s="2214"/>
      <c r="QX220" s="2214"/>
      <c r="QY220" s="2214"/>
      <c r="QZ220" s="2214"/>
      <c r="RA220" s="2214"/>
      <c r="RB220" s="2214"/>
      <c r="RC220" s="2214"/>
      <c r="RD220" s="2214"/>
      <c r="RE220" s="2214"/>
      <c r="RF220" s="2214"/>
      <c r="RG220" s="2214"/>
      <c r="RH220" s="2214"/>
      <c r="RI220" s="2214"/>
      <c r="RJ220" s="2214"/>
      <c r="RK220" s="2214"/>
      <c r="RL220" s="2214"/>
      <c r="RM220" s="2214"/>
      <c r="RN220" s="2214"/>
      <c r="RO220" s="2214"/>
      <c r="RP220" s="2214"/>
      <c r="RQ220" s="2214"/>
      <c r="RR220" s="2214"/>
      <c r="RS220" s="2214"/>
      <c r="RT220" s="2214"/>
      <c r="RU220" s="2214"/>
      <c r="RV220" s="2214"/>
      <c r="RW220" s="2214"/>
      <c r="RX220" s="2214"/>
      <c r="RY220" s="2214"/>
      <c r="RZ220" s="2214"/>
      <c r="SA220" s="2214"/>
      <c r="SB220" s="2214"/>
      <c r="SC220" s="2214"/>
      <c r="SD220" s="2214"/>
      <c r="SE220" s="2214"/>
      <c r="SF220" s="2214"/>
      <c r="SG220" s="2214"/>
      <c r="SH220" s="2214"/>
      <c r="SI220" s="2214"/>
      <c r="SJ220" s="2214"/>
      <c r="SK220" s="2214"/>
      <c r="SL220" s="2214"/>
      <c r="SM220" s="2214"/>
      <c r="SN220" s="2214"/>
      <c r="SO220" s="2214"/>
      <c r="SP220" s="2214"/>
      <c r="SQ220" s="2214"/>
      <c r="SR220" s="2214"/>
      <c r="SS220" s="2214"/>
      <c r="ST220" s="2214"/>
      <c r="SU220" s="2214"/>
      <c r="SV220" s="2214"/>
      <c r="SW220" s="2214"/>
      <c r="SX220" s="2214"/>
      <c r="SY220" s="2214"/>
      <c r="SZ220" s="2214"/>
      <c r="TA220" s="2214"/>
      <c r="TB220" s="2214"/>
      <c r="TC220" s="2214"/>
      <c r="TD220" s="2214"/>
      <c r="TE220" s="2214"/>
      <c r="TF220" s="2214"/>
      <c r="TG220" s="2214"/>
      <c r="TH220" s="2214"/>
      <c r="TI220" s="2214"/>
      <c r="TJ220" s="2214"/>
      <c r="TK220" s="2214"/>
      <c r="TL220" s="2214"/>
      <c r="TM220" s="2214"/>
      <c r="TN220" s="2214"/>
      <c r="TO220" s="2214"/>
      <c r="TP220" s="2214"/>
      <c r="TQ220" s="2214"/>
      <c r="TR220" s="2214"/>
      <c r="TS220" s="2214"/>
      <c r="TT220" s="2214"/>
      <c r="TU220" s="2214"/>
      <c r="TV220" s="2214"/>
      <c r="TW220" s="2214"/>
      <c r="TX220" s="2214"/>
      <c r="TY220" s="2214"/>
      <c r="TZ220" s="2214"/>
      <c r="UA220" s="2214"/>
      <c r="UB220" s="2214"/>
      <c r="UC220" s="2214"/>
      <c r="UD220" s="2214"/>
      <c r="UE220" s="2214"/>
      <c r="UF220" s="2214"/>
      <c r="UG220" s="2214"/>
      <c r="UH220" s="2214"/>
      <c r="UI220" s="2214"/>
      <c r="UJ220" s="2214"/>
      <c r="UK220" s="2214"/>
      <c r="UL220" s="2214"/>
      <c r="UM220" s="2214"/>
      <c r="UN220" s="2214"/>
      <c r="UO220" s="2214"/>
      <c r="UP220" s="2214"/>
      <c r="UQ220" s="2214"/>
      <c r="UR220" s="2214"/>
      <c r="US220" s="2214"/>
      <c r="UT220" s="2214"/>
      <c r="UU220" s="2214"/>
      <c r="UV220" s="2214"/>
      <c r="UW220" s="2214"/>
      <c r="UX220" s="2214"/>
      <c r="UY220" s="2214"/>
      <c r="UZ220" s="2214"/>
      <c r="VA220" s="2214"/>
      <c r="VB220" s="2214"/>
      <c r="VC220" s="2214"/>
      <c r="VD220" s="2214"/>
      <c r="VE220" s="2214"/>
      <c r="VF220" s="2214"/>
      <c r="VG220" s="2214"/>
      <c r="VH220" s="2214"/>
      <c r="VI220" s="2214"/>
      <c r="VJ220" s="2214"/>
      <c r="VK220" s="2214"/>
      <c r="VL220" s="2214"/>
      <c r="VM220" s="2214"/>
      <c r="VN220" s="2214"/>
      <c r="VO220" s="2214"/>
      <c r="VP220" s="2214"/>
      <c r="VQ220" s="2214"/>
      <c r="VR220" s="2214"/>
      <c r="VS220" s="2214"/>
      <c r="VT220" s="2214"/>
      <c r="VU220" s="2214"/>
      <c r="VV220" s="2214"/>
      <c r="VW220" s="2214"/>
      <c r="VX220" s="2214"/>
      <c r="VY220" s="2214"/>
      <c r="VZ220" s="2214"/>
      <c r="WA220" s="2214"/>
      <c r="WB220" s="2214"/>
      <c r="WC220" s="2214"/>
      <c r="WD220" s="2214"/>
      <c r="WE220" s="2214"/>
      <c r="WF220" s="2214"/>
      <c r="WG220" s="2214"/>
      <c r="WH220" s="2214"/>
      <c r="WI220" s="2214"/>
      <c r="WJ220" s="2214"/>
      <c r="WK220" s="2214"/>
      <c r="WL220" s="2214"/>
      <c r="WM220" s="2214"/>
      <c r="WN220" s="2214"/>
      <c r="WO220" s="2214"/>
      <c r="WP220" s="2214"/>
      <c r="WQ220" s="2214"/>
      <c r="WR220" s="2214"/>
      <c r="WS220" s="2214"/>
      <c r="WT220" s="2214"/>
      <c r="WU220" s="2214"/>
      <c r="WV220" s="2214"/>
      <c r="WW220" s="2214"/>
      <c r="WX220" s="2214"/>
      <c r="WY220" s="2214"/>
      <c r="WZ220" s="2214"/>
      <c r="XA220" s="2214"/>
      <c r="XB220" s="2214"/>
      <c r="XC220" s="2214"/>
      <c r="XD220" s="2214"/>
      <c r="XE220" s="2214"/>
      <c r="XF220" s="2214"/>
      <c r="XG220" s="2214"/>
      <c r="XH220" s="2214"/>
      <c r="XI220" s="2214"/>
      <c r="XJ220" s="2214"/>
      <c r="XK220" s="2214"/>
      <c r="XL220" s="2214"/>
      <c r="XM220" s="2214"/>
      <c r="XN220" s="2214"/>
      <c r="XO220" s="2214"/>
      <c r="XP220" s="2214"/>
      <c r="XQ220" s="2214"/>
      <c r="XR220" s="2214"/>
      <c r="XS220" s="2214"/>
      <c r="XT220" s="2214"/>
      <c r="XU220" s="2214"/>
      <c r="XV220" s="2214"/>
      <c r="XW220" s="2214"/>
      <c r="XX220" s="2214"/>
      <c r="XY220" s="2214"/>
      <c r="XZ220" s="2214"/>
      <c r="YA220" s="2214"/>
      <c r="YB220" s="2214"/>
      <c r="YC220" s="2214"/>
      <c r="YD220" s="2214"/>
      <c r="YE220" s="2214"/>
      <c r="YF220" s="2214"/>
      <c r="YG220" s="2214"/>
      <c r="YH220" s="2214"/>
      <c r="YI220" s="2214"/>
      <c r="YJ220" s="2214"/>
      <c r="YK220" s="2214"/>
      <c r="YL220" s="2214"/>
      <c r="YM220" s="2214"/>
      <c r="YN220" s="2214"/>
      <c r="YO220" s="2214"/>
      <c r="YP220" s="2214"/>
      <c r="YQ220" s="2214"/>
      <c r="YR220" s="2214"/>
      <c r="YS220" s="2214"/>
      <c r="YT220" s="2214"/>
      <c r="YU220" s="2214"/>
      <c r="YV220" s="2214"/>
      <c r="YW220" s="2214"/>
      <c r="YX220" s="2214"/>
      <c r="YY220" s="2214"/>
      <c r="YZ220" s="2214"/>
      <c r="ZA220" s="2214"/>
      <c r="ZB220" s="2214"/>
      <c r="ZC220" s="2214"/>
      <c r="ZD220" s="2214"/>
      <c r="ZE220" s="2214"/>
      <c r="ZF220" s="2214"/>
      <c r="ZG220" s="2214"/>
      <c r="ZH220" s="2214"/>
      <c r="ZI220" s="2214"/>
      <c r="ZJ220" s="2214"/>
      <c r="ZK220" s="2214"/>
      <c r="ZL220" s="2214"/>
      <c r="ZM220" s="2214"/>
      <c r="ZN220" s="2214"/>
      <c r="ZO220" s="2214"/>
      <c r="ZP220" s="2214"/>
      <c r="ZQ220" s="2214"/>
      <c r="ZR220" s="2214"/>
      <c r="ZS220" s="2214"/>
      <c r="ZT220" s="2214"/>
      <c r="ZU220" s="2214"/>
      <c r="ZV220" s="2214"/>
      <c r="ZW220" s="2214"/>
      <c r="ZX220" s="2214"/>
      <c r="ZY220" s="2214"/>
      <c r="ZZ220" s="2214"/>
      <c r="AAA220" s="2214"/>
      <c r="AAB220" s="2214"/>
      <c r="AAC220" s="2214"/>
      <c r="AAD220" s="2214"/>
      <c r="AAE220" s="2214"/>
      <c r="AAF220" s="2214"/>
      <c r="AAG220" s="2214"/>
      <c r="AAH220" s="2214"/>
      <c r="AAI220" s="2214"/>
      <c r="AAJ220" s="2214"/>
      <c r="AAK220" s="2214"/>
      <c r="AAL220" s="2214"/>
      <c r="AAM220" s="2214"/>
      <c r="AAN220" s="2214"/>
      <c r="AAO220" s="2214"/>
      <c r="AAP220" s="2214"/>
      <c r="AAQ220" s="2214"/>
      <c r="AAR220" s="2214"/>
      <c r="AAS220" s="2214"/>
      <c r="AAT220" s="2214"/>
      <c r="AAU220" s="2214"/>
      <c r="AAV220" s="2214"/>
      <c r="AAW220" s="2214"/>
      <c r="AAX220" s="2214"/>
      <c r="AAY220" s="2214"/>
      <c r="AAZ220" s="2214"/>
      <c r="ABA220" s="2214"/>
      <c r="ABB220" s="2214"/>
      <c r="ABC220" s="2214"/>
      <c r="ABD220" s="2214"/>
      <c r="ABE220" s="2214"/>
      <c r="ABF220" s="2214"/>
      <c r="ABG220" s="2214"/>
      <c r="ABH220" s="2214"/>
      <c r="ABI220" s="2214"/>
      <c r="ABJ220" s="2214"/>
      <c r="ABK220" s="2214"/>
      <c r="ABL220" s="2214"/>
      <c r="ABM220" s="2214"/>
      <c r="ABN220" s="2214"/>
      <c r="ABO220" s="2214"/>
      <c r="ABP220" s="2214"/>
      <c r="ABQ220" s="2214"/>
      <c r="ABR220" s="2214"/>
      <c r="ABS220" s="2214"/>
      <c r="ABT220" s="2214"/>
      <c r="ABU220" s="2214"/>
      <c r="ABV220" s="2214"/>
      <c r="ABW220" s="2214"/>
      <c r="ABX220" s="2214"/>
      <c r="ABY220" s="2214"/>
      <c r="ABZ220" s="2214"/>
      <c r="ACA220" s="2214"/>
      <c r="ACB220" s="2214"/>
      <c r="ACC220" s="2214"/>
      <c r="ACD220" s="2214"/>
      <c r="ACE220" s="2214"/>
      <c r="ACF220" s="2214"/>
      <c r="ACG220" s="2214"/>
      <c r="ACH220" s="2214"/>
      <c r="ACI220" s="2214"/>
      <c r="ACJ220" s="2214"/>
      <c r="ACK220" s="2214"/>
      <c r="ACL220" s="2214"/>
      <c r="ACM220" s="2214"/>
      <c r="ACN220" s="2214"/>
      <c r="ACO220" s="2214"/>
      <c r="ACP220" s="2214"/>
      <c r="ACQ220" s="2214"/>
      <c r="ACR220" s="2214"/>
      <c r="ACS220" s="2214"/>
      <c r="ACT220" s="2214"/>
      <c r="ACU220" s="2214"/>
      <c r="ACV220" s="2214"/>
      <c r="ACW220" s="2214"/>
      <c r="ACX220" s="2214"/>
      <c r="ACY220" s="2214"/>
      <c r="ACZ220" s="2214"/>
      <c r="ADA220" s="2214"/>
      <c r="ADB220" s="2214"/>
      <c r="ADC220" s="2214"/>
      <c r="ADD220" s="2214"/>
      <c r="ADE220" s="2214"/>
      <c r="ADF220" s="2214"/>
      <c r="ADG220" s="2214"/>
      <c r="ADH220" s="2214"/>
      <c r="ADI220" s="2214"/>
      <c r="ADJ220" s="2214"/>
      <c r="ADK220" s="2214"/>
      <c r="ADL220" s="2214"/>
      <c r="ADM220" s="2214"/>
      <c r="ADN220" s="2214"/>
      <c r="ADO220" s="2214"/>
      <c r="ADP220" s="2214"/>
      <c r="ADQ220" s="2214"/>
      <c r="ADR220" s="2214"/>
      <c r="ADS220" s="2214"/>
      <c r="ADT220" s="2214"/>
      <c r="ADU220" s="2214"/>
      <c r="ADV220" s="2214"/>
      <c r="ADW220" s="2214"/>
      <c r="ADX220" s="2214"/>
      <c r="ADY220" s="2214"/>
      <c r="ADZ220" s="2214"/>
      <c r="AEA220" s="2214"/>
      <c r="AEB220" s="2214"/>
      <c r="AEC220" s="2214"/>
      <c r="AED220" s="2214"/>
      <c r="AEE220" s="2214"/>
      <c r="AEF220" s="2214"/>
      <c r="AEG220" s="2214"/>
      <c r="AEH220" s="2214"/>
      <c r="AEI220" s="2214"/>
      <c r="AEJ220" s="2214"/>
      <c r="AEK220" s="2214"/>
      <c r="AEL220" s="2214"/>
      <c r="AEM220" s="2214"/>
      <c r="AEN220" s="2214"/>
      <c r="AEO220" s="2214"/>
      <c r="AEP220" s="2214"/>
      <c r="AEQ220" s="2214"/>
      <c r="AER220" s="2214"/>
      <c r="AES220" s="2214"/>
      <c r="AET220" s="2214"/>
      <c r="AEU220" s="2214"/>
      <c r="AEV220" s="2214"/>
      <c r="AEW220" s="2214"/>
      <c r="AEX220" s="2214"/>
      <c r="AEY220" s="2214"/>
      <c r="AEZ220" s="2214"/>
      <c r="AFA220" s="2214"/>
      <c r="AFB220" s="2214"/>
      <c r="AFC220" s="2214"/>
      <c r="AFD220" s="2214"/>
      <c r="AFE220" s="2214"/>
      <c r="AFF220" s="2214"/>
      <c r="AFG220" s="2214"/>
      <c r="AFH220" s="2214"/>
      <c r="AFI220" s="2214"/>
      <c r="AFJ220" s="2214"/>
      <c r="AFK220" s="2214"/>
      <c r="AFL220" s="2214"/>
      <c r="AFM220" s="2214"/>
      <c r="AFN220" s="2214"/>
      <c r="AFO220" s="2214"/>
      <c r="AFP220" s="2214"/>
      <c r="AFQ220" s="2214"/>
      <c r="AFR220" s="2214"/>
      <c r="AFS220" s="2214"/>
      <c r="AFT220" s="2214"/>
      <c r="AFU220" s="2214"/>
      <c r="AFV220" s="2214"/>
      <c r="AFW220" s="2214"/>
      <c r="AFX220" s="2214"/>
      <c r="AFY220" s="2214"/>
      <c r="AFZ220" s="2214"/>
      <c r="AGA220" s="2214"/>
      <c r="AGB220" s="2214"/>
      <c r="AGC220" s="2214"/>
      <c r="AGD220" s="2214"/>
      <c r="AGE220" s="2214"/>
      <c r="AGF220" s="2214"/>
      <c r="AGG220" s="2214"/>
      <c r="AGH220" s="2214"/>
      <c r="AGI220" s="2214"/>
      <c r="AGJ220" s="2214"/>
      <c r="AGK220" s="2214"/>
      <c r="AGL220" s="2214"/>
      <c r="AGM220" s="2214"/>
      <c r="AGN220" s="2214"/>
      <c r="AGO220" s="2214"/>
      <c r="AGP220" s="2214"/>
      <c r="AGQ220" s="2214"/>
      <c r="AGR220" s="2214"/>
      <c r="AGS220" s="2214"/>
      <c r="AGT220" s="2214"/>
      <c r="AGU220" s="2214"/>
      <c r="AGV220" s="2214"/>
      <c r="AGW220" s="2214"/>
      <c r="AGX220" s="2214"/>
      <c r="AGY220" s="2214"/>
      <c r="AGZ220" s="2214"/>
      <c r="AHA220" s="2214"/>
      <c r="AHB220" s="2214"/>
      <c r="AHC220" s="2214"/>
      <c r="AHD220" s="2214"/>
      <c r="AHE220" s="2214"/>
      <c r="AHF220" s="2214"/>
      <c r="AHG220" s="2214"/>
      <c r="AHH220" s="2214"/>
      <c r="AHI220" s="2214"/>
      <c r="AHJ220" s="2214"/>
      <c r="AHK220" s="2214"/>
      <c r="AHL220" s="2214"/>
      <c r="AHM220" s="2214"/>
      <c r="AHN220" s="2214"/>
      <c r="AHO220" s="2214"/>
      <c r="AHP220" s="2214"/>
      <c r="AHQ220" s="2214"/>
      <c r="AHR220" s="2214"/>
      <c r="AHS220" s="2214"/>
      <c r="AHT220" s="2214"/>
      <c r="AHU220" s="2214"/>
      <c r="AHV220" s="2214"/>
      <c r="AHW220" s="2214"/>
      <c r="AHX220" s="2214"/>
      <c r="AHY220" s="2214"/>
      <c r="AHZ220" s="2214"/>
      <c r="AIA220" s="2214"/>
      <c r="AIB220" s="2214"/>
      <c r="AIC220" s="2214"/>
      <c r="AID220" s="2214"/>
      <c r="AIE220" s="2214"/>
      <c r="AIF220" s="2214"/>
      <c r="AIG220" s="2214"/>
      <c r="AIH220" s="2214"/>
      <c r="AII220" s="2214"/>
      <c r="AIJ220" s="2214"/>
      <c r="AIK220" s="2214"/>
      <c r="AIL220" s="2214"/>
      <c r="AIM220" s="2214"/>
      <c r="AIN220" s="2214"/>
      <c r="AIO220" s="2214"/>
      <c r="AIP220" s="2214"/>
      <c r="AIQ220" s="2214"/>
      <c r="AIR220" s="2214"/>
      <c r="AIS220" s="2214"/>
      <c r="AIT220" s="2214"/>
      <c r="AIU220" s="2214"/>
      <c r="AIV220" s="2214"/>
      <c r="AIW220" s="2214"/>
      <c r="AIX220" s="2214"/>
      <c r="AIY220" s="2214"/>
      <c r="AIZ220" s="2214"/>
      <c r="AJA220" s="2214"/>
      <c r="AJB220" s="2214"/>
      <c r="AJC220" s="2214"/>
      <c r="AJD220" s="2214"/>
      <c r="AJE220" s="2214"/>
      <c r="AJF220" s="2214"/>
      <c r="AJG220" s="2214"/>
      <c r="AJH220" s="2214"/>
      <c r="AJI220" s="2214"/>
      <c r="AJJ220" s="2214"/>
      <c r="AJK220" s="2214"/>
      <c r="AJL220" s="2214"/>
      <c r="AJM220" s="2214"/>
      <c r="AJN220" s="2214"/>
      <c r="AJO220" s="2214"/>
      <c r="AJP220" s="2214"/>
      <c r="AJQ220" s="2214"/>
      <c r="AJR220" s="2214"/>
      <c r="AJS220" s="2214"/>
      <c r="AJT220" s="2214"/>
      <c r="AJU220" s="2214"/>
      <c r="AJV220" s="2214"/>
      <c r="AJW220" s="2214"/>
      <c r="AJX220" s="2214"/>
      <c r="AJY220" s="2214"/>
      <c r="AJZ220" s="2214"/>
      <c r="AKA220" s="2214"/>
      <c r="AKB220" s="2214"/>
      <c r="AKC220" s="2214"/>
      <c r="AKD220" s="2214"/>
      <c r="AKE220" s="2214"/>
      <c r="AKF220" s="2214"/>
      <c r="AKG220" s="2214"/>
      <c r="AKH220" s="2214"/>
      <c r="AKI220" s="2214"/>
      <c r="AKJ220" s="2214"/>
      <c r="AKK220" s="2214"/>
      <c r="AKL220" s="2214"/>
      <c r="AKM220" s="2214"/>
      <c r="AKN220" s="2214"/>
      <c r="AKO220" s="2214"/>
      <c r="AKP220" s="2214"/>
      <c r="AKQ220" s="2214"/>
      <c r="AKR220" s="2214"/>
      <c r="AKS220" s="2214"/>
      <c r="AKT220" s="2214"/>
      <c r="AKU220" s="2214"/>
      <c r="AKV220" s="2214"/>
      <c r="AKW220" s="2214"/>
      <c r="AKX220" s="2214"/>
      <c r="AKY220" s="2214"/>
      <c r="AKZ220" s="2214"/>
      <c r="ALA220" s="2214"/>
      <c r="ALB220" s="2214"/>
      <c r="ALC220" s="2214"/>
      <c r="ALD220" s="2214"/>
      <c r="ALE220" s="2214"/>
      <c r="ALF220" s="2214"/>
      <c r="ALG220" s="2214"/>
      <c r="ALH220" s="2214"/>
      <c r="ALI220" s="2214"/>
      <c r="ALJ220" s="2214"/>
      <c r="ALK220" s="2214"/>
      <c r="ALL220" s="2214"/>
      <c r="ALM220" s="2214"/>
      <c r="ALN220" s="2214"/>
      <c r="ALO220" s="2214"/>
      <c r="ALP220" s="2214"/>
      <c r="ALQ220" s="2214"/>
      <c r="ALR220" s="2214"/>
      <c r="ALS220" s="2214"/>
      <c r="ALT220" s="2214"/>
      <c r="ALU220" s="2214"/>
      <c r="ALV220" s="2214"/>
      <c r="ALW220" s="2214"/>
      <c r="ALX220" s="2214"/>
      <c r="ALY220" s="2214"/>
      <c r="ALZ220" s="2214"/>
      <c r="AMA220" s="2214"/>
      <c r="AMB220" s="2214"/>
      <c r="AMC220" s="2214"/>
      <c r="AMD220" s="2214"/>
      <c r="AME220" s="2214"/>
      <c r="AMF220" s="2214"/>
      <c r="AMG220" s="2214"/>
      <c r="AMH220" s="2214"/>
      <c r="AMI220" s="2214"/>
      <c r="AMJ220" s="2214"/>
      <c r="AMK220" s="2214"/>
      <c r="AML220" s="2214"/>
      <c r="AMM220" s="2214"/>
      <c r="AMN220" s="2214"/>
      <c r="AMO220" s="2214"/>
      <c r="AMP220" s="2214"/>
      <c r="AMQ220" s="2214"/>
      <c r="AMR220" s="2214"/>
      <c r="AMS220" s="2214"/>
      <c r="AMT220" s="2214"/>
      <c r="AMU220" s="2214"/>
      <c r="AMV220" s="2214"/>
      <c r="AMW220" s="2214"/>
      <c r="AMX220" s="2214"/>
      <c r="AMY220" s="2214"/>
      <c r="AMZ220" s="2214"/>
      <c r="ANA220" s="2214"/>
      <c r="ANB220" s="2214"/>
      <c r="ANC220" s="2214"/>
      <c r="AND220" s="2214"/>
      <c r="ANE220" s="2214"/>
      <c r="ANF220" s="2214"/>
      <c r="ANG220" s="2214"/>
      <c r="ANH220" s="2214"/>
      <c r="ANI220" s="2214"/>
      <c r="ANJ220" s="2214"/>
      <c r="ANK220" s="2214"/>
      <c r="ANL220" s="2214"/>
      <c r="ANM220" s="2214"/>
      <c r="ANN220" s="2214"/>
      <c r="ANO220" s="2214"/>
      <c r="ANP220" s="2214"/>
      <c r="ANQ220" s="2214"/>
      <c r="ANR220" s="2214"/>
      <c r="ANS220" s="2214"/>
      <c r="ANT220" s="2214"/>
      <c r="ANU220" s="2214"/>
      <c r="ANV220" s="2214"/>
      <c r="ANW220" s="2214"/>
      <c r="ANX220" s="2214"/>
      <c r="ANY220" s="2214"/>
      <c r="ANZ220" s="2214"/>
      <c r="AOA220" s="2214"/>
      <c r="AOB220" s="2214"/>
      <c r="AOC220" s="2214"/>
      <c r="AOD220" s="2214"/>
      <c r="AOE220" s="2214"/>
      <c r="AOF220" s="2214"/>
      <c r="AOG220" s="2214"/>
      <c r="AOH220" s="2214"/>
      <c r="AOI220" s="2214"/>
      <c r="AOJ220" s="2214"/>
      <c r="AOK220" s="2214"/>
      <c r="AOL220" s="2214"/>
      <c r="AOM220" s="2214"/>
      <c r="AON220" s="2214"/>
      <c r="AOO220" s="2214"/>
      <c r="AOP220" s="2214"/>
      <c r="AOQ220" s="2214"/>
      <c r="AOR220" s="2214"/>
      <c r="AOS220" s="2214"/>
      <c r="AOT220" s="2214"/>
      <c r="AOU220" s="2214"/>
      <c r="AOV220" s="2214"/>
      <c r="AOW220" s="2214"/>
      <c r="AOX220" s="2214"/>
      <c r="AOY220" s="2214"/>
      <c r="AOZ220" s="2214"/>
      <c r="APA220" s="2214"/>
      <c r="APB220" s="2214"/>
      <c r="APC220" s="2214"/>
      <c r="APD220" s="2214"/>
      <c r="APE220" s="2214"/>
      <c r="APF220" s="2214"/>
      <c r="APG220" s="2214"/>
      <c r="APH220" s="2214"/>
      <c r="API220" s="2214"/>
      <c r="APJ220" s="2214"/>
      <c r="APK220" s="2214"/>
      <c r="APL220" s="2214"/>
      <c r="APM220" s="2214"/>
      <c r="APN220" s="2214"/>
      <c r="APO220" s="2214"/>
      <c r="APP220" s="2214"/>
      <c r="APQ220" s="2214"/>
      <c r="APR220" s="2214"/>
      <c r="APS220" s="2214"/>
      <c r="APT220" s="2214"/>
      <c r="APU220" s="2214"/>
      <c r="APV220" s="2214"/>
      <c r="APW220" s="2214"/>
      <c r="APX220" s="2214"/>
      <c r="APY220" s="2214"/>
      <c r="APZ220" s="2214"/>
      <c r="AQA220" s="2214"/>
      <c r="AQB220" s="2214"/>
      <c r="AQC220" s="2214"/>
      <c r="AQD220" s="2214"/>
      <c r="AQE220" s="2214"/>
      <c r="AQF220" s="2214"/>
      <c r="AQG220" s="2214"/>
      <c r="AQH220" s="2214"/>
      <c r="AQI220" s="2214"/>
      <c r="AQJ220" s="2214"/>
      <c r="AQK220" s="2214"/>
      <c r="AQL220" s="2214"/>
      <c r="AQM220" s="2214"/>
      <c r="AQN220" s="2214"/>
      <c r="AQO220" s="2214"/>
      <c r="AQP220" s="2214"/>
      <c r="AQQ220" s="2214"/>
      <c r="AQR220" s="2214"/>
      <c r="AQS220" s="2214"/>
      <c r="AQT220" s="2214"/>
      <c r="AQU220" s="2214"/>
      <c r="AQV220" s="2214"/>
      <c r="AQW220" s="2214"/>
      <c r="AQX220" s="2214"/>
      <c r="AQY220" s="2214"/>
      <c r="AQZ220" s="2214"/>
      <c r="ARA220" s="2214"/>
      <c r="ARB220" s="2214"/>
      <c r="ARC220" s="2214"/>
      <c r="ARD220" s="2214"/>
      <c r="ARE220" s="2214"/>
      <c r="ARF220" s="2214"/>
      <c r="ARG220" s="2214"/>
      <c r="ARH220" s="2214"/>
      <c r="ARI220" s="2214"/>
      <c r="ARJ220" s="2214"/>
      <c r="ARK220" s="2214"/>
      <c r="ARL220" s="2214"/>
      <c r="ARM220" s="2214"/>
      <c r="ARN220" s="2214"/>
      <c r="ARO220" s="2214"/>
      <c r="ARP220" s="2214"/>
      <c r="ARQ220" s="2214"/>
      <c r="ARR220" s="2214"/>
      <c r="ARS220" s="2214"/>
      <c r="ART220" s="2214"/>
      <c r="ARU220" s="2214"/>
      <c r="ARV220" s="2214"/>
      <c r="ARW220" s="2214"/>
      <c r="ARX220" s="2214"/>
      <c r="ARY220" s="2214"/>
      <c r="ARZ220" s="2214"/>
      <c r="ASA220" s="2214"/>
      <c r="ASB220" s="2214"/>
      <c r="ASC220" s="2214"/>
      <c r="ASD220" s="2214"/>
      <c r="ASE220" s="2214"/>
      <c r="ASF220" s="2214"/>
      <c r="ASG220" s="2214"/>
      <c r="ASH220" s="2214"/>
      <c r="ASI220" s="2214"/>
      <c r="ASJ220" s="2214"/>
      <c r="ASK220" s="2214"/>
      <c r="ASL220" s="2214"/>
      <c r="ASM220" s="2214"/>
      <c r="ASN220" s="2214"/>
      <c r="ASO220" s="2214"/>
      <c r="ASP220" s="2214"/>
      <c r="ASQ220" s="2214"/>
      <c r="ASR220" s="2214"/>
      <c r="ASS220" s="2214"/>
      <c r="AST220" s="2214"/>
      <c r="ASU220" s="2214"/>
      <c r="ASV220" s="2214"/>
      <c r="ASW220" s="2214"/>
      <c r="ASX220" s="2214"/>
      <c r="ASY220" s="2214"/>
      <c r="ASZ220" s="2214"/>
      <c r="ATA220" s="2214"/>
      <c r="ATB220" s="2214"/>
      <c r="ATC220" s="2214"/>
      <c r="ATD220" s="2214"/>
      <c r="ATE220" s="2214"/>
      <c r="ATF220" s="2214"/>
      <c r="ATG220" s="2214"/>
      <c r="ATH220" s="2214"/>
      <c r="ATI220" s="2214"/>
      <c r="ATJ220" s="2214"/>
      <c r="ATK220" s="2214"/>
      <c r="ATL220" s="2214"/>
      <c r="ATM220" s="2214"/>
      <c r="ATN220" s="2214"/>
      <c r="ATO220" s="2214"/>
      <c r="ATP220" s="2214"/>
      <c r="ATQ220" s="2214"/>
      <c r="ATR220" s="2214"/>
      <c r="ATS220" s="2214"/>
      <c r="ATT220" s="2214"/>
      <c r="ATU220" s="2214"/>
      <c r="ATV220" s="2214"/>
      <c r="ATW220" s="2214"/>
      <c r="ATX220" s="2214"/>
      <c r="ATY220" s="2214"/>
      <c r="ATZ220" s="2214"/>
      <c r="AUA220" s="2214"/>
      <c r="AUB220" s="2214"/>
      <c r="AUC220" s="2214"/>
      <c r="AUD220" s="2214"/>
      <c r="AUE220" s="2214"/>
      <c r="AUF220" s="2214"/>
      <c r="AUG220" s="2214"/>
      <c r="AUH220" s="2214"/>
      <c r="AUI220" s="2214"/>
      <c r="AUJ220" s="2214"/>
      <c r="AUK220" s="2214"/>
      <c r="AUL220" s="2214"/>
      <c r="AUM220" s="2214"/>
      <c r="AUN220" s="2214"/>
      <c r="AUO220" s="2214"/>
      <c r="AUP220" s="2214"/>
      <c r="AUQ220" s="2214"/>
      <c r="AUR220" s="2214"/>
      <c r="AUS220" s="2214"/>
      <c r="AUT220" s="2214"/>
      <c r="AUU220" s="2214"/>
      <c r="AUV220" s="2214"/>
      <c r="AUW220" s="2214"/>
      <c r="AUX220" s="2214"/>
      <c r="AUY220" s="2214"/>
      <c r="AUZ220" s="2214"/>
      <c r="AVA220" s="2214"/>
      <c r="AVB220" s="2214"/>
      <c r="AVC220" s="2214"/>
      <c r="AVD220" s="2214"/>
      <c r="AVE220" s="2214"/>
      <c r="AVF220" s="2214"/>
      <c r="AVG220" s="2214"/>
      <c r="AVH220" s="2214"/>
      <c r="AVI220" s="2214"/>
      <c r="AVJ220" s="2214"/>
      <c r="AVK220" s="2214"/>
      <c r="AVL220" s="2214"/>
      <c r="AVM220" s="2214"/>
      <c r="AVN220" s="2214"/>
      <c r="AVO220" s="2214"/>
      <c r="AVP220" s="2214"/>
      <c r="AVQ220" s="2214"/>
      <c r="AVR220" s="2214"/>
      <c r="AVS220" s="2214"/>
      <c r="AVT220" s="2214"/>
      <c r="AVU220" s="2214"/>
      <c r="AVV220" s="2214"/>
      <c r="AVW220" s="2214"/>
      <c r="AVX220" s="2214"/>
      <c r="AVY220" s="2214"/>
      <c r="AVZ220" s="2214"/>
      <c r="AWA220" s="2214"/>
      <c r="AWB220" s="2214"/>
      <c r="AWC220" s="2214"/>
      <c r="AWD220" s="2214"/>
      <c r="AWE220" s="2214"/>
      <c r="AWF220" s="2214"/>
      <c r="AWG220" s="2214"/>
      <c r="AWH220" s="2214"/>
      <c r="AWI220" s="2214"/>
      <c r="AWJ220" s="2214"/>
      <c r="AWK220" s="2214"/>
      <c r="AWL220" s="2214"/>
      <c r="AWM220" s="2214"/>
      <c r="AWN220" s="2214"/>
      <c r="AWO220" s="2214"/>
      <c r="AWP220" s="2214"/>
      <c r="AWQ220" s="2214"/>
      <c r="AWR220" s="2214"/>
      <c r="AWS220" s="2214"/>
      <c r="AWT220" s="2214"/>
      <c r="AWU220" s="2214"/>
      <c r="AWV220" s="2214"/>
      <c r="AWW220" s="2214"/>
      <c r="AWX220" s="2214"/>
      <c r="AWY220" s="2214"/>
      <c r="AWZ220" s="2214"/>
      <c r="AXA220" s="2214"/>
      <c r="AXB220" s="2214"/>
      <c r="AXC220" s="2214"/>
      <c r="AXD220" s="2214"/>
      <c r="AXE220" s="2214"/>
      <c r="AXF220" s="2214"/>
      <c r="AXG220" s="2214"/>
      <c r="AXH220" s="2214"/>
      <c r="AXI220" s="2214"/>
      <c r="AXJ220" s="2214"/>
    </row>
    <row r="221" spans="1:1310" s="2215" customFormat="1" ht="23.25" customHeight="1">
      <c r="A221" s="756"/>
      <c r="B221" s="9021"/>
      <c r="C221" s="9021"/>
      <c r="D221" s="9021"/>
      <c r="E221" s="9021"/>
      <c r="F221" s="9021"/>
      <c r="G221" s="9021"/>
      <c r="H221" s="9021"/>
      <c r="I221" s="9021"/>
      <c r="J221" s="9021"/>
      <c r="K221" s="9021"/>
      <c r="L221" s="9021"/>
      <c r="M221" s="9021"/>
      <c r="N221" s="9021"/>
      <c r="O221" s="9021"/>
      <c r="P221" s="9021"/>
      <c r="Q221" s="9021"/>
      <c r="R221" s="311"/>
      <c r="S221" s="311"/>
      <c r="T221" s="311"/>
      <c r="U221" s="311"/>
      <c r="V221" s="311"/>
      <c r="W221" s="311"/>
      <c r="X221" s="311"/>
      <c r="Y221" s="311"/>
      <c r="Z221" s="311"/>
      <c r="AA221" s="311"/>
      <c r="AB221" s="311"/>
      <c r="AC221" s="311"/>
      <c r="AD221" s="2214"/>
      <c r="AE221" s="2214"/>
      <c r="AF221" s="2214"/>
      <c r="AG221" s="2214"/>
      <c r="AH221" s="2214"/>
      <c r="AI221" s="2214"/>
      <c r="AJ221" s="2214"/>
      <c r="AK221" s="2214"/>
      <c r="AL221" s="2214"/>
      <c r="AM221" s="2214"/>
      <c r="AN221" s="2214"/>
      <c r="AO221" s="2214"/>
      <c r="AP221" s="2214"/>
      <c r="AQ221" s="2214"/>
      <c r="AR221" s="2214"/>
      <c r="AS221" s="2214"/>
      <c r="AT221" s="2214"/>
      <c r="AU221" s="2214"/>
      <c r="AV221" s="2214"/>
      <c r="AW221" s="2214"/>
      <c r="AX221" s="2214"/>
      <c r="AY221" s="2214"/>
      <c r="AZ221" s="2214"/>
      <c r="BA221" s="2214"/>
      <c r="BB221" s="2214"/>
      <c r="BC221" s="2214"/>
      <c r="BD221" s="2214"/>
      <c r="BE221" s="2214"/>
      <c r="BF221" s="2214"/>
      <c r="BG221" s="2214"/>
      <c r="BH221" s="2214"/>
      <c r="BI221" s="2214"/>
      <c r="BJ221" s="2214"/>
      <c r="BK221" s="2214"/>
      <c r="BL221" s="2214"/>
      <c r="BM221" s="2214"/>
      <c r="BN221" s="2214"/>
      <c r="BO221" s="2214"/>
      <c r="BP221" s="2214"/>
      <c r="BQ221" s="2214"/>
      <c r="BR221" s="2214"/>
      <c r="BS221" s="2214"/>
      <c r="BT221" s="2214"/>
      <c r="BU221" s="2214"/>
      <c r="BV221" s="2214"/>
      <c r="BW221" s="2214"/>
      <c r="BX221" s="2214"/>
      <c r="BY221" s="2214"/>
      <c r="BZ221" s="2214"/>
      <c r="CA221" s="2214"/>
      <c r="CB221" s="2214"/>
      <c r="CC221" s="2214"/>
      <c r="CD221" s="2214"/>
      <c r="CE221" s="2214"/>
      <c r="CF221" s="2214"/>
      <c r="CG221" s="2214"/>
      <c r="CH221" s="2214"/>
      <c r="CI221" s="2214"/>
      <c r="CJ221" s="2214"/>
      <c r="CK221" s="2214"/>
      <c r="CL221" s="2214"/>
      <c r="CM221" s="2214"/>
      <c r="CN221" s="2214"/>
      <c r="CO221" s="2214"/>
      <c r="CP221" s="2214"/>
      <c r="CQ221" s="2214"/>
      <c r="CR221" s="2214"/>
      <c r="CS221" s="2214"/>
      <c r="CT221" s="2214"/>
      <c r="CU221" s="2214"/>
      <c r="CV221" s="2214"/>
      <c r="CW221" s="2214"/>
      <c r="CX221" s="2214"/>
      <c r="CY221" s="2214"/>
      <c r="CZ221" s="2214"/>
      <c r="DA221" s="2214"/>
      <c r="DB221" s="2214"/>
      <c r="DC221" s="2214"/>
      <c r="DD221" s="2214"/>
      <c r="DE221" s="2214"/>
      <c r="DF221" s="2214"/>
      <c r="DG221" s="2214"/>
      <c r="DH221" s="2214"/>
      <c r="DI221" s="2214"/>
      <c r="DJ221" s="2214"/>
      <c r="DK221" s="2214"/>
      <c r="DL221" s="2214"/>
      <c r="DM221" s="2214"/>
      <c r="DN221" s="2214"/>
      <c r="DO221" s="2214"/>
      <c r="DP221" s="2214"/>
      <c r="DQ221" s="2214"/>
      <c r="DR221" s="2214"/>
      <c r="DS221" s="2214"/>
      <c r="DT221" s="2214"/>
      <c r="DU221" s="2214"/>
      <c r="DV221" s="2214"/>
      <c r="DW221" s="2214"/>
      <c r="DX221" s="2214"/>
      <c r="DY221" s="2214"/>
      <c r="DZ221" s="2214"/>
      <c r="EA221" s="2214"/>
      <c r="EB221" s="2214"/>
      <c r="EC221" s="2214"/>
      <c r="ED221" s="2214"/>
      <c r="EE221" s="2214"/>
      <c r="EF221" s="2214"/>
      <c r="EG221" s="2214"/>
      <c r="EH221" s="2214"/>
      <c r="EI221" s="2214"/>
      <c r="EJ221" s="2214"/>
      <c r="EK221" s="2214"/>
      <c r="EL221" s="2214"/>
      <c r="EM221" s="2214"/>
      <c r="EN221" s="2214"/>
      <c r="EO221" s="2214"/>
      <c r="EP221" s="2214"/>
      <c r="EQ221" s="2214"/>
      <c r="ER221" s="2214"/>
      <c r="ES221" s="2214"/>
      <c r="ET221" s="2214"/>
      <c r="EU221" s="2214"/>
      <c r="EV221" s="2214"/>
      <c r="EW221" s="2214"/>
      <c r="EX221" s="2214"/>
      <c r="EY221" s="2214"/>
      <c r="EZ221" s="2214"/>
      <c r="FA221" s="2214"/>
      <c r="FB221" s="2214"/>
      <c r="FC221" s="2214"/>
      <c r="FD221" s="2214"/>
      <c r="FE221" s="2214"/>
      <c r="FF221" s="2214"/>
      <c r="FG221" s="2214"/>
      <c r="FH221" s="2214"/>
      <c r="FI221" s="2214"/>
      <c r="FJ221" s="2214"/>
      <c r="FK221" s="2214"/>
      <c r="FL221" s="2214"/>
      <c r="FM221" s="2214"/>
      <c r="FN221" s="2214"/>
      <c r="FO221" s="2214"/>
      <c r="FP221" s="2214"/>
      <c r="FQ221" s="2214"/>
      <c r="FR221" s="2214"/>
      <c r="FS221" s="2214"/>
      <c r="FT221" s="2214"/>
      <c r="FU221" s="2214"/>
      <c r="FV221" s="2214"/>
      <c r="FW221" s="2214"/>
      <c r="FX221" s="2214"/>
      <c r="FY221" s="2214"/>
      <c r="FZ221" s="2214"/>
      <c r="GA221" s="2214"/>
      <c r="GB221" s="2214"/>
      <c r="GC221" s="2214"/>
      <c r="GD221" s="2214"/>
      <c r="GE221" s="2214"/>
      <c r="GF221" s="2214"/>
      <c r="GG221" s="2214"/>
      <c r="GH221" s="2214"/>
      <c r="GI221" s="2214"/>
      <c r="GJ221" s="2214"/>
      <c r="GK221" s="2214"/>
      <c r="GL221" s="2214"/>
      <c r="GM221" s="2214"/>
      <c r="GN221" s="2214"/>
      <c r="GO221" s="2214"/>
      <c r="GP221" s="2214"/>
      <c r="GQ221" s="2214"/>
      <c r="GR221" s="2214"/>
      <c r="GS221" s="2214"/>
      <c r="GT221" s="2214"/>
      <c r="GU221" s="2214"/>
      <c r="GV221" s="2214"/>
      <c r="GW221" s="2214"/>
      <c r="GX221" s="2214"/>
      <c r="GY221" s="2214"/>
      <c r="GZ221" s="2214"/>
      <c r="HA221" s="2214"/>
      <c r="HB221" s="2214"/>
      <c r="HC221" s="2214"/>
      <c r="HD221" s="2214"/>
      <c r="HE221" s="2214"/>
      <c r="HF221" s="2214"/>
      <c r="HG221" s="2214"/>
      <c r="HH221" s="2214"/>
      <c r="HI221" s="2214"/>
      <c r="HJ221" s="2214"/>
      <c r="HK221" s="2214"/>
      <c r="HL221" s="2214"/>
      <c r="HM221" s="2214"/>
      <c r="HN221" s="2214"/>
      <c r="HO221" s="2214"/>
      <c r="HP221" s="2214"/>
      <c r="HQ221" s="2214"/>
      <c r="HR221" s="2214"/>
      <c r="HS221" s="2214"/>
      <c r="HT221" s="2214"/>
      <c r="HU221" s="2214"/>
      <c r="HV221" s="2214"/>
      <c r="HW221" s="2214"/>
      <c r="HX221" s="2214"/>
      <c r="HY221" s="2214"/>
      <c r="HZ221" s="2214"/>
      <c r="IA221" s="2214"/>
      <c r="IB221" s="2214"/>
      <c r="IC221" s="2214"/>
      <c r="ID221" s="2214"/>
      <c r="IE221" s="2214"/>
      <c r="IF221" s="2214"/>
      <c r="IG221" s="2214"/>
      <c r="IH221" s="2214"/>
      <c r="II221" s="2214"/>
      <c r="IJ221" s="2214"/>
      <c r="IK221" s="2214"/>
      <c r="IL221" s="2214"/>
      <c r="IM221" s="2214"/>
      <c r="IN221" s="2214"/>
      <c r="IO221" s="2214"/>
      <c r="IP221" s="2214"/>
      <c r="IQ221" s="2214"/>
      <c r="IR221" s="2214"/>
      <c r="IS221" s="2214"/>
      <c r="IT221" s="2214"/>
      <c r="IU221" s="2214"/>
      <c r="IV221" s="2214"/>
      <c r="IW221" s="2214"/>
      <c r="IX221" s="2214"/>
      <c r="IY221" s="2214"/>
      <c r="IZ221" s="2214"/>
      <c r="JA221" s="2214"/>
      <c r="JB221" s="2214"/>
      <c r="JC221" s="2214"/>
      <c r="JD221" s="2214"/>
      <c r="JE221" s="2214"/>
      <c r="JF221" s="2214"/>
      <c r="JG221" s="2214"/>
      <c r="JH221" s="2214"/>
      <c r="JI221" s="2214"/>
      <c r="JJ221" s="2214"/>
      <c r="JK221" s="2214"/>
      <c r="JL221" s="2214"/>
      <c r="JM221" s="2214"/>
      <c r="JN221" s="2214"/>
      <c r="JO221" s="2214"/>
      <c r="JP221" s="2214"/>
      <c r="JQ221" s="2214"/>
      <c r="JR221" s="2214"/>
      <c r="JS221" s="2214"/>
      <c r="JT221" s="2214"/>
      <c r="JU221" s="2214"/>
      <c r="JV221" s="2214"/>
      <c r="JW221" s="2214"/>
      <c r="JX221" s="2214"/>
      <c r="JY221" s="2214"/>
      <c r="JZ221" s="2214"/>
      <c r="KA221" s="2214"/>
      <c r="KB221" s="2214"/>
      <c r="KC221" s="2214"/>
      <c r="KD221" s="2214"/>
      <c r="KE221" s="2214"/>
      <c r="KF221" s="2214"/>
      <c r="KG221" s="2214"/>
      <c r="KH221" s="2214"/>
      <c r="KI221" s="2214"/>
      <c r="KJ221" s="2214"/>
      <c r="KK221" s="2214"/>
      <c r="KL221" s="2214"/>
      <c r="KM221" s="2214"/>
      <c r="KN221" s="2214"/>
      <c r="KO221" s="2214"/>
      <c r="KP221" s="2214"/>
      <c r="KQ221" s="2214"/>
      <c r="KR221" s="2214"/>
      <c r="KS221" s="2214"/>
      <c r="KT221" s="2214"/>
      <c r="KU221" s="2214"/>
      <c r="KV221" s="2214"/>
      <c r="KW221" s="2214"/>
      <c r="KX221" s="2214"/>
      <c r="KY221" s="2214"/>
      <c r="KZ221" s="2214"/>
      <c r="LA221" s="2214"/>
      <c r="LB221" s="2214"/>
      <c r="LC221" s="2214"/>
      <c r="LD221" s="2214"/>
      <c r="LE221" s="2214"/>
      <c r="LF221" s="2214"/>
      <c r="LG221" s="2214"/>
      <c r="LH221" s="2214"/>
      <c r="LI221" s="2214"/>
      <c r="LJ221" s="2214"/>
      <c r="LK221" s="2214"/>
      <c r="LL221" s="2214"/>
      <c r="LM221" s="2214"/>
      <c r="LN221" s="2214"/>
      <c r="LO221" s="2214"/>
      <c r="LP221" s="2214"/>
      <c r="LQ221" s="2214"/>
      <c r="LR221" s="2214"/>
      <c r="LS221" s="2214"/>
      <c r="LT221" s="2214"/>
      <c r="LU221" s="2214"/>
      <c r="LV221" s="2214"/>
      <c r="LW221" s="2214"/>
      <c r="LX221" s="2214"/>
      <c r="LY221" s="2214"/>
      <c r="LZ221" s="2214"/>
      <c r="MA221" s="2214"/>
      <c r="MB221" s="2214"/>
      <c r="MC221" s="2214"/>
      <c r="MD221" s="2214"/>
      <c r="ME221" s="2214"/>
      <c r="MF221" s="2214"/>
      <c r="MG221" s="2214"/>
      <c r="MH221" s="2214"/>
      <c r="MI221" s="2214"/>
      <c r="MJ221" s="2214"/>
      <c r="MK221" s="2214"/>
      <c r="ML221" s="2214"/>
      <c r="MM221" s="2214"/>
      <c r="MN221" s="2214"/>
      <c r="MO221" s="2214"/>
      <c r="MP221" s="2214"/>
      <c r="MQ221" s="2214"/>
      <c r="MR221" s="2214"/>
      <c r="MS221" s="2214"/>
      <c r="MT221" s="2214"/>
      <c r="MU221" s="2214"/>
      <c r="MV221" s="2214"/>
      <c r="MW221" s="2214"/>
      <c r="MX221" s="2214"/>
      <c r="MY221" s="2214"/>
      <c r="MZ221" s="2214"/>
      <c r="NA221" s="2214"/>
      <c r="NB221" s="2214"/>
      <c r="NC221" s="2214"/>
      <c r="ND221" s="2214"/>
      <c r="NE221" s="2214"/>
      <c r="NF221" s="2214"/>
      <c r="NG221" s="2214"/>
      <c r="NH221" s="2214"/>
      <c r="NI221" s="2214"/>
      <c r="NJ221" s="2214"/>
      <c r="NK221" s="2214"/>
      <c r="NL221" s="2214"/>
      <c r="NM221" s="2214"/>
      <c r="NN221" s="2214"/>
      <c r="NO221" s="2214"/>
      <c r="NP221" s="2214"/>
      <c r="NQ221" s="2214"/>
      <c r="NR221" s="2214"/>
      <c r="NS221" s="2214"/>
      <c r="NT221" s="2214"/>
      <c r="NU221" s="2214"/>
      <c r="NV221" s="2214"/>
      <c r="NW221" s="2214"/>
      <c r="NX221" s="2214"/>
      <c r="NY221" s="2214"/>
      <c r="NZ221" s="2214"/>
      <c r="OA221" s="2214"/>
      <c r="OB221" s="2214"/>
      <c r="OC221" s="2214"/>
      <c r="OD221" s="2214"/>
      <c r="OE221" s="2214"/>
      <c r="OF221" s="2214"/>
      <c r="OG221" s="2214"/>
      <c r="OH221" s="2214"/>
      <c r="OI221" s="2214"/>
      <c r="OJ221" s="2214"/>
      <c r="OK221" s="2214"/>
      <c r="OL221" s="2214"/>
      <c r="OM221" s="2214"/>
      <c r="ON221" s="2214"/>
      <c r="OO221" s="2214"/>
      <c r="OP221" s="2214"/>
      <c r="OQ221" s="2214"/>
      <c r="OR221" s="2214"/>
      <c r="OS221" s="2214"/>
      <c r="OT221" s="2214"/>
      <c r="OU221" s="2214"/>
      <c r="OV221" s="2214"/>
      <c r="OW221" s="2214"/>
      <c r="OX221" s="2214"/>
      <c r="OY221" s="2214"/>
      <c r="OZ221" s="2214"/>
      <c r="PA221" s="2214"/>
      <c r="PB221" s="2214"/>
      <c r="PC221" s="2214"/>
      <c r="PD221" s="2214"/>
      <c r="PE221" s="2214"/>
      <c r="PF221" s="2214"/>
      <c r="PG221" s="2214"/>
      <c r="PH221" s="2214"/>
      <c r="PI221" s="2214"/>
      <c r="PJ221" s="2214"/>
      <c r="PK221" s="2214"/>
      <c r="PL221" s="2214"/>
      <c r="PM221" s="2214"/>
      <c r="PN221" s="2214"/>
      <c r="PO221" s="2214"/>
      <c r="PP221" s="2214"/>
      <c r="PQ221" s="2214"/>
      <c r="PR221" s="2214"/>
      <c r="PS221" s="2214"/>
      <c r="PT221" s="2214"/>
      <c r="PU221" s="2214"/>
      <c r="PV221" s="2214"/>
      <c r="PW221" s="2214"/>
      <c r="PX221" s="2214"/>
      <c r="PY221" s="2214"/>
      <c r="PZ221" s="2214"/>
      <c r="QA221" s="2214"/>
      <c r="QB221" s="2214"/>
      <c r="QC221" s="2214"/>
      <c r="QD221" s="2214"/>
      <c r="QE221" s="2214"/>
      <c r="QF221" s="2214"/>
      <c r="QG221" s="2214"/>
      <c r="QH221" s="2214"/>
      <c r="QI221" s="2214"/>
      <c r="QJ221" s="2214"/>
      <c r="QK221" s="2214"/>
      <c r="QL221" s="2214"/>
      <c r="QM221" s="2214"/>
      <c r="QN221" s="2214"/>
      <c r="QO221" s="2214"/>
      <c r="QP221" s="2214"/>
      <c r="QQ221" s="2214"/>
      <c r="QR221" s="2214"/>
      <c r="QS221" s="2214"/>
      <c r="QT221" s="2214"/>
      <c r="QU221" s="2214"/>
      <c r="QV221" s="2214"/>
      <c r="QW221" s="2214"/>
      <c r="QX221" s="2214"/>
      <c r="QY221" s="2214"/>
      <c r="QZ221" s="2214"/>
      <c r="RA221" s="2214"/>
      <c r="RB221" s="2214"/>
      <c r="RC221" s="2214"/>
      <c r="RD221" s="2214"/>
      <c r="RE221" s="2214"/>
      <c r="RF221" s="2214"/>
      <c r="RG221" s="2214"/>
      <c r="RH221" s="2214"/>
      <c r="RI221" s="2214"/>
      <c r="RJ221" s="2214"/>
      <c r="RK221" s="2214"/>
      <c r="RL221" s="2214"/>
      <c r="RM221" s="2214"/>
      <c r="RN221" s="2214"/>
      <c r="RO221" s="2214"/>
      <c r="RP221" s="2214"/>
      <c r="RQ221" s="2214"/>
      <c r="RR221" s="2214"/>
      <c r="RS221" s="2214"/>
      <c r="RT221" s="2214"/>
      <c r="RU221" s="2214"/>
      <c r="RV221" s="2214"/>
      <c r="RW221" s="2214"/>
      <c r="RX221" s="2214"/>
      <c r="RY221" s="2214"/>
      <c r="RZ221" s="2214"/>
      <c r="SA221" s="2214"/>
      <c r="SB221" s="2214"/>
      <c r="SC221" s="2214"/>
      <c r="SD221" s="2214"/>
      <c r="SE221" s="2214"/>
      <c r="SF221" s="2214"/>
      <c r="SG221" s="2214"/>
      <c r="SH221" s="2214"/>
      <c r="SI221" s="2214"/>
      <c r="SJ221" s="2214"/>
      <c r="SK221" s="2214"/>
      <c r="SL221" s="2214"/>
      <c r="SM221" s="2214"/>
      <c r="SN221" s="2214"/>
      <c r="SO221" s="2214"/>
      <c r="SP221" s="2214"/>
      <c r="SQ221" s="2214"/>
      <c r="SR221" s="2214"/>
      <c r="SS221" s="2214"/>
      <c r="ST221" s="2214"/>
      <c r="SU221" s="2214"/>
      <c r="SV221" s="2214"/>
      <c r="SW221" s="2214"/>
      <c r="SX221" s="2214"/>
      <c r="SY221" s="2214"/>
      <c r="SZ221" s="2214"/>
      <c r="TA221" s="2214"/>
      <c r="TB221" s="2214"/>
      <c r="TC221" s="2214"/>
      <c r="TD221" s="2214"/>
      <c r="TE221" s="2214"/>
      <c r="TF221" s="2214"/>
      <c r="TG221" s="2214"/>
      <c r="TH221" s="2214"/>
      <c r="TI221" s="2214"/>
      <c r="TJ221" s="2214"/>
      <c r="TK221" s="2214"/>
      <c r="TL221" s="2214"/>
      <c r="TM221" s="2214"/>
      <c r="TN221" s="2214"/>
      <c r="TO221" s="2214"/>
      <c r="TP221" s="2214"/>
      <c r="TQ221" s="2214"/>
      <c r="TR221" s="2214"/>
      <c r="TS221" s="2214"/>
      <c r="TT221" s="2214"/>
      <c r="TU221" s="2214"/>
      <c r="TV221" s="2214"/>
      <c r="TW221" s="2214"/>
      <c r="TX221" s="2214"/>
      <c r="TY221" s="2214"/>
      <c r="TZ221" s="2214"/>
      <c r="UA221" s="2214"/>
      <c r="UB221" s="2214"/>
      <c r="UC221" s="2214"/>
      <c r="UD221" s="2214"/>
      <c r="UE221" s="2214"/>
      <c r="UF221" s="2214"/>
      <c r="UG221" s="2214"/>
      <c r="UH221" s="2214"/>
      <c r="UI221" s="2214"/>
      <c r="UJ221" s="2214"/>
      <c r="UK221" s="2214"/>
      <c r="UL221" s="2214"/>
      <c r="UM221" s="2214"/>
      <c r="UN221" s="2214"/>
      <c r="UO221" s="2214"/>
      <c r="UP221" s="2214"/>
      <c r="UQ221" s="2214"/>
      <c r="UR221" s="2214"/>
      <c r="US221" s="2214"/>
      <c r="UT221" s="2214"/>
      <c r="UU221" s="2214"/>
      <c r="UV221" s="2214"/>
      <c r="UW221" s="2214"/>
      <c r="UX221" s="2214"/>
      <c r="UY221" s="2214"/>
      <c r="UZ221" s="2214"/>
      <c r="VA221" s="2214"/>
      <c r="VB221" s="2214"/>
      <c r="VC221" s="2214"/>
      <c r="VD221" s="2214"/>
      <c r="VE221" s="2214"/>
      <c r="VF221" s="2214"/>
      <c r="VG221" s="2214"/>
      <c r="VH221" s="2214"/>
      <c r="VI221" s="2214"/>
      <c r="VJ221" s="2214"/>
      <c r="VK221" s="2214"/>
      <c r="VL221" s="2214"/>
      <c r="VM221" s="2214"/>
      <c r="VN221" s="2214"/>
      <c r="VO221" s="2214"/>
      <c r="VP221" s="2214"/>
      <c r="VQ221" s="2214"/>
      <c r="VR221" s="2214"/>
      <c r="VS221" s="2214"/>
      <c r="VT221" s="2214"/>
      <c r="VU221" s="2214"/>
      <c r="VV221" s="2214"/>
      <c r="VW221" s="2214"/>
      <c r="VX221" s="2214"/>
      <c r="VY221" s="2214"/>
      <c r="VZ221" s="2214"/>
      <c r="WA221" s="2214"/>
      <c r="WB221" s="2214"/>
      <c r="WC221" s="2214"/>
      <c r="WD221" s="2214"/>
      <c r="WE221" s="2214"/>
      <c r="WF221" s="2214"/>
      <c r="WG221" s="2214"/>
      <c r="WH221" s="2214"/>
      <c r="WI221" s="2214"/>
      <c r="WJ221" s="2214"/>
      <c r="WK221" s="2214"/>
      <c r="WL221" s="2214"/>
      <c r="WM221" s="2214"/>
      <c r="WN221" s="2214"/>
      <c r="WO221" s="2214"/>
      <c r="WP221" s="2214"/>
      <c r="WQ221" s="2214"/>
      <c r="WR221" s="2214"/>
      <c r="WS221" s="2214"/>
      <c r="WT221" s="2214"/>
      <c r="WU221" s="2214"/>
      <c r="WV221" s="2214"/>
      <c r="WW221" s="2214"/>
      <c r="WX221" s="2214"/>
      <c r="WY221" s="2214"/>
      <c r="WZ221" s="2214"/>
      <c r="XA221" s="2214"/>
      <c r="XB221" s="2214"/>
      <c r="XC221" s="2214"/>
      <c r="XD221" s="2214"/>
      <c r="XE221" s="2214"/>
      <c r="XF221" s="2214"/>
      <c r="XG221" s="2214"/>
      <c r="XH221" s="2214"/>
      <c r="XI221" s="2214"/>
      <c r="XJ221" s="2214"/>
      <c r="XK221" s="2214"/>
      <c r="XL221" s="2214"/>
      <c r="XM221" s="2214"/>
      <c r="XN221" s="2214"/>
      <c r="XO221" s="2214"/>
      <c r="XP221" s="2214"/>
      <c r="XQ221" s="2214"/>
      <c r="XR221" s="2214"/>
      <c r="XS221" s="2214"/>
      <c r="XT221" s="2214"/>
      <c r="XU221" s="2214"/>
      <c r="XV221" s="2214"/>
      <c r="XW221" s="2214"/>
      <c r="XX221" s="2214"/>
      <c r="XY221" s="2214"/>
      <c r="XZ221" s="2214"/>
      <c r="YA221" s="2214"/>
      <c r="YB221" s="2214"/>
      <c r="YC221" s="2214"/>
      <c r="YD221" s="2214"/>
      <c r="YE221" s="2214"/>
      <c r="YF221" s="2214"/>
      <c r="YG221" s="2214"/>
      <c r="YH221" s="2214"/>
      <c r="YI221" s="2214"/>
      <c r="YJ221" s="2214"/>
      <c r="YK221" s="2214"/>
      <c r="YL221" s="2214"/>
      <c r="YM221" s="2214"/>
      <c r="YN221" s="2214"/>
      <c r="YO221" s="2214"/>
      <c r="YP221" s="2214"/>
      <c r="YQ221" s="2214"/>
      <c r="YR221" s="2214"/>
      <c r="YS221" s="2214"/>
      <c r="YT221" s="2214"/>
      <c r="YU221" s="2214"/>
      <c r="YV221" s="2214"/>
      <c r="YW221" s="2214"/>
      <c r="YX221" s="2214"/>
      <c r="YY221" s="2214"/>
      <c r="YZ221" s="2214"/>
      <c r="ZA221" s="2214"/>
      <c r="ZB221" s="2214"/>
      <c r="ZC221" s="2214"/>
      <c r="ZD221" s="2214"/>
      <c r="ZE221" s="2214"/>
      <c r="ZF221" s="2214"/>
      <c r="ZG221" s="2214"/>
      <c r="ZH221" s="2214"/>
      <c r="ZI221" s="2214"/>
      <c r="ZJ221" s="2214"/>
      <c r="ZK221" s="2214"/>
      <c r="ZL221" s="2214"/>
      <c r="ZM221" s="2214"/>
      <c r="ZN221" s="2214"/>
      <c r="ZO221" s="2214"/>
      <c r="ZP221" s="2214"/>
      <c r="ZQ221" s="2214"/>
      <c r="ZR221" s="2214"/>
      <c r="ZS221" s="2214"/>
      <c r="ZT221" s="2214"/>
      <c r="ZU221" s="2214"/>
      <c r="ZV221" s="2214"/>
      <c r="ZW221" s="2214"/>
      <c r="ZX221" s="2214"/>
      <c r="ZY221" s="2214"/>
      <c r="ZZ221" s="2214"/>
      <c r="AAA221" s="2214"/>
      <c r="AAB221" s="2214"/>
      <c r="AAC221" s="2214"/>
      <c r="AAD221" s="2214"/>
      <c r="AAE221" s="2214"/>
      <c r="AAF221" s="2214"/>
      <c r="AAG221" s="2214"/>
      <c r="AAH221" s="2214"/>
      <c r="AAI221" s="2214"/>
      <c r="AAJ221" s="2214"/>
      <c r="AAK221" s="2214"/>
      <c r="AAL221" s="2214"/>
      <c r="AAM221" s="2214"/>
      <c r="AAN221" s="2214"/>
      <c r="AAO221" s="2214"/>
      <c r="AAP221" s="2214"/>
      <c r="AAQ221" s="2214"/>
      <c r="AAR221" s="2214"/>
      <c r="AAS221" s="2214"/>
      <c r="AAT221" s="2214"/>
      <c r="AAU221" s="2214"/>
      <c r="AAV221" s="2214"/>
      <c r="AAW221" s="2214"/>
      <c r="AAX221" s="2214"/>
      <c r="AAY221" s="2214"/>
      <c r="AAZ221" s="2214"/>
      <c r="ABA221" s="2214"/>
      <c r="ABB221" s="2214"/>
      <c r="ABC221" s="2214"/>
      <c r="ABD221" s="2214"/>
      <c r="ABE221" s="2214"/>
      <c r="ABF221" s="2214"/>
      <c r="ABG221" s="2214"/>
      <c r="ABH221" s="2214"/>
      <c r="ABI221" s="2214"/>
      <c r="ABJ221" s="2214"/>
      <c r="ABK221" s="2214"/>
      <c r="ABL221" s="2214"/>
      <c r="ABM221" s="2214"/>
      <c r="ABN221" s="2214"/>
      <c r="ABO221" s="2214"/>
      <c r="ABP221" s="2214"/>
      <c r="ABQ221" s="2214"/>
      <c r="ABR221" s="2214"/>
      <c r="ABS221" s="2214"/>
      <c r="ABT221" s="2214"/>
      <c r="ABU221" s="2214"/>
      <c r="ABV221" s="2214"/>
      <c r="ABW221" s="2214"/>
      <c r="ABX221" s="2214"/>
      <c r="ABY221" s="2214"/>
      <c r="ABZ221" s="2214"/>
      <c r="ACA221" s="2214"/>
      <c r="ACB221" s="2214"/>
      <c r="ACC221" s="2214"/>
      <c r="ACD221" s="2214"/>
      <c r="ACE221" s="2214"/>
      <c r="ACF221" s="2214"/>
      <c r="ACG221" s="2214"/>
      <c r="ACH221" s="2214"/>
      <c r="ACI221" s="2214"/>
      <c r="ACJ221" s="2214"/>
      <c r="ACK221" s="2214"/>
      <c r="ACL221" s="2214"/>
      <c r="ACM221" s="2214"/>
      <c r="ACN221" s="2214"/>
      <c r="ACO221" s="2214"/>
      <c r="ACP221" s="2214"/>
      <c r="ACQ221" s="2214"/>
      <c r="ACR221" s="2214"/>
      <c r="ACS221" s="2214"/>
      <c r="ACT221" s="2214"/>
      <c r="ACU221" s="2214"/>
      <c r="ACV221" s="2214"/>
      <c r="ACW221" s="2214"/>
      <c r="ACX221" s="2214"/>
      <c r="ACY221" s="2214"/>
      <c r="ACZ221" s="2214"/>
      <c r="ADA221" s="2214"/>
      <c r="ADB221" s="2214"/>
      <c r="ADC221" s="2214"/>
      <c r="ADD221" s="2214"/>
      <c r="ADE221" s="2214"/>
      <c r="ADF221" s="2214"/>
      <c r="ADG221" s="2214"/>
      <c r="ADH221" s="2214"/>
      <c r="ADI221" s="2214"/>
      <c r="ADJ221" s="2214"/>
      <c r="ADK221" s="2214"/>
      <c r="ADL221" s="2214"/>
      <c r="ADM221" s="2214"/>
      <c r="ADN221" s="2214"/>
      <c r="ADO221" s="2214"/>
      <c r="ADP221" s="2214"/>
      <c r="ADQ221" s="2214"/>
      <c r="ADR221" s="2214"/>
      <c r="ADS221" s="2214"/>
      <c r="ADT221" s="2214"/>
      <c r="ADU221" s="2214"/>
      <c r="ADV221" s="2214"/>
      <c r="ADW221" s="2214"/>
      <c r="ADX221" s="2214"/>
      <c r="ADY221" s="2214"/>
      <c r="ADZ221" s="2214"/>
      <c r="AEA221" s="2214"/>
      <c r="AEB221" s="2214"/>
      <c r="AEC221" s="2214"/>
      <c r="AED221" s="2214"/>
      <c r="AEE221" s="2214"/>
      <c r="AEF221" s="2214"/>
      <c r="AEG221" s="2214"/>
      <c r="AEH221" s="2214"/>
      <c r="AEI221" s="2214"/>
      <c r="AEJ221" s="2214"/>
      <c r="AEK221" s="2214"/>
      <c r="AEL221" s="2214"/>
      <c r="AEM221" s="2214"/>
      <c r="AEN221" s="2214"/>
      <c r="AEO221" s="2214"/>
      <c r="AEP221" s="2214"/>
      <c r="AEQ221" s="2214"/>
      <c r="AER221" s="2214"/>
      <c r="AES221" s="2214"/>
      <c r="AET221" s="2214"/>
      <c r="AEU221" s="2214"/>
      <c r="AEV221" s="2214"/>
      <c r="AEW221" s="2214"/>
      <c r="AEX221" s="2214"/>
      <c r="AEY221" s="2214"/>
      <c r="AEZ221" s="2214"/>
      <c r="AFA221" s="2214"/>
      <c r="AFB221" s="2214"/>
      <c r="AFC221" s="2214"/>
      <c r="AFD221" s="2214"/>
      <c r="AFE221" s="2214"/>
      <c r="AFF221" s="2214"/>
      <c r="AFG221" s="2214"/>
      <c r="AFH221" s="2214"/>
      <c r="AFI221" s="2214"/>
      <c r="AFJ221" s="2214"/>
      <c r="AFK221" s="2214"/>
      <c r="AFL221" s="2214"/>
      <c r="AFM221" s="2214"/>
      <c r="AFN221" s="2214"/>
      <c r="AFO221" s="2214"/>
      <c r="AFP221" s="2214"/>
      <c r="AFQ221" s="2214"/>
      <c r="AFR221" s="2214"/>
      <c r="AFS221" s="2214"/>
      <c r="AFT221" s="2214"/>
      <c r="AFU221" s="2214"/>
      <c r="AFV221" s="2214"/>
      <c r="AFW221" s="2214"/>
      <c r="AFX221" s="2214"/>
      <c r="AFY221" s="2214"/>
      <c r="AFZ221" s="2214"/>
      <c r="AGA221" s="2214"/>
      <c r="AGB221" s="2214"/>
      <c r="AGC221" s="2214"/>
      <c r="AGD221" s="2214"/>
      <c r="AGE221" s="2214"/>
      <c r="AGF221" s="2214"/>
      <c r="AGG221" s="2214"/>
      <c r="AGH221" s="2214"/>
      <c r="AGI221" s="2214"/>
      <c r="AGJ221" s="2214"/>
      <c r="AGK221" s="2214"/>
      <c r="AGL221" s="2214"/>
      <c r="AGM221" s="2214"/>
      <c r="AGN221" s="2214"/>
      <c r="AGO221" s="2214"/>
      <c r="AGP221" s="2214"/>
      <c r="AGQ221" s="2214"/>
      <c r="AGR221" s="2214"/>
      <c r="AGS221" s="2214"/>
      <c r="AGT221" s="2214"/>
      <c r="AGU221" s="2214"/>
      <c r="AGV221" s="2214"/>
      <c r="AGW221" s="2214"/>
      <c r="AGX221" s="2214"/>
      <c r="AGY221" s="2214"/>
      <c r="AGZ221" s="2214"/>
      <c r="AHA221" s="2214"/>
      <c r="AHB221" s="2214"/>
      <c r="AHC221" s="2214"/>
      <c r="AHD221" s="2214"/>
      <c r="AHE221" s="2214"/>
      <c r="AHF221" s="2214"/>
      <c r="AHG221" s="2214"/>
      <c r="AHH221" s="2214"/>
      <c r="AHI221" s="2214"/>
      <c r="AHJ221" s="2214"/>
      <c r="AHK221" s="2214"/>
      <c r="AHL221" s="2214"/>
      <c r="AHM221" s="2214"/>
      <c r="AHN221" s="2214"/>
      <c r="AHO221" s="2214"/>
      <c r="AHP221" s="2214"/>
      <c r="AHQ221" s="2214"/>
      <c r="AHR221" s="2214"/>
      <c r="AHS221" s="2214"/>
      <c r="AHT221" s="2214"/>
      <c r="AHU221" s="2214"/>
      <c r="AHV221" s="2214"/>
      <c r="AHW221" s="2214"/>
      <c r="AHX221" s="2214"/>
      <c r="AHY221" s="2214"/>
      <c r="AHZ221" s="2214"/>
      <c r="AIA221" s="2214"/>
      <c r="AIB221" s="2214"/>
      <c r="AIC221" s="2214"/>
      <c r="AID221" s="2214"/>
      <c r="AIE221" s="2214"/>
      <c r="AIF221" s="2214"/>
      <c r="AIG221" s="2214"/>
      <c r="AIH221" s="2214"/>
      <c r="AII221" s="2214"/>
      <c r="AIJ221" s="2214"/>
      <c r="AIK221" s="2214"/>
      <c r="AIL221" s="2214"/>
      <c r="AIM221" s="2214"/>
      <c r="AIN221" s="2214"/>
      <c r="AIO221" s="2214"/>
      <c r="AIP221" s="2214"/>
      <c r="AIQ221" s="2214"/>
      <c r="AIR221" s="2214"/>
      <c r="AIS221" s="2214"/>
      <c r="AIT221" s="2214"/>
      <c r="AIU221" s="2214"/>
      <c r="AIV221" s="2214"/>
      <c r="AIW221" s="2214"/>
      <c r="AIX221" s="2214"/>
      <c r="AIY221" s="2214"/>
      <c r="AIZ221" s="2214"/>
      <c r="AJA221" s="2214"/>
      <c r="AJB221" s="2214"/>
      <c r="AJC221" s="2214"/>
      <c r="AJD221" s="2214"/>
      <c r="AJE221" s="2214"/>
      <c r="AJF221" s="2214"/>
      <c r="AJG221" s="2214"/>
      <c r="AJH221" s="2214"/>
      <c r="AJI221" s="2214"/>
      <c r="AJJ221" s="2214"/>
      <c r="AJK221" s="2214"/>
      <c r="AJL221" s="2214"/>
      <c r="AJM221" s="2214"/>
      <c r="AJN221" s="2214"/>
      <c r="AJO221" s="2214"/>
      <c r="AJP221" s="2214"/>
      <c r="AJQ221" s="2214"/>
      <c r="AJR221" s="2214"/>
      <c r="AJS221" s="2214"/>
      <c r="AJT221" s="2214"/>
      <c r="AJU221" s="2214"/>
      <c r="AJV221" s="2214"/>
      <c r="AJW221" s="2214"/>
      <c r="AJX221" s="2214"/>
      <c r="AJY221" s="2214"/>
      <c r="AJZ221" s="2214"/>
      <c r="AKA221" s="2214"/>
      <c r="AKB221" s="2214"/>
      <c r="AKC221" s="2214"/>
      <c r="AKD221" s="2214"/>
      <c r="AKE221" s="2214"/>
      <c r="AKF221" s="2214"/>
      <c r="AKG221" s="2214"/>
      <c r="AKH221" s="2214"/>
      <c r="AKI221" s="2214"/>
      <c r="AKJ221" s="2214"/>
      <c r="AKK221" s="2214"/>
      <c r="AKL221" s="2214"/>
      <c r="AKM221" s="2214"/>
      <c r="AKN221" s="2214"/>
      <c r="AKO221" s="2214"/>
      <c r="AKP221" s="2214"/>
      <c r="AKQ221" s="2214"/>
      <c r="AKR221" s="2214"/>
      <c r="AKS221" s="2214"/>
      <c r="AKT221" s="2214"/>
      <c r="AKU221" s="2214"/>
      <c r="AKV221" s="2214"/>
      <c r="AKW221" s="2214"/>
      <c r="AKX221" s="2214"/>
      <c r="AKY221" s="2214"/>
      <c r="AKZ221" s="2214"/>
      <c r="ALA221" s="2214"/>
      <c r="ALB221" s="2214"/>
      <c r="ALC221" s="2214"/>
      <c r="ALD221" s="2214"/>
      <c r="ALE221" s="2214"/>
      <c r="ALF221" s="2214"/>
      <c r="ALG221" s="2214"/>
      <c r="ALH221" s="2214"/>
      <c r="ALI221" s="2214"/>
      <c r="ALJ221" s="2214"/>
      <c r="ALK221" s="2214"/>
      <c r="ALL221" s="2214"/>
      <c r="ALM221" s="2214"/>
      <c r="ALN221" s="2214"/>
      <c r="ALO221" s="2214"/>
      <c r="ALP221" s="2214"/>
      <c r="ALQ221" s="2214"/>
      <c r="ALR221" s="2214"/>
      <c r="ALS221" s="2214"/>
      <c r="ALT221" s="2214"/>
      <c r="ALU221" s="2214"/>
      <c r="ALV221" s="2214"/>
      <c r="ALW221" s="2214"/>
      <c r="ALX221" s="2214"/>
      <c r="ALY221" s="2214"/>
      <c r="ALZ221" s="2214"/>
      <c r="AMA221" s="2214"/>
      <c r="AMB221" s="2214"/>
      <c r="AMC221" s="2214"/>
      <c r="AMD221" s="2214"/>
      <c r="AME221" s="2214"/>
      <c r="AMF221" s="2214"/>
      <c r="AMG221" s="2214"/>
      <c r="AMH221" s="2214"/>
      <c r="AMI221" s="2214"/>
      <c r="AMJ221" s="2214"/>
      <c r="AMK221" s="2214"/>
      <c r="AML221" s="2214"/>
      <c r="AMM221" s="2214"/>
      <c r="AMN221" s="2214"/>
      <c r="AMO221" s="2214"/>
      <c r="AMP221" s="2214"/>
      <c r="AMQ221" s="2214"/>
      <c r="AMR221" s="2214"/>
      <c r="AMS221" s="2214"/>
      <c r="AMT221" s="2214"/>
      <c r="AMU221" s="2214"/>
      <c r="AMV221" s="2214"/>
      <c r="AMW221" s="2214"/>
      <c r="AMX221" s="2214"/>
      <c r="AMY221" s="2214"/>
      <c r="AMZ221" s="2214"/>
      <c r="ANA221" s="2214"/>
      <c r="ANB221" s="2214"/>
      <c r="ANC221" s="2214"/>
      <c r="AND221" s="2214"/>
      <c r="ANE221" s="2214"/>
      <c r="ANF221" s="2214"/>
      <c r="ANG221" s="2214"/>
      <c r="ANH221" s="2214"/>
      <c r="ANI221" s="2214"/>
      <c r="ANJ221" s="2214"/>
      <c r="ANK221" s="2214"/>
      <c r="ANL221" s="2214"/>
      <c r="ANM221" s="2214"/>
      <c r="ANN221" s="2214"/>
      <c r="ANO221" s="2214"/>
      <c r="ANP221" s="2214"/>
      <c r="ANQ221" s="2214"/>
      <c r="ANR221" s="2214"/>
      <c r="ANS221" s="2214"/>
      <c r="ANT221" s="2214"/>
      <c r="ANU221" s="2214"/>
      <c r="ANV221" s="2214"/>
      <c r="ANW221" s="2214"/>
      <c r="ANX221" s="2214"/>
      <c r="ANY221" s="2214"/>
      <c r="ANZ221" s="2214"/>
      <c r="AOA221" s="2214"/>
      <c r="AOB221" s="2214"/>
      <c r="AOC221" s="2214"/>
      <c r="AOD221" s="2214"/>
      <c r="AOE221" s="2214"/>
      <c r="AOF221" s="2214"/>
      <c r="AOG221" s="2214"/>
      <c r="AOH221" s="2214"/>
      <c r="AOI221" s="2214"/>
      <c r="AOJ221" s="2214"/>
      <c r="AOK221" s="2214"/>
      <c r="AOL221" s="2214"/>
      <c r="AOM221" s="2214"/>
      <c r="AON221" s="2214"/>
      <c r="AOO221" s="2214"/>
      <c r="AOP221" s="2214"/>
      <c r="AOQ221" s="2214"/>
      <c r="AOR221" s="2214"/>
      <c r="AOS221" s="2214"/>
      <c r="AOT221" s="2214"/>
      <c r="AOU221" s="2214"/>
      <c r="AOV221" s="2214"/>
      <c r="AOW221" s="2214"/>
      <c r="AOX221" s="2214"/>
      <c r="AOY221" s="2214"/>
      <c r="AOZ221" s="2214"/>
      <c r="APA221" s="2214"/>
      <c r="APB221" s="2214"/>
      <c r="APC221" s="2214"/>
      <c r="APD221" s="2214"/>
      <c r="APE221" s="2214"/>
      <c r="APF221" s="2214"/>
      <c r="APG221" s="2214"/>
      <c r="APH221" s="2214"/>
      <c r="API221" s="2214"/>
      <c r="APJ221" s="2214"/>
      <c r="APK221" s="2214"/>
      <c r="APL221" s="2214"/>
      <c r="APM221" s="2214"/>
      <c r="APN221" s="2214"/>
      <c r="APO221" s="2214"/>
      <c r="APP221" s="2214"/>
      <c r="APQ221" s="2214"/>
      <c r="APR221" s="2214"/>
      <c r="APS221" s="2214"/>
      <c r="APT221" s="2214"/>
      <c r="APU221" s="2214"/>
      <c r="APV221" s="2214"/>
      <c r="APW221" s="2214"/>
      <c r="APX221" s="2214"/>
      <c r="APY221" s="2214"/>
      <c r="APZ221" s="2214"/>
      <c r="AQA221" s="2214"/>
      <c r="AQB221" s="2214"/>
      <c r="AQC221" s="2214"/>
      <c r="AQD221" s="2214"/>
      <c r="AQE221" s="2214"/>
      <c r="AQF221" s="2214"/>
      <c r="AQG221" s="2214"/>
      <c r="AQH221" s="2214"/>
      <c r="AQI221" s="2214"/>
      <c r="AQJ221" s="2214"/>
      <c r="AQK221" s="2214"/>
      <c r="AQL221" s="2214"/>
      <c r="AQM221" s="2214"/>
      <c r="AQN221" s="2214"/>
      <c r="AQO221" s="2214"/>
      <c r="AQP221" s="2214"/>
      <c r="AQQ221" s="2214"/>
      <c r="AQR221" s="2214"/>
      <c r="AQS221" s="2214"/>
      <c r="AQT221" s="2214"/>
      <c r="AQU221" s="2214"/>
      <c r="AQV221" s="2214"/>
      <c r="AQW221" s="2214"/>
      <c r="AQX221" s="2214"/>
      <c r="AQY221" s="2214"/>
      <c r="AQZ221" s="2214"/>
      <c r="ARA221" s="2214"/>
      <c r="ARB221" s="2214"/>
      <c r="ARC221" s="2214"/>
      <c r="ARD221" s="2214"/>
      <c r="ARE221" s="2214"/>
      <c r="ARF221" s="2214"/>
      <c r="ARG221" s="2214"/>
      <c r="ARH221" s="2214"/>
      <c r="ARI221" s="2214"/>
      <c r="ARJ221" s="2214"/>
      <c r="ARK221" s="2214"/>
      <c r="ARL221" s="2214"/>
      <c r="ARM221" s="2214"/>
      <c r="ARN221" s="2214"/>
      <c r="ARO221" s="2214"/>
      <c r="ARP221" s="2214"/>
      <c r="ARQ221" s="2214"/>
      <c r="ARR221" s="2214"/>
      <c r="ARS221" s="2214"/>
      <c r="ART221" s="2214"/>
      <c r="ARU221" s="2214"/>
      <c r="ARV221" s="2214"/>
      <c r="ARW221" s="2214"/>
      <c r="ARX221" s="2214"/>
      <c r="ARY221" s="2214"/>
      <c r="ARZ221" s="2214"/>
      <c r="ASA221" s="2214"/>
      <c r="ASB221" s="2214"/>
      <c r="ASC221" s="2214"/>
      <c r="ASD221" s="2214"/>
      <c r="ASE221" s="2214"/>
      <c r="ASF221" s="2214"/>
      <c r="ASG221" s="2214"/>
      <c r="ASH221" s="2214"/>
      <c r="ASI221" s="2214"/>
      <c r="ASJ221" s="2214"/>
      <c r="ASK221" s="2214"/>
      <c r="ASL221" s="2214"/>
      <c r="ASM221" s="2214"/>
      <c r="ASN221" s="2214"/>
      <c r="ASO221" s="2214"/>
      <c r="ASP221" s="2214"/>
      <c r="ASQ221" s="2214"/>
      <c r="ASR221" s="2214"/>
      <c r="ASS221" s="2214"/>
      <c r="AST221" s="2214"/>
      <c r="ASU221" s="2214"/>
      <c r="ASV221" s="2214"/>
      <c r="ASW221" s="2214"/>
      <c r="ASX221" s="2214"/>
      <c r="ASY221" s="2214"/>
      <c r="ASZ221" s="2214"/>
      <c r="ATA221" s="2214"/>
      <c r="ATB221" s="2214"/>
      <c r="ATC221" s="2214"/>
      <c r="ATD221" s="2214"/>
      <c r="ATE221" s="2214"/>
      <c r="ATF221" s="2214"/>
      <c r="ATG221" s="2214"/>
      <c r="ATH221" s="2214"/>
      <c r="ATI221" s="2214"/>
      <c r="ATJ221" s="2214"/>
      <c r="ATK221" s="2214"/>
      <c r="ATL221" s="2214"/>
      <c r="ATM221" s="2214"/>
      <c r="ATN221" s="2214"/>
      <c r="ATO221" s="2214"/>
      <c r="ATP221" s="2214"/>
      <c r="ATQ221" s="2214"/>
      <c r="ATR221" s="2214"/>
      <c r="ATS221" s="2214"/>
      <c r="ATT221" s="2214"/>
      <c r="ATU221" s="2214"/>
      <c r="ATV221" s="2214"/>
      <c r="ATW221" s="2214"/>
      <c r="ATX221" s="2214"/>
      <c r="ATY221" s="2214"/>
      <c r="ATZ221" s="2214"/>
      <c r="AUA221" s="2214"/>
      <c r="AUB221" s="2214"/>
      <c r="AUC221" s="2214"/>
      <c r="AUD221" s="2214"/>
      <c r="AUE221" s="2214"/>
      <c r="AUF221" s="2214"/>
      <c r="AUG221" s="2214"/>
      <c r="AUH221" s="2214"/>
      <c r="AUI221" s="2214"/>
      <c r="AUJ221" s="2214"/>
      <c r="AUK221" s="2214"/>
      <c r="AUL221" s="2214"/>
      <c r="AUM221" s="2214"/>
      <c r="AUN221" s="2214"/>
      <c r="AUO221" s="2214"/>
      <c r="AUP221" s="2214"/>
      <c r="AUQ221" s="2214"/>
      <c r="AUR221" s="2214"/>
      <c r="AUS221" s="2214"/>
      <c r="AUT221" s="2214"/>
      <c r="AUU221" s="2214"/>
      <c r="AUV221" s="2214"/>
      <c r="AUW221" s="2214"/>
      <c r="AUX221" s="2214"/>
      <c r="AUY221" s="2214"/>
      <c r="AUZ221" s="2214"/>
      <c r="AVA221" s="2214"/>
      <c r="AVB221" s="2214"/>
      <c r="AVC221" s="2214"/>
      <c r="AVD221" s="2214"/>
      <c r="AVE221" s="2214"/>
      <c r="AVF221" s="2214"/>
      <c r="AVG221" s="2214"/>
      <c r="AVH221" s="2214"/>
      <c r="AVI221" s="2214"/>
      <c r="AVJ221" s="2214"/>
      <c r="AVK221" s="2214"/>
      <c r="AVL221" s="2214"/>
      <c r="AVM221" s="2214"/>
      <c r="AVN221" s="2214"/>
      <c r="AVO221" s="2214"/>
      <c r="AVP221" s="2214"/>
      <c r="AVQ221" s="2214"/>
      <c r="AVR221" s="2214"/>
      <c r="AVS221" s="2214"/>
      <c r="AVT221" s="2214"/>
      <c r="AVU221" s="2214"/>
      <c r="AVV221" s="2214"/>
      <c r="AVW221" s="2214"/>
      <c r="AVX221" s="2214"/>
      <c r="AVY221" s="2214"/>
      <c r="AVZ221" s="2214"/>
      <c r="AWA221" s="2214"/>
      <c r="AWB221" s="2214"/>
      <c r="AWC221" s="2214"/>
      <c r="AWD221" s="2214"/>
      <c r="AWE221" s="2214"/>
      <c r="AWF221" s="2214"/>
      <c r="AWG221" s="2214"/>
      <c r="AWH221" s="2214"/>
      <c r="AWI221" s="2214"/>
      <c r="AWJ221" s="2214"/>
      <c r="AWK221" s="2214"/>
      <c r="AWL221" s="2214"/>
      <c r="AWM221" s="2214"/>
      <c r="AWN221" s="2214"/>
      <c r="AWO221" s="2214"/>
      <c r="AWP221" s="2214"/>
      <c r="AWQ221" s="2214"/>
      <c r="AWR221" s="2214"/>
      <c r="AWS221" s="2214"/>
      <c r="AWT221" s="2214"/>
      <c r="AWU221" s="2214"/>
      <c r="AWV221" s="2214"/>
      <c r="AWW221" s="2214"/>
      <c r="AWX221" s="2214"/>
      <c r="AWY221" s="2214"/>
      <c r="AWZ221" s="2214"/>
      <c r="AXA221" s="2214"/>
      <c r="AXB221" s="2214"/>
      <c r="AXC221" s="2214"/>
      <c r="AXD221" s="2214"/>
      <c r="AXE221" s="2214"/>
      <c r="AXF221" s="2214"/>
      <c r="AXG221" s="2214"/>
      <c r="AXH221" s="2214"/>
      <c r="AXI221" s="2214"/>
      <c r="AXJ221" s="2214"/>
    </row>
    <row r="222" spans="1:1310" s="2215" customFormat="1" ht="23.25" customHeight="1">
      <c r="A222" s="756"/>
      <c r="B222" s="9022" t="s">
        <v>1562</v>
      </c>
      <c r="C222" s="9022"/>
      <c r="D222" s="9022"/>
      <c r="E222" s="9022"/>
      <c r="F222" s="9022"/>
      <c r="G222" s="9022"/>
      <c r="H222" s="9022"/>
      <c r="I222" s="9022"/>
      <c r="J222" s="9022"/>
      <c r="K222" s="9022"/>
      <c r="L222" s="9022"/>
      <c r="M222" s="9022"/>
      <c r="N222" s="9022"/>
      <c r="O222" s="9022"/>
      <c r="P222" s="9022"/>
      <c r="Q222" s="9022"/>
      <c r="R222" s="311"/>
      <c r="S222" s="311"/>
      <c r="T222" s="311"/>
      <c r="U222" s="311"/>
      <c r="V222" s="311"/>
      <c r="W222" s="311"/>
      <c r="X222" s="311"/>
      <c r="Y222" s="311"/>
      <c r="Z222" s="311"/>
      <c r="AA222" s="311"/>
      <c r="AB222" s="311"/>
      <c r="AC222" s="311"/>
      <c r="AD222" s="2214"/>
      <c r="AE222" s="2214"/>
      <c r="AF222" s="2214"/>
      <c r="AG222" s="2214"/>
      <c r="AH222" s="2214"/>
      <c r="AI222" s="2214"/>
      <c r="AJ222" s="2214"/>
      <c r="AK222" s="2214"/>
      <c r="AL222" s="2214"/>
      <c r="AM222" s="2214"/>
      <c r="AN222" s="2214"/>
      <c r="AO222" s="2214"/>
      <c r="AP222" s="2214"/>
      <c r="AQ222" s="2214"/>
      <c r="AR222" s="2214"/>
      <c r="AS222" s="2214"/>
      <c r="AT222" s="2214"/>
      <c r="AU222" s="2214"/>
      <c r="AV222" s="2214"/>
      <c r="AW222" s="2214"/>
      <c r="AX222" s="2214"/>
      <c r="AY222" s="2214"/>
      <c r="AZ222" s="2214"/>
      <c r="BA222" s="2214"/>
      <c r="BB222" s="2214"/>
      <c r="BC222" s="2214"/>
      <c r="BD222" s="2214"/>
      <c r="BE222" s="2214"/>
      <c r="BF222" s="2214"/>
      <c r="BG222" s="2214"/>
      <c r="BH222" s="2214"/>
      <c r="BI222" s="2214"/>
      <c r="BJ222" s="2214"/>
      <c r="BK222" s="2214"/>
      <c r="BL222" s="2214"/>
      <c r="BM222" s="2214"/>
      <c r="BN222" s="2214"/>
      <c r="BO222" s="2214"/>
      <c r="BP222" s="2214"/>
      <c r="BQ222" s="2214"/>
      <c r="BR222" s="2214"/>
      <c r="BS222" s="2214"/>
      <c r="BT222" s="2214"/>
      <c r="BU222" s="2214"/>
      <c r="BV222" s="2214"/>
      <c r="BW222" s="2214"/>
      <c r="BX222" s="2214"/>
      <c r="BY222" s="2214"/>
      <c r="BZ222" s="2214"/>
      <c r="CA222" s="2214"/>
      <c r="CB222" s="2214"/>
      <c r="CC222" s="2214"/>
      <c r="CD222" s="2214"/>
      <c r="CE222" s="2214"/>
      <c r="CF222" s="2214"/>
      <c r="CG222" s="2214"/>
      <c r="CH222" s="2214"/>
      <c r="CI222" s="2214"/>
      <c r="CJ222" s="2214"/>
      <c r="CK222" s="2214"/>
      <c r="CL222" s="2214"/>
      <c r="CM222" s="2214"/>
      <c r="CN222" s="2214"/>
      <c r="CO222" s="2214"/>
      <c r="CP222" s="2214"/>
      <c r="CQ222" s="2214"/>
      <c r="CR222" s="2214"/>
      <c r="CS222" s="2214"/>
      <c r="CT222" s="2214"/>
      <c r="CU222" s="2214"/>
      <c r="CV222" s="2214"/>
      <c r="CW222" s="2214"/>
      <c r="CX222" s="2214"/>
      <c r="CY222" s="2214"/>
      <c r="CZ222" s="2214"/>
      <c r="DA222" s="2214"/>
      <c r="DB222" s="2214"/>
      <c r="DC222" s="2214"/>
      <c r="DD222" s="2214"/>
      <c r="DE222" s="2214"/>
      <c r="DF222" s="2214"/>
      <c r="DG222" s="2214"/>
      <c r="DH222" s="2214"/>
      <c r="DI222" s="2214"/>
      <c r="DJ222" s="2214"/>
      <c r="DK222" s="2214"/>
      <c r="DL222" s="2214"/>
      <c r="DM222" s="2214"/>
      <c r="DN222" s="2214"/>
      <c r="DO222" s="2214"/>
      <c r="DP222" s="2214"/>
      <c r="DQ222" s="2214"/>
      <c r="DR222" s="2214"/>
      <c r="DS222" s="2214"/>
      <c r="DT222" s="2214"/>
      <c r="DU222" s="2214"/>
      <c r="DV222" s="2214"/>
      <c r="DW222" s="2214"/>
      <c r="DX222" s="2214"/>
      <c r="DY222" s="2214"/>
      <c r="DZ222" s="2214"/>
      <c r="EA222" s="2214"/>
      <c r="EB222" s="2214"/>
      <c r="EC222" s="2214"/>
      <c r="ED222" s="2214"/>
      <c r="EE222" s="2214"/>
      <c r="EF222" s="2214"/>
      <c r="EG222" s="2214"/>
      <c r="EH222" s="2214"/>
      <c r="EI222" s="2214"/>
      <c r="EJ222" s="2214"/>
      <c r="EK222" s="2214"/>
      <c r="EL222" s="2214"/>
      <c r="EM222" s="2214"/>
      <c r="EN222" s="2214"/>
      <c r="EO222" s="2214"/>
      <c r="EP222" s="2214"/>
      <c r="EQ222" s="2214"/>
      <c r="ER222" s="2214"/>
      <c r="ES222" s="2214"/>
      <c r="ET222" s="2214"/>
      <c r="EU222" s="2214"/>
      <c r="EV222" s="2214"/>
      <c r="EW222" s="2214"/>
      <c r="EX222" s="2214"/>
      <c r="EY222" s="2214"/>
      <c r="EZ222" s="2214"/>
      <c r="FA222" s="2214"/>
      <c r="FB222" s="2214"/>
      <c r="FC222" s="2214"/>
      <c r="FD222" s="2214"/>
      <c r="FE222" s="2214"/>
      <c r="FF222" s="2214"/>
      <c r="FG222" s="2214"/>
      <c r="FH222" s="2214"/>
      <c r="FI222" s="2214"/>
      <c r="FJ222" s="2214"/>
      <c r="FK222" s="2214"/>
      <c r="FL222" s="2214"/>
      <c r="FM222" s="2214"/>
      <c r="FN222" s="2214"/>
      <c r="FO222" s="2214"/>
      <c r="FP222" s="2214"/>
      <c r="FQ222" s="2214"/>
      <c r="FR222" s="2214"/>
      <c r="FS222" s="2214"/>
      <c r="FT222" s="2214"/>
      <c r="FU222" s="2214"/>
      <c r="FV222" s="2214"/>
      <c r="FW222" s="2214"/>
      <c r="FX222" s="2214"/>
      <c r="FY222" s="2214"/>
      <c r="FZ222" s="2214"/>
      <c r="GA222" s="2214"/>
      <c r="GB222" s="2214"/>
      <c r="GC222" s="2214"/>
      <c r="GD222" s="2214"/>
      <c r="GE222" s="2214"/>
      <c r="GF222" s="2214"/>
      <c r="GG222" s="2214"/>
      <c r="GH222" s="2214"/>
      <c r="GI222" s="2214"/>
      <c r="GJ222" s="2214"/>
      <c r="GK222" s="2214"/>
      <c r="GL222" s="2214"/>
      <c r="GM222" s="2214"/>
      <c r="GN222" s="2214"/>
      <c r="GO222" s="2214"/>
      <c r="GP222" s="2214"/>
      <c r="GQ222" s="2214"/>
      <c r="GR222" s="2214"/>
      <c r="GS222" s="2214"/>
      <c r="GT222" s="2214"/>
      <c r="GU222" s="2214"/>
      <c r="GV222" s="2214"/>
      <c r="GW222" s="2214"/>
      <c r="GX222" s="2214"/>
      <c r="GY222" s="2214"/>
      <c r="GZ222" s="2214"/>
      <c r="HA222" s="2214"/>
      <c r="HB222" s="2214"/>
      <c r="HC222" s="2214"/>
      <c r="HD222" s="2214"/>
      <c r="HE222" s="2214"/>
      <c r="HF222" s="2214"/>
      <c r="HG222" s="2214"/>
      <c r="HH222" s="2214"/>
      <c r="HI222" s="2214"/>
      <c r="HJ222" s="2214"/>
      <c r="HK222" s="2214"/>
      <c r="HL222" s="2214"/>
      <c r="HM222" s="2214"/>
      <c r="HN222" s="2214"/>
      <c r="HO222" s="2214"/>
      <c r="HP222" s="2214"/>
      <c r="HQ222" s="2214"/>
      <c r="HR222" s="2214"/>
      <c r="HS222" s="2214"/>
      <c r="HT222" s="2214"/>
      <c r="HU222" s="2214"/>
      <c r="HV222" s="2214"/>
      <c r="HW222" s="2214"/>
      <c r="HX222" s="2214"/>
      <c r="HY222" s="2214"/>
      <c r="HZ222" s="2214"/>
      <c r="IA222" s="2214"/>
      <c r="IB222" s="2214"/>
      <c r="IC222" s="2214"/>
      <c r="ID222" s="2214"/>
      <c r="IE222" s="2214"/>
      <c r="IF222" s="2214"/>
      <c r="IG222" s="2214"/>
      <c r="IH222" s="2214"/>
      <c r="II222" s="2214"/>
      <c r="IJ222" s="2214"/>
      <c r="IK222" s="2214"/>
      <c r="IL222" s="2214"/>
      <c r="IM222" s="2214"/>
      <c r="IN222" s="2214"/>
      <c r="IO222" s="2214"/>
      <c r="IP222" s="2214"/>
      <c r="IQ222" s="2214"/>
      <c r="IR222" s="2214"/>
      <c r="IS222" s="2214"/>
      <c r="IT222" s="2214"/>
      <c r="IU222" s="2214"/>
      <c r="IV222" s="2214"/>
      <c r="IW222" s="2214"/>
      <c r="IX222" s="2214"/>
      <c r="IY222" s="2214"/>
      <c r="IZ222" s="2214"/>
      <c r="JA222" s="2214"/>
      <c r="JB222" s="2214"/>
      <c r="JC222" s="2214"/>
      <c r="JD222" s="2214"/>
      <c r="JE222" s="2214"/>
      <c r="JF222" s="2214"/>
      <c r="JG222" s="2214"/>
      <c r="JH222" s="2214"/>
      <c r="JI222" s="2214"/>
      <c r="JJ222" s="2214"/>
      <c r="JK222" s="2214"/>
      <c r="JL222" s="2214"/>
      <c r="JM222" s="2214"/>
      <c r="JN222" s="2214"/>
      <c r="JO222" s="2214"/>
      <c r="JP222" s="2214"/>
      <c r="JQ222" s="2214"/>
      <c r="JR222" s="2214"/>
      <c r="JS222" s="2214"/>
      <c r="JT222" s="2214"/>
      <c r="JU222" s="2214"/>
      <c r="JV222" s="2214"/>
      <c r="JW222" s="2214"/>
      <c r="JX222" s="2214"/>
      <c r="JY222" s="2214"/>
      <c r="JZ222" s="2214"/>
      <c r="KA222" s="2214"/>
      <c r="KB222" s="2214"/>
      <c r="KC222" s="2214"/>
      <c r="KD222" s="2214"/>
      <c r="KE222" s="2214"/>
      <c r="KF222" s="2214"/>
      <c r="KG222" s="2214"/>
      <c r="KH222" s="2214"/>
      <c r="KI222" s="2214"/>
      <c r="KJ222" s="2214"/>
      <c r="KK222" s="2214"/>
      <c r="KL222" s="2214"/>
      <c r="KM222" s="2214"/>
      <c r="KN222" s="2214"/>
      <c r="KO222" s="2214"/>
      <c r="KP222" s="2214"/>
      <c r="KQ222" s="2214"/>
      <c r="KR222" s="2214"/>
      <c r="KS222" s="2214"/>
      <c r="KT222" s="2214"/>
      <c r="KU222" s="2214"/>
      <c r="KV222" s="2214"/>
      <c r="KW222" s="2214"/>
      <c r="KX222" s="2214"/>
      <c r="KY222" s="2214"/>
      <c r="KZ222" s="2214"/>
      <c r="LA222" s="2214"/>
      <c r="LB222" s="2214"/>
      <c r="LC222" s="2214"/>
      <c r="LD222" s="2214"/>
      <c r="LE222" s="2214"/>
      <c r="LF222" s="2214"/>
      <c r="LG222" s="2214"/>
      <c r="LH222" s="2214"/>
      <c r="LI222" s="2214"/>
      <c r="LJ222" s="2214"/>
      <c r="LK222" s="2214"/>
      <c r="LL222" s="2214"/>
      <c r="LM222" s="2214"/>
      <c r="LN222" s="2214"/>
      <c r="LO222" s="2214"/>
      <c r="LP222" s="2214"/>
      <c r="LQ222" s="2214"/>
      <c r="LR222" s="2214"/>
      <c r="LS222" s="2214"/>
      <c r="LT222" s="2214"/>
      <c r="LU222" s="2214"/>
      <c r="LV222" s="2214"/>
      <c r="LW222" s="2214"/>
      <c r="LX222" s="2214"/>
      <c r="LY222" s="2214"/>
      <c r="LZ222" s="2214"/>
      <c r="MA222" s="2214"/>
      <c r="MB222" s="2214"/>
      <c r="MC222" s="2214"/>
      <c r="MD222" s="2214"/>
      <c r="ME222" s="2214"/>
      <c r="MF222" s="2214"/>
      <c r="MG222" s="2214"/>
      <c r="MH222" s="2214"/>
      <c r="MI222" s="2214"/>
      <c r="MJ222" s="2214"/>
      <c r="MK222" s="2214"/>
      <c r="ML222" s="2214"/>
      <c r="MM222" s="2214"/>
      <c r="MN222" s="2214"/>
      <c r="MO222" s="2214"/>
      <c r="MP222" s="2214"/>
      <c r="MQ222" s="2214"/>
      <c r="MR222" s="2214"/>
      <c r="MS222" s="2214"/>
      <c r="MT222" s="2214"/>
      <c r="MU222" s="2214"/>
      <c r="MV222" s="2214"/>
      <c r="MW222" s="2214"/>
      <c r="MX222" s="2214"/>
      <c r="MY222" s="2214"/>
      <c r="MZ222" s="2214"/>
      <c r="NA222" s="2214"/>
      <c r="NB222" s="2214"/>
      <c r="NC222" s="2214"/>
      <c r="ND222" s="2214"/>
      <c r="NE222" s="2214"/>
      <c r="NF222" s="2214"/>
      <c r="NG222" s="2214"/>
      <c r="NH222" s="2214"/>
      <c r="NI222" s="2214"/>
      <c r="NJ222" s="2214"/>
      <c r="NK222" s="2214"/>
      <c r="NL222" s="2214"/>
      <c r="NM222" s="2214"/>
      <c r="NN222" s="2214"/>
      <c r="NO222" s="2214"/>
      <c r="NP222" s="2214"/>
      <c r="NQ222" s="2214"/>
      <c r="NR222" s="2214"/>
      <c r="NS222" s="2214"/>
      <c r="NT222" s="2214"/>
      <c r="NU222" s="2214"/>
      <c r="NV222" s="2214"/>
      <c r="NW222" s="2214"/>
      <c r="NX222" s="2214"/>
      <c r="NY222" s="2214"/>
      <c r="NZ222" s="2214"/>
      <c r="OA222" s="2214"/>
      <c r="OB222" s="2214"/>
      <c r="OC222" s="2214"/>
      <c r="OD222" s="2214"/>
      <c r="OE222" s="2214"/>
      <c r="OF222" s="2214"/>
      <c r="OG222" s="2214"/>
      <c r="OH222" s="2214"/>
      <c r="OI222" s="2214"/>
      <c r="OJ222" s="2214"/>
      <c r="OK222" s="2214"/>
      <c r="OL222" s="2214"/>
      <c r="OM222" s="2214"/>
      <c r="ON222" s="2214"/>
      <c r="OO222" s="2214"/>
      <c r="OP222" s="2214"/>
      <c r="OQ222" s="2214"/>
      <c r="OR222" s="2214"/>
      <c r="OS222" s="2214"/>
      <c r="OT222" s="2214"/>
      <c r="OU222" s="2214"/>
      <c r="OV222" s="2214"/>
      <c r="OW222" s="2214"/>
      <c r="OX222" s="2214"/>
      <c r="OY222" s="2214"/>
      <c r="OZ222" s="2214"/>
      <c r="PA222" s="2214"/>
      <c r="PB222" s="2214"/>
      <c r="PC222" s="2214"/>
      <c r="PD222" s="2214"/>
      <c r="PE222" s="2214"/>
      <c r="PF222" s="2214"/>
      <c r="PG222" s="2214"/>
      <c r="PH222" s="2214"/>
      <c r="PI222" s="2214"/>
      <c r="PJ222" s="2214"/>
      <c r="PK222" s="2214"/>
      <c r="PL222" s="2214"/>
      <c r="PM222" s="2214"/>
      <c r="PN222" s="2214"/>
      <c r="PO222" s="2214"/>
      <c r="PP222" s="2214"/>
      <c r="PQ222" s="2214"/>
      <c r="PR222" s="2214"/>
      <c r="PS222" s="2214"/>
      <c r="PT222" s="2214"/>
      <c r="PU222" s="2214"/>
      <c r="PV222" s="2214"/>
      <c r="PW222" s="2214"/>
      <c r="PX222" s="2214"/>
      <c r="PY222" s="2214"/>
      <c r="PZ222" s="2214"/>
      <c r="QA222" s="2214"/>
      <c r="QB222" s="2214"/>
      <c r="QC222" s="2214"/>
      <c r="QD222" s="2214"/>
      <c r="QE222" s="2214"/>
      <c r="QF222" s="2214"/>
      <c r="QG222" s="2214"/>
      <c r="QH222" s="2214"/>
      <c r="QI222" s="2214"/>
      <c r="QJ222" s="2214"/>
      <c r="QK222" s="2214"/>
      <c r="QL222" s="2214"/>
      <c r="QM222" s="2214"/>
      <c r="QN222" s="2214"/>
      <c r="QO222" s="2214"/>
      <c r="QP222" s="2214"/>
      <c r="QQ222" s="2214"/>
      <c r="QR222" s="2214"/>
      <c r="QS222" s="2214"/>
      <c r="QT222" s="2214"/>
      <c r="QU222" s="2214"/>
      <c r="QV222" s="2214"/>
      <c r="QW222" s="2214"/>
      <c r="QX222" s="2214"/>
      <c r="QY222" s="2214"/>
      <c r="QZ222" s="2214"/>
      <c r="RA222" s="2214"/>
      <c r="RB222" s="2214"/>
      <c r="RC222" s="2214"/>
      <c r="RD222" s="2214"/>
      <c r="RE222" s="2214"/>
      <c r="RF222" s="2214"/>
      <c r="RG222" s="2214"/>
      <c r="RH222" s="2214"/>
      <c r="RI222" s="2214"/>
      <c r="RJ222" s="2214"/>
      <c r="RK222" s="2214"/>
      <c r="RL222" s="2214"/>
      <c r="RM222" s="2214"/>
      <c r="RN222" s="2214"/>
      <c r="RO222" s="2214"/>
      <c r="RP222" s="2214"/>
      <c r="RQ222" s="2214"/>
      <c r="RR222" s="2214"/>
      <c r="RS222" s="2214"/>
      <c r="RT222" s="2214"/>
      <c r="RU222" s="2214"/>
      <c r="RV222" s="2214"/>
      <c r="RW222" s="2214"/>
      <c r="RX222" s="2214"/>
      <c r="RY222" s="2214"/>
      <c r="RZ222" s="2214"/>
      <c r="SA222" s="2214"/>
      <c r="SB222" s="2214"/>
      <c r="SC222" s="2214"/>
      <c r="SD222" s="2214"/>
      <c r="SE222" s="2214"/>
      <c r="SF222" s="2214"/>
      <c r="SG222" s="2214"/>
      <c r="SH222" s="2214"/>
      <c r="SI222" s="2214"/>
      <c r="SJ222" s="2214"/>
      <c r="SK222" s="2214"/>
      <c r="SL222" s="2214"/>
      <c r="SM222" s="2214"/>
      <c r="SN222" s="2214"/>
      <c r="SO222" s="2214"/>
      <c r="SP222" s="2214"/>
      <c r="SQ222" s="2214"/>
      <c r="SR222" s="2214"/>
      <c r="SS222" s="2214"/>
      <c r="ST222" s="2214"/>
      <c r="SU222" s="2214"/>
      <c r="SV222" s="2214"/>
      <c r="SW222" s="2214"/>
      <c r="SX222" s="2214"/>
      <c r="SY222" s="2214"/>
      <c r="SZ222" s="2214"/>
      <c r="TA222" s="2214"/>
      <c r="TB222" s="2214"/>
      <c r="TC222" s="2214"/>
      <c r="TD222" s="2214"/>
      <c r="TE222" s="2214"/>
      <c r="TF222" s="2214"/>
      <c r="TG222" s="2214"/>
      <c r="TH222" s="2214"/>
      <c r="TI222" s="2214"/>
      <c r="TJ222" s="2214"/>
      <c r="TK222" s="2214"/>
      <c r="TL222" s="2214"/>
      <c r="TM222" s="2214"/>
      <c r="TN222" s="2214"/>
      <c r="TO222" s="2214"/>
      <c r="TP222" s="2214"/>
      <c r="TQ222" s="2214"/>
      <c r="TR222" s="2214"/>
      <c r="TS222" s="2214"/>
      <c r="TT222" s="2214"/>
      <c r="TU222" s="2214"/>
      <c r="TV222" s="2214"/>
      <c r="TW222" s="2214"/>
      <c r="TX222" s="2214"/>
      <c r="TY222" s="2214"/>
      <c r="TZ222" s="2214"/>
      <c r="UA222" s="2214"/>
      <c r="UB222" s="2214"/>
      <c r="UC222" s="2214"/>
      <c r="UD222" s="2214"/>
      <c r="UE222" s="2214"/>
      <c r="UF222" s="2214"/>
      <c r="UG222" s="2214"/>
      <c r="UH222" s="2214"/>
      <c r="UI222" s="2214"/>
      <c r="UJ222" s="2214"/>
      <c r="UK222" s="2214"/>
      <c r="UL222" s="2214"/>
      <c r="UM222" s="2214"/>
      <c r="UN222" s="2214"/>
      <c r="UO222" s="2214"/>
      <c r="UP222" s="2214"/>
      <c r="UQ222" s="2214"/>
      <c r="UR222" s="2214"/>
      <c r="US222" s="2214"/>
      <c r="UT222" s="2214"/>
      <c r="UU222" s="2214"/>
      <c r="UV222" s="2214"/>
      <c r="UW222" s="2214"/>
      <c r="UX222" s="2214"/>
      <c r="UY222" s="2214"/>
      <c r="UZ222" s="2214"/>
      <c r="VA222" s="2214"/>
      <c r="VB222" s="2214"/>
      <c r="VC222" s="2214"/>
      <c r="VD222" s="2214"/>
      <c r="VE222" s="2214"/>
      <c r="VF222" s="2214"/>
      <c r="VG222" s="2214"/>
      <c r="VH222" s="2214"/>
      <c r="VI222" s="2214"/>
      <c r="VJ222" s="2214"/>
      <c r="VK222" s="2214"/>
      <c r="VL222" s="2214"/>
      <c r="VM222" s="2214"/>
      <c r="VN222" s="2214"/>
      <c r="VO222" s="2214"/>
      <c r="VP222" s="2214"/>
      <c r="VQ222" s="2214"/>
      <c r="VR222" s="2214"/>
      <c r="VS222" s="2214"/>
      <c r="VT222" s="2214"/>
      <c r="VU222" s="2214"/>
      <c r="VV222" s="2214"/>
      <c r="VW222" s="2214"/>
      <c r="VX222" s="2214"/>
      <c r="VY222" s="2214"/>
      <c r="VZ222" s="2214"/>
      <c r="WA222" s="2214"/>
      <c r="WB222" s="2214"/>
      <c r="WC222" s="2214"/>
      <c r="WD222" s="2214"/>
      <c r="WE222" s="2214"/>
      <c r="WF222" s="2214"/>
      <c r="WG222" s="2214"/>
      <c r="WH222" s="2214"/>
      <c r="WI222" s="2214"/>
      <c r="WJ222" s="2214"/>
      <c r="WK222" s="2214"/>
      <c r="WL222" s="2214"/>
      <c r="WM222" s="2214"/>
      <c r="WN222" s="2214"/>
      <c r="WO222" s="2214"/>
      <c r="WP222" s="2214"/>
      <c r="WQ222" s="2214"/>
      <c r="WR222" s="2214"/>
      <c r="WS222" s="2214"/>
      <c r="WT222" s="2214"/>
      <c r="WU222" s="2214"/>
      <c r="WV222" s="2214"/>
      <c r="WW222" s="2214"/>
      <c r="WX222" s="2214"/>
      <c r="WY222" s="2214"/>
      <c r="WZ222" s="2214"/>
      <c r="XA222" s="2214"/>
      <c r="XB222" s="2214"/>
      <c r="XC222" s="2214"/>
      <c r="XD222" s="2214"/>
      <c r="XE222" s="2214"/>
      <c r="XF222" s="2214"/>
      <c r="XG222" s="2214"/>
      <c r="XH222" s="2214"/>
      <c r="XI222" s="2214"/>
      <c r="XJ222" s="2214"/>
      <c r="XK222" s="2214"/>
      <c r="XL222" s="2214"/>
      <c r="XM222" s="2214"/>
      <c r="XN222" s="2214"/>
      <c r="XO222" s="2214"/>
      <c r="XP222" s="2214"/>
      <c r="XQ222" s="2214"/>
      <c r="XR222" s="2214"/>
      <c r="XS222" s="2214"/>
      <c r="XT222" s="2214"/>
      <c r="XU222" s="2214"/>
      <c r="XV222" s="2214"/>
      <c r="XW222" s="2214"/>
      <c r="XX222" s="2214"/>
      <c r="XY222" s="2214"/>
      <c r="XZ222" s="2214"/>
      <c r="YA222" s="2214"/>
      <c r="YB222" s="2214"/>
      <c r="YC222" s="2214"/>
      <c r="YD222" s="2214"/>
      <c r="YE222" s="2214"/>
      <c r="YF222" s="2214"/>
      <c r="YG222" s="2214"/>
      <c r="YH222" s="2214"/>
      <c r="YI222" s="2214"/>
      <c r="YJ222" s="2214"/>
      <c r="YK222" s="2214"/>
      <c r="YL222" s="2214"/>
      <c r="YM222" s="2214"/>
      <c r="YN222" s="2214"/>
      <c r="YO222" s="2214"/>
      <c r="YP222" s="2214"/>
      <c r="YQ222" s="2214"/>
      <c r="YR222" s="2214"/>
      <c r="YS222" s="2214"/>
      <c r="YT222" s="2214"/>
      <c r="YU222" s="2214"/>
      <c r="YV222" s="2214"/>
      <c r="YW222" s="2214"/>
      <c r="YX222" s="2214"/>
      <c r="YY222" s="2214"/>
      <c r="YZ222" s="2214"/>
      <c r="ZA222" s="2214"/>
      <c r="ZB222" s="2214"/>
      <c r="ZC222" s="2214"/>
      <c r="ZD222" s="2214"/>
      <c r="ZE222" s="2214"/>
      <c r="ZF222" s="2214"/>
      <c r="ZG222" s="2214"/>
      <c r="ZH222" s="2214"/>
      <c r="ZI222" s="2214"/>
      <c r="ZJ222" s="2214"/>
      <c r="ZK222" s="2214"/>
      <c r="ZL222" s="2214"/>
      <c r="ZM222" s="2214"/>
      <c r="ZN222" s="2214"/>
      <c r="ZO222" s="2214"/>
      <c r="ZP222" s="2214"/>
      <c r="ZQ222" s="2214"/>
      <c r="ZR222" s="2214"/>
      <c r="ZS222" s="2214"/>
      <c r="ZT222" s="2214"/>
      <c r="ZU222" s="2214"/>
      <c r="ZV222" s="2214"/>
      <c r="ZW222" s="2214"/>
      <c r="ZX222" s="2214"/>
      <c r="ZY222" s="2214"/>
      <c r="ZZ222" s="2214"/>
      <c r="AAA222" s="2214"/>
      <c r="AAB222" s="2214"/>
      <c r="AAC222" s="2214"/>
      <c r="AAD222" s="2214"/>
      <c r="AAE222" s="2214"/>
      <c r="AAF222" s="2214"/>
      <c r="AAG222" s="2214"/>
      <c r="AAH222" s="2214"/>
      <c r="AAI222" s="2214"/>
      <c r="AAJ222" s="2214"/>
      <c r="AAK222" s="2214"/>
      <c r="AAL222" s="2214"/>
      <c r="AAM222" s="2214"/>
      <c r="AAN222" s="2214"/>
      <c r="AAO222" s="2214"/>
      <c r="AAP222" s="2214"/>
      <c r="AAQ222" s="2214"/>
      <c r="AAR222" s="2214"/>
      <c r="AAS222" s="2214"/>
      <c r="AAT222" s="2214"/>
      <c r="AAU222" s="2214"/>
      <c r="AAV222" s="2214"/>
      <c r="AAW222" s="2214"/>
      <c r="AAX222" s="2214"/>
      <c r="AAY222" s="2214"/>
      <c r="AAZ222" s="2214"/>
      <c r="ABA222" s="2214"/>
      <c r="ABB222" s="2214"/>
      <c r="ABC222" s="2214"/>
      <c r="ABD222" s="2214"/>
      <c r="ABE222" s="2214"/>
      <c r="ABF222" s="2214"/>
      <c r="ABG222" s="2214"/>
      <c r="ABH222" s="2214"/>
      <c r="ABI222" s="2214"/>
      <c r="ABJ222" s="2214"/>
      <c r="ABK222" s="2214"/>
      <c r="ABL222" s="2214"/>
      <c r="ABM222" s="2214"/>
      <c r="ABN222" s="2214"/>
      <c r="ABO222" s="2214"/>
      <c r="ABP222" s="2214"/>
      <c r="ABQ222" s="2214"/>
      <c r="ABR222" s="2214"/>
      <c r="ABS222" s="2214"/>
      <c r="ABT222" s="2214"/>
      <c r="ABU222" s="2214"/>
      <c r="ABV222" s="2214"/>
      <c r="ABW222" s="2214"/>
      <c r="ABX222" s="2214"/>
      <c r="ABY222" s="2214"/>
      <c r="ABZ222" s="2214"/>
      <c r="ACA222" s="2214"/>
      <c r="ACB222" s="2214"/>
      <c r="ACC222" s="2214"/>
      <c r="ACD222" s="2214"/>
      <c r="ACE222" s="2214"/>
      <c r="ACF222" s="2214"/>
      <c r="ACG222" s="2214"/>
      <c r="ACH222" s="2214"/>
      <c r="ACI222" s="2214"/>
      <c r="ACJ222" s="2214"/>
      <c r="ACK222" s="2214"/>
      <c r="ACL222" s="2214"/>
      <c r="ACM222" s="2214"/>
      <c r="ACN222" s="2214"/>
      <c r="ACO222" s="2214"/>
      <c r="ACP222" s="2214"/>
      <c r="ACQ222" s="2214"/>
      <c r="ACR222" s="2214"/>
      <c r="ACS222" s="2214"/>
      <c r="ACT222" s="2214"/>
      <c r="ACU222" s="2214"/>
      <c r="ACV222" s="2214"/>
      <c r="ACW222" s="2214"/>
      <c r="ACX222" s="2214"/>
      <c r="ACY222" s="2214"/>
      <c r="ACZ222" s="2214"/>
      <c r="ADA222" s="2214"/>
      <c r="ADB222" s="2214"/>
      <c r="ADC222" s="2214"/>
      <c r="ADD222" s="2214"/>
      <c r="ADE222" s="2214"/>
      <c r="ADF222" s="2214"/>
      <c r="ADG222" s="2214"/>
      <c r="ADH222" s="2214"/>
      <c r="ADI222" s="2214"/>
      <c r="ADJ222" s="2214"/>
      <c r="ADK222" s="2214"/>
      <c r="ADL222" s="2214"/>
      <c r="ADM222" s="2214"/>
      <c r="ADN222" s="2214"/>
      <c r="ADO222" s="2214"/>
      <c r="ADP222" s="2214"/>
      <c r="ADQ222" s="2214"/>
      <c r="ADR222" s="2214"/>
      <c r="ADS222" s="2214"/>
      <c r="ADT222" s="2214"/>
      <c r="ADU222" s="2214"/>
      <c r="ADV222" s="2214"/>
      <c r="ADW222" s="2214"/>
      <c r="ADX222" s="2214"/>
      <c r="ADY222" s="2214"/>
      <c r="ADZ222" s="2214"/>
      <c r="AEA222" s="2214"/>
      <c r="AEB222" s="2214"/>
      <c r="AEC222" s="2214"/>
      <c r="AED222" s="2214"/>
      <c r="AEE222" s="2214"/>
      <c r="AEF222" s="2214"/>
      <c r="AEG222" s="2214"/>
      <c r="AEH222" s="2214"/>
      <c r="AEI222" s="2214"/>
      <c r="AEJ222" s="2214"/>
      <c r="AEK222" s="2214"/>
      <c r="AEL222" s="2214"/>
      <c r="AEM222" s="2214"/>
      <c r="AEN222" s="2214"/>
      <c r="AEO222" s="2214"/>
      <c r="AEP222" s="2214"/>
      <c r="AEQ222" s="2214"/>
      <c r="AER222" s="2214"/>
      <c r="AES222" s="2214"/>
      <c r="AET222" s="2214"/>
      <c r="AEU222" s="2214"/>
      <c r="AEV222" s="2214"/>
      <c r="AEW222" s="2214"/>
      <c r="AEX222" s="2214"/>
      <c r="AEY222" s="2214"/>
      <c r="AEZ222" s="2214"/>
      <c r="AFA222" s="2214"/>
      <c r="AFB222" s="2214"/>
      <c r="AFC222" s="2214"/>
      <c r="AFD222" s="2214"/>
      <c r="AFE222" s="2214"/>
      <c r="AFF222" s="2214"/>
      <c r="AFG222" s="2214"/>
      <c r="AFH222" s="2214"/>
      <c r="AFI222" s="2214"/>
      <c r="AFJ222" s="2214"/>
      <c r="AFK222" s="2214"/>
      <c r="AFL222" s="2214"/>
      <c r="AFM222" s="2214"/>
      <c r="AFN222" s="2214"/>
      <c r="AFO222" s="2214"/>
      <c r="AFP222" s="2214"/>
      <c r="AFQ222" s="2214"/>
      <c r="AFR222" s="2214"/>
      <c r="AFS222" s="2214"/>
      <c r="AFT222" s="2214"/>
      <c r="AFU222" s="2214"/>
      <c r="AFV222" s="2214"/>
      <c r="AFW222" s="2214"/>
      <c r="AFX222" s="2214"/>
      <c r="AFY222" s="2214"/>
      <c r="AFZ222" s="2214"/>
      <c r="AGA222" s="2214"/>
      <c r="AGB222" s="2214"/>
      <c r="AGC222" s="2214"/>
      <c r="AGD222" s="2214"/>
      <c r="AGE222" s="2214"/>
      <c r="AGF222" s="2214"/>
      <c r="AGG222" s="2214"/>
      <c r="AGH222" s="2214"/>
      <c r="AGI222" s="2214"/>
      <c r="AGJ222" s="2214"/>
      <c r="AGK222" s="2214"/>
      <c r="AGL222" s="2214"/>
      <c r="AGM222" s="2214"/>
      <c r="AGN222" s="2214"/>
      <c r="AGO222" s="2214"/>
      <c r="AGP222" s="2214"/>
      <c r="AGQ222" s="2214"/>
      <c r="AGR222" s="2214"/>
      <c r="AGS222" s="2214"/>
      <c r="AGT222" s="2214"/>
      <c r="AGU222" s="2214"/>
      <c r="AGV222" s="2214"/>
      <c r="AGW222" s="2214"/>
      <c r="AGX222" s="2214"/>
      <c r="AGY222" s="2214"/>
      <c r="AGZ222" s="2214"/>
      <c r="AHA222" s="2214"/>
      <c r="AHB222" s="2214"/>
      <c r="AHC222" s="2214"/>
      <c r="AHD222" s="2214"/>
      <c r="AHE222" s="2214"/>
      <c r="AHF222" s="2214"/>
      <c r="AHG222" s="2214"/>
      <c r="AHH222" s="2214"/>
      <c r="AHI222" s="2214"/>
      <c r="AHJ222" s="2214"/>
      <c r="AHK222" s="2214"/>
      <c r="AHL222" s="2214"/>
      <c r="AHM222" s="2214"/>
      <c r="AHN222" s="2214"/>
      <c r="AHO222" s="2214"/>
      <c r="AHP222" s="2214"/>
      <c r="AHQ222" s="2214"/>
      <c r="AHR222" s="2214"/>
      <c r="AHS222" s="2214"/>
      <c r="AHT222" s="2214"/>
      <c r="AHU222" s="2214"/>
      <c r="AHV222" s="2214"/>
      <c r="AHW222" s="2214"/>
      <c r="AHX222" s="2214"/>
      <c r="AHY222" s="2214"/>
      <c r="AHZ222" s="2214"/>
      <c r="AIA222" s="2214"/>
      <c r="AIB222" s="2214"/>
      <c r="AIC222" s="2214"/>
      <c r="AID222" s="2214"/>
      <c r="AIE222" s="2214"/>
      <c r="AIF222" s="2214"/>
      <c r="AIG222" s="2214"/>
      <c r="AIH222" s="2214"/>
      <c r="AII222" s="2214"/>
      <c r="AIJ222" s="2214"/>
      <c r="AIK222" s="2214"/>
      <c r="AIL222" s="2214"/>
      <c r="AIM222" s="2214"/>
      <c r="AIN222" s="2214"/>
      <c r="AIO222" s="2214"/>
      <c r="AIP222" s="2214"/>
      <c r="AIQ222" s="2214"/>
      <c r="AIR222" s="2214"/>
      <c r="AIS222" s="2214"/>
      <c r="AIT222" s="2214"/>
      <c r="AIU222" s="2214"/>
      <c r="AIV222" s="2214"/>
      <c r="AIW222" s="2214"/>
      <c r="AIX222" s="2214"/>
      <c r="AIY222" s="2214"/>
      <c r="AIZ222" s="2214"/>
      <c r="AJA222" s="2214"/>
      <c r="AJB222" s="2214"/>
      <c r="AJC222" s="2214"/>
      <c r="AJD222" s="2214"/>
      <c r="AJE222" s="2214"/>
      <c r="AJF222" s="2214"/>
      <c r="AJG222" s="2214"/>
      <c r="AJH222" s="2214"/>
      <c r="AJI222" s="2214"/>
      <c r="AJJ222" s="2214"/>
      <c r="AJK222" s="2214"/>
      <c r="AJL222" s="2214"/>
      <c r="AJM222" s="2214"/>
      <c r="AJN222" s="2214"/>
      <c r="AJO222" s="2214"/>
      <c r="AJP222" s="2214"/>
      <c r="AJQ222" s="2214"/>
      <c r="AJR222" s="2214"/>
      <c r="AJS222" s="2214"/>
      <c r="AJT222" s="2214"/>
      <c r="AJU222" s="2214"/>
      <c r="AJV222" s="2214"/>
      <c r="AJW222" s="2214"/>
      <c r="AJX222" s="2214"/>
      <c r="AJY222" s="2214"/>
      <c r="AJZ222" s="2214"/>
      <c r="AKA222" s="2214"/>
      <c r="AKB222" s="2214"/>
      <c r="AKC222" s="2214"/>
      <c r="AKD222" s="2214"/>
      <c r="AKE222" s="2214"/>
      <c r="AKF222" s="2214"/>
      <c r="AKG222" s="2214"/>
      <c r="AKH222" s="2214"/>
      <c r="AKI222" s="2214"/>
      <c r="AKJ222" s="2214"/>
      <c r="AKK222" s="2214"/>
      <c r="AKL222" s="2214"/>
      <c r="AKM222" s="2214"/>
      <c r="AKN222" s="2214"/>
      <c r="AKO222" s="2214"/>
      <c r="AKP222" s="2214"/>
      <c r="AKQ222" s="2214"/>
      <c r="AKR222" s="2214"/>
      <c r="AKS222" s="2214"/>
      <c r="AKT222" s="2214"/>
      <c r="AKU222" s="2214"/>
      <c r="AKV222" s="2214"/>
      <c r="AKW222" s="2214"/>
      <c r="AKX222" s="2214"/>
      <c r="AKY222" s="2214"/>
      <c r="AKZ222" s="2214"/>
      <c r="ALA222" s="2214"/>
      <c r="ALB222" s="2214"/>
      <c r="ALC222" s="2214"/>
      <c r="ALD222" s="2214"/>
      <c r="ALE222" s="2214"/>
      <c r="ALF222" s="2214"/>
      <c r="ALG222" s="2214"/>
      <c r="ALH222" s="2214"/>
      <c r="ALI222" s="2214"/>
      <c r="ALJ222" s="2214"/>
      <c r="ALK222" s="2214"/>
      <c r="ALL222" s="2214"/>
      <c r="ALM222" s="2214"/>
      <c r="ALN222" s="2214"/>
      <c r="ALO222" s="2214"/>
      <c r="ALP222" s="2214"/>
      <c r="ALQ222" s="2214"/>
      <c r="ALR222" s="2214"/>
      <c r="ALS222" s="2214"/>
      <c r="ALT222" s="2214"/>
      <c r="ALU222" s="2214"/>
      <c r="ALV222" s="2214"/>
      <c r="ALW222" s="2214"/>
      <c r="ALX222" s="2214"/>
      <c r="ALY222" s="2214"/>
      <c r="ALZ222" s="2214"/>
      <c r="AMA222" s="2214"/>
      <c r="AMB222" s="2214"/>
      <c r="AMC222" s="2214"/>
      <c r="AMD222" s="2214"/>
      <c r="AME222" s="2214"/>
      <c r="AMF222" s="2214"/>
      <c r="AMG222" s="2214"/>
      <c r="AMH222" s="2214"/>
      <c r="AMI222" s="2214"/>
      <c r="AMJ222" s="2214"/>
      <c r="AMK222" s="2214"/>
      <c r="AML222" s="2214"/>
      <c r="AMM222" s="2214"/>
      <c r="AMN222" s="2214"/>
      <c r="AMO222" s="2214"/>
      <c r="AMP222" s="2214"/>
      <c r="AMQ222" s="2214"/>
      <c r="AMR222" s="2214"/>
      <c r="AMS222" s="2214"/>
      <c r="AMT222" s="2214"/>
      <c r="AMU222" s="2214"/>
      <c r="AMV222" s="2214"/>
      <c r="AMW222" s="2214"/>
      <c r="AMX222" s="2214"/>
      <c r="AMY222" s="2214"/>
      <c r="AMZ222" s="2214"/>
      <c r="ANA222" s="2214"/>
      <c r="ANB222" s="2214"/>
      <c r="ANC222" s="2214"/>
      <c r="AND222" s="2214"/>
      <c r="ANE222" s="2214"/>
      <c r="ANF222" s="2214"/>
      <c r="ANG222" s="2214"/>
      <c r="ANH222" s="2214"/>
      <c r="ANI222" s="2214"/>
      <c r="ANJ222" s="2214"/>
      <c r="ANK222" s="2214"/>
      <c r="ANL222" s="2214"/>
      <c r="ANM222" s="2214"/>
      <c r="ANN222" s="2214"/>
      <c r="ANO222" s="2214"/>
      <c r="ANP222" s="2214"/>
      <c r="ANQ222" s="2214"/>
      <c r="ANR222" s="2214"/>
      <c r="ANS222" s="2214"/>
      <c r="ANT222" s="2214"/>
      <c r="ANU222" s="2214"/>
      <c r="ANV222" s="2214"/>
      <c r="ANW222" s="2214"/>
      <c r="ANX222" s="2214"/>
      <c r="ANY222" s="2214"/>
      <c r="ANZ222" s="2214"/>
      <c r="AOA222" s="2214"/>
      <c r="AOB222" s="2214"/>
      <c r="AOC222" s="2214"/>
      <c r="AOD222" s="2214"/>
      <c r="AOE222" s="2214"/>
      <c r="AOF222" s="2214"/>
      <c r="AOG222" s="2214"/>
      <c r="AOH222" s="2214"/>
      <c r="AOI222" s="2214"/>
      <c r="AOJ222" s="2214"/>
      <c r="AOK222" s="2214"/>
      <c r="AOL222" s="2214"/>
      <c r="AOM222" s="2214"/>
      <c r="AON222" s="2214"/>
      <c r="AOO222" s="2214"/>
      <c r="AOP222" s="2214"/>
      <c r="AOQ222" s="2214"/>
      <c r="AOR222" s="2214"/>
      <c r="AOS222" s="2214"/>
      <c r="AOT222" s="2214"/>
      <c r="AOU222" s="2214"/>
      <c r="AOV222" s="2214"/>
      <c r="AOW222" s="2214"/>
      <c r="AOX222" s="2214"/>
      <c r="AOY222" s="2214"/>
      <c r="AOZ222" s="2214"/>
      <c r="APA222" s="2214"/>
      <c r="APB222" s="2214"/>
      <c r="APC222" s="2214"/>
      <c r="APD222" s="2214"/>
      <c r="APE222" s="2214"/>
      <c r="APF222" s="2214"/>
      <c r="APG222" s="2214"/>
      <c r="APH222" s="2214"/>
      <c r="API222" s="2214"/>
      <c r="APJ222" s="2214"/>
      <c r="APK222" s="2214"/>
      <c r="APL222" s="2214"/>
      <c r="APM222" s="2214"/>
      <c r="APN222" s="2214"/>
      <c r="APO222" s="2214"/>
      <c r="APP222" s="2214"/>
      <c r="APQ222" s="2214"/>
      <c r="APR222" s="2214"/>
      <c r="APS222" s="2214"/>
      <c r="APT222" s="2214"/>
      <c r="APU222" s="2214"/>
      <c r="APV222" s="2214"/>
      <c r="APW222" s="2214"/>
      <c r="APX222" s="2214"/>
      <c r="APY222" s="2214"/>
      <c r="APZ222" s="2214"/>
      <c r="AQA222" s="2214"/>
      <c r="AQB222" s="2214"/>
      <c r="AQC222" s="2214"/>
      <c r="AQD222" s="2214"/>
      <c r="AQE222" s="2214"/>
      <c r="AQF222" s="2214"/>
      <c r="AQG222" s="2214"/>
      <c r="AQH222" s="2214"/>
      <c r="AQI222" s="2214"/>
      <c r="AQJ222" s="2214"/>
      <c r="AQK222" s="2214"/>
      <c r="AQL222" s="2214"/>
      <c r="AQM222" s="2214"/>
      <c r="AQN222" s="2214"/>
      <c r="AQO222" s="2214"/>
      <c r="AQP222" s="2214"/>
      <c r="AQQ222" s="2214"/>
      <c r="AQR222" s="2214"/>
      <c r="AQS222" s="2214"/>
      <c r="AQT222" s="2214"/>
      <c r="AQU222" s="2214"/>
      <c r="AQV222" s="2214"/>
      <c r="AQW222" s="2214"/>
      <c r="AQX222" s="2214"/>
      <c r="AQY222" s="2214"/>
      <c r="AQZ222" s="2214"/>
      <c r="ARA222" s="2214"/>
      <c r="ARB222" s="2214"/>
      <c r="ARC222" s="2214"/>
      <c r="ARD222" s="2214"/>
      <c r="ARE222" s="2214"/>
      <c r="ARF222" s="2214"/>
      <c r="ARG222" s="2214"/>
      <c r="ARH222" s="2214"/>
      <c r="ARI222" s="2214"/>
      <c r="ARJ222" s="2214"/>
      <c r="ARK222" s="2214"/>
      <c r="ARL222" s="2214"/>
      <c r="ARM222" s="2214"/>
      <c r="ARN222" s="2214"/>
      <c r="ARO222" s="2214"/>
      <c r="ARP222" s="2214"/>
      <c r="ARQ222" s="2214"/>
      <c r="ARR222" s="2214"/>
      <c r="ARS222" s="2214"/>
      <c r="ART222" s="2214"/>
      <c r="ARU222" s="2214"/>
      <c r="ARV222" s="2214"/>
      <c r="ARW222" s="2214"/>
      <c r="ARX222" s="2214"/>
      <c r="ARY222" s="2214"/>
      <c r="ARZ222" s="2214"/>
      <c r="ASA222" s="2214"/>
      <c r="ASB222" s="2214"/>
      <c r="ASC222" s="2214"/>
      <c r="ASD222" s="2214"/>
      <c r="ASE222" s="2214"/>
      <c r="ASF222" s="2214"/>
      <c r="ASG222" s="2214"/>
      <c r="ASH222" s="2214"/>
      <c r="ASI222" s="2214"/>
      <c r="ASJ222" s="2214"/>
      <c r="ASK222" s="2214"/>
      <c r="ASL222" s="2214"/>
      <c r="ASM222" s="2214"/>
      <c r="ASN222" s="2214"/>
      <c r="ASO222" s="2214"/>
      <c r="ASP222" s="2214"/>
      <c r="ASQ222" s="2214"/>
      <c r="ASR222" s="2214"/>
      <c r="ASS222" s="2214"/>
      <c r="AST222" s="2214"/>
      <c r="ASU222" s="2214"/>
      <c r="ASV222" s="2214"/>
      <c r="ASW222" s="2214"/>
      <c r="ASX222" s="2214"/>
      <c r="ASY222" s="2214"/>
      <c r="ASZ222" s="2214"/>
      <c r="ATA222" s="2214"/>
      <c r="ATB222" s="2214"/>
      <c r="ATC222" s="2214"/>
      <c r="ATD222" s="2214"/>
      <c r="ATE222" s="2214"/>
      <c r="ATF222" s="2214"/>
      <c r="ATG222" s="2214"/>
      <c r="ATH222" s="2214"/>
      <c r="ATI222" s="2214"/>
      <c r="ATJ222" s="2214"/>
      <c r="ATK222" s="2214"/>
      <c r="ATL222" s="2214"/>
      <c r="ATM222" s="2214"/>
      <c r="ATN222" s="2214"/>
      <c r="ATO222" s="2214"/>
      <c r="ATP222" s="2214"/>
      <c r="ATQ222" s="2214"/>
      <c r="ATR222" s="2214"/>
      <c r="ATS222" s="2214"/>
      <c r="ATT222" s="2214"/>
      <c r="ATU222" s="2214"/>
      <c r="ATV222" s="2214"/>
      <c r="ATW222" s="2214"/>
      <c r="ATX222" s="2214"/>
      <c r="ATY222" s="2214"/>
      <c r="ATZ222" s="2214"/>
      <c r="AUA222" s="2214"/>
      <c r="AUB222" s="2214"/>
      <c r="AUC222" s="2214"/>
      <c r="AUD222" s="2214"/>
      <c r="AUE222" s="2214"/>
      <c r="AUF222" s="2214"/>
      <c r="AUG222" s="2214"/>
      <c r="AUH222" s="2214"/>
      <c r="AUI222" s="2214"/>
      <c r="AUJ222" s="2214"/>
      <c r="AUK222" s="2214"/>
      <c r="AUL222" s="2214"/>
      <c r="AUM222" s="2214"/>
      <c r="AUN222" s="2214"/>
      <c r="AUO222" s="2214"/>
      <c r="AUP222" s="2214"/>
      <c r="AUQ222" s="2214"/>
      <c r="AUR222" s="2214"/>
      <c r="AUS222" s="2214"/>
      <c r="AUT222" s="2214"/>
      <c r="AUU222" s="2214"/>
      <c r="AUV222" s="2214"/>
      <c r="AUW222" s="2214"/>
      <c r="AUX222" s="2214"/>
      <c r="AUY222" s="2214"/>
      <c r="AUZ222" s="2214"/>
      <c r="AVA222" s="2214"/>
      <c r="AVB222" s="2214"/>
      <c r="AVC222" s="2214"/>
      <c r="AVD222" s="2214"/>
      <c r="AVE222" s="2214"/>
      <c r="AVF222" s="2214"/>
      <c r="AVG222" s="2214"/>
      <c r="AVH222" s="2214"/>
      <c r="AVI222" s="2214"/>
      <c r="AVJ222" s="2214"/>
      <c r="AVK222" s="2214"/>
      <c r="AVL222" s="2214"/>
      <c r="AVM222" s="2214"/>
      <c r="AVN222" s="2214"/>
      <c r="AVO222" s="2214"/>
      <c r="AVP222" s="2214"/>
      <c r="AVQ222" s="2214"/>
      <c r="AVR222" s="2214"/>
      <c r="AVS222" s="2214"/>
      <c r="AVT222" s="2214"/>
      <c r="AVU222" s="2214"/>
      <c r="AVV222" s="2214"/>
      <c r="AVW222" s="2214"/>
      <c r="AVX222" s="2214"/>
      <c r="AVY222" s="2214"/>
      <c r="AVZ222" s="2214"/>
      <c r="AWA222" s="2214"/>
      <c r="AWB222" s="2214"/>
      <c r="AWC222" s="2214"/>
      <c r="AWD222" s="2214"/>
      <c r="AWE222" s="2214"/>
      <c r="AWF222" s="2214"/>
      <c r="AWG222" s="2214"/>
      <c r="AWH222" s="2214"/>
      <c r="AWI222" s="2214"/>
      <c r="AWJ222" s="2214"/>
      <c r="AWK222" s="2214"/>
      <c r="AWL222" s="2214"/>
      <c r="AWM222" s="2214"/>
      <c r="AWN222" s="2214"/>
      <c r="AWO222" s="2214"/>
      <c r="AWP222" s="2214"/>
      <c r="AWQ222" s="2214"/>
      <c r="AWR222" s="2214"/>
      <c r="AWS222" s="2214"/>
      <c r="AWT222" s="2214"/>
      <c r="AWU222" s="2214"/>
      <c r="AWV222" s="2214"/>
      <c r="AWW222" s="2214"/>
      <c r="AWX222" s="2214"/>
      <c r="AWY222" s="2214"/>
      <c r="AWZ222" s="2214"/>
      <c r="AXA222" s="2214"/>
      <c r="AXB222" s="2214"/>
      <c r="AXC222" s="2214"/>
      <c r="AXD222" s="2214"/>
      <c r="AXE222" s="2214"/>
      <c r="AXF222" s="2214"/>
      <c r="AXG222" s="2214"/>
      <c r="AXH222" s="2214"/>
      <c r="AXI222" s="2214"/>
      <c r="AXJ222" s="2214"/>
    </row>
    <row r="223" spans="1:1310" s="2215" customFormat="1" ht="23.25" customHeight="1">
      <c r="A223" s="756"/>
      <c r="B223" s="9016" t="s">
        <v>1563</v>
      </c>
      <c r="C223" s="9016"/>
      <c r="D223" s="9016"/>
      <c r="E223" s="9016"/>
      <c r="F223" s="749"/>
      <c r="G223" s="9016" t="s">
        <v>1564</v>
      </c>
      <c r="H223" s="9016"/>
      <c r="I223" s="9016"/>
      <c r="J223" s="749"/>
      <c r="K223" s="9016" t="s">
        <v>1565</v>
      </c>
      <c r="L223" s="9016"/>
      <c r="M223" s="9016"/>
      <c r="N223" s="749"/>
      <c r="O223" s="9016" t="s">
        <v>1566</v>
      </c>
      <c r="P223" s="9016"/>
      <c r="Q223" s="749"/>
      <c r="R223" s="311"/>
      <c r="S223" s="311"/>
      <c r="T223" s="311"/>
      <c r="U223" s="311"/>
      <c r="V223" s="311"/>
      <c r="W223" s="311"/>
      <c r="X223" s="311"/>
      <c r="Y223" s="311"/>
      <c r="Z223" s="311"/>
      <c r="AA223" s="311"/>
      <c r="AB223" s="311"/>
      <c r="AC223" s="311"/>
      <c r="AD223" s="2214"/>
      <c r="AE223" s="2214"/>
      <c r="AF223" s="2214"/>
      <c r="AG223" s="2214"/>
      <c r="AH223" s="2214"/>
      <c r="AI223" s="2214"/>
      <c r="AJ223" s="2214"/>
      <c r="AK223" s="2214"/>
      <c r="AL223" s="2214"/>
      <c r="AM223" s="2214"/>
      <c r="AN223" s="2214"/>
      <c r="AO223" s="2214"/>
      <c r="AP223" s="2214"/>
      <c r="AQ223" s="2214"/>
      <c r="AR223" s="2214"/>
      <c r="AS223" s="2214"/>
      <c r="AT223" s="2214"/>
      <c r="AU223" s="2214"/>
      <c r="AV223" s="2214"/>
      <c r="AW223" s="2214"/>
      <c r="AX223" s="2214"/>
      <c r="AY223" s="2214"/>
      <c r="AZ223" s="2214"/>
      <c r="BA223" s="2214"/>
      <c r="BB223" s="2214"/>
      <c r="BC223" s="2214"/>
      <c r="BD223" s="2214"/>
      <c r="BE223" s="2214"/>
      <c r="BF223" s="2214"/>
      <c r="BG223" s="2214"/>
      <c r="BH223" s="2214"/>
      <c r="BI223" s="2214"/>
      <c r="BJ223" s="2214"/>
      <c r="BK223" s="2214"/>
      <c r="BL223" s="2214"/>
      <c r="BM223" s="2214"/>
      <c r="BN223" s="2214"/>
      <c r="BO223" s="2214"/>
      <c r="BP223" s="2214"/>
      <c r="BQ223" s="2214"/>
      <c r="BR223" s="2214"/>
      <c r="BS223" s="2214"/>
      <c r="BT223" s="2214"/>
      <c r="BU223" s="2214"/>
      <c r="BV223" s="2214"/>
      <c r="BW223" s="2214"/>
      <c r="BX223" s="2214"/>
      <c r="BY223" s="2214"/>
      <c r="BZ223" s="2214"/>
      <c r="CA223" s="2214"/>
      <c r="CB223" s="2214"/>
      <c r="CC223" s="2214"/>
      <c r="CD223" s="2214"/>
      <c r="CE223" s="2214"/>
      <c r="CF223" s="2214"/>
      <c r="CG223" s="2214"/>
      <c r="CH223" s="2214"/>
      <c r="CI223" s="2214"/>
      <c r="CJ223" s="2214"/>
      <c r="CK223" s="2214"/>
      <c r="CL223" s="2214"/>
      <c r="CM223" s="2214"/>
      <c r="CN223" s="2214"/>
      <c r="CO223" s="2214"/>
      <c r="CP223" s="2214"/>
      <c r="CQ223" s="2214"/>
      <c r="CR223" s="2214"/>
      <c r="CS223" s="2214"/>
      <c r="CT223" s="2214"/>
      <c r="CU223" s="2214"/>
      <c r="CV223" s="2214"/>
      <c r="CW223" s="2214"/>
      <c r="CX223" s="2214"/>
      <c r="CY223" s="2214"/>
      <c r="CZ223" s="2214"/>
      <c r="DA223" s="2214"/>
      <c r="DB223" s="2214"/>
      <c r="DC223" s="2214"/>
      <c r="DD223" s="2214"/>
      <c r="DE223" s="2214"/>
      <c r="DF223" s="2214"/>
      <c r="DG223" s="2214"/>
      <c r="DH223" s="2214"/>
      <c r="DI223" s="2214"/>
      <c r="DJ223" s="2214"/>
      <c r="DK223" s="2214"/>
      <c r="DL223" s="2214"/>
      <c r="DM223" s="2214"/>
      <c r="DN223" s="2214"/>
      <c r="DO223" s="2214"/>
      <c r="DP223" s="2214"/>
      <c r="DQ223" s="2214"/>
      <c r="DR223" s="2214"/>
      <c r="DS223" s="2214"/>
      <c r="DT223" s="2214"/>
      <c r="DU223" s="2214"/>
      <c r="DV223" s="2214"/>
      <c r="DW223" s="2214"/>
      <c r="DX223" s="2214"/>
      <c r="DY223" s="2214"/>
      <c r="DZ223" s="2214"/>
      <c r="EA223" s="2214"/>
      <c r="EB223" s="2214"/>
      <c r="EC223" s="2214"/>
      <c r="ED223" s="2214"/>
      <c r="EE223" s="2214"/>
      <c r="EF223" s="2214"/>
      <c r="EG223" s="2214"/>
      <c r="EH223" s="2214"/>
      <c r="EI223" s="2214"/>
      <c r="EJ223" s="2214"/>
      <c r="EK223" s="2214"/>
      <c r="EL223" s="2214"/>
      <c r="EM223" s="2214"/>
      <c r="EN223" s="2214"/>
      <c r="EO223" s="2214"/>
      <c r="EP223" s="2214"/>
      <c r="EQ223" s="2214"/>
      <c r="ER223" s="2214"/>
      <c r="ES223" s="2214"/>
      <c r="ET223" s="2214"/>
      <c r="EU223" s="2214"/>
      <c r="EV223" s="2214"/>
      <c r="EW223" s="2214"/>
      <c r="EX223" s="2214"/>
      <c r="EY223" s="2214"/>
      <c r="EZ223" s="2214"/>
      <c r="FA223" s="2214"/>
      <c r="FB223" s="2214"/>
      <c r="FC223" s="2214"/>
      <c r="FD223" s="2214"/>
      <c r="FE223" s="2214"/>
      <c r="FF223" s="2214"/>
      <c r="FG223" s="2214"/>
      <c r="FH223" s="2214"/>
      <c r="FI223" s="2214"/>
      <c r="FJ223" s="2214"/>
      <c r="FK223" s="2214"/>
      <c r="FL223" s="2214"/>
      <c r="FM223" s="2214"/>
      <c r="FN223" s="2214"/>
      <c r="FO223" s="2214"/>
      <c r="FP223" s="2214"/>
      <c r="FQ223" s="2214"/>
      <c r="FR223" s="2214"/>
      <c r="FS223" s="2214"/>
      <c r="FT223" s="2214"/>
      <c r="FU223" s="2214"/>
      <c r="FV223" s="2214"/>
      <c r="FW223" s="2214"/>
      <c r="FX223" s="2214"/>
      <c r="FY223" s="2214"/>
      <c r="FZ223" s="2214"/>
      <c r="GA223" s="2214"/>
      <c r="GB223" s="2214"/>
      <c r="GC223" s="2214"/>
      <c r="GD223" s="2214"/>
      <c r="GE223" s="2214"/>
      <c r="GF223" s="2214"/>
      <c r="GG223" s="2214"/>
      <c r="GH223" s="2214"/>
      <c r="GI223" s="2214"/>
      <c r="GJ223" s="2214"/>
      <c r="GK223" s="2214"/>
      <c r="GL223" s="2214"/>
      <c r="GM223" s="2214"/>
      <c r="GN223" s="2214"/>
      <c r="GO223" s="2214"/>
      <c r="GP223" s="2214"/>
      <c r="GQ223" s="2214"/>
      <c r="GR223" s="2214"/>
      <c r="GS223" s="2214"/>
      <c r="GT223" s="2214"/>
      <c r="GU223" s="2214"/>
      <c r="GV223" s="2214"/>
      <c r="GW223" s="2214"/>
      <c r="GX223" s="2214"/>
      <c r="GY223" s="2214"/>
      <c r="GZ223" s="2214"/>
      <c r="HA223" s="2214"/>
      <c r="HB223" s="2214"/>
      <c r="HC223" s="2214"/>
      <c r="HD223" s="2214"/>
      <c r="HE223" s="2214"/>
      <c r="HF223" s="2214"/>
      <c r="HG223" s="2214"/>
      <c r="HH223" s="2214"/>
      <c r="HI223" s="2214"/>
      <c r="HJ223" s="2214"/>
      <c r="HK223" s="2214"/>
      <c r="HL223" s="2214"/>
      <c r="HM223" s="2214"/>
      <c r="HN223" s="2214"/>
      <c r="HO223" s="2214"/>
      <c r="HP223" s="2214"/>
      <c r="HQ223" s="2214"/>
      <c r="HR223" s="2214"/>
      <c r="HS223" s="2214"/>
      <c r="HT223" s="2214"/>
      <c r="HU223" s="2214"/>
      <c r="HV223" s="2214"/>
      <c r="HW223" s="2214"/>
      <c r="HX223" s="2214"/>
      <c r="HY223" s="2214"/>
      <c r="HZ223" s="2214"/>
      <c r="IA223" s="2214"/>
      <c r="IB223" s="2214"/>
      <c r="IC223" s="2214"/>
      <c r="ID223" s="2214"/>
      <c r="IE223" s="2214"/>
      <c r="IF223" s="2214"/>
      <c r="IG223" s="2214"/>
      <c r="IH223" s="2214"/>
      <c r="II223" s="2214"/>
      <c r="IJ223" s="2214"/>
      <c r="IK223" s="2214"/>
      <c r="IL223" s="2214"/>
      <c r="IM223" s="2214"/>
      <c r="IN223" s="2214"/>
      <c r="IO223" s="2214"/>
      <c r="IP223" s="2214"/>
      <c r="IQ223" s="2214"/>
      <c r="IR223" s="2214"/>
      <c r="IS223" s="2214"/>
      <c r="IT223" s="2214"/>
      <c r="IU223" s="2214"/>
      <c r="IV223" s="2214"/>
      <c r="IW223" s="2214"/>
      <c r="IX223" s="2214"/>
      <c r="IY223" s="2214"/>
      <c r="IZ223" s="2214"/>
      <c r="JA223" s="2214"/>
      <c r="JB223" s="2214"/>
      <c r="JC223" s="2214"/>
      <c r="JD223" s="2214"/>
      <c r="JE223" s="2214"/>
      <c r="JF223" s="2214"/>
      <c r="JG223" s="2214"/>
      <c r="JH223" s="2214"/>
      <c r="JI223" s="2214"/>
      <c r="JJ223" s="2214"/>
      <c r="JK223" s="2214"/>
      <c r="JL223" s="2214"/>
      <c r="JM223" s="2214"/>
      <c r="JN223" s="2214"/>
      <c r="JO223" s="2214"/>
      <c r="JP223" s="2214"/>
      <c r="JQ223" s="2214"/>
      <c r="JR223" s="2214"/>
      <c r="JS223" s="2214"/>
      <c r="JT223" s="2214"/>
      <c r="JU223" s="2214"/>
      <c r="JV223" s="2214"/>
      <c r="JW223" s="2214"/>
      <c r="JX223" s="2214"/>
      <c r="JY223" s="2214"/>
      <c r="JZ223" s="2214"/>
      <c r="KA223" s="2214"/>
      <c r="KB223" s="2214"/>
      <c r="KC223" s="2214"/>
      <c r="KD223" s="2214"/>
      <c r="KE223" s="2214"/>
      <c r="KF223" s="2214"/>
      <c r="KG223" s="2214"/>
      <c r="KH223" s="2214"/>
      <c r="KI223" s="2214"/>
      <c r="KJ223" s="2214"/>
      <c r="KK223" s="2214"/>
      <c r="KL223" s="2214"/>
      <c r="KM223" s="2214"/>
      <c r="KN223" s="2214"/>
      <c r="KO223" s="2214"/>
      <c r="KP223" s="2214"/>
      <c r="KQ223" s="2214"/>
      <c r="KR223" s="2214"/>
      <c r="KS223" s="2214"/>
      <c r="KT223" s="2214"/>
      <c r="KU223" s="2214"/>
      <c r="KV223" s="2214"/>
      <c r="KW223" s="2214"/>
      <c r="KX223" s="2214"/>
      <c r="KY223" s="2214"/>
      <c r="KZ223" s="2214"/>
      <c r="LA223" s="2214"/>
      <c r="LB223" s="2214"/>
      <c r="LC223" s="2214"/>
      <c r="LD223" s="2214"/>
      <c r="LE223" s="2214"/>
      <c r="LF223" s="2214"/>
      <c r="LG223" s="2214"/>
      <c r="LH223" s="2214"/>
      <c r="LI223" s="2214"/>
      <c r="LJ223" s="2214"/>
      <c r="LK223" s="2214"/>
      <c r="LL223" s="2214"/>
      <c r="LM223" s="2214"/>
      <c r="LN223" s="2214"/>
      <c r="LO223" s="2214"/>
      <c r="LP223" s="2214"/>
      <c r="LQ223" s="2214"/>
      <c r="LR223" s="2214"/>
      <c r="LS223" s="2214"/>
      <c r="LT223" s="2214"/>
      <c r="LU223" s="2214"/>
      <c r="LV223" s="2214"/>
      <c r="LW223" s="2214"/>
      <c r="LX223" s="2214"/>
      <c r="LY223" s="2214"/>
      <c r="LZ223" s="2214"/>
      <c r="MA223" s="2214"/>
      <c r="MB223" s="2214"/>
      <c r="MC223" s="2214"/>
      <c r="MD223" s="2214"/>
      <c r="ME223" s="2214"/>
      <c r="MF223" s="2214"/>
      <c r="MG223" s="2214"/>
      <c r="MH223" s="2214"/>
      <c r="MI223" s="2214"/>
      <c r="MJ223" s="2214"/>
      <c r="MK223" s="2214"/>
      <c r="ML223" s="2214"/>
      <c r="MM223" s="2214"/>
      <c r="MN223" s="2214"/>
      <c r="MO223" s="2214"/>
      <c r="MP223" s="2214"/>
      <c r="MQ223" s="2214"/>
      <c r="MR223" s="2214"/>
      <c r="MS223" s="2214"/>
      <c r="MT223" s="2214"/>
      <c r="MU223" s="2214"/>
      <c r="MV223" s="2214"/>
      <c r="MW223" s="2214"/>
      <c r="MX223" s="2214"/>
      <c r="MY223" s="2214"/>
      <c r="MZ223" s="2214"/>
      <c r="NA223" s="2214"/>
      <c r="NB223" s="2214"/>
      <c r="NC223" s="2214"/>
      <c r="ND223" s="2214"/>
      <c r="NE223" s="2214"/>
      <c r="NF223" s="2214"/>
      <c r="NG223" s="2214"/>
      <c r="NH223" s="2214"/>
      <c r="NI223" s="2214"/>
      <c r="NJ223" s="2214"/>
      <c r="NK223" s="2214"/>
      <c r="NL223" s="2214"/>
      <c r="NM223" s="2214"/>
      <c r="NN223" s="2214"/>
      <c r="NO223" s="2214"/>
      <c r="NP223" s="2214"/>
      <c r="NQ223" s="2214"/>
      <c r="NR223" s="2214"/>
      <c r="NS223" s="2214"/>
      <c r="NT223" s="2214"/>
      <c r="NU223" s="2214"/>
      <c r="NV223" s="2214"/>
      <c r="NW223" s="2214"/>
      <c r="NX223" s="2214"/>
      <c r="NY223" s="2214"/>
      <c r="NZ223" s="2214"/>
      <c r="OA223" s="2214"/>
      <c r="OB223" s="2214"/>
      <c r="OC223" s="2214"/>
      <c r="OD223" s="2214"/>
      <c r="OE223" s="2214"/>
      <c r="OF223" s="2214"/>
      <c r="OG223" s="2214"/>
      <c r="OH223" s="2214"/>
      <c r="OI223" s="2214"/>
      <c r="OJ223" s="2214"/>
      <c r="OK223" s="2214"/>
      <c r="OL223" s="2214"/>
      <c r="OM223" s="2214"/>
      <c r="ON223" s="2214"/>
      <c r="OO223" s="2214"/>
      <c r="OP223" s="2214"/>
      <c r="OQ223" s="2214"/>
      <c r="OR223" s="2214"/>
      <c r="OS223" s="2214"/>
      <c r="OT223" s="2214"/>
      <c r="OU223" s="2214"/>
      <c r="OV223" s="2214"/>
      <c r="OW223" s="2214"/>
      <c r="OX223" s="2214"/>
      <c r="OY223" s="2214"/>
      <c r="OZ223" s="2214"/>
      <c r="PA223" s="2214"/>
      <c r="PB223" s="2214"/>
      <c r="PC223" s="2214"/>
      <c r="PD223" s="2214"/>
      <c r="PE223" s="2214"/>
      <c r="PF223" s="2214"/>
      <c r="PG223" s="2214"/>
      <c r="PH223" s="2214"/>
      <c r="PI223" s="2214"/>
      <c r="PJ223" s="2214"/>
      <c r="PK223" s="2214"/>
      <c r="PL223" s="2214"/>
      <c r="PM223" s="2214"/>
      <c r="PN223" s="2214"/>
      <c r="PO223" s="2214"/>
      <c r="PP223" s="2214"/>
      <c r="PQ223" s="2214"/>
      <c r="PR223" s="2214"/>
      <c r="PS223" s="2214"/>
      <c r="PT223" s="2214"/>
      <c r="PU223" s="2214"/>
      <c r="PV223" s="2214"/>
      <c r="PW223" s="2214"/>
      <c r="PX223" s="2214"/>
      <c r="PY223" s="2214"/>
      <c r="PZ223" s="2214"/>
      <c r="QA223" s="2214"/>
      <c r="QB223" s="2214"/>
      <c r="QC223" s="2214"/>
      <c r="QD223" s="2214"/>
      <c r="QE223" s="2214"/>
      <c r="QF223" s="2214"/>
      <c r="QG223" s="2214"/>
      <c r="QH223" s="2214"/>
      <c r="QI223" s="2214"/>
      <c r="QJ223" s="2214"/>
      <c r="QK223" s="2214"/>
      <c r="QL223" s="2214"/>
      <c r="QM223" s="2214"/>
      <c r="QN223" s="2214"/>
      <c r="QO223" s="2214"/>
      <c r="QP223" s="2214"/>
      <c r="QQ223" s="2214"/>
      <c r="QR223" s="2214"/>
      <c r="QS223" s="2214"/>
      <c r="QT223" s="2214"/>
      <c r="QU223" s="2214"/>
      <c r="QV223" s="2214"/>
      <c r="QW223" s="2214"/>
      <c r="QX223" s="2214"/>
      <c r="QY223" s="2214"/>
      <c r="QZ223" s="2214"/>
      <c r="RA223" s="2214"/>
      <c r="RB223" s="2214"/>
      <c r="RC223" s="2214"/>
      <c r="RD223" s="2214"/>
      <c r="RE223" s="2214"/>
      <c r="RF223" s="2214"/>
      <c r="RG223" s="2214"/>
      <c r="RH223" s="2214"/>
      <c r="RI223" s="2214"/>
      <c r="RJ223" s="2214"/>
      <c r="RK223" s="2214"/>
      <c r="RL223" s="2214"/>
      <c r="RM223" s="2214"/>
      <c r="RN223" s="2214"/>
      <c r="RO223" s="2214"/>
      <c r="RP223" s="2214"/>
      <c r="RQ223" s="2214"/>
      <c r="RR223" s="2214"/>
      <c r="RS223" s="2214"/>
      <c r="RT223" s="2214"/>
      <c r="RU223" s="2214"/>
      <c r="RV223" s="2214"/>
      <c r="RW223" s="2214"/>
      <c r="RX223" s="2214"/>
      <c r="RY223" s="2214"/>
      <c r="RZ223" s="2214"/>
      <c r="SA223" s="2214"/>
      <c r="SB223" s="2214"/>
      <c r="SC223" s="2214"/>
      <c r="SD223" s="2214"/>
      <c r="SE223" s="2214"/>
      <c r="SF223" s="2214"/>
      <c r="SG223" s="2214"/>
      <c r="SH223" s="2214"/>
      <c r="SI223" s="2214"/>
      <c r="SJ223" s="2214"/>
      <c r="SK223" s="2214"/>
      <c r="SL223" s="2214"/>
      <c r="SM223" s="2214"/>
      <c r="SN223" s="2214"/>
      <c r="SO223" s="2214"/>
      <c r="SP223" s="2214"/>
      <c r="SQ223" s="2214"/>
      <c r="SR223" s="2214"/>
      <c r="SS223" s="2214"/>
      <c r="ST223" s="2214"/>
      <c r="SU223" s="2214"/>
      <c r="SV223" s="2214"/>
      <c r="SW223" s="2214"/>
      <c r="SX223" s="2214"/>
      <c r="SY223" s="2214"/>
      <c r="SZ223" s="2214"/>
      <c r="TA223" s="2214"/>
      <c r="TB223" s="2214"/>
      <c r="TC223" s="2214"/>
      <c r="TD223" s="2214"/>
      <c r="TE223" s="2214"/>
      <c r="TF223" s="2214"/>
      <c r="TG223" s="2214"/>
      <c r="TH223" s="2214"/>
      <c r="TI223" s="2214"/>
      <c r="TJ223" s="2214"/>
      <c r="TK223" s="2214"/>
      <c r="TL223" s="2214"/>
      <c r="TM223" s="2214"/>
      <c r="TN223" s="2214"/>
      <c r="TO223" s="2214"/>
      <c r="TP223" s="2214"/>
      <c r="TQ223" s="2214"/>
      <c r="TR223" s="2214"/>
      <c r="TS223" s="2214"/>
      <c r="TT223" s="2214"/>
      <c r="TU223" s="2214"/>
      <c r="TV223" s="2214"/>
      <c r="TW223" s="2214"/>
      <c r="TX223" s="2214"/>
      <c r="TY223" s="2214"/>
      <c r="TZ223" s="2214"/>
      <c r="UA223" s="2214"/>
      <c r="UB223" s="2214"/>
      <c r="UC223" s="2214"/>
      <c r="UD223" s="2214"/>
      <c r="UE223" s="2214"/>
      <c r="UF223" s="2214"/>
      <c r="UG223" s="2214"/>
      <c r="UH223" s="2214"/>
      <c r="UI223" s="2214"/>
      <c r="UJ223" s="2214"/>
      <c r="UK223" s="2214"/>
      <c r="UL223" s="2214"/>
      <c r="UM223" s="2214"/>
      <c r="UN223" s="2214"/>
      <c r="UO223" s="2214"/>
      <c r="UP223" s="2214"/>
      <c r="UQ223" s="2214"/>
      <c r="UR223" s="2214"/>
      <c r="US223" s="2214"/>
      <c r="UT223" s="2214"/>
      <c r="UU223" s="2214"/>
      <c r="UV223" s="2214"/>
      <c r="UW223" s="2214"/>
      <c r="UX223" s="2214"/>
      <c r="UY223" s="2214"/>
      <c r="UZ223" s="2214"/>
      <c r="VA223" s="2214"/>
      <c r="VB223" s="2214"/>
      <c r="VC223" s="2214"/>
      <c r="VD223" s="2214"/>
      <c r="VE223" s="2214"/>
      <c r="VF223" s="2214"/>
      <c r="VG223" s="2214"/>
      <c r="VH223" s="2214"/>
      <c r="VI223" s="2214"/>
      <c r="VJ223" s="2214"/>
      <c r="VK223" s="2214"/>
      <c r="VL223" s="2214"/>
      <c r="VM223" s="2214"/>
      <c r="VN223" s="2214"/>
      <c r="VO223" s="2214"/>
      <c r="VP223" s="2214"/>
      <c r="VQ223" s="2214"/>
      <c r="VR223" s="2214"/>
      <c r="VS223" s="2214"/>
      <c r="VT223" s="2214"/>
      <c r="VU223" s="2214"/>
      <c r="VV223" s="2214"/>
      <c r="VW223" s="2214"/>
      <c r="VX223" s="2214"/>
      <c r="VY223" s="2214"/>
      <c r="VZ223" s="2214"/>
      <c r="WA223" s="2214"/>
      <c r="WB223" s="2214"/>
      <c r="WC223" s="2214"/>
      <c r="WD223" s="2214"/>
      <c r="WE223" s="2214"/>
      <c r="WF223" s="2214"/>
      <c r="WG223" s="2214"/>
      <c r="WH223" s="2214"/>
      <c r="WI223" s="2214"/>
      <c r="WJ223" s="2214"/>
      <c r="WK223" s="2214"/>
      <c r="WL223" s="2214"/>
      <c r="WM223" s="2214"/>
      <c r="WN223" s="2214"/>
      <c r="WO223" s="2214"/>
      <c r="WP223" s="2214"/>
      <c r="WQ223" s="2214"/>
      <c r="WR223" s="2214"/>
      <c r="WS223" s="2214"/>
      <c r="WT223" s="2214"/>
      <c r="WU223" s="2214"/>
      <c r="WV223" s="2214"/>
      <c r="WW223" s="2214"/>
      <c r="WX223" s="2214"/>
      <c r="WY223" s="2214"/>
      <c r="WZ223" s="2214"/>
      <c r="XA223" s="2214"/>
      <c r="XB223" s="2214"/>
      <c r="XC223" s="2214"/>
      <c r="XD223" s="2214"/>
      <c r="XE223" s="2214"/>
      <c r="XF223" s="2214"/>
      <c r="XG223" s="2214"/>
      <c r="XH223" s="2214"/>
      <c r="XI223" s="2214"/>
      <c r="XJ223" s="2214"/>
      <c r="XK223" s="2214"/>
      <c r="XL223" s="2214"/>
      <c r="XM223" s="2214"/>
      <c r="XN223" s="2214"/>
      <c r="XO223" s="2214"/>
      <c r="XP223" s="2214"/>
      <c r="XQ223" s="2214"/>
      <c r="XR223" s="2214"/>
      <c r="XS223" s="2214"/>
      <c r="XT223" s="2214"/>
      <c r="XU223" s="2214"/>
      <c r="XV223" s="2214"/>
      <c r="XW223" s="2214"/>
      <c r="XX223" s="2214"/>
      <c r="XY223" s="2214"/>
      <c r="XZ223" s="2214"/>
      <c r="YA223" s="2214"/>
      <c r="YB223" s="2214"/>
      <c r="YC223" s="2214"/>
      <c r="YD223" s="2214"/>
      <c r="YE223" s="2214"/>
      <c r="YF223" s="2214"/>
      <c r="YG223" s="2214"/>
      <c r="YH223" s="2214"/>
      <c r="YI223" s="2214"/>
      <c r="YJ223" s="2214"/>
      <c r="YK223" s="2214"/>
      <c r="YL223" s="2214"/>
      <c r="YM223" s="2214"/>
      <c r="YN223" s="2214"/>
      <c r="YO223" s="2214"/>
      <c r="YP223" s="2214"/>
      <c r="YQ223" s="2214"/>
      <c r="YR223" s="2214"/>
      <c r="YS223" s="2214"/>
      <c r="YT223" s="2214"/>
      <c r="YU223" s="2214"/>
      <c r="YV223" s="2214"/>
      <c r="YW223" s="2214"/>
      <c r="YX223" s="2214"/>
      <c r="YY223" s="2214"/>
      <c r="YZ223" s="2214"/>
      <c r="ZA223" s="2214"/>
      <c r="ZB223" s="2214"/>
      <c r="ZC223" s="2214"/>
      <c r="ZD223" s="2214"/>
      <c r="ZE223" s="2214"/>
      <c r="ZF223" s="2214"/>
      <c r="ZG223" s="2214"/>
      <c r="ZH223" s="2214"/>
      <c r="ZI223" s="2214"/>
      <c r="ZJ223" s="2214"/>
      <c r="ZK223" s="2214"/>
      <c r="ZL223" s="2214"/>
      <c r="ZM223" s="2214"/>
      <c r="ZN223" s="2214"/>
      <c r="ZO223" s="2214"/>
      <c r="ZP223" s="2214"/>
      <c r="ZQ223" s="2214"/>
      <c r="ZR223" s="2214"/>
      <c r="ZS223" s="2214"/>
      <c r="ZT223" s="2214"/>
      <c r="ZU223" s="2214"/>
      <c r="ZV223" s="2214"/>
      <c r="ZW223" s="2214"/>
      <c r="ZX223" s="2214"/>
      <c r="ZY223" s="2214"/>
      <c r="ZZ223" s="2214"/>
      <c r="AAA223" s="2214"/>
      <c r="AAB223" s="2214"/>
      <c r="AAC223" s="2214"/>
      <c r="AAD223" s="2214"/>
      <c r="AAE223" s="2214"/>
      <c r="AAF223" s="2214"/>
      <c r="AAG223" s="2214"/>
      <c r="AAH223" s="2214"/>
      <c r="AAI223" s="2214"/>
      <c r="AAJ223" s="2214"/>
      <c r="AAK223" s="2214"/>
      <c r="AAL223" s="2214"/>
      <c r="AAM223" s="2214"/>
      <c r="AAN223" s="2214"/>
      <c r="AAO223" s="2214"/>
      <c r="AAP223" s="2214"/>
      <c r="AAQ223" s="2214"/>
      <c r="AAR223" s="2214"/>
      <c r="AAS223" s="2214"/>
      <c r="AAT223" s="2214"/>
      <c r="AAU223" s="2214"/>
      <c r="AAV223" s="2214"/>
      <c r="AAW223" s="2214"/>
      <c r="AAX223" s="2214"/>
      <c r="AAY223" s="2214"/>
      <c r="AAZ223" s="2214"/>
      <c r="ABA223" s="2214"/>
      <c r="ABB223" s="2214"/>
      <c r="ABC223" s="2214"/>
      <c r="ABD223" s="2214"/>
      <c r="ABE223" s="2214"/>
      <c r="ABF223" s="2214"/>
      <c r="ABG223" s="2214"/>
      <c r="ABH223" s="2214"/>
      <c r="ABI223" s="2214"/>
      <c r="ABJ223" s="2214"/>
      <c r="ABK223" s="2214"/>
      <c r="ABL223" s="2214"/>
      <c r="ABM223" s="2214"/>
      <c r="ABN223" s="2214"/>
      <c r="ABO223" s="2214"/>
      <c r="ABP223" s="2214"/>
      <c r="ABQ223" s="2214"/>
      <c r="ABR223" s="2214"/>
      <c r="ABS223" s="2214"/>
      <c r="ABT223" s="2214"/>
      <c r="ABU223" s="2214"/>
      <c r="ABV223" s="2214"/>
      <c r="ABW223" s="2214"/>
      <c r="ABX223" s="2214"/>
      <c r="ABY223" s="2214"/>
      <c r="ABZ223" s="2214"/>
      <c r="ACA223" s="2214"/>
      <c r="ACB223" s="2214"/>
      <c r="ACC223" s="2214"/>
      <c r="ACD223" s="2214"/>
      <c r="ACE223" s="2214"/>
      <c r="ACF223" s="2214"/>
      <c r="ACG223" s="2214"/>
      <c r="ACH223" s="2214"/>
      <c r="ACI223" s="2214"/>
      <c r="ACJ223" s="2214"/>
      <c r="ACK223" s="2214"/>
      <c r="ACL223" s="2214"/>
      <c r="ACM223" s="2214"/>
      <c r="ACN223" s="2214"/>
      <c r="ACO223" s="2214"/>
      <c r="ACP223" s="2214"/>
      <c r="ACQ223" s="2214"/>
      <c r="ACR223" s="2214"/>
      <c r="ACS223" s="2214"/>
      <c r="ACT223" s="2214"/>
      <c r="ACU223" s="2214"/>
      <c r="ACV223" s="2214"/>
      <c r="ACW223" s="2214"/>
      <c r="ACX223" s="2214"/>
      <c r="ACY223" s="2214"/>
      <c r="ACZ223" s="2214"/>
      <c r="ADA223" s="2214"/>
      <c r="ADB223" s="2214"/>
      <c r="ADC223" s="2214"/>
      <c r="ADD223" s="2214"/>
      <c r="ADE223" s="2214"/>
      <c r="ADF223" s="2214"/>
      <c r="ADG223" s="2214"/>
      <c r="ADH223" s="2214"/>
      <c r="ADI223" s="2214"/>
      <c r="ADJ223" s="2214"/>
      <c r="ADK223" s="2214"/>
      <c r="ADL223" s="2214"/>
      <c r="ADM223" s="2214"/>
      <c r="ADN223" s="2214"/>
      <c r="ADO223" s="2214"/>
      <c r="ADP223" s="2214"/>
      <c r="ADQ223" s="2214"/>
      <c r="ADR223" s="2214"/>
      <c r="ADS223" s="2214"/>
      <c r="ADT223" s="2214"/>
      <c r="ADU223" s="2214"/>
      <c r="ADV223" s="2214"/>
      <c r="ADW223" s="2214"/>
      <c r="ADX223" s="2214"/>
      <c r="ADY223" s="2214"/>
      <c r="ADZ223" s="2214"/>
      <c r="AEA223" s="2214"/>
      <c r="AEB223" s="2214"/>
      <c r="AEC223" s="2214"/>
      <c r="AED223" s="2214"/>
      <c r="AEE223" s="2214"/>
      <c r="AEF223" s="2214"/>
      <c r="AEG223" s="2214"/>
      <c r="AEH223" s="2214"/>
      <c r="AEI223" s="2214"/>
      <c r="AEJ223" s="2214"/>
      <c r="AEK223" s="2214"/>
      <c r="AEL223" s="2214"/>
      <c r="AEM223" s="2214"/>
      <c r="AEN223" s="2214"/>
      <c r="AEO223" s="2214"/>
      <c r="AEP223" s="2214"/>
      <c r="AEQ223" s="2214"/>
      <c r="AER223" s="2214"/>
      <c r="AES223" s="2214"/>
      <c r="AET223" s="2214"/>
      <c r="AEU223" s="2214"/>
      <c r="AEV223" s="2214"/>
      <c r="AEW223" s="2214"/>
      <c r="AEX223" s="2214"/>
      <c r="AEY223" s="2214"/>
      <c r="AEZ223" s="2214"/>
      <c r="AFA223" s="2214"/>
      <c r="AFB223" s="2214"/>
      <c r="AFC223" s="2214"/>
      <c r="AFD223" s="2214"/>
      <c r="AFE223" s="2214"/>
      <c r="AFF223" s="2214"/>
      <c r="AFG223" s="2214"/>
      <c r="AFH223" s="2214"/>
      <c r="AFI223" s="2214"/>
      <c r="AFJ223" s="2214"/>
      <c r="AFK223" s="2214"/>
      <c r="AFL223" s="2214"/>
      <c r="AFM223" s="2214"/>
      <c r="AFN223" s="2214"/>
      <c r="AFO223" s="2214"/>
      <c r="AFP223" s="2214"/>
      <c r="AFQ223" s="2214"/>
      <c r="AFR223" s="2214"/>
      <c r="AFS223" s="2214"/>
      <c r="AFT223" s="2214"/>
      <c r="AFU223" s="2214"/>
      <c r="AFV223" s="2214"/>
      <c r="AFW223" s="2214"/>
      <c r="AFX223" s="2214"/>
      <c r="AFY223" s="2214"/>
      <c r="AFZ223" s="2214"/>
      <c r="AGA223" s="2214"/>
      <c r="AGB223" s="2214"/>
      <c r="AGC223" s="2214"/>
      <c r="AGD223" s="2214"/>
      <c r="AGE223" s="2214"/>
      <c r="AGF223" s="2214"/>
      <c r="AGG223" s="2214"/>
      <c r="AGH223" s="2214"/>
      <c r="AGI223" s="2214"/>
      <c r="AGJ223" s="2214"/>
      <c r="AGK223" s="2214"/>
      <c r="AGL223" s="2214"/>
      <c r="AGM223" s="2214"/>
      <c r="AGN223" s="2214"/>
      <c r="AGO223" s="2214"/>
      <c r="AGP223" s="2214"/>
      <c r="AGQ223" s="2214"/>
      <c r="AGR223" s="2214"/>
      <c r="AGS223" s="2214"/>
      <c r="AGT223" s="2214"/>
      <c r="AGU223" s="2214"/>
      <c r="AGV223" s="2214"/>
      <c r="AGW223" s="2214"/>
      <c r="AGX223" s="2214"/>
      <c r="AGY223" s="2214"/>
      <c r="AGZ223" s="2214"/>
      <c r="AHA223" s="2214"/>
      <c r="AHB223" s="2214"/>
      <c r="AHC223" s="2214"/>
      <c r="AHD223" s="2214"/>
      <c r="AHE223" s="2214"/>
      <c r="AHF223" s="2214"/>
      <c r="AHG223" s="2214"/>
      <c r="AHH223" s="2214"/>
      <c r="AHI223" s="2214"/>
      <c r="AHJ223" s="2214"/>
      <c r="AHK223" s="2214"/>
      <c r="AHL223" s="2214"/>
      <c r="AHM223" s="2214"/>
      <c r="AHN223" s="2214"/>
      <c r="AHO223" s="2214"/>
      <c r="AHP223" s="2214"/>
      <c r="AHQ223" s="2214"/>
      <c r="AHR223" s="2214"/>
      <c r="AHS223" s="2214"/>
      <c r="AHT223" s="2214"/>
      <c r="AHU223" s="2214"/>
      <c r="AHV223" s="2214"/>
      <c r="AHW223" s="2214"/>
      <c r="AHX223" s="2214"/>
      <c r="AHY223" s="2214"/>
      <c r="AHZ223" s="2214"/>
      <c r="AIA223" s="2214"/>
      <c r="AIB223" s="2214"/>
      <c r="AIC223" s="2214"/>
      <c r="AID223" s="2214"/>
      <c r="AIE223" s="2214"/>
      <c r="AIF223" s="2214"/>
      <c r="AIG223" s="2214"/>
      <c r="AIH223" s="2214"/>
      <c r="AII223" s="2214"/>
      <c r="AIJ223" s="2214"/>
      <c r="AIK223" s="2214"/>
      <c r="AIL223" s="2214"/>
      <c r="AIM223" s="2214"/>
      <c r="AIN223" s="2214"/>
      <c r="AIO223" s="2214"/>
      <c r="AIP223" s="2214"/>
      <c r="AIQ223" s="2214"/>
      <c r="AIR223" s="2214"/>
      <c r="AIS223" s="2214"/>
      <c r="AIT223" s="2214"/>
      <c r="AIU223" s="2214"/>
      <c r="AIV223" s="2214"/>
      <c r="AIW223" s="2214"/>
      <c r="AIX223" s="2214"/>
      <c r="AIY223" s="2214"/>
      <c r="AIZ223" s="2214"/>
      <c r="AJA223" s="2214"/>
      <c r="AJB223" s="2214"/>
      <c r="AJC223" s="2214"/>
      <c r="AJD223" s="2214"/>
      <c r="AJE223" s="2214"/>
      <c r="AJF223" s="2214"/>
      <c r="AJG223" s="2214"/>
      <c r="AJH223" s="2214"/>
      <c r="AJI223" s="2214"/>
      <c r="AJJ223" s="2214"/>
      <c r="AJK223" s="2214"/>
      <c r="AJL223" s="2214"/>
      <c r="AJM223" s="2214"/>
      <c r="AJN223" s="2214"/>
      <c r="AJO223" s="2214"/>
      <c r="AJP223" s="2214"/>
      <c r="AJQ223" s="2214"/>
      <c r="AJR223" s="2214"/>
      <c r="AJS223" s="2214"/>
      <c r="AJT223" s="2214"/>
      <c r="AJU223" s="2214"/>
      <c r="AJV223" s="2214"/>
      <c r="AJW223" s="2214"/>
      <c r="AJX223" s="2214"/>
      <c r="AJY223" s="2214"/>
      <c r="AJZ223" s="2214"/>
      <c r="AKA223" s="2214"/>
      <c r="AKB223" s="2214"/>
      <c r="AKC223" s="2214"/>
      <c r="AKD223" s="2214"/>
      <c r="AKE223" s="2214"/>
      <c r="AKF223" s="2214"/>
      <c r="AKG223" s="2214"/>
      <c r="AKH223" s="2214"/>
      <c r="AKI223" s="2214"/>
      <c r="AKJ223" s="2214"/>
      <c r="AKK223" s="2214"/>
      <c r="AKL223" s="2214"/>
      <c r="AKM223" s="2214"/>
      <c r="AKN223" s="2214"/>
      <c r="AKO223" s="2214"/>
      <c r="AKP223" s="2214"/>
      <c r="AKQ223" s="2214"/>
      <c r="AKR223" s="2214"/>
      <c r="AKS223" s="2214"/>
      <c r="AKT223" s="2214"/>
      <c r="AKU223" s="2214"/>
      <c r="AKV223" s="2214"/>
      <c r="AKW223" s="2214"/>
      <c r="AKX223" s="2214"/>
      <c r="AKY223" s="2214"/>
      <c r="AKZ223" s="2214"/>
      <c r="ALA223" s="2214"/>
      <c r="ALB223" s="2214"/>
      <c r="ALC223" s="2214"/>
      <c r="ALD223" s="2214"/>
      <c r="ALE223" s="2214"/>
      <c r="ALF223" s="2214"/>
      <c r="ALG223" s="2214"/>
      <c r="ALH223" s="2214"/>
      <c r="ALI223" s="2214"/>
      <c r="ALJ223" s="2214"/>
      <c r="ALK223" s="2214"/>
      <c r="ALL223" s="2214"/>
      <c r="ALM223" s="2214"/>
      <c r="ALN223" s="2214"/>
      <c r="ALO223" s="2214"/>
      <c r="ALP223" s="2214"/>
      <c r="ALQ223" s="2214"/>
      <c r="ALR223" s="2214"/>
      <c r="ALS223" s="2214"/>
      <c r="ALT223" s="2214"/>
      <c r="ALU223" s="2214"/>
      <c r="ALV223" s="2214"/>
      <c r="ALW223" s="2214"/>
      <c r="ALX223" s="2214"/>
      <c r="ALY223" s="2214"/>
      <c r="ALZ223" s="2214"/>
      <c r="AMA223" s="2214"/>
      <c r="AMB223" s="2214"/>
      <c r="AMC223" s="2214"/>
      <c r="AMD223" s="2214"/>
      <c r="AME223" s="2214"/>
      <c r="AMF223" s="2214"/>
      <c r="AMG223" s="2214"/>
      <c r="AMH223" s="2214"/>
      <c r="AMI223" s="2214"/>
      <c r="AMJ223" s="2214"/>
      <c r="AMK223" s="2214"/>
      <c r="AML223" s="2214"/>
      <c r="AMM223" s="2214"/>
      <c r="AMN223" s="2214"/>
      <c r="AMO223" s="2214"/>
      <c r="AMP223" s="2214"/>
      <c r="AMQ223" s="2214"/>
      <c r="AMR223" s="2214"/>
      <c r="AMS223" s="2214"/>
      <c r="AMT223" s="2214"/>
      <c r="AMU223" s="2214"/>
      <c r="AMV223" s="2214"/>
      <c r="AMW223" s="2214"/>
      <c r="AMX223" s="2214"/>
      <c r="AMY223" s="2214"/>
      <c r="AMZ223" s="2214"/>
      <c r="ANA223" s="2214"/>
      <c r="ANB223" s="2214"/>
      <c r="ANC223" s="2214"/>
      <c r="AND223" s="2214"/>
      <c r="ANE223" s="2214"/>
      <c r="ANF223" s="2214"/>
      <c r="ANG223" s="2214"/>
      <c r="ANH223" s="2214"/>
      <c r="ANI223" s="2214"/>
      <c r="ANJ223" s="2214"/>
      <c r="ANK223" s="2214"/>
      <c r="ANL223" s="2214"/>
      <c r="ANM223" s="2214"/>
      <c r="ANN223" s="2214"/>
      <c r="ANO223" s="2214"/>
      <c r="ANP223" s="2214"/>
      <c r="ANQ223" s="2214"/>
      <c r="ANR223" s="2214"/>
      <c r="ANS223" s="2214"/>
      <c r="ANT223" s="2214"/>
      <c r="ANU223" s="2214"/>
      <c r="ANV223" s="2214"/>
      <c r="ANW223" s="2214"/>
      <c r="ANX223" s="2214"/>
      <c r="ANY223" s="2214"/>
      <c r="ANZ223" s="2214"/>
      <c r="AOA223" s="2214"/>
      <c r="AOB223" s="2214"/>
      <c r="AOC223" s="2214"/>
      <c r="AOD223" s="2214"/>
      <c r="AOE223" s="2214"/>
      <c r="AOF223" s="2214"/>
      <c r="AOG223" s="2214"/>
      <c r="AOH223" s="2214"/>
      <c r="AOI223" s="2214"/>
      <c r="AOJ223" s="2214"/>
      <c r="AOK223" s="2214"/>
      <c r="AOL223" s="2214"/>
      <c r="AOM223" s="2214"/>
      <c r="AON223" s="2214"/>
      <c r="AOO223" s="2214"/>
      <c r="AOP223" s="2214"/>
      <c r="AOQ223" s="2214"/>
      <c r="AOR223" s="2214"/>
      <c r="AOS223" s="2214"/>
      <c r="AOT223" s="2214"/>
      <c r="AOU223" s="2214"/>
      <c r="AOV223" s="2214"/>
      <c r="AOW223" s="2214"/>
      <c r="AOX223" s="2214"/>
      <c r="AOY223" s="2214"/>
      <c r="AOZ223" s="2214"/>
      <c r="APA223" s="2214"/>
      <c r="APB223" s="2214"/>
      <c r="APC223" s="2214"/>
      <c r="APD223" s="2214"/>
      <c r="APE223" s="2214"/>
      <c r="APF223" s="2214"/>
      <c r="APG223" s="2214"/>
      <c r="APH223" s="2214"/>
      <c r="API223" s="2214"/>
      <c r="APJ223" s="2214"/>
      <c r="APK223" s="2214"/>
      <c r="APL223" s="2214"/>
      <c r="APM223" s="2214"/>
      <c r="APN223" s="2214"/>
      <c r="APO223" s="2214"/>
      <c r="APP223" s="2214"/>
      <c r="APQ223" s="2214"/>
      <c r="APR223" s="2214"/>
      <c r="APS223" s="2214"/>
      <c r="APT223" s="2214"/>
      <c r="APU223" s="2214"/>
      <c r="APV223" s="2214"/>
      <c r="APW223" s="2214"/>
      <c r="APX223" s="2214"/>
      <c r="APY223" s="2214"/>
      <c r="APZ223" s="2214"/>
      <c r="AQA223" s="2214"/>
      <c r="AQB223" s="2214"/>
      <c r="AQC223" s="2214"/>
      <c r="AQD223" s="2214"/>
      <c r="AQE223" s="2214"/>
      <c r="AQF223" s="2214"/>
      <c r="AQG223" s="2214"/>
      <c r="AQH223" s="2214"/>
      <c r="AQI223" s="2214"/>
      <c r="AQJ223" s="2214"/>
      <c r="AQK223" s="2214"/>
      <c r="AQL223" s="2214"/>
      <c r="AQM223" s="2214"/>
      <c r="AQN223" s="2214"/>
      <c r="AQO223" s="2214"/>
      <c r="AQP223" s="2214"/>
      <c r="AQQ223" s="2214"/>
      <c r="AQR223" s="2214"/>
      <c r="AQS223" s="2214"/>
      <c r="AQT223" s="2214"/>
      <c r="AQU223" s="2214"/>
      <c r="AQV223" s="2214"/>
      <c r="AQW223" s="2214"/>
      <c r="AQX223" s="2214"/>
      <c r="AQY223" s="2214"/>
      <c r="AQZ223" s="2214"/>
      <c r="ARA223" s="2214"/>
      <c r="ARB223" s="2214"/>
      <c r="ARC223" s="2214"/>
      <c r="ARD223" s="2214"/>
      <c r="ARE223" s="2214"/>
      <c r="ARF223" s="2214"/>
      <c r="ARG223" s="2214"/>
      <c r="ARH223" s="2214"/>
      <c r="ARI223" s="2214"/>
      <c r="ARJ223" s="2214"/>
      <c r="ARK223" s="2214"/>
      <c r="ARL223" s="2214"/>
      <c r="ARM223" s="2214"/>
      <c r="ARN223" s="2214"/>
      <c r="ARO223" s="2214"/>
      <c r="ARP223" s="2214"/>
      <c r="ARQ223" s="2214"/>
      <c r="ARR223" s="2214"/>
      <c r="ARS223" s="2214"/>
      <c r="ART223" s="2214"/>
      <c r="ARU223" s="2214"/>
      <c r="ARV223" s="2214"/>
      <c r="ARW223" s="2214"/>
      <c r="ARX223" s="2214"/>
      <c r="ARY223" s="2214"/>
      <c r="ARZ223" s="2214"/>
      <c r="ASA223" s="2214"/>
      <c r="ASB223" s="2214"/>
      <c r="ASC223" s="2214"/>
      <c r="ASD223" s="2214"/>
      <c r="ASE223" s="2214"/>
      <c r="ASF223" s="2214"/>
      <c r="ASG223" s="2214"/>
      <c r="ASH223" s="2214"/>
      <c r="ASI223" s="2214"/>
      <c r="ASJ223" s="2214"/>
      <c r="ASK223" s="2214"/>
      <c r="ASL223" s="2214"/>
      <c r="ASM223" s="2214"/>
      <c r="ASN223" s="2214"/>
      <c r="ASO223" s="2214"/>
      <c r="ASP223" s="2214"/>
      <c r="ASQ223" s="2214"/>
      <c r="ASR223" s="2214"/>
      <c r="ASS223" s="2214"/>
      <c r="AST223" s="2214"/>
      <c r="ASU223" s="2214"/>
      <c r="ASV223" s="2214"/>
      <c r="ASW223" s="2214"/>
      <c r="ASX223" s="2214"/>
      <c r="ASY223" s="2214"/>
      <c r="ASZ223" s="2214"/>
      <c r="ATA223" s="2214"/>
      <c r="ATB223" s="2214"/>
      <c r="ATC223" s="2214"/>
      <c r="ATD223" s="2214"/>
      <c r="ATE223" s="2214"/>
      <c r="ATF223" s="2214"/>
      <c r="ATG223" s="2214"/>
      <c r="ATH223" s="2214"/>
      <c r="ATI223" s="2214"/>
      <c r="ATJ223" s="2214"/>
      <c r="ATK223" s="2214"/>
      <c r="ATL223" s="2214"/>
      <c r="ATM223" s="2214"/>
      <c r="ATN223" s="2214"/>
      <c r="ATO223" s="2214"/>
      <c r="ATP223" s="2214"/>
      <c r="ATQ223" s="2214"/>
      <c r="ATR223" s="2214"/>
      <c r="ATS223" s="2214"/>
      <c r="ATT223" s="2214"/>
      <c r="ATU223" s="2214"/>
      <c r="ATV223" s="2214"/>
      <c r="ATW223" s="2214"/>
      <c r="ATX223" s="2214"/>
      <c r="ATY223" s="2214"/>
      <c r="ATZ223" s="2214"/>
      <c r="AUA223" s="2214"/>
      <c r="AUB223" s="2214"/>
      <c r="AUC223" s="2214"/>
      <c r="AUD223" s="2214"/>
      <c r="AUE223" s="2214"/>
      <c r="AUF223" s="2214"/>
      <c r="AUG223" s="2214"/>
      <c r="AUH223" s="2214"/>
      <c r="AUI223" s="2214"/>
      <c r="AUJ223" s="2214"/>
      <c r="AUK223" s="2214"/>
      <c r="AUL223" s="2214"/>
      <c r="AUM223" s="2214"/>
      <c r="AUN223" s="2214"/>
      <c r="AUO223" s="2214"/>
      <c r="AUP223" s="2214"/>
      <c r="AUQ223" s="2214"/>
      <c r="AUR223" s="2214"/>
      <c r="AUS223" s="2214"/>
      <c r="AUT223" s="2214"/>
      <c r="AUU223" s="2214"/>
      <c r="AUV223" s="2214"/>
      <c r="AUW223" s="2214"/>
      <c r="AUX223" s="2214"/>
      <c r="AUY223" s="2214"/>
      <c r="AUZ223" s="2214"/>
      <c r="AVA223" s="2214"/>
      <c r="AVB223" s="2214"/>
      <c r="AVC223" s="2214"/>
      <c r="AVD223" s="2214"/>
      <c r="AVE223" s="2214"/>
      <c r="AVF223" s="2214"/>
      <c r="AVG223" s="2214"/>
      <c r="AVH223" s="2214"/>
      <c r="AVI223" s="2214"/>
      <c r="AVJ223" s="2214"/>
      <c r="AVK223" s="2214"/>
      <c r="AVL223" s="2214"/>
      <c r="AVM223" s="2214"/>
      <c r="AVN223" s="2214"/>
      <c r="AVO223" s="2214"/>
      <c r="AVP223" s="2214"/>
      <c r="AVQ223" s="2214"/>
      <c r="AVR223" s="2214"/>
      <c r="AVS223" s="2214"/>
      <c r="AVT223" s="2214"/>
      <c r="AVU223" s="2214"/>
      <c r="AVV223" s="2214"/>
      <c r="AVW223" s="2214"/>
      <c r="AVX223" s="2214"/>
      <c r="AVY223" s="2214"/>
      <c r="AVZ223" s="2214"/>
      <c r="AWA223" s="2214"/>
      <c r="AWB223" s="2214"/>
      <c r="AWC223" s="2214"/>
      <c r="AWD223" s="2214"/>
      <c r="AWE223" s="2214"/>
      <c r="AWF223" s="2214"/>
      <c r="AWG223" s="2214"/>
      <c r="AWH223" s="2214"/>
      <c r="AWI223" s="2214"/>
      <c r="AWJ223" s="2214"/>
      <c r="AWK223" s="2214"/>
      <c r="AWL223" s="2214"/>
      <c r="AWM223" s="2214"/>
      <c r="AWN223" s="2214"/>
      <c r="AWO223" s="2214"/>
      <c r="AWP223" s="2214"/>
      <c r="AWQ223" s="2214"/>
      <c r="AWR223" s="2214"/>
      <c r="AWS223" s="2214"/>
      <c r="AWT223" s="2214"/>
      <c r="AWU223" s="2214"/>
      <c r="AWV223" s="2214"/>
      <c r="AWW223" s="2214"/>
      <c r="AWX223" s="2214"/>
      <c r="AWY223" s="2214"/>
      <c r="AWZ223" s="2214"/>
      <c r="AXA223" s="2214"/>
      <c r="AXB223" s="2214"/>
      <c r="AXC223" s="2214"/>
      <c r="AXD223" s="2214"/>
      <c r="AXE223" s="2214"/>
      <c r="AXF223" s="2214"/>
      <c r="AXG223" s="2214"/>
      <c r="AXH223" s="2214"/>
      <c r="AXI223" s="2214"/>
      <c r="AXJ223" s="2214"/>
    </row>
    <row r="224" spans="1:1310" s="2215" customFormat="1" ht="23.25" customHeight="1">
      <c r="A224" s="756"/>
      <c r="B224" s="9016" t="s">
        <v>1567</v>
      </c>
      <c r="C224" s="9016"/>
      <c r="D224" s="9016"/>
      <c r="E224" s="9016"/>
      <c r="F224" s="750"/>
      <c r="G224" s="9016" t="s">
        <v>1568</v>
      </c>
      <c r="H224" s="9016"/>
      <c r="I224" s="9016"/>
      <c r="J224" s="750"/>
      <c r="K224" s="9016" t="s">
        <v>1569</v>
      </c>
      <c r="L224" s="9016"/>
      <c r="M224" s="9016"/>
      <c r="N224" s="750"/>
      <c r="O224" s="9016" t="s">
        <v>1570</v>
      </c>
      <c r="P224" s="9016"/>
      <c r="Q224" s="750"/>
      <c r="R224" s="311"/>
      <c r="S224" s="311"/>
      <c r="T224" s="311"/>
      <c r="U224" s="311"/>
      <c r="V224" s="311"/>
      <c r="W224" s="311"/>
      <c r="X224" s="311"/>
      <c r="Y224" s="311"/>
      <c r="Z224" s="311"/>
      <c r="AA224" s="311"/>
      <c r="AB224" s="311"/>
      <c r="AC224" s="311"/>
      <c r="AD224" s="2214"/>
      <c r="AE224" s="2214"/>
      <c r="AF224" s="2214"/>
      <c r="AG224" s="2214"/>
      <c r="AH224" s="2214"/>
      <c r="AI224" s="2214"/>
      <c r="AJ224" s="2214"/>
      <c r="AK224" s="2214"/>
      <c r="AL224" s="2214"/>
      <c r="AM224" s="2214"/>
      <c r="AN224" s="2214"/>
      <c r="AO224" s="2214"/>
      <c r="AP224" s="2214"/>
      <c r="AQ224" s="2214"/>
      <c r="AR224" s="2214"/>
      <c r="AS224" s="2214"/>
      <c r="AT224" s="2214"/>
      <c r="AU224" s="2214"/>
      <c r="AV224" s="2214"/>
      <c r="AW224" s="2214"/>
      <c r="AX224" s="2214"/>
      <c r="AY224" s="2214"/>
      <c r="AZ224" s="2214"/>
      <c r="BA224" s="2214"/>
      <c r="BB224" s="2214"/>
      <c r="BC224" s="2214"/>
      <c r="BD224" s="2214"/>
      <c r="BE224" s="2214"/>
      <c r="BF224" s="2214"/>
      <c r="BG224" s="2214"/>
      <c r="BH224" s="2214"/>
      <c r="BI224" s="2214"/>
      <c r="BJ224" s="2214"/>
      <c r="BK224" s="2214"/>
      <c r="BL224" s="2214"/>
      <c r="BM224" s="2214"/>
      <c r="BN224" s="2214"/>
      <c r="BO224" s="2214"/>
      <c r="BP224" s="2214"/>
      <c r="BQ224" s="2214"/>
      <c r="BR224" s="2214"/>
      <c r="BS224" s="2214"/>
      <c r="BT224" s="2214"/>
      <c r="BU224" s="2214"/>
      <c r="BV224" s="2214"/>
      <c r="BW224" s="2214"/>
      <c r="BX224" s="2214"/>
      <c r="BY224" s="2214"/>
      <c r="BZ224" s="2214"/>
      <c r="CA224" s="2214"/>
      <c r="CB224" s="2214"/>
      <c r="CC224" s="2214"/>
      <c r="CD224" s="2214"/>
      <c r="CE224" s="2214"/>
      <c r="CF224" s="2214"/>
      <c r="CG224" s="2214"/>
      <c r="CH224" s="2214"/>
      <c r="CI224" s="2214"/>
      <c r="CJ224" s="2214"/>
      <c r="CK224" s="2214"/>
      <c r="CL224" s="2214"/>
      <c r="CM224" s="2214"/>
      <c r="CN224" s="2214"/>
      <c r="CO224" s="2214"/>
      <c r="CP224" s="2214"/>
      <c r="CQ224" s="2214"/>
      <c r="CR224" s="2214"/>
      <c r="CS224" s="2214"/>
      <c r="CT224" s="2214"/>
      <c r="CU224" s="2214"/>
      <c r="CV224" s="2214"/>
      <c r="CW224" s="2214"/>
      <c r="CX224" s="2214"/>
      <c r="CY224" s="2214"/>
      <c r="CZ224" s="2214"/>
      <c r="DA224" s="2214"/>
      <c r="DB224" s="2214"/>
      <c r="DC224" s="2214"/>
      <c r="DD224" s="2214"/>
      <c r="DE224" s="2214"/>
      <c r="DF224" s="2214"/>
      <c r="DG224" s="2214"/>
      <c r="DH224" s="2214"/>
      <c r="DI224" s="2214"/>
      <c r="DJ224" s="2214"/>
      <c r="DK224" s="2214"/>
      <c r="DL224" s="2214"/>
      <c r="DM224" s="2214"/>
      <c r="DN224" s="2214"/>
      <c r="DO224" s="2214"/>
      <c r="DP224" s="2214"/>
      <c r="DQ224" s="2214"/>
      <c r="DR224" s="2214"/>
      <c r="DS224" s="2214"/>
      <c r="DT224" s="2214"/>
      <c r="DU224" s="2214"/>
      <c r="DV224" s="2214"/>
      <c r="DW224" s="2214"/>
      <c r="DX224" s="2214"/>
      <c r="DY224" s="2214"/>
      <c r="DZ224" s="2214"/>
      <c r="EA224" s="2214"/>
      <c r="EB224" s="2214"/>
      <c r="EC224" s="2214"/>
      <c r="ED224" s="2214"/>
      <c r="EE224" s="2214"/>
      <c r="EF224" s="2214"/>
      <c r="EG224" s="2214"/>
      <c r="EH224" s="2214"/>
      <c r="EI224" s="2214"/>
      <c r="EJ224" s="2214"/>
      <c r="EK224" s="2214"/>
      <c r="EL224" s="2214"/>
      <c r="EM224" s="2214"/>
      <c r="EN224" s="2214"/>
      <c r="EO224" s="2214"/>
      <c r="EP224" s="2214"/>
      <c r="EQ224" s="2214"/>
      <c r="ER224" s="2214"/>
      <c r="ES224" s="2214"/>
      <c r="ET224" s="2214"/>
      <c r="EU224" s="2214"/>
      <c r="EV224" s="2214"/>
      <c r="EW224" s="2214"/>
      <c r="EX224" s="2214"/>
      <c r="EY224" s="2214"/>
      <c r="EZ224" s="2214"/>
      <c r="FA224" s="2214"/>
      <c r="FB224" s="2214"/>
      <c r="FC224" s="2214"/>
      <c r="FD224" s="2214"/>
      <c r="FE224" s="2214"/>
      <c r="FF224" s="2214"/>
      <c r="FG224" s="2214"/>
      <c r="FH224" s="2214"/>
      <c r="FI224" s="2214"/>
      <c r="FJ224" s="2214"/>
      <c r="FK224" s="2214"/>
      <c r="FL224" s="2214"/>
      <c r="FM224" s="2214"/>
      <c r="FN224" s="2214"/>
      <c r="FO224" s="2214"/>
      <c r="FP224" s="2214"/>
      <c r="FQ224" s="2214"/>
      <c r="FR224" s="2214"/>
      <c r="FS224" s="2214"/>
      <c r="FT224" s="2214"/>
      <c r="FU224" s="2214"/>
      <c r="FV224" s="2214"/>
      <c r="FW224" s="2214"/>
      <c r="FX224" s="2214"/>
      <c r="FY224" s="2214"/>
      <c r="FZ224" s="2214"/>
      <c r="GA224" s="2214"/>
      <c r="GB224" s="2214"/>
      <c r="GC224" s="2214"/>
      <c r="GD224" s="2214"/>
      <c r="GE224" s="2214"/>
      <c r="GF224" s="2214"/>
      <c r="GG224" s="2214"/>
      <c r="GH224" s="2214"/>
      <c r="GI224" s="2214"/>
      <c r="GJ224" s="2214"/>
      <c r="GK224" s="2214"/>
      <c r="GL224" s="2214"/>
      <c r="GM224" s="2214"/>
      <c r="GN224" s="2214"/>
      <c r="GO224" s="2214"/>
      <c r="GP224" s="2214"/>
      <c r="GQ224" s="2214"/>
      <c r="GR224" s="2214"/>
      <c r="GS224" s="2214"/>
      <c r="GT224" s="2214"/>
      <c r="GU224" s="2214"/>
      <c r="GV224" s="2214"/>
      <c r="GW224" s="2214"/>
      <c r="GX224" s="2214"/>
      <c r="GY224" s="2214"/>
      <c r="GZ224" s="2214"/>
      <c r="HA224" s="2214"/>
      <c r="HB224" s="2214"/>
      <c r="HC224" s="2214"/>
      <c r="HD224" s="2214"/>
      <c r="HE224" s="2214"/>
      <c r="HF224" s="2214"/>
      <c r="HG224" s="2214"/>
      <c r="HH224" s="2214"/>
      <c r="HI224" s="2214"/>
      <c r="HJ224" s="2214"/>
      <c r="HK224" s="2214"/>
      <c r="HL224" s="2214"/>
      <c r="HM224" s="2214"/>
      <c r="HN224" s="2214"/>
      <c r="HO224" s="2214"/>
      <c r="HP224" s="2214"/>
      <c r="HQ224" s="2214"/>
      <c r="HR224" s="2214"/>
      <c r="HS224" s="2214"/>
      <c r="HT224" s="2214"/>
      <c r="HU224" s="2214"/>
      <c r="HV224" s="2214"/>
      <c r="HW224" s="2214"/>
      <c r="HX224" s="2214"/>
      <c r="HY224" s="2214"/>
      <c r="HZ224" s="2214"/>
      <c r="IA224" s="2214"/>
      <c r="IB224" s="2214"/>
      <c r="IC224" s="2214"/>
      <c r="ID224" s="2214"/>
      <c r="IE224" s="2214"/>
      <c r="IF224" s="2214"/>
      <c r="IG224" s="2214"/>
      <c r="IH224" s="2214"/>
      <c r="II224" s="2214"/>
      <c r="IJ224" s="2214"/>
      <c r="IK224" s="2214"/>
      <c r="IL224" s="2214"/>
      <c r="IM224" s="2214"/>
      <c r="IN224" s="2214"/>
      <c r="IO224" s="2214"/>
      <c r="IP224" s="2214"/>
      <c r="IQ224" s="2214"/>
      <c r="IR224" s="2214"/>
      <c r="IS224" s="2214"/>
      <c r="IT224" s="2214"/>
      <c r="IU224" s="2214"/>
      <c r="IV224" s="2214"/>
      <c r="IW224" s="2214"/>
      <c r="IX224" s="2214"/>
      <c r="IY224" s="2214"/>
      <c r="IZ224" s="2214"/>
      <c r="JA224" s="2214"/>
      <c r="JB224" s="2214"/>
      <c r="JC224" s="2214"/>
      <c r="JD224" s="2214"/>
      <c r="JE224" s="2214"/>
      <c r="JF224" s="2214"/>
      <c r="JG224" s="2214"/>
      <c r="JH224" s="2214"/>
      <c r="JI224" s="2214"/>
      <c r="JJ224" s="2214"/>
      <c r="JK224" s="2214"/>
      <c r="JL224" s="2214"/>
      <c r="JM224" s="2214"/>
      <c r="JN224" s="2214"/>
      <c r="JO224" s="2214"/>
      <c r="JP224" s="2214"/>
      <c r="JQ224" s="2214"/>
      <c r="JR224" s="2214"/>
      <c r="JS224" s="2214"/>
      <c r="JT224" s="2214"/>
      <c r="JU224" s="2214"/>
      <c r="JV224" s="2214"/>
      <c r="JW224" s="2214"/>
      <c r="JX224" s="2214"/>
      <c r="JY224" s="2214"/>
      <c r="JZ224" s="2214"/>
      <c r="KA224" s="2214"/>
      <c r="KB224" s="2214"/>
      <c r="KC224" s="2214"/>
      <c r="KD224" s="2214"/>
      <c r="KE224" s="2214"/>
      <c r="KF224" s="2214"/>
      <c r="KG224" s="2214"/>
      <c r="KH224" s="2214"/>
      <c r="KI224" s="2214"/>
      <c r="KJ224" s="2214"/>
      <c r="KK224" s="2214"/>
      <c r="KL224" s="2214"/>
      <c r="KM224" s="2214"/>
      <c r="KN224" s="2214"/>
      <c r="KO224" s="2214"/>
      <c r="KP224" s="2214"/>
      <c r="KQ224" s="2214"/>
      <c r="KR224" s="2214"/>
      <c r="KS224" s="2214"/>
      <c r="KT224" s="2214"/>
      <c r="KU224" s="2214"/>
      <c r="KV224" s="2214"/>
      <c r="KW224" s="2214"/>
      <c r="KX224" s="2214"/>
      <c r="KY224" s="2214"/>
      <c r="KZ224" s="2214"/>
      <c r="LA224" s="2214"/>
      <c r="LB224" s="2214"/>
      <c r="LC224" s="2214"/>
      <c r="LD224" s="2214"/>
      <c r="LE224" s="2214"/>
      <c r="LF224" s="2214"/>
      <c r="LG224" s="2214"/>
      <c r="LH224" s="2214"/>
      <c r="LI224" s="2214"/>
      <c r="LJ224" s="2214"/>
      <c r="LK224" s="2214"/>
      <c r="LL224" s="2214"/>
      <c r="LM224" s="2214"/>
      <c r="LN224" s="2214"/>
      <c r="LO224" s="2214"/>
      <c r="LP224" s="2214"/>
      <c r="LQ224" s="2214"/>
      <c r="LR224" s="2214"/>
      <c r="LS224" s="2214"/>
      <c r="LT224" s="2214"/>
      <c r="LU224" s="2214"/>
      <c r="LV224" s="2214"/>
      <c r="LW224" s="2214"/>
      <c r="LX224" s="2214"/>
      <c r="LY224" s="2214"/>
      <c r="LZ224" s="2214"/>
      <c r="MA224" s="2214"/>
      <c r="MB224" s="2214"/>
      <c r="MC224" s="2214"/>
      <c r="MD224" s="2214"/>
      <c r="ME224" s="2214"/>
      <c r="MF224" s="2214"/>
      <c r="MG224" s="2214"/>
      <c r="MH224" s="2214"/>
      <c r="MI224" s="2214"/>
      <c r="MJ224" s="2214"/>
      <c r="MK224" s="2214"/>
      <c r="ML224" s="2214"/>
      <c r="MM224" s="2214"/>
      <c r="MN224" s="2214"/>
      <c r="MO224" s="2214"/>
      <c r="MP224" s="2214"/>
      <c r="MQ224" s="2214"/>
      <c r="MR224" s="2214"/>
      <c r="MS224" s="2214"/>
      <c r="MT224" s="2214"/>
      <c r="MU224" s="2214"/>
      <c r="MV224" s="2214"/>
      <c r="MW224" s="2214"/>
      <c r="MX224" s="2214"/>
      <c r="MY224" s="2214"/>
      <c r="MZ224" s="2214"/>
      <c r="NA224" s="2214"/>
      <c r="NB224" s="2214"/>
      <c r="NC224" s="2214"/>
      <c r="ND224" s="2214"/>
      <c r="NE224" s="2214"/>
      <c r="NF224" s="2214"/>
      <c r="NG224" s="2214"/>
      <c r="NH224" s="2214"/>
      <c r="NI224" s="2214"/>
      <c r="NJ224" s="2214"/>
      <c r="NK224" s="2214"/>
      <c r="NL224" s="2214"/>
      <c r="NM224" s="2214"/>
      <c r="NN224" s="2214"/>
      <c r="NO224" s="2214"/>
      <c r="NP224" s="2214"/>
      <c r="NQ224" s="2214"/>
      <c r="NR224" s="2214"/>
      <c r="NS224" s="2214"/>
      <c r="NT224" s="2214"/>
      <c r="NU224" s="2214"/>
      <c r="NV224" s="2214"/>
      <c r="NW224" s="2214"/>
      <c r="NX224" s="2214"/>
      <c r="NY224" s="2214"/>
      <c r="NZ224" s="2214"/>
      <c r="OA224" s="2214"/>
      <c r="OB224" s="2214"/>
      <c r="OC224" s="2214"/>
      <c r="OD224" s="2214"/>
      <c r="OE224" s="2214"/>
      <c r="OF224" s="2214"/>
      <c r="OG224" s="2214"/>
      <c r="OH224" s="2214"/>
      <c r="OI224" s="2214"/>
      <c r="OJ224" s="2214"/>
      <c r="OK224" s="2214"/>
      <c r="OL224" s="2214"/>
      <c r="OM224" s="2214"/>
      <c r="ON224" s="2214"/>
      <c r="OO224" s="2214"/>
      <c r="OP224" s="2214"/>
      <c r="OQ224" s="2214"/>
      <c r="OR224" s="2214"/>
      <c r="OS224" s="2214"/>
      <c r="OT224" s="2214"/>
      <c r="OU224" s="2214"/>
      <c r="OV224" s="2214"/>
      <c r="OW224" s="2214"/>
      <c r="OX224" s="2214"/>
      <c r="OY224" s="2214"/>
      <c r="OZ224" s="2214"/>
      <c r="PA224" s="2214"/>
      <c r="PB224" s="2214"/>
      <c r="PC224" s="2214"/>
      <c r="PD224" s="2214"/>
      <c r="PE224" s="2214"/>
      <c r="PF224" s="2214"/>
      <c r="PG224" s="2214"/>
      <c r="PH224" s="2214"/>
      <c r="PI224" s="2214"/>
      <c r="PJ224" s="2214"/>
      <c r="PK224" s="2214"/>
      <c r="PL224" s="2214"/>
      <c r="PM224" s="2214"/>
      <c r="PN224" s="2214"/>
      <c r="PO224" s="2214"/>
      <c r="PP224" s="2214"/>
      <c r="PQ224" s="2214"/>
      <c r="PR224" s="2214"/>
      <c r="PS224" s="2214"/>
      <c r="PT224" s="2214"/>
      <c r="PU224" s="2214"/>
      <c r="PV224" s="2214"/>
      <c r="PW224" s="2214"/>
      <c r="PX224" s="2214"/>
      <c r="PY224" s="2214"/>
      <c r="PZ224" s="2214"/>
      <c r="QA224" s="2214"/>
      <c r="QB224" s="2214"/>
      <c r="QC224" s="2214"/>
      <c r="QD224" s="2214"/>
      <c r="QE224" s="2214"/>
      <c r="QF224" s="2214"/>
      <c r="QG224" s="2214"/>
      <c r="QH224" s="2214"/>
      <c r="QI224" s="2214"/>
      <c r="QJ224" s="2214"/>
      <c r="QK224" s="2214"/>
      <c r="QL224" s="2214"/>
      <c r="QM224" s="2214"/>
      <c r="QN224" s="2214"/>
      <c r="QO224" s="2214"/>
      <c r="QP224" s="2214"/>
      <c r="QQ224" s="2214"/>
      <c r="QR224" s="2214"/>
      <c r="QS224" s="2214"/>
      <c r="QT224" s="2214"/>
      <c r="QU224" s="2214"/>
      <c r="QV224" s="2214"/>
      <c r="QW224" s="2214"/>
      <c r="QX224" s="2214"/>
      <c r="QY224" s="2214"/>
      <c r="QZ224" s="2214"/>
      <c r="RA224" s="2214"/>
      <c r="RB224" s="2214"/>
      <c r="RC224" s="2214"/>
      <c r="RD224" s="2214"/>
      <c r="RE224" s="2214"/>
      <c r="RF224" s="2214"/>
      <c r="RG224" s="2214"/>
      <c r="RH224" s="2214"/>
      <c r="RI224" s="2214"/>
      <c r="RJ224" s="2214"/>
      <c r="RK224" s="2214"/>
      <c r="RL224" s="2214"/>
      <c r="RM224" s="2214"/>
      <c r="RN224" s="2214"/>
      <c r="RO224" s="2214"/>
      <c r="RP224" s="2214"/>
      <c r="RQ224" s="2214"/>
      <c r="RR224" s="2214"/>
      <c r="RS224" s="2214"/>
      <c r="RT224" s="2214"/>
      <c r="RU224" s="2214"/>
      <c r="RV224" s="2214"/>
      <c r="RW224" s="2214"/>
      <c r="RX224" s="2214"/>
      <c r="RY224" s="2214"/>
      <c r="RZ224" s="2214"/>
      <c r="SA224" s="2214"/>
      <c r="SB224" s="2214"/>
      <c r="SC224" s="2214"/>
      <c r="SD224" s="2214"/>
      <c r="SE224" s="2214"/>
      <c r="SF224" s="2214"/>
      <c r="SG224" s="2214"/>
      <c r="SH224" s="2214"/>
      <c r="SI224" s="2214"/>
      <c r="SJ224" s="2214"/>
      <c r="SK224" s="2214"/>
      <c r="SL224" s="2214"/>
      <c r="SM224" s="2214"/>
      <c r="SN224" s="2214"/>
      <c r="SO224" s="2214"/>
      <c r="SP224" s="2214"/>
      <c r="SQ224" s="2214"/>
      <c r="SR224" s="2214"/>
      <c r="SS224" s="2214"/>
      <c r="ST224" s="2214"/>
      <c r="SU224" s="2214"/>
      <c r="SV224" s="2214"/>
      <c r="SW224" s="2214"/>
      <c r="SX224" s="2214"/>
      <c r="SY224" s="2214"/>
      <c r="SZ224" s="2214"/>
      <c r="TA224" s="2214"/>
      <c r="TB224" s="2214"/>
      <c r="TC224" s="2214"/>
      <c r="TD224" s="2214"/>
      <c r="TE224" s="2214"/>
      <c r="TF224" s="2214"/>
      <c r="TG224" s="2214"/>
      <c r="TH224" s="2214"/>
      <c r="TI224" s="2214"/>
      <c r="TJ224" s="2214"/>
      <c r="TK224" s="2214"/>
      <c r="TL224" s="2214"/>
      <c r="TM224" s="2214"/>
      <c r="TN224" s="2214"/>
      <c r="TO224" s="2214"/>
      <c r="TP224" s="2214"/>
      <c r="TQ224" s="2214"/>
      <c r="TR224" s="2214"/>
      <c r="TS224" s="2214"/>
      <c r="TT224" s="2214"/>
      <c r="TU224" s="2214"/>
      <c r="TV224" s="2214"/>
      <c r="TW224" s="2214"/>
      <c r="TX224" s="2214"/>
      <c r="TY224" s="2214"/>
      <c r="TZ224" s="2214"/>
      <c r="UA224" s="2214"/>
      <c r="UB224" s="2214"/>
      <c r="UC224" s="2214"/>
      <c r="UD224" s="2214"/>
      <c r="UE224" s="2214"/>
      <c r="UF224" s="2214"/>
      <c r="UG224" s="2214"/>
      <c r="UH224" s="2214"/>
      <c r="UI224" s="2214"/>
      <c r="UJ224" s="2214"/>
      <c r="UK224" s="2214"/>
      <c r="UL224" s="2214"/>
      <c r="UM224" s="2214"/>
      <c r="UN224" s="2214"/>
      <c r="UO224" s="2214"/>
      <c r="UP224" s="2214"/>
      <c r="UQ224" s="2214"/>
      <c r="UR224" s="2214"/>
      <c r="US224" s="2214"/>
      <c r="UT224" s="2214"/>
      <c r="UU224" s="2214"/>
      <c r="UV224" s="2214"/>
      <c r="UW224" s="2214"/>
      <c r="UX224" s="2214"/>
      <c r="UY224" s="2214"/>
      <c r="UZ224" s="2214"/>
      <c r="VA224" s="2214"/>
      <c r="VB224" s="2214"/>
      <c r="VC224" s="2214"/>
      <c r="VD224" s="2214"/>
      <c r="VE224" s="2214"/>
      <c r="VF224" s="2214"/>
      <c r="VG224" s="2214"/>
      <c r="VH224" s="2214"/>
      <c r="VI224" s="2214"/>
      <c r="VJ224" s="2214"/>
      <c r="VK224" s="2214"/>
      <c r="VL224" s="2214"/>
      <c r="VM224" s="2214"/>
      <c r="VN224" s="2214"/>
      <c r="VO224" s="2214"/>
      <c r="VP224" s="2214"/>
      <c r="VQ224" s="2214"/>
      <c r="VR224" s="2214"/>
      <c r="VS224" s="2214"/>
      <c r="VT224" s="2214"/>
      <c r="VU224" s="2214"/>
      <c r="VV224" s="2214"/>
      <c r="VW224" s="2214"/>
      <c r="VX224" s="2214"/>
      <c r="VY224" s="2214"/>
      <c r="VZ224" s="2214"/>
      <c r="WA224" s="2214"/>
      <c r="WB224" s="2214"/>
      <c r="WC224" s="2214"/>
      <c r="WD224" s="2214"/>
      <c r="WE224" s="2214"/>
      <c r="WF224" s="2214"/>
      <c r="WG224" s="2214"/>
      <c r="WH224" s="2214"/>
      <c r="WI224" s="2214"/>
      <c r="WJ224" s="2214"/>
      <c r="WK224" s="2214"/>
      <c r="WL224" s="2214"/>
      <c r="WM224" s="2214"/>
      <c r="WN224" s="2214"/>
      <c r="WO224" s="2214"/>
      <c r="WP224" s="2214"/>
      <c r="WQ224" s="2214"/>
      <c r="WR224" s="2214"/>
      <c r="WS224" s="2214"/>
      <c r="WT224" s="2214"/>
      <c r="WU224" s="2214"/>
      <c r="WV224" s="2214"/>
      <c r="WW224" s="2214"/>
      <c r="WX224" s="2214"/>
      <c r="WY224" s="2214"/>
      <c r="WZ224" s="2214"/>
      <c r="XA224" s="2214"/>
      <c r="XB224" s="2214"/>
      <c r="XC224" s="2214"/>
      <c r="XD224" s="2214"/>
      <c r="XE224" s="2214"/>
      <c r="XF224" s="2214"/>
      <c r="XG224" s="2214"/>
      <c r="XH224" s="2214"/>
      <c r="XI224" s="2214"/>
      <c r="XJ224" s="2214"/>
      <c r="XK224" s="2214"/>
      <c r="XL224" s="2214"/>
      <c r="XM224" s="2214"/>
      <c r="XN224" s="2214"/>
      <c r="XO224" s="2214"/>
      <c r="XP224" s="2214"/>
      <c r="XQ224" s="2214"/>
      <c r="XR224" s="2214"/>
      <c r="XS224" s="2214"/>
      <c r="XT224" s="2214"/>
      <c r="XU224" s="2214"/>
      <c r="XV224" s="2214"/>
      <c r="XW224" s="2214"/>
      <c r="XX224" s="2214"/>
      <c r="XY224" s="2214"/>
      <c r="XZ224" s="2214"/>
      <c r="YA224" s="2214"/>
      <c r="YB224" s="2214"/>
      <c r="YC224" s="2214"/>
      <c r="YD224" s="2214"/>
      <c r="YE224" s="2214"/>
      <c r="YF224" s="2214"/>
      <c r="YG224" s="2214"/>
      <c r="YH224" s="2214"/>
      <c r="YI224" s="2214"/>
      <c r="YJ224" s="2214"/>
      <c r="YK224" s="2214"/>
      <c r="YL224" s="2214"/>
      <c r="YM224" s="2214"/>
      <c r="YN224" s="2214"/>
      <c r="YO224" s="2214"/>
      <c r="YP224" s="2214"/>
      <c r="YQ224" s="2214"/>
      <c r="YR224" s="2214"/>
      <c r="YS224" s="2214"/>
      <c r="YT224" s="2214"/>
      <c r="YU224" s="2214"/>
      <c r="YV224" s="2214"/>
      <c r="YW224" s="2214"/>
      <c r="YX224" s="2214"/>
      <c r="YY224" s="2214"/>
      <c r="YZ224" s="2214"/>
      <c r="ZA224" s="2214"/>
      <c r="ZB224" s="2214"/>
      <c r="ZC224" s="2214"/>
      <c r="ZD224" s="2214"/>
      <c r="ZE224" s="2214"/>
      <c r="ZF224" s="2214"/>
      <c r="ZG224" s="2214"/>
      <c r="ZH224" s="2214"/>
      <c r="ZI224" s="2214"/>
      <c r="ZJ224" s="2214"/>
      <c r="ZK224" s="2214"/>
      <c r="ZL224" s="2214"/>
      <c r="ZM224" s="2214"/>
      <c r="ZN224" s="2214"/>
      <c r="ZO224" s="2214"/>
      <c r="ZP224" s="2214"/>
      <c r="ZQ224" s="2214"/>
      <c r="ZR224" s="2214"/>
      <c r="ZS224" s="2214"/>
      <c r="ZT224" s="2214"/>
      <c r="ZU224" s="2214"/>
      <c r="ZV224" s="2214"/>
      <c r="ZW224" s="2214"/>
      <c r="ZX224" s="2214"/>
      <c r="ZY224" s="2214"/>
      <c r="ZZ224" s="2214"/>
      <c r="AAA224" s="2214"/>
      <c r="AAB224" s="2214"/>
      <c r="AAC224" s="2214"/>
      <c r="AAD224" s="2214"/>
      <c r="AAE224" s="2214"/>
      <c r="AAF224" s="2214"/>
      <c r="AAG224" s="2214"/>
      <c r="AAH224" s="2214"/>
      <c r="AAI224" s="2214"/>
      <c r="AAJ224" s="2214"/>
      <c r="AAK224" s="2214"/>
      <c r="AAL224" s="2214"/>
      <c r="AAM224" s="2214"/>
      <c r="AAN224" s="2214"/>
      <c r="AAO224" s="2214"/>
      <c r="AAP224" s="2214"/>
      <c r="AAQ224" s="2214"/>
      <c r="AAR224" s="2214"/>
      <c r="AAS224" s="2214"/>
      <c r="AAT224" s="2214"/>
      <c r="AAU224" s="2214"/>
      <c r="AAV224" s="2214"/>
      <c r="AAW224" s="2214"/>
      <c r="AAX224" s="2214"/>
      <c r="AAY224" s="2214"/>
      <c r="AAZ224" s="2214"/>
      <c r="ABA224" s="2214"/>
      <c r="ABB224" s="2214"/>
      <c r="ABC224" s="2214"/>
      <c r="ABD224" s="2214"/>
      <c r="ABE224" s="2214"/>
      <c r="ABF224" s="2214"/>
      <c r="ABG224" s="2214"/>
      <c r="ABH224" s="2214"/>
      <c r="ABI224" s="2214"/>
      <c r="ABJ224" s="2214"/>
      <c r="ABK224" s="2214"/>
      <c r="ABL224" s="2214"/>
      <c r="ABM224" s="2214"/>
      <c r="ABN224" s="2214"/>
      <c r="ABO224" s="2214"/>
      <c r="ABP224" s="2214"/>
      <c r="ABQ224" s="2214"/>
      <c r="ABR224" s="2214"/>
      <c r="ABS224" s="2214"/>
      <c r="ABT224" s="2214"/>
      <c r="ABU224" s="2214"/>
      <c r="ABV224" s="2214"/>
      <c r="ABW224" s="2214"/>
      <c r="ABX224" s="2214"/>
      <c r="ABY224" s="2214"/>
      <c r="ABZ224" s="2214"/>
      <c r="ACA224" s="2214"/>
      <c r="ACB224" s="2214"/>
      <c r="ACC224" s="2214"/>
      <c r="ACD224" s="2214"/>
      <c r="ACE224" s="2214"/>
      <c r="ACF224" s="2214"/>
      <c r="ACG224" s="2214"/>
      <c r="ACH224" s="2214"/>
      <c r="ACI224" s="2214"/>
      <c r="ACJ224" s="2214"/>
      <c r="ACK224" s="2214"/>
      <c r="ACL224" s="2214"/>
      <c r="ACM224" s="2214"/>
      <c r="ACN224" s="2214"/>
      <c r="ACO224" s="2214"/>
      <c r="ACP224" s="2214"/>
      <c r="ACQ224" s="2214"/>
      <c r="ACR224" s="2214"/>
      <c r="ACS224" s="2214"/>
      <c r="ACT224" s="2214"/>
      <c r="ACU224" s="2214"/>
      <c r="ACV224" s="2214"/>
      <c r="ACW224" s="2214"/>
      <c r="ACX224" s="2214"/>
      <c r="ACY224" s="2214"/>
      <c r="ACZ224" s="2214"/>
      <c r="ADA224" s="2214"/>
      <c r="ADB224" s="2214"/>
      <c r="ADC224" s="2214"/>
      <c r="ADD224" s="2214"/>
      <c r="ADE224" s="2214"/>
      <c r="ADF224" s="2214"/>
      <c r="ADG224" s="2214"/>
      <c r="ADH224" s="2214"/>
      <c r="ADI224" s="2214"/>
      <c r="ADJ224" s="2214"/>
      <c r="ADK224" s="2214"/>
      <c r="ADL224" s="2214"/>
      <c r="ADM224" s="2214"/>
      <c r="ADN224" s="2214"/>
      <c r="ADO224" s="2214"/>
      <c r="ADP224" s="2214"/>
      <c r="ADQ224" s="2214"/>
      <c r="ADR224" s="2214"/>
      <c r="ADS224" s="2214"/>
      <c r="ADT224" s="2214"/>
      <c r="ADU224" s="2214"/>
      <c r="ADV224" s="2214"/>
      <c r="ADW224" s="2214"/>
      <c r="ADX224" s="2214"/>
      <c r="ADY224" s="2214"/>
      <c r="ADZ224" s="2214"/>
      <c r="AEA224" s="2214"/>
      <c r="AEB224" s="2214"/>
      <c r="AEC224" s="2214"/>
      <c r="AED224" s="2214"/>
      <c r="AEE224" s="2214"/>
      <c r="AEF224" s="2214"/>
      <c r="AEG224" s="2214"/>
      <c r="AEH224" s="2214"/>
      <c r="AEI224" s="2214"/>
      <c r="AEJ224" s="2214"/>
      <c r="AEK224" s="2214"/>
      <c r="AEL224" s="2214"/>
      <c r="AEM224" s="2214"/>
      <c r="AEN224" s="2214"/>
      <c r="AEO224" s="2214"/>
      <c r="AEP224" s="2214"/>
      <c r="AEQ224" s="2214"/>
      <c r="AER224" s="2214"/>
      <c r="AES224" s="2214"/>
      <c r="AET224" s="2214"/>
      <c r="AEU224" s="2214"/>
      <c r="AEV224" s="2214"/>
      <c r="AEW224" s="2214"/>
      <c r="AEX224" s="2214"/>
      <c r="AEY224" s="2214"/>
      <c r="AEZ224" s="2214"/>
      <c r="AFA224" s="2214"/>
      <c r="AFB224" s="2214"/>
      <c r="AFC224" s="2214"/>
      <c r="AFD224" s="2214"/>
      <c r="AFE224" s="2214"/>
      <c r="AFF224" s="2214"/>
      <c r="AFG224" s="2214"/>
      <c r="AFH224" s="2214"/>
      <c r="AFI224" s="2214"/>
      <c r="AFJ224" s="2214"/>
      <c r="AFK224" s="2214"/>
      <c r="AFL224" s="2214"/>
      <c r="AFM224" s="2214"/>
      <c r="AFN224" s="2214"/>
      <c r="AFO224" s="2214"/>
      <c r="AFP224" s="2214"/>
      <c r="AFQ224" s="2214"/>
      <c r="AFR224" s="2214"/>
      <c r="AFS224" s="2214"/>
      <c r="AFT224" s="2214"/>
      <c r="AFU224" s="2214"/>
      <c r="AFV224" s="2214"/>
      <c r="AFW224" s="2214"/>
      <c r="AFX224" s="2214"/>
      <c r="AFY224" s="2214"/>
      <c r="AFZ224" s="2214"/>
      <c r="AGA224" s="2214"/>
      <c r="AGB224" s="2214"/>
      <c r="AGC224" s="2214"/>
      <c r="AGD224" s="2214"/>
      <c r="AGE224" s="2214"/>
      <c r="AGF224" s="2214"/>
      <c r="AGG224" s="2214"/>
      <c r="AGH224" s="2214"/>
      <c r="AGI224" s="2214"/>
      <c r="AGJ224" s="2214"/>
      <c r="AGK224" s="2214"/>
      <c r="AGL224" s="2214"/>
      <c r="AGM224" s="2214"/>
      <c r="AGN224" s="2214"/>
      <c r="AGO224" s="2214"/>
      <c r="AGP224" s="2214"/>
      <c r="AGQ224" s="2214"/>
      <c r="AGR224" s="2214"/>
      <c r="AGS224" s="2214"/>
      <c r="AGT224" s="2214"/>
      <c r="AGU224" s="2214"/>
      <c r="AGV224" s="2214"/>
      <c r="AGW224" s="2214"/>
      <c r="AGX224" s="2214"/>
      <c r="AGY224" s="2214"/>
      <c r="AGZ224" s="2214"/>
      <c r="AHA224" s="2214"/>
      <c r="AHB224" s="2214"/>
      <c r="AHC224" s="2214"/>
      <c r="AHD224" s="2214"/>
      <c r="AHE224" s="2214"/>
      <c r="AHF224" s="2214"/>
      <c r="AHG224" s="2214"/>
      <c r="AHH224" s="2214"/>
      <c r="AHI224" s="2214"/>
      <c r="AHJ224" s="2214"/>
      <c r="AHK224" s="2214"/>
      <c r="AHL224" s="2214"/>
      <c r="AHM224" s="2214"/>
      <c r="AHN224" s="2214"/>
      <c r="AHO224" s="2214"/>
      <c r="AHP224" s="2214"/>
      <c r="AHQ224" s="2214"/>
      <c r="AHR224" s="2214"/>
      <c r="AHS224" s="2214"/>
      <c r="AHT224" s="2214"/>
      <c r="AHU224" s="2214"/>
      <c r="AHV224" s="2214"/>
      <c r="AHW224" s="2214"/>
      <c r="AHX224" s="2214"/>
      <c r="AHY224" s="2214"/>
      <c r="AHZ224" s="2214"/>
      <c r="AIA224" s="2214"/>
      <c r="AIB224" s="2214"/>
      <c r="AIC224" s="2214"/>
      <c r="AID224" s="2214"/>
      <c r="AIE224" s="2214"/>
      <c r="AIF224" s="2214"/>
      <c r="AIG224" s="2214"/>
      <c r="AIH224" s="2214"/>
      <c r="AII224" s="2214"/>
      <c r="AIJ224" s="2214"/>
      <c r="AIK224" s="2214"/>
      <c r="AIL224" s="2214"/>
      <c r="AIM224" s="2214"/>
      <c r="AIN224" s="2214"/>
      <c r="AIO224" s="2214"/>
      <c r="AIP224" s="2214"/>
      <c r="AIQ224" s="2214"/>
      <c r="AIR224" s="2214"/>
      <c r="AIS224" s="2214"/>
      <c r="AIT224" s="2214"/>
      <c r="AIU224" s="2214"/>
      <c r="AIV224" s="2214"/>
      <c r="AIW224" s="2214"/>
      <c r="AIX224" s="2214"/>
      <c r="AIY224" s="2214"/>
      <c r="AIZ224" s="2214"/>
      <c r="AJA224" s="2214"/>
      <c r="AJB224" s="2214"/>
      <c r="AJC224" s="2214"/>
      <c r="AJD224" s="2214"/>
      <c r="AJE224" s="2214"/>
      <c r="AJF224" s="2214"/>
      <c r="AJG224" s="2214"/>
      <c r="AJH224" s="2214"/>
      <c r="AJI224" s="2214"/>
      <c r="AJJ224" s="2214"/>
      <c r="AJK224" s="2214"/>
      <c r="AJL224" s="2214"/>
      <c r="AJM224" s="2214"/>
      <c r="AJN224" s="2214"/>
      <c r="AJO224" s="2214"/>
      <c r="AJP224" s="2214"/>
      <c r="AJQ224" s="2214"/>
      <c r="AJR224" s="2214"/>
      <c r="AJS224" s="2214"/>
      <c r="AJT224" s="2214"/>
      <c r="AJU224" s="2214"/>
      <c r="AJV224" s="2214"/>
      <c r="AJW224" s="2214"/>
      <c r="AJX224" s="2214"/>
      <c r="AJY224" s="2214"/>
      <c r="AJZ224" s="2214"/>
      <c r="AKA224" s="2214"/>
      <c r="AKB224" s="2214"/>
      <c r="AKC224" s="2214"/>
      <c r="AKD224" s="2214"/>
      <c r="AKE224" s="2214"/>
      <c r="AKF224" s="2214"/>
      <c r="AKG224" s="2214"/>
      <c r="AKH224" s="2214"/>
      <c r="AKI224" s="2214"/>
      <c r="AKJ224" s="2214"/>
      <c r="AKK224" s="2214"/>
      <c r="AKL224" s="2214"/>
      <c r="AKM224" s="2214"/>
      <c r="AKN224" s="2214"/>
      <c r="AKO224" s="2214"/>
      <c r="AKP224" s="2214"/>
      <c r="AKQ224" s="2214"/>
      <c r="AKR224" s="2214"/>
      <c r="AKS224" s="2214"/>
      <c r="AKT224" s="2214"/>
      <c r="AKU224" s="2214"/>
      <c r="AKV224" s="2214"/>
      <c r="AKW224" s="2214"/>
      <c r="AKX224" s="2214"/>
      <c r="AKY224" s="2214"/>
      <c r="AKZ224" s="2214"/>
      <c r="ALA224" s="2214"/>
      <c r="ALB224" s="2214"/>
      <c r="ALC224" s="2214"/>
      <c r="ALD224" s="2214"/>
      <c r="ALE224" s="2214"/>
      <c r="ALF224" s="2214"/>
      <c r="ALG224" s="2214"/>
      <c r="ALH224" s="2214"/>
      <c r="ALI224" s="2214"/>
      <c r="ALJ224" s="2214"/>
      <c r="ALK224" s="2214"/>
      <c r="ALL224" s="2214"/>
      <c r="ALM224" s="2214"/>
      <c r="ALN224" s="2214"/>
      <c r="ALO224" s="2214"/>
      <c r="ALP224" s="2214"/>
      <c r="ALQ224" s="2214"/>
      <c r="ALR224" s="2214"/>
      <c r="ALS224" s="2214"/>
      <c r="ALT224" s="2214"/>
      <c r="ALU224" s="2214"/>
      <c r="ALV224" s="2214"/>
      <c r="ALW224" s="2214"/>
      <c r="ALX224" s="2214"/>
      <c r="ALY224" s="2214"/>
      <c r="ALZ224" s="2214"/>
      <c r="AMA224" s="2214"/>
      <c r="AMB224" s="2214"/>
      <c r="AMC224" s="2214"/>
      <c r="AMD224" s="2214"/>
      <c r="AME224" s="2214"/>
      <c r="AMF224" s="2214"/>
      <c r="AMG224" s="2214"/>
      <c r="AMH224" s="2214"/>
      <c r="AMI224" s="2214"/>
      <c r="AMJ224" s="2214"/>
      <c r="AMK224" s="2214"/>
      <c r="AML224" s="2214"/>
      <c r="AMM224" s="2214"/>
      <c r="AMN224" s="2214"/>
      <c r="AMO224" s="2214"/>
      <c r="AMP224" s="2214"/>
      <c r="AMQ224" s="2214"/>
      <c r="AMR224" s="2214"/>
      <c r="AMS224" s="2214"/>
      <c r="AMT224" s="2214"/>
      <c r="AMU224" s="2214"/>
      <c r="AMV224" s="2214"/>
      <c r="AMW224" s="2214"/>
      <c r="AMX224" s="2214"/>
      <c r="AMY224" s="2214"/>
      <c r="AMZ224" s="2214"/>
      <c r="ANA224" s="2214"/>
      <c r="ANB224" s="2214"/>
      <c r="ANC224" s="2214"/>
      <c r="AND224" s="2214"/>
      <c r="ANE224" s="2214"/>
      <c r="ANF224" s="2214"/>
      <c r="ANG224" s="2214"/>
      <c r="ANH224" s="2214"/>
      <c r="ANI224" s="2214"/>
      <c r="ANJ224" s="2214"/>
      <c r="ANK224" s="2214"/>
      <c r="ANL224" s="2214"/>
      <c r="ANM224" s="2214"/>
      <c r="ANN224" s="2214"/>
      <c r="ANO224" s="2214"/>
      <c r="ANP224" s="2214"/>
      <c r="ANQ224" s="2214"/>
      <c r="ANR224" s="2214"/>
      <c r="ANS224" s="2214"/>
      <c r="ANT224" s="2214"/>
      <c r="ANU224" s="2214"/>
      <c r="ANV224" s="2214"/>
      <c r="ANW224" s="2214"/>
      <c r="ANX224" s="2214"/>
      <c r="ANY224" s="2214"/>
      <c r="ANZ224" s="2214"/>
      <c r="AOA224" s="2214"/>
      <c r="AOB224" s="2214"/>
      <c r="AOC224" s="2214"/>
      <c r="AOD224" s="2214"/>
      <c r="AOE224" s="2214"/>
      <c r="AOF224" s="2214"/>
      <c r="AOG224" s="2214"/>
      <c r="AOH224" s="2214"/>
      <c r="AOI224" s="2214"/>
      <c r="AOJ224" s="2214"/>
      <c r="AOK224" s="2214"/>
      <c r="AOL224" s="2214"/>
      <c r="AOM224" s="2214"/>
      <c r="AON224" s="2214"/>
      <c r="AOO224" s="2214"/>
      <c r="AOP224" s="2214"/>
      <c r="AOQ224" s="2214"/>
      <c r="AOR224" s="2214"/>
      <c r="AOS224" s="2214"/>
      <c r="AOT224" s="2214"/>
      <c r="AOU224" s="2214"/>
      <c r="AOV224" s="2214"/>
      <c r="AOW224" s="2214"/>
      <c r="AOX224" s="2214"/>
      <c r="AOY224" s="2214"/>
      <c r="AOZ224" s="2214"/>
      <c r="APA224" s="2214"/>
      <c r="APB224" s="2214"/>
      <c r="APC224" s="2214"/>
      <c r="APD224" s="2214"/>
      <c r="APE224" s="2214"/>
      <c r="APF224" s="2214"/>
      <c r="APG224" s="2214"/>
      <c r="APH224" s="2214"/>
      <c r="API224" s="2214"/>
      <c r="APJ224" s="2214"/>
      <c r="APK224" s="2214"/>
      <c r="APL224" s="2214"/>
      <c r="APM224" s="2214"/>
      <c r="APN224" s="2214"/>
      <c r="APO224" s="2214"/>
      <c r="APP224" s="2214"/>
      <c r="APQ224" s="2214"/>
      <c r="APR224" s="2214"/>
      <c r="APS224" s="2214"/>
      <c r="APT224" s="2214"/>
      <c r="APU224" s="2214"/>
      <c r="APV224" s="2214"/>
      <c r="APW224" s="2214"/>
      <c r="APX224" s="2214"/>
      <c r="APY224" s="2214"/>
      <c r="APZ224" s="2214"/>
      <c r="AQA224" s="2214"/>
      <c r="AQB224" s="2214"/>
      <c r="AQC224" s="2214"/>
      <c r="AQD224" s="2214"/>
      <c r="AQE224" s="2214"/>
      <c r="AQF224" s="2214"/>
      <c r="AQG224" s="2214"/>
      <c r="AQH224" s="2214"/>
      <c r="AQI224" s="2214"/>
      <c r="AQJ224" s="2214"/>
      <c r="AQK224" s="2214"/>
      <c r="AQL224" s="2214"/>
      <c r="AQM224" s="2214"/>
      <c r="AQN224" s="2214"/>
      <c r="AQO224" s="2214"/>
      <c r="AQP224" s="2214"/>
      <c r="AQQ224" s="2214"/>
      <c r="AQR224" s="2214"/>
      <c r="AQS224" s="2214"/>
      <c r="AQT224" s="2214"/>
      <c r="AQU224" s="2214"/>
      <c r="AQV224" s="2214"/>
      <c r="AQW224" s="2214"/>
      <c r="AQX224" s="2214"/>
      <c r="AQY224" s="2214"/>
      <c r="AQZ224" s="2214"/>
      <c r="ARA224" s="2214"/>
      <c r="ARB224" s="2214"/>
      <c r="ARC224" s="2214"/>
      <c r="ARD224" s="2214"/>
      <c r="ARE224" s="2214"/>
      <c r="ARF224" s="2214"/>
      <c r="ARG224" s="2214"/>
      <c r="ARH224" s="2214"/>
      <c r="ARI224" s="2214"/>
      <c r="ARJ224" s="2214"/>
      <c r="ARK224" s="2214"/>
      <c r="ARL224" s="2214"/>
      <c r="ARM224" s="2214"/>
      <c r="ARN224" s="2214"/>
      <c r="ARO224" s="2214"/>
      <c r="ARP224" s="2214"/>
      <c r="ARQ224" s="2214"/>
      <c r="ARR224" s="2214"/>
      <c r="ARS224" s="2214"/>
      <c r="ART224" s="2214"/>
      <c r="ARU224" s="2214"/>
      <c r="ARV224" s="2214"/>
      <c r="ARW224" s="2214"/>
      <c r="ARX224" s="2214"/>
      <c r="ARY224" s="2214"/>
      <c r="ARZ224" s="2214"/>
      <c r="ASA224" s="2214"/>
      <c r="ASB224" s="2214"/>
      <c r="ASC224" s="2214"/>
      <c r="ASD224" s="2214"/>
      <c r="ASE224" s="2214"/>
      <c r="ASF224" s="2214"/>
      <c r="ASG224" s="2214"/>
      <c r="ASH224" s="2214"/>
      <c r="ASI224" s="2214"/>
      <c r="ASJ224" s="2214"/>
      <c r="ASK224" s="2214"/>
      <c r="ASL224" s="2214"/>
      <c r="ASM224" s="2214"/>
      <c r="ASN224" s="2214"/>
      <c r="ASO224" s="2214"/>
      <c r="ASP224" s="2214"/>
      <c r="ASQ224" s="2214"/>
      <c r="ASR224" s="2214"/>
      <c r="ASS224" s="2214"/>
      <c r="AST224" s="2214"/>
      <c r="ASU224" s="2214"/>
      <c r="ASV224" s="2214"/>
      <c r="ASW224" s="2214"/>
      <c r="ASX224" s="2214"/>
      <c r="ASY224" s="2214"/>
      <c r="ASZ224" s="2214"/>
      <c r="ATA224" s="2214"/>
      <c r="ATB224" s="2214"/>
      <c r="ATC224" s="2214"/>
      <c r="ATD224" s="2214"/>
      <c r="ATE224" s="2214"/>
      <c r="ATF224" s="2214"/>
      <c r="ATG224" s="2214"/>
      <c r="ATH224" s="2214"/>
      <c r="ATI224" s="2214"/>
      <c r="ATJ224" s="2214"/>
      <c r="ATK224" s="2214"/>
      <c r="ATL224" s="2214"/>
      <c r="ATM224" s="2214"/>
      <c r="ATN224" s="2214"/>
      <c r="ATO224" s="2214"/>
      <c r="ATP224" s="2214"/>
      <c r="ATQ224" s="2214"/>
      <c r="ATR224" s="2214"/>
      <c r="ATS224" s="2214"/>
      <c r="ATT224" s="2214"/>
      <c r="ATU224" s="2214"/>
      <c r="ATV224" s="2214"/>
      <c r="ATW224" s="2214"/>
      <c r="ATX224" s="2214"/>
      <c r="ATY224" s="2214"/>
      <c r="ATZ224" s="2214"/>
      <c r="AUA224" s="2214"/>
      <c r="AUB224" s="2214"/>
      <c r="AUC224" s="2214"/>
      <c r="AUD224" s="2214"/>
      <c r="AUE224" s="2214"/>
      <c r="AUF224" s="2214"/>
      <c r="AUG224" s="2214"/>
      <c r="AUH224" s="2214"/>
      <c r="AUI224" s="2214"/>
      <c r="AUJ224" s="2214"/>
      <c r="AUK224" s="2214"/>
      <c r="AUL224" s="2214"/>
      <c r="AUM224" s="2214"/>
      <c r="AUN224" s="2214"/>
      <c r="AUO224" s="2214"/>
      <c r="AUP224" s="2214"/>
      <c r="AUQ224" s="2214"/>
      <c r="AUR224" s="2214"/>
      <c r="AUS224" s="2214"/>
      <c r="AUT224" s="2214"/>
      <c r="AUU224" s="2214"/>
      <c r="AUV224" s="2214"/>
      <c r="AUW224" s="2214"/>
      <c r="AUX224" s="2214"/>
      <c r="AUY224" s="2214"/>
      <c r="AUZ224" s="2214"/>
      <c r="AVA224" s="2214"/>
      <c r="AVB224" s="2214"/>
      <c r="AVC224" s="2214"/>
      <c r="AVD224" s="2214"/>
      <c r="AVE224" s="2214"/>
      <c r="AVF224" s="2214"/>
      <c r="AVG224" s="2214"/>
      <c r="AVH224" s="2214"/>
      <c r="AVI224" s="2214"/>
      <c r="AVJ224" s="2214"/>
      <c r="AVK224" s="2214"/>
      <c r="AVL224" s="2214"/>
      <c r="AVM224" s="2214"/>
      <c r="AVN224" s="2214"/>
      <c r="AVO224" s="2214"/>
      <c r="AVP224" s="2214"/>
      <c r="AVQ224" s="2214"/>
      <c r="AVR224" s="2214"/>
      <c r="AVS224" s="2214"/>
      <c r="AVT224" s="2214"/>
      <c r="AVU224" s="2214"/>
      <c r="AVV224" s="2214"/>
      <c r="AVW224" s="2214"/>
      <c r="AVX224" s="2214"/>
      <c r="AVY224" s="2214"/>
      <c r="AVZ224" s="2214"/>
      <c r="AWA224" s="2214"/>
      <c r="AWB224" s="2214"/>
      <c r="AWC224" s="2214"/>
      <c r="AWD224" s="2214"/>
      <c r="AWE224" s="2214"/>
      <c r="AWF224" s="2214"/>
      <c r="AWG224" s="2214"/>
      <c r="AWH224" s="2214"/>
      <c r="AWI224" s="2214"/>
      <c r="AWJ224" s="2214"/>
      <c r="AWK224" s="2214"/>
      <c r="AWL224" s="2214"/>
      <c r="AWM224" s="2214"/>
      <c r="AWN224" s="2214"/>
      <c r="AWO224" s="2214"/>
      <c r="AWP224" s="2214"/>
      <c r="AWQ224" s="2214"/>
      <c r="AWR224" s="2214"/>
      <c r="AWS224" s="2214"/>
      <c r="AWT224" s="2214"/>
      <c r="AWU224" s="2214"/>
      <c r="AWV224" s="2214"/>
      <c r="AWW224" s="2214"/>
      <c r="AWX224" s="2214"/>
      <c r="AWY224" s="2214"/>
      <c r="AWZ224" s="2214"/>
      <c r="AXA224" s="2214"/>
      <c r="AXB224" s="2214"/>
      <c r="AXC224" s="2214"/>
      <c r="AXD224" s="2214"/>
      <c r="AXE224" s="2214"/>
      <c r="AXF224" s="2214"/>
      <c r="AXG224" s="2214"/>
      <c r="AXH224" s="2214"/>
      <c r="AXI224" s="2214"/>
      <c r="AXJ224" s="2214"/>
    </row>
    <row r="225" spans="1:1310" s="2215" customFormat="1" ht="23.25" customHeight="1">
      <c r="A225" s="756"/>
      <c r="B225" s="9016" t="s">
        <v>1571</v>
      </c>
      <c r="C225" s="9016"/>
      <c r="D225" s="9016"/>
      <c r="E225" s="9016"/>
      <c r="F225" s="750"/>
      <c r="G225" s="9016" t="s">
        <v>1572</v>
      </c>
      <c r="H225" s="9016"/>
      <c r="I225" s="9016"/>
      <c r="J225" s="750"/>
      <c r="K225" s="9016" t="s">
        <v>1573</v>
      </c>
      <c r="L225" s="9016"/>
      <c r="M225" s="9016"/>
      <c r="N225" s="750"/>
      <c r="O225" s="9016" t="s">
        <v>1574</v>
      </c>
      <c r="P225" s="9016"/>
      <c r="Q225" s="750"/>
      <c r="R225" s="311"/>
      <c r="S225" s="311"/>
      <c r="T225" s="311"/>
      <c r="U225" s="311"/>
      <c r="V225" s="311"/>
      <c r="W225" s="311"/>
      <c r="X225" s="311"/>
      <c r="Y225" s="311"/>
      <c r="Z225" s="311"/>
      <c r="AA225" s="311"/>
      <c r="AB225" s="311"/>
      <c r="AC225" s="311"/>
      <c r="AD225" s="2214"/>
      <c r="AE225" s="2214"/>
      <c r="AF225" s="2214"/>
      <c r="AG225" s="2214"/>
      <c r="AH225" s="2214"/>
      <c r="AI225" s="2214"/>
      <c r="AJ225" s="2214"/>
      <c r="AK225" s="2214"/>
      <c r="AL225" s="2214"/>
      <c r="AM225" s="2214"/>
      <c r="AN225" s="2214"/>
      <c r="AO225" s="2214"/>
      <c r="AP225" s="2214"/>
      <c r="AQ225" s="2214"/>
      <c r="AR225" s="2214"/>
      <c r="AS225" s="2214"/>
      <c r="AT225" s="2214"/>
      <c r="AU225" s="2214"/>
      <c r="AV225" s="2214"/>
      <c r="AW225" s="2214"/>
      <c r="AX225" s="2214"/>
      <c r="AY225" s="2214"/>
      <c r="AZ225" s="2214"/>
      <c r="BA225" s="2214"/>
      <c r="BB225" s="2214"/>
      <c r="BC225" s="2214"/>
      <c r="BD225" s="2214"/>
      <c r="BE225" s="2214"/>
      <c r="BF225" s="2214"/>
      <c r="BG225" s="2214"/>
      <c r="BH225" s="2214"/>
      <c r="BI225" s="2214"/>
      <c r="BJ225" s="2214"/>
      <c r="BK225" s="2214"/>
      <c r="BL225" s="2214"/>
      <c r="BM225" s="2214"/>
      <c r="BN225" s="2214"/>
      <c r="BO225" s="2214"/>
      <c r="BP225" s="2214"/>
      <c r="BQ225" s="2214"/>
      <c r="BR225" s="2214"/>
      <c r="BS225" s="2214"/>
      <c r="BT225" s="2214"/>
      <c r="BU225" s="2214"/>
      <c r="BV225" s="2214"/>
      <c r="BW225" s="2214"/>
      <c r="BX225" s="2214"/>
      <c r="BY225" s="2214"/>
      <c r="BZ225" s="2214"/>
      <c r="CA225" s="2214"/>
      <c r="CB225" s="2214"/>
      <c r="CC225" s="2214"/>
      <c r="CD225" s="2214"/>
      <c r="CE225" s="2214"/>
      <c r="CF225" s="2214"/>
      <c r="CG225" s="2214"/>
      <c r="CH225" s="2214"/>
      <c r="CI225" s="2214"/>
      <c r="CJ225" s="2214"/>
      <c r="CK225" s="2214"/>
      <c r="CL225" s="2214"/>
      <c r="CM225" s="2214"/>
      <c r="CN225" s="2214"/>
      <c r="CO225" s="2214"/>
      <c r="CP225" s="2214"/>
      <c r="CQ225" s="2214"/>
      <c r="CR225" s="2214"/>
      <c r="CS225" s="2214"/>
      <c r="CT225" s="2214"/>
      <c r="CU225" s="2214"/>
      <c r="CV225" s="2214"/>
      <c r="CW225" s="2214"/>
      <c r="CX225" s="2214"/>
      <c r="CY225" s="2214"/>
      <c r="CZ225" s="2214"/>
      <c r="DA225" s="2214"/>
      <c r="DB225" s="2214"/>
      <c r="DC225" s="2214"/>
      <c r="DD225" s="2214"/>
      <c r="DE225" s="2214"/>
      <c r="DF225" s="2214"/>
      <c r="DG225" s="2214"/>
      <c r="DH225" s="2214"/>
      <c r="DI225" s="2214"/>
      <c r="DJ225" s="2214"/>
      <c r="DK225" s="2214"/>
      <c r="DL225" s="2214"/>
      <c r="DM225" s="2214"/>
      <c r="DN225" s="2214"/>
      <c r="DO225" s="2214"/>
      <c r="DP225" s="2214"/>
      <c r="DQ225" s="2214"/>
      <c r="DR225" s="2214"/>
      <c r="DS225" s="2214"/>
      <c r="DT225" s="2214"/>
      <c r="DU225" s="2214"/>
      <c r="DV225" s="2214"/>
      <c r="DW225" s="2214"/>
      <c r="DX225" s="2214"/>
      <c r="DY225" s="2214"/>
      <c r="DZ225" s="2214"/>
      <c r="EA225" s="2214"/>
      <c r="EB225" s="2214"/>
      <c r="EC225" s="2214"/>
      <c r="ED225" s="2214"/>
      <c r="EE225" s="2214"/>
      <c r="EF225" s="2214"/>
      <c r="EG225" s="2214"/>
      <c r="EH225" s="2214"/>
      <c r="EI225" s="2214"/>
      <c r="EJ225" s="2214"/>
      <c r="EK225" s="2214"/>
      <c r="EL225" s="2214"/>
      <c r="EM225" s="2214"/>
      <c r="EN225" s="2214"/>
      <c r="EO225" s="2214"/>
      <c r="EP225" s="2214"/>
      <c r="EQ225" s="2214"/>
      <c r="ER225" s="2214"/>
      <c r="ES225" s="2214"/>
      <c r="ET225" s="2214"/>
      <c r="EU225" s="2214"/>
      <c r="EV225" s="2214"/>
      <c r="EW225" s="2214"/>
      <c r="EX225" s="2214"/>
      <c r="EY225" s="2214"/>
      <c r="EZ225" s="2214"/>
      <c r="FA225" s="2214"/>
      <c r="FB225" s="2214"/>
      <c r="FC225" s="2214"/>
      <c r="FD225" s="2214"/>
      <c r="FE225" s="2214"/>
      <c r="FF225" s="2214"/>
      <c r="FG225" s="2214"/>
      <c r="FH225" s="2214"/>
      <c r="FI225" s="2214"/>
      <c r="FJ225" s="2214"/>
      <c r="FK225" s="2214"/>
      <c r="FL225" s="2214"/>
      <c r="FM225" s="2214"/>
      <c r="FN225" s="2214"/>
      <c r="FO225" s="2214"/>
      <c r="FP225" s="2214"/>
      <c r="FQ225" s="2214"/>
      <c r="FR225" s="2214"/>
      <c r="FS225" s="2214"/>
      <c r="FT225" s="2214"/>
      <c r="FU225" s="2214"/>
      <c r="FV225" s="2214"/>
      <c r="FW225" s="2214"/>
      <c r="FX225" s="2214"/>
      <c r="FY225" s="2214"/>
      <c r="FZ225" s="2214"/>
      <c r="GA225" s="2214"/>
      <c r="GB225" s="2214"/>
      <c r="GC225" s="2214"/>
      <c r="GD225" s="2214"/>
      <c r="GE225" s="2214"/>
      <c r="GF225" s="2214"/>
      <c r="GG225" s="2214"/>
      <c r="GH225" s="2214"/>
      <c r="GI225" s="2214"/>
      <c r="GJ225" s="2214"/>
      <c r="GK225" s="2214"/>
      <c r="GL225" s="2214"/>
      <c r="GM225" s="2214"/>
      <c r="GN225" s="2214"/>
      <c r="GO225" s="2214"/>
      <c r="GP225" s="2214"/>
      <c r="GQ225" s="2214"/>
      <c r="GR225" s="2214"/>
      <c r="GS225" s="2214"/>
      <c r="GT225" s="2214"/>
      <c r="GU225" s="2214"/>
      <c r="GV225" s="2214"/>
      <c r="GW225" s="2214"/>
      <c r="GX225" s="2214"/>
      <c r="GY225" s="2214"/>
      <c r="GZ225" s="2214"/>
      <c r="HA225" s="2214"/>
      <c r="HB225" s="2214"/>
      <c r="HC225" s="2214"/>
      <c r="HD225" s="2214"/>
      <c r="HE225" s="2214"/>
      <c r="HF225" s="2214"/>
      <c r="HG225" s="2214"/>
      <c r="HH225" s="2214"/>
      <c r="HI225" s="2214"/>
      <c r="HJ225" s="2214"/>
      <c r="HK225" s="2214"/>
      <c r="HL225" s="2214"/>
      <c r="HM225" s="2214"/>
      <c r="HN225" s="2214"/>
      <c r="HO225" s="2214"/>
      <c r="HP225" s="2214"/>
      <c r="HQ225" s="2214"/>
      <c r="HR225" s="2214"/>
      <c r="HS225" s="2214"/>
      <c r="HT225" s="2214"/>
      <c r="HU225" s="2214"/>
      <c r="HV225" s="2214"/>
      <c r="HW225" s="2214"/>
      <c r="HX225" s="2214"/>
      <c r="HY225" s="2214"/>
      <c r="HZ225" s="2214"/>
      <c r="IA225" s="2214"/>
      <c r="IB225" s="2214"/>
      <c r="IC225" s="2214"/>
      <c r="ID225" s="2214"/>
      <c r="IE225" s="2214"/>
      <c r="IF225" s="2214"/>
      <c r="IG225" s="2214"/>
      <c r="IH225" s="2214"/>
      <c r="II225" s="2214"/>
      <c r="IJ225" s="2214"/>
      <c r="IK225" s="2214"/>
      <c r="IL225" s="2214"/>
      <c r="IM225" s="2214"/>
      <c r="IN225" s="2214"/>
      <c r="IO225" s="2214"/>
      <c r="IP225" s="2214"/>
      <c r="IQ225" s="2214"/>
      <c r="IR225" s="2214"/>
      <c r="IS225" s="2214"/>
      <c r="IT225" s="2214"/>
      <c r="IU225" s="2214"/>
      <c r="IV225" s="2214"/>
      <c r="IW225" s="2214"/>
      <c r="IX225" s="2214"/>
      <c r="IY225" s="2214"/>
      <c r="IZ225" s="2214"/>
      <c r="JA225" s="2214"/>
      <c r="JB225" s="2214"/>
      <c r="JC225" s="2214"/>
      <c r="JD225" s="2214"/>
      <c r="JE225" s="2214"/>
      <c r="JF225" s="2214"/>
      <c r="JG225" s="2214"/>
      <c r="JH225" s="2214"/>
      <c r="JI225" s="2214"/>
      <c r="JJ225" s="2214"/>
      <c r="JK225" s="2214"/>
      <c r="JL225" s="2214"/>
      <c r="JM225" s="2214"/>
      <c r="JN225" s="2214"/>
      <c r="JO225" s="2214"/>
      <c r="JP225" s="2214"/>
      <c r="JQ225" s="2214"/>
      <c r="JR225" s="2214"/>
      <c r="JS225" s="2214"/>
      <c r="JT225" s="2214"/>
      <c r="JU225" s="2214"/>
      <c r="JV225" s="2214"/>
      <c r="JW225" s="2214"/>
      <c r="JX225" s="2214"/>
      <c r="JY225" s="2214"/>
      <c r="JZ225" s="2214"/>
      <c r="KA225" s="2214"/>
      <c r="KB225" s="2214"/>
      <c r="KC225" s="2214"/>
      <c r="KD225" s="2214"/>
      <c r="KE225" s="2214"/>
      <c r="KF225" s="2214"/>
      <c r="KG225" s="2214"/>
      <c r="KH225" s="2214"/>
      <c r="KI225" s="2214"/>
      <c r="KJ225" s="2214"/>
      <c r="KK225" s="2214"/>
      <c r="KL225" s="2214"/>
      <c r="KM225" s="2214"/>
      <c r="KN225" s="2214"/>
      <c r="KO225" s="2214"/>
      <c r="KP225" s="2214"/>
      <c r="KQ225" s="2214"/>
      <c r="KR225" s="2214"/>
      <c r="KS225" s="2214"/>
      <c r="KT225" s="2214"/>
      <c r="KU225" s="2214"/>
      <c r="KV225" s="2214"/>
      <c r="KW225" s="2214"/>
      <c r="KX225" s="2214"/>
      <c r="KY225" s="2214"/>
      <c r="KZ225" s="2214"/>
      <c r="LA225" s="2214"/>
      <c r="LB225" s="2214"/>
      <c r="LC225" s="2214"/>
      <c r="LD225" s="2214"/>
      <c r="LE225" s="2214"/>
      <c r="LF225" s="2214"/>
      <c r="LG225" s="2214"/>
      <c r="LH225" s="2214"/>
      <c r="LI225" s="2214"/>
      <c r="LJ225" s="2214"/>
      <c r="LK225" s="2214"/>
      <c r="LL225" s="2214"/>
      <c r="LM225" s="2214"/>
      <c r="LN225" s="2214"/>
      <c r="LO225" s="2214"/>
      <c r="LP225" s="2214"/>
      <c r="LQ225" s="2214"/>
      <c r="LR225" s="2214"/>
      <c r="LS225" s="2214"/>
      <c r="LT225" s="2214"/>
      <c r="LU225" s="2214"/>
      <c r="LV225" s="2214"/>
      <c r="LW225" s="2214"/>
      <c r="LX225" s="2214"/>
      <c r="LY225" s="2214"/>
      <c r="LZ225" s="2214"/>
      <c r="MA225" s="2214"/>
      <c r="MB225" s="2214"/>
      <c r="MC225" s="2214"/>
      <c r="MD225" s="2214"/>
      <c r="ME225" s="2214"/>
      <c r="MF225" s="2214"/>
      <c r="MG225" s="2214"/>
      <c r="MH225" s="2214"/>
      <c r="MI225" s="2214"/>
      <c r="MJ225" s="2214"/>
      <c r="MK225" s="2214"/>
      <c r="ML225" s="2214"/>
      <c r="MM225" s="2214"/>
      <c r="MN225" s="2214"/>
      <c r="MO225" s="2214"/>
      <c r="MP225" s="2214"/>
      <c r="MQ225" s="2214"/>
      <c r="MR225" s="2214"/>
      <c r="MS225" s="2214"/>
      <c r="MT225" s="2214"/>
      <c r="MU225" s="2214"/>
      <c r="MV225" s="2214"/>
      <c r="MW225" s="2214"/>
      <c r="MX225" s="2214"/>
      <c r="MY225" s="2214"/>
      <c r="MZ225" s="2214"/>
      <c r="NA225" s="2214"/>
      <c r="NB225" s="2214"/>
      <c r="NC225" s="2214"/>
      <c r="ND225" s="2214"/>
      <c r="NE225" s="2214"/>
      <c r="NF225" s="2214"/>
      <c r="NG225" s="2214"/>
      <c r="NH225" s="2214"/>
      <c r="NI225" s="2214"/>
      <c r="NJ225" s="2214"/>
      <c r="NK225" s="2214"/>
      <c r="NL225" s="2214"/>
      <c r="NM225" s="2214"/>
      <c r="NN225" s="2214"/>
      <c r="NO225" s="2214"/>
      <c r="NP225" s="2214"/>
      <c r="NQ225" s="2214"/>
      <c r="NR225" s="2214"/>
      <c r="NS225" s="2214"/>
      <c r="NT225" s="2214"/>
      <c r="NU225" s="2214"/>
      <c r="NV225" s="2214"/>
      <c r="NW225" s="2214"/>
      <c r="NX225" s="2214"/>
      <c r="NY225" s="2214"/>
      <c r="NZ225" s="2214"/>
      <c r="OA225" s="2214"/>
      <c r="OB225" s="2214"/>
      <c r="OC225" s="2214"/>
      <c r="OD225" s="2214"/>
      <c r="OE225" s="2214"/>
      <c r="OF225" s="2214"/>
      <c r="OG225" s="2214"/>
      <c r="OH225" s="2214"/>
      <c r="OI225" s="2214"/>
      <c r="OJ225" s="2214"/>
      <c r="OK225" s="2214"/>
      <c r="OL225" s="2214"/>
      <c r="OM225" s="2214"/>
      <c r="ON225" s="2214"/>
      <c r="OO225" s="2214"/>
      <c r="OP225" s="2214"/>
      <c r="OQ225" s="2214"/>
      <c r="OR225" s="2214"/>
      <c r="OS225" s="2214"/>
      <c r="OT225" s="2214"/>
      <c r="OU225" s="2214"/>
      <c r="OV225" s="2214"/>
      <c r="OW225" s="2214"/>
      <c r="OX225" s="2214"/>
      <c r="OY225" s="2214"/>
      <c r="OZ225" s="2214"/>
      <c r="PA225" s="2214"/>
      <c r="PB225" s="2214"/>
      <c r="PC225" s="2214"/>
      <c r="PD225" s="2214"/>
      <c r="PE225" s="2214"/>
      <c r="PF225" s="2214"/>
      <c r="PG225" s="2214"/>
      <c r="PH225" s="2214"/>
      <c r="PI225" s="2214"/>
      <c r="PJ225" s="2214"/>
      <c r="PK225" s="2214"/>
      <c r="PL225" s="2214"/>
      <c r="PM225" s="2214"/>
      <c r="PN225" s="2214"/>
      <c r="PO225" s="2214"/>
      <c r="PP225" s="2214"/>
      <c r="PQ225" s="2214"/>
      <c r="PR225" s="2214"/>
      <c r="PS225" s="2214"/>
      <c r="PT225" s="2214"/>
      <c r="PU225" s="2214"/>
      <c r="PV225" s="2214"/>
      <c r="PW225" s="2214"/>
      <c r="PX225" s="2214"/>
      <c r="PY225" s="2214"/>
      <c r="PZ225" s="2214"/>
      <c r="QA225" s="2214"/>
      <c r="QB225" s="2214"/>
      <c r="QC225" s="2214"/>
      <c r="QD225" s="2214"/>
      <c r="QE225" s="2214"/>
      <c r="QF225" s="2214"/>
      <c r="QG225" s="2214"/>
      <c r="QH225" s="2214"/>
      <c r="QI225" s="2214"/>
      <c r="QJ225" s="2214"/>
      <c r="QK225" s="2214"/>
      <c r="QL225" s="2214"/>
      <c r="QM225" s="2214"/>
      <c r="QN225" s="2214"/>
      <c r="QO225" s="2214"/>
      <c r="QP225" s="2214"/>
      <c r="QQ225" s="2214"/>
      <c r="QR225" s="2214"/>
      <c r="QS225" s="2214"/>
      <c r="QT225" s="2214"/>
      <c r="QU225" s="2214"/>
      <c r="QV225" s="2214"/>
      <c r="QW225" s="2214"/>
      <c r="QX225" s="2214"/>
      <c r="QY225" s="2214"/>
      <c r="QZ225" s="2214"/>
      <c r="RA225" s="2214"/>
      <c r="RB225" s="2214"/>
      <c r="RC225" s="2214"/>
      <c r="RD225" s="2214"/>
      <c r="RE225" s="2214"/>
      <c r="RF225" s="2214"/>
      <c r="RG225" s="2214"/>
      <c r="RH225" s="2214"/>
      <c r="RI225" s="2214"/>
      <c r="RJ225" s="2214"/>
      <c r="RK225" s="2214"/>
      <c r="RL225" s="2214"/>
      <c r="RM225" s="2214"/>
      <c r="RN225" s="2214"/>
      <c r="RO225" s="2214"/>
      <c r="RP225" s="2214"/>
      <c r="RQ225" s="2214"/>
      <c r="RR225" s="2214"/>
      <c r="RS225" s="2214"/>
      <c r="RT225" s="2214"/>
      <c r="RU225" s="2214"/>
      <c r="RV225" s="2214"/>
      <c r="RW225" s="2214"/>
      <c r="RX225" s="2214"/>
      <c r="RY225" s="2214"/>
      <c r="RZ225" s="2214"/>
      <c r="SA225" s="2214"/>
      <c r="SB225" s="2214"/>
      <c r="SC225" s="2214"/>
      <c r="SD225" s="2214"/>
      <c r="SE225" s="2214"/>
      <c r="SF225" s="2214"/>
      <c r="SG225" s="2214"/>
      <c r="SH225" s="2214"/>
      <c r="SI225" s="2214"/>
      <c r="SJ225" s="2214"/>
      <c r="SK225" s="2214"/>
      <c r="SL225" s="2214"/>
      <c r="SM225" s="2214"/>
      <c r="SN225" s="2214"/>
      <c r="SO225" s="2214"/>
      <c r="SP225" s="2214"/>
      <c r="SQ225" s="2214"/>
      <c r="SR225" s="2214"/>
      <c r="SS225" s="2214"/>
      <c r="ST225" s="2214"/>
      <c r="SU225" s="2214"/>
      <c r="SV225" s="2214"/>
      <c r="SW225" s="2214"/>
      <c r="SX225" s="2214"/>
      <c r="SY225" s="2214"/>
      <c r="SZ225" s="2214"/>
      <c r="TA225" s="2214"/>
      <c r="TB225" s="2214"/>
      <c r="TC225" s="2214"/>
      <c r="TD225" s="2214"/>
      <c r="TE225" s="2214"/>
      <c r="TF225" s="2214"/>
      <c r="TG225" s="2214"/>
      <c r="TH225" s="2214"/>
      <c r="TI225" s="2214"/>
      <c r="TJ225" s="2214"/>
      <c r="TK225" s="2214"/>
      <c r="TL225" s="2214"/>
      <c r="TM225" s="2214"/>
      <c r="TN225" s="2214"/>
      <c r="TO225" s="2214"/>
      <c r="TP225" s="2214"/>
      <c r="TQ225" s="2214"/>
      <c r="TR225" s="2214"/>
      <c r="TS225" s="2214"/>
      <c r="TT225" s="2214"/>
      <c r="TU225" s="2214"/>
      <c r="TV225" s="2214"/>
      <c r="TW225" s="2214"/>
      <c r="TX225" s="2214"/>
      <c r="TY225" s="2214"/>
      <c r="TZ225" s="2214"/>
      <c r="UA225" s="2214"/>
      <c r="UB225" s="2214"/>
      <c r="UC225" s="2214"/>
      <c r="UD225" s="2214"/>
      <c r="UE225" s="2214"/>
      <c r="UF225" s="2214"/>
      <c r="UG225" s="2214"/>
      <c r="UH225" s="2214"/>
      <c r="UI225" s="2214"/>
      <c r="UJ225" s="2214"/>
      <c r="UK225" s="2214"/>
      <c r="UL225" s="2214"/>
      <c r="UM225" s="2214"/>
      <c r="UN225" s="2214"/>
      <c r="UO225" s="2214"/>
      <c r="UP225" s="2214"/>
      <c r="UQ225" s="2214"/>
      <c r="UR225" s="2214"/>
      <c r="US225" s="2214"/>
      <c r="UT225" s="2214"/>
      <c r="UU225" s="2214"/>
      <c r="UV225" s="2214"/>
      <c r="UW225" s="2214"/>
      <c r="UX225" s="2214"/>
      <c r="UY225" s="2214"/>
      <c r="UZ225" s="2214"/>
      <c r="VA225" s="2214"/>
      <c r="VB225" s="2214"/>
      <c r="VC225" s="2214"/>
      <c r="VD225" s="2214"/>
      <c r="VE225" s="2214"/>
      <c r="VF225" s="2214"/>
      <c r="VG225" s="2214"/>
      <c r="VH225" s="2214"/>
      <c r="VI225" s="2214"/>
      <c r="VJ225" s="2214"/>
      <c r="VK225" s="2214"/>
      <c r="VL225" s="2214"/>
      <c r="VM225" s="2214"/>
      <c r="VN225" s="2214"/>
      <c r="VO225" s="2214"/>
      <c r="VP225" s="2214"/>
      <c r="VQ225" s="2214"/>
      <c r="VR225" s="2214"/>
      <c r="VS225" s="2214"/>
      <c r="VT225" s="2214"/>
      <c r="VU225" s="2214"/>
      <c r="VV225" s="2214"/>
      <c r="VW225" s="2214"/>
      <c r="VX225" s="2214"/>
      <c r="VY225" s="2214"/>
      <c r="VZ225" s="2214"/>
      <c r="WA225" s="2214"/>
      <c r="WB225" s="2214"/>
      <c r="WC225" s="2214"/>
      <c r="WD225" s="2214"/>
      <c r="WE225" s="2214"/>
      <c r="WF225" s="2214"/>
      <c r="WG225" s="2214"/>
      <c r="WH225" s="2214"/>
      <c r="WI225" s="2214"/>
      <c r="WJ225" s="2214"/>
      <c r="WK225" s="2214"/>
      <c r="WL225" s="2214"/>
      <c r="WM225" s="2214"/>
      <c r="WN225" s="2214"/>
      <c r="WO225" s="2214"/>
      <c r="WP225" s="2214"/>
      <c r="WQ225" s="2214"/>
      <c r="WR225" s="2214"/>
      <c r="WS225" s="2214"/>
      <c r="WT225" s="2214"/>
      <c r="WU225" s="2214"/>
      <c r="WV225" s="2214"/>
      <c r="WW225" s="2214"/>
      <c r="WX225" s="2214"/>
      <c r="WY225" s="2214"/>
      <c r="WZ225" s="2214"/>
      <c r="XA225" s="2214"/>
      <c r="XB225" s="2214"/>
      <c r="XC225" s="2214"/>
      <c r="XD225" s="2214"/>
      <c r="XE225" s="2214"/>
      <c r="XF225" s="2214"/>
      <c r="XG225" s="2214"/>
      <c r="XH225" s="2214"/>
      <c r="XI225" s="2214"/>
      <c r="XJ225" s="2214"/>
      <c r="XK225" s="2214"/>
      <c r="XL225" s="2214"/>
      <c r="XM225" s="2214"/>
      <c r="XN225" s="2214"/>
      <c r="XO225" s="2214"/>
      <c r="XP225" s="2214"/>
      <c r="XQ225" s="2214"/>
      <c r="XR225" s="2214"/>
      <c r="XS225" s="2214"/>
      <c r="XT225" s="2214"/>
      <c r="XU225" s="2214"/>
      <c r="XV225" s="2214"/>
      <c r="XW225" s="2214"/>
      <c r="XX225" s="2214"/>
      <c r="XY225" s="2214"/>
      <c r="XZ225" s="2214"/>
      <c r="YA225" s="2214"/>
      <c r="YB225" s="2214"/>
      <c r="YC225" s="2214"/>
      <c r="YD225" s="2214"/>
      <c r="YE225" s="2214"/>
      <c r="YF225" s="2214"/>
      <c r="YG225" s="2214"/>
      <c r="YH225" s="2214"/>
      <c r="YI225" s="2214"/>
      <c r="YJ225" s="2214"/>
      <c r="YK225" s="2214"/>
      <c r="YL225" s="2214"/>
      <c r="YM225" s="2214"/>
      <c r="YN225" s="2214"/>
      <c r="YO225" s="2214"/>
      <c r="YP225" s="2214"/>
      <c r="YQ225" s="2214"/>
      <c r="YR225" s="2214"/>
      <c r="YS225" s="2214"/>
      <c r="YT225" s="2214"/>
      <c r="YU225" s="2214"/>
      <c r="YV225" s="2214"/>
      <c r="YW225" s="2214"/>
      <c r="YX225" s="2214"/>
      <c r="YY225" s="2214"/>
      <c r="YZ225" s="2214"/>
      <c r="ZA225" s="2214"/>
      <c r="ZB225" s="2214"/>
      <c r="ZC225" s="2214"/>
      <c r="ZD225" s="2214"/>
      <c r="ZE225" s="2214"/>
      <c r="ZF225" s="2214"/>
      <c r="ZG225" s="2214"/>
      <c r="ZH225" s="2214"/>
      <c r="ZI225" s="2214"/>
      <c r="ZJ225" s="2214"/>
      <c r="ZK225" s="2214"/>
      <c r="ZL225" s="2214"/>
      <c r="ZM225" s="2214"/>
      <c r="ZN225" s="2214"/>
      <c r="ZO225" s="2214"/>
      <c r="ZP225" s="2214"/>
      <c r="ZQ225" s="2214"/>
      <c r="ZR225" s="2214"/>
      <c r="ZS225" s="2214"/>
      <c r="ZT225" s="2214"/>
      <c r="ZU225" s="2214"/>
      <c r="ZV225" s="2214"/>
      <c r="ZW225" s="2214"/>
      <c r="ZX225" s="2214"/>
      <c r="ZY225" s="2214"/>
      <c r="ZZ225" s="2214"/>
      <c r="AAA225" s="2214"/>
      <c r="AAB225" s="2214"/>
      <c r="AAC225" s="2214"/>
      <c r="AAD225" s="2214"/>
      <c r="AAE225" s="2214"/>
      <c r="AAF225" s="2214"/>
      <c r="AAG225" s="2214"/>
      <c r="AAH225" s="2214"/>
      <c r="AAI225" s="2214"/>
      <c r="AAJ225" s="2214"/>
      <c r="AAK225" s="2214"/>
      <c r="AAL225" s="2214"/>
      <c r="AAM225" s="2214"/>
      <c r="AAN225" s="2214"/>
      <c r="AAO225" s="2214"/>
      <c r="AAP225" s="2214"/>
      <c r="AAQ225" s="2214"/>
      <c r="AAR225" s="2214"/>
      <c r="AAS225" s="2214"/>
      <c r="AAT225" s="2214"/>
      <c r="AAU225" s="2214"/>
      <c r="AAV225" s="2214"/>
      <c r="AAW225" s="2214"/>
      <c r="AAX225" s="2214"/>
      <c r="AAY225" s="2214"/>
      <c r="AAZ225" s="2214"/>
      <c r="ABA225" s="2214"/>
      <c r="ABB225" s="2214"/>
      <c r="ABC225" s="2214"/>
      <c r="ABD225" s="2214"/>
      <c r="ABE225" s="2214"/>
      <c r="ABF225" s="2214"/>
      <c r="ABG225" s="2214"/>
      <c r="ABH225" s="2214"/>
      <c r="ABI225" s="2214"/>
      <c r="ABJ225" s="2214"/>
      <c r="ABK225" s="2214"/>
      <c r="ABL225" s="2214"/>
      <c r="ABM225" s="2214"/>
      <c r="ABN225" s="2214"/>
      <c r="ABO225" s="2214"/>
      <c r="ABP225" s="2214"/>
      <c r="ABQ225" s="2214"/>
      <c r="ABR225" s="2214"/>
      <c r="ABS225" s="2214"/>
      <c r="ABT225" s="2214"/>
      <c r="ABU225" s="2214"/>
      <c r="ABV225" s="2214"/>
      <c r="ABW225" s="2214"/>
      <c r="ABX225" s="2214"/>
      <c r="ABY225" s="2214"/>
      <c r="ABZ225" s="2214"/>
      <c r="ACA225" s="2214"/>
      <c r="ACB225" s="2214"/>
      <c r="ACC225" s="2214"/>
      <c r="ACD225" s="2214"/>
      <c r="ACE225" s="2214"/>
      <c r="ACF225" s="2214"/>
      <c r="ACG225" s="2214"/>
      <c r="ACH225" s="2214"/>
      <c r="ACI225" s="2214"/>
      <c r="ACJ225" s="2214"/>
      <c r="ACK225" s="2214"/>
      <c r="ACL225" s="2214"/>
      <c r="ACM225" s="2214"/>
      <c r="ACN225" s="2214"/>
      <c r="ACO225" s="2214"/>
      <c r="ACP225" s="2214"/>
      <c r="ACQ225" s="2214"/>
      <c r="ACR225" s="2214"/>
      <c r="ACS225" s="2214"/>
      <c r="ACT225" s="2214"/>
      <c r="ACU225" s="2214"/>
      <c r="ACV225" s="2214"/>
      <c r="ACW225" s="2214"/>
      <c r="ACX225" s="2214"/>
      <c r="ACY225" s="2214"/>
      <c r="ACZ225" s="2214"/>
      <c r="ADA225" s="2214"/>
      <c r="ADB225" s="2214"/>
      <c r="ADC225" s="2214"/>
      <c r="ADD225" s="2214"/>
      <c r="ADE225" s="2214"/>
      <c r="ADF225" s="2214"/>
      <c r="ADG225" s="2214"/>
      <c r="ADH225" s="2214"/>
      <c r="ADI225" s="2214"/>
      <c r="ADJ225" s="2214"/>
      <c r="ADK225" s="2214"/>
      <c r="ADL225" s="2214"/>
      <c r="ADM225" s="2214"/>
      <c r="ADN225" s="2214"/>
      <c r="ADO225" s="2214"/>
      <c r="ADP225" s="2214"/>
      <c r="ADQ225" s="2214"/>
      <c r="ADR225" s="2214"/>
      <c r="ADS225" s="2214"/>
      <c r="ADT225" s="2214"/>
      <c r="ADU225" s="2214"/>
      <c r="ADV225" s="2214"/>
      <c r="ADW225" s="2214"/>
      <c r="ADX225" s="2214"/>
      <c r="ADY225" s="2214"/>
      <c r="ADZ225" s="2214"/>
      <c r="AEA225" s="2214"/>
      <c r="AEB225" s="2214"/>
      <c r="AEC225" s="2214"/>
      <c r="AED225" s="2214"/>
      <c r="AEE225" s="2214"/>
      <c r="AEF225" s="2214"/>
      <c r="AEG225" s="2214"/>
      <c r="AEH225" s="2214"/>
      <c r="AEI225" s="2214"/>
      <c r="AEJ225" s="2214"/>
      <c r="AEK225" s="2214"/>
      <c r="AEL225" s="2214"/>
      <c r="AEM225" s="2214"/>
      <c r="AEN225" s="2214"/>
      <c r="AEO225" s="2214"/>
      <c r="AEP225" s="2214"/>
      <c r="AEQ225" s="2214"/>
      <c r="AER225" s="2214"/>
      <c r="AES225" s="2214"/>
      <c r="AET225" s="2214"/>
      <c r="AEU225" s="2214"/>
      <c r="AEV225" s="2214"/>
      <c r="AEW225" s="2214"/>
      <c r="AEX225" s="2214"/>
      <c r="AEY225" s="2214"/>
      <c r="AEZ225" s="2214"/>
      <c r="AFA225" s="2214"/>
      <c r="AFB225" s="2214"/>
      <c r="AFC225" s="2214"/>
      <c r="AFD225" s="2214"/>
      <c r="AFE225" s="2214"/>
      <c r="AFF225" s="2214"/>
      <c r="AFG225" s="2214"/>
      <c r="AFH225" s="2214"/>
      <c r="AFI225" s="2214"/>
      <c r="AFJ225" s="2214"/>
      <c r="AFK225" s="2214"/>
      <c r="AFL225" s="2214"/>
      <c r="AFM225" s="2214"/>
      <c r="AFN225" s="2214"/>
      <c r="AFO225" s="2214"/>
      <c r="AFP225" s="2214"/>
      <c r="AFQ225" s="2214"/>
      <c r="AFR225" s="2214"/>
      <c r="AFS225" s="2214"/>
      <c r="AFT225" s="2214"/>
      <c r="AFU225" s="2214"/>
      <c r="AFV225" s="2214"/>
      <c r="AFW225" s="2214"/>
      <c r="AFX225" s="2214"/>
      <c r="AFY225" s="2214"/>
      <c r="AFZ225" s="2214"/>
      <c r="AGA225" s="2214"/>
      <c r="AGB225" s="2214"/>
      <c r="AGC225" s="2214"/>
      <c r="AGD225" s="2214"/>
      <c r="AGE225" s="2214"/>
      <c r="AGF225" s="2214"/>
      <c r="AGG225" s="2214"/>
      <c r="AGH225" s="2214"/>
      <c r="AGI225" s="2214"/>
      <c r="AGJ225" s="2214"/>
      <c r="AGK225" s="2214"/>
      <c r="AGL225" s="2214"/>
      <c r="AGM225" s="2214"/>
      <c r="AGN225" s="2214"/>
      <c r="AGO225" s="2214"/>
      <c r="AGP225" s="2214"/>
      <c r="AGQ225" s="2214"/>
      <c r="AGR225" s="2214"/>
      <c r="AGS225" s="2214"/>
      <c r="AGT225" s="2214"/>
      <c r="AGU225" s="2214"/>
      <c r="AGV225" s="2214"/>
      <c r="AGW225" s="2214"/>
      <c r="AGX225" s="2214"/>
      <c r="AGY225" s="2214"/>
      <c r="AGZ225" s="2214"/>
      <c r="AHA225" s="2214"/>
      <c r="AHB225" s="2214"/>
      <c r="AHC225" s="2214"/>
      <c r="AHD225" s="2214"/>
      <c r="AHE225" s="2214"/>
      <c r="AHF225" s="2214"/>
      <c r="AHG225" s="2214"/>
      <c r="AHH225" s="2214"/>
      <c r="AHI225" s="2214"/>
      <c r="AHJ225" s="2214"/>
      <c r="AHK225" s="2214"/>
      <c r="AHL225" s="2214"/>
      <c r="AHM225" s="2214"/>
      <c r="AHN225" s="2214"/>
      <c r="AHO225" s="2214"/>
      <c r="AHP225" s="2214"/>
      <c r="AHQ225" s="2214"/>
      <c r="AHR225" s="2214"/>
      <c r="AHS225" s="2214"/>
      <c r="AHT225" s="2214"/>
      <c r="AHU225" s="2214"/>
      <c r="AHV225" s="2214"/>
      <c r="AHW225" s="2214"/>
      <c r="AHX225" s="2214"/>
      <c r="AHY225" s="2214"/>
      <c r="AHZ225" s="2214"/>
      <c r="AIA225" s="2214"/>
      <c r="AIB225" s="2214"/>
      <c r="AIC225" s="2214"/>
      <c r="AID225" s="2214"/>
      <c r="AIE225" s="2214"/>
      <c r="AIF225" s="2214"/>
      <c r="AIG225" s="2214"/>
      <c r="AIH225" s="2214"/>
      <c r="AII225" s="2214"/>
      <c r="AIJ225" s="2214"/>
      <c r="AIK225" s="2214"/>
      <c r="AIL225" s="2214"/>
      <c r="AIM225" s="2214"/>
      <c r="AIN225" s="2214"/>
      <c r="AIO225" s="2214"/>
      <c r="AIP225" s="2214"/>
      <c r="AIQ225" s="2214"/>
      <c r="AIR225" s="2214"/>
      <c r="AIS225" s="2214"/>
      <c r="AIT225" s="2214"/>
      <c r="AIU225" s="2214"/>
      <c r="AIV225" s="2214"/>
      <c r="AIW225" s="2214"/>
      <c r="AIX225" s="2214"/>
      <c r="AIY225" s="2214"/>
      <c r="AIZ225" s="2214"/>
      <c r="AJA225" s="2214"/>
      <c r="AJB225" s="2214"/>
      <c r="AJC225" s="2214"/>
      <c r="AJD225" s="2214"/>
      <c r="AJE225" s="2214"/>
      <c r="AJF225" s="2214"/>
      <c r="AJG225" s="2214"/>
      <c r="AJH225" s="2214"/>
      <c r="AJI225" s="2214"/>
      <c r="AJJ225" s="2214"/>
      <c r="AJK225" s="2214"/>
      <c r="AJL225" s="2214"/>
      <c r="AJM225" s="2214"/>
      <c r="AJN225" s="2214"/>
      <c r="AJO225" s="2214"/>
      <c r="AJP225" s="2214"/>
      <c r="AJQ225" s="2214"/>
      <c r="AJR225" s="2214"/>
      <c r="AJS225" s="2214"/>
      <c r="AJT225" s="2214"/>
      <c r="AJU225" s="2214"/>
      <c r="AJV225" s="2214"/>
      <c r="AJW225" s="2214"/>
      <c r="AJX225" s="2214"/>
      <c r="AJY225" s="2214"/>
      <c r="AJZ225" s="2214"/>
      <c r="AKA225" s="2214"/>
      <c r="AKB225" s="2214"/>
      <c r="AKC225" s="2214"/>
      <c r="AKD225" s="2214"/>
      <c r="AKE225" s="2214"/>
      <c r="AKF225" s="2214"/>
      <c r="AKG225" s="2214"/>
      <c r="AKH225" s="2214"/>
      <c r="AKI225" s="2214"/>
      <c r="AKJ225" s="2214"/>
      <c r="AKK225" s="2214"/>
      <c r="AKL225" s="2214"/>
      <c r="AKM225" s="2214"/>
      <c r="AKN225" s="2214"/>
      <c r="AKO225" s="2214"/>
      <c r="AKP225" s="2214"/>
      <c r="AKQ225" s="2214"/>
      <c r="AKR225" s="2214"/>
      <c r="AKS225" s="2214"/>
      <c r="AKT225" s="2214"/>
      <c r="AKU225" s="2214"/>
      <c r="AKV225" s="2214"/>
      <c r="AKW225" s="2214"/>
      <c r="AKX225" s="2214"/>
      <c r="AKY225" s="2214"/>
      <c r="AKZ225" s="2214"/>
      <c r="ALA225" s="2214"/>
      <c r="ALB225" s="2214"/>
      <c r="ALC225" s="2214"/>
      <c r="ALD225" s="2214"/>
      <c r="ALE225" s="2214"/>
      <c r="ALF225" s="2214"/>
      <c r="ALG225" s="2214"/>
      <c r="ALH225" s="2214"/>
      <c r="ALI225" s="2214"/>
      <c r="ALJ225" s="2214"/>
      <c r="ALK225" s="2214"/>
      <c r="ALL225" s="2214"/>
      <c r="ALM225" s="2214"/>
      <c r="ALN225" s="2214"/>
      <c r="ALO225" s="2214"/>
      <c r="ALP225" s="2214"/>
      <c r="ALQ225" s="2214"/>
      <c r="ALR225" s="2214"/>
      <c r="ALS225" s="2214"/>
      <c r="ALT225" s="2214"/>
      <c r="ALU225" s="2214"/>
      <c r="ALV225" s="2214"/>
      <c r="ALW225" s="2214"/>
      <c r="ALX225" s="2214"/>
      <c r="ALY225" s="2214"/>
      <c r="ALZ225" s="2214"/>
      <c r="AMA225" s="2214"/>
      <c r="AMB225" s="2214"/>
      <c r="AMC225" s="2214"/>
      <c r="AMD225" s="2214"/>
      <c r="AME225" s="2214"/>
      <c r="AMF225" s="2214"/>
      <c r="AMG225" s="2214"/>
      <c r="AMH225" s="2214"/>
      <c r="AMI225" s="2214"/>
      <c r="AMJ225" s="2214"/>
      <c r="AMK225" s="2214"/>
      <c r="AML225" s="2214"/>
      <c r="AMM225" s="2214"/>
      <c r="AMN225" s="2214"/>
      <c r="AMO225" s="2214"/>
      <c r="AMP225" s="2214"/>
      <c r="AMQ225" s="2214"/>
      <c r="AMR225" s="2214"/>
      <c r="AMS225" s="2214"/>
      <c r="AMT225" s="2214"/>
      <c r="AMU225" s="2214"/>
      <c r="AMV225" s="2214"/>
      <c r="AMW225" s="2214"/>
      <c r="AMX225" s="2214"/>
      <c r="AMY225" s="2214"/>
      <c r="AMZ225" s="2214"/>
      <c r="ANA225" s="2214"/>
      <c r="ANB225" s="2214"/>
      <c r="ANC225" s="2214"/>
      <c r="AND225" s="2214"/>
      <c r="ANE225" s="2214"/>
      <c r="ANF225" s="2214"/>
      <c r="ANG225" s="2214"/>
      <c r="ANH225" s="2214"/>
      <c r="ANI225" s="2214"/>
      <c r="ANJ225" s="2214"/>
      <c r="ANK225" s="2214"/>
      <c r="ANL225" s="2214"/>
      <c r="ANM225" s="2214"/>
      <c r="ANN225" s="2214"/>
      <c r="ANO225" s="2214"/>
      <c r="ANP225" s="2214"/>
      <c r="ANQ225" s="2214"/>
      <c r="ANR225" s="2214"/>
      <c r="ANS225" s="2214"/>
      <c r="ANT225" s="2214"/>
      <c r="ANU225" s="2214"/>
      <c r="ANV225" s="2214"/>
      <c r="ANW225" s="2214"/>
      <c r="ANX225" s="2214"/>
      <c r="ANY225" s="2214"/>
      <c r="ANZ225" s="2214"/>
      <c r="AOA225" s="2214"/>
      <c r="AOB225" s="2214"/>
      <c r="AOC225" s="2214"/>
      <c r="AOD225" s="2214"/>
      <c r="AOE225" s="2214"/>
      <c r="AOF225" s="2214"/>
      <c r="AOG225" s="2214"/>
      <c r="AOH225" s="2214"/>
      <c r="AOI225" s="2214"/>
      <c r="AOJ225" s="2214"/>
      <c r="AOK225" s="2214"/>
      <c r="AOL225" s="2214"/>
      <c r="AOM225" s="2214"/>
      <c r="AON225" s="2214"/>
      <c r="AOO225" s="2214"/>
      <c r="AOP225" s="2214"/>
      <c r="AOQ225" s="2214"/>
      <c r="AOR225" s="2214"/>
      <c r="AOS225" s="2214"/>
      <c r="AOT225" s="2214"/>
      <c r="AOU225" s="2214"/>
      <c r="AOV225" s="2214"/>
      <c r="AOW225" s="2214"/>
      <c r="AOX225" s="2214"/>
      <c r="AOY225" s="2214"/>
      <c r="AOZ225" s="2214"/>
      <c r="APA225" s="2214"/>
      <c r="APB225" s="2214"/>
      <c r="APC225" s="2214"/>
      <c r="APD225" s="2214"/>
      <c r="APE225" s="2214"/>
      <c r="APF225" s="2214"/>
      <c r="APG225" s="2214"/>
      <c r="APH225" s="2214"/>
      <c r="API225" s="2214"/>
      <c r="APJ225" s="2214"/>
      <c r="APK225" s="2214"/>
      <c r="APL225" s="2214"/>
      <c r="APM225" s="2214"/>
      <c r="APN225" s="2214"/>
      <c r="APO225" s="2214"/>
      <c r="APP225" s="2214"/>
      <c r="APQ225" s="2214"/>
      <c r="APR225" s="2214"/>
      <c r="APS225" s="2214"/>
      <c r="APT225" s="2214"/>
      <c r="APU225" s="2214"/>
      <c r="APV225" s="2214"/>
      <c r="APW225" s="2214"/>
      <c r="APX225" s="2214"/>
      <c r="APY225" s="2214"/>
      <c r="APZ225" s="2214"/>
      <c r="AQA225" s="2214"/>
      <c r="AQB225" s="2214"/>
      <c r="AQC225" s="2214"/>
      <c r="AQD225" s="2214"/>
      <c r="AQE225" s="2214"/>
      <c r="AQF225" s="2214"/>
      <c r="AQG225" s="2214"/>
      <c r="AQH225" s="2214"/>
      <c r="AQI225" s="2214"/>
      <c r="AQJ225" s="2214"/>
      <c r="AQK225" s="2214"/>
      <c r="AQL225" s="2214"/>
      <c r="AQM225" s="2214"/>
      <c r="AQN225" s="2214"/>
      <c r="AQO225" s="2214"/>
      <c r="AQP225" s="2214"/>
      <c r="AQQ225" s="2214"/>
      <c r="AQR225" s="2214"/>
      <c r="AQS225" s="2214"/>
      <c r="AQT225" s="2214"/>
      <c r="AQU225" s="2214"/>
      <c r="AQV225" s="2214"/>
      <c r="AQW225" s="2214"/>
      <c r="AQX225" s="2214"/>
      <c r="AQY225" s="2214"/>
      <c r="AQZ225" s="2214"/>
      <c r="ARA225" s="2214"/>
      <c r="ARB225" s="2214"/>
      <c r="ARC225" s="2214"/>
      <c r="ARD225" s="2214"/>
      <c r="ARE225" s="2214"/>
      <c r="ARF225" s="2214"/>
      <c r="ARG225" s="2214"/>
      <c r="ARH225" s="2214"/>
      <c r="ARI225" s="2214"/>
      <c r="ARJ225" s="2214"/>
      <c r="ARK225" s="2214"/>
      <c r="ARL225" s="2214"/>
      <c r="ARM225" s="2214"/>
      <c r="ARN225" s="2214"/>
      <c r="ARO225" s="2214"/>
      <c r="ARP225" s="2214"/>
      <c r="ARQ225" s="2214"/>
      <c r="ARR225" s="2214"/>
      <c r="ARS225" s="2214"/>
      <c r="ART225" s="2214"/>
      <c r="ARU225" s="2214"/>
      <c r="ARV225" s="2214"/>
      <c r="ARW225" s="2214"/>
      <c r="ARX225" s="2214"/>
      <c r="ARY225" s="2214"/>
      <c r="ARZ225" s="2214"/>
      <c r="ASA225" s="2214"/>
      <c r="ASB225" s="2214"/>
      <c r="ASC225" s="2214"/>
      <c r="ASD225" s="2214"/>
      <c r="ASE225" s="2214"/>
      <c r="ASF225" s="2214"/>
      <c r="ASG225" s="2214"/>
      <c r="ASH225" s="2214"/>
      <c r="ASI225" s="2214"/>
      <c r="ASJ225" s="2214"/>
      <c r="ASK225" s="2214"/>
      <c r="ASL225" s="2214"/>
      <c r="ASM225" s="2214"/>
      <c r="ASN225" s="2214"/>
      <c r="ASO225" s="2214"/>
      <c r="ASP225" s="2214"/>
      <c r="ASQ225" s="2214"/>
      <c r="ASR225" s="2214"/>
      <c r="ASS225" s="2214"/>
      <c r="AST225" s="2214"/>
      <c r="ASU225" s="2214"/>
      <c r="ASV225" s="2214"/>
      <c r="ASW225" s="2214"/>
      <c r="ASX225" s="2214"/>
      <c r="ASY225" s="2214"/>
      <c r="ASZ225" s="2214"/>
      <c r="ATA225" s="2214"/>
      <c r="ATB225" s="2214"/>
      <c r="ATC225" s="2214"/>
      <c r="ATD225" s="2214"/>
      <c r="ATE225" s="2214"/>
      <c r="ATF225" s="2214"/>
      <c r="ATG225" s="2214"/>
      <c r="ATH225" s="2214"/>
      <c r="ATI225" s="2214"/>
      <c r="ATJ225" s="2214"/>
      <c r="ATK225" s="2214"/>
      <c r="ATL225" s="2214"/>
      <c r="ATM225" s="2214"/>
      <c r="ATN225" s="2214"/>
      <c r="ATO225" s="2214"/>
      <c r="ATP225" s="2214"/>
      <c r="ATQ225" s="2214"/>
      <c r="ATR225" s="2214"/>
      <c r="ATS225" s="2214"/>
      <c r="ATT225" s="2214"/>
      <c r="ATU225" s="2214"/>
      <c r="ATV225" s="2214"/>
      <c r="ATW225" s="2214"/>
      <c r="ATX225" s="2214"/>
      <c r="ATY225" s="2214"/>
      <c r="ATZ225" s="2214"/>
      <c r="AUA225" s="2214"/>
      <c r="AUB225" s="2214"/>
      <c r="AUC225" s="2214"/>
      <c r="AUD225" s="2214"/>
      <c r="AUE225" s="2214"/>
      <c r="AUF225" s="2214"/>
      <c r="AUG225" s="2214"/>
      <c r="AUH225" s="2214"/>
      <c r="AUI225" s="2214"/>
      <c r="AUJ225" s="2214"/>
      <c r="AUK225" s="2214"/>
      <c r="AUL225" s="2214"/>
      <c r="AUM225" s="2214"/>
      <c r="AUN225" s="2214"/>
      <c r="AUO225" s="2214"/>
      <c r="AUP225" s="2214"/>
      <c r="AUQ225" s="2214"/>
      <c r="AUR225" s="2214"/>
      <c r="AUS225" s="2214"/>
      <c r="AUT225" s="2214"/>
      <c r="AUU225" s="2214"/>
      <c r="AUV225" s="2214"/>
      <c r="AUW225" s="2214"/>
      <c r="AUX225" s="2214"/>
      <c r="AUY225" s="2214"/>
      <c r="AUZ225" s="2214"/>
      <c r="AVA225" s="2214"/>
      <c r="AVB225" s="2214"/>
      <c r="AVC225" s="2214"/>
      <c r="AVD225" s="2214"/>
      <c r="AVE225" s="2214"/>
      <c r="AVF225" s="2214"/>
      <c r="AVG225" s="2214"/>
      <c r="AVH225" s="2214"/>
      <c r="AVI225" s="2214"/>
      <c r="AVJ225" s="2214"/>
      <c r="AVK225" s="2214"/>
      <c r="AVL225" s="2214"/>
      <c r="AVM225" s="2214"/>
      <c r="AVN225" s="2214"/>
      <c r="AVO225" s="2214"/>
      <c r="AVP225" s="2214"/>
      <c r="AVQ225" s="2214"/>
      <c r="AVR225" s="2214"/>
      <c r="AVS225" s="2214"/>
      <c r="AVT225" s="2214"/>
      <c r="AVU225" s="2214"/>
      <c r="AVV225" s="2214"/>
      <c r="AVW225" s="2214"/>
      <c r="AVX225" s="2214"/>
      <c r="AVY225" s="2214"/>
      <c r="AVZ225" s="2214"/>
      <c r="AWA225" s="2214"/>
      <c r="AWB225" s="2214"/>
      <c r="AWC225" s="2214"/>
      <c r="AWD225" s="2214"/>
      <c r="AWE225" s="2214"/>
      <c r="AWF225" s="2214"/>
      <c r="AWG225" s="2214"/>
      <c r="AWH225" s="2214"/>
      <c r="AWI225" s="2214"/>
      <c r="AWJ225" s="2214"/>
      <c r="AWK225" s="2214"/>
      <c r="AWL225" s="2214"/>
      <c r="AWM225" s="2214"/>
      <c r="AWN225" s="2214"/>
      <c r="AWO225" s="2214"/>
      <c r="AWP225" s="2214"/>
      <c r="AWQ225" s="2214"/>
      <c r="AWR225" s="2214"/>
      <c r="AWS225" s="2214"/>
      <c r="AWT225" s="2214"/>
      <c r="AWU225" s="2214"/>
      <c r="AWV225" s="2214"/>
      <c r="AWW225" s="2214"/>
      <c r="AWX225" s="2214"/>
      <c r="AWY225" s="2214"/>
      <c r="AWZ225" s="2214"/>
      <c r="AXA225" s="2214"/>
      <c r="AXB225" s="2214"/>
      <c r="AXC225" s="2214"/>
      <c r="AXD225" s="2214"/>
      <c r="AXE225" s="2214"/>
      <c r="AXF225" s="2214"/>
      <c r="AXG225" s="2214"/>
      <c r="AXH225" s="2214"/>
      <c r="AXI225" s="2214"/>
      <c r="AXJ225" s="2214"/>
    </row>
    <row r="226" spans="1:1310" s="2215" customFormat="1" ht="23.25" customHeight="1">
      <c r="A226" s="756"/>
      <c r="B226" s="9016" t="s">
        <v>1575</v>
      </c>
      <c r="C226" s="9016"/>
      <c r="D226" s="9016"/>
      <c r="E226" s="9016"/>
      <c r="F226" s="750"/>
      <c r="G226" s="9016" t="s">
        <v>1576</v>
      </c>
      <c r="H226" s="9016"/>
      <c r="I226" s="9016"/>
      <c r="J226" s="750"/>
      <c r="K226" s="9019" t="s">
        <v>1577</v>
      </c>
      <c r="L226" s="9019"/>
      <c r="M226" s="9019"/>
      <c r="N226" s="750"/>
      <c r="O226" s="9016" t="s">
        <v>1578</v>
      </c>
      <c r="P226" s="9016"/>
      <c r="Q226" s="750"/>
      <c r="R226" s="311"/>
      <c r="S226" s="311"/>
      <c r="T226" s="311"/>
      <c r="U226" s="311"/>
      <c r="V226" s="311"/>
      <c r="W226" s="311"/>
      <c r="X226" s="311"/>
      <c r="Y226" s="311"/>
      <c r="Z226" s="311"/>
      <c r="AA226" s="311"/>
      <c r="AB226" s="311"/>
      <c r="AC226" s="311"/>
      <c r="AD226" s="2214"/>
      <c r="AE226" s="2214"/>
      <c r="AF226" s="2214"/>
      <c r="AG226" s="2214"/>
      <c r="AH226" s="2214"/>
      <c r="AI226" s="2214"/>
      <c r="AJ226" s="2214"/>
      <c r="AK226" s="2214"/>
      <c r="AL226" s="2214"/>
      <c r="AM226" s="2214"/>
      <c r="AN226" s="2214"/>
      <c r="AO226" s="2214"/>
      <c r="AP226" s="2214"/>
      <c r="AQ226" s="2214"/>
      <c r="AR226" s="2214"/>
      <c r="AS226" s="2214"/>
      <c r="AT226" s="2214"/>
      <c r="AU226" s="2214"/>
      <c r="AV226" s="2214"/>
      <c r="AW226" s="2214"/>
      <c r="AX226" s="2214"/>
      <c r="AY226" s="2214"/>
      <c r="AZ226" s="2214"/>
      <c r="BA226" s="2214"/>
      <c r="BB226" s="2214"/>
      <c r="BC226" s="2214"/>
      <c r="BD226" s="2214"/>
      <c r="BE226" s="2214"/>
      <c r="BF226" s="2214"/>
      <c r="BG226" s="2214"/>
      <c r="BH226" s="2214"/>
      <c r="BI226" s="2214"/>
      <c r="BJ226" s="2214"/>
      <c r="BK226" s="2214"/>
      <c r="BL226" s="2214"/>
      <c r="BM226" s="2214"/>
      <c r="BN226" s="2214"/>
      <c r="BO226" s="2214"/>
      <c r="BP226" s="2214"/>
      <c r="BQ226" s="2214"/>
      <c r="BR226" s="2214"/>
      <c r="BS226" s="2214"/>
      <c r="BT226" s="2214"/>
      <c r="BU226" s="2214"/>
      <c r="BV226" s="2214"/>
      <c r="BW226" s="2214"/>
      <c r="BX226" s="2214"/>
      <c r="BY226" s="2214"/>
      <c r="BZ226" s="2214"/>
      <c r="CA226" s="2214"/>
      <c r="CB226" s="2214"/>
      <c r="CC226" s="2214"/>
      <c r="CD226" s="2214"/>
      <c r="CE226" s="2214"/>
      <c r="CF226" s="2214"/>
      <c r="CG226" s="2214"/>
      <c r="CH226" s="2214"/>
      <c r="CI226" s="2214"/>
      <c r="CJ226" s="2214"/>
      <c r="CK226" s="2214"/>
      <c r="CL226" s="2214"/>
      <c r="CM226" s="2214"/>
      <c r="CN226" s="2214"/>
      <c r="CO226" s="2214"/>
      <c r="CP226" s="2214"/>
      <c r="CQ226" s="2214"/>
      <c r="CR226" s="2214"/>
      <c r="CS226" s="2214"/>
      <c r="CT226" s="2214"/>
      <c r="CU226" s="2214"/>
      <c r="CV226" s="2214"/>
      <c r="CW226" s="2214"/>
      <c r="CX226" s="2214"/>
      <c r="CY226" s="2214"/>
      <c r="CZ226" s="2214"/>
      <c r="DA226" s="2214"/>
      <c r="DB226" s="2214"/>
      <c r="DC226" s="2214"/>
      <c r="DD226" s="2214"/>
      <c r="DE226" s="2214"/>
      <c r="DF226" s="2214"/>
      <c r="DG226" s="2214"/>
      <c r="DH226" s="2214"/>
      <c r="DI226" s="2214"/>
      <c r="DJ226" s="2214"/>
      <c r="DK226" s="2214"/>
      <c r="DL226" s="2214"/>
      <c r="DM226" s="2214"/>
      <c r="DN226" s="2214"/>
      <c r="DO226" s="2214"/>
      <c r="DP226" s="2214"/>
      <c r="DQ226" s="2214"/>
      <c r="DR226" s="2214"/>
      <c r="DS226" s="2214"/>
      <c r="DT226" s="2214"/>
      <c r="DU226" s="2214"/>
      <c r="DV226" s="2214"/>
      <c r="DW226" s="2214"/>
      <c r="DX226" s="2214"/>
      <c r="DY226" s="2214"/>
      <c r="DZ226" s="2214"/>
      <c r="EA226" s="2214"/>
      <c r="EB226" s="2214"/>
      <c r="EC226" s="2214"/>
      <c r="ED226" s="2214"/>
      <c r="EE226" s="2214"/>
      <c r="EF226" s="2214"/>
      <c r="EG226" s="2214"/>
      <c r="EH226" s="2214"/>
      <c r="EI226" s="2214"/>
      <c r="EJ226" s="2214"/>
      <c r="EK226" s="2214"/>
      <c r="EL226" s="2214"/>
      <c r="EM226" s="2214"/>
      <c r="EN226" s="2214"/>
      <c r="EO226" s="2214"/>
      <c r="EP226" s="2214"/>
      <c r="EQ226" s="2214"/>
      <c r="ER226" s="2214"/>
      <c r="ES226" s="2214"/>
      <c r="ET226" s="2214"/>
      <c r="EU226" s="2214"/>
      <c r="EV226" s="2214"/>
      <c r="EW226" s="2214"/>
      <c r="EX226" s="2214"/>
      <c r="EY226" s="2214"/>
      <c r="EZ226" s="2214"/>
      <c r="FA226" s="2214"/>
      <c r="FB226" s="2214"/>
      <c r="FC226" s="2214"/>
      <c r="FD226" s="2214"/>
      <c r="FE226" s="2214"/>
      <c r="FF226" s="2214"/>
      <c r="FG226" s="2214"/>
      <c r="FH226" s="2214"/>
      <c r="FI226" s="2214"/>
      <c r="FJ226" s="2214"/>
      <c r="FK226" s="2214"/>
      <c r="FL226" s="2214"/>
      <c r="FM226" s="2214"/>
      <c r="FN226" s="2214"/>
      <c r="FO226" s="2214"/>
      <c r="FP226" s="2214"/>
      <c r="FQ226" s="2214"/>
      <c r="FR226" s="2214"/>
      <c r="FS226" s="2214"/>
      <c r="FT226" s="2214"/>
      <c r="FU226" s="2214"/>
      <c r="FV226" s="2214"/>
      <c r="FW226" s="2214"/>
      <c r="FX226" s="2214"/>
      <c r="FY226" s="2214"/>
      <c r="FZ226" s="2214"/>
      <c r="GA226" s="2214"/>
      <c r="GB226" s="2214"/>
      <c r="GC226" s="2214"/>
      <c r="GD226" s="2214"/>
      <c r="GE226" s="2214"/>
      <c r="GF226" s="2214"/>
      <c r="GG226" s="2214"/>
      <c r="GH226" s="2214"/>
      <c r="GI226" s="2214"/>
      <c r="GJ226" s="2214"/>
      <c r="GK226" s="2214"/>
      <c r="GL226" s="2214"/>
      <c r="GM226" s="2214"/>
      <c r="GN226" s="2214"/>
      <c r="GO226" s="2214"/>
      <c r="GP226" s="2214"/>
      <c r="GQ226" s="2214"/>
      <c r="GR226" s="2214"/>
      <c r="GS226" s="2214"/>
      <c r="GT226" s="2214"/>
      <c r="GU226" s="2214"/>
      <c r="GV226" s="2214"/>
      <c r="GW226" s="2214"/>
      <c r="GX226" s="2214"/>
      <c r="GY226" s="2214"/>
      <c r="GZ226" s="2214"/>
      <c r="HA226" s="2214"/>
      <c r="HB226" s="2214"/>
      <c r="HC226" s="2214"/>
      <c r="HD226" s="2214"/>
      <c r="HE226" s="2214"/>
      <c r="HF226" s="2214"/>
      <c r="HG226" s="2214"/>
      <c r="HH226" s="2214"/>
      <c r="HI226" s="2214"/>
      <c r="HJ226" s="2214"/>
      <c r="HK226" s="2214"/>
      <c r="HL226" s="2214"/>
      <c r="HM226" s="2214"/>
      <c r="HN226" s="2214"/>
      <c r="HO226" s="2214"/>
      <c r="HP226" s="2214"/>
      <c r="HQ226" s="2214"/>
      <c r="HR226" s="2214"/>
      <c r="HS226" s="2214"/>
      <c r="HT226" s="2214"/>
      <c r="HU226" s="2214"/>
      <c r="HV226" s="2214"/>
      <c r="HW226" s="2214"/>
      <c r="HX226" s="2214"/>
      <c r="HY226" s="2214"/>
      <c r="HZ226" s="2214"/>
      <c r="IA226" s="2214"/>
      <c r="IB226" s="2214"/>
      <c r="IC226" s="2214"/>
      <c r="ID226" s="2214"/>
      <c r="IE226" s="2214"/>
      <c r="IF226" s="2214"/>
      <c r="IG226" s="2214"/>
      <c r="IH226" s="2214"/>
      <c r="II226" s="2214"/>
      <c r="IJ226" s="2214"/>
      <c r="IK226" s="2214"/>
      <c r="IL226" s="2214"/>
      <c r="IM226" s="2214"/>
      <c r="IN226" s="2214"/>
      <c r="IO226" s="2214"/>
      <c r="IP226" s="2214"/>
      <c r="IQ226" s="2214"/>
      <c r="IR226" s="2214"/>
      <c r="IS226" s="2214"/>
      <c r="IT226" s="2214"/>
      <c r="IU226" s="2214"/>
      <c r="IV226" s="2214"/>
      <c r="IW226" s="2214"/>
      <c r="IX226" s="2214"/>
      <c r="IY226" s="2214"/>
      <c r="IZ226" s="2214"/>
      <c r="JA226" s="2214"/>
      <c r="JB226" s="2214"/>
      <c r="JC226" s="2214"/>
      <c r="JD226" s="2214"/>
      <c r="JE226" s="2214"/>
      <c r="JF226" s="2214"/>
      <c r="JG226" s="2214"/>
      <c r="JH226" s="2214"/>
      <c r="JI226" s="2214"/>
      <c r="JJ226" s="2214"/>
      <c r="JK226" s="2214"/>
      <c r="JL226" s="2214"/>
      <c r="JM226" s="2214"/>
      <c r="JN226" s="2214"/>
      <c r="JO226" s="2214"/>
      <c r="JP226" s="2214"/>
      <c r="JQ226" s="2214"/>
      <c r="JR226" s="2214"/>
      <c r="JS226" s="2214"/>
      <c r="JT226" s="2214"/>
      <c r="JU226" s="2214"/>
      <c r="JV226" s="2214"/>
      <c r="JW226" s="2214"/>
      <c r="JX226" s="2214"/>
      <c r="JY226" s="2214"/>
      <c r="JZ226" s="2214"/>
      <c r="KA226" s="2214"/>
      <c r="KB226" s="2214"/>
      <c r="KC226" s="2214"/>
      <c r="KD226" s="2214"/>
      <c r="KE226" s="2214"/>
      <c r="KF226" s="2214"/>
      <c r="KG226" s="2214"/>
      <c r="KH226" s="2214"/>
      <c r="KI226" s="2214"/>
      <c r="KJ226" s="2214"/>
      <c r="KK226" s="2214"/>
      <c r="KL226" s="2214"/>
      <c r="KM226" s="2214"/>
      <c r="KN226" s="2214"/>
      <c r="KO226" s="2214"/>
      <c r="KP226" s="2214"/>
      <c r="KQ226" s="2214"/>
      <c r="KR226" s="2214"/>
      <c r="KS226" s="2214"/>
      <c r="KT226" s="2214"/>
      <c r="KU226" s="2214"/>
      <c r="KV226" s="2214"/>
      <c r="KW226" s="2214"/>
      <c r="KX226" s="2214"/>
      <c r="KY226" s="2214"/>
      <c r="KZ226" s="2214"/>
      <c r="LA226" s="2214"/>
      <c r="LB226" s="2214"/>
      <c r="LC226" s="2214"/>
      <c r="LD226" s="2214"/>
      <c r="LE226" s="2214"/>
      <c r="LF226" s="2214"/>
      <c r="LG226" s="2214"/>
      <c r="LH226" s="2214"/>
      <c r="LI226" s="2214"/>
      <c r="LJ226" s="2214"/>
      <c r="LK226" s="2214"/>
      <c r="LL226" s="2214"/>
      <c r="LM226" s="2214"/>
      <c r="LN226" s="2214"/>
      <c r="LO226" s="2214"/>
      <c r="LP226" s="2214"/>
      <c r="LQ226" s="2214"/>
      <c r="LR226" s="2214"/>
      <c r="LS226" s="2214"/>
      <c r="LT226" s="2214"/>
      <c r="LU226" s="2214"/>
      <c r="LV226" s="2214"/>
      <c r="LW226" s="2214"/>
      <c r="LX226" s="2214"/>
      <c r="LY226" s="2214"/>
      <c r="LZ226" s="2214"/>
      <c r="MA226" s="2214"/>
      <c r="MB226" s="2214"/>
      <c r="MC226" s="2214"/>
      <c r="MD226" s="2214"/>
      <c r="ME226" s="2214"/>
      <c r="MF226" s="2214"/>
      <c r="MG226" s="2214"/>
      <c r="MH226" s="2214"/>
      <c r="MI226" s="2214"/>
      <c r="MJ226" s="2214"/>
      <c r="MK226" s="2214"/>
      <c r="ML226" s="2214"/>
      <c r="MM226" s="2214"/>
      <c r="MN226" s="2214"/>
      <c r="MO226" s="2214"/>
      <c r="MP226" s="2214"/>
      <c r="MQ226" s="2214"/>
      <c r="MR226" s="2214"/>
      <c r="MS226" s="2214"/>
      <c r="MT226" s="2214"/>
      <c r="MU226" s="2214"/>
      <c r="MV226" s="2214"/>
      <c r="MW226" s="2214"/>
      <c r="MX226" s="2214"/>
      <c r="MY226" s="2214"/>
      <c r="MZ226" s="2214"/>
      <c r="NA226" s="2214"/>
      <c r="NB226" s="2214"/>
      <c r="NC226" s="2214"/>
      <c r="ND226" s="2214"/>
      <c r="NE226" s="2214"/>
      <c r="NF226" s="2214"/>
      <c r="NG226" s="2214"/>
      <c r="NH226" s="2214"/>
      <c r="NI226" s="2214"/>
      <c r="NJ226" s="2214"/>
      <c r="NK226" s="2214"/>
      <c r="NL226" s="2214"/>
      <c r="NM226" s="2214"/>
      <c r="NN226" s="2214"/>
      <c r="NO226" s="2214"/>
      <c r="NP226" s="2214"/>
      <c r="NQ226" s="2214"/>
      <c r="NR226" s="2214"/>
      <c r="NS226" s="2214"/>
      <c r="NT226" s="2214"/>
      <c r="NU226" s="2214"/>
      <c r="NV226" s="2214"/>
      <c r="NW226" s="2214"/>
      <c r="NX226" s="2214"/>
      <c r="NY226" s="2214"/>
      <c r="NZ226" s="2214"/>
      <c r="OA226" s="2214"/>
      <c r="OB226" s="2214"/>
      <c r="OC226" s="2214"/>
      <c r="OD226" s="2214"/>
      <c r="OE226" s="2214"/>
      <c r="OF226" s="2214"/>
      <c r="OG226" s="2214"/>
      <c r="OH226" s="2214"/>
      <c r="OI226" s="2214"/>
      <c r="OJ226" s="2214"/>
      <c r="OK226" s="2214"/>
      <c r="OL226" s="2214"/>
      <c r="OM226" s="2214"/>
      <c r="ON226" s="2214"/>
      <c r="OO226" s="2214"/>
      <c r="OP226" s="2214"/>
      <c r="OQ226" s="2214"/>
      <c r="OR226" s="2214"/>
      <c r="OS226" s="2214"/>
      <c r="OT226" s="2214"/>
      <c r="OU226" s="2214"/>
      <c r="OV226" s="2214"/>
      <c r="OW226" s="2214"/>
      <c r="OX226" s="2214"/>
      <c r="OY226" s="2214"/>
      <c r="OZ226" s="2214"/>
      <c r="PA226" s="2214"/>
      <c r="PB226" s="2214"/>
      <c r="PC226" s="2214"/>
      <c r="PD226" s="2214"/>
      <c r="PE226" s="2214"/>
      <c r="PF226" s="2214"/>
      <c r="PG226" s="2214"/>
      <c r="PH226" s="2214"/>
      <c r="PI226" s="2214"/>
      <c r="PJ226" s="2214"/>
      <c r="PK226" s="2214"/>
      <c r="PL226" s="2214"/>
      <c r="PM226" s="2214"/>
      <c r="PN226" s="2214"/>
      <c r="PO226" s="2214"/>
      <c r="PP226" s="2214"/>
      <c r="PQ226" s="2214"/>
      <c r="PR226" s="2214"/>
      <c r="PS226" s="2214"/>
      <c r="PT226" s="2214"/>
      <c r="PU226" s="2214"/>
      <c r="PV226" s="2214"/>
      <c r="PW226" s="2214"/>
      <c r="PX226" s="2214"/>
      <c r="PY226" s="2214"/>
      <c r="PZ226" s="2214"/>
      <c r="QA226" s="2214"/>
      <c r="QB226" s="2214"/>
      <c r="QC226" s="2214"/>
      <c r="QD226" s="2214"/>
      <c r="QE226" s="2214"/>
      <c r="QF226" s="2214"/>
      <c r="QG226" s="2214"/>
      <c r="QH226" s="2214"/>
      <c r="QI226" s="2214"/>
      <c r="QJ226" s="2214"/>
      <c r="QK226" s="2214"/>
      <c r="QL226" s="2214"/>
      <c r="QM226" s="2214"/>
      <c r="QN226" s="2214"/>
      <c r="QO226" s="2214"/>
      <c r="QP226" s="2214"/>
      <c r="QQ226" s="2214"/>
      <c r="QR226" s="2214"/>
      <c r="QS226" s="2214"/>
      <c r="QT226" s="2214"/>
      <c r="QU226" s="2214"/>
      <c r="QV226" s="2214"/>
      <c r="QW226" s="2214"/>
      <c r="QX226" s="2214"/>
      <c r="QY226" s="2214"/>
      <c r="QZ226" s="2214"/>
      <c r="RA226" s="2214"/>
      <c r="RB226" s="2214"/>
      <c r="RC226" s="2214"/>
      <c r="RD226" s="2214"/>
      <c r="RE226" s="2214"/>
      <c r="RF226" s="2214"/>
      <c r="RG226" s="2214"/>
      <c r="RH226" s="2214"/>
      <c r="RI226" s="2214"/>
      <c r="RJ226" s="2214"/>
      <c r="RK226" s="2214"/>
      <c r="RL226" s="2214"/>
      <c r="RM226" s="2214"/>
      <c r="RN226" s="2214"/>
      <c r="RO226" s="2214"/>
      <c r="RP226" s="2214"/>
      <c r="RQ226" s="2214"/>
      <c r="RR226" s="2214"/>
      <c r="RS226" s="2214"/>
      <c r="RT226" s="2214"/>
      <c r="RU226" s="2214"/>
      <c r="RV226" s="2214"/>
      <c r="RW226" s="2214"/>
      <c r="RX226" s="2214"/>
      <c r="RY226" s="2214"/>
      <c r="RZ226" s="2214"/>
      <c r="SA226" s="2214"/>
      <c r="SB226" s="2214"/>
      <c r="SC226" s="2214"/>
      <c r="SD226" s="2214"/>
      <c r="SE226" s="2214"/>
      <c r="SF226" s="2214"/>
      <c r="SG226" s="2214"/>
      <c r="SH226" s="2214"/>
      <c r="SI226" s="2214"/>
      <c r="SJ226" s="2214"/>
      <c r="SK226" s="2214"/>
      <c r="SL226" s="2214"/>
      <c r="SM226" s="2214"/>
      <c r="SN226" s="2214"/>
      <c r="SO226" s="2214"/>
      <c r="SP226" s="2214"/>
      <c r="SQ226" s="2214"/>
      <c r="SR226" s="2214"/>
      <c r="SS226" s="2214"/>
      <c r="ST226" s="2214"/>
      <c r="SU226" s="2214"/>
      <c r="SV226" s="2214"/>
      <c r="SW226" s="2214"/>
      <c r="SX226" s="2214"/>
      <c r="SY226" s="2214"/>
      <c r="SZ226" s="2214"/>
      <c r="TA226" s="2214"/>
      <c r="TB226" s="2214"/>
      <c r="TC226" s="2214"/>
      <c r="TD226" s="2214"/>
      <c r="TE226" s="2214"/>
      <c r="TF226" s="2214"/>
      <c r="TG226" s="2214"/>
      <c r="TH226" s="2214"/>
      <c r="TI226" s="2214"/>
      <c r="TJ226" s="2214"/>
      <c r="TK226" s="2214"/>
      <c r="TL226" s="2214"/>
      <c r="TM226" s="2214"/>
      <c r="TN226" s="2214"/>
      <c r="TO226" s="2214"/>
      <c r="TP226" s="2214"/>
      <c r="TQ226" s="2214"/>
      <c r="TR226" s="2214"/>
      <c r="TS226" s="2214"/>
      <c r="TT226" s="2214"/>
      <c r="TU226" s="2214"/>
      <c r="TV226" s="2214"/>
      <c r="TW226" s="2214"/>
      <c r="TX226" s="2214"/>
      <c r="TY226" s="2214"/>
      <c r="TZ226" s="2214"/>
      <c r="UA226" s="2214"/>
      <c r="UB226" s="2214"/>
      <c r="UC226" s="2214"/>
      <c r="UD226" s="2214"/>
      <c r="UE226" s="2214"/>
      <c r="UF226" s="2214"/>
      <c r="UG226" s="2214"/>
      <c r="UH226" s="2214"/>
      <c r="UI226" s="2214"/>
      <c r="UJ226" s="2214"/>
      <c r="UK226" s="2214"/>
      <c r="UL226" s="2214"/>
      <c r="UM226" s="2214"/>
      <c r="UN226" s="2214"/>
      <c r="UO226" s="2214"/>
      <c r="UP226" s="2214"/>
      <c r="UQ226" s="2214"/>
      <c r="UR226" s="2214"/>
      <c r="US226" s="2214"/>
      <c r="UT226" s="2214"/>
      <c r="UU226" s="2214"/>
      <c r="UV226" s="2214"/>
      <c r="UW226" s="2214"/>
      <c r="UX226" s="2214"/>
      <c r="UY226" s="2214"/>
      <c r="UZ226" s="2214"/>
      <c r="VA226" s="2214"/>
      <c r="VB226" s="2214"/>
      <c r="VC226" s="2214"/>
      <c r="VD226" s="2214"/>
      <c r="VE226" s="2214"/>
      <c r="VF226" s="2214"/>
      <c r="VG226" s="2214"/>
      <c r="VH226" s="2214"/>
      <c r="VI226" s="2214"/>
      <c r="VJ226" s="2214"/>
      <c r="VK226" s="2214"/>
      <c r="VL226" s="2214"/>
      <c r="VM226" s="2214"/>
      <c r="VN226" s="2214"/>
      <c r="VO226" s="2214"/>
      <c r="VP226" s="2214"/>
      <c r="VQ226" s="2214"/>
      <c r="VR226" s="2214"/>
      <c r="VS226" s="2214"/>
      <c r="VT226" s="2214"/>
      <c r="VU226" s="2214"/>
      <c r="VV226" s="2214"/>
      <c r="VW226" s="2214"/>
      <c r="VX226" s="2214"/>
      <c r="VY226" s="2214"/>
      <c r="VZ226" s="2214"/>
      <c r="WA226" s="2214"/>
      <c r="WB226" s="2214"/>
      <c r="WC226" s="2214"/>
      <c r="WD226" s="2214"/>
      <c r="WE226" s="2214"/>
      <c r="WF226" s="2214"/>
      <c r="WG226" s="2214"/>
      <c r="WH226" s="2214"/>
      <c r="WI226" s="2214"/>
      <c r="WJ226" s="2214"/>
      <c r="WK226" s="2214"/>
      <c r="WL226" s="2214"/>
      <c r="WM226" s="2214"/>
      <c r="WN226" s="2214"/>
      <c r="WO226" s="2214"/>
      <c r="WP226" s="2214"/>
      <c r="WQ226" s="2214"/>
      <c r="WR226" s="2214"/>
      <c r="WS226" s="2214"/>
      <c r="WT226" s="2214"/>
      <c r="WU226" s="2214"/>
      <c r="WV226" s="2214"/>
      <c r="WW226" s="2214"/>
      <c r="WX226" s="2214"/>
      <c r="WY226" s="2214"/>
      <c r="WZ226" s="2214"/>
      <c r="XA226" s="2214"/>
      <c r="XB226" s="2214"/>
      <c r="XC226" s="2214"/>
      <c r="XD226" s="2214"/>
      <c r="XE226" s="2214"/>
      <c r="XF226" s="2214"/>
      <c r="XG226" s="2214"/>
      <c r="XH226" s="2214"/>
      <c r="XI226" s="2214"/>
      <c r="XJ226" s="2214"/>
      <c r="XK226" s="2214"/>
      <c r="XL226" s="2214"/>
      <c r="XM226" s="2214"/>
      <c r="XN226" s="2214"/>
      <c r="XO226" s="2214"/>
      <c r="XP226" s="2214"/>
      <c r="XQ226" s="2214"/>
      <c r="XR226" s="2214"/>
      <c r="XS226" s="2214"/>
      <c r="XT226" s="2214"/>
      <c r="XU226" s="2214"/>
      <c r="XV226" s="2214"/>
      <c r="XW226" s="2214"/>
      <c r="XX226" s="2214"/>
      <c r="XY226" s="2214"/>
      <c r="XZ226" s="2214"/>
      <c r="YA226" s="2214"/>
      <c r="YB226" s="2214"/>
      <c r="YC226" s="2214"/>
      <c r="YD226" s="2214"/>
      <c r="YE226" s="2214"/>
      <c r="YF226" s="2214"/>
      <c r="YG226" s="2214"/>
      <c r="YH226" s="2214"/>
      <c r="YI226" s="2214"/>
      <c r="YJ226" s="2214"/>
      <c r="YK226" s="2214"/>
      <c r="YL226" s="2214"/>
      <c r="YM226" s="2214"/>
      <c r="YN226" s="2214"/>
      <c r="YO226" s="2214"/>
      <c r="YP226" s="2214"/>
      <c r="YQ226" s="2214"/>
      <c r="YR226" s="2214"/>
      <c r="YS226" s="2214"/>
      <c r="YT226" s="2214"/>
      <c r="YU226" s="2214"/>
      <c r="YV226" s="2214"/>
      <c r="YW226" s="2214"/>
      <c r="YX226" s="2214"/>
      <c r="YY226" s="2214"/>
      <c r="YZ226" s="2214"/>
      <c r="ZA226" s="2214"/>
      <c r="ZB226" s="2214"/>
      <c r="ZC226" s="2214"/>
      <c r="ZD226" s="2214"/>
      <c r="ZE226" s="2214"/>
      <c r="ZF226" s="2214"/>
      <c r="ZG226" s="2214"/>
      <c r="ZH226" s="2214"/>
      <c r="ZI226" s="2214"/>
      <c r="ZJ226" s="2214"/>
      <c r="ZK226" s="2214"/>
      <c r="ZL226" s="2214"/>
      <c r="ZM226" s="2214"/>
      <c r="ZN226" s="2214"/>
      <c r="ZO226" s="2214"/>
      <c r="ZP226" s="2214"/>
      <c r="ZQ226" s="2214"/>
      <c r="ZR226" s="2214"/>
      <c r="ZS226" s="2214"/>
      <c r="ZT226" s="2214"/>
      <c r="ZU226" s="2214"/>
      <c r="ZV226" s="2214"/>
      <c r="ZW226" s="2214"/>
      <c r="ZX226" s="2214"/>
      <c r="ZY226" s="2214"/>
      <c r="ZZ226" s="2214"/>
      <c r="AAA226" s="2214"/>
      <c r="AAB226" s="2214"/>
      <c r="AAC226" s="2214"/>
      <c r="AAD226" s="2214"/>
      <c r="AAE226" s="2214"/>
      <c r="AAF226" s="2214"/>
      <c r="AAG226" s="2214"/>
      <c r="AAH226" s="2214"/>
      <c r="AAI226" s="2214"/>
      <c r="AAJ226" s="2214"/>
      <c r="AAK226" s="2214"/>
      <c r="AAL226" s="2214"/>
      <c r="AAM226" s="2214"/>
      <c r="AAN226" s="2214"/>
      <c r="AAO226" s="2214"/>
      <c r="AAP226" s="2214"/>
      <c r="AAQ226" s="2214"/>
      <c r="AAR226" s="2214"/>
      <c r="AAS226" s="2214"/>
      <c r="AAT226" s="2214"/>
      <c r="AAU226" s="2214"/>
      <c r="AAV226" s="2214"/>
      <c r="AAW226" s="2214"/>
      <c r="AAX226" s="2214"/>
      <c r="AAY226" s="2214"/>
      <c r="AAZ226" s="2214"/>
      <c r="ABA226" s="2214"/>
      <c r="ABB226" s="2214"/>
      <c r="ABC226" s="2214"/>
      <c r="ABD226" s="2214"/>
      <c r="ABE226" s="2214"/>
      <c r="ABF226" s="2214"/>
      <c r="ABG226" s="2214"/>
      <c r="ABH226" s="2214"/>
      <c r="ABI226" s="2214"/>
      <c r="ABJ226" s="2214"/>
      <c r="ABK226" s="2214"/>
      <c r="ABL226" s="2214"/>
      <c r="ABM226" s="2214"/>
      <c r="ABN226" s="2214"/>
      <c r="ABO226" s="2214"/>
      <c r="ABP226" s="2214"/>
      <c r="ABQ226" s="2214"/>
      <c r="ABR226" s="2214"/>
      <c r="ABS226" s="2214"/>
      <c r="ABT226" s="2214"/>
      <c r="ABU226" s="2214"/>
      <c r="ABV226" s="2214"/>
      <c r="ABW226" s="2214"/>
      <c r="ABX226" s="2214"/>
      <c r="ABY226" s="2214"/>
      <c r="ABZ226" s="2214"/>
      <c r="ACA226" s="2214"/>
      <c r="ACB226" s="2214"/>
      <c r="ACC226" s="2214"/>
      <c r="ACD226" s="2214"/>
      <c r="ACE226" s="2214"/>
      <c r="ACF226" s="2214"/>
      <c r="ACG226" s="2214"/>
      <c r="ACH226" s="2214"/>
      <c r="ACI226" s="2214"/>
      <c r="ACJ226" s="2214"/>
      <c r="ACK226" s="2214"/>
      <c r="ACL226" s="2214"/>
      <c r="ACM226" s="2214"/>
      <c r="ACN226" s="2214"/>
      <c r="ACO226" s="2214"/>
      <c r="ACP226" s="2214"/>
      <c r="ACQ226" s="2214"/>
      <c r="ACR226" s="2214"/>
      <c r="ACS226" s="2214"/>
      <c r="ACT226" s="2214"/>
      <c r="ACU226" s="2214"/>
      <c r="ACV226" s="2214"/>
      <c r="ACW226" s="2214"/>
      <c r="ACX226" s="2214"/>
      <c r="ACY226" s="2214"/>
      <c r="ACZ226" s="2214"/>
      <c r="ADA226" s="2214"/>
      <c r="ADB226" s="2214"/>
      <c r="ADC226" s="2214"/>
      <c r="ADD226" s="2214"/>
      <c r="ADE226" s="2214"/>
      <c r="ADF226" s="2214"/>
      <c r="ADG226" s="2214"/>
      <c r="ADH226" s="2214"/>
      <c r="ADI226" s="2214"/>
      <c r="ADJ226" s="2214"/>
      <c r="ADK226" s="2214"/>
      <c r="ADL226" s="2214"/>
      <c r="ADM226" s="2214"/>
      <c r="ADN226" s="2214"/>
      <c r="ADO226" s="2214"/>
      <c r="ADP226" s="2214"/>
      <c r="ADQ226" s="2214"/>
      <c r="ADR226" s="2214"/>
      <c r="ADS226" s="2214"/>
      <c r="ADT226" s="2214"/>
      <c r="ADU226" s="2214"/>
      <c r="ADV226" s="2214"/>
      <c r="ADW226" s="2214"/>
      <c r="ADX226" s="2214"/>
      <c r="ADY226" s="2214"/>
      <c r="ADZ226" s="2214"/>
      <c r="AEA226" s="2214"/>
      <c r="AEB226" s="2214"/>
      <c r="AEC226" s="2214"/>
      <c r="AED226" s="2214"/>
      <c r="AEE226" s="2214"/>
      <c r="AEF226" s="2214"/>
      <c r="AEG226" s="2214"/>
      <c r="AEH226" s="2214"/>
      <c r="AEI226" s="2214"/>
      <c r="AEJ226" s="2214"/>
      <c r="AEK226" s="2214"/>
      <c r="AEL226" s="2214"/>
      <c r="AEM226" s="2214"/>
      <c r="AEN226" s="2214"/>
      <c r="AEO226" s="2214"/>
      <c r="AEP226" s="2214"/>
      <c r="AEQ226" s="2214"/>
      <c r="AER226" s="2214"/>
      <c r="AES226" s="2214"/>
      <c r="AET226" s="2214"/>
      <c r="AEU226" s="2214"/>
      <c r="AEV226" s="2214"/>
      <c r="AEW226" s="2214"/>
      <c r="AEX226" s="2214"/>
      <c r="AEY226" s="2214"/>
      <c r="AEZ226" s="2214"/>
      <c r="AFA226" s="2214"/>
      <c r="AFB226" s="2214"/>
      <c r="AFC226" s="2214"/>
      <c r="AFD226" s="2214"/>
      <c r="AFE226" s="2214"/>
      <c r="AFF226" s="2214"/>
      <c r="AFG226" s="2214"/>
      <c r="AFH226" s="2214"/>
      <c r="AFI226" s="2214"/>
      <c r="AFJ226" s="2214"/>
      <c r="AFK226" s="2214"/>
      <c r="AFL226" s="2214"/>
      <c r="AFM226" s="2214"/>
      <c r="AFN226" s="2214"/>
      <c r="AFO226" s="2214"/>
      <c r="AFP226" s="2214"/>
      <c r="AFQ226" s="2214"/>
      <c r="AFR226" s="2214"/>
      <c r="AFS226" s="2214"/>
      <c r="AFT226" s="2214"/>
      <c r="AFU226" s="2214"/>
      <c r="AFV226" s="2214"/>
      <c r="AFW226" s="2214"/>
      <c r="AFX226" s="2214"/>
      <c r="AFY226" s="2214"/>
      <c r="AFZ226" s="2214"/>
      <c r="AGA226" s="2214"/>
      <c r="AGB226" s="2214"/>
      <c r="AGC226" s="2214"/>
      <c r="AGD226" s="2214"/>
      <c r="AGE226" s="2214"/>
      <c r="AGF226" s="2214"/>
      <c r="AGG226" s="2214"/>
      <c r="AGH226" s="2214"/>
      <c r="AGI226" s="2214"/>
      <c r="AGJ226" s="2214"/>
      <c r="AGK226" s="2214"/>
      <c r="AGL226" s="2214"/>
      <c r="AGM226" s="2214"/>
      <c r="AGN226" s="2214"/>
      <c r="AGO226" s="2214"/>
      <c r="AGP226" s="2214"/>
      <c r="AGQ226" s="2214"/>
      <c r="AGR226" s="2214"/>
      <c r="AGS226" s="2214"/>
      <c r="AGT226" s="2214"/>
      <c r="AGU226" s="2214"/>
      <c r="AGV226" s="2214"/>
      <c r="AGW226" s="2214"/>
      <c r="AGX226" s="2214"/>
      <c r="AGY226" s="2214"/>
      <c r="AGZ226" s="2214"/>
      <c r="AHA226" s="2214"/>
      <c r="AHB226" s="2214"/>
      <c r="AHC226" s="2214"/>
      <c r="AHD226" s="2214"/>
      <c r="AHE226" s="2214"/>
      <c r="AHF226" s="2214"/>
      <c r="AHG226" s="2214"/>
      <c r="AHH226" s="2214"/>
      <c r="AHI226" s="2214"/>
      <c r="AHJ226" s="2214"/>
      <c r="AHK226" s="2214"/>
      <c r="AHL226" s="2214"/>
      <c r="AHM226" s="2214"/>
      <c r="AHN226" s="2214"/>
      <c r="AHO226" s="2214"/>
      <c r="AHP226" s="2214"/>
      <c r="AHQ226" s="2214"/>
      <c r="AHR226" s="2214"/>
      <c r="AHS226" s="2214"/>
      <c r="AHT226" s="2214"/>
      <c r="AHU226" s="2214"/>
      <c r="AHV226" s="2214"/>
      <c r="AHW226" s="2214"/>
      <c r="AHX226" s="2214"/>
      <c r="AHY226" s="2214"/>
      <c r="AHZ226" s="2214"/>
      <c r="AIA226" s="2214"/>
      <c r="AIB226" s="2214"/>
      <c r="AIC226" s="2214"/>
      <c r="AID226" s="2214"/>
      <c r="AIE226" s="2214"/>
      <c r="AIF226" s="2214"/>
      <c r="AIG226" s="2214"/>
      <c r="AIH226" s="2214"/>
      <c r="AII226" s="2214"/>
      <c r="AIJ226" s="2214"/>
      <c r="AIK226" s="2214"/>
      <c r="AIL226" s="2214"/>
      <c r="AIM226" s="2214"/>
      <c r="AIN226" s="2214"/>
      <c r="AIO226" s="2214"/>
      <c r="AIP226" s="2214"/>
      <c r="AIQ226" s="2214"/>
      <c r="AIR226" s="2214"/>
      <c r="AIS226" s="2214"/>
      <c r="AIT226" s="2214"/>
      <c r="AIU226" s="2214"/>
      <c r="AIV226" s="2214"/>
      <c r="AIW226" s="2214"/>
      <c r="AIX226" s="2214"/>
      <c r="AIY226" s="2214"/>
      <c r="AIZ226" s="2214"/>
      <c r="AJA226" s="2214"/>
      <c r="AJB226" s="2214"/>
      <c r="AJC226" s="2214"/>
      <c r="AJD226" s="2214"/>
      <c r="AJE226" s="2214"/>
      <c r="AJF226" s="2214"/>
      <c r="AJG226" s="2214"/>
      <c r="AJH226" s="2214"/>
      <c r="AJI226" s="2214"/>
      <c r="AJJ226" s="2214"/>
      <c r="AJK226" s="2214"/>
      <c r="AJL226" s="2214"/>
      <c r="AJM226" s="2214"/>
      <c r="AJN226" s="2214"/>
      <c r="AJO226" s="2214"/>
      <c r="AJP226" s="2214"/>
      <c r="AJQ226" s="2214"/>
      <c r="AJR226" s="2214"/>
      <c r="AJS226" s="2214"/>
      <c r="AJT226" s="2214"/>
      <c r="AJU226" s="2214"/>
      <c r="AJV226" s="2214"/>
      <c r="AJW226" s="2214"/>
      <c r="AJX226" s="2214"/>
      <c r="AJY226" s="2214"/>
      <c r="AJZ226" s="2214"/>
      <c r="AKA226" s="2214"/>
      <c r="AKB226" s="2214"/>
      <c r="AKC226" s="2214"/>
      <c r="AKD226" s="2214"/>
      <c r="AKE226" s="2214"/>
      <c r="AKF226" s="2214"/>
      <c r="AKG226" s="2214"/>
      <c r="AKH226" s="2214"/>
      <c r="AKI226" s="2214"/>
      <c r="AKJ226" s="2214"/>
      <c r="AKK226" s="2214"/>
      <c r="AKL226" s="2214"/>
      <c r="AKM226" s="2214"/>
      <c r="AKN226" s="2214"/>
      <c r="AKO226" s="2214"/>
      <c r="AKP226" s="2214"/>
      <c r="AKQ226" s="2214"/>
      <c r="AKR226" s="2214"/>
      <c r="AKS226" s="2214"/>
      <c r="AKT226" s="2214"/>
      <c r="AKU226" s="2214"/>
      <c r="AKV226" s="2214"/>
      <c r="AKW226" s="2214"/>
      <c r="AKX226" s="2214"/>
      <c r="AKY226" s="2214"/>
      <c r="AKZ226" s="2214"/>
      <c r="ALA226" s="2214"/>
      <c r="ALB226" s="2214"/>
      <c r="ALC226" s="2214"/>
      <c r="ALD226" s="2214"/>
      <c r="ALE226" s="2214"/>
      <c r="ALF226" s="2214"/>
      <c r="ALG226" s="2214"/>
      <c r="ALH226" s="2214"/>
      <c r="ALI226" s="2214"/>
      <c r="ALJ226" s="2214"/>
      <c r="ALK226" s="2214"/>
      <c r="ALL226" s="2214"/>
      <c r="ALM226" s="2214"/>
      <c r="ALN226" s="2214"/>
      <c r="ALO226" s="2214"/>
      <c r="ALP226" s="2214"/>
      <c r="ALQ226" s="2214"/>
      <c r="ALR226" s="2214"/>
      <c r="ALS226" s="2214"/>
      <c r="ALT226" s="2214"/>
      <c r="ALU226" s="2214"/>
      <c r="ALV226" s="2214"/>
      <c r="ALW226" s="2214"/>
      <c r="ALX226" s="2214"/>
      <c r="ALY226" s="2214"/>
      <c r="ALZ226" s="2214"/>
      <c r="AMA226" s="2214"/>
      <c r="AMB226" s="2214"/>
      <c r="AMC226" s="2214"/>
      <c r="AMD226" s="2214"/>
      <c r="AME226" s="2214"/>
      <c r="AMF226" s="2214"/>
      <c r="AMG226" s="2214"/>
      <c r="AMH226" s="2214"/>
      <c r="AMI226" s="2214"/>
      <c r="AMJ226" s="2214"/>
      <c r="AMK226" s="2214"/>
      <c r="AML226" s="2214"/>
      <c r="AMM226" s="2214"/>
      <c r="AMN226" s="2214"/>
      <c r="AMO226" s="2214"/>
      <c r="AMP226" s="2214"/>
      <c r="AMQ226" s="2214"/>
      <c r="AMR226" s="2214"/>
      <c r="AMS226" s="2214"/>
      <c r="AMT226" s="2214"/>
      <c r="AMU226" s="2214"/>
      <c r="AMV226" s="2214"/>
      <c r="AMW226" s="2214"/>
      <c r="AMX226" s="2214"/>
      <c r="AMY226" s="2214"/>
      <c r="AMZ226" s="2214"/>
      <c r="ANA226" s="2214"/>
      <c r="ANB226" s="2214"/>
      <c r="ANC226" s="2214"/>
      <c r="AND226" s="2214"/>
      <c r="ANE226" s="2214"/>
      <c r="ANF226" s="2214"/>
      <c r="ANG226" s="2214"/>
      <c r="ANH226" s="2214"/>
      <c r="ANI226" s="2214"/>
      <c r="ANJ226" s="2214"/>
      <c r="ANK226" s="2214"/>
      <c r="ANL226" s="2214"/>
      <c r="ANM226" s="2214"/>
      <c r="ANN226" s="2214"/>
      <c r="ANO226" s="2214"/>
      <c r="ANP226" s="2214"/>
      <c r="ANQ226" s="2214"/>
      <c r="ANR226" s="2214"/>
      <c r="ANS226" s="2214"/>
      <c r="ANT226" s="2214"/>
      <c r="ANU226" s="2214"/>
      <c r="ANV226" s="2214"/>
      <c r="ANW226" s="2214"/>
      <c r="ANX226" s="2214"/>
      <c r="ANY226" s="2214"/>
      <c r="ANZ226" s="2214"/>
      <c r="AOA226" s="2214"/>
      <c r="AOB226" s="2214"/>
      <c r="AOC226" s="2214"/>
      <c r="AOD226" s="2214"/>
      <c r="AOE226" s="2214"/>
      <c r="AOF226" s="2214"/>
      <c r="AOG226" s="2214"/>
      <c r="AOH226" s="2214"/>
      <c r="AOI226" s="2214"/>
      <c r="AOJ226" s="2214"/>
      <c r="AOK226" s="2214"/>
      <c r="AOL226" s="2214"/>
      <c r="AOM226" s="2214"/>
      <c r="AON226" s="2214"/>
      <c r="AOO226" s="2214"/>
      <c r="AOP226" s="2214"/>
      <c r="AOQ226" s="2214"/>
      <c r="AOR226" s="2214"/>
      <c r="AOS226" s="2214"/>
      <c r="AOT226" s="2214"/>
      <c r="AOU226" s="2214"/>
      <c r="AOV226" s="2214"/>
      <c r="AOW226" s="2214"/>
      <c r="AOX226" s="2214"/>
      <c r="AOY226" s="2214"/>
      <c r="AOZ226" s="2214"/>
      <c r="APA226" s="2214"/>
      <c r="APB226" s="2214"/>
      <c r="APC226" s="2214"/>
      <c r="APD226" s="2214"/>
      <c r="APE226" s="2214"/>
      <c r="APF226" s="2214"/>
      <c r="APG226" s="2214"/>
      <c r="APH226" s="2214"/>
      <c r="API226" s="2214"/>
      <c r="APJ226" s="2214"/>
      <c r="APK226" s="2214"/>
      <c r="APL226" s="2214"/>
      <c r="APM226" s="2214"/>
      <c r="APN226" s="2214"/>
      <c r="APO226" s="2214"/>
      <c r="APP226" s="2214"/>
      <c r="APQ226" s="2214"/>
      <c r="APR226" s="2214"/>
      <c r="APS226" s="2214"/>
      <c r="APT226" s="2214"/>
      <c r="APU226" s="2214"/>
      <c r="APV226" s="2214"/>
      <c r="APW226" s="2214"/>
      <c r="APX226" s="2214"/>
      <c r="APY226" s="2214"/>
      <c r="APZ226" s="2214"/>
      <c r="AQA226" s="2214"/>
      <c r="AQB226" s="2214"/>
      <c r="AQC226" s="2214"/>
      <c r="AQD226" s="2214"/>
      <c r="AQE226" s="2214"/>
      <c r="AQF226" s="2214"/>
      <c r="AQG226" s="2214"/>
      <c r="AQH226" s="2214"/>
      <c r="AQI226" s="2214"/>
      <c r="AQJ226" s="2214"/>
      <c r="AQK226" s="2214"/>
      <c r="AQL226" s="2214"/>
      <c r="AQM226" s="2214"/>
      <c r="AQN226" s="2214"/>
      <c r="AQO226" s="2214"/>
      <c r="AQP226" s="2214"/>
      <c r="AQQ226" s="2214"/>
      <c r="AQR226" s="2214"/>
      <c r="AQS226" s="2214"/>
      <c r="AQT226" s="2214"/>
      <c r="AQU226" s="2214"/>
      <c r="AQV226" s="2214"/>
      <c r="AQW226" s="2214"/>
      <c r="AQX226" s="2214"/>
      <c r="AQY226" s="2214"/>
      <c r="AQZ226" s="2214"/>
      <c r="ARA226" s="2214"/>
      <c r="ARB226" s="2214"/>
      <c r="ARC226" s="2214"/>
      <c r="ARD226" s="2214"/>
      <c r="ARE226" s="2214"/>
      <c r="ARF226" s="2214"/>
      <c r="ARG226" s="2214"/>
      <c r="ARH226" s="2214"/>
      <c r="ARI226" s="2214"/>
      <c r="ARJ226" s="2214"/>
      <c r="ARK226" s="2214"/>
      <c r="ARL226" s="2214"/>
      <c r="ARM226" s="2214"/>
      <c r="ARN226" s="2214"/>
      <c r="ARO226" s="2214"/>
      <c r="ARP226" s="2214"/>
      <c r="ARQ226" s="2214"/>
      <c r="ARR226" s="2214"/>
      <c r="ARS226" s="2214"/>
      <c r="ART226" s="2214"/>
      <c r="ARU226" s="2214"/>
      <c r="ARV226" s="2214"/>
      <c r="ARW226" s="2214"/>
      <c r="ARX226" s="2214"/>
      <c r="ARY226" s="2214"/>
      <c r="ARZ226" s="2214"/>
      <c r="ASA226" s="2214"/>
      <c r="ASB226" s="2214"/>
      <c r="ASC226" s="2214"/>
      <c r="ASD226" s="2214"/>
      <c r="ASE226" s="2214"/>
      <c r="ASF226" s="2214"/>
      <c r="ASG226" s="2214"/>
      <c r="ASH226" s="2214"/>
      <c r="ASI226" s="2214"/>
      <c r="ASJ226" s="2214"/>
      <c r="ASK226" s="2214"/>
      <c r="ASL226" s="2214"/>
      <c r="ASM226" s="2214"/>
      <c r="ASN226" s="2214"/>
      <c r="ASO226" s="2214"/>
      <c r="ASP226" s="2214"/>
      <c r="ASQ226" s="2214"/>
      <c r="ASR226" s="2214"/>
      <c r="ASS226" s="2214"/>
      <c r="AST226" s="2214"/>
      <c r="ASU226" s="2214"/>
      <c r="ASV226" s="2214"/>
      <c r="ASW226" s="2214"/>
      <c r="ASX226" s="2214"/>
      <c r="ASY226" s="2214"/>
      <c r="ASZ226" s="2214"/>
      <c r="ATA226" s="2214"/>
      <c r="ATB226" s="2214"/>
      <c r="ATC226" s="2214"/>
      <c r="ATD226" s="2214"/>
      <c r="ATE226" s="2214"/>
      <c r="ATF226" s="2214"/>
      <c r="ATG226" s="2214"/>
      <c r="ATH226" s="2214"/>
      <c r="ATI226" s="2214"/>
      <c r="ATJ226" s="2214"/>
      <c r="ATK226" s="2214"/>
      <c r="ATL226" s="2214"/>
      <c r="ATM226" s="2214"/>
      <c r="ATN226" s="2214"/>
      <c r="ATO226" s="2214"/>
      <c r="ATP226" s="2214"/>
      <c r="ATQ226" s="2214"/>
      <c r="ATR226" s="2214"/>
      <c r="ATS226" s="2214"/>
      <c r="ATT226" s="2214"/>
      <c r="ATU226" s="2214"/>
      <c r="ATV226" s="2214"/>
      <c r="ATW226" s="2214"/>
      <c r="ATX226" s="2214"/>
      <c r="ATY226" s="2214"/>
      <c r="ATZ226" s="2214"/>
      <c r="AUA226" s="2214"/>
      <c r="AUB226" s="2214"/>
      <c r="AUC226" s="2214"/>
      <c r="AUD226" s="2214"/>
      <c r="AUE226" s="2214"/>
      <c r="AUF226" s="2214"/>
      <c r="AUG226" s="2214"/>
      <c r="AUH226" s="2214"/>
      <c r="AUI226" s="2214"/>
      <c r="AUJ226" s="2214"/>
      <c r="AUK226" s="2214"/>
      <c r="AUL226" s="2214"/>
      <c r="AUM226" s="2214"/>
      <c r="AUN226" s="2214"/>
      <c r="AUO226" s="2214"/>
      <c r="AUP226" s="2214"/>
      <c r="AUQ226" s="2214"/>
      <c r="AUR226" s="2214"/>
      <c r="AUS226" s="2214"/>
      <c r="AUT226" s="2214"/>
      <c r="AUU226" s="2214"/>
      <c r="AUV226" s="2214"/>
      <c r="AUW226" s="2214"/>
      <c r="AUX226" s="2214"/>
      <c r="AUY226" s="2214"/>
      <c r="AUZ226" s="2214"/>
      <c r="AVA226" s="2214"/>
      <c r="AVB226" s="2214"/>
      <c r="AVC226" s="2214"/>
      <c r="AVD226" s="2214"/>
      <c r="AVE226" s="2214"/>
      <c r="AVF226" s="2214"/>
      <c r="AVG226" s="2214"/>
      <c r="AVH226" s="2214"/>
      <c r="AVI226" s="2214"/>
      <c r="AVJ226" s="2214"/>
      <c r="AVK226" s="2214"/>
      <c r="AVL226" s="2214"/>
      <c r="AVM226" s="2214"/>
      <c r="AVN226" s="2214"/>
      <c r="AVO226" s="2214"/>
      <c r="AVP226" s="2214"/>
      <c r="AVQ226" s="2214"/>
      <c r="AVR226" s="2214"/>
      <c r="AVS226" s="2214"/>
      <c r="AVT226" s="2214"/>
      <c r="AVU226" s="2214"/>
      <c r="AVV226" s="2214"/>
      <c r="AVW226" s="2214"/>
      <c r="AVX226" s="2214"/>
      <c r="AVY226" s="2214"/>
      <c r="AVZ226" s="2214"/>
      <c r="AWA226" s="2214"/>
      <c r="AWB226" s="2214"/>
      <c r="AWC226" s="2214"/>
      <c r="AWD226" s="2214"/>
      <c r="AWE226" s="2214"/>
      <c r="AWF226" s="2214"/>
      <c r="AWG226" s="2214"/>
      <c r="AWH226" s="2214"/>
      <c r="AWI226" s="2214"/>
      <c r="AWJ226" s="2214"/>
      <c r="AWK226" s="2214"/>
      <c r="AWL226" s="2214"/>
      <c r="AWM226" s="2214"/>
      <c r="AWN226" s="2214"/>
      <c r="AWO226" s="2214"/>
      <c r="AWP226" s="2214"/>
      <c r="AWQ226" s="2214"/>
      <c r="AWR226" s="2214"/>
      <c r="AWS226" s="2214"/>
      <c r="AWT226" s="2214"/>
      <c r="AWU226" s="2214"/>
      <c r="AWV226" s="2214"/>
      <c r="AWW226" s="2214"/>
      <c r="AWX226" s="2214"/>
      <c r="AWY226" s="2214"/>
      <c r="AWZ226" s="2214"/>
      <c r="AXA226" s="2214"/>
      <c r="AXB226" s="2214"/>
      <c r="AXC226" s="2214"/>
      <c r="AXD226" s="2214"/>
      <c r="AXE226" s="2214"/>
      <c r="AXF226" s="2214"/>
      <c r="AXG226" s="2214"/>
      <c r="AXH226" s="2214"/>
      <c r="AXI226" s="2214"/>
      <c r="AXJ226" s="2214"/>
    </row>
    <row r="227" spans="1:1310" s="2215" customFormat="1" ht="23.25" customHeight="1">
      <c r="A227" s="756"/>
      <c r="B227" s="9016" t="s">
        <v>1579</v>
      </c>
      <c r="C227" s="9016"/>
      <c r="D227" s="9016"/>
      <c r="E227" s="9016"/>
      <c r="F227" s="750"/>
      <c r="G227" s="9016" t="s">
        <v>1580</v>
      </c>
      <c r="H227" s="9016"/>
      <c r="I227" s="9016"/>
      <c r="J227" s="750"/>
      <c r="K227" s="9019"/>
      <c r="L227" s="9019"/>
      <c r="M227" s="9019"/>
      <c r="N227" s="750"/>
      <c r="O227" s="9016" t="s">
        <v>1581</v>
      </c>
      <c r="P227" s="9016"/>
      <c r="Q227" s="750"/>
      <c r="R227" s="311"/>
      <c r="S227" s="311"/>
      <c r="T227" s="311"/>
      <c r="U227" s="311"/>
      <c r="V227" s="311"/>
      <c r="W227" s="311"/>
      <c r="X227" s="311"/>
      <c r="Y227" s="311"/>
      <c r="Z227" s="311"/>
      <c r="AA227" s="311"/>
      <c r="AB227" s="311"/>
      <c r="AC227" s="311"/>
      <c r="AD227" s="2214"/>
      <c r="AE227" s="2214"/>
      <c r="AF227" s="2214"/>
      <c r="AG227" s="2214"/>
      <c r="AH227" s="2214"/>
      <c r="AI227" s="2214"/>
      <c r="AJ227" s="2214"/>
      <c r="AK227" s="2214"/>
      <c r="AL227" s="2214"/>
      <c r="AM227" s="2214"/>
      <c r="AN227" s="2214"/>
      <c r="AO227" s="2214"/>
      <c r="AP227" s="2214"/>
      <c r="AQ227" s="2214"/>
      <c r="AR227" s="2214"/>
      <c r="AS227" s="2214"/>
      <c r="AT227" s="2214"/>
      <c r="AU227" s="2214"/>
      <c r="AV227" s="2214"/>
      <c r="AW227" s="2214"/>
      <c r="AX227" s="2214"/>
      <c r="AY227" s="2214"/>
      <c r="AZ227" s="2214"/>
      <c r="BA227" s="2214"/>
      <c r="BB227" s="2214"/>
      <c r="BC227" s="2214"/>
      <c r="BD227" s="2214"/>
      <c r="BE227" s="2214"/>
      <c r="BF227" s="2214"/>
      <c r="BG227" s="2214"/>
      <c r="BH227" s="2214"/>
      <c r="BI227" s="2214"/>
      <c r="BJ227" s="2214"/>
      <c r="BK227" s="2214"/>
      <c r="BL227" s="2214"/>
      <c r="BM227" s="2214"/>
      <c r="BN227" s="2214"/>
      <c r="BO227" s="2214"/>
      <c r="BP227" s="2214"/>
      <c r="BQ227" s="2214"/>
      <c r="BR227" s="2214"/>
      <c r="BS227" s="2214"/>
      <c r="BT227" s="2214"/>
      <c r="BU227" s="2214"/>
      <c r="BV227" s="2214"/>
      <c r="BW227" s="2214"/>
      <c r="BX227" s="2214"/>
      <c r="BY227" s="2214"/>
      <c r="BZ227" s="2214"/>
      <c r="CA227" s="2214"/>
      <c r="CB227" s="2214"/>
      <c r="CC227" s="2214"/>
      <c r="CD227" s="2214"/>
      <c r="CE227" s="2214"/>
      <c r="CF227" s="2214"/>
      <c r="CG227" s="2214"/>
      <c r="CH227" s="2214"/>
      <c r="CI227" s="2214"/>
      <c r="CJ227" s="2214"/>
      <c r="CK227" s="2214"/>
      <c r="CL227" s="2214"/>
      <c r="CM227" s="2214"/>
      <c r="CN227" s="2214"/>
      <c r="CO227" s="2214"/>
      <c r="CP227" s="2214"/>
      <c r="CQ227" s="2214"/>
      <c r="CR227" s="2214"/>
      <c r="CS227" s="2214"/>
      <c r="CT227" s="2214"/>
      <c r="CU227" s="2214"/>
      <c r="CV227" s="2214"/>
      <c r="CW227" s="2214"/>
      <c r="CX227" s="2214"/>
      <c r="CY227" s="2214"/>
      <c r="CZ227" s="2214"/>
      <c r="DA227" s="2214"/>
      <c r="DB227" s="2214"/>
      <c r="DC227" s="2214"/>
      <c r="DD227" s="2214"/>
      <c r="DE227" s="2214"/>
      <c r="DF227" s="2214"/>
      <c r="DG227" s="2214"/>
      <c r="DH227" s="2214"/>
      <c r="DI227" s="2214"/>
      <c r="DJ227" s="2214"/>
      <c r="DK227" s="2214"/>
      <c r="DL227" s="2214"/>
      <c r="DM227" s="2214"/>
      <c r="DN227" s="2214"/>
      <c r="DO227" s="2214"/>
      <c r="DP227" s="2214"/>
      <c r="DQ227" s="2214"/>
      <c r="DR227" s="2214"/>
      <c r="DS227" s="2214"/>
      <c r="DT227" s="2214"/>
      <c r="DU227" s="2214"/>
      <c r="DV227" s="2214"/>
      <c r="DW227" s="2214"/>
      <c r="DX227" s="2214"/>
      <c r="DY227" s="2214"/>
      <c r="DZ227" s="2214"/>
      <c r="EA227" s="2214"/>
      <c r="EB227" s="2214"/>
      <c r="EC227" s="2214"/>
      <c r="ED227" s="2214"/>
      <c r="EE227" s="2214"/>
      <c r="EF227" s="2214"/>
      <c r="EG227" s="2214"/>
      <c r="EH227" s="2214"/>
      <c r="EI227" s="2214"/>
      <c r="EJ227" s="2214"/>
      <c r="EK227" s="2214"/>
      <c r="EL227" s="2214"/>
      <c r="EM227" s="2214"/>
      <c r="EN227" s="2214"/>
      <c r="EO227" s="2214"/>
      <c r="EP227" s="2214"/>
      <c r="EQ227" s="2214"/>
      <c r="ER227" s="2214"/>
      <c r="ES227" s="2214"/>
      <c r="ET227" s="2214"/>
      <c r="EU227" s="2214"/>
      <c r="EV227" s="2214"/>
      <c r="EW227" s="2214"/>
      <c r="EX227" s="2214"/>
      <c r="EY227" s="2214"/>
      <c r="EZ227" s="2214"/>
      <c r="FA227" s="2214"/>
      <c r="FB227" s="2214"/>
      <c r="FC227" s="2214"/>
      <c r="FD227" s="2214"/>
      <c r="FE227" s="2214"/>
      <c r="FF227" s="2214"/>
      <c r="FG227" s="2214"/>
      <c r="FH227" s="2214"/>
      <c r="FI227" s="2214"/>
      <c r="FJ227" s="2214"/>
      <c r="FK227" s="2214"/>
      <c r="FL227" s="2214"/>
      <c r="FM227" s="2214"/>
      <c r="FN227" s="2214"/>
      <c r="FO227" s="2214"/>
      <c r="FP227" s="2214"/>
      <c r="FQ227" s="2214"/>
      <c r="FR227" s="2214"/>
      <c r="FS227" s="2214"/>
      <c r="FT227" s="2214"/>
      <c r="FU227" s="2214"/>
      <c r="FV227" s="2214"/>
      <c r="FW227" s="2214"/>
      <c r="FX227" s="2214"/>
      <c r="FY227" s="2214"/>
      <c r="FZ227" s="2214"/>
      <c r="GA227" s="2214"/>
      <c r="GB227" s="2214"/>
      <c r="GC227" s="2214"/>
      <c r="GD227" s="2214"/>
      <c r="GE227" s="2214"/>
      <c r="GF227" s="2214"/>
      <c r="GG227" s="2214"/>
      <c r="GH227" s="2214"/>
      <c r="GI227" s="2214"/>
      <c r="GJ227" s="2214"/>
      <c r="GK227" s="2214"/>
      <c r="GL227" s="2214"/>
      <c r="GM227" s="2214"/>
      <c r="GN227" s="2214"/>
      <c r="GO227" s="2214"/>
      <c r="GP227" s="2214"/>
      <c r="GQ227" s="2214"/>
      <c r="GR227" s="2214"/>
      <c r="GS227" s="2214"/>
      <c r="GT227" s="2214"/>
      <c r="GU227" s="2214"/>
      <c r="GV227" s="2214"/>
      <c r="GW227" s="2214"/>
      <c r="GX227" s="2214"/>
      <c r="GY227" s="2214"/>
      <c r="GZ227" s="2214"/>
      <c r="HA227" s="2214"/>
      <c r="HB227" s="2214"/>
      <c r="HC227" s="2214"/>
      <c r="HD227" s="2214"/>
      <c r="HE227" s="2214"/>
      <c r="HF227" s="2214"/>
      <c r="HG227" s="2214"/>
      <c r="HH227" s="2214"/>
      <c r="HI227" s="2214"/>
      <c r="HJ227" s="2214"/>
      <c r="HK227" s="2214"/>
      <c r="HL227" s="2214"/>
      <c r="HM227" s="2214"/>
      <c r="HN227" s="2214"/>
      <c r="HO227" s="2214"/>
      <c r="HP227" s="2214"/>
      <c r="HQ227" s="2214"/>
      <c r="HR227" s="2214"/>
      <c r="HS227" s="2214"/>
      <c r="HT227" s="2214"/>
      <c r="HU227" s="2214"/>
      <c r="HV227" s="2214"/>
      <c r="HW227" s="2214"/>
      <c r="HX227" s="2214"/>
      <c r="HY227" s="2214"/>
      <c r="HZ227" s="2214"/>
      <c r="IA227" s="2214"/>
      <c r="IB227" s="2214"/>
      <c r="IC227" s="2214"/>
      <c r="ID227" s="2214"/>
      <c r="IE227" s="2214"/>
      <c r="IF227" s="2214"/>
      <c r="IG227" s="2214"/>
      <c r="IH227" s="2214"/>
      <c r="II227" s="2214"/>
      <c r="IJ227" s="2214"/>
      <c r="IK227" s="2214"/>
      <c r="IL227" s="2214"/>
      <c r="IM227" s="2214"/>
      <c r="IN227" s="2214"/>
      <c r="IO227" s="2214"/>
      <c r="IP227" s="2214"/>
      <c r="IQ227" s="2214"/>
      <c r="IR227" s="2214"/>
      <c r="IS227" s="2214"/>
      <c r="IT227" s="2214"/>
      <c r="IU227" s="2214"/>
      <c r="IV227" s="2214"/>
      <c r="IW227" s="2214"/>
      <c r="IX227" s="2214"/>
      <c r="IY227" s="2214"/>
      <c r="IZ227" s="2214"/>
      <c r="JA227" s="2214"/>
      <c r="JB227" s="2214"/>
      <c r="JC227" s="2214"/>
      <c r="JD227" s="2214"/>
      <c r="JE227" s="2214"/>
      <c r="JF227" s="2214"/>
      <c r="JG227" s="2214"/>
      <c r="JH227" s="2214"/>
      <c r="JI227" s="2214"/>
      <c r="JJ227" s="2214"/>
      <c r="JK227" s="2214"/>
      <c r="JL227" s="2214"/>
      <c r="JM227" s="2214"/>
      <c r="JN227" s="2214"/>
      <c r="JO227" s="2214"/>
      <c r="JP227" s="2214"/>
      <c r="JQ227" s="2214"/>
      <c r="JR227" s="2214"/>
      <c r="JS227" s="2214"/>
      <c r="JT227" s="2214"/>
      <c r="JU227" s="2214"/>
      <c r="JV227" s="2214"/>
      <c r="JW227" s="2214"/>
      <c r="JX227" s="2214"/>
      <c r="JY227" s="2214"/>
      <c r="JZ227" s="2214"/>
      <c r="KA227" s="2214"/>
      <c r="KB227" s="2214"/>
      <c r="KC227" s="2214"/>
      <c r="KD227" s="2214"/>
      <c r="KE227" s="2214"/>
      <c r="KF227" s="2214"/>
      <c r="KG227" s="2214"/>
      <c r="KH227" s="2214"/>
      <c r="KI227" s="2214"/>
      <c r="KJ227" s="2214"/>
      <c r="KK227" s="2214"/>
      <c r="KL227" s="2214"/>
      <c r="KM227" s="2214"/>
      <c r="KN227" s="2214"/>
      <c r="KO227" s="2214"/>
      <c r="KP227" s="2214"/>
      <c r="KQ227" s="2214"/>
      <c r="KR227" s="2214"/>
      <c r="KS227" s="2214"/>
      <c r="KT227" s="2214"/>
      <c r="KU227" s="2214"/>
      <c r="KV227" s="2214"/>
      <c r="KW227" s="2214"/>
      <c r="KX227" s="2214"/>
      <c r="KY227" s="2214"/>
      <c r="KZ227" s="2214"/>
      <c r="LA227" s="2214"/>
      <c r="LB227" s="2214"/>
      <c r="LC227" s="2214"/>
      <c r="LD227" s="2214"/>
      <c r="LE227" s="2214"/>
      <c r="LF227" s="2214"/>
      <c r="LG227" s="2214"/>
      <c r="LH227" s="2214"/>
      <c r="LI227" s="2214"/>
      <c r="LJ227" s="2214"/>
      <c r="LK227" s="2214"/>
      <c r="LL227" s="2214"/>
      <c r="LM227" s="2214"/>
      <c r="LN227" s="2214"/>
      <c r="LO227" s="2214"/>
      <c r="LP227" s="2214"/>
      <c r="LQ227" s="2214"/>
      <c r="LR227" s="2214"/>
      <c r="LS227" s="2214"/>
      <c r="LT227" s="2214"/>
      <c r="LU227" s="2214"/>
      <c r="LV227" s="2214"/>
      <c r="LW227" s="2214"/>
      <c r="LX227" s="2214"/>
      <c r="LY227" s="2214"/>
      <c r="LZ227" s="2214"/>
      <c r="MA227" s="2214"/>
      <c r="MB227" s="2214"/>
      <c r="MC227" s="2214"/>
      <c r="MD227" s="2214"/>
      <c r="ME227" s="2214"/>
      <c r="MF227" s="2214"/>
      <c r="MG227" s="2214"/>
      <c r="MH227" s="2214"/>
      <c r="MI227" s="2214"/>
      <c r="MJ227" s="2214"/>
      <c r="MK227" s="2214"/>
      <c r="ML227" s="2214"/>
      <c r="MM227" s="2214"/>
      <c r="MN227" s="2214"/>
      <c r="MO227" s="2214"/>
      <c r="MP227" s="2214"/>
      <c r="MQ227" s="2214"/>
      <c r="MR227" s="2214"/>
      <c r="MS227" s="2214"/>
      <c r="MT227" s="2214"/>
      <c r="MU227" s="2214"/>
      <c r="MV227" s="2214"/>
      <c r="MW227" s="2214"/>
      <c r="MX227" s="2214"/>
      <c r="MY227" s="2214"/>
      <c r="MZ227" s="2214"/>
      <c r="NA227" s="2214"/>
      <c r="NB227" s="2214"/>
      <c r="NC227" s="2214"/>
      <c r="ND227" s="2214"/>
      <c r="NE227" s="2214"/>
      <c r="NF227" s="2214"/>
      <c r="NG227" s="2214"/>
      <c r="NH227" s="2214"/>
      <c r="NI227" s="2214"/>
      <c r="NJ227" s="2214"/>
      <c r="NK227" s="2214"/>
      <c r="NL227" s="2214"/>
      <c r="NM227" s="2214"/>
      <c r="NN227" s="2214"/>
      <c r="NO227" s="2214"/>
      <c r="NP227" s="2214"/>
      <c r="NQ227" s="2214"/>
      <c r="NR227" s="2214"/>
      <c r="NS227" s="2214"/>
      <c r="NT227" s="2214"/>
      <c r="NU227" s="2214"/>
      <c r="NV227" s="2214"/>
      <c r="NW227" s="2214"/>
      <c r="NX227" s="2214"/>
      <c r="NY227" s="2214"/>
      <c r="NZ227" s="2214"/>
      <c r="OA227" s="2214"/>
      <c r="OB227" s="2214"/>
      <c r="OC227" s="2214"/>
      <c r="OD227" s="2214"/>
      <c r="OE227" s="2214"/>
      <c r="OF227" s="2214"/>
      <c r="OG227" s="2214"/>
      <c r="OH227" s="2214"/>
      <c r="OI227" s="2214"/>
      <c r="OJ227" s="2214"/>
      <c r="OK227" s="2214"/>
      <c r="OL227" s="2214"/>
      <c r="OM227" s="2214"/>
      <c r="ON227" s="2214"/>
      <c r="OO227" s="2214"/>
      <c r="OP227" s="2214"/>
      <c r="OQ227" s="2214"/>
      <c r="OR227" s="2214"/>
      <c r="OS227" s="2214"/>
      <c r="OT227" s="2214"/>
      <c r="OU227" s="2214"/>
      <c r="OV227" s="2214"/>
      <c r="OW227" s="2214"/>
      <c r="OX227" s="2214"/>
      <c r="OY227" s="2214"/>
      <c r="OZ227" s="2214"/>
      <c r="PA227" s="2214"/>
      <c r="PB227" s="2214"/>
      <c r="PC227" s="2214"/>
      <c r="PD227" s="2214"/>
      <c r="PE227" s="2214"/>
      <c r="PF227" s="2214"/>
      <c r="PG227" s="2214"/>
      <c r="PH227" s="2214"/>
      <c r="PI227" s="2214"/>
      <c r="PJ227" s="2214"/>
      <c r="PK227" s="2214"/>
      <c r="PL227" s="2214"/>
      <c r="PM227" s="2214"/>
      <c r="PN227" s="2214"/>
      <c r="PO227" s="2214"/>
      <c r="PP227" s="2214"/>
      <c r="PQ227" s="2214"/>
      <c r="PR227" s="2214"/>
      <c r="PS227" s="2214"/>
      <c r="PT227" s="2214"/>
      <c r="PU227" s="2214"/>
      <c r="PV227" s="2214"/>
      <c r="PW227" s="2214"/>
      <c r="PX227" s="2214"/>
      <c r="PY227" s="2214"/>
      <c r="PZ227" s="2214"/>
      <c r="QA227" s="2214"/>
      <c r="QB227" s="2214"/>
      <c r="QC227" s="2214"/>
      <c r="QD227" s="2214"/>
      <c r="QE227" s="2214"/>
      <c r="QF227" s="2214"/>
      <c r="QG227" s="2214"/>
      <c r="QH227" s="2214"/>
      <c r="QI227" s="2214"/>
      <c r="QJ227" s="2214"/>
      <c r="QK227" s="2214"/>
      <c r="QL227" s="2214"/>
      <c r="QM227" s="2214"/>
      <c r="QN227" s="2214"/>
      <c r="QO227" s="2214"/>
      <c r="QP227" s="2214"/>
      <c r="QQ227" s="2214"/>
      <c r="QR227" s="2214"/>
      <c r="QS227" s="2214"/>
      <c r="QT227" s="2214"/>
      <c r="QU227" s="2214"/>
      <c r="QV227" s="2214"/>
      <c r="QW227" s="2214"/>
      <c r="QX227" s="2214"/>
      <c r="QY227" s="2214"/>
      <c r="QZ227" s="2214"/>
      <c r="RA227" s="2214"/>
      <c r="RB227" s="2214"/>
      <c r="RC227" s="2214"/>
      <c r="RD227" s="2214"/>
      <c r="RE227" s="2214"/>
      <c r="RF227" s="2214"/>
      <c r="RG227" s="2214"/>
      <c r="RH227" s="2214"/>
      <c r="RI227" s="2214"/>
      <c r="RJ227" s="2214"/>
      <c r="RK227" s="2214"/>
      <c r="RL227" s="2214"/>
      <c r="RM227" s="2214"/>
      <c r="RN227" s="2214"/>
      <c r="RO227" s="2214"/>
      <c r="RP227" s="2214"/>
      <c r="RQ227" s="2214"/>
      <c r="RR227" s="2214"/>
      <c r="RS227" s="2214"/>
      <c r="RT227" s="2214"/>
      <c r="RU227" s="2214"/>
      <c r="RV227" s="2214"/>
      <c r="RW227" s="2214"/>
      <c r="RX227" s="2214"/>
      <c r="RY227" s="2214"/>
      <c r="RZ227" s="2214"/>
      <c r="SA227" s="2214"/>
      <c r="SB227" s="2214"/>
      <c r="SC227" s="2214"/>
      <c r="SD227" s="2214"/>
      <c r="SE227" s="2214"/>
      <c r="SF227" s="2214"/>
      <c r="SG227" s="2214"/>
      <c r="SH227" s="2214"/>
      <c r="SI227" s="2214"/>
      <c r="SJ227" s="2214"/>
      <c r="SK227" s="2214"/>
      <c r="SL227" s="2214"/>
      <c r="SM227" s="2214"/>
      <c r="SN227" s="2214"/>
      <c r="SO227" s="2214"/>
      <c r="SP227" s="2214"/>
      <c r="SQ227" s="2214"/>
      <c r="SR227" s="2214"/>
      <c r="SS227" s="2214"/>
      <c r="ST227" s="2214"/>
      <c r="SU227" s="2214"/>
      <c r="SV227" s="2214"/>
      <c r="SW227" s="2214"/>
      <c r="SX227" s="2214"/>
      <c r="SY227" s="2214"/>
      <c r="SZ227" s="2214"/>
      <c r="TA227" s="2214"/>
      <c r="TB227" s="2214"/>
      <c r="TC227" s="2214"/>
      <c r="TD227" s="2214"/>
      <c r="TE227" s="2214"/>
      <c r="TF227" s="2214"/>
      <c r="TG227" s="2214"/>
      <c r="TH227" s="2214"/>
      <c r="TI227" s="2214"/>
      <c r="TJ227" s="2214"/>
      <c r="TK227" s="2214"/>
      <c r="TL227" s="2214"/>
      <c r="TM227" s="2214"/>
      <c r="TN227" s="2214"/>
      <c r="TO227" s="2214"/>
      <c r="TP227" s="2214"/>
      <c r="TQ227" s="2214"/>
      <c r="TR227" s="2214"/>
      <c r="TS227" s="2214"/>
      <c r="TT227" s="2214"/>
      <c r="TU227" s="2214"/>
      <c r="TV227" s="2214"/>
      <c r="TW227" s="2214"/>
      <c r="TX227" s="2214"/>
      <c r="TY227" s="2214"/>
      <c r="TZ227" s="2214"/>
      <c r="UA227" s="2214"/>
      <c r="UB227" s="2214"/>
      <c r="UC227" s="2214"/>
      <c r="UD227" s="2214"/>
      <c r="UE227" s="2214"/>
      <c r="UF227" s="2214"/>
      <c r="UG227" s="2214"/>
      <c r="UH227" s="2214"/>
      <c r="UI227" s="2214"/>
      <c r="UJ227" s="2214"/>
      <c r="UK227" s="2214"/>
      <c r="UL227" s="2214"/>
      <c r="UM227" s="2214"/>
      <c r="UN227" s="2214"/>
      <c r="UO227" s="2214"/>
      <c r="UP227" s="2214"/>
      <c r="UQ227" s="2214"/>
      <c r="UR227" s="2214"/>
      <c r="US227" s="2214"/>
      <c r="UT227" s="2214"/>
      <c r="UU227" s="2214"/>
      <c r="UV227" s="2214"/>
      <c r="UW227" s="2214"/>
      <c r="UX227" s="2214"/>
      <c r="UY227" s="2214"/>
      <c r="UZ227" s="2214"/>
      <c r="VA227" s="2214"/>
      <c r="VB227" s="2214"/>
      <c r="VC227" s="2214"/>
      <c r="VD227" s="2214"/>
      <c r="VE227" s="2214"/>
      <c r="VF227" s="2214"/>
      <c r="VG227" s="2214"/>
      <c r="VH227" s="2214"/>
      <c r="VI227" s="2214"/>
      <c r="VJ227" s="2214"/>
      <c r="VK227" s="2214"/>
      <c r="VL227" s="2214"/>
      <c r="VM227" s="2214"/>
      <c r="VN227" s="2214"/>
      <c r="VO227" s="2214"/>
      <c r="VP227" s="2214"/>
      <c r="VQ227" s="2214"/>
      <c r="VR227" s="2214"/>
      <c r="VS227" s="2214"/>
      <c r="VT227" s="2214"/>
      <c r="VU227" s="2214"/>
      <c r="VV227" s="2214"/>
      <c r="VW227" s="2214"/>
      <c r="VX227" s="2214"/>
      <c r="VY227" s="2214"/>
      <c r="VZ227" s="2214"/>
      <c r="WA227" s="2214"/>
      <c r="WB227" s="2214"/>
      <c r="WC227" s="2214"/>
      <c r="WD227" s="2214"/>
      <c r="WE227" s="2214"/>
      <c r="WF227" s="2214"/>
      <c r="WG227" s="2214"/>
      <c r="WH227" s="2214"/>
      <c r="WI227" s="2214"/>
      <c r="WJ227" s="2214"/>
      <c r="WK227" s="2214"/>
      <c r="WL227" s="2214"/>
      <c r="WM227" s="2214"/>
      <c r="WN227" s="2214"/>
      <c r="WO227" s="2214"/>
      <c r="WP227" s="2214"/>
      <c r="WQ227" s="2214"/>
      <c r="WR227" s="2214"/>
      <c r="WS227" s="2214"/>
      <c r="WT227" s="2214"/>
      <c r="WU227" s="2214"/>
      <c r="WV227" s="2214"/>
      <c r="WW227" s="2214"/>
      <c r="WX227" s="2214"/>
      <c r="WY227" s="2214"/>
      <c r="WZ227" s="2214"/>
      <c r="XA227" s="2214"/>
      <c r="XB227" s="2214"/>
      <c r="XC227" s="2214"/>
      <c r="XD227" s="2214"/>
      <c r="XE227" s="2214"/>
      <c r="XF227" s="2214"/>
      <c r="XG227" s="2214"/>
      <c r="XH227" s="2214"/>
      <c r="XI227" s="2214"/>
      <c r="XJ227" s="2214"/>
      <c r="XK227" s="2214"/>
      <c r="XL227" s="2214"/>
      <c r="XM227" s="2214"/>
      <c r="XN227" s="2214"/>
      <c r="XO227" s="2214"/>
      <c r="XP227" s="2214"/>
      <c r="XQ227" s="2214"/>
      <c r="XR227" s="2214"/>
      <c r="XS227" s="2214"/>
      <c r="XT227" s="2214"/>
      <c r="XU227" s="2214"/>
      <c r="XV227" s="2214"/>
      <c r="XW227" s="2214"/>
      <c r="XX227" s="2214"/>
      <c r="XY227" s="2214"/>
      <c r="XZ227" s="2214"/>
      <c r="YA227" s="2214"/>
      <c r="YB227" s="2214"/>
      <c r="YC227" s="2214"/>
      <c r="YD227" s="2214"/>
      <c r="YE227" s="2214"/>
      <c r="YF227" s="2214"/>
      <c r="YG227" s="2214"/>
      <c r="YH227" s="2214"/>
      <c r="YI227" s="2214"/>
      <c r="YJ227" s="2214"/>
      <c r="YK227" s="2214"/>
      <c r="YL227" s="2214"/>
      <c r="YM227" s="2214"/>
      <c r="YN227" s="2214"/>
      <c r="YO227" s="2214"/>
      <c r="YP227" s="2214"/>
      <c r="YQ227" s="2214"/>
      <c r="YR227" s="2214"/>
      <c r="YS227" s="2214"/>
      <c r="YT227" s="2214"/>
      <c r="YU227" s="2214"/>
      <c r="YV227" s="2214"/>
      <c r="YW227" s="2214"/>
      <c r="YX227" s="2214"/>
      <c r="YY227" s="2214"/>
      <c r="YZ227" s="2214"/>
      <c r="ZA227" s="2214"/>
      <c r="ZB227" s="2214"/>
      <c r="ZC227" s="2214"/>
      <c r="ZD227" s="2214"/>
      <c r="ZE227" s="2214"/>
      <c r="ZF227" s="2214"/>
      <c r="ZG227" s="2214"/>
      <c r="ZH227" s="2214"/>
      <c r="ZI227" s="2214"/>
      <c r="ZJ227" s="2214"/>
      <c r="ZK227" s="2214"/>
      <c r="ZL227" s="2214"/>
      <c r="ZM227" s="2214"/>
      <c r="ZN227" s="2214"/>
      <c r="ZO227" s="2214"/>
      <c r="ZP227" s="2214"/>
      <c r="ZQ227" s="2214"/>
      <c r="ZR227" s="2214"/>
      <c r="ZS227" s="2214"/>
      <c r="ZT227" s="2214"/>
      <c r="ZU227" s="2214"/>
      <c r="ZV227" s="2214"/>
      <c r="ZW227" s="2214"/>
      <c r="ZX227" s="2214"/>
      <c r="ZY227" s="2214"/>
      <c r="ZZ227" s="2214"/>
      <c r="AAA227" s="2214"/>
      <c r="AAB227" s="2214"/>
      <c r="AAC227" s="2214"/>
      <c r="AAD227" s="2214"/>
      <c r="AAE227" s="2214"/>
      <c r="AAF227" s="2214"/>
      <c r="AAG227" s="2214"/>
      <c r="AAH227" s="2214"/>
      <c r="AAI227" s="2214"/>
      <c r="AAJ227" s="2214"/>
      <c r="AAK227" s="2214"/>
      <c r="AAL227" s="2214"/>
      <c r="AAM227" s="2214"/>
      <c r="AAN227" s="2214"/>
      <c r="AAO227" s="2214"/>
      <c r="AAP227" s="2214"/>
      <c r="AAQ227" s="2214"/>
      <c r="AAR227" s="2214"/>
      <c r="AAS227" s="2214"/>
      <c r="AAT227" s="2214"/>
      <c r="AAU227" s="2214"/>
      <c r="AAV227" s="2214"/>
      <c r="AAW227" s="2214"/>
      <c r="AAX227" s="2214"/>
      <c r="AAY227" s="2214"/>
      <c r="AAZ227" s="2214"/>
      <c r="ABA227" s="2214"/>
      <c r="ABB227" s="2214"/>
      <c r="ABC227" s="2214"/>
      <c r="ABD227" s="2214"/>
      <c r="ABE227" s="2214"/>
      <c r="ABF227" s="2214"/>
      <c r="ABG227" s="2214"/>
      <c r="ABH227" s="2214"/>
      <c r="ABI227" s="2214"/>
      <c r="ABJ227" s="2214"/>
      <c r="ABK227" s="2214"/>
      <c r="ABL227" s="2214"/>
      <c r="ABM227" s="2214"/>
      <c r="ABN227" s="2214"/>
      <c r="ABO227" s="2214"/>
      <c r="ABP227" s="2214"/>
      <c r="ABQ227" s="2214"/>
      <c r="ABR227" s="2214"/>
      <c r="ABS227" s="2214"/>
      <c r="ABT227" s="2214"/>
      <c r="ABU227" s="2214"/>
      <c r="ABV227" s="2214"/>
      <c r="ABW227" s="2214"/>
      <c r="ABX227" s="2214"/>
      <c r="ABY227" s="2214"/>
      <c r="ABZ227" s="2214"/>
      <c r="ACA227" s="2214"/>
      <c r="ACB227" s="2214"/>
      <c r="ACC227" s="2214"/>
      <c r="ACD227" s="2214"/>
      <c r="ACE227" s="2214"/>
      <c r="ACF227" s="2214"/>
      <c r="ACG227" s="2214"/>
      <c r="ACH227" s="2214"/>
      <c r="ACI227" s="2214"/>
      <c r="ACJ227" s="2214"/>
      <c r="ACK227" s="2214"/>
      <c r="ACL227" s="2214"/>
      <c r="ACM227" s="2214"/>
      <c r="ACN227" s="2214"/>
      <c r="ACO227" s="2214"/>
      <c r="ACP227" s="2214"/>
      <c r="ACQ227" s="2214"/>
      <c r="ACR227" s="2214"/>
      <c r="ACS227" s="2214"/>
      <c r="ACT227" s="2214"/>
      <c r="ACU227" s="2214"/>
      <c r="ACV227" s="2214"/>
      <c r="ACW227" s="2214"/>
      <c r="ACX227" s="2214"/>
      <c r="ACY227" s="2214"/>
      <c r="ACZ227" s="2214"/>
      <c r="ADA227" s="2214"/>
      <c r="ADB227" s="2214"/>
      <c r="ADC227" s="2214"/>
      <c r="ADD227" s="2214"/>
      <c r="ADE227" s="2214"/>
      <c r="ADF227" s="2214"/>
      <c r="ADG227" s="2214"/>
      <c r="ADH227" s="2214"/>
      <c r="ADI227" s="2214"/>
      <c r="ADJ227" s="2214"/>
      <c r="ADK227" s="2214"/>
      <c r="ADL227" s="2214"/>
      <c r="ADM227" s="2214"/>
      <c r="ADN227" s="2214"/>
      <c r="ADO227" s="2214"/>
      <c r="ADP227" s="2214"/>
      <c r="ADQ227" s="2214"/>
      <c r="ADR227" s="2214"/>
      <c r="ADS227" s="2214"/>
      <c r="ADT227" s="2214"/>
      <c r="ADU227" s="2214"/>
      <c r="ADV227" s="2214"/>
      <c r="ADW227" s="2214"/>
      <c r="ADX227" s="2214"/>
      <c r="ADY227" s="2214"/>
      <c r="ADZ227" s="2214"/>
      <c r="AEA227" s="2214"/>
      <c r="AEB227" s="2214"/>
      <c r="AEC227" s="2214"/>
      <c r="AED227" s="2214"/>
      <c r="AEE227" s="2214"/>
      <c r="AEF227" s="2214"/>
      <c r="AEG227" s="2214"/>
      <c r="AEH227" s="2214"/>
      <c r="AEI227" s="2214"/>
      <c r="AEJ227" s="2214"/>
      <c r="AEK227" s="2214"/>
      <c r="AEL227" s="2214"/>
      <c r="AEM227" s="2214"/>
      <c r="AEN227" s="2214"/>
      <c r="AEO227" s="2214"/>
      <c r="AEP227" s="2214"/>
      <c r="AEQ227" s="2214"/>
      <c r="AER227" s="2214"/>
      <c r="AES227" s="2214"/>
      <c r="AET227" s="2214"/>
      <c r="AEU227" s="2214"/>
      <c r="AEV227" s="2214"/>
      <c r="AEW227" s="2214"/>
      <c r="AEX227" s="2214"/>
      <c r="AEY227" s="2214"/>
      <c r="AEZ227" s="2214"/>
      <c r="AFA227" s="2214"/>
      <c r="AFB227" s="2214"/>
      <c r="AFC227" s="2214"/>
      <c r="AFD227" s="2214"/>
      <c r="AFE227" s="2214"/>
      <c r="AFF227" s="2214"/>
      <c r="AFG227" s="2214"/>
      <c r="AFH227" s="2214"/>
      <c r="AFI227" s="2214"/>
      <c r="AFJ227" s="2214"/>
      <c r="AFK227" s="2214"/>
      <c r="AFL227" s="2214"/>
      <c r="AFM227" s="2214"/>
      <c r="AFN227" s="2214"/>
      <c r="AFO227" s="2214"/>
      <c r="AFP227" s="2214"/>
      <c r="AFQ227" s="2214"/>
      <c r="AFR227" s="2214"/>
      <c r="AFS227" s="2214"/>
      <c r="AFT227" s="2214"/>
      <c r="AFU227" s="2214"/>
      <c r="AFV227" s="2214"/>
      <c r="AFW227" s="2214"/>
      <c r="AFX227" s="2214"/>
      <c r="AFY227" s="2214"/>
      <c r="AFZ227" s="2214"/>
      <c r="AGA227" s="2214"/>
      <c r="AGB227" s="2214"/>
      <c r="AGC227" s="2214"/>
      <c r="AGD227" s="2214"/>
      <c r="AGE227" s="2214"/>
      <c r="AGF227" s="2214"/>
      <c r="AGG227" s="2214"/>
      <c r="AGH227" s="2214"/>
      <c r="AGI227" s="2214"/>
      <c r="AGJ227" s="2214"/>
      <c r="AGK227" s="2214"/>
      <c r="AGL227" s="2214"/>
      <c r="AGM227" s="2214"/>
      <c r="AGN227" s="2214"/>
      <c r="AGO227" s="2214"/>
      <c r="AGP227" s="2214"/>
      <c r="AGQ227" s="2214"/>
      <c r="AGR227" s="2214"/>
      <c r="AGS227" s="2214"/>
      <c r="AGT227" s="2214"/>
      <c r="AGU227" s="2214"/>
      <c r="AGV227" s="2214"/>
      <c r="AGW227" s="2214"/>
      <c r="AGX227" s="2214"/>
      <c r="AGY227" s="2214"/>
      <c r="AGZ227" s="2214"/>
      <c r="AHA227" s="2214"/>
      <c r="AHB227" s="2214"/>
      <c r="AHC227" s="2214"/>
      <c r="AHD227" s="2214"/>
      <c r="AHE227" s="2214"/>
      <c r="AHF227" s="2214"/>
      <c r="AHG227" s="2214"/>
      <c r="AHH227" s="2214"/>
      <c r="AHI227" s="2214"/>
      <c r="AHJ227" s="2214"/>
      <c r="AHK227" s="2214"/>
      <c r="AHL227" s="2214"/>
      <c r="AHM227" s="2214"/>
      <c r="AHN227" s="2214"/>
      <c r="AHO227" s="2214"/>
      <c r="AHP227" s="2214"/>
      <c r="AHQ227" s="2214"/>
      <c r="AHR227" s="2214"/>
      <c r="AHS227" s="2214"/>
      <c r="AHT227" s="2214"/>
      <c r="AHU227" s="2214"/>
      <c r="AHV227" s="2214"/>
      <c r="AHW227" s="2214"/>
      <c r="AHX227" s="2214"/>
      <c r="AHY227" s="2214"/>
      <c r="AHZ227" s="2214"/>
      <c r="AIA227" s="2214"/>
      <c r="AIB227" s="2214"/>
      <c r="AIC227" s="2214"/>
      <c r="AID227" s="2214"/>
      <c r="AIE227" s="2214"/>
      <c r="AIF227" s="2214"/>
      <c r="AIG227" s="2214"/>
      <c r="AIH227" s="2214"/>
      <c r="AII227" s="2214"/>
      <c r="AIJ227" s="2214"/>
      <c r="AIK227" s="2214"/>
      <c r="AIL227" s="2214"/>
      <c r="AIM227" s="2214"/>
      <c r="AIN227" s="2214"/>
      <c r="AIO227" s="2214"/>
      <c r="AIP227" s="2214"/>
      <c r="AIQ227" s="2214"/>
      <c r="AIR227" s="2214"/>
      <c r="AIS227" s="2214"/>
      <c r="AIT227" s="2214"/>
      <c r="AIU227" s="2214"/>
      <c r="AIV227" s="2214"/>
      <c r="AIW227" s="2214"/>
      <c r="AIX227" s="2214"/>
      <c r="AIY227" s="2214"/>
      <c r="AIZ227" s="2214"/>
      <c r="AJA227" s="2214"/>
      <c r="AJB227" s="2214"/>
      <c r="AJC227" s="2214"/>
      <c r="AJD227" s="2214"/>
      <c r="AJE227" s="2214"/>
      <c r="AJF227" s="2214"/>
      <c r="AJG227" s="2214"/>
      <c r="AJH227" s="2214"/>
      <c r="AJI227" s="2214"/>
      <c r="AJJ227" s="2214"/>
      <c r="AJK227" s="2214"/>
      <c r="AJL227" s="2214"/>
      <c r="AJM227" s="2214"/>
      <c r="AJN227" s="2214"/>
      <c r="AJO227" s="2214"/>
      <c r="AJP227" s="2214"/>
      <c r="AJQ227" s="2214"/>
      <c r="AJR227" s="2214"/>
      <c r="AJS227" s="2214"/>
      <c r="AJT227" s="2214"/>
      <c r="AJU227" s="2214"/>
      <c r="AJV227" s="2214"/>
      <c r="AJW227" s="2214"/>
      <c r="AJX227" s="2214"/>
      <c r="AJY227" s="2214"/>
      <c r="AJZ227" s="2214"/>
      <c r="AKA227" s="2214"/>
      <c r="AKB227" s="2214"/>
      <c r="AKC227" s="2214"/>
      <c r="AKD227" s="2214"/>
      <c r="AKE227" s="2214"/>
      <c r="AKF227" s="2214"/>
      <c r="AKG227" s="2214"/>
      <c r="AKH227" s="2214"/>
      <c r="AKI227" s="2214"/>
      <c r="AKJ227" s="2214"/>
      <c r="AKK227" s="2214"/>
      <c r="AKL227" s="2214"/>
      <c r="AKM227" s="2214"/>
      <c r="AKN227" s="2214"/>
      <c r="AKO227" s="2214"/>
      <c r="AKP227" s="2214"/>
      <c r="AKQ227" s="2214"/>
      <c r="AKR227" s="2214"/>
      <c r="AKS227" s="2214"/>
      <c r="AKT227" s="2214"/>
      <c r="AKU227" s="2214"/>
      <c r="AKV227" s="2214"/>
      <c r="AKW227" s="2214"/>
      <c r="AKX227" s="2214"/>
      <c r="AKY227" s="2214"/>
      <c r="AKZ227" s="2214"/>
      <c r="ALA227" s="2214"/>
      <c r="ALB227" s="2214"/>
      <c r="ALC227" s="2214"/>
      <c r="ALD227" s="2214"/>
      <c r="ALE227" s="2214"/>
      <c r="ALF227" s="2214"/>
      <c r="ALG227" s="2214"/>
      <c r="ALH227" s="2214"/>
      <c r="ALI227" s="2214"/>
      <c r="ALJ227" s="2214"/>
      <c r="ALK227" s="2214"/>
      <c r="ALL227" s="2214"/>
      <c r="ALM227" s="2214"/>
      <c r="ALN227" s="2214"/>
      <c r="ALO227" s="2214"/>
      <c r="ALP227" s="2214"/>
      <c r="ALQ227" s="2214"/>
      <c r="ALR227" s="2214"/>
      <c r="ALS227" s="2214"/>
      <c r="ALT227" s="2214"/>
      <c r="ALU227" s="2214"/>
      <c r="ALV227" s="2214"/>
      <c r="ALW227" s="2214"/>
      <c r="ALX227" s="2214"/>
      <c r="ALY227" s="2214"/>
      <c r="ALZ227" s="2214"/>
      <c r="AMA227" s="2214"/>
      <c r="AMB227" s="2214"/>
      <c r="AMC227" s="2214"/>
      <c r="AMD227" s="2214"/>
      <c r="AME227" s="2214"/>
      <c r="AMF227" s="2214"/>
      <c r="AMG227" s="2214"/>
      <c r="AMH227" s="2214"/>
      <c r="AMI227" s="2214"/>
      <c r="AMJ227" s="2214"/>
      <c r="AMK227" s="2214"/>
      <c r="AML227" s="2214"/>
      <c r="AMM227" s="2214"/>
      <c r="AMN227" s="2214"/>
      <c r="AMO227" s="2214"/>
      <c r="AMP227" s="2214"/>
      <c r="AMQ227" s="2214"/>
      <c r="AMR227" s="2214"/>
      <c r="AMS227" s="2214"/>
      <c r="AMT227" s="2214"/>
      <c r="AMU227" s="2214"/>
      <c r="AMV227" s="2214"/>
      <c r="AMW227" s="2214"/>
      <c r="AMX227" s="2214"/>
      <c r="AMY227" s="2214"/>
      <c r="AMZ227" s="2214"/>
      <c r="ANA227" s="2214"/>
      <c r="ANB227" s="2214"/>
      <c r="ANC227" s="2214"/>
      <c r="AND227" s="2214"/>
      <c r="ANE227" s="2214"/>
      <c r="ANF227" s="2214"/>
      <c r="ANG227" s="2214"/>
      <c r="ANH227" s="2214"/>
      <c r="ANI227" s="2214"/>
      <c r="ANJ227" s="2214"/>
      <c r="ANK227" s="2214"/>
      <c r="ANL227" s="2214"/>
      <c r="ANM227" s="2214"/>
      <c r="ANN227" s="2214"/>
      <c r="ANO227" s="2214"/>
      <c r="ANP227" s="2214"/>
      <c r="ANQ227" s="2214"/>
      <c r="ANR227" s="2214"/>
      <c r="ANS227" s="2214"/>
      <c r="ANT227" s="2214"/>
      <c r="ANU227" s="2214"/>
      <c r="ANV227" s="2214"/>
      <c r="ANW227" s="2214"/>
      <c r="ANX227" s="2214"/>
      <c r="ANY227" s="2214"/>
      <c r="ANZ227" s="2214"/>
      <c r="AOA227" s="2214"/>
      <c r="AOB227" s="2214"/>
      <c r="AOC227" s="2214"/>
      <c r="AOD227" s="2214"/>
      <c r="AOE227" s="2214"/>
      <c r="AOF227" s="2214"/>
      <c r="AOG227" s="2214"/>
      <c r="AOH227" s="2214"/>
      <c r="AOI227" s="2214"/>
      <c r="AOJ227" s="2214"/>
      <c r="AOK227" s="2214"/>
      <c r="AOL227" s="2214"/>
      <c r="AOM227" s="2214"/>
      <c r="AON227" s="2214"/>
      <c r="AOO227" s="2214"/>
      <c r="AOP227" s="2214"/>
      <c r="AOQ227" s="2214"/>
      <c r="AOR227" s="2214"/>
      <c r="AOS227" s="2214"/>
      <c r="AOT227" s="2214"/>
      <c r="AOU227" s="2214"/>
      <c r="AOV227" s="2214"/>
      <c r="AOW227" s="2214"/>
      <c r="AOX227" s="2214"/>
      <c r="AOY227" s="2214"/>
      <c r="AOZ227" s="2214"/>
      <c r="APA227" s="2214"/>
      <c r="APB227" s="2214"/>
      <c r="APC227" s="2214"/>
      <c r="APD227" s="2214"/>
      <c r="APE227" s="2214"/>
      <c r="APF227" s="2214"/>
      <c r="APG227" s="2214"/>
      <c r="APH227" s="2214"/>
      <c r="API227" s="2214"/>
      <c r="APJ227" s="2214"/>
      <c r="APK227" s="2214"/>
      <c r="APL227" s="2214"/>
      <c r="APM227" s="2214"/>
      <c r="APN227" s="2214"/>
      <c r="APO227" s="2214"/>
      <c r="APP227" s="2214"/>
      <c r="APQ227" s="2214"/>
      <c r="APR227" s="2214"/>
      <c r="APS227" s="2214"/>
      <c r="APT227" s="2214"/>
      <c r="APU227" s="2214"/>
      <c r="APV227" s="2214"/>
      <c r="APW227" s="2214"/>
      <c r="APX227" s="2214"/>
      <c r="APY227" s="2214"/>
      <c r="APZ227" s="2214"/>
      <c r="AQA227" s="2214"/>
      <c r="AQB227" s="2214"/>
      <c r="AQC227" s="2214"/>
      <c r="AQD227" s="2214"/>
      <c r="AQE227" s="2214"/>
      <c r="AQF227" s="2214"/>
      <c r="AQG227" s="2214"/>
      <c r="AQH227" s="2214"/>
      <c r="AQI227" s="2214"/>
      <c r="AQJ227" s="2214"/>
      <c r="AQK227" s="2214"/>
      <c r="AQL227" s="2214"/>
      <c r="AQM227" s="2214"/>
      <c r="AQN227" s="2214"/>
      <c r="AQO227" s="2214"/>
      <c r="AQP227" s="2214"/>
      <c r="AQQ227" s="2214"/>
      <c r="AQR227" s="2214"/>
      <c r="AQS227" s="2214"/>
      <c r="AQT227" s="2214"/>
      <c r="AQU227" s="2214"/>
      <c r="AQV227" s="2214"/>
      <c r="AQW227" s="2214"/>
      <c r="AQX227" s="2214"/>
      <c r="AQY227" s="2214"/>
      <c r="AQZ227" s="2214"/>
      <c r="ARA227" s="2214"/>
      <c r="ARB227" s="2214"/>
      <c r="ARC227" s="2214"/>
      <c r="ARD227" s="2214"/>
      <c r="ARE227" s="2214"/>
      <c r="ARF227" s="2214"/>
      <c r="ARG227" s="2214"/>
      <c r="ARH227" s="2214"/>
      <c r="ARI227" s="2214"/>
      <c r="ARJ227" s="2214"/>
      <c r="ARK227" s="2214"/>
      <c r="ARL227" s="2214"/>
      <c r="ARM227" s="2214"/>
      <c r="ARN227" s="2214"/>
      <c r="ARO227" s="2214"/>
      <c r="ARP227" s="2214"/>
      <c r="ARQ227" s="2214"/>
      <c r="ARR227" s="2214"/>
      <c r="ARS227" s="2214"/>
      <c r="ART227" s="2214"/>
      <c r="ARU227" s="2214"/>
      <c r="ARV227" s="2214"/>
      <c r="ARW227" s="2214"/>
      <c r="ARX227" s="2214"/>
      <c r="ARY227" s="2214"/>
      <c r="ARZ227" s="2214"/>
      <c r="ASA227" s="2214"/>
      <c r="ASB227" s="2214"/>
      <c r="ASC227" s="2214"/>
      <c r="ASD227" s="2214"/>
      <c r="ASE227" s="2214"/>
      <c r="ASF227" s="2214"/>
      <c r="ASG227" s="2214"/>
      <c r="ASH227" s="2214"/>
      <c r="ASI227" s="2214"/>
      <c r="ASJ227" s="2214"/>
      <c r="ASK227" s="2214"/>
      <c r="ASL227" s="2214"/>
      <c r="ASM227" s="2214"/>
      <c r="ASN227" s="2214"/>
      <c r="ASO227" s="2214"/>
      <c r="ASP227" s="2214"/>
      <c r="ASQ227" s="2214"/>
      <c r="ASR227" s="2214"/>
      <c r="ASS227" s="2214"/>
      <c r="AST227" s="2214"/>
      <c r="ASU227" s="2214"/>
      <c r="ASV227" s="2214"/>
      <c r="ASW227" s="2214"/>
      <c r="ASX227" s="2214"/>
      <c r="ASY227" s="2214"/>
      <c r="ASZ227" s="2214"/>
      <c r="ATA227" s="2214"/>
      <c r="ATB227" s="2214"/>
      <c r="ATC227" s="2214"/>
      <c r="ATD227" s="2214"/>
      <c r="ATE227" s="2214"/>
      <c r="ATF227" s="2214"/>
      <c r="ATG227" s="2214"/>
      <c r="ATH227" s="2214"/>
      <c r="ATI227" s="2214"/>
      <c r="ATJ227" s="2214"/>
      <c r="ATK227" s="2214"/>
      <c r="ATL227" s="2214"/>
      <c r="ATM227" s="2214"/>
      <c r="ATN227" s="2214"/>
      <c r="ATO227" s="2214"/>
      <c r="ATP227" s="2214"/>
      <c r="ATQ227" s="2214"/>
      <c r="ATR227" s="2214"/>
      <c r="ATS227" s="2214"/>
      <c r="ATT227" s="2214"/>
      <c r="ATU227" s="2214"/>
      <c r="ATV227" s="2214"/>
      <c r="ATW227" s="2214"/>
      <c r="ATX227" s="2214"/>
      <c r="ATY227" s="2214"/>
      <c r="ATZ227" s="2214"/>
      <c r="AUA227" s="2214"/>
      <c r="AUB227" s="2214"/>
      <c r="AUC227" s="2214"/>
      <c r="AUD227" s="2214"/>
      <c r="AUE227" s="2214"/>
      <c r="AUF227" s="2214"/>
      <c r="AUG227" s="2214"/>
      <c r="AUH227" s="2214"/>
      <c r="AUI227" s="2214"/>
      <c r="AUJ227" s="2214"/>
      <c r="AUK227" s="2214"/>
      <c r="AUL227" s="2214"/>
      <c r="AUM227" s="2214"/>
      <c r="AUN227" s="2214"/>
      <c r="AUO227" s="2214"/>
      <c r="AUP227" s="2214"/>
      <c r="AUQ227" s="2214"/>
      <c r="AUR227" s="2214"/>
      <c r="AUS227" s="2214"/>
      <c r="AUT227" s="2214"/>
      <c r="AUU227" s="2214"/>
      <c r="AUV227" s="2214"/>
      <c r="AUW227" s="2214"/>
      <c r="AUX227" s="2214"/>
      <c r="AUY227" s="2214"/>
      <c r="AUZ227" s="2214"/>
      <c r="AVA227" s="2214"/>
      <c r="AVB227" s="2214"/>
      <c r="AVC227" s="2214"/>
      <c r="AVD227" s="2214"/>
      <c r="AVE227" s="2214"/>
      <c r="AVF227" s="2214"/>
      <c r="AVG227" s="2214"/>
      <c r="AVH227" s="2214"/>
      <c r="AVI227" s="2214"/>
      <c r="AVJ227" s="2214"/>
      <c r="AVK227" s="2214"/>
      <c r="AVL227" s="2214"/>
      <c r="AVM227" s="2214"/>
      <c r="AVN227" s="2214"/>
      <c r="AVO227" s="2214"/>
      <c r="AVP227" s="2214"/>
      <c r="AVQ227" s="2214"/>
      <c r="AVR227" s="2214"/>
      <c r="AVS227" s="2214"/>
      <c r="AVT227" s="2214"/>
      <c r="AVU227" s="2214"/>
      <c r="AVV227" s="2214"/>
      <c r="AVW227" s="2214"/>
      <c r="AVX227" s="2214"/>
      <c r="AVY227" s="2214"/>
      <c r="AVZ227" s="2214"/>
      <c r="AWA227" s="2214"/>
      <c r="AWB227" s="2214"/>
      <c r="AWC227" s="2214"/>
      <c r="AWD227" s="2214"/>
      <c r="AWE227" s="2214"/>
      <c r="AWF227" s="2214"/>
      <c r="AWG227" s="2214"/>
      <c r="AWH227" s="2214"/>
      <c r="AWI227" s="2214"/>
      <c r="AWJ227" s="2214"/>
      <c r="AWK227" s="2214"/>
      <c r="AWL227" s="2214"/>
      <c r="AWM227" s="2214"/>
      <c r="AWN227" s="2214"/>
      <c r="AWO227" s="2214"/>
      <c r="AWP227" s="2214"/>
      <c r="AWQ227" s="2214"/>
      <c r="AWR227" s="2214"/>
      <c r="AWS227" s="2214"/>
      <c r="AWT227" s="2214"/>
      <c r="AWU227" s="2214"/>
      <c r="AWV227" s="2214"/>
      <c r="AWW227" s="2214"/>
      <c r="AWX227" s="2214"/>
      <c r="AWY227" s="2214"/>
      <c r="AWZ227" s="2214"/>
      <c r="AXA227" s="2214"/>
      <c r="AXB227" s="2214"/>
      <c r="AXC227" s="2214"/>
      <c r="AXD227" s="2214"/>
      <c r="AXE227" s="2214"/>
      <c r="AXF227" s="2214"/>
      <c r="AXG227" s="2214"/>
      <c r="AXH227" s="2214"/>
      <c r="AXI227" s="2214"/>
      <c r="AXJ227" s="2214"/>
    </row>
    <row r="228" spans="1:1310" s="2215" customFormat="1" ht="23.25" customHeight="1">
      <c r="A228" s="756"/>
      <c r="B228" s="9016" t="s">
        <v>1582</v>
      </c>
      <c r="C228" s="9016"/>
      <c r="D228" s="9016"/>
      <c r="E228" s="9016"/>
      <c r="F228" s="750"/>
      <c r="G228" s="9016" t="s">
        <v>1564</v>
      </c>
      <c r="H228" s="9016"/>
      <c r="I228" s="9016"/>
      <c r="J228" s="750"/>
      <c r="K228" s="9016" t="s">
        <v>1583</v>
      </c>
      <c r="L228" s="9016"/>
      <c r="M228" s="9016"/>
      <c r="N228" s="750"/>
      <c r="O228" s="9016" t="s">
        <v>1584</v>
      </c>
      <c r="P228" s="9016"/>
      <c r="Q228" s="750"/>
      <c r="R228" s="311"/>
      <c r="S228" s="311"/>
      <c r="T228" s="311"/>
      <c r="U228" s="311"/>
      <c r="V228" s="311"/>
      <c r="W228" s="311"/>
      <c r="X228" s="311"/>
      <c r="Y228" s="311"/>
      <c r="Z228" s="311"/>
      <c r="AA228" s="311"/>
      <c r="AB228" s="311"/>
      <c r="AC228" s="311"/>
      <c r="AD228" s="2214"/>
      <c r="AE228" s="2214"/>
      <c r="AF228" s="2214"/>
      <c r="AG228" s="2214"/>
      <c r="AH228" s="2214"/>
      <c r="AI228" s="2214"/>
      <c r="AJ228" s="2214"/>
      <c r="AK228" s="2214"/>
      <c r="AL228" s="2214"/>
      <c r="AM228" s="2214"/>
      <c r="AN228" s="2214"/>
      <c r="AO228" s="2214"/>
      <c r="AP228" s="2214"/>
      <c r="AQ228" s="2214"/>
      <c r="AR228" s="2214"/>
      <c r="AS228" s="2214"/>
      <c r="AT228" s="2214"/>
      <c r="AU228" s="2214"/>
      <c r="AV228" s="2214"/>
      <c r="AW228" s="2214"/>
      <c r="AX228" s="2214"/>
      <c r="AY228" s="2214"/>
      <c r="AZ228" s="2214"/>
      <c r="BA228" s="2214"/>
      <c r="BB228" s="2214"/>
      <c r="BC228" s="2214"/>
      <c r="BD228" s="2214"/>
      <c r="BE228" s="2214"/>
      <c r="BF228" s="2214"/>
      <c r="BG228" s="2214"/>
      <c r="BH228" s="2214"/>
      <c r="BI228" s="2214"/>
      <c r="BJ228" s="2214"/>
      <c r="BK228" s="2214"/>
      <c r="BL228" s="2214"/>
      <c r="BM228" s="2214"/>
      <c r="BN228" s="2214"/>
      <c r="BO228" s="2214"/>
      <c r="BP228" s="2214"/>
      <c r="BQ228" s="2214"/>
      <c r="BR228" s="2214"/>
      <c r="BS228" s="2214"/>
      <c r="BT228" s="2214"/>
      <c r="BU228" s="2214"/>
      <c r="BV228" s="2214"/>
      <c r="BW228" s="2214"/>
      <c r="BX228" s="2214"/>
      <c r="BY228" s="2214"/>
      <c r="BZ228" s="2214"/>
      <c r="CA228" s="2214"/>
      <c r="CB228" s="2214"/>
      <c r="CC228" s="2214"/>
      <c r="CD228" s="2214"/>
      <c r="CE228" s="2214"/>
      <c r="CF228" s="2214"/>
      <c r="CG228" s="2214"/>
      <c r="CH228" s="2214"/>
      <c r="CI228" s="2214"/>
      <c r="CJ228" s="2214"/>
      <c r="CK228" s="2214"/>
      <c r="CL228" s="2214"/>
      <c r="CM228" s="2214"/>
      <c r="CN228" s="2214"/>
      <c r="CO228" s="2214"/>
      <c r="CP228" s="2214"/>
      <c r="CQ228" s="2214"/>
      <c r="CR228" s="2214"/>
      <c r="CS228" s="2214"/>
      <c r="CT228" s="2214"/>
      <c r="CU228" s="2214"/>
      <c r="CV228" s="2214"/>
      <c r="CW228" s="2214"/>
      <c r="CX228" s="2214"/>
      <c r="CY228" s="2214"/>
      <c r="CZ228" s="2214"/>
      <c r="DA228" s="2214"/>
      <c r="DB228" s="2214"/>
      <c r="DC228" s="2214"/>
      <c r="DD228" s="2214"/>
      <c r="DE228" s="2214"/>
      <c r="DF228" s="2214"/>
      <c r="DG228" s="2214"/>
      <c r="DH228" s="2214"/>
      <c r="DI228" s="2214"/>
      <c r="DJ228" s="2214"/>
      <c r="DK228" s="2214"/>
      <c r="DL228" s="2214"/>
      <c r="DM228" s="2214"/>
      <c r="DN228" s="2214"/>
      <c r="DO228" s="2214"/>
      <c r="DP228" s="2214"/>
      <c r="DQ228" s="2214"/>
      <c r="DR228" s="2214"/>
      <c r="DS228" s="2214"/>
      <c r="DT228" s="2214"/>
      <c r="DU228" s="2214"/>
      <c r="DV228" s="2214"/>
      <c r="DW228" s="2214"/>
      <c r="DX228" s="2214"/>
      <c r="DY228" s="2214"/>
      <c r="DZ228" s="2214"/>
      <c r="EA228" s="2214"/>
      <c r="EB228" s="2214"/>
      <c r="EC228" s="2214"/>
      <c r="ED228" s="2214"/>
      <c r="EE228" s="2214"/>
      <c r="EF228" s="2214"/>
      <c r="EG228" s="2214"/>
      <c r="EH228" s="2214"/>
      <c r="EI228" s="2214"/>
      <c r="EJ228" s="2214"/>
      <c r="EK228" s="2214"/>
      <c r="EL228" s="2214"/>
      <c r="EM228" s="2214"/>
      <c r="EN228" s="2214"/>
      <c r="EO228" s="2214"/>
      <c r="EP228" s="2214"/>
      <c r="EQ228" s="2214"/>
      <c r="ER228" s="2214"/>
      <c r="ES228" s="2214"/>
      <c r="ET228" s="2214"/>
      <c r="EU228" s="2214"/>
      <c r="EV228" s="2214"/>
      <c r="EW228" s="2214"/>
      <c r="EX228" s="2214"/>
      <c r="EY228" s="2214"/>
      <c r="EZ228" s="2214"/>
      <c r="FA228" s="2214"/>
      <c r="FB228" s="2214"/>
      <c r="FC228" s="2214"/>
      <c r="FD228" s="2214"/>
      <c r="FE228" s="2214"/>
      <c r="FF228" s="2214"/>
      <c r="FG228" s="2214"/>
      <c r="FH228" s="2214"/>
      <c r="FI228" s="2214"/>
      <c r="FJ228" s="2214"/>
      <c r="FK228" s="2214"/>
      <c r="FL228" s="2214"/>
      <c r="FM228" s="2214"/>
      <c r="FN228" s="2214"/>
      <c r="FO228" s="2214"/>
      <c r="FP228" s="2214"/>
      <c r="FQ228" s="2214"/>
      <c r="FR228" s="2214"/>
      <c r="FS228" s="2214"/>
      <c r="FT228" s="2214"/>
      <c r="FU228" s="2214"/>
      <c r="FV228" s="2214"/>
      <c r="FW228" s="2214"/>
      <c r="FX228" s="2214"/>
      <c r="FY228" s="2214"/>
      <c r="FZ228" s="2214"/>
      <c r="GA228" s="2214"/>
      <c r="GB228" s="2214"/>
      <c r="GC228" s="2214"/>
      <c r="GD228" s="2214"/>
      <c r="GE228" s="2214"/>
      <c r="GF228" s="2214"/>
      <c r="GG228" s="2214"/>
      <c r="GH228" s="2214"/>
      <c r="GI228" s="2214"/>
      <c r="GJ228" s="2214"/>
      <c r="GK228" s="2214"/>
      <c r="GL228" s="2214"/>
      <c r="GM228" s="2214"/>
      <c r="GN228" s="2214"/>
      <c r="GO228" s="2214"/>
      <c r="GP228" s="2214"/>
      <c r="GQ228" s="2214"/>
      <c r="GR228" s="2214"/>
      <c r="GS228" s="2214"/>
      <c r="GT228" s="2214"/>
      <c r="GU228" s="2214"/>
      <c r="GV228" s="2214"/>
      <c r="GW228" s="2214"/>
      <c r="GX228" s="2214"/>
      <c r="GY228" s="2214"/>
      <c r="GZ228" s="2214"/>
      <c r="HA228" s="2214"/>
      <c r="HB228" s="2214"/>
      <c r="HC228" s="2214"/>
      <c r="HD228" s="2214"/>
      <c r="HE228" s="2214"/>
      <c r="HF228" s="2214"/>
      <c r="HG228" s="2214"/>
      <c r="HH228" s="2214"/>
      <c r="HI228" s="2214"/>
      <c r="HJ228" s="2214"/>
      <c r="HK228" s="2214"/>
      <c r="HL228" s="2214"/>
      <c r="HM228" s="2214"/>
      <c r="HN228" s="2214"/>
      <c r="HO228" s="2214"/>
      <c r="HP228" s="2214"/>
      <c r="HQ228" s="2214"/>
      <c r="HR228" s="2214"/>
      <c r="HS228" s="2214"/>
      <c r="HT228" s="2214"/>
      <c r="HU228" s="2214"/>
      <c r="HV228" s="2214"/>
      <c r="HW228" s="2214"/>
      <c r="HX228" s="2214"/>
      <c r="HY228" s="2214"/>
      <c r="HZ228" s="2214"/>
      <c r="IA228" s="2214"/>
      <c r="IB228" s="2214"/>
      <c r="IC228" s="2214"/>
      <c r="ID228" s="2214"/>
      <c r="IE228" s="2214"/>
      <c r="IF228" s="2214"/>
      <c r="IG228" s="2214"/>
      <c r="IH228" s="2214"/>
      <c r="II228" s="2214"/>
      <c r="IJ228" s="2214"/>
      <c r="IK228" s="2214"/>
      <c r="IL228" s="2214"/>
      <c r="IM228" s="2214"/>
      <c r="IN228" s="2214"/>
      <c r="IO228" s="2214"/>
      <c r="IP228" s="2214"/>
      <c r="IQ228" s="2214"/>
      <c r="IR228" s="2214"/>
      <c r="IS228" s="2214"/>
      <c r="IT228" s="2214"/>
      <c r="IU228" s="2214"/>
      <c r="IV228" s="2214"/>
      <c r="IW228" s="2214"/>
      <c r="IX228" s="2214"/>
      <c r="IY228" s="2214"/>
      <c r="IZ228" s="2214"/>
      <c r="JA228" s="2214"/>
      <c r="JB228" s="2214"/>
      <c r="JC228" s="2214"/>
      <c r="JD228" s="2214"/>
      <c r="JE228" s="2214"/>
      <c r="JF228" s="2214"/>
      <c r="JG228" s="2214"/>
      <c r="JH228" s="2214"/>
      <c r="JI228" s="2214"/>
      <c r="JJ228" s="2214"/>
      <c r="JK228" s="2214"/>
      <c r="JL228" s="2214"/>
      <c r="JM228" s="2214"/>
      <c r="JN228" s="2214"/>
      <c r="JO228" s="2214"/>
      <c r="JP228" s="2214"/>
      <c r="JQ228" s="2214"/>
      <c r="JR228" s="2214"/>
      <c r="JS228" s="2214"/>
      <c r="JT228" s="2214"/>
      <c r="JU228" s="2214"/>
      <c r="JV228" s="2214"/>
      <c r="JW228" s="2214"/>
      <c r="JX228" s="2214"/>
      <c r="JY228" s="2214"/>
      <c r="JZ228" s="2214"/>
      <c r="KA228" s="2214"/>
      <c r="KB228" s="2214"/>
      <c r="KC228" s="2214"/>
      <c r="KD228" s="2214"/>
      <c r="KE228" s="2214"/>
      <c r="KF228" s="2214"/>
      <c r="KG228" s="2214"/>
      <c r="KH228" s="2214"/>
      <c r="KI228" s="2214"/>
      <c r="KJ228" s="2214"/>
      <c r="KK228" s="2214"/>
      <c r="KL228" s="2214"/>
      <c r="KM228" s="2214"/>
      <c r="KN228" s="2214"/>
      <c r="KO228" s="2214"/>
      <c r="KP228" s="2214"/>
      <c r="KQ228" s="2214"/>
      <c r="KR228" s="2214"/>
      <c r="KS228" s="2214"/>
      <c r="KT228" s="2214"/>
      <c r="KU228" s="2214"/>
      <c r="KV228" s="2214"/>
      <c r="KW228" s="2214"/>
      <c r="KX228" s="2214"/>
      <c r="KY228" s="2214"/>
      <c r="KZ228" s="2214"/>
      <c r="LA228" s="2214"/>
      <c r="LB228" s="2214"/>
      <c r="LC228" s="2214"/>
      <c r="LD228" s="2214"/>
      <c r="LE228" s="2214"/>
      <c r="LF228" s="2214"/>
      <c r="LG228" s="2214"/>
      <c r="LH228" s="2214"/>
      <c r="LI228" s="2214"/>
      <c r="LJ228" s="2214"/>
      <c r="LK228" s="2214"/>
      <c r="LL228" s="2214"/>
      <c r="LM228" s="2214"/>
      <c r="LN228" s="2214"/>
      <c r="LO228" s="2214"/>
      <c r="LP228" s="2214"/>
      <c r="LQ228" s="2214"/>
      <c r="LR228" s="2214"/>
      <c r="LS228" s="2214"/>
      <c r="LT228" s="2214"/>
      <c r="LU228" s="2214"/>
      <c r="LV228" s="2214"/>
      <c r="LW228" s="2214"/>
      <c r="LX228" s="2214"/>
      <c r="LY228" s="2214"/>
      <c r="LZ228" s="2214"/>
      <c r="MA228" s="2214"/>
      <c r="MB228" s="2214"/>
      <c r="MC228" s="2214"/>
      <c r="MD228" s="2214"/>
      <c r="ME228" s="2214"/>
      <c r="MF228" s="2214"/>
      <c r="MG228" s="2214"/>
      <c r="MH228" s="2214"/>
      <c r="MI228" s="2214"/>
      <c r="MJ228" s="2214"/>
      <c r="MK228" s="2214"/>
      <c r="ML228" s="2214"/>
      <c r="MM228" s="2214"/>
      <c r="MN228" s="2214"/>
      <c r="MO228" s="2214"/>
      <c r="MP228" s="2214"/>
      <c r="MQ228" s="2214"/>
      <c r="MR228" s="2214"/>
      <c r="MS228" s="2214"/>
      <c r="MT228" s="2214"/>
      <c r="MU228" s="2214"/>
      <c r="MV228" s="2214"/>
      <c r="MW228" s="2214"/>
      <c r="MX228" s="2214"/>
      <c r="MY228" s="2214"/>
      <c r="MZ228" s="2214"/>
      <c r="NA228" s="2214"/>
      <c r="NB228" s="2214"/>
      <c r="NC228" s="2214"/>
      <c r="ND228" s="2214"/>
      <c r="NE228" s="2214"/>
      <c r="NF228" s="2214"/>
      <c r="NG228" s="2214"/>
      <c r="NH228" s="2214"/>
      <c r="NI228" s="2214"/>
      <c r="NJ228" s="2214"/>
      <c r="NK228" s="2214"/>
      <c r="NL228" s="2214"/>
      <c r="NM228" s="2214"/>
      <c r="NN228" s="2214"/>
      <c r="NO228" s="2214"/>
      <c r="NP228" s="2214"/>
      <c r="NQ228" s="2214"/>
      <c r="NR228" s="2214"/>
      <c r="NS228" s="2214"/>
      <c r="NT228" s="2214"/>
      <c r="NU228" s="2214"/>
      <c r="NV228" s="2214"/>
      <c r="NW228" s="2214"/>
      <c r="NX228" s="2214"/>
      <c r="NY228" s="2214"/>
      <c r="NZ228" s="2214"/>
      <c r="OA228" s="2214"/>
      <c r="OB228" s="2214"/>
      <c r="OC228" s="2214"/>
      <c r="OD228" s="2214"/>
      <c r="OE228" s="2214"/>
      <c r="OF228" s="2214"/>
      <c r="OG228" s="2214"/>
      <c r="OH228" s="2214"/>
      <c r="OI228" s="2214"/>
      <c r="OJ228" s="2214"/>
      <c r="OK228" s="2214"/>
      <c r="OL228" s="2214"/>
      <c r="OM228" s="2214"/>
      <c r="ON228" s="2214"/>
      <c r="OO228" s="2214"/>
      <c r="OP228" s="2214"/>
      <c r="OQ228" s="2214"/>
      <c r="OR228" s="2214"/>
      <c r="OS228" s="2214"/>
      <c r="OT228" s="2214"/>
      <c r="OU228" s="2214"/>
      <c r="OV228" s="2214"/>
      <c r="OW228" s="2214"/>
      <c r="OX228" s="2214"/>
      <c r="OY228" s="2214"/>
      <c r="OZ228" s="2214"/>
      <c r="PA228" s="2214"/>
      <c r="PB228" s="2214"/>
      <c r="PC228" s="2214"/>
      <c r="PD228" s="2214"/>
      <c r="PE228" s="2214"/>
      <c r="PF228" s="2214"/>
      <c r="PG228" s="2214"/>
      <c r="PH228" s="2214"/>
      <c r="PI228" s="2214"/>
      <c r="PJ228" s="2214"/>
      <c r="PK228" s="2214"/>
      <c r="PL228" s="2214"/>
      <c r="PM228" s="2214"/>
      <c r="PN228" s="2214"/>
      <c r="PO228" s="2214"/>
      <c r="PP228" s="2214"/>
      <c r="PQ228" s="2214"/>
      <c r="PR228" s="2214"/>
      <c r="PS228" s="2214"/>
      <c r="PT228" s="2214"/>
      <c r="PU228" s="2214"/>
      <c r="PV228" s="2214"/>
      <c r="PW228" s="2214"/>
      <c r="PX228" s="2214"/>
      <c r="PY228" s="2214"/>
      <c r="PZ228" s="2214"/>
      <c r="QA228" s="2214"/>
      <c r="QB228" s="2214"/>
      <c r="QC228" s="2214"/>
      <c r="QD228" s="2214"/>
      <c r="QE228" s="2214"/>
      <c r="QF228" s="2214"/>
      <c r="QG228" s="2214"/>
      <c r="QH228" s="2214"/>
      <c r="QI228" s="2214"/>
      <c r="QJ228" s="2214"/>
      <c r="QK228" s="2214"/>
      <c r="QL228" s="2214"/>
      <c r="QM228" s="2214"/>
      <c r="QN228" s="2214"/>
      <c r="QO228" s="2214"/>
      <c r="QP228" s="2214"/>
      <c r="QQ228" s="2214"/>
      <c r="QR228" s="2214"/>
      <c r="QS228" s="2214"/>
      <c r="QT228" s="2214"/>
      <c r="QU228" s="2214"/>
      <c r="QV228" s="2214"/>
      <c r="QW228" s="2214"/>
      <c r="QX228" s="2214"/>
      <c r="QY228" s="2214"/>
      <c r="QZ228" s="2214"/>
      <c r="RA228" s="2214"/>
      <c r="RB228" s="2214"/>
      <c r="RC228" s="2214"/>
      <c r="RD228" s="2214"/>
      <c r="RE228" s="2214"/>
      <c r="RF228" s="2214"/>
      <c r="RG228" s="2214"/>
      <c r="RH228" s="2214"/>
      <c r="RI228" s="2214"/>
      <c r="RJ228" s="2214"/>
      <c r="RK228" s="2214"/>
      <c r="RL228" s="2214"/>
      <c r="RM228" s="2214"/>
      <c r="RN228" s="2214"/>
      <c r="RO228" s="2214"/>
      <c r="RP228" s="2214"/>
      <c r="RQ228" s="2214"/>
      <c r="RR228" s="2214"/>
      <c r="RS228" s="2214"/>
      <c r="RT228" s="2214"/>
      <c r="RU228" s="2214"/>
      <c r="RV228" s="2214"/>
      <c r="RW228" s="2214"/>
      <c r="RX228" s="2214"/>
      <c r="RY228" s="2214"/>
      <c r="RZ228" s="2214"/>
      <c r="SA228" s="2214"/>
      <c r="SB228" s="2214"/>
      <c r="SC228" s="2214"/>
      <c r="SD228" s="2214"/>
      <c r="SE228" s="2214"/>
      <c r="SF228" s="2214"/>
      <c r="SG228" s="2214"/>
      <c r="SH228" s="2214"/>
      <c r="SI228" s="2214"/>
      <c r="SJ228" s="2214"/>
      <c r="SK228" s="2214"/>
      <c r="SL228" s="2214"/>
      <c r="SM228" s="2214"/>
      <c r="SN228" s="2214"/>
      <c r="SO228" s="2214"/>
      <c r="SP228" s="2214"/>
      <c r="SQ228" s="2214"/>
      <c r="SR228" s="2214"/>
      <c r="SS228" s="2214"/>
      <c r="ST228" s="2214"/>
      <c r="SU228" s="2214"/>
      <c r="SV228" s="2214"/>
      <c r="SW228" s="2214"/>
      <c r="SX228" s="2214"/>
      <c r="SY228" s="2214"/>
      <c r="SZ228" s="2214"/>
      <c r="TA228" s="2214"/>
      <c r="TB228" s="2214"/>
      <c r="TC228" s="2214"/>
      <c r="TD228" s="2214"/>
      <c r="TE228" s="2214"/>
      <c r="TF228" s="2214"/>
      <c r="TG228" s="2214"/>
      <c r="TH228" s="2214"/>
      <c r="TI228" s="2214"/>
      <c r="TJ228" s="2214"/>
      <c r="TK228" s="2214"/>
      <c r="TL228" s="2214"/>
      <c r="TM228" s="2214"/>
      <c r="TN228" s="2214"/>
      <c r="TO228" s="2214"/>
      <c r="TP228" s="2214"/>
      <c r="TQ228" s="2214"/>
      <c r="TR228" s="2214"/>
      <c r="TS228" s="2214"/>
      <c r="TT228" s="2214"/>
      <c r="TU228" s="2214"/>
      <c r="TV228" s="2214"/>
      <c r="TW228" s="2214"/>
      <c r="TX228" s="2214"/>
      <c r="TY228" s="2214"/>
      <c r="TZ228" s="2214"/>
      <c r="UA228" s="2214"/>
      <c r="UB228" s="2214"/>
      <c r="UC228" s="2214"/>
      <c r="UD228" s="2214"/>
      <c r="UE228" s="2214"/>
      <c r="UF228" s="2214"/>
      <c r="UG228" s="2214"/>
      <c r="UH228" s="2214"/>
      <c r="UI228" s="2214"/>
      <c r="UJ228" s="2214"/>
      <c r="UK228" s="2214"/>
      <c r="UL228" s="2214"/>
      <c r="UM228" s="2214"/>
      <c r="UN228" s="2214"/>
      <c r="UO228" s="2214"/>
      <c r="UP228" s="2214"/>
      <c r="UQ228" s="2214"/>
      <c r="UR228" s="2214"/>
      <c r="US228" s="2214"/>
      <c r="UT228" s="2214"/>
      <c r="UU228" s="2214"/>
      <c r="UV228" s="2214"/>
      <c r="UW228" s="2214"/>
      <c r="UX228" s="2214"/>
      <c r="UY228" s="2214"/>
      <c r="UZ228" s="2214"/>
      <c r="VA228" s="2214"/>
      <c r="VB228" s="2214"/>
      <c r="VC228" s="2214"/>
      <c r="VD228" s="2214"/>
      <c r="VE228" s="2214"/>
      <c r="VF228" s="2214"/>
      <c r="VG228" s="2214"/>
      <c r="VH228" s="2214"/>
      <c r="VI228" s="2214"/>
      <c r="VJ228" s="2214"/>
      <c r="VK228" s="2214"/>
      <c r="VL228" s="2214"/>
      <c r="VM228" s="2214"/>
      <c r="VN228" s="2214"/>
      <c r="VO228" s="2214"/>
      <c r="VP228" s="2214"/>
      <c r="VQ228" s="2214"/>
      <c r="VR228" s="2214"/>
      <c r="VS228" s="2214"/>
      <c r="VT228" s="2214"/>
      <c r="VU228" s="2214"/>
      <c r="VV228" s="2214"/>
      <c r="VW228" s="2214"/>
      <c r="VX228" s="2214"/>
      <c r="VY228" s="2214"/>
      <c r="VZ228" s="2214"/>
      <c r="WA228" s="2214"/>
      <c r="WB228" s="2214"/>
      <c r="WC228" s="2214"/>
      <c r="WD228" s="2214"/>
      <c r="WE228" s="2214"/>
      <c r="WF228" s="2214"/>
      <c r="WG228" s="2214"/>
      <c r="WH228" s="2214"/>
      <c r="WI228" s="2214"/>
      <c r="WJ228" s="2214"/>
      <c r="WK228" s="2214"/>
      <c r="WL228" s="2214"/>
      <c r="WM228" s="2214"/>
      <c r="WN228" s="2214"/>
      <c r="WO228" s="2214"/>
      <c r="WP228" s="2214"/>
      <c r="WQ228" s="2214"/>
      <c r="WR228" s="2214"/>
      <c r="WS228" s="2214"/>
      <c r="WT228" s="2214"/>
      <c r="WU228" s="2214"/>
      <c r="WV228" s="2214"/>
      <c r="WW228" s="2214"/>
      <c r="WX228" s="2214"/>
      <c r="WY228" s="2214"/>
      <c r="WZ228" s="2214"/>
      <c r="XA228" s="2214"/>
      <c r="XB228" s="2214"/>
      <c r="XC228" s="2214"/>
      <c r="XD228" s="2214"/>
      <c r="XE228" s="2214"/>
      <c r="XF228" s="2214"/>
      <c r="XG228" s="2214"/>
      <c r="XH228" s="2214"/>
      <c r="XI228" s="2214"/>
      <c r="XJ228" s="2214"/>
      <c r="XK228" s="2214"/>
      <c r="XL228" s="2214"/>
      <c r="XM228" s="2214"/>
      <c r="XN228" s="2214"/>
      <c r="XO228" s="2214"/>
      <c r="XP228" s="2214"/>
      <c r="XQ228" s="2214"/>
      <c r="XR228" s="2214"/>
      <c r="XS228" s="2214"/>
      <c r="XT228" s="2214"/>
      <c r="XU228" s="2214"/>
      <c r="XV228" s="2214"/>
      <c r="XW228" s="2214"/>
      <c r="XX228" s="2214"/>
      <c r="XY228" s="2214"/>
      <c r="XZ228" s="2214"/>
      <c r="YA228" s="2214"/>
      <c r="YB228" s="2214"/>
      <c r="YC228" s="2214"/>
      <c r="YD228" s="2214"/>
      <c r="YE228" s="2214"/>
      <c r="YF228" s="2214"/>
      <c r="YG228" s="2214"/>
      <c r="YH228" s="2214"/>
      <c r="YI228" s="2214"/>
      <c r="YJ228" s="2214"/>
      <c r="YK228" s="2214"/>
      <c r="YL228" s="2214"/>
      <c r="YM228" s="2214"/>
      <c r="YN228" s="2214"/>
      <c r="YO228" s="2214"/>
      <c r="YP228" s="2214"/>
      <c r="YQ228" s="2214"/>
      <c r="YR228" s="2214"/>
      <c r="YS228" s="2214"/>
      <c r="YT228" s="2214"/>
      <c r="YU228" s="2214"/>
      <c r="YV228" s="2214"/>
      <c r="YW228" s="2214"/>
      <c r="YX228" s="2214"/>
      <c r="YY228" s="2214"/>
      <c r="YZ228" s="2214"/>
      <c r="ZA228" s="2214"/>
      <c r="ZB228" s="2214"/>
      <c r="ZC228" s="2214"/>
      <c r="ZD228" s="2214"/>
      <c r="ZE228" s="2214"/>
      <c r="ZF228" s="2214"/>
      <c r="ZG228" s="2214"/>
      <c r="ZH228" s="2214"/>
      <c r="ZI228" s="2214"/>
      <c r="ZJ228" s="2214"/>
      <c r="ZK228" s="2214"/>
      <c r="ZL228" s="2214"/>
      <c r="ZM228" s="2214"/>
      <c r="ZN228" s="2214"/>
      <c r="ZO228" s="2214"/>
      <c r="ZP228" s="2214"/>
      <c r="ZQ228" s="2214"/>
      <c r="ZR228" s="2214"/>
      <c r="ZS228" s="2214"/>
      <c r="ZT228" s="2214"/>
      <c r="ZU228" s="2214"/>
      <c r="ZV228" s="2214"/>
      <c r="ZW228" s="2214"/>
      <c r="ZX228" s="2214"/>
      <c r="ZY228" s="2214"/>
      <c r="ZZ228" s="2214"/>
      <c r="AAA228" s="2214"/>
      <c r="AAB228" s="2214"/>
      <c r="AAC228" s="2214"/>
      <c r="AAD228" s="2214"/>
      <c r="AAE228" s="2214"/>
      <c r="AAF228" s="2214"/>
      <c r="AAG228" s="2214"/>
      <c r="AAH228" s="2214"/>
      <c r="AAI228" s="2214"/>
      <c r="AAJ228" s="2214"/>
      <c r="AAK228" s="2214"/>
      <c r="AAL228" s="2214"/>
      <c r="AAM228" s="2214"/>
      <c r="AAN228" s="2214"/>
      <c r="AAO228" s="2214"/>
      <c r="AAP228" s="2214"/>
      <c r="AAQ228" s="2214"/>
      <c r="AAR228" s="2214"/>
      <c r="AAS228" s="2214"/>
      <c r="AAT228" s="2214"/>
      <c r="AAU228" s="2214"/>
      <c r="AAV228" s="2214"/>
      <c r="AAW228" s="2214"/>
      <c r="AAX228" s="2214"/>
      <c r="AAY228" s="2214"/>
      <c r="AAZ228" s="2214"/>
      <c r="ABA228" s="2214"/>
      <c r="ABB228" s="2214"/>
      <c r="ABC228" s="2214"/>
      <c r="ABD228" s="2214"/>
      <c r="ABE228" s="2214"/>
      <c r="ABF228" s="2214"/>
      <c r="ABG228" s="2214"/>
      <c r="ABH228" s="2214"/>
      <c r="ABI228" s="2214"/>
      <c r="ABJ228" s="2214"/>
      <c r="ABK228" s="2214"/>
      <c r="ABL228" s="2214"/>
      <c r="ABM228" s="2214"/>
      <c r="ABN228" s="2214"/>
      <c r="ABO228" s="2214"/>
      <c r="ABP228" s="2214"/>
      <c r="ABQ228" s="2214"/>
      <c r="ABR228" s="2214"/>
      <c r="ABS228" s="2214"/>
      <c r="ABT228" s="2214"/>
      <c r="ABU228" s="2214"/>
      <c r="ABV228" s="2214"/>
      <c r="ABW228" s="2214"/>
      <c r="ABX228" s="2214"/>
      <c r="ABY228" s="2214"/>
      <c r="ABZ228" s="2214"/>
      <c r="ACA228" s="2214"/>
      <c r="ACB228" s="2214"/>
      <c r="ACC228" s="2214"/>
      <c r="ACD228" s="2214"/>
      <c r="ACE228" s="2214"/>
      <c r="ACF228" s="2214"/>
      <c r="ACG228" s="2214"/>
      <c r="ACH228" s="2214"/>
      <c r="ACI228" s="2214"/>
      <c r="ACJ228" s="2214"/>
      <c r="ACK228" s="2214"/>
      <c r="ACL228" s="2214"/>
      <c r="ACM228" s="2214"/>
      <c r="ACN228" s="2214"/>
      <c r="ACO228" s="2214"/>
      <c r="ACP228" s="2214"/>
      <c r="ACQ228" s="2214"/>
      <c r="ACR228" s="2214"/>
      <c r="ACS228" s="2214"/>
      <c r="ACT228" s="2214"/>
      <c r="ACU228" s="2214"/>
      <c r="ACV228" s="2214"/>
      <c r="ACW228" s="2214"/>
      <c r="ACX228" s="2214"/>
      <c r="ACY228" s="2214"/>
      <c r="ACZ228" s="2214"/>
      <c r="ADA228" s="2214"/>
      <c r="ADB228" s="2214"/>
      <c r="ADC228" s="2214"/>
      <c r="ADD228" s="2214"/>
      <c r="ADE228" s="2214"/>
      <c r="ADF228" s="2214"/>
      <c r="ADG228" s="2214"/>
      <c r="ADH228" s="2214"/>
      <c r="ADI228" s="2214"/>
      <c r="ADJ228" s="2214"/>
      <c r="ADK228" s="2214"/>
      <c r="ADL228" s="2214"/>
      <c r="ADM228" s="2214"/>
      <c r="ADN228" s="2214"/>
      <c r="ADO228" s="2214"/>
      <c r="ADP228" s="2214"/>
      <c r="ADQ228" s="2214"/>
      <c r="ADR228" s="2214"/>
      <c r="ADS228" s="2214"/>
      <c r="ADT228" s="2214"/>
      <c r="ADU228" s="2214"/>
      <c r="ADV228" s="2214"/>
      <c r="ADW228" s="2214"/>
      <c r="ADX228" s="2214"/>
      <c r="ADY228" s="2214"/>
      <c r="ADZ228" s="2214"/>
      <c r="AEA228" s="2214"/>
      <c r="AEB228" s="2214"/>
      <c r="AEC228" s="2214"/>
      <c r="AED228" s="2214"/>
      <c r="AEE228" s="2214"/>
      <c r="AEF228" s="2214"/>
      <c r="AEG228" s="2214"/>
      <c r="AEH228" s="2214"/>
      <c r="AEI228" s="2214"/>
      <c r="AEJ228" s="2214"/>
      <c r="AEK228" s="2214"/>
      <c r="AEL228" s="2214"/>
      <c r="AEM228" s="2214"/>
      <c r="AEN228" s="2214"/>
      <c r="AEO228" s="2214"/>
      <c r="AEP228" s="2214"/>
      <c r="AEQ228" s="2214"/>
      <c r="AER228" s="2214"/>
      <c r="AES228" s="2214"/>
      <c r="AET228" s="2214"/>
      <c r="AEU228" s="2214"/>
      <c r="AEV228" s="2214"/>
      <c r="AEW228" s="2214"/>
      <c r="AEX228" s="2214"/>
      <c r="AEY228" s="2214"/>
      <c r="AEZ228" s="2214"/>
      <c r="AFA228" s="2214"/>
      <c r="AFB228" s="2214"/>
      <c r="AFC228" s="2214"/>
      <c r="AFD228" s="2214"/>
      <c r="AFE228" s="2214"/>
      <c r="AFF228" s="2214"/>
      <c r="AFG228" s="2214"/>
      <c r="AFH228" s="2214"/>
      <c r="AFI228" s="2214"/>
      <c r="AFJ228" s="2214"/>
      <c r="AFK228" s="2214"/>
      <c r="AFL228" s="2214"/>
      <c r="AFM228" s="2214"/>
      <c r="AFN228" s="2214"/>
      <c r="AFO228" s="2214"/>
      <c r="AFP228" s="2214"/>
      <c r="AFQ228" s="2214"/>
      <c r="AFR228" s="2214"/>
      <c r="AFS228" s="2214"/>
      <c r="AFT228" s="2214"/>
      <c r="AFU228" s="2214"/>
      <c r="AFV228" s="2214"/>
      <c r="AFW228" s="2214"/>
      <c r="AFX228" s="2214"/>
      <c r="AFY228" s="2214"/>
      <c r="AFZ228" s="2214"/>
      <c r="AGA228" s="2214"/>
      <c r="AGB228" s="2214"/>
      <c r="AGC228" s="2214"/>
      <c r="AGD228" s="2214"/>
      <c r="AGE228" s="2214"/>
      <c r="AGF228" s="2214"/>
      <c r="AGG228" s="2214"/>
      <c r="AGH228" s="2214"/>
      <c r="AGI228" s="2214"/>
      <c r="AGJ228" s="2214"/>
      <c r="AGK228" s="2214"/>
      <c r="AGL228" s="2214"/>
      <c r="AGM228" s="2214"/>
      <c r="AGN228" s="2214"/>
      <c r="AGO228" s="2214"/>
      <c r="AGP228" s="2214"/>
      <c r="AGQ228" s="2214"/>
      <c r="AGR228" s="2214"/>
      <c r="AGS228" s="2214"/>
      <c r="AGT228" s="2214"/>
      <c r="AGU228" s="2214"/>
      <c r="AGV228" s="2214"/>
      <c r="AGW228" s="2214"/>
      <c r="AGX228" s="2214"/>
      <c r="AGY228" s="2214"/>
      <c r="AGZ228" s="2214"/>
      <c r="AHA228" s="2214"/>
      <c r="AHB228" s="2214"/>
      <c r="AHC228" s="2214"/>
      <c r="AHD228" s="2214"/>
      <c r="AHE228" s="2214"/>
      <c r="AHF228" s="2214"/>
      <c r="AHG228" s="2214"/>
      <c r="AHH228" s="2214"/>
      <c r="AHI228" s="2214"/>
      <c r="AHJ228" s="2214"/>
      <c r="AHK228" s="2214"/>
      <c r="AHL228" s="2214"/>
      <c r="AHM228" s="2214"/>
      <c r="AHN228" s="2214"/>
      <c r="AHO228" s="2214"/>
      <c r="AHP228" s="2214"/>
      <c r="AHQ228" s="2214"/>
      <c r="AHR228" s="2214"/>
      <c r="AHS228" s="2214"/>
      <c r="AHT228" s="2214"/>
      <c r="AHU228" s="2214"/>
      <c r="AHV228" s="2214"/>
      <c r="AHW228" s="2214"/>
      <c r="AHX228" s="2214"/>
      <c r="AHY228" s="2214"/>
      <c r="AHZ228" s="2214"/>
      <c r="AIA228" s="2214"/>
      <c r="AIB228" s="2214"/>
      <c r="AIC228" s="2214"/>
      <c r="AID228" s="2214"/>
      <c r="AIE228" s="2214"/>
      <c r="AIF228" s="2214"/>
      <c r="AIG228" s="2214"/>
      <c r="AIH228" s="2214"/>
      <c r="AII228" s="2214"/>
      <c r="AIJ228" s="2214"/>
      <c r="AIK228" s="2214"/>
      <c r="AIL228" s="2214"/>
      <c r="AIM228" s="2214"/>
      <c r="AIN228" s="2214"/>
      <c r="AIO228" s="2214"/>
      <c r="AIP228" s="2214"/>
      <c r="AIQ228" s="2214"/>
      <c r="AIR228" s="2214"/>
      <c r="AIS228" s="2214"/>
      <c r="AIT228" s="2214"/>
      <c r="AIU228" s="2214"/>
      <c r="AIV228" s="2214"/>
      <c r="AIW228" s="2214"/>
      <c r="AIX228" s="2214"/>
      <c r="AIY228" s="2214"/>
      <c r="AIZ228" s="2214"/>
      <c r="AJA228" s="2214"/>
      <c r="AJB228" s="2214"/>
      <c r="AJC228" s="2214"/>
      <c r="AJD228" s="2214"/>
      <c r="AJE228" s="2214"/>
      <c r="AJF228" s="2214"/>
      <c r="AJG228" s="2214"/>
      <c r="AJH228" s="2214"/>
      <c r="AJI228" s="2214"/>
      <c r="AJJ228" s="2214"/>
      <c r="AJK228" s="2214"/>
      <c r="AJL228" s="2214"/>
      <c r="AJM228" s="2214"/>
      <c r="AJN228" s="2214"/>
      <c r="AJO228" s="2214"/>
      <c r="AJP228" s="2214"/>
      <c r="AJQ228" s="2214"/>
      <c r="AJR228" s="2214"/>
      <c r="AJS228" s="2214"/>
      <c r="AJT228" s="2214"/>
      <c r="AJU228" s="2214"/>
      <c r="AJV228" s="2214"/>
      <c r="AJW228" s="2214"/>
      <c r="AJX228" s="2214"/>
      <c r="AJY228" s="2214"/>
      <c r="AJZ228" s="2214"/>
      <c r="AKA228" s="2214"/>
      <c r="AKB228" s="2214"/>
      <c r="AKC228" s="2214"/>
      <c r="AKD228" s="2214"/>
      <c r="AKE228" s="2214"/>
      <c r="AKF228" s="2214"/>
      <c r="AKG228" s="2214"/>
      <c r="AKH228" s="2214"/>
      <c r="AKI228" s="2214"/>
      <c r="AKJ228" s="2214"/>
      <c r="AKK228" s="2214"/>
      <c r="AKL228" s="2214"/>
      <c r="AKM228" s="2214"/>
      <c r="AKN228" s="2214"/>
      <c r="AKO228" s="2214"/>
      <c r="AKP228" s="2214"/>
      <c r="AKQ228" s="2214"/>
      <c r="AKR228" s="2214"/>
      <c r="AKS228" s="2214"/>
      <c r="AKT228" s="2214"/>
      <c r="AKU228" s="2214"/>
      <c r="AKV228" s="2214"/>
      <c r="AKW228" s="2214"/>
      <c r="AKX228" s="2214"/>
      <c r="AKY228" s="2214"/>
      <c r="AKZ228" s="2214"/>
      <c r="ALA228" s="2214"/>
      <c r="ALB228" s="2214"/>
      <c r="ALC228" s="2214"/>
      <c r="ALD228" s="2214"/>
      <c r="ALE228" s="2214"/>
      <c r="ALF228" s="2214"/>
      <c r="ALG228" s="2214"/>
      <c r="ALH228" s="2214"/>
      <c r="ALI228" s="2214"/>
      <c r="ALJ228" s="2214"/>
      <c r="ALK228" s="2214"/>
      <c r="ALL228" s="2214"/>
      <c r="ALM228" s="2214"/>
      <c r="ALN228" s="2214"/>
      <c r="ALO228" s="2214"/>
      <c r="ALP228" s="2214"/>
      <c r="ALQ228" s="2214"/>
      <c r="ALR228" s="2214"/>
      <c r="ALS228" s="2214"/>
      <c r="ALT228" s="2214"/>
      <c r="ALU228" s="2214"/>
      <c r="ALV228" s="2214"/>
      <c r="ALW228" s="2214"/>
      <c r="ALX228" s="2214"/>
      <c r="ALY228" s="2214"/>
      <c r="ALZ228" s="2214"/>
      <c r="AMA228" s="2214"/>
      <c r="AMB228" s="2214"/>
      <c r="AMC228" s="2214"/>
      <c r="AMD228" s="2214"/>
      <c r="AME228" s="2214"/>
      <c r="AMF228" s="2214"/>
      <c r="AMG228" s="2214"/>
      <c r="AMH228" s="2214"/>
      <c r="AMI228" s="2214"/>
      <c r="AMJ228" s="2214"/>
      <c r="AMK228" s="2214"/>
      <c r="AML228" s="2214"/>
      <c r="AMM228" s="2214"/>
      <c r="AMN228" s="2214"/>
      <c r="AMO228" s="2214"/>
      <c r="AMP228" s="2214"/>
      <c r="AMQ228" s="2214"/>
      <c r="AMR228" s="2214"/>
      <c r="AMS228" s="2214"/>
      <c r="AMT228" s="2214"/>
      <c r="AMU228" s="2214"/>
      <c r="AMV228" s="2214"/>
      <c r="AMW228" s="2214"/>
      <c r="AMX228" s="2214"/>
      <c r="AMY228" s="2214"/>
      <c r="AMZ228" s="2214"/>
      <c r="ANA228" s="2214"/>
      <c r="ANB228" s="2214"/>
      <c r="ANC228" s="2214"/>
      <c r="AND228" s="2214"/>
      <c r="ANE228" s="2214"/>
      <c r="ANF228" s="2214"/>
      <c r="ANG228" s="2214"/>
      <c r="ANH228" s="2214"/>
      <c r="ANI228" s="2214"/>
      <c r="ANJ228" s="2214"/>
      <c r="ANK228" s="2214"/>
      <c r="ANL228" s="2214"/>
      <c r="ANM228" s="2214"/>
      <c r="ANN228" s="2214"/>
      <c r="ANO228" s="2214"/>
      <c r="ANP228" s="2214"/>
      <c r="ANQ228" s="2214"/>
      <c r="ANR228" s="2214"/>
      <c r="ANS228" s="2214"/>
      <c r="ANT228" s="2214"/>
      <c r="ANU228" s="2214"/>
      <c r="ANV228" s="2214"/>
      <c r="ANW228" s="2214"/>
      <c r="ANX228" s="2214"/>
      <c r="ANY228" s="2214"/>
      <c r="ANZ228" s="2214"/>
      <c r="AOA228" s="2214"/>
      <c r="AOB228" s="2214"/>
      <c r="AOC228" s="2214"/>
      <c r="AOD228" s="2214"/>
      <c r="AOE228" s="2214"/>
      <c r="AOF228" s="2214"/>
      <c r="AOG228" s="2214"/>
      <c r="AOH228" s="2214"/>
      <c r="AOI228" s="2214"/>
      <c r="AOJ228" s="2214"/>
      <c r="AOK228" s="2214"/>
      <c r="AOL228" s="2214"/>
      <c r="AOM228" s="2214"/>
      <c r="AON228" s="2214"/>
      <c r="AOO228" s="2214"/>
      <c r="AOP228" s="2214"/>
      <c r="AOQ228" s="2214"/>
      <c r="AOR228" s="2214"/>
      <c r="AOS228" s="2214"/>
      <c r="AOT228" s="2214"/>
      <c r="AOU228" s="2214"/>
      <c r="AOV228" s="2214"/>
      <c r="AOW228" s="2214"/>
      <c r="AOX228" s="2214"/>
      <c r="AOY228" s="2214"/>
      <c r="AOZ228" s="2214"/>
      <c r="APA228" s="2214"/>
      <c r="APB228" s="2214"/>
      <c r="APC228" s="2214"/>
      <c r="APD228" s="2214"/>
      <c r="APE228" s="2214"/>
      <c r="APF228" s="2214"/>
      <c r="APG228" s="2214"/>
      <c r="APH228" s="2214"/>
      <c r="API228" s="2214"/>
      <c r="APJ228" s="2214"/>
      <c r="APK228" s="2214"/>
      <c r="APL228" s="2214"/>
      <c r="APM228" s="2214"/>
      <c r="APN228" s="2214"/>
      <c r="APO228" s="2214"/>
      <c r="APP228" s="2214"/>
      <c r="APQ228" s="2214"/>
      <c r="APR228" s="2214"/>
      <c r="APS228" s="2214"/>
      <c r="APT228" s="2214"/>
      <c r="APU228" s="2214"/>
      <c r="APV228" s="2214"/>
      <c r="APW228" s="2214"/>
      <c r="APX228" s="2214"/>
      <c r="APY228" s="2214"/>
      <c r="APZ228" s="2214"/>
      <c r="AQA228" s="2214"/>
      <c r="AQB228" s="2214"/>
      <c r="AQC228" s="2214"/>
      <c r="AQD228" s="2214"/>
      <c r="AQE228" s="2214"/>
      <c r="AQF228" s="2214"/>
      <c r="AQG228" s="2214"/>
      <c r="AQH228" s="2214"/>
      <c r="AQI228" s="2214"/>
      <c r="AQJ228" s="2214"/>
      <c r="AQK228" s="2214"/>
      <c r="AQL228" s="2214"/>
      <c r="AQM228" s="2214"/>
      <c r="AQN228" s="2214"/>
      <c r="AQO228" s="2214"/>
      <c r="AQP228" s="2214"/>
      <c r="AQQ228" s="2214"/>
      <c r="AQR228" s="2214"/>
      <c r="AQS228" s="2214"/>
      <c r="AQT228" s="2214"/>
      <c r="AQU228" s="2214"/>
      <c r="AQV228" s="2214"/>
      <c r="AQW228" s="2214"/>
      <c r="AQX228" s="2214"/>
      <c r="AQY228" s="2214"/>
      <c r="AQZ228" s="2214"/>
      <c r="ARA228" s="2214"/>
      <c r="ARB228" s="2214"/>
      <c r="ARC228" s="2214"/>
      <c r="ARD228" s="2214"/>
      <c r="ARE228" s="2214"/>
      <c r="ARF228" s="2214"/>
      <c r="ARG228" s="2214"/>
      <c r="ARH228" s="2214"/>
      <c r="ARI228" s="2214"/>
      <c r="ARJ228" s="2214"/>
      <c r="ARK228" s="2214"/>
      <c r="ARL228" s="2214"/>
      <c r="ARM228" s="2214"/>
      <c r="ARN228" s="2214"/>
      <c r="ARO228" s="2214"/>
      <c r="ARP228" s="2214"/>
      <c r="ARQ228" s="2214"/>
      <c r="ARR228" s="2214"/>
      <c r="ARS228" s="2214"/>
      <c r="ART228" s="2214"/>
      <c r="ARU228" s="2214"/>
      <c r="ARV228" s="2214"/>
      <c r="ARW228" s="2214"/>
      <c r="ARX228" s="2214"/>
      <c r="ARY228" s="2214"/>
      <c r="ARZ228" s="2214"/>
      <c r="ASA228" s="2214"/>
      <c r="ASB228" s="2214"/>
      <c r="ASC228" s="2214"/>
      <c r="ASD228" s="2214"/>
      <c r="ASE228" s="2214"/>
      <c r="ASF228" s="2214"/>
      <c r="ASG228" s="2214"/>
      <c r="ASH228" s="2214"/>
      <c r="ASI228" s="2214"/>
      <c r="ASJ228" s="2214"/>
      <c r="ASK228" s="2214"/>
      <c r="ASL228" s="2214"/>
      <c r="ASM228" s="2214"/>
      <c r="ASN228" s="2214"/>
      <c r="ASO228" s="2214"/>
      <c r="ASP228" s="2214"/>
      <c r="ASQ228" s="2214"/>
      <c r="ASR228" s="2214"/>
      <c r="ASS228" s="2214"/>
      <c r="AST228" s="2214"/>
      <c r="ASU228" s="2214"/>
      <c r="ASV228" s="2214"/>
      <c r="ASW228" s="2214"/>
      <c r="ASX228" s="2214"/>
      <c r="ASY228" s="2214"/>
      <c r="ASZ228" s="2214"/>
      <c r="ATA228" s="2214"/>
      <c r="ATB228" s="2214"/>
      <c r="ATC228" s="2214"/>
      <c r="ATD228" s="2214"/>
      <c r="ATE228" s="2214"/>
      <c r="ATF228" s="2214"/>
      <c r="ATG228" s="2214"/>
      <c r="ATH228" s="2214"/>
      <c r="ATI228" s="2214"/>
      <c r="ATJ228" s="2214"/>
      <c r="ATK228" s="2214"/>
      <c r="ATL228" s="2214"/>
      <c r="ATM228" s="2214"/>
      <c r="ATN228" s="2214"/>
      <c r="ATO228" s="2214"/>
      <c r="ATP228" s="2214"/>
      <c r="ATQ228" s="2214"/>
      <c r="ATR228" s="2214"/>
      <c r="ATS228" s="2214"/>
      <c r="ATT228" s="2214"/>
      <c r="ATU228" s="2214"/>
      <c r="ATV228" s="2214"/>
      <c r="ATW228" s="2214"/>
      <c r="ATX228" s="2214"/>
      <c r="ATY228" s="2214"/>
      <c r="ATZ228" s="2214"/>
      <c r="AUA228" s="2214"/>
      <c r="AUB228" s="2214"/>
      <c r="AUC228" s="2214"/>
      <c r="AUD228" s="2214"/>
      <c r="AUE228" s="2214"/>
      <c r="AUF228" s="2214"/>
      <c r="AUG228" s="2214"/>
      <c r="AUH228" s="2214"/>
      <c r="AUI228" s="2214"/>
      <c r="AUJ228" s="2214"/>
      <c r="AUK228" s="2214"/>
      <c r="AUL228" s="2214"/>
      <c r="AUM228" s="2214"/>
      <c r="AUN228" s="2214"/>
      <c r="AUO228" s="2214"/>
      <c r="AUP228" s="2214"/>
      <c r="AUQ228" s="2214"/>
      <c r="AUR228" s="2214"/>
      <c r="AUS228" s="2214"/>
      <c r="AUT228" s="2214"/>
      <c r="AUU228" s="2214"/>
      <c r="AUV228" s="2214"/>
      <c r="AUW228" s="2214"/>
      <c r="AUX228" s="2214"/>
      <c r="AUY228" s="2214"/>
      <c r="AUZ228" s="2214"/>
      <c r="AVA228" s="2214"/>
      <c r="AVB228" s="2214"/>
      <c r="AVC228" s="2214"/>
      <c r="AVD228" s="2214"/>
      <c r="AVE228" s="2214"/>
      <c r="AVF228" s="2214"/>
      <c r="AVG228" s="2214"/>
      <c r="AVH228" s="2214"/>
      <c r="AVI228" s="2214"/>
      <c r="AVJ228" s="2214"/>
      <c r="AVK228" s="2214"/>
      <c r="AVL228" s="2214"/>
      <c r="AVM228" s="2214"/>
      <c r="AVN228" s="2214"/>
      <c r="AVO228" s="2214"/>
      <c r="AVP228" s="2214"/>
      <c r="AVQ228" s="2214"/>
      <c r="AVR228" s="2214"/>
      <c r="AVS228" s="2214"/>
      <c r="AVT228" s="2214"/>
      <c r="AVU228" s="2214"/>
      <c r="AVV228" s="2214"/>
      <c r="AVW228" s="2214"/>
      <c r="AVX228" s="2214"/>
      <c r="AVY228" s="2214"/>
      <c r="AVZ228" s="2214"/>
      <c r="AWA228" s="2214"/>
      <c r="AWB228" s="2214"/>
      <c r="AWC228" s="2214"/>
      <c r="AWD228" s="2214"/>
      <c r="AWE228" s="2214"/>
      <c r="AWF228" s="2214"/>
      <c r="AWG228" s="2214"/>
      <c r="AWH228" s="2214"/>
      <c r="AWI228" s="2214"/>
      <c r="AWJ228" s="2214"/>
      <c r="AWK228" s="2214"/>
      <c r="AWL228" s="2214"/>
      <c r="AWM228" s="2214"/>
      <c r="AWN228" s="2214"/>
      <c r="AWO228" s="2214"/>
      <c r="AWP228" s="2214"/>
      <c r="AWQ228" s="2214"/>
      <c r="AWR228" s="2214"/>
      <c r="AWS228" s="2214"/>
      <c r="AWT228" s="2214"/>
      <c r="AWU228" s="2214"/>
      <c r="AWV228" s="2214"/>
      <c r="AWW228" s="2214"/>
      <c r="AWX228" s="2214"/>
      <c r="AWY228" s="2214"/>
      <c r="AWZ228" s="2214"/>
      <c r="AXA228" s="2214"/>
      <c r="AXB228" s="2214"/>
      <c r="AXC228" s="2214"/>
      <c r="AXD228" s="2214"/>
      <c r="AXE228" s="2214"/>
      <c r="AXF228" s="2214"/>
      <c r="AXG228" s="2214"/>
      <c r="AXH228" s="2214"/>
      <c r="AXI228" s="2214"/>
      <c r="AXJ228" s="2214"/>
    </row>
    <row r="229" spans="1:1310" s="2215" customFormat="1" ht="23.25" customHeight="1">
      <c r="A229" s="756"/>
      <c r="B229" s="9016" t="s">
        <v>1585</v>
      </c>
      <c r="C229" s="9016"/>
      <c r="D229" s="9016"/>
      <c r="E229" s="9016"/>
      <c r="F229" s="750"/>
      <c r="G229" s="9016" t="s">
        <v>1586</v>
      </c>
      <c r="H229" s="9016"/>
      <c r="I229" s="9016"/>
      <c r="J229" s="750"/>
      <c r="K229" s="9016" t="s">
        <v>1587</v>
      </c>
      <c r="L229" s="9016"/>
      <c r="M229" s="9016"/>
      <c r="N229" s="750"/>
      <c r="O229" s="9016" t="s">
        <v>1584</v>
      </c>
      <c r="P229" s="9016"/>
      <c r="Q229" s="750"/>
      <c r="R229" s="311"/>
      <c r="S229" s="311"/>
      <c r="T229" s="311"/>
      <c r="U229" s="311"/>
      <c r="V229" s="311"/>
      <c r="W229" s="311"/>
      <c r="X229" s="311"/>
      <c r="Y229" s="311"/>
      <c r="Z229" s="311"/>
      <c r="AA229" s="311"/>
      <c r="AB229" s="311"/>
      <c r="AC229" s="311"/>
      <c r="AD229" s="2214"/>
      <c r="AE229" s="2214"/>
      <c r="AF229" s="2214"/>
      <c r="AG229" s="2214"/>
      <c r="AH229" s="2214"/>
      <c r="AI229" s="2214"/>
      <c r="AJ229" s="2214"/>
      <c r="AK229" s="2214"/>
      <c r="AL229" s="2214"/>
      <c r="AM229" s="2214"/>
      <c r="AN229" s="2214"/>
      <c r="AO229" s="2214"/>
      <c r="AP229" s="2214"/>
      <c r="AQ229" s="2214"/>
      <c r="AR229" s="2214"/>
      <c r="AS229" s="2214"/>
      <c r="AT229" s="2214"/>
      <c r="AU229" s="2214"/>
      <c r="AV229" s="2214"/>
      <c r="AW229" s="2214"/>
      <c r="AX229" s="2214"/>
      <c r="AY229" s="2214"/>
      <c r="AZ229" s="2214"/>
      <c r="BA229" s="2214"/>
      <c r="BB229" s="2214"/>
      <c r="BC229" s="2214"/>
      <c r="BD229" s="2214"/>
      <c r="BE229" s="2214"/>
      <c r="BF229" s="2214"/>
      <c r="BG229" s="2214"/>
      <c r="BH229" s="2214"/>
      <c r="BI229" s="2214"/>
      <c r="BJ229" s="2214"/>
      <c r="BK229" s="2214"/>
      <c r="BL229" s="2214"/>
      <c r="BM229" s="2214"/>
      <c r="BN229" s="2214"/>
      <c r="BO229" s="2214"/>
      <c r="BP229" s="2214"/>
      <c r="BQ229" s="2214"/>
      <c r="BR229" s="2214"/>
      <c r="BS229" s="2214"/>
      <c r="BT229" s="2214"/>
      <c r="BU229" s="2214"/>
      <c r="BV229" s="2214"/>
      <c r="BW229" s="2214"/>
      <c r="BX229" s="2214"/>
      <c r="BY229" s="2214"/>
      <c r="BZ229" s="2214"/>
      <c r="CA229" s="2214"/>
      <c r="CB229" s="2214"/>
      <c r="CC229" s="2214"/>
      <c r="CD229" s="2214"/>
      <c r="CE229" s="2214"/>
      <c r="CF229" s="2214"/>
      <c r="CG229" s="2214"/>
      <c r="CH229" s="2214"/>
      <c r="CI229" s="2214"/>
      <c r="CJ229" s="2214"/>
      <c r="CK229" s="2214"/>
      <c r="CL229" s="2214"/>
      <c r="CM229" s="2214"/>
      <c r="CN229" s="2214"/>
      <c r="CO229" s="2214"/>
      <c r="CP229" s="2214"/>
      <c r="CQ229" s="2214"/>
      <c r="CR229" s="2214"/>
      <c r="CS229" s="2214"/>
      <c r="CT229" s="2214"/>
      <c r="CU229" s="2214"/>
      <c r="CV229" s="2214"/>
      <c r="CW229" s="2214"/>
      <c r="CX229" s="2214"/>
      <c r="CY229" s="2214"/>
      <c r="CZ229" s="2214"/>
      <c r="DA229" s="2214"/>
      <c r="DB229" s="2214"/>
      <c r="DC229" s="2214"/>
      <c r="DD229" s="2214"/>
      <c r="DE229" s="2214"/>
      <c r="DF229" s="2214"/>
      <c r="DG229" s="2214"/>
      <c r="DH229" s="2214"/>
      <c r="DI229" s="2214"/>
      <c r="DJ229" s="2214"/>
      <c r="DK229" s="2214"/>
      <c r="DL229" s="2214"/>
      <c r="DM229" s="2214"/>
      <c r="DN229" s="2214"/>
      <c r="DO229" s="2214"/>
      <c r="DP229" s="2214"/>
      <c r="DQ229" s="2214"/>
      <c r="DR229" s="2214"/>
      <c r="DS229" s="2214"/>
      <c r="DT229" s="2214"/>
      <c r="DU229" s="2214"/>
      <c r="DV229" s="2214"/>
      <c r="DW229" s="2214"/>
      <c r="DX229" s="2214"/>
      <c r="DY229" s="2214"/>
      <c r="DZ229" s="2214"/>
      <c r="EA229" s="2214"/>
      <c r="EB229" s="2214"/>
      <c r="EC229" s="2214"/>
      <c r="ED229" s="2214"/>
      <c r="EE229" s="2214"/>
      <c r="EF229" s="2214"/>
      <c r="EG229" s="2214"/>
      <c r="EH229" s="2214"/>
      <c r="EI229" s="2214"/>
      <c r="EJ229" s="2214"/>
      <c r="EK229" s="2214"/>
      <c r="EL229" s="2214"/>
      <c r="EM229" s="2214"/>
      <c r="EN229" s="2214"/>
      <c r="EO229" s="2214"/>
      <c r="EP229" s="2214"/>
      <c r="EQ229" s="2214"/>
      <c r="ER229" s="2214"/>
      <c r="ES229" s="2214"/>
      <c r="ET229" s="2214"/>
      <c r="EU229" s="2214"/>
      <c r="EV229" s="2214"/>
      <c r="EW229" s="2214"/>
      <c r="EX229" s="2214"/>
      <c r="EY229" s="2214"/>
      <c r="EZ229" s="2214"/>
      <c r="FA229" s="2214"/>
      <c r="FB229" s="2214"/>
      <c r="FC229" s="2214"/>
      <c r="FD229" s="2214"/>
      <c r="FE229" s="2214"/>
      <c r="FF229" s="2214"/>
      <c r="FG229" s="2214"/>
      <c r="FH229" s="2214"/>
      <c r="FI229" s="2214"/>
      <c r="FJ229" s="2214"/>
      <c r="FK229" s="2214"/>
      <c r="FL229" s="2214"/>
      <c r="FM229" s="2214"/>
      <c r="FN229" s="2214"/>
      <c r="FO229" s="2214"/>
      <c r="FP229" s="2214"/>
      <c r="FQ229" s="2214"/>
      <c r="FR229" s="2214"/>
      <c r="FS229" s="2214"/>
      <c r="FT229" s="2214"/>
      <c r="FU229" s="2214"/>
      <c r="FV229" s="2214"/>
      <c r="FW229" s="2214"/>
      <c r="FX229" s="2214"/>
      <c r="FY229" s="2214"/>
      <c r="FZ229" s="2214"/>
      <c r="GA229" s="2214"/>
      <c r="GB229" s="2214"/>
      <c r="GC229" s="2214"/>
      <c r="GD229" s="2214"/>
      <c r="GE229" s="2214"/>
      <c r="GF229" s="2214"/>
      <c r="GG229" s="2214"/>
      <c r="GH229" s="2214"/>
      <c r="GI229" s="2214"/>
      <c r="GJ229" s="2214"/>
      <c r="GK229" s="2214"/>
      <c r="GL229" s="2214"/>
      <c r="GM229" s="2214"/>
      <c r="GN229" s="2214"/>
      <c r="GO229" s="2214"/>
      <c r="GP229" s="2214"/>
      <c r="GQ229" s="2214"/>
      <c r="GR229" s="2214"/>
      <c r="GS229" s="2214"/>
      <c r="GT229" s="2214"/>
      <c r="GU229" s="2214"/>
      <c r="GV229" s="2214"/>
      <c r="GW229" s="2214"/>
      <c r="GX229" s="2214"/>
      <c r="GY229" s="2214"/>
      <c r="GZ229" s="2214"/>
      <c r="HA229" s="2214"/>
      <c r="HB229" s="2214"/>
      <c r="HC229" s="2214"/>
      <c r="HD229" s="2214"/>
      <c r="HE229" s="2214"/>
      <c r="HF229" s="2214"/>
      <c r="HG229" s="2214"/>
      <c r="HH229" s="2214"/>
      <c r="HI229" s="2214"/>
      <c r="HJ229" s="2214"/>
      <c r="HK229" s="2214"/>
      <c r="HL229" s="2214"/>
      <c r="HM229" s="2214"/>
      <c r="HN229" s="2214"/>
      <c r="HO229" s="2214"/>
      <c r="HP229" s="2214"/>
      <c r="HQ229" s="2214"/>
      <c r="HR229" s="2214"/>
      <c r="HS229" s="2214"/>
      <c r="HT229" s="2214"/>
      <c r="HU229" s="2214"/>
      <c r="HV229" s="2214"/>
      <c r="HW229" s="2214"/>
      <c r="HX229" s="2214"/>
      <c r="HY229" s="2214"/>
      <c r="HZ229" s="2214"/>
      <c r="IA229" s="2214"/>
      <c r="IB229" s="2214"/>
      <c r="IC229" s="2214"/>
      <c r="ID229" s="2214"/>
      <c r="IE229" s="2214"/>
      <c r="IF229" s="2214"/>
      <c r="IG229" s="2214"/>
      <c r="IH229" s="2214"/>
      <c r="II229" s="2214"/>
      <c r="IJ229" s="2214"/>
      <c r="IK229" s="2214"/>
      <c r="IL229" s="2214"/>
      <c r="IM229" s="2214"/>
      <c r="IN229" s="2214"/>
      <c r="IO229" s="2214"/>
      <c r="IP229" s="2214"/>
      <c r="IQ229" s="2214"/>
      <c r="IR229" s="2214"/>
      <c r="IS229" s="2214"/>
      <c r="IT229" s="2214"/>
      <c r="IU229" s="2214"/>
      <c r="IV229" s="2214"/>
      <c r="IW229" s="2214"/>
      <c r="IX229" s="2214"/>
      <c r="IY229" s="2214"/>
      <c r="IZ229" s="2214"/>
      <c r="JA229" s="2214"/>
      <c r="JB229" s="2214"/>
      <c r="JC229" s="2214"/>
      <c r="JD229" s="2214"/>
      <c r="JE229" s="2214"/>
      <c r="JF229" s="2214"/>
      <c r="JG229" s="2214"/>
      <c r="JH229" s="2214"/>
      <c r="JI229" s="2214"/>
      <c r="JJ229" s="2214"/>
      <c r="JK229" s="2214"/>
      <c r="JL229" s="2214"/>
      <c r="JM229" s="2214"/>
      <c r="JN229" s="2214"/>
      <c r="JO229" s="2214"/>
      <c r="JP229" s="2214"/>
      <c r="JQ229" s="2214"/>
      <c r="JR229" s="2214"/>
      <c r="JS229" s="2214"/>
      <c r="JT229" s="2214"/>
      <c r="JU229" s="2214"/>
      <c r="JV229" s="2214"/>
      <c r="JW229" s="2214"/>
      <c r="JX229" s="2214"/>
      <c r="JY229" s="2214"/>
      <c r="JZ229" s="2214"/>
      <c r="KA229" s="2214"/>
      <c r="KB229" s="2214"/>
      <c r="KC229" s="2214"/>
      <c r="KD229" s="2214"/>
      <c r="KE229" s="2214"/>
      <c r="KF229" s="2214"/>
      <c r="KG229" s="2214"/>
      <c r="KH229" s="2214"/>
      <c r="KI229" s="2214"/>
      <c r="KJ229" s="2214"/>
      <c r="KK229" s="2214"/>
      <c r="KL229" s="2214"/>
      <c r="KM229" s="2214"/>
      <c r="KN229" s="2214"/>
      <c r="KO229" s="2214"/>
      <c r="KP229" s="2214"/>
      <c r="KQ229" s="2214"/>
      <c r="KR229" s="2214"/>
      <c r="KS229" s="2214"/>
      <c r="KT229" s="2214"/>
      <c r="KU229" s="2214"/>
      <c r="KV229" s="2214"/>
      <c r="KW229" s="2214"/>
      <c r="KX229" s="2214"/>
      <c r="KY229" s="2214"/>
      <c r="KZ229" s="2214"/>
      <c r="LA229" s="2214"/>
      <c r="LB229" s="2214"/>
      <c r="LC229" s="2214"/>
      <c r="LD229" s="2214"/>
      <c r="LE229" s="2214"/>
      <c r="LF229" s="2214"/>
      <c r="LG229" s="2214"/>
      <c r="LH229" s="2214"/>
      <c r="LI229" s="2214"/>
      <c r="LJ229" s="2214"/>
      <c r="LK229" s="2214"/>
      <c r="LL229" s="2214"/>
      <c r="LM229" s="2214"/>
      <c r="LN229" s="2214"/>
      <c r="LO229" s="2214"/>
      <c r="LP229" s="2214"/>
      <c r="LQ229" s="2214"/>
      <c r="LR229" s="2214"/>
      <c r="LS229" s="2214"/>
      <c r="LT229" s="2214"/>
      <c r="LU229" s="2214"/>
      <c r="LV229" s="2214"/>
      <c r="LW229" s="2214"/>
      <c r="LX229" s="2214"/>
      <c r="LY229" s="2214"/>
      <c r="LZ229" s="2214"/>
      <c r="MA229" s="2214"/>
      <c r="MB229" s="2214"/>
      <c r="MC229" s="2214"/>
      <c r="MD229" s="2214"/>
      <c r="ME229" s="2214"/>
      <c r="MF229" s="2214"/>
      <c r="MG229" s="2214"/>
      <c r="MH229" s="2214"/>
      <c r="MI229" s="2214"/>
      <c r="MJ229" s="2214"/>
      <c r="MK229" s="2214"/>
      <c r="ML229" s="2214"/>
      <c r="MM229" s="2214"/>
      <c r="MN229" s="2214"/>
      <c r="MO229" s="2214"/>
      <c r="MP229" s="2214"/>
      <c r="MQ229" s="2214"/>
      <c r="MR229" s="2214"/>
      <c r="MS229" s="2214"/>
      <c r="MT229" s="2214"/>
      <c r="MU229" s="2214"/>
      <c r="MV229" s="2214"/>
      <c r="MW229" s="2214"/>
      <c r="MX229" s="2214"/>
      <c r="MY229" s="2214"/>
      <c r="MZ229" s="2214"/>
      <c r="NA229" s="2214"/>
      <c r="NB229" s="2214"/>
      <c r="NC229" s="2214"/>
      <c r="ND229" s="2214"/>
      <c r="NE229" s="2214"/>
      <c r="NF229" s="2214"/>
      <c r="NG229" s="2214"/>
      <c r="NH229" s="2214"/>
      <c r="NI229" s="2214"/>
      <c r="NJ229" s="2214"/>
      <c r="NK229" s="2214"/>
      <c r="NL229" s="2214"/>
      <c r="NM229" s="2214"/>
      <c r="NN229" s="2214"/>
      <c r="NO229" s="2214"/>
      <c r="NP229" s="2214"/>
      <c r="NQ229" s="2214"/>
      <c r="NR229" s="2214"/>
      <c r="NS229" s="2214"/>
      <c r="NT229" s="2214"/>
      <c r="NU229" s="2214"/>
      <c r="NV229" s="2214"/>
      <c r="NW229" s="2214"/>
      <c r="NX229" s="2214"/>
      <c r="NY229" s="2214"/>
      <c r="NZ229" s="2214"/>
      <c r="OA229" s="2214"/>
      <c r="OB229" s="2214"/>
      <c r="OC229" s="2214"/>
      <c r="OD229" s="2214"/>
      <c r="OE229" s="2214"/>
      <c r="OF229" s="2214"/>
      <c r="OG229" s="2214"/>
      <c r="OH229" s="2214"/>
      <c r="OI229" s="2214"/>
      <c r="OJ229" s="2214"/>
      <c r="OK229" s="2214"/>
      <c r="OL229" s="2214"/>
      <c r="OM229" s="2214"/>
      <c r="ON229" s="2214"/>
      <c r="OO229" s="2214"/>
      <c r="OP229" s="2214"/>
      <c r="OQ229" s="2214"/>
      <c r="OR229" s="2214"/>
      <c r="OS229" s="2214"/>
      <c r="OT229" s="2214"/>
      <c r="OU229" s="2214"/>
      <c r="OV229" s="2214"/>
      <c r="OW229" s="2214"/>
      <c r="OX229" s="2214"/>
      <c r="OY229" s="2214"/>
      <c r="OZ229" s="2214"/>
      <c r="PA229" s="2214"/>
      <c r="PB229" s="2214"/>
      <c r="PC229" s="2214"/>
      <c r="PD229" s="2214"/>
      <c r="PE229" s="2214"/>
      <c r="PF229" s="2214"/>
      <c r="PG229" s="2214"/>
      <c r="PH229" s="2214"/>
      <c r="PI229" s="2214"/>
      <c r="PJ229" s="2214"/>
      <c r="PK229" s="2214"/>
      <c r="PL229" s="2214"/>
      <c r="PM229" s="2214"/>
      <c r="PN229" s="2214"/>
      <c r="PO229" s="2214"/>
      <c r="PP229" s="2214"/>
      <c r="PQ229" s="2214"/>
      <c r="PR229" s="2214"/>
      <c r="PS229" s="2214"/>
      <c r="PT229" s="2214"/>
      <c r="PU229" s="2214"/>
      <c r="PV229" s="2214"/>
      <c r="PW229" s="2214"/>
      <c r="PX229" s="2214"/>
      <c r="PY229" s="2214"/>
      <c r="PZ229" s="2214"/>
      <c r="QA229" s="2214"/>
      <c r="QB229" s="2214"/>
      <c r="QC229" s="2214"/>
      <c r="QD229" s="2214"/>
      <c r="QE229" s="2214"/>
      <c r="QF229" s="2214"/>
      <c r="QG229" s="2214"/>
      <c r="QH229" s="2214"/>
      <c r="QI229" s="2214"/>
      <c r="QJ229" s="2214"/>
      <c r="QK229" s="2214"/>
      <c r="QL229" s="2214"/>
      <c r="QM229" s="2214"/>
      <c r="QN229" s="2214"/>
      <c r="QO229" s="2214"/>
      <c r="QP229" s="2214"/>
      <c r="QQ229" s="2214"/>
      <c r="QR229" s="2214"/>
      <c r="QS229" s="2214"/>
      <c r="QT229" s="2214"/>
      <c r="QU229" s="2214"/>
      <c r="QV229" s="2214"/>
      <c r="QW229" s="2214"/>
      <c r="QX229" s="2214"/>
      <c r="QY229" s="2214"/>
      <c r="QZ229" s="2214"/>
      <c r="RA229" s="2214"/>
      <c r="RB229" s="2214"/>
      <c r="RC229" s="2214"/>
      <c r="RD229" s="2214"/>
      <c r="RE229" s="2214"/>
      <c r="RF229" s="2214"/>
      <c r="RG229" s="2214"/>
      <c r="RH229" s="2214"/>
      <c r="RI229" s="2214"/>
      <c r="RJ229" s="2214"/>
      <c r="RK229" s="2214"/>
      <c r="RL229" s="2214"/>
      <c r="RM229" s="2214"/>
      <c r="RN229" s="2214"/>
      <c r="RO229" s="2214"/>
      <c r="RP229" s="2214"/>
      <c r="RQ229" s="2214"/>
      <c r="RR229" s="2214"/>
      <c r="RS229" s="2214"/>
      <c r="RT229" s="2214"/>
      <c r="RU229" s="2214"/>
      <c r="RV229" s="2214"/>
      <c r="RW229" s="2214"/>
      <c r="RX229" s="2214"/>
      <c r="RY229" s="2214"/>
      <c r="RZ229" s="2214"/>
      <c r="SA229" s="2214"/>
      <c r="SB229" s="2214"/>
      <c r="SC229" s="2214"/>
      <c r="SD229" s="2214"/>
      <c r="SE229" s="2214"/>
      <c r="SF229" s="2214"/>
      <c r="SG229" s="2214"/>
      <c r="SH229" s="2214"/>
      <c r="SI229" s="2214"/>
      <c r="SJ229" s="2214"/>
      <c r="SK229" s="2214"/>
      <c r="SL229" s="2214"/>
      <c r="SM229" s="2214"/>
      <c r="SN229" s="2214"/>
      <c r="SO229" s="2214"/>
      <c r="SP229" s="2214"/>
      <c r="SQ229" s="2214"/>
      <c r="SR229" s="2214"/>
      <c r="SS229" s="2214"/>
      <c r="ST229" s="2214"/>
      <c r="SU229" s="2214"/>
      <c r="SV229" s="2214"/>
      <c r="SW229" s="2214"/>
      <c r="SX229" s="2214"/>
      <c r="SY229" s="2214"/>
      <c r="SZ229" s="2214"/>
      <c r="TA229" s="2214"/>
      <c r="TB229" s="2214"/>
      <c r="TC229" s="2214"/>
      <c r="TD229" s="2214"/>
      <c r="TE229" s="2214"/>
      <c r="TF229" s="2214"/>
      <c r="TG229" s="2214"/>
      <c r="TH229" s="2214"/>
      <c r="TI229" s="2214"/>
      <c r="TJ229" s="2214"/>
      <c r="TK229" s="2214"/>
      <c r="TL229" s="2214"/>
      <c r="TM229" s="2214"/>
      <c r="TN229" s="2214"/>
      <c r="TO229" s="2214"/>
      <c r="TP229" s="2214"/>
      <c r="TQ229" s="2214"/>
      <c r="TR229" s="2214"/>
      <c r="TS229" s="2214"/>
      <c r="TT229" s="2214"/>
      <c r="TU229" s="2214"/>
      <c r="TV229" s="2214"/>
      <c r="TW229" s="2214"/>
      <c r="TX229" s="2214"/>
      <c r="TY229" s="2214"/>
      <c r="TZ229" s="2214"/>
      <c r="UA229" s="2214"/>
      <c r="UB229" s="2214"/>
      <c r="UC229" s="2214"/>
      <c r="UD229" s="2214"/>
      <c r="UE229" s="2214"/>
      <c r="UF229" s="2214"/>
      <c r="UG229" s="2214"/>
      <c r="UH229" s="2214"/>
      <c r="UI229" s="2214"/>
      <c r="UJ229" s="2214"/>
      <c r="UK229" s="2214"/>
      <c r="UL229" s="2214"/>
      <c r="UM229" s="2214"/>
      <c r="UN229" s="2214"/>
      <c r="UO229" s="2214"/>
      <c r="UP229" s="2214"/>
      <c r="UQ229" s="2214"/>
      <c r="UR229" s="2214"/>
      <c r="US229" s="2214"/>
      <c r="UT229" s="2214"/>
      <c r="UU229" s="2214"/>
      <c r="UV229" s="2214"/>
      <c r="UW229" s="2214"/>
      <c r="UX229" s="2214"/>
      <c r="UY229" s="2214"/>
      <c r="UZ229" s="2214"/>
      <c r="VA229" s="2214"/>
      <c r="VB229" s="2214"/>
      <c r="VC229" s="2214"/>
      <c r="VD229" s="2214"/>
      <c r="VE229" s="2214"/>
      <c r="VF229" s="2214"/>
      <c r="VG229" s="2214"/>
      <c r="VH229" s="2214"/>
      <c r="VI229" s="2214"/>
      <c r="VJ229" s="2214"/>
      <c r="VK229" s="2214"/>
      <c r="VL229" s="2214"/>
      <c r="VM229" s="2214"/>
      <c r="VN229" s="2214"/>
      <c r="VO229" s="2214"/>
      <c r="VP229" s="2214"/>
      <c r="VQ229" s="2214"/>
      <c r="VR229" s="2214"/>
      <c r="VS229" s="2214"/>
      <c r="VT229" s="2214"/>
      <c r="VU229" s="2214"/>
      <c r="VV229" s="2214"/>
      <c r="VW229" s="2214"/>
      <c r="VX229" s="2214"/>
      <c r="VY229" s="2214"/>
      <c r="VZ229" s="2214"/>
      <c r="WA229" s="2214"/>
      <c r="WB229" s="2214"/>
      <c r="WC229" s="2214"/>
      <c r="WD229" s="2214"/>
      <c r="WE229" s="2214"/>
      <c r="WF229" s="2214"/>
      <c r="WG229" s="2214"/>
      <c r="WH229" s="2214"/>
      <c r="WI229" s="2214"/>
      <c r="WJ229" s="2214"/>
      <c r="WK229" s="2214"/>
      <c r="WL229" s="2214"/>
      <c r="WM229" s="2214"/>
      <c r="WN229" s="2214"/>
      <c r="WO229" s="2214"/>
      <c r="WP229" s="2214"/>
      <c r="WQ229" s="2214"/>
      <c r="WR229" s="2214"/>
      <c r="WS229" s="2214"/>
      <c r="WT229" s="2214"/>
      <c r="WU229" s="2214"/>
      <c r="WV229" s="2214"/>
      <c r="WW229" s="2214"/>
      <c r="WX229" s="2214"/>
      <c r="WY229" s="2214"/>
      <c r="WZ229" s="2214"/>
      <c r="XA229" s="2214"/>
      <c r="XB229" s="2214"/>
      <c r="XC229" s="2214"/>
      <c r="XD229" s="2214"/>
      <c r="XE229" s="2214"/>
      <c r="XF229" s="2214"/>
      <c r="XG229" s="2214"/>
      <c r="XH229" s="2214"/>
      <c r="XI229" s="2214"/>
      <c r="XJ229" s="2214"/>
      <c r="XK229" s="2214"/>
      <c r="XL229" s="2214"/>
      <c r="XM229" s="2214"/>
      <c r="XN229" s="2214"/>
      <c r="XO229" s="2214"/>
      <c r="XP229" s="2214"/>
      <c r="XQ229" s="2214"/>
      <c r="XR229" s="2214"/>
      <c r="XS229" s="2214"/>
      <c r="XT229" s="2214"/>
      <c r="XU229" s="2214"/>
      <c r="XV229" s="2214"/>
      <c r="XW229" s="2214"/>
      <c r="XX229" s="2214"/>
      <c r="XY229" s="2214"/>
      <c r="XZ229" s="2214"/>
      <c r="YA229" s="2214"/>
      <c r="YB229" s="2214"/>
      <c r="YC229" s="2214"/>
      <c r="YD229" s="2214"/>
      <c r="YE229" s="2214"/>
      <c r="YF229" s="2214"/>
      <c r="YG229" s="2214"/>
      <c r="YH229" s="2214"/>
      <c r="YI229" s="2214"/>
      <c r="YJ229" s="2214"/>
      <c r="YK229" s="2214"/>
      <c r="YL229" s="2214"/>
      <c r="YM229" s="2214"/>
      <c r="YN229" s="2214"/>
      <c r="YO229" s="2214"/>
      <c r="YP229" s="2214"/>
      <c r="YQ229" s="2214"/>
      <c r="YR229" s="2214"/>
      <c r="YS229" s="2214"/>
      <c r="YT229" s="2214"/>
      <c r="YU229" s="2214"/>
      <c r="YV229" s="2214"/>
      <c r="YW229" s="2214"/>
      <c r="YX229" s="2214"/>
      <c r="YY229" s="2214"/>
      <c r="YZ229" s="2214"/>
      <c r="ZA229" s="2214"/>
      <c r="ZB229" s="2214"/>
      <c r="ZC229" s="2214"/>
      <c r="ZD229" s="2214"/>
      <c r="ZE229" s="2214"/>
      <c r="ZF229" s="2214"/>
      <c r="ZG229" s="2214"/>
      <c r="ZH229" s="2214"/>
      <c r="ZI229" s="2214"/>
      <c r="ZJ229" s="2214"/>
      <c r="ZK229" s="2214"/>
      <c r="ZL229" s="2214"/>
      <c r="ZM229" s="2214"/>
      <c r="ZN229" s="2214"/>
      <c r="ZO229" s="2214"/>
      <c r="ZP229" s="2214"/>
      <c r="ZQ229" s="2214"/>
      <c r="ZR229" s="2214"/>
      <c r="ZS229" s="2214"/>
      <c r="ZT229" s="2214"/>
      <c r="ZU229" s="2214"/>
      <c r="ZV229" s="2214"/>
      <c r="ZW229" s="2214"/>
      <c r="ZX229" s="2214"/>
      <c r="ZY229" s="2214"/>
      <c r="ZZ229" s="2214"/>
      <c r="AAA229" s="2214"/>
      <c r="AAB229" s="2214"/>
      <c r="AAC229" s="2214"/>
      <c r="AAD229" s="2214"/>
      <c r="AAE229" s="2214"/>
      <c r="AAF229" s="2214"/>
      <c r="AAG229" s="2214"/>
      <c r="AAH229" s="2214"/>
      <c r="AAI229" s="2214"/>
      <c r="AAJ229" s="2214"/>
      <c r="AAK229" s="2214"/>
      <c r="AAL229" s="2214"/>
      <c r="AAM229" s="2214"/>
      <c r="AAN229" s="2214"/>
      <c r="AAO229" s="2214"/>
      <c r="AAP229" s="2214"/>
      <c r="AAQ229" s="2214"/>
      <c r="AAR229" s="2214"/>
      <c r="AAS229" s="2214"/>
      <c r="AAT229" s="2214"/>
      <c r="AAU229" s="2214"/>
      <c r="AAV229" s="2214"/>
      <c r="AAW229" s="2214"/>
      <c r="AAX229" s="2214"/>
      <c r="AAY229" s="2214"/>
      <c r="AAZ229" s="2214"/>
      <c r="ABA229" s="2214"/>
      <c r="ABB229" s="2214"/>
      <c r="ABC229" s="2214"/>
      <c r="ABD229" s="2214"/>
      <c r="ABE229" s="2214"/>
      <c r="ABF229" s="2214"/>
      <c r="ABG229" s="2214"/>
      <c r="ABH229" s="2214"/>
      <c r="ABI229" s="2214"/>
      <c r="ABJ229" s="2214"/>
      <c r="ABK229" s="2214"/>
      <c r="ABL229" s="2214"/>
      <c r="ABM229" s="2214"/>
      <c r="ABN229" s="2214"/>
      <c r="ABO229" s="2214"/>
      <c r="ABP229" s="2214"/>
      <c r="ABQ229" s="2214"/>
      <c r="ABR229" s="2214"/>
      <c r="ABS229" s="2214"/>
      <c r="ABT229" s="2214"/>
      <c r="ABU229" s="2214"/>
      <c r="ABV229" s="2214"/>
      <c r="ABW229" s="2214"/>
      <c r="ABX229" s="2214"/>
      <c r="ABY229" s="2214"/>
      <c r="ABZ229" s="2214"/>
      <c r="ACA229" s="2214"/>
      <c r="ACB229" s="2214"/>
      <c r="ACC229" s="2214"/>
      <c r="ACD229" s="2214"/>
      <c r="ACE229" s="2214"/>
      <c r="ACF229" s="2214"/>
      <c r="ACG229" s="2214"/>
      <c r="ACH229" s="2214"/>
      <c r="ACI229" s="2214"/>
      <c r="ACJ229" s="2214"/>
      <c r="ACK229" s="2214"/>
      <c r="ACL229" s="2214"/>
      <c r="ACM229" s="2214"/>
      <c r="ACN229" s="2214"/>
      <c r="ACO229" s="2214"/>
      <c r="ACP229" s="2214"/>
      <c r="ACQ229" s="2214"/>
      <c r="ACR229" s="2214"/>
      <c r="ACS229" s="2214"/>
      <c r="ACT229" s="2214"/>
      <c r="ACU229" s="2214"/>
      <c r="ACV229" s="2214"/>
      <c r="ACW229" s="2214"/>
      <c r="ACX229" s="2214"/>
      <c r="ACY229" s="2214"/>
      <c r="ACZ229" s="2214"/>
      <c r="ADA229" s="2214"/>
      <c r="ADB229" s="2214"/>
      <c r="ADC229" s="2214"/>
      <c r="ADD229" s="2214"/>
      <c r="ADE229" s="2214"/>
      <c r="ADF229" s="2214"/>
      <c r="ADG229" s="2214"/>
      <c r="ADH229" s="2214"/>
      <c r="ADI229" s="2214"/>
      <c r="ADJ229" s="2214"/>
      <c r="ADK229" s="2214"/>
      <c r="ADL229" s="2214"/>
      <c r="ADM229" s="2214"/>
      <c r="ADN229" s="2214"/>
      <c r="ADO229" s="2214"/>
      <c r="ADP229" s="2214"/>
      <c r="ADQ229" s="2214"/>
      <c r="ADR229" s="2214"/>
      <c r="ADS229" s="2214"/>
      <c r="ADT229" s="2214"/>
      <c r="ADU229" s="2214"/>
      <c r="ADV229" s="2214"/>
      <c r="ADW229" s="2214"/>
      <c r="ADX229" s="2214"/>
      <c r="ADY229" s="2214"/>
      <c r="ADZ229" s="2214"/>
      <c r="AEA229" s="2214"/>
      <c r="AEB229" s="2214"/>
      <c r="AEC229" s="2214"/>
      <c r="AED229" s="2214"/>
      <c r="AEE229" s="2214"/>
      <c r="AEF229" s="2214"/>
      <c r="AEG229" s="2214"/>
      <c r="AEH229" s="2214"/>
      <c r="AEI229" s="2214"/>
      <c r="AEJ229" s="2214"/>
      <c r="AEK229" s="2214"/>
      <c r="AEL229" s="2214"/>
      <c r="AEM229" s="2214"/>
      <c r="AEN229" s="2214"/>
      <c r="AEO229" s="2214"/>
      <c r="AEP229" s="2214"/>
      <c r="AEQ229" s="2214"/>
      <c r="AER229" s="2214"/>
      <c r="AES229" s="2214"/>
      <c r="AET229" s="2214"/>
      <c r="AEU229" s="2214"/>
      <c r="AEV229" s="2214"/>
      <c r="AEW229" s="2214"/>
      <c r="AEX229" s="2214"/>
      <c r="AEY229" s="2214"/>
      <c r="AEZ229" s="2214"/>
      <c r="AFA229" s="2214"/>
      <c r="AFB229" s="2214"/>
      <c r="AFC229" s="2214"/>
      <c r="AFD229" s="2214"/>
      <c r="AFE229" s="2214"/>
      <c r="AFF229" s="2214"/>
      <c r="AFG229" s="2214"/>
      <c r="AFH229" s="2214"/>
      <c r="AFI229" s="2214"/>
      <c r="AFJ229" s="2214"/>
      <c r="AFK229" s="2214"/>
      <c r="AFL229" s="2214"/>
      <c r="AFM229" s="2214"/>
      <c r="AFN229" s="2214"/>
      <c r="AFO229" s="2214"/>
      <c r="AFP229" s="2214"/>
      <c r="AFQ229" s="2214"/>
      <c r="AFR229" s="2214"/>
      <c r="AFS229" s="2214"/>
      <c r="AFT229" s="2214"/>
      <c r="AFU229" s="2214"/>
      <c r="AFV229" s="2214"/>
      <c r="AFW229" s="2214"/>
      <c r="AFX229" s="2214"/>
      <c r="AFY229" s="2214"/>
      <c r="AFZ229" s="2214"/>
      <c r="AGA229" s="2214"/>
      <c r="AGB229" s="2214"/>
      <c r="AGC229" s="2214"/>
      <c r="AGD229" s="2214"/>
      <c r="AGE229" s="2214"/>
      <c r="AGF229" s="2214"/>
      <c r="AGG229" s="2214"/>
      <c r="AGH229" s="2214"/>
      <c r="AGI229" s="2214"/>
      <c r="AGJ229" s="2214"/>
      <c r="AGK229" s="2214"/>
      <c r="AGL229" s="2214"/>
      <c r="AGM229" s="2214"/>
      <c r="AGN229" s="2214"/>
      <c r="AGO229" s="2214"/>
      <c r="AGP229" s="2214"/>
      <c r="AGQ229" s="2214"/>
      <c r="AGR229" s="2214"/>
      <c r="AGS229" s="2214"/>
      <c r="AGT229" s="2214"/>
      <c r="AGU229" s="2214"/>
      <c r="AGV229" s="2214"/>
      <c r="AGW229" s="2214"/>
      <c r="AGX229" s="2214"/>
      <c r="AGY229" s="2214"/>
      <c r="AGZ229" s="2214"/>
      <c r="AHA229" s="2214"/>
      <c r="AHB229" s="2214"/>
      <c r="AHC229" s="2214"/>
      <c r="AHD229" s="2214"/>
      <c r="AHE229" s="2214"/>
      <c r="AHF229" s="2214"/>
      <c r="AHG229" s="2214"/>
      <c r="AHH229" s="2214"/>
      <c r="AHI229" s="2214"/>
      <c r="AHJ229" s="2214"/>
      <c r="AHK229" s="2214"/>
      <c r="AHL229" s="2214"/>
      <c r="AHM229" s="2214"/>
      <c r="AHN229" s="2214"/>
      <c r="AHO229" s="2214"/>
      <c r="AHP229" s="2214"/>
      <c r="AHQ229" s="2214"/>
      <c r="AHR229" s="2214"/>
      <c r="AHS229" s="2214"/>
      <c r="AHT229" s="2214"/>
      <c r="AHU229" s="2214"/>
      <c r="AHV229" s="2214"/>
      <c r="AHW229" s="2214"/>
      <c r="AHX229" s="2214"/>
      <c r="AHY229" s="2214"/>
      <c r="AHZ229" s="2214"/>
      <c r="AIA229" s="2214"/>
      <c r="AIB229" s="2214"/>
      <c r="AIC229" s="2214"/>
      <c r="AID229" s="2214"/>
      <c r="AIE229" s="2214"/>
      <c r="AIF229" s="2214"/>
      <c r="AIG229" s="2214"/>
      <c r="AIH229" s="2214"/>
      <c r="AII229" s="2214"/>
      <c r="AIJ229" s="2214"/>
      <c r="AIK229" s="2214"/>
      <c r="AIL229" s="2214"/>
      <c r="AIM229" s="2214"/>
      <c r="AIN229" s="2214"/>
      <c r="AIO229" s="2214"/>
      <c r="AIP229" s="2214"/>
      <c r="AIQ229" s="2214"/>
      <c r="AIR229" s="2214"/>
      <c r="AIS229" s="2214"/>
      <c r="AIT229" s="2214"/>
      <c r="AIU229" s="2214"/>
      <c r="AIV229" s="2214"/>
      <c r="AIW229" s="2214"/>
      <c r="AIX229" s="2214"/>
      <c r="AIY229" s="2214"/>
      <c r="AIZ229" s="2214"/>
      <c r="AJA229" s="2214"/>
      <c r="AJB229" s="2214"/>
      <c r="AJC229" s="2214"/>
      <c r="AJD229" s="2214"/>
      <c r="AJE229" s="2214"/>
      <c r="AJF229" s="2214"/>
      <c r="AJG229" s="2214"/>
      <c r="AJH229" s="2214"/>
      <c r="AJI229" s="2214"/>
      <c r="AJJ229" s="2214"/>
      <c r="AJK229" s="2214"/>
      <c r="AJL229" s="2214"/>
      <c r="AJM229" s="2214"/>
      <c r="AJN229" s="2214"/>
      <c r="AJO229" s="2214"/>
      <c r="AJP229" s="2214"/>
      <c r="AJQ229" s="2214"/>
      <c r="AJR229" s="2214"/>
      <c r="AJS229" s="2214"/>
      <c r="AJT229" s="2214"/>
      <c r="AJU229" s="2214"/>
      <c r="AJV229" s="2214"/>
      <c r="AJW229" s="2214"/>
      <c r="AJX229" s="2214"/>
      <c r="AJY229" s="2214"/>
      <c r="AJZ229" s="2214"/>
      <c r="AKA229" s="2214"/>
      <c r="AKB229" s="2214"/>
      <c r="AKC229" s="2214"/>
      <c r="AKD229" s="2214"/>
      <c r="AKE229" s="2214"/>
      <c r="AKF229" s="2214"/>
      <c r="AKG229" s="2214"/>
      <c r="AKH229" s="2214"/>
      <c r="AKI229" s="2214"/>
      <c r="AKJ229" s="2214"/>
      <c r="AKK229" s="2214"/>
      <c r="AKL229" s="2214"/>
      <c r="AKM229" s="2214"/>
      <c r="AKN229" s="2214"/>
      <c r="AKO229" s="2214"/>
      <c r="AKP229" s="2214"/>
      <c r="AKQ229" s="2214"/>
      <c r="AKR229" s="2214"/>
      <c r="AKS229" s="2214"/>
      <c r="AKT229" s="2214"/>
      <c r="AKU229" s="2214"/>
      <c r="AKV229" s="2214"/>
      <c r="AKW229" s="2214"/>
      <c r="AKX229" s="2214"/>
      <c r="AKY229" s="2214"/>
      <c r="AKZ229" s="2214"/>
      <c r="ALA229" s="2214"/>
      <c r="ALB229" s="2214"/>
      <c r="ALC229" s="2214"/>
      <c r="ALD229" s="2214"/>
      <c r="ALE229" s="2214"/>
      <c r="ALF229" s="2214"/>
      <c r="ALG229" s="2214"/>
      <c r="ALH229" s="2214"/>
      <c r="ALI229" s="2214"/>
      <c r="ALJ229" s="2214"/>
      <c r="ALK229" s="2214"/>
      <c r="ALL229" s="2214"/>
      <c r="ALM229" s="2214"/>
      <c r="ALN229" s="2214"/>
      <c r="ALO229" s="2214"/>
      <c r="ALP229" s="2214"/>
      <c r="ALQ229" s="2214"/>
      <c r="ALR229" s="2214"/>
      <c r="ALS229" s="2214"/>
      <c r="ALT229" s="2214"/>
      <c r="ALU229" s="2214"/>
      <c r="ALV229" s="2214"/>
      <c r="ALW229" s="2214"/>
      <c r="ALX229" s="2214"/>
      <c r="ALY229" s="2214"/>
      <c r="ALZ229" s="2214"/>
      <c r="AMA229" s="2214"/>
      <c r="AMB229" s="2214"/>
      <c r="AMC229" s="2214"/>
      <c r="AMD229" s="2214"/>
      <c r="AME229" s="2214"/>
      <c r="AMF229" s="2214"/>
      <c r="AMG229" s="2214"/>
      <c r="AMH229" s="2214"/>
      <c r="AMI229" s="2214"/>
      <c r="AMJ229" s="2214"/>
      <c r="AMK229" s="2214"/>
      <c r="AML229" s="2214"/>
      <c r="AMM229" s="2214"/>
      <c r="AMN229" s="2214"/>
      <c r="AMO229" s="2214"/>
      <c r="AMP229" s="2214"/>
      <c r="AMQ229" s="2214"/>
      <c r="AMR229" s="2214"/>
      <c r="AMS229" s="2214"/>
      <c r="AMT229" s="2214"/>
      <c r="AMU229" s="2214"/>
      <c r="AMV229" s="2214"/>
      <c r="AMW229" s="2214"/>
      <c r="AMX229" s="2214"/>
      <c r="AMY229" s="2214"/>
      <c r="AMZ229" s="2214"/>
      <c r="ANA229" s="2214"/>
      <c r="ANB229" s="2214"/>
      <c r="ANC229" s="2214"/>
      <c r="AND229" s="2214"/>
      <c r="ANE229" s="2214"/>
      <c r="ANF229" s="2214"/>
      <c r="ANG229" s="2214"/>
      <c r="ANH229" s="2214"/>
      <c r="ANI229" s="2214"/>
      <c r="ANJ229" s="2214"/>
      <c r="ANK229" s="2214"/>
      <c r="ANL229" s="2214"/>
      <c r="ANM229" s="2214"/>
      <c r="ANN229" s="2214"/>
      <c r="ANO229" s="2214"/>
      <c r="ANP229" s="2214"/>
      <c r="ANQ229" s="2214"/>
      <c r="ANR229" s="2214"/>
      <c r="ANS229" s="2214"/>
      <c r="ANT229" s="2214"/>
      <c r="ANU229" s="2214"/>
      <c r="ANV229" s="2214"/>
      <c r="ANW229" s="2214"/>
      <c r="ANX229" s="2214"/>
      <c r="ANY229" s="2214"/>
      <c r="ANZ229" s="2214"/>
      <c r="AOA229" s="2214"/>
      <c r="AOB229" s="2214"/>
      <c r="AOC229" s="2214"/>
      <c r="AOD229" s="2214"/>
      <c r="AOE229" s="2214"/>
      <c r="AOF229" s="2214"/>
      <c r="AOG229" s="2214"/>
      <c r="AOH229" s="2214"/>
      <c r="AOI229" s="2214"/>
      <c r="AOJ229" s="2214"/>
      <c r="AOK229" s="2214"/>
      <c r="AOL229" s="2214"/>
      <c r="AOM229" s="2214"/>
      <c r="AON229" s="2214"/>
      <c r="AOO229" s="2214"/>
      <c r="AOP229" s="2214"/>
      <c r="AOQ229" s="2214"/>
      <c r="AOR229" s="2214"/>
      <c r="AOS229" s="2214"/>
      <c r="AOT229" s="2214"/>
      <c r="AOU229" s="2214"/>
      <c r="AOV229" s="2214"/>
      <c r="AOW229" s="2214"/>
      <c r="AOX229" s="2214"/>
      <c r="AOY229" s="2214"/>
      <c r="AOZ229" s="2214"/>
      <c r="APA229" s="2214"/>
      <c r="APB229" s="2214"/>
      <c r="APC229" s="2214"/>
      <c r="APD229" s="2214"/>
      <c r="APE229" s="2214"/>
      <c r="APF229" s="2214"/>
      <c r="APG229" s="2214"/>
      <c r="APH229" s="2214"/>
      <c r="API229" s="2214"/>
      <c r="APJ229" s="2214"/>
      <c r="APK229" s="2214"/>
      <c r="APL229" s="2214"/>
      <c r="APM229" s="2214"/>
      <c r="APN229" s="2214"/>
      <c r="APO229" s="2214"/>
      <c r="APP229" s="2214"/>
      <c r="APQ229" s="2214"/>
      <c r="APR229" s="2214"/>
      <c r="APS229" s="2214"/>
      <c r="APT229" s="2214"/>
      <c r="APU229" s="2214"/>
      <c r="APV229" s="2214"/>
      <c r="APW229" s="2214"/>
      <c r="APX229" s="2214"/>
      <c r="APY229" s="2214"/>
      <c r="APZ229" s="2214"/>
      <c r="AQA229" s="2214"/>
      <c r="AQB229" s="2214"/>
      <c r="AQC229" s="2214"/>
      <c r="AQD229" s="2214"/>
      <c r="AQE229" s="2214"/>
      <c r="AQF229" s="2214"/>
      <c r="AQG229" s="2214"/>
      <c r="AQH229" s="2214"/>
      <c r="AQI229" s="2214"/>
      <c r="AQJ229" s="2214"/>
      <c r="AQK229" s="2214"/>
      <c r="AQL229" s="2214"/>
      <c r="AQM229" s="2214"/>
      <c r="AQN229" s="2214"/>
      <c r="AQO229" s="2214"/>
      <c r="AQP229" s="2214"/>
      <c r="AQQ229" s="2214"/>
      <c r="AQR229" s="2214"/>
      <c r="AQS229" s="2214"/>
      <c r="AQT229" s="2214"/>
      <c r="AQU229" s="2214"/>
      <c r="AQV229" s="2214"/>
      <c r="AQW229" s="2214"/>
      <c r="AQX229" s="2214"/>
      <c r="AQY229" s="2214"/>
      <c r="AQZ229" s="2214"/>
      <c r="ARA229" s="2214"/>
      <c r="ARB229" s="2214"/>
      <c r="ARC229" s="2214"/>
      <c r="ARD229" s="2214"/>
      <c r="ARE229" s="2214"/>
      <c r="ARF229" s="2214"/>
      <c r="ARG229" s="2214"/>
      <c r="ARH229" s="2214"/>
      <c r="ARI229" s="2214"/>
      <c r="ARJ229" s="2214"/>
      <c r="ARK229" s="2214"/>
      <c r="ARL229" s="2214"/>
      <c r="ARM229" s="2214"/>
      <c r="ARN229" s="2214"/>
      <c r="ARO229" s="2214"/>
      <c r="ARP229" s="2214"/>
      <c r="ARQ229" s="2214"/>
      <c r="ARR229" s="2214"/>
      <c r="ARS229" s="2214"/>
      <c r="ART229" s="2214"/>
      <c r="ARU229" s="2214"/>
      <c r="ARV229" s="2214"/>
      <c r="ARW229" s="2214"/>
      <c r="ARX229" s="2214"/>
      <c r="ARY229" s="2214"/>
      <c r="ARZ229" s="2214"/>
      <c r="ASA229" s="2214"/>
      <c r="ASB229" s="2214"/>
      <c r="ASC229" s="2214"/>
      <c r="ASD229" s="2214"/>
      <c r="ASE229" s="2214"/>
      <c r="ASF229" s="2214"/>
      <c r="ASG229" s="2214"/>
      <c r="ASH229" s="2214"/>
      <c r="ASI229" s="2214"/>
      <c r="ASJ229" s="2214"/>
      <c r="ASK229" s="2214"/>
      <c r="ASL229" s="2214"/>
      <c r="ASM229" s="2214"/>
      <c r="ASN229" s="2214"/>
      <c r="ASO229" s="2214"/>
      <c r="ASP229" s="2214"/>
      <c r="ASQ229" s="2214"/>
      <c r="ASR229" s="2214"/>
      <c r="ASS229" s="2214"/>
      <c r="AST229" s="2214"/>
      <c r="ASU229" s="2214"/>
      <c r="ASV229" s="2214"/>
      <c r="ASW229" s="2214"/>
      <c r="ASX229" s="2214"/>
      <c r="ASY229" s="2214"/>
      <c r="ASZ229" s="2214"/>
      <c r="ATA229" s="2214"/>
      <c r="ATB229" s="2214"/>
      <c r="ATC229" s="2214"/>
      <c r="ATD229" s="2214"/>
      <c r="ATE229" s="2214"/>
      <c r="ATF229" s="2214"/>
      <c r="ATG229" s="2214"/>
      <c r="ATH229" s="2214"/>
      <c r="ATI229" s="2214"/>
      <c r="ATJ229" s="2214"/>
      <c r="ATK229" s="2214"/>
      <c r="ATL229" s="2214"/>
      <c r="ATM229" s="2214"/>
      <c r="ATN229" s="2214"/>
      <c r="ATO229" s="2214"/>
      <c r="ATP229" s="2214"/>
      <c r="ATQ229" s="2214"/>
      <c r="ATR229" s="2214"/>
      <c r="ATS229" s="2214"/>
      <c r="ATT229" s="2214"/>
      <c r="ATU229" s="2214"/>
      <c r="ATV229" s="2214"/>
      <c r="ATW229" s="2214"/>
      <c r="ATX229" s="2214"/>
      <c r="ATY229" s="2214"/>
      <c r="ATZ229" s="2214"/>
      <c r="AUA229" s="2214"/>
      <c r="AUB229" s="2214"/>
      <c r="AUC229" s="2214"/>
      <c r="AUD229" s="2214"/>
      <c r="AUE229" s="2214"/>
      <c r="AUF229" s="2214"/>
      <c r="AUG229" s="2214"/>
      <c r="AUH229" s="2214"/>
      <c r="AUI229" s="2214"/>
      <c r="AUJ229" s="2214"/>
      <c r="AUK229" s="2214"/>
      <c r="AUL229" s="2214"/>
      <c r="AUM229" s="2214"/>
      <c r="AUN229" s="2214"/>
      <c r="AUO229" s="2214"/>
      <c r="AUP229" s="2214"/>
      <c r="AUQ229" s="2214"/>
      <c r="AUR229" s="2214"/>
      <c r="AUS229" s="2214"/>
      <c r="AUT229" s="2214"/>
      <c r="AUU229" s="2214"/>
      <c r="AUV229" s="2214"/>
      <c r="AUW229" s="2214"/>
      <c r="AUX229" s="2214"/>
      <c r="AUY229" s="2214"/>
      <c r="AUZ229" s="2214"/>
      <c r="AVA229" s="2214"/>
      <c r="AVB229" s="2214"/>
      <c r="AVC229" s="2214"/>
      <c r="AVD229" s="2214"/>
      <c r="AVE229" s="2214"/>
      <c r="AVF229" s="2214"/>
      <c r="AVG229" s="2214"/>
      <c r="AVH229" s="2214"/>
      <c r="AVI229" s="2214"/>
      <c r="AVJ229" s="2214"/>
      <c r="AVK229" s="2214"/>
      <c r="AVL229" s="2214"/>
      <c r="AVM229" s="2214"/>
      <c r="AVN229" s="2214"/>
      <c r="AVO229" s="2214"/>
      <c r="AVP229" s="2214"/>
      <c r="AVQ229" s="2214"/>
      <c r="AVR229" s="2214"/>
      <c r="AVS229" s="2214"/>
      <c r="AVT229" s="2214"/>
      <c r="AVU229" s="2214"/>
      <c r="AVV229" s="2214"/>
      <c r="AVW229" s="2214"/>
      <c r="AVX229" s="2214"/>
      <c r="AVY229" s="2214"/>
      <c r="AVZ229" s="2214"/>
      <c r="AWA229" s="2214"/>
      <c r="AWB229" s="2214"/>
      <c r="AWC229" s="2214"/>
      <c r="AWD229" s="2214"/>
      <c r="AWE229" s="2214"/>
      <c r="AWF229" s="2214"/>
      <c r="AWG229" s="2214"/>
      <c r="AWH229" s="2214"/>
      <c r="AWI229" s="2214"/>
      <c r="AWJ229" s="2214"/>
      <c r="AWK229" s="2214"/>
      <c r="AWL229" s="2214"/>
      <c r="AWM229" s="2214"/>
      <c r="AWN229" s="2214"/>
      <c r="AWO229" s="2214"/>
      <c r="AWP229" s="2214"/>
      <c r="AWQ229" s="2214"/>
      <c r="AWR229" s="2214"/>
      <c r="AWS229" s="2214"/>
      <c r="AWT229" s="2214"/>
      <c r="AWU229" s="2214"/>
      <c r="AWV229" s="2214"/>
      <c r="AWW229" s="2214"/>
      <c r="AWX229" s="2214"/>
      <c r="AWY229" s="2214"/>
      <c r="AWZ229" s="2214"/>
      <c r="AXA229" s="2214"/>
      <c r="AXB229" s="2214"/>
      <c r="AXC229" s="2214"/>
      <c r="AXD229" s="2214"/>
      <c r="AXE229" s="2214"/>
      <c r="AXF229" s="2214"/>
      <c r="AXG229" s="2214"/>
      <c r="AXH229" s="2214"/>
      <c r="AXI229" s="2214"/>
      <c r="AXJ229" s="2214"/>
    </row>
    <row r="230" spans="1:1310" s="2215" customFormat="1" ht="23.25" customHeight="1">
      <c r="A230" s="756"/>
      <c r="B230" s="9016" t="s">
        <v>1588</v>
      </c>
      <c r="C230" s="9016"/>
      <c r="D230" s="9016"/>
      <c r="E230" s="9016"/>
      <c r="F230" s="750"/>
      <c r="G230" s="9016" t="s">
        <v>1589</v>
      </c>
      <c r="H230" s="9016"/>
      <c r="I230" s="9016"/>
      <c r="J230" s="750"/>
      <c r="K230" s="9016" t="s">
        <v>1590</v>
      </c>
      <c r="L230" s="9016"/>
      <c r="M230" s="9016"/>
      <c r="N230" s="750"/>
      <c r="O230" s="9016" t="s">
        <v>1591</v>
      </c>
      <c r="P230" s="9016"/>
      <c r="Q230" s="750"/>
      <c r="R230" s="311"/>
      <c r="S230" s="311"/>
      <c r="T230" s="311"/>
      <c r="U230" s="311"/>
      <c r="V230" s="311"/>
      <c r="W230" s="311"/>
      <c r="X230" s="311"/>
      <c r="Y230" s="311"/>
      <c r="Z230" s="311"/>
      <c r="AA230" s="311"/>
      <c r="AB230" s="311"/>
      <c r="AC230" s="311"/>
      <c r="AD230" s="2214"/>
      <c r="AE230" s="2214"/>
      <c r="AF230" s="2214"/>
      <c r="AG230" s="2214"/>
      <c r="AH230" s="2214"/>
      <c r="AI230" s="2214"/>
      <c r="AJ230" s="2214"/>
      <c r="AK230" s="2214"/>
      <c r="AL230" s="2214"/>
      <c r="AM230" s="2214"/>
      <c r="AN230" s="2214"/>
      <c r="AO230" s="2214"/>
      <c r="AP230" s="2214"/>
      <c r="AQ230" s="2214"/>
      <c r="AR230" s="2214"/>
      <c r="AS230" s="2214"/>
      <c r="AT230" s="2214"/>
      <c r="AU230" s="2214"/>
      <c r="AV230" s="2214"/>
      <c r="AW230" s="2214"/>
      <c r="AX230" s="2214"/>
      <c r="AY230" s="2214"/>
      <c r="AZ230" s="2214"/>
      <c r="BA230" s="2214"/>
      <c r="BB230" s="2214"/>
      <c r="BC230" s="2214"/>
      <c r="BD230" s="2214"/>
      <c r="BE230" s="2214"/>
      <c r="BF230" s="2214"/>
      <c r="BG230" s="2214"/>
      <c r="BH230" s="2214"/>
      <c r="BI230" s="2214"/>
      <c r="BJ230" s="2214"/>
      <c r="BK230" s="2214"/>
      <c r="BL230" s="2214"/>
      <c r="BM230" s="2214"/>
      <c r="BN230" s="2214"/>
      <c r="BO230" s="2214"/>
      <c r="BP230" s="2214"/>
      <c r="BQ230" s="2214"/>
      <c r="BR230" s="2214"/>
      <c r="BS230" s="2214"/>
      <c r="BT230" s="2214"/>
      <c r="BU230" s="2214"/>
      <c r="BV230" s="2214"/>
      <c r="BW230" s="2214"/>
      <c r="BX230" s="2214"/>
      <c r="BY230" s="2214"/>
      <c r="BZ230" s="2214"/>
      <c r="CA230" s="2214"/>
      <c r="CB230" s="2214"/>
      <c r="CC230" s="2214"/>
      <c r="CD230" s="2214"/>
      <c r="CE230" s="2214"/>
      <c r="CF230" s="2214"/>
      <c r="CG230" s="2214"/>
      <c r="CH230" s="2214"/>
      <c r="CI230" s="2214"/>
      <c r="CJ230" s="2214"/>
      <c r="CK230" s="2214"/>
      <c r="CL230" s="2214"/>
      <c r="CM230" s="2214"/>
      <c r="CN230" s="2214"/>
      <c r="CO230" s="2214"/>
      <c r="CP230" s="2214"/>
      <c r="CQ230" s="2214"/>
      <c r="CR230" s="2214"/>
      <c r="CS230" s="2214"/>
      <c r="CT230" s="2214"/>
      <c r="CU230" s="2214"/>
      <c r="CV230" s="2214"/>
      <c r="CW230" s="2214"/>
      <c r="CX230" s="2214"/>
      <c r="CY230" s="2214"/>
      <c r="CZ230" s="2214"/>
      <c r="DA230" s="2214"/>
      <c r="DB230" s="2214"/>
      <c r="DC230" s="2214"/>
      <c r="DD230" s="2214"/>
      <c r="DE230" s="2214"/>
      <c r="DF230" s="2214"/>
      <c r="DG230" s="2214"/>
      <c r="DH230" s="2214"/>
      <c r="DI230" s="2214"/>
      <c r="DJ230" s="2214"/>
      <c r="DK230" s="2214"/>
      <c r="DL230" s="2214"/>
      <c r="DM230" s="2214"/>
      <c r="DN230" s="2214"/>
      <c r="DO230" s="2214"/>
      <c r="DP230" s="2214"/>
      <c r="DQ230" s="2214"/>
      <c r="DR230" s="2214"/>
      <c r="DS230" s="2214"/>
      <c r="DT230" s="2214"/>
      <c r="DU230" s="2214"/>
      <c r="DV230" s="2214"/>
      <c r="DW230" s="2214"/>
      <c r="DX230" s="2214"/>
      <c r="DY230" s="2214"/>
      <c r="DZ230" s="2214"/>
      <c r="EA230" s="2214"/>
      <c r="EB230" s="2214"/>
      <c r="EC230" s="2214"/>
      <c r="ED230" s="2214"/>
      <c r="EE230" s="2214"/>
      <c r="EF230" s="2214"/>
      <c r="EG230" s="2214"/>
      <c r="EH230" s="2214"/>
      <c r="EI230" s="2214"/>
      <c r="EJ230" s="2214"/>
      <c r="EK230" s="2214"/>
      <c r="EL230" s="2214"/>
      <c r="EM230" s="2214"/>
      <c r="EN230" s="2214"/>
      <c r="EO230" s="2214"/>
      <c r="EP230" s="2214"/>
      <c r="EQ230" s="2214"/>
      <c r="ER230" s="2214"/>
      <c r="ES230" s="2214"/>
      <c r="ET230" s="2214"/>
      <c r="EU230" s="2214"/>
      <c r="EV230" s="2214"/>
      <c r="EW230" s="2214"/>
      <c r="EX230" s="2214"/>
      <c r="EY230" s="2214"/>
      <c r="EZ230" s="2214"/>
      <c r="FA230" s="2214"/>
      <c r="FB230" s="2214"/>
      <c r="FC230" s="2214"/>
      <c r="FD230" s="2214"/>
      <c r="FE230" s="2214"/>
      <c r="FF230" s="2214"/>
      <c r="FG230" s="2214"/>
      <c r="FH230" s="2214"/>
      <c r="FI230" s="2214"/>
      <c r="FJ230" s="2214"/>
      <c r="FK230" s="2214"/>
      <c r="FL230" s="2214"/>
      <c r="FM230" s="2214"/>
      <c r="FN230" s="2214"/>
      <c r="FO230" s="2214"/>
      <c r="FP230" s="2214"/>
      <c r="FQ230" s="2214"/>
      <c r="FR230" s="2214"/>
      <c r="FS230" s="2214"/>
      <c r="FT230" s="2214"/>
      <c r="FU230" s="2214"/>
      <c r="FV230" s="2214"/>
      <c r="FW230" s="2214"/>
      <c r="FX230" s="2214"/>
      <c r="FY230" s="2214"/>
      <c r="FZ230" s="2214"/>
      <c r="GA230" s="2214"/>
      <c r="GB230" s="2214"/>
      <c r="GC230" s="2214"/>
      <c r="GD230" s="2214"/>
      <c r="GE230" s="2214"/>
      <c r="GF230" s="2214"/>
      <c r="GG230" s="2214"/>
      <c r="GH230" s="2214"/>
      <c r="GI230" s="2214"/>
      <c r="GJ230" s="2214"/>
      <c r="GK230" s="2214"/>
      <c r="GL230" s="2214"/>
      <c r="GM230" s="2214"/>
      <c r="GN230" s="2214"/>
      <c r="GO230" s="2214"/>
      <c r="GP230" s="2214"/>
      <c r="GQ230" s="2214"/>
      <c r="GR230" s="2214"/>
      <c r="GS230" s="2214"/>
      <c r="GT230" s="2214"/>
      <c r="GU230" s="2214"/>
      <c r="GV230" s="2214"/>
      <c r="GW230" s="2214"/>
      <c r="GX230" s="2214"/>
      <c r="GY230" s="2214"/>
      <c r="GZ230" s="2214"/>
      <c r="HA230" s="2214"/>
      <c r="HB230" s="2214"/>
      <c r="HC230" s="2214"/>
      <c r="HD230" s="2214"/>
      <c r="HE230" s="2214"/>
      <c r="HF230" s="2214"/>
      <c r="HG230" s="2214"/>
      <c r="HH230" s="2214"/>
      <c r="HI230" s="2214"/>
      <c r="HJ230" s="2214"/>
      <c r="HK230" s="2214"/>
      <c r="HL230" s="2214"/>
      <c r="HM230" s="2214"/>
      <c r="HN230" s="2214"/>
      <c r="HO230" s="2214"/>
      <c r="HP230" s="2214"/>
      <c r="HQ230" s="2214"/>
      <c r="HR230" s="2214"/>
      <c r="HS230" s="2214"/>
      <c r="HT230" s="2214"/>
      <c r="HU230" s="2214"/>
      <c r="HV230" s="2214"/>
      <c r="HW230" s="2214"/>
      <c r="HX230" s="2214"/>
      <c r="HY230" s="2214"/>
      <c r="HZ230" s="2214"/>
      <c r="IA230" s="2214"/>
      <c r="IB230" s="2214"/>
      <c r="IC230" s="2214"/>
      <c r="ID230" s="2214"/>
      <c r="IE230" s="2214"/>
      <c r="IF230" s="2214"/>
      <c r="IG230" s="2214"/>
      <c r="IH230" s="2214"/>
      <c r="II230" s="2214"/>
      <c r="IJ230" s="2214"/>
      <c r="IK230" s="2214"/>
      <c r="IL230" s="2214"/>
      <c r="IM230" s="2214"/>
      <c r="IN230" s="2214"/>
      <c r="IO230" s="2214"/>
      <c r="IP230" s="2214"/>
      <c r="IQ230" s="2214"/>
      <c r="IR230" s="2214"/>
      <c r="IS230" s="2214"/>
      <c r="IT230" s="2214"/>
      <c r="IU230" s="2214"/>
      <c r="IV230" s="2214"/>
      <c r="IW230" s="2214"/>
      <c r="IX230" s="2214"/>
      <c r="IY230" s="2214"/>
      <c r="IZ230" s="2214"/>
      <c r="JA230" s="2214"/>
      <c r="JB230" s="2214"/>
      <c r="JC230" s="2214"/>
      <c r="JD230" s="2214"/>
      <c r="JE230" s="2214"/>
      <c r="JF230" s="2214"/>
      <c r="JG230" s="2214"/>
      <c r="JH230" s="2214"/>
      <c r="JI230" s="2214"/>
      <c r="JJ230" s="2214"/>
      <c r="JK230" s="2214"/>
      <c r="JL230" s="2214"/>
      <c r="JM230" s="2214"/>
      <c r="JN230" s="2214"/>
      <c r="JO230" s="2214"/>
      <c r="JP230" s="2214"/>
      <c r="JQ230" s="2214"/>
      <c r="JR230" s="2214"/>
      <c r="JS230" s="2214"/>
      <c r="JT230" s="2214"/>
      <c r="JU230" s="2214"/>
      <c r="JV230" s="2214"/>
      <c r="JW230" s="2214"/>
      <c r="JX230" s="2214"/>
      <c r="JY230" s="2214"/>
      <c r="JZ230" s="2214"/>
      <c r="KA230" s="2214"/>
      <c r="KB230" s="2214"/>
      <c r="KC230" s="2214"/>
      <c r="KD230" s="2214"/>
      <c r="KE230" s="2214"/>
      <c r="KF230" s="2214"/>
      <c r="KG230" s="2214"/>
      <c r="KH230" s="2214"/>
      <c r="KI230" s="2214"/>
      <c r="KJ230" s="2214"/>
      <c r="KK230" s="2214"/>
      <c r="KL230" s="2214"/>
      <c r="KM230" s="2214"/>
      <c r="KN230" s="2214"/>
      <c r="KO230" s="2214"/>
      <c r="KP230" s="2214"/>
      <c r="KQ230" s="2214"/>
      <c r="KR230" s="2214"/>
      <c r="KS230" s="2214"/>
      <c r="KT230" s="2214"/>
      <c r="KU230" s="2214"/>
      <c r="KV230" s="2214"/>
      <c r="KW230" s="2214"/>
      <c r="KX230" s="2214"/>
      <c r="KY230" s="2214"/>
      <c r="KZ230" s="2214"/>
      <c r="LA230" s="2214"/>
      <c r="LB230" s="2214"/>
      <c r="LC230" s="2214"/>
      <c r="LD230" s="2214"/>
      <c r="LE230" s="2214"/>
      <c r="LF230" s="2214"/>
      <c r="LG230" s="2214"/>
      <c r="LH230" s="2214"/>
      <c r="LI230" s="2214"/>
      <c r="LJ230" s="2214"/>
      <c r="LK230" s="2214"/>
      <c r="LL230" s="2214"/>
      <c r="LM230" s="2214"/>
      <c r="LN230" s="2214"/>
      <c r="LO230" s="2214"/>
      <c r="LP230" s="2214"/>
      <c r="LQ230" s="2214"/>
      <c r="LR230" s="2214"/>
      <c r="LS230" s="2214"/>
      <c r="LT230" s="2214"/>
      <c r="LU230" s="2214"/>
      <c r="LV230" s="2214"/>
      <c r="LW230" s="2214"/>
      <c r="LX230" s="2214"/>
      <c r="LY230" s="2214"/>
      <c r="LZ230" s="2214"/>
      <c r="MA230" s="2214"/>
      <c r="MB230" s="2214"/>
      <c r="MC230" s="2214"/>
      <c r="MD230" s="2214"/>
      <c r="ME230" s="2214"/>
      <c r="MF230" s="2214"/>
      <c r="MG230" s="2214"/>
      <c r="MH230" s="2214"/>
      <c r="MI230" s="2214"/>
      <c r="MJ230" s="2214"/>
      <c r="MK230" s="2214"/>
      <c r="ML230" s="2214"/>
      <c r="MM230" s="2214"/>
      <c r="MN230" s="2214"/>
      <c r="MO230" s="2214"/>
      <c r="MP230" s="2214"/>
      <c r="MQ230" s="2214"/>
      <c r="MR230" s="2214"/>
      <c r="MS230" s="2214"/>
      <c r="MT230" s="2214"/>
      <c r="MU230" s="2214"/>
      <c r="MV230" s="2214"/>
      <c r="MW230" s="2214"/>
      <c r="MX230" s="2214"/>
      <c r="MY230" s="2214"/>
      <c r="MZ230" s="2214"/>
      <c r="NA230" s="2214"/>
      <c r="NB230" s="2214"/>
      <c r="NC230" s="2214"/>
      <c r="ND230" s="2214"/>
      <c r="NE230" s="2214"/>
      <c r="NF230" s="2214"/>
      <c r="NG230" s="2214"/>
      <c r="NH230" s="2214"/>
      <c r="NI230" s="2214"/>
      <c r="NJ230" s="2214"/>
      <c r="NK230" s="2214"/>
      <c r="NL230" s="2214"/>
      <c r="NM230" s="2214"/>
      <c r="NN230" s="2214"/>
      <c r="NO230" s="2214"/>
      <c r="NP230" s="2214"/>
      <c r="NQ230" s="2214"/>
      <c r="NR230" s="2214"/>
      <c r="NS230" s="2214"/>
      <c r="NT230" s="2214"/>
      <c r="NU230" s="2214"/>
      <c r="NV230" s="2214"/>
      <c r="NW230" s="2214"/>
      <c r="NX230" s="2214"/>
      <c r="NY230" s="2214"/>
      <c r="NZ230" s="2214"/>
      <c r="OA230" s="2214"/>
      <c r="OB230" s="2214"/>
      <c r="OC230" s="2214"/>
      <c r="OD230" s="2214"/>
      <c r="OE230" s="2214"/>
      <c r="OF230" s="2214"/>
      <c r="OG230" s="2214"/>
      <c r="OH230" s="2214"/>
      <c r="OI230" s="2214"/>
      <c r="OJ230" s="2214"/>
      <c r="OK230" s="2214"/>
      <c r="OL230" s="2214"/>
      <c r="OM230" s="2214"/>
      <c r="ON230" s="2214"/>
      <c r="OO230" s="2214"/>
      <c r="OP230" s="2214"/>
      <c r="OQ230" s="2214"/>
      <c r="OR230" s="2214"/>
      <c r="OS230" s="2214"/>
      <c r="OT230" s="2214"/>
      <c r="OU230" s="2214"/>
      <c r="OV230" s="2214"/>
      <c r="OW230" s="2214"/>
      <c r="OX230" s="2214"/>
      <c r="OY230" s="2214"/>
      <c r="OZ230" s="2214"/>
      <c r="PA230" s="2214"/>
      <c r="PB230" s="2214"/>
      <c r="PC230" s="2214"/>
      <c r="PD230" s="2214"/>
      <c r="PE230" s="2214"/>
      <c r="PF230" s="2214"/>
      <c r="PG230" s="2214"/>
      <c r="PH230" s="2214"/>
      <c r="PI230" s="2214"/>
      <c r="PJ230" s="2214"/>
      <c r="PK230" s="2214"/>
      <c r="PL230" s="2214"/>
      <c r="PM230" s="2214"/>
      <c r="PN230" s="2214"/>
      <c r="PO230" s="2214"/>
      <c r="PP230" s="2214"/>
      <c r="PQ230" s="2214"/>
      <c r="PR230" s="2214"/>
      <c r="PS230" s="2214"/>
      <c r="PT230" s="2214"/>
      <c r="PU230" s="2214"/>
      <c r="PV230" s="2214"/>
      <c r="PW230" s="2214"/>
      <c r="PX230" s="2214"/>
      <c r="PY230" s="2214"/>
      <c r="PZ230" s="2214"/>
      <c r="QA230" s="2214"/>
      <c r="QB230" s="2214"/>
      <c r="QC230" s="2214"/>
      <c r="QD230" s="2214"/>
      <c r="QE230" s="2214"/>
      <c r="QF230" s="2214"/>
      <c r="QG230" s="2214"/>
      <c r="QH230" s="2214"/>
      <c r="QI230" s="2214"/>
      <c r="QJ230" s="2214"/>
      <c r="QK230" s="2214"/>
      <c r="QL230" s="2214"/>
      <c r="QM230" s="2214"/>
      <c r="QN230" s="2214"/>
      <c r="QO230" s="2214"/>
      <c r="QP230" s="2214"/>
      <c r="QQ230" s="2214"/>
      <c r="QR230" s="2214"/>
      <c r="QS230" s="2214"/>
      <c r="QT230" s="2214"/>
      <c r="QU230" s="2214"/>
      <c r="QV230" s="2214"/>
      <c r="QW230" s="2214"/>
      <c r="QX230" s="2214"/>
      <c r="QY230" s="2214"/>
      <c r="QZ230" s="2214"/>
      <c r="RA230" s="2214"/>
      <c r="RB230" s="2214"/>
      <c r="RC230" s="2214"/>
      <c r="RD230" s="2214"/>
      <c r="RE230" s="2214"/>
      <c r="RF230" s="2214"/>
      <c r="RG230" s="2214"/>
      <c r="RH230" s="2214"/>
      <c r="RI230" s="2214"/>
      <c r="RJ230" s="2214"/>
      <c r="RK230" s="2214"/>
      <c r="RL230" s="2214"/>
      <c r="RM230" s="2214"/>
      <c r="RN230" s="2214"/>
      <c r="RO230" s="2214"/>
      <c r="RP230" s="2214"/>
      <c r="RQ230" s="2214"/>
      <c r="RR230" s="2214"/>
      <c r="RS230" s="2214"/>
      <c r="RT230" s="2214"/>
      <c r="RU230" s="2214"/>
      <c r="RV230" s="2214"/>
      <c r="RW230" s="2214"/>
      <c r="RX230" s="2214"/>
      <c r="RY230" s="2214"/>
      <c r="RZ230" s="2214"/>
      <c r="SA230" s="2214"/>
      <c r="SB230" s="2214"/>
      <c r="SC230" s="2214"/>
      <c r="SD230" s="2214"/>
      <c r="SE230" s="2214"/>
      <c r="SF230" s="2214"/>
      <c r="SG230" s="2214"/>
      <c r="SH230" s="2214"/>
      <c r="SI230" s="2214"/>
      <c r="SJ230" s="2214"/>
      <c r="SK230" s="2214"/>
      <c r="SL230" s="2214"/>
      <c r="SM230" s="2214"/>
      <c r="SN230" s="2214"/>
      <c r="SO230" s="2214"/>
      <c r="SP230" s="2214"/>
      <c r="SQ230" s="2214"/>
      <c r="SR230" s="2214"/>
      <c r="SS230" s="2214"/>
      <c r="ST230" s="2214"/>
      <c r="SU230" s="2214"/>
      <c r="SV230" s="2214"/>
      <c r="SW230" s="2214"/>
      <c r="SX230" s="2214"/>
      <c r="SY230" s="2214"/>
      <c r="SZ230" s="2214"/>
      <c r="TA230" s="2214"/>
      <c r="TB230" s="2214"/>
      <c r="TC230" s="2214"/>
      <c r="TD230" s="2214"/>
      <c r="TE230" s="2214"/>
      <c r="TF230" s="2214"/>
      <c r="TG230" s="2214"/>
      <c r="TH230" s="2214"/>
      <c r="TI230" s="2214"/>
      <c r="TJ230" s="2214"/>
      <c r="TK230" s="2214"/>
      <c r="TL230" s="2214"/>
      <c r="TM230" s="2214"/>
      <c r="TN230" s="2214"/>
      <c r="TO230" s="2214"/>
      <c r="TP230" s="2214"/>
      <c r="TQ230" s="2214"/>
      <c r="TR230" s="2214"/>
      <c r="TS230" s="2214"/>
      <c r="TT230" s="2214"/>
      <c r="TU230" s="2214"/>
      <c r="TV230" s="2214"/>
      <c r="TW230" s="2214"/>
      <c r="TX230" s="2214"/>
      <c r="TY230" s="2214"/>
      <c r="TZ230" s="2214"/>
      <c r="UA230" s="2214"/>
      <c r="UB230" s="2214"/>
      <c r="UC230" s="2214"/>
      <c r="UD230" s="2214"/>
      <c r="UE230" s="2214"/>
      <c r="UF230" s="2214"/>
      <c r="UG230" s="2214"/>
      <c r="UH230" s="2214"/>
      <c r="UI230" s="2214"/>
      <c r="UJ230" s="2214"/>
      <c r="UK230" s="2214"/>
      <c r="UL230" s="2214"/>
      <c r="UM230" s="2214"/>
      <c r="UN230" s="2214"/>
      <c r="UO230" s="2214"/>
      <c r="UP230" s="2214"/>
      <c r="UQ230" s="2214"/>
      <c r="UR230" s="2214"/>
      <c r="US230" s="2214"/>
      <c r="UT230" s="2214"/>
      <c r="UU230" s="2214"/>
      <c r="UV230" s="2214"/>
      <c r="UW230" s="2214"/>
      <c r="UX230" s="2214"/>
      <c r="UY230" s="2214"/>
      <c r="UZ230" s="2214"/>
      <c r="VA230" s="2214"/>
      <c r="VB230" s="2214"/>
      <c r="VC230" s="2214"/>
      <c r="VD230" s="2214"/>
      <c r="VE230" s="2214"/>
      <c r="VF230" s="2214"/>
      <c r="VG230" s="2214"/>
      <c r="VH230" s="2214"/>
      <c r="VI230" s="2214"/>
      <c r="VJ230" s="2214"/>
      <c r="VK230" s="2214"/>
      <c r="VL230" s="2214"/>
      <c r="VM230" s="2214"/>
      <c r="VN230" s="2214"/>
      <c r="VO230" s="2214"/>
      <c r="VP230" s="2214"/>
      <c r="VQ230" s="2214"/>
      <c r="VR230" s="2214"/>
      <c r="VS230" s="2214"/>
      <c r="VT230" s="2214"/>
      <c r="VU230" s="2214"/>
      <c r="VV230" s="2214"/>
      <c r="VW230" s="2214"/>
      <c r="VX230" s="2214"/>
      <c r="VY230" s="2214"/>
      <c r="VZ230" s="2214"/>
      <c r="WA230" s="2214"/>
      <c r="WB230" s="2214"/>
      <c r="WC230" s="2214"/>
      <c r="WD230" s="2214"/>
      <c r="WE230" s="2214"/>
      <c r="WF230" s="2214"/>
      <c r="WG230" s="2214"/>
      <c r="WH230" s="2214"/>
      <c r="WI230" s="2214"/>
      <c r="WJ230" s="2214"/>
      <c r="WK230" s="2214"/>
      <c r="WL230" s="2214"/>
      <c r="WM230" s="2214"/>
      <c r="WN230" s="2214"/>
      <c r="WO230" s="2214"/>
      <c r="WP230" s="2214"/>
      <c r="WQ230" s="2214"/>
      <c r="WR230" s="2214"/>
      <c r="WS230" s="2214"/>
      <c r="WT230" s="2214"/>
      <c r="WU230" s="2214"/>
      <c r="WV230" s="2214"/>
      <c r="WW230" s="2214"/>
      <c r="WX230" s="2214"/>
      <c r="WY230" s="2214"/>
      <c r="WZ230" s="2214"/>
      <c r="XA230" s="2214"/>
      <c r="XB230" s="2214"/>
      <c r="XC230" s="2214"/>
      <c r="XD230" s="2214"/>
      <c r="XE230" s="2214"/>
      <c r="XF230" s="2214"/>
      <c r="XG230" s="2214"/>
      <c r="XH230" s="2214"/>
      <c r="XI230" s="2214"/>
      <c r="XJ230" s="2214"/>
      <c r="XK230" s="2214"/>
      <c r="XL230" s="2214"/>
      <c r="XM230" s="2214"/>
      <c r="XN230" s="2214"/>
      <c r="XO230" s="2214"/>
      <c r="XP230" s="2214"/>
      <c r="XQ230" s="2214"/>
      <c r="XR230" s="2214"/>
      <c r="XS230" s="2214"/>
      <c r="XT230" s="2214"/>
      <c r="XU230" s="2214"/>
      <c r="XV230" s="2214"/>
      <c r="XW230" s="2214"/>
      <c r="XX230" s="2214"/>
      <c r="XY230" s="2214"/>
      <c r="XZ230" s="2214"/>
      <c r="YA230" s="2214"/>
      <c r="YB230" s="2214"/>
      <c r="YC230" s="2214"/>
      <c r="YD230" s="2214"/>
      <c r="YE230" s="2214"/>
      <c r="YF230" s="2214"/>
      <c r="YG230" s="2214"/>
      <c r="YH230" s="2214"/>
      <c r="YI230" s="2214"/>
      <c r="YJ230" s="2214"/>
      <c r="YK230" s="2214"/>
      <c r="YL230" s="2214"/>
      <c r="YM230" s="2214"/>
      <c r="YN230" s="2214"/>
      <c r="YO230" s="2214"/>
      <c r="YP230" s="2214"/>
      <c r="YQ230" s="2214"/>
      <c r="YR230" s="2214"/>
      <c r="YS230" s="2214"/>
      <c r="YT230" s="2214"/>
      <c r="YU230" s="2214"/>
      <c r="YV230" s="2214"/>
      <c r="YW230" s="2214"/>
      <c r="YX230" s="2214"/>
      <c r="YY230" s="2214"/>
      <c r="YZ230" s="2214"/>
      <c r="ZA230" s="2214"/>
      <c r="ZB230" s="2214"/>
      <c r="ZC230" s="2214"/>
      <c r="ZD230" s="2214"/>
      <c r="ZE230" s="2214"/>
      <c r="ZF230" s="2214"/>
      <c r="ZG230" s="2214"/>
      <c r="ZH230" s="2214"/>
      <c r="ZI230" s="2214"/>
      <c r="ZJ230" s="2214"/>
      <c r="ZK230" s="2214"/>
      <c r="ZL230" s="2214"/>
      <c r="ZM230" s="2214"/>
      <c r="ZN230" s="2214"/>
      <c r="ZO230" s="2214"/>
      <c r="ZP230" s="2214"/>
      <c r="ZQ230" s="2214"/>
      <c r="ZR230" s="2214"/>
      <c r="ZS230" s="2214"/>
      <c r="ZT230" s="2214"/>
      <c r="ZU230" s="2214"/>
      <c r="ZV230" s="2214"/>
      <c r="ZW230" s="2214"/>
      <c r="ZX230" s="2214"/>
      <c r="ZY230" s="2214"/>
      <c r="ZZ230" s="2214"/>
      <c r="AAA230" s="2214"/>
      <c r="AAB230" s="2214"/>
      <c r="AAC230" s="2214"/>
      <c r="AAD230" s="2214"/>
      <c r="AAE230" s="2214"/>
      <c r="AAF230" s="2214"/>
      <c r="AAG230" s="2214"/>
      <c r="AAH230" s="2214"/>
      <c r="AAI230" s="2214"/>
      <c r="AAJ230" s="2214"/>
      <c r="AAK230" s="2214"/>
      <c r="AAL230" s="2214"/>
      <c r="AAM230" s="2214"/>
      <c r="AAN230" s="2214"/>
      <c r="AAO230" s="2214"/>
      <c r="AAP230" s="2214"/>
      <c r="AAQ230" s="2214"/>
      <c r="AAR230" s="2214"/>
      <c r="AAS230" s="2214"/>
      <c r="AAT230" s="2214"/>
      <c r="AAU230" s="2214"/>
      <c r="AAV230" s="2214"/>
      <c r="AAW230" s="2214"/>
      <c r="AAX230" s="2214"/>
      <c r="AAY230" s="2214"/>
      <c r="AAZ230" s="2214"/>
      <c r="ABA230" s="2214"/>
      <c r="ABB230" s="2214"/>
      <c r="ABC230" s="2214"/>
      <c r="ABD230" s="2214"/>
      <c r="ABE230" s="2214"/>
      <c r="ABF230" s="2214"/>
      <c r="ABG230" s="2214"/>
      <c r="ABH230" s="2214"/>
      <c r="ABI230" s="2214"/>
      <c r="ABJ230" s="2214"/>
      <c r="ABK230" s="2214"/>
      <c r="ABL230" s="2214"/>
      <c r="ABM230" s="2214"/>
      <c r="ABN230" s="2214"/>
      <c r="ABO230" s="2214"/>
      <c r="ABP230" s="2214"/>
      <c r="ABQ230" s="2214"/>
      <c r="ABR230" s="2214"/>
      <c r="ABS230" s="2214"/>
      <c r="ABT230" s="2214"/>
      <c r="ABU230" s="2214"/>
      <c r="ABV230" s="2214"/>
      <c r="ABW230" s="2214"/>
      <c r="ABX230" s="2214"/>
      <c r="ABY230" s="2214"/>
      <c r="ABZ230" s="2214"/>
      <c r="ACA230" s="2214"/>
      <c r="ACB230" s="2214"/>
      <c r="ACC230" s="2214"/>
      <c r="ACD230" s="2214"/>
      <c r="ACE230" s="2214"/>
      <c r="ACF230" s="2214"/>
      <c r="ACG230" s="2214"/>
      <c r="ACH230" s="2214"/>
      <c r="ACI230" s="2214"/>
      <c r="ACJ230" s="2214"/>
      <c r="ACK230" s="2214"/>
      <c r="ACL230" s="2214"/>
      <c r="ACM230" s="2214"/>
      <c r="ACN230" s="2214"/>
      <c r="ACO230" s="2214"/>
      <c r="ACP230" s="2214"/>
      <c r="ACQ230" s="2214"/>
      <c r="ACR230" s="2214"/>
      <c r="ACS230" s="2214"/>
      <c r="ACT230" s="2214"/>
      <c r="ACU230" s="2214"/>
      <c r="ACV230" s="2214"/>
      <c r="ACW230" s="2214"/>
      <c r="ACX230" s="2214"/>
      <c r="ACY230" s="2214"/>
      <c r="ACZ230" s="2214"/>
      <c r="ADA230" s="2214"/>
      <c r="ADB230" s="2214"/>
      <c r="ADC230" s="2214"/>
      <c r="ADD230" s="2214"/>
      <c r="ADE230" s="2214"/>
      <c r="ADF230" s="2214"/>
      <c r="ADG230" s="2214"/>
      <c r="ADH230" s="2214"/>
      <c r="ADI230" s="2214"/>
      <c r="ADJ230" s="2214"/>
      <c r="ADK230" s="2214"/>
      <c r="ADL230" s="2214"/>
      <c r="ADM230" s="2214"/>
      <c r="ADN230" s="2214"/>
      <c r="ADO230" s="2214"/>
      <c r="ADP230" s="2214"/>
      <c r="ADQ230" s="2214"/>
      <c r="ADR230" s="2214"/>
      <c r="ADS230" s="2214"/>
      <c r="ADT230" s="2214"/>
      <c r="ADU230" s="2214"/>
      <c r="ADV230" s="2214"/>
      <c r="ADW230" s="2214"/>
      <c r="ADX230" s="2214"/>
      <c r="ADY230" s="2214"/>
      <c r="ADZ230" s="2214"/>
      <c r="AEA230" s="2214"/>
      <c r="AEB230" s="2214"/>
      <c r="AEC230" s="2214"/>
      <c r="AED230" s="2214"/>
      <c r="AEE230" s="2214"/>
      <c r="AEF230" s="2214"/>
      <c r="AEG230" s="2214"/>
      <c r="AEH230" s="2214"/>
      <c r="AEI230" s="2214"/>
      <c r="AEJ230" s="2214"/>
      <c r="AEK230" s="2214"/>
      <c r="AEL230" s="2214"/>
      <c r="AEM230" s="2214"/>
      <c r="AEN230" s="2214"/>
      <c r="AEO230" s="2214"/>
      <c r="AEP230" s="2214"/>
      <c r="AEQ230" s="2214"/>
      <c r="AER230" s="2214"/>
      <c r="AES230" s="2214"/>
      <c r="AET230" s="2214"/>
      <c r="AEU230" s="2214"/>
      <c r="AEV230" s="2214"/>
      <c r="AEW230" s="2214"/>
      <c r="AEX230" s="2214"/>
      <c r="AEY230" s="2214"/>
      <c r="AEZ230" s="2214"/>
      <c r="AFA230" s="2214"/>
      <c r="AFB230" s="2214"/>
      <c r="AFC230" s="2214"/>
      <c r="AFD230" s="2214"/>
      <c r="AFE230" s="2214"/>
      <c r="AFF230" s="2214"/>
      <c r="AFG230" s="2214"/>
      <c r="AFH230" s="2214"/>
      <c r="AFI230" s="2214"/>
      <c r="AFJ230" s="2214"/>
      <c r="AFK230" s="2214"/>
      <c r="AFL230" s="2214"/>
      <c r="AFM230" s="2214"/>
      <c r="AFN230" s="2214"/>
      <c r="AFO230" s="2214"/>
      <c r="AFP230" s="2214"/>
      <c r="AFQ230" s="2214"/>
      <c r="AFR230" s="2214"/>
      <c r="AFS230" s="2214"/>
      <c r="AFT230" s="2214"/>
      <c r="AFU230" s="2214"/>
      <c r="AFV230" s="2214"/>
      <c r="AFW230" s="2214"/>
      <c r="AFX230" s="2214"/>
      <c r="AFY230" s="2214"/>
      <c r="AFZ230" s="2214"/>
      <c r="AGA230" s="2214"/>
      <c r="AGB230" s="2214"/>
      <c r="AGC230" s="2214"/>
      <c r="AGD230" s="2214"/>
      <c r="AGE230" s="2214"/>
      <c r="AGF230" s="2214"/>
      <c r="AGG230" s="2214"/>
      <c r="AGH230" s="2214"/>
      <c r="AGI230" s="2214"/>
      <c r="AGJ230" s="2214"/>
      <c r="AGK230" s="2214"/>
      <c r="AGL230" s="2214"/>
      <c r="AGM230" s="2214"/>
      <c r="AGN230" s="2214"/>
      <c r="AGO230" s="2214"/>
      <c r="AGP230" s="2214"/>
      <c r="AGQ230" s="2214"/>
      <c r="AGR230" s="2214"/>
      <c r="AGS230" s="2214"/>
      <c r="AGT230" s="2214"/>
      <c r="AGU230" s="2214"/>
      <c r="AGV230" s="2214"/>
      <c r="AGW230" s="2214"/>
      <c r="AGX230" s="2214"/>
      <c r="AGY230" s="2214"/>
      <c r="AGZ230" s="2214"/>
      <c r="AHA230" s="2214"/>
      <c r="AHB230" s="2214"/>
      <c r="AHC230" s="2214"/>
      <c r="AHD230" s="2214"/>
      <c r="AHE230" s="2214"/>
      <c r="AHF230" s="2214"/>
      <c r="AHG230" s="2214"/>
      <c r="AHH230" s="2214"/>
      <c r="AHI230" s="2214"/>
      <c r="AHJ230" s="2214"/>
      <c r="AHK230" s="2214"/>
      <c r="AHL230" s="2214"/>
      <c r="AHM230" s="2214"/>
      <c r="AHN230" s="2214"/>
      <c r="AHO230" s="2214"/>
      <c r="AHP230" s="2214"/>
      <c r="AHQ230" s="2214"/>
      <c r="AHR230" s="2214"/>
      <c r="AHS230" s="2214"/>
      <c r="AHT230" s="2214"/>
      <c r="AHU230" s="2214"/>
      <c r="AHV230" s="2214"/>
      <c r="AHW230" s="2214"/>
      <c r="AHX230" s="2214"/>
      <c r="AHY230" s="2214"/>
      <c r="AHZ230" s="2214"/>
      <c r="AIA230" s="2214"/>
      <c r="AIB230" s="2214"/>
      <c r="AIC230" s="2214"/>
      <c r="AID230" s="2214"/>
      <c r="AIE230" s="2214"/>
      <c r="AIF230" s="2214"/>
      <c r="AIG230" s="2214"/>
      <c r="AIH230" s="2214"/>
      <c r="AII230" s="2214"/>
      <c r="AIJ230" s="2214"/>
      <c r="AIK230" s="2214"/>
      <c r="AIL230" s="2214"/>
      <c r="AIM230" s="2214"/>
      <c r="AIN230" s="2214"/>
      <c r="AIO230" s="2214"/>
      <c r="AIP230" s="2214"/>
      <c r="AIQ230" s="2214"/>
      <c r="AIR230" s="2214"/>
      <c r="AIS230" s="2214"/>
      <c r="AIT230" s="2214"/>
      <c r="AIU230" s="2214"/>
      <c r="AIV230" s="2214"/>
      <c r="AIW230" s="2214"/>
      <c r="AIX230" s="2214"/>
      <c r="AIY230" s="2214"/>
      <c r="AIZ230" s="2214"/>
      <c r="AJA230" s="2214"/>
      <c r="AJB230" s="2214"/>
      <c r="AJC230" s="2214"/>
      <c r="AJD230" s="2214"/>
      <c r="AJE230" s="2214"/>
      <c r="AJF230" s="2214"/>
      <c r="AJG230" s="2214"/>
      <c r="AJH230" s="2214"/>
      <c r="AJI230" s="2214"/>
      <c r="AJJ230" s="2214"/>
      <c r="AJK230" s="2214"/>
      <c r="AJL230" s="2214"/>
      <c r="AJM230" s="2214"/>
      <c r="AJN230" s="2214"/>
      <c r="AJO230" s="2214"/>
      <c r="AJP230" s="2214"/>
      <c r="AJQ230" s="2214"/>
      <c r="AJR230" s="2214"/>
      <c r="AJS230" s="2214"/>
      <c r="AJT230" s="2214"/>
      <c r="AJU230" s="2214"/>
      <c r="AJV230" s="2214"/>
      <c r="AJW230" s="2214"/>
      <c r="AJX230" s="2214"/>
      <c r="AJY230" s="2214"/>
      <c r="AJZ230" s="2214"/>
      <c r="AKA230" s="2214"/>
      <c r="AKB230" s="2214"/>
      <c r="AKC230" s="2214"/>
      <c r="AKD230" s="2214"/>
      <c r="AKE230" s="2214"/>
      <c r="AKF230" s="2214"/>
      <c r="AKG230" s="2214"/>
      <c r="AKH230" s="2214"/>
      <c r="AKI230" s="2214"/>
      <c r="AKJ230" s="2214"/>
      <c r="AKK230" s="2214"/>
      <c r="AKL230" s="2214"/>
      <c r="AKM230" s="2214"/>
      <c r="AKN230" s="2214"/>
      <c r="AKO230" s="2214"/>
      <c r="AKP230" s="2214"/>
      <c r="AKQ230" s="2214"/>
      <c r="AKR230" s="2214"/>
      <c r="AKS230" s="2214"/>
      <c r="AKT230" s="2214"/>
      <c r="AKU230" s="2214"/>
      <c r="AKV230" s="2214"/>
      <c r="AKW230" s="2214"/>
      <c r="AKX230" s="2214"/>
      <c r="AKY230" s="2214"/>
      <c r="AKZ230" s="2214"/>
      <c r="ALA230" s="2214"/>
      <c r="ALB230" s="2214"/>
      <c r="ALC230" s="2214"/>
      <c r="ALD230" s="2214"/>
      <c r="ALE230" s="2214"/>
      <c r="ALF230" s="2214"/>
      <c r="ALG230" s="2214"/>
      <c r="ALH230" s="2214"/>
      <c r="ALI230" s="2214"/>
      <c r="ALJ230" s="2214"/>
      <c r="ALK230" s="2214"/>
      <c r="ALL230" s="2214"/>
      <c r="ALM230" s="2214"/>
      <c r="ALN230" s="2214"/>
      <c r="ALO230" s="2214"/>
      <c r="ALP230" s="2214"/>
      <c r="ALQ230" s="2214"/>
      <c r="ALR230" s="2214"/>
      <c r="ALS230" s="2214"/>
      <c r="ALT230" s="2214"/>
      <c r="ALU230" s="2214"/>
      <c r="ALV230" s="2214"/>
      <c r="ALW230" s="2214"/>
      <c r="ALX230" s="2214"/>
      <c r="ALY230" s="2214"/>
      <c r="ALZ230" s="2214"/>
      <c r="AMA230" s="2214"/>
      <c r="AMB230" s="2214"/>
      <c r="AMC230" s="2214"/>
      <c r="AMD230" s="2214"/>
      <c r="AME230" s="2214"/>
      <c r="AMF230" s="2214"/>
      <c r="AMG230" s="2214"/>
      <c r="AMH230" s="2214"/>
      <c r="AMI230" s="2214"/>
      <c r="AMJ230" s="2214"/>
      <c r="AMK230" s="2214"/>
      <c r="AML230" s="2214"/>
      <c r="AMM230" s="2214"/>
      <c r="AMN230" s="2214"/>
      <c r="AMO230" s="2214"/>
      <c r="AMP230" s="2214"/>
      <c r="AMQ230" s="2214"/>
      <c r="AMR230" s="2214"/>
      <c r="AMS230" s="2214"/>
      <c r="AMT230" s="2214"/>
      <c r="AMU230" s="2214"/>
      <c r="AMV230" s="2214"/>
      <c r="AMW230" s="2214"/>
      <c r="AMX230" s="2214"/>
      <c r="AMY230" s="2214"/>
      <c r="AMZ230" s="2214"/>
      <c r="ANA230" s="2214"/>
      <c r="ANB230" s="2214"/>
      <c r="ANC230" s="2214"/>
      <c r="AND230" s="2214"/>
      <c r="ANE230" s="2214"/>
      <c r="ANF230" s="2214"/>
      <c r="ANG230" s="2214"/>
      <c r="ANH230" s="2214"/>
      <c r="ANI230" s="2214"/>
      <c r="ANJ230" s="2214"/>
      <c r="ANK230" s="2214"/>
      <c r="ANL230" s="2214"/>
      <c r="ANM230" s="2214"/>
      <c r="ANN230" s="2214"/>
      <c r="ANO230" s="2214"/>
      <c r="ANP230" s="2214"/>
      <c r="ANQ230" s="2214"/>
      <c r="ANR230" s="2214"/>
      <c r="ANS230" s="2214"/>
      <c r="ANT230" s="2214"/>
      <c r="ANU230" s="2214"/>
      <c r="ANV230" s="2214"/>
      <c r="ANW230" s="2214"/>
      <c r="ANX230" s="2214"/>
      <c r="ANY230" s="2214"/>
      <c r="ANZ230" s="2214"/>
      <c r="AOA230" s="2214"/>
      <c r="AOB230" s="2214"/>
      <c r="AOC230" s="2214"/>
      <c r="AOD230" s="2214"/>
      <c r="AOE230" s="2214"/>
      <c r="AOF230" s="2214"/>
      <c r="AOG230" s="2214"/>
      <c r="AOH230" s="2214"/>
      <c r="AOI230" s="2214"/>
      <c r="AOJ230" s="2214"/>
      <c r="AOK230" s="2214"/>
      <c r="AOL230" s="2214"/>
      <c r="AOM230" s="2214"/>
      <c r="AON230" s="2214"/>
      <c r="AOO230" s="2214"/>
      <c r="AOP230" s="2214"/>
      <c r="AOQ230" s="2214"/>
      <c r="AOR230" s="2214"/>
      <c r="AOS230" s="2214"/>
      <c r="AOT230" s="2214"/>
      <c r="AOU230" s="2214"/>
      <c r="AOV230" s="2214"/>
      <c r="AOW230" s="2214"/>
      <c r="AOX230" s="2214"/>
      <c r="AOY230" s="2214"/>
      <c r="AOZ230" s="2214"/>
      <c r="APA230" s="2214"/>
      <c r="APB230" s="2214"/>
      <c r="APC230" s="2214"/>
      <c r="APD230" s="2214"/>
      <c r="APE230" s="2214"/>
      <c r="APF230" s="2214"/>
      <c r="APG230" s="2214"/>
      <c r="APH230" s="2214"/>
      <c r="API230" s="2214"/>
      <c r="APJ230" s="2214"/>
      <c r="APK230" s="2214"/>
      <c r="APL230" s="2214"/>
      <c r="APM230" s="2214"/>
      <c r="APN230" s="2214"/>
      <c r="APO230" s="2214"/>
      <c r="APP230" s="2214"/>
      <c r="APQ230" s="2214"/>
      <c r="APR230" s="2214"/>
      <c r="APS230" s="2214"/>
      <c r="APT230" s="2214"/>
      <c r="APU230" s="2214"/>
      <c r="APV230" s="2214"/>
      <c r="APW230" s="2214"/>
      <c r="APX230" s="2214"/>
      <c r="APY230" s="2214"/>
      <c r="APZ230" s="2214"/>
      <c r="AQA230" s="2214"/>
      <c r="AQB230" s="2214"/>
      <c r="AQC230" s="2214"/>
      <c r="AQD230" s="2214"/>
      <c r="AQE230" s="2214"/>
      <c r="AQF230" s="2214"/>
      <c r="AQG230" s="2214"/>
      <c r="AQH230" s="2214"/>
      <c r="AQI230" s="2214"/>
      <c r="AQJ230" s="2214"/>
      <c r="AQK230" s="2214"/>
      <c r="AQL230" s="2214"/>
      <c r="AQM230" s="2214"/>
      <c r="AQN230" s="2214"/>
      <c r="AQO230" s="2214"/>
      <c r="AQP230" s="2214"/>
      <c r="AQQ230" s="2214"/>
      <c r="AQR230" s="2214"/>
      <c r="AQS230" s="2214"/>
      <c r="AQT230" s="2214"/>
      <c r="AQU230" s="2214"/>
      <c r="AQV230" s="2214"/>
      <c r="AQW230" s="2214"/>
      <c r="AQX230" s="2214"/>
      <c r="AQY230" s="2214"/>
      <c r="AQZ230" s="2214"/>
      <c r="ARA230" s="2214"/>
      <c r="ARB230" s="2214"/>
      <c r="ARC230" s="2214"/>
      <c r="ARD230" s="2214"/>
      <c r="ARE230" s="2214"/>
      <c r="ARF230" s="2214"/>
      <c r="ARG230" s="2214"/>
      <c r="ARH230" s="2214"/>
      <c r="ARI230" s="2214"/>
      <c r="ARJ230" s="2214"/>
      <c r="ARK230" s="2214"/>
      <c r="ARL230" s="2214"/>
      <c r="ARM230" s="2214"/>
      <c r="ARN230" s="2214"/>
      <c r="ARO230" s="2214"/>
      <c r="ARP230" s="2214"/>
      <c r="ARQ230" s="2214"/>
      <c r="ARR230" s="2214"/>
      <c r="ARS230" s="2214"/>
      <c r="ART230" s="2214"/>
      <c r="ARU230" s="2214"/>
      <c r="ARV230" s="2214"/>
      <c r="ARW230" s="2214"/>
      <c r="ARX230" s="2214"/>
      <c r="ARY230" s="2214"/>
      <c r="ARZ230" s="2214"/>
      <c r="ASA230" s="2214"/>
      <c r="ASB230" s="2214"/>
      <c r="ASC230" s="2214"/>
      <c r="ASD230" s="2214"/>
      <c r="ASE230" s="2214"/>
      <c r="ASF230" s="2214"/>
      <c r="ASG230" s="2214"/>
      <c r="ASH230" s="2214"/>
      <c r="ASI230" s="2214"/>
      <c r="ASJ230" s="2214"/>
      <c r="ASK230" s="2214"/>
      <c r="ASL230" s="2214"/>
      <c r="ASM230" s="2214"/>
      <c r="ASN230" s="2214"/>
      <c r="ASO230" s="2214"/>
      <c r="ASP230" s="2214"/>
      <c r="ASQ230" s="2214"/>
      <c r="ASR230" s="2214"/>
      <c r="ASS230" s="2214"/>
      <c r="AST230" s="2214"/>
      <c r="ASU230" s="2214"/>
      <c r="ASV230" s="2214"/>
      <c r="ASW230" s="2214"/>
      <c r="ASX230" s="2214"/>
      <c r="ASY230" s="2214"/>
      <c r="ASZ230" s="2214"/>
      <c r="ATA230" s="2214"/>
      <c r="ATB230" s="2214"/>
      <c r="ATC230" s="2214"/>
      <c r="ATD230" s="2214"/>
      <c r="ATE230" s="2214"/>
      <c r="ATF230" s="2214"/>
      <c r="ATG230" s="2214"/>
      <c r="ATH230" s="2214"/>
      <c r="ATI230" s="2214"/>
      <c r="ATJ230" s="2214"/>
      <c r="ATK230" s="2214"/>
      <c r="ATL230" s="2214"/>
      <c r="ATM230" s="2214"/>
      <c r="ATN230" s="2214"/>
      <c r="ATO230" s="2214"/>
      <c r="ATP230" s="2214"/>
      <c r="ATQ230" s="2214"/>
      <c r="ATR230" s="2214"/>
      <c r="ATS230" s="2214"/>
      <c r="ATT230" s="2214"/>
      <c r="ATU230" s="2214"/>
      <c r="ATV230" s="2214"/>
      <c r="ATW230" s="2214"/>
      <c r="ATX230" s="2214"/>
      <c r="ATY230" s="2214"/>
      <c r="ATZ230" s="2214"/>
      <c r="AUA230" s="2214"/>
      <c r="AUB230" s="2214"/>
      <c r="AUC230" s="2214"/>
      <c r="AUD230" s="2214"/>
      <c r="AUE230" s="2214"/>
      <c r="AUF230" s="2214"/>
      <c r="AUG230" s="2214"/>
      <c r="AUH230" s="2214"/>
      <c r="AUI230" s="2214"/>
      <c r="AUJ230" s="2214"/>
      <c r="AUK230" s="2214"/>
      <c r="AUL230" s="2214"/>
      <c r="AUM230" s="2214"/>
      <c r="AUN230" s="2214"/>
      <c r="AUO230" s="2214"/>
      <c r="AUP230" s="2214"/>
      <c r="AUQ230" s="2214"/>
      <c r="AUR230" s="2214"/>
      <c r="AUS230" s="2214"/>
      <c r="AUT230" s="2214"/>
      <c r="AUU230" s="2214"/>
      <c r="AUV230" s="2214"/>
      <c r="AUW230" s="2214"/>
      <c r="AUX230" s="2214"/>
      <c r="AUY230" s="2214"/>
      <c r="AUZ230" s="2214"/>
      <c r="AVA230" s="2214"/>
      <c r="AVB230" s="2214"/>
      <c r="AVC230" s="2214"/>
      <c r="AVD230" s="2214"/>
      <c r="AVE230" s="2214"/>
      <c r="AVF230" s="2214"/>
      <c r="AVG230" s="2214"/>
      <c r="AVH230" s="2214"/>
      <c r="AVI230" s="2214"/>
      <c r="AVJ230" s="2214"/>
      <c r="AVK230" s="2214"/>
      <c r="AVL230" s="2214"/>
      <c r="AVM230" s="2214"/>
      <c r="AVN230" s="2214"/>
      <c r="AVO230" s="2214"/>
      <c r="AVP230" s="2214"/>
      <c r="AVQ230" s="2214"/>
      <c r="AVR230" s="2214"/>
      <c r="AVS230" s="2214"/>
      <c r="AVT230" s="2214"/>
      <c r="AVU230" s="2214"/>
      <c r="AVV230" s="2214"/>
      <c r="AVW230" s="2214"/>
      <c r="AVX230" s="2214"/>
      <c r="AVY230" s="2214"/>
      <c r="AVZ230" s="2214"/>
      <c r="AWA230" s="2214"/>
      <c r="AWB230" s="2214"/>
      <c r="AWC230" s="2214"/>
      <c r="AWD230" s="2214"/>
      <c r="AWE230" s="2214"/>
      <c r="AWF230" s="2214"/>
      <c r="AWG230" s="2214"/>
      <c r="AWH230" s="2214"/>
      <c r="AWI230" s="2214"/>
      <c r="AWJ230" s="2214"/>
      <c r="AWK230" s="2214"/>
      <c r="AWL230" s="2214"/>
      <c r="AWM230" s="2214"/>
      <c r="AWN230" s="2214"/>
      <c r="AWO230" s="2214"/>
      <c r="AWP230" s="2214"/>
      <c r="AWQ230" s="2214"/>
      <c r="AWR230" s="2214"/>
      <c r="AWS230" s="2214"/>
      <c r="AWT230" s="2214"/>
      <c r="AWU230" s="2214"/>
      <c r="AWV230" s="2214"/>
      <c r="AWW230" s="2214"/>
      <c r="AWX230" s="2214"/>
      <c r="AWY230" s="2214"/>
      <c r="AWZ230" s="2214"/>
      <c r="AXA230" s="2214"/>
      <c r="AXB230" s="2214"/>
      <c r="AXC230" s="2214"/>
      <c r="AXD230" s="2214"/>
      <c r="AXE230" s="2214"/>
      <c r="AXF230" s="2214"/>
      <c r="AXG230" s="2214"/>
      <c r="AXH230" s="2214"/>
      <c r="AXI230" s="2214"/>
      <c r="AXJ230" s="2214"/>
    </row>
    <row r="231" spans="1:1310" s="2215" customFormat="1" ht="23.25" customHeight="1">
      <c r="A231" s="756"/>
      <c r="B231" s="9016" t="s">
        <v>1592</v>
      </c>
      <c r="C231" s="9016"/>
      <c r="D231" s="9016"/>
      <c r="E231" s="9016"/>
      <c r="F231" s="750"/>
      <c r="G231" s="9016" t="s">
        <v>1593</v>
      </c>
      <c r="H231" s="9016"/>
      <c r="I231" s="9016"/>
      <c r="J231" s="750"/>
      <c r="K231" s="9016" t="s">
        <v>1594</v>
      </c>
      <c r="L231" s="9016"/>
      <c r="M231" s="9016"/>
      <c r="N231" s="750"/>
      <c r="O231" s="9016" t="s">
        <v>1595</v>
      </c>
      <c r="P231" s="9016"/>
      <c r="Q231" s="750"/>
      <c r="R231" s="311"/>
      <c r="S231" s="311"/>
      <c r="T231" s="311"/>
      <c r="U231" s="311"/>
      <c r="V231" s="311"/>
      <c r="W231" s="311"/>
      <c r="X231" s="311"/>
      <c r="Y231" s="311"/>
      <c r="Z231" s="311"/>
      <c r="AA231" s="311"/>
      <c r="AB231" s="311"/>
      <c r="AC231" s="311"/>
      <c r="AD231" s="2214"/>
      <c r="AE231" s="2214"/>
      <c r="AF231" s="2214"/>
      <c r="AG231" s="2214"/>
      <c r="AH231" s="2214"/>
      <c r="AI231" s="2214"/>
      <c r="AJ231" s="2214"/>
      <c r="AK231" s="2214"/>
      <c r="AL231" s="2214"/>
      <c r="AM231" s="2214"/>
      <c r="AN231" s="2214"/>
      <c r="AO231" s="2214"/>
      <c r="AP231" s="2214"/>
      <c r="AQ231" s="2214"/>
      <c r="AR231" s="2214"/>
      <c r="AS231" s="2214"/>
      <c r="AT231" s="2214"/>
      <c r="AU231" s="2214"/>
      <c r="AV231" s="2214"/>
      <c r="AW231" s="2214"/>
      <c r="AX231" s="2214"/>
      <c r="AY231" s="2214"/>
      <c r="AZ231" s="2214"/>
      <c r="BA231" s="2214"/>
      <c r="BB231" s="2214"/>
      <c r="BC231" s="2214"/>
      <c r="BD231" s="2214"/>
      <c r="BE231" s="2214"/>
      <c r="BF231" s="2214"/>
      <c r="BG231" s="2214"/>
      <c r="BH231" s="2214"/>
      <c r="BI231" s="2214"/>
      <c r="BJ231" s="2214"/>
      <c r="BK231" s="2214"/>
      <c r="BL231" s="2214"/>
      <c r="BM231" s="2214"/>
      <c r="BN231" s="2214"/>
      <c r="BO231" s="2214"/>
      <c r="BP231" s="2214"/>
      <c r="BQ231" s="2214"/>
      <c r="BR231" s="2214"/>
      <c r="BS231" s="2214"/>
      <c r="BT231" s="2214"/>
      <c r="BU231" s="2214"/>
      <c r="BV231" s="2214"/>
      <c r="BW231" s="2214"/>
      <c r="BX231" s="2214"/>
      <c r="BY231" s="2214"/>
      <c r="BZ231" s="2214"/>
      <c r="CA231" s="2214"/>
      <c r="CB231" s="2214"/>
      <c r="CC231" s="2214"/>
      <c r="CD231" s="2214"/>
      <c r="CE231" s="2214"/>
      <c r="CF231" s="2214"/>
      <c r="CG231" s="2214"/>
      <c r="CH231" s="2214"/>
      <c r="CI231" s="2214"/>
      <c r="CJ231" s="2214"/>
      <c r="CK231" s="2214"/>
      <c r="CL231" s="2214"/>
      <c r="CM231" s="2214"/>
      <c r="CN231" s="2214"/>
      <c r="CO231" s="2214"/>
      <c r="CP231" s="2214"/>
      <c r="CQ231" s="2214"/>
      <c r="CR231" s="2214"/>
      <c r="CS231" s="2214"/>
      <c r="CT231" s="2214"/>
      <c r="CU231" s="2214"/>
      <c r="CV231" s="2214"/>
      <c r="CW231" s="2214"/>
      <c r="CX231" s="2214"/>
      <c r="CY231" s="2214"/>
      <c r="CZ231" s="2214"/>
      <c r="DA231" s="2214"/>
      <c r="DB231" s="2214"/>
      <c r="DC231" s="2214"/>
      <c r="DD231" s="2214"/>
      <c r="DE231" s="2214"/>
      <c r="DF231" s="2214"/>
      <c r="DG231" s="2214"/>
      <c r="DH231" s="2214"/>
      <c r="DI231" s="2214"/>
      <c r="DJ231" s="2214"/>
      <c r="DK231" s="2214"/>
      <c r="DL231" s="2214"/>
      <c r="DM231" s="2214"/>
      <c r="DN231" s="2214"/>
      <c r="DO231" s="2214"/>
      <c r="DP231" s="2214"/>
      <c r="DQ231" s="2214"/>
      <c r="DR231" s="2214"/>
      <c r="DS231" s="2214"/>
      <c r="DT231" s="2214"/>
      <c r="DU231" s="2214"/>
      <c r="DV231" s="2214"/>
      <c r="DW231" s="2214"/>
      <c r="DX231" s="2214"/>
      <c r="DY231" s="2214"/>
      <c r="DZ231" s="2214"/>
      <c r="EA231" s="2214"/>
      <c r="EB231" s="2214"/>
      <c r="EC231" s="2214"/>
      <c r="ED231" s="2214"/>
      <c r="EE231" s="2214"/>
      <c r="EF231" s="2214"/>
      <c r="EG231" s="2214"/>
      <c r="EH231" s="2214"/>
      <c r="EI231" s="2214"/>
      <c r="EJ231" s="2214"/>
      <c r="EK231" s="2214"/>
      <c r="EL231" s="2214"/>
      <c r="EM231" s="2214"/>
      <c r="EN231" s="2214"/>
      <c r="EO231" s="2214"/>
      <c r="EP231" s="2214"/>
      <c r="EQ231" s="2214"/>
      <c r="ER231" s="2214"/>
      <c r="ES231" s="2214"/>
      <c r="ET231" s="2214"/>
      <c r="EU231" s="2214"/>
      <c r="EV231" s="2214"/>
      <c r="EW231" s="2214"/>
      <c r="EX231" s="2214"/>
      <c r="EY231" s="2214"/>
      <c r="EZ231" s="2214"/>
      <c r="FA231" s="2214"/>
      <c r="FB231" s="2214"/>
      <c r="FC231" s="2214"/>
      <c r="FD231" s="2214"/>
      <c r="FE231" s="2214"/>
      <c r="FF231" s="2214"/>
      <c r="FG231" s="2214"/>
      <c r="FH231" s="2214"/>
      <c r="FI231" s="2214"/>
      <c r="FJ231" s="2214"/>
      <c r="FK231" s="2214"/>
      <c r="FL231" s="2214"/>
      <c r="FM231" s="2214"/>
      <c r="FN231" s="2214"/>
      <c r="FO231" s="2214"/>
      <c r="FP231" s="2214"/>
      <c r="FQ231" s="2214"/>
      <c r="FR231" s="2214"/>
      <c r="FS231" s="2214"/>
      <c r="FT231" s="2214"/>
      <c r="FU231" s="2214"/>
      <c r="FV231" s="2214"/>
      <c r="FW231" s="2214"/>
      <c r="FX231" s="2214"/>
      <c r="FY231" s="2214"/>
      <c r="FZ231" s="2214"/>
      <c r="GA231" s="2214"/>
      <c r="GB231" s="2214"/>
      <c r="GC231" s="2214"/>
      <c r="GD231" s="2214"/>
      <c r="GE231" s="2214"/>
      <c r="GF231" s="2214"/>
      <c r="GG231" s="2214"/>
      <c r="GH231" s="2214"/>
      <c r="GI231" s="2214"/>
      <c r="GJ231" s="2214"/>
      <c r="GK231" s="2214"/>
      <c r="GL231" s="2214"/>
      <c r="GM231" s="2214"/>
      <c r="GN231" s="2214"/>
      <c r="GO231" s="2214"/>
      <c r="GP231" s="2214"/>
      <c r="GQ231" s="2214"/>
      <c r="GR231" s="2214"/>
      <c r="GS231" s="2214"/>
      <c r="GT231" s="2214"/>
      <c r="GU231" s="2214"/>
      <c r="GV231" s="2214"/>
      <c r="GW231" s="2214"/>
      <c r="GX231" s="2214"/>
      <c r="GY231" s="2214"/>
      <c r="GZ231" s="2214"/>
      <c r="HA231" s="2214"/>
      <c r="HB231" s="2214"/>
      <c r="HC231" s="2214"/>
      <c r="HD231" s="2214"/>
      <c r="HE231" s="2214"/>
      <c r="HF231" s="2214"/>
      <c r="HG231" s="2214"/>
      <c r="HH231" s="2214"/>
      <c r="HI231" s="2214"/>
      <c r="HJ231" s="2214"/>
      <c r="HK231" s="2214"/>
      <c r="HL231" s="2214"/>
      <c r="HM231" s="2214"/>
      <c r="HN231" s="2214"/>
      <c r="HO231" s="2214"/>
      <c r="HP231" s="2214"/>
      <c r="HQ231" s="2214"/>
      <c r="HR231" s="2214"/>
      <c r="HS231" s="2214"/>
      <c r="HT231" s="2214"/>
      <c r="HU231" s="2214"/>
      <c r="HV231" s="2214"/>
      <c r="HW231" s="2214"/>
      <c r="HX231" s="2214"/>
      <c r="HY231" s="2214"/>
      <c r="HZ231" s="2214"/>
      <c r="IA231" s="2214"/>
      <c r="IB231" s="2214"/>
      <c r="IC231" s="2214"/>
      <c r="ID231" s="2214"/>
      <c r="IE231" s="2214"/>
      <c r="IF231" s="2214"/>
      <c r="IG231" s="2214"/>
      <c r="IH231" s="2214"/>
      <c r="II231" s="2214"/>
      <c r="IJ231" s="2214"/>
      <c r="IK231" s="2214"/>
      <c r="IL231" s="2214"/>
      <c r="IM231" s="2214"/>
      <c r="IN231" s="2214"/>
      <c r="IO231" s="2214"/>
      <c r="IP231" s="2214"/>
      <c r="IQ231" s="2214"/>
      <c r="IR231" s="2214"/>
      <c r="IS231" s="2214"/>
      <c r="IT231" s="2214"/>
      <c r="IU231" s="2214"/>
      <c r="IV231" s="2214"/>
      <c r="IW231" s="2214"/>
      <c r="IX231" s="2214"/>
      <c r="IY231" s="2214"/>
      <c r="IZ231" s="2214"/>
      <c r="JA231" s="2214"/>
      <c r="JB231" s="2214"/>
      <c r="JC231" s="2214"/>
      <c r="JD231" s="2214"/>
      <c r="JE231" s="2214"/>
      <c r="JF231" s="2214"/>
      <c r="JG231" s="2214"/>
      <c r="JH231" s="2214"/>
      <c r="JI231" s="2214"/>
      <c r="JJ231" s="2214"/>
      <c r="JK231" s="2214"/>
      <c r="JL231" s="2214"/>
      <c r="JM231" s="2214"/>
      <c r="JN231" s="2214"/>
      <c r="JO231" s="2214"/>
      <c r="JP231" s="2214"/>
      <c r="JQ231" s="2214"/>
      <c r="JR231" s="2214"/>
      <c r="JS231" s="2214"/>
      <c r="JT231" s="2214"/>
      <c r="JU231" s="2214"/>
      <c r="JV231" s="2214"/>
      <c r="JW231" s="2214"/>
      <c r="JX231" s="2214"/>
      <c r="JY231" s="2214"/>
      <c r="JZ231" s="2214"/>
      <c r="KA231" s="2214"/>
      <c r="KB231" s="2214"/>
      <c r="KC231" s="2214"/>
      <c r="KD231" s="2214"/>
      <c r="KE231" s="2214"/>
      <c r="KF231" s="2214"/>
      <c r="KG231" s="2214"/>
      <c r="KH231" s="2214"/>
      <c r="KI231" s="2214"/>
      <c r="KJ231" s="2214"/>
      <c r="KK231" s="2214"/>
      <c r="KL231" s="2214"/>
      <c r="KM231" s="2214"/>
      <c r="KN231" s="2214"/>
      <c r="KO231" s="2214"/>
      <c r="KP231" s="2214"/>
      <c r="KQ231" s="2214"/>
      <c r="KR231" s="2214"/>
      <c r="KS231" s="2214"/>
      <c r="KT231" s="2214"/>
      <c r="KU231" s="2214"/>
      <c r="KV231" s="2214"/>
      <c r="KW231" s="2214"/>
      <c r="KX231" s="2214"/>
      <c r="KY231" s="2214"/>
      <c r="KZ231" s="2214"/>
      <c r="LA231" s="2214"/>
      <c r="LB231" s="2214"/>
      <c r="LC231" s="2214"/>
      <c r="LD231" s="2214"/>
      <c r="LE231" s="2214"/>
      <c r="LF231" s="2214"/>
      <c r="LG231" s="2214"/>
      <c r="LH231" s="2214"/>
      <c r="LI231" s="2214"/>
      <c r="LJ231" s="2214"/>
      <c r="LK231" s="2214"/>
      <c r="LL231" s="2214"/>
      <c r="LM231" s="2214"/>
      <c r="LN231" s="2214"/>
      <c r="LO231" s="2214"/>
      <c r="LP231" s="2214"/>
      <c r="LQ231" s="2214"/>
      <c r="LR231" s="2214"/>
      <c r="LS231" s="2214"/>
      <c r="LT231" s="2214"/>
      <c r="LU231" s="2214"/>
      <c r="LV231" s="2214"/>
      <c r="LW231" s="2214"/>
      <c r="LX231" s="2214"/>
      <c r="LY231" s="2214"/>
      <c r="LZ231" s="2214"/>
      <c r="MA231" s="2214"/>
      <c r="MB231" s="2214"/>
      <c r="MC231" s="2214"/>
      <c r="MD231" s="2214"/>
      <c r="ME231" s="2214"/>
      <c r="MF231" s="2214"/>
      <c r="MG231" s="2214"/>
      <c r="MH231" s="2214"/>
      <c r="MI231" s="2214"/>
      <c r="MJ231" s="2214"/>
      <c r="MK231" s="2214"/>
      <c r="ML231" s="2214"/>
      <c r="MM231" s="2214"/>
      <c r="MN231" s="2214"/>
      <c r="MO231" s="2214"/>
      <c r="MP231" s="2214"/>
      <c r="MQ231" s="2214"/>
      <c r="MR231" s="2214"/>
      <c r="MS231" s="2214"/>
      <c r="MT231" s="2214"/>
      <c r="MU231" s="2214"/>
      <c r="MV231" s="2214"/>
      <c r="MW231" s="2214"/>
      <c r="MX231" s="2214"/>
      <c r="MY231" s="2214"/>
      <c r="MZ231" s="2214"/>
      <c r="NA231" s="2214"/>
      <c r="NB231" s="2214"/>
      <c r="NC231" s="2214"/>
      <c r="ND231" s="2214"/>
      <c r="NE231" s="2214"/>
      <c r="NF231" s="2214"/>
      <c r="NG231" s="2214"/>
      <c r="NH231" s="2214"/>
      <c r="NI231" s="2214"/>
      <c r="NJ231" s="2214"/>
      <c r="NK231" s="2214"/>
      <c r="NL231" s="2214"/>
      <c r="NM231" s="2214"/>
      <c r="NN231" s="2214"/>
      <c r="NO231" s="2214"/>
      <c r="NP231" s="2214"/>
      <c r="NQ231" s="2214"/>
      <c r="NR231" s="2214"/>
      <c r="NS231" s="2214"/>
      <c r="NT231" s="2214"/>
      <c r="NU231" s="2214"/>
      <c r="NV231" s="2214"/>
      <c r="NW231" s="2214"/>
      <c r="NX231" s="2214"/>
      <c r="NY231" s="2214"/>
      <c r="NZ231" s="2214"/>
      <c r="OA231" s="2214"/>
      <c r="OB231" s="2214"/>
      <c r="OC231" s="2214"/>
      <c r="OD231" s="2214"/>
      <c r="OE231" s="2214"/>
      <c r="OF231" s="2214"/>
      <c r="OG231" s="2214"/>
      <c r="OH231" s="2214"/>
      <c r="OI231" s="2214"/>
      <c r="OJ231" s="2214"/>
      <c r="OK231" s="2214"/>
      <c r="OL231" s="2214"/>
      <c r="OM231" s="2214"/>
      <c r="ON231" s="2214"/>
      <c r="OO231" s="2214"/>
      <c r="OP231" s="2214"/>
      <c r="OQ231" s="2214"/>
      <c r="OR231" s="2214"/>
      <c r="OS231" s="2214"/>
      <c r="OT231" s="2214"/>
      <c r="OU231" s="2214"/>
      <c r="OV231" s="2214"/>
      <c r="OW231" s="2214"/>
      <c r="OX231" s="2214"/>
      <c r="OY231" s="2214"/>
      <c r="OZ231" s="2214"/>
      <c r="PA231" s="2214"/>
      <c r="PB231" s="2214"/>
      <c r="PC231" s="2214"/>
      <c r="PD231" s="2214"/>
      <c r="PE231" s="2214"/>
      <c r="PF231" s="2214"/>
      <c r="PG231" s="2214"/>
      <c r="PH231" s="2214"/>
      <c r="PI231" s="2214"/>
      <c r="PJ231" s="2214"/>
      <c r="PK231" s="2214"/>
      <c r="PL231" s="2214"/>
      <c r="PM231" s="2214"/>
      <c r="PN231" s="2214"/>
      <c r="PO231" s="2214"/>
      <c r="PP231" s="2214"/>
      <c r="PQ231" s="2214"/>
      <c r="PR231" s="2214"/>
      <c r="PS231" s="2214"/>
      <c r="PT231" s="2214"/>
      <c r="PU231" s="2214"/>
      <c r="PV231" s="2214"/>
      <c r="PW231" s="2214"/>
      <c r="PX231" s="2214"/>
      <c r="PY231" s="2214"/>
      <c r="PZ231" s="2214"/>
      <c r="QA231" s="2214"/>
      <c r="QB231" s="2214"/>
      <c r="QC231" s="2214"/>
      <c r="QD231" s="2214"/>
      <c r="QE231" s="2214"/>
      <c r="QF231" s="2214"/>
      <c r="QG231" s="2214"/>
      <c r="QH231" s="2214"/>
      <c r="QI231" s="2214"/>
      <c r="QJ231" s="2214"/>
      <c r="QK231" s="2214"/>
      <c r="QL231" s="2214"/>
      <c r="QM231" s="2214"/>
      <c r="QN231" s="2214"/>
      <c r="QO231" s="2214"/>
      <c r="QP231" s="2214"/>
      <c r="QQ231" s="2214"/>
      <c r="QR231" s="2214"/>
      <c r="QS231" s="2214"/>
      <c r="QT231" s="2214"/>
      <c r="QU231" s="2214"/>
      <c r="QV231" s="2214"/>
      <c r="QW231" s="2214"/>
      <c r="QX231" s="2214"/>
      <c r="QY231" s="2214"/>
      <c r="QZ231" s="2214"/>
      <c r="RA231" s="2214"/>
      <c r="RB231" s="2214"/>
      <c r="RC231" s="2214"/>
      <c r="RD231" s="2214"/>
      <c r="RE231" s="2214"/>
      <c r="RF231" s="2214"/>
      <c r="RG231" s="2214"/>
      <c r="RH231" s="2214"/>
      <c r="RI231" s="2214"/>
      <c r="RJ231" s="2214"/>
      <c r="RK231" s="2214"/>
      <c r="RL231" s="2214"/>
      <c r="RM231" s="2214"/>
      <c r="RN231" s="2214"/>
      <c r="RO231" s="2214"/>
      <c r="RP231" s="2214"/>
      <c r="RQ231" s="2214"/>
      <c r="RR231" s="2214"/>
      <c r="RS231" s="2214"/>
      <c r="RT231" s="2214"/>
      <c r="RU231" s="2214"/>
      <c r="RV231" s="2214"/>
      <c r="RW231" s="2214"/>
      <c r="RX231" s="2214"/>
      <c r="RY231" s="2214"/>
      <c r="RZ231" s="2214"/>
      <c r="SA231" s="2214"/>
      <c r="SB231" s="2214"/>
      <c r="SC231" s="2214"/>
      <c r="SD231" s="2214"/>
      <c r="SE231" s="2214"/>
      <c r="SF231" s="2214"/>
      <c r="SG231" s="2214"/>
      <c r="SH231" s="2214"/>
      <c r="SI231" s="2214"/>
      <c r="SJ231" s="2214"/>
      <c r="SK231" s="2214"/>
      <c r="SL231" s="2214"/>
      <c r="SM231" s="2214"/>
      <c r="SN231" s="2214"/>
      <c r="SO231" s="2214"/>
      <c r="SP231" s="2214"/>
      <c r="SQ231" s="2214"/>
      <c r="SR231" s="2214"/>
      <c r="SS231" s="2214"/>
      <c r="ST231" s="2214"/>
      <c r="SU231" s="2214"/>
      <c r="SV231" s="2214"/>
      <c r="SW231" s="2214"/>
      <c r="SX231" s="2214"/>
      <c r="SY231" s="2214"/>
      <c r="SZ231" s="2214"/>
      <c r="TA231" s="2214"/>
      <c r="TB231" s="2214"/>
      <c r="TC231" s="2214"/>
      <c r="TD231" s="2214"/>
      <c r="TE231" s="2214"/>
      <c r="TF231" s="2214"/>
      <c r="TG231" s="2214"/>
      <c r="TH231" s="2214"/>
      <c r="TI231" s="2214"/>
      <c r="TJ231" s="2214"/>
      <c r="TK231" s="2214"/>
      <c r="TL231" s="2214"/>
      <c r="TM231" s="2214"/>
      <c r="TN231" s="2214"/>
      <c r="TO231" s="2214"/>
      <c r="TP231" s="2214"/>
      <c r="TQ231" s="2214"/>
      <c r="TR231" s="2214"/>
      <c r="TS231" s="2214"/>
      <c r="TT231" s="2214"/>
      <c r="TU231" s="2214"/>
      <c r="TV231" s="2214"/>
      <c r="TW231" s="2214"/>
      <c r="TX231" s="2214"/>
      <c r="TY231" s="2214"/>
      <c r="TZ231" s="2214"/>
      <c r="UA231" s="2214"/>
      <c r="UB231" s="2214"/>
      <c r="UC231" s="2214"/>
      <c r="UD231" s="2214"/>
      <c r="UE231" s="2214"/>
      <c r="UF231" s="2214"/>
      <c r="UG231" s="2214"/>
      <c r="UH231" s="2214"/>
      <c r="UI231" s="2214"/>
      <c r="UJ231" s="2214"/>
      <c r="UK231" s="2214"/>
      <c r="UL231" s="2214"/>
      <c r="UM231" s="2214"/>
      <c r="UN231" s="2214"/>
      <c r="UO231" s="2214"/>
      <c r="UP231" s="2214"/>
      <c r="UQ231" s="2214"/>
      <c r="UR231" s="2214"/>
      <c r="US231" s="2214"/>
      <c r="UT231" s="2214"/>
      <c r="UU231" s="2214"/>
      <c r="UV231" s="2214"/>
      <c r="UW231" s="2214"/>
      <c r="UX231" s="2214"/>
      <c r="UY231" s="2214"/>
      <c r="UZ231" s="2214"/>
      <c r="VA231" s="2214"/>
      <c r="VB231" s="2214"/>
      <c r="VC231" s="2214"/>
      <c r="VD231" s="2214"/>
      <c r="VE231" s="2214"/>
      <c r="VF231" s="2214"/>
      <c r="VG231" s="2214"/>
      <c r="VH231" s="2214"/>
      <c r="VI231" s="2214"/>
      <c r="VJ231" s="2214"/>
      <c r="VK231" s="2214"/>
      <c r="VL231" s="2214"/>
      <c r="VM231" s="2214"/>
      <c r="VN231" s="2214"/>
      <c r="VO231" s="2214"/>
      <c r="VP231" s="2214"/>
      <c r="VQ231" s="2214"/>
      <c r="VR231" s="2214"/>
      <c r="VS231" s="2214"/>
      <c r="VT231" s="2214"/>
      <c r="VU231" s="2214"/>
      <c r="VV231" s="2214"/>
      <c r="VW231" s="2214"/>
      <c r="VX231" s="2214"/>
      <c r="VY231" s="2214"/>
      <c r="VZ231" s="2214"/>
      <c r="WA231" s="2214"/>
      <c r="WB231" s="2214"/>
      <c r="WC231" s="2214"/>
      <c r="WD231" s="2214"/>
      <c r="WE231" s="2214"/>
      <c r="WF231" s="2214"/>
      <c r="WG231" s="2214"/>
      <c r="WH231" s="2214"/>
      <c r="WI231" s="2214"/>
      <c r="WJ231" s="2214"/>
      <c r="WK231" s="2214"/>
      <c r="WL231" s="2214"/>
      <c r="WM231" s="2214"/>
      <c r="WN231" s="2214"/>
      <c r="WO231" s="2214"/>
      <c r="WP231" s="2214"/>
      <c r="WQ231" s="2214"/>
      <c r="WR231" s="2214"/>
      <c r="WS231" s="2214"/>
      <c r="WT231" s="2214"/>
      <c r="WU231" s="2214"/>
      <c r="WV231" s="2214"/>
      <c r="WW231" s="2214"/>
      <c r="WX231" s="2214"/>
      <c r="WY231" s="2214"/>
      <c r="WZ231" s="2214"/>
      <c r="XA231" s="2214"/>
      <c r="XB231" s="2214"/>
      <c r="XC231" s="2214"/>
      <c r="XD231" s="2214"/>
      <c r="XE231" s="2214"/>
      <c r="XF231" s="2214"/>
      <c r="XG231" s="2214"/>
      <c r="XH231" s="2214"/>
      <c r="XI231" s="2214"/>
      <c r="XJ231" s="2214"/>
      <c r="XK231" s="2214"/>
      <c r="XL231" s="2214"/>
      <c r="XM231" s="2214"/>
      <c r="XN231" s="2214"/>
      <c r="XO231" s="2214"/>
      <c r="XP231" s="2214"/>
      <c r="XQ231" s="2214"/>
      <c r="XR231" s="2214"/>
      <c r="XS231" s="2214"/>
      <c r="XT231" s="2214"/>
      <c r="XU231" s="2214"/>
      <c r="XV231" s="2214"/>
      <c r="XW231" s="2214"/>
      <c r="XX231" s="2214"/>
      <c r="XY231" s="2214"/>
      <c r="XZ231" s="2214"/>
      <c r="YA231" s="2214"/>
      <c r="YB231" s="2214"/>
      <c r="YC231" s="2214"/>
      <c r="YD231" s="2214"/>
      <c r="YE231" s="2214"/>
      <c r="YF231" s="2214"/>
      <c r="YG231" s="2214"/>
      <c r="YH231" s="2214"/>
      <c r="YI231" s="2214"/>
      <c r="YJ231" s="2214"/>
      <c r="YK231" s="2214"/>
      <c r="YL231" s="2214"/>
      <c r="YM231" s="2214"/>
      <c r="YN231" s="2214"/>
      <c r="YO231" s="2214"/>
      <c r="YP231" s="2214"/>
      <c r="YQ231" s="2214"/>
      <c r="YR231" s="2214"/>
      <c r="YS231" s="2214"/>
      <c r="YT231" s="2214"/>
      <c r="YU231" s="2214"/>
      <c r="YV231" s="2214"/>
      <c r="YW231" s="2214"/>
      <c r="YX231" s="2214"/>
      <c r="YY231" s="2214"/>
      <c r="YZ231" s="2214"/>
      <c r="ZA231" s="2214"/>
      <c r="ZB231" s="2214"/>
      <c r="ZC231" s="2214"/>
      <c r="ZD231" s="2214"/>
      <c r="ZE231" s="2214"/>
      <c r="ZF231" s="2214"/>
      <c r="ZG231" s="2214"/>
      <c r="ZH231" s="2214"/>
      <c r="ZI231" s="2214"/>
      <c r="ZJ231" s="2214"/>
      <c r="ZK231" s="2214"/>
      <c r="ZL231" s="2214"/>
      <c r="ZM231" s="2214"/>
      <c r="ZN231" s="2214"/>
      <c r="ZO231" s="2214"/>
      <c r="ZP231" s="2214"/>
      <c r="ZQ231" s="2214"/>
      <c r="ZR231" s="2214"/>
      <c r="ZS231" s="2214"/>
      <c r="ZT231" s="2214"/>
      <c r="ZU231" s="2214"/>
      <c r="ZV231" s="2214"/>
      <c r="ZW231" s="2214"/>
      <c r="ZX231" s="2214"/>
      <c r="ZY231" s="2214"/>
      <c r="ZZ231" s="2214"/>
      <c r="AAA231" s="2214"/>
      <c r="AAB231" s="2214"/>
      <c r="AAC231" s="2214"/>
      <c r="AAD231" s="2214"/>
      <c r="AAE231" s="2214"/>
      <c r="AAF231" s="2214"/>
      <c r="AAG231" s="2214"/>
      <c r="AAH231" s="2214"/>
      <c r="AAI231" s="2214"/>
      <c r="AAJ231" s="2214"/>
      <c r="AAK231" s="2214"/>
      <c r="AAL231" s="2214"/>
      <c r="AAM231" s="2214"/>
      <c r="AAN231" s="2214"/>
      <c r="AAO231" s="2214"/>
      <c r="AAP231" s="2214"/>
      <c r="AAQ231" s="2214"/>
      <c r="AAR231" s="2214"/>
      <c r="AAS231" s="2214"/>
      <c r="AAT231" s="2214"/>
      <c r="AAU231" s="2214"/>
      <c r="AAV231" s="2214"/>
      <c r="AAW231" s="2214"/>
      <c r="AAX231" s="2214"/>
      <c r="AAY231" s="2214"/>
      <c r="AAZ231" s="2214"/>
      <c r="ABA231" s="2214"/>
      <c r="ABB231" s="2214"/>
      <c r="ABC231" s="2214"/>
      <c r="ABD231" s="2214"/>
      <c r="ABE231" s="2214"/>
      <c r="ABF231" s="2214"/>
      <c r="ABG231" s="2214"/>
      <c r="ABH231" s="2214"/>
      <c r="ABI231" s="2214"/>
      <c r="ABJ231" s="2214"/>
      <c r="ABK231" s="2214"/>
      <c r="ABL231" s="2214"/>
      <c r="ABM231" s="2214"/>
      <c r="ABN231" s="2214"/>
      <c r="ABO231" s="2214"/>
      <c r="ABP231" s="2214"/>
      <c r="ABQ231" s="2214"/>
      <c r="ABR231" s="2214"/>
      <c r="ABS231" s="2214"/>
      <c r="ABT231" s="2214"/>
      <c r="ABU231" s="2214"/>
      <c r="ABV231" s="2214"/>
      <c r="ABW231" s="2214"/>
      <c r="ABX231" s="2214"/>
      <c r="ABY231" s="2214"/>
      <c r="ABZ231" s="2214"/>
      <c r="ACA231" s="2214"/>
      <c r="ACB231" s="2214"/>
      <c r="ACC231" s="2214"/>
      <c r="ACD231" s="2214"/>
      <c r="ACE231" s="2214"/>
      <c r="ACF231" s="2214"/>
      <c r="ACG231" s="2214"/>
      <c r="ACH231" s="2214"/>
      <c r="ACI231" s="2214"/>
      <c r="ACJ231" s="2214"/>
      <c r="ACK231" s="2214"/>
      <c r="ACL231" s="2214"/>
      <c r="ACM231" s="2214"/>
      <c r="ACN231" s="2214"/>
      <c r="ACO231" s="2214"/>
      <c r="ACP231" s="2214"/>
      <c r="ACQ231" s="2214"/>
      <c r="ACR231" s="2214"/>
      <c r="ACS231" s="2214"/>
      <c r="ACT231" s="2214"/>
      <c r="ACU231" s="2214"/>
      <c r="ACV231" s="2214"/>
      <c r="ACW231" s="2214"/>
      <c r="ACX231" s="2214"/>
      <c r="ACY231" s="2214"/>
      <c r="ACZ231" s="2214"/>
      <c r="ADA231" s="2214"/>
      <c r="ADB231" s="2214"/>
      <c r="ADC231" s="2214"/>
      <c r="ADD231" s="2214"/>
      <c r="ADE231" s="2214"/>
      <c r="ADF231" s="2214"/>
      <c r="ADG231" s="2214"/>
      <c r="ADH231" s="2214"/>
      <c r="ADI231" s="2214"/>
      <c r="ADJ231" s="2214"/>
      <c r="ADK231" s="2214"/>
      <c r="ADL231" s="2214"/>
      <c r="ADM231" s="2214"/>
      <c r="ADN231" s="2214"/>
      <c r="ADO231" s="2214"/>
      <c r="ADP231" s="2214"/>
      <c r="ADQ231" s="2214"/>
      <c r="ADR231" s="2214"/>
      <c r="ADS231" s="2214"/>
      <c r="ADT231" s="2214"/>
      <c r="ADU231" s="2214"/>
      <c r="ADV231" s="2214"/>
      <c r="ADW231" s="2214"/>
      <c r="ADX231" s="2214"/>
      <c r="ADY231" s="2214"/>
      <c r="ADZ231" s="2214"/>
      <c r="AEA231" s="2214"/>
      <c r="AEB231" s="2214"/>
      <c r="AEC231" s="2214"/>
      <c r="AED231" s="2214"/>
      <c r="AEE231" s="2214"/>
      <c r="AEF231" s="2214"/>
      <c r="AEG231" s="2214"/>
      <c r="AEH231" s="2214"/>
      <c r="AEI231" s="2214"/>
      <c r="AEJ231" s="2214"/>
      <c r="AEK231" s="2214"/>
      <c r="AEL231" s="2214"/>
      <c r="AEM231" s="2214"/>
      <c r="AEN231" s="2214"/>
      <c r="AEO231" s="2214"/>
      <c r="AEP231" s="2214"/>
      <c r="AEQ231" s="2214"/>
      <c r="AER231" s="2214"/>
      <c r="AES231" s="2214"/>
      <c r="AET231" s="2214"/>
      <c r="AEU231" s="2214"/>
      <c r="AEV231" s="2214"/>
      <c r="AEW231" s="2214"/>
      <c r="AEX231" s="2214"/>
      <c r="AEY231" s="2214"/>
      <c r="AEZ231" s="2214"/>
      <c r="AFA231" s="2214"/>
      <c r="AFB231" s="2214"/>
      <c r="AFC231" s="2214"/>
      <c r="AFD231" s="2214"/>
      <c r="AFE231" s="2214"/>
      <c r="AFF231" s="2214"/>
      <c r="AFG231" s="2214"/>
      <c r="AFH231" s="2214"/>
      <c r="AFI231" s="2214"/>
      <c r="AFJ231" s="2214"/>
      <c r="AFK231" s="2214"/>
      <c r="AFL231" s="2214"/>
      <c r="AFM231" s="2214"/>
      <c r="AFN231" s="2214"/>
      <c r="AFO231" s="2214"/>
      <c r="AFP231" s="2214"/>
      <c r="AFQ231" s="2214"/>
      <c r="AFR231" s="2214"/>
      <c r="AFS231" s="2214"/>
      <c r="AFT231" s="2214"/>
      <c r="AFU231" s="2214"/>
      <c r="AFV231" s="2214"/>
      <c r="AFW231" s="2214"/>
      <c r="AFX231" s="2214"/>
      <c r="AFY231" s="2214"/>
      <c r="AFZ231" s="2214"/>
      <c r="AGA231" s="2214"/>
      <c r="AGB231" s="2214"/>
      <c r="AGC231" s="2214"/>
      <c r="AGD231" s="2214"/>
      <c r="AGE231" s="2214"/>
      <c r="AGF231" s="2214"/>
      <c r="AGG231" s="2214"/>
      <c r="AGH231" s="2214"/>
      <c r="AGI231" s="2214"/>
      <c r="AGJ231" s="2214"/>
      <c r="AGK231" s="2214"/>
      <c r="AGL231" s="2214"/>
      <c r="AGM231" s="2214"/>
      <c r="AGN231" s="2214"/>
      <c r="AGO231" s="2214"/>
      <c r="AGP231" s="2214"/>
      <c r="AGQ231" s="2214"/>
      <c r="AGR231" s="2214"/>
      <c r="AGS231" s="2214"/>
      <c r="AGT231" s="2214"/>
      <c r="AGU231" s="2214"/>
      <c r="AGV231" s="2214"/>
      <c r="AGW231" s="2214"/>
      <c r="AGX231" s="2214"/>
      <c r="AGY231" s="2214"/>
      <c r="AGZ231" s="2214"/>
      <c r="AHA231" s="2214"/>
      <c r="AHB231" s="2214"/>
      <c r="AHC231" s="2214"/>
      <c r="AHD231" s="2214"/>
      <c r="AHE231" s="2214"/>
      <c r="AHF231" s="2214"/>
      <c r="AHG231" s="2214"/>
      <c r="AHH231" s="2214"/>
      <c r="AHI231" s="2214"/>
      <c r="AHJ231" s="2214"/>
      <c r="AHK231" s="2214"/>
      <c r="AHL231" s="2214"/>
      <c r="AHM231" s="2214"/>
      <c r="AHN231" s="2214"/>
      <c r="AHO231" s="2214"/>
      <c r="AHP231" s="2214"/>
      <c r="AHQ231" s="2214"/>
      <c r="AHR231" s="2214"/>
      <c r="AHS231" s="2214"/>
      <c r="AHT231" s="2214"/>
      <c r="AHU231" s="2214"/>
      <c r="AHV231" s="2214"/>
      <c r="AHW231" s="2214"/>
      <c r="AHX231" s="2214"/>
      <c r="AHY231" s="2214"/>
      <c r="AHZ231" s="2214"/>
      <c r="AIA231" s="2214"/>
      <c r="AIB231" s="2214"/>
      <c r="AIC231" s="2214"/>
      <c r="AID231" s="2214"/>
      <c r="AIE231" s="2214"/>
      <c r="AIF231" s="2214"/>
      <c r="AIG231" s="2214"/>
      <c r="AIH231" s="2214"/>
      <c r="AII231" s="2214"/>
      <c r="AIJ231" s="2214"/>
      <c r="AIK231" s="2214"/>
      <c r="AIL231" s="2214"/>
      <c r="AIM231" s="2214"/>
      <c r="AIN231" s="2214"/>
      <c r="AIO231" s="2214"/>
      <c r="AIP231" s="2214"/>
      <c r="AIQ231" s="2214"/>
      <c r="AIR231" s="2214"/>
      <c r="AIS231" s="2214"/>
      <c r="AIT231" s="2214"/>
      <c r="AIU231" s="2214"/>
      <c r="AIV231" s="2214"/>
      <c r="AIW231" s="2214"/>
      <c r="AIX231" s="2214"/>
      <c r="AIY231" s="2214"/>
      <c r="AIZ231" s="2214"/>
      <c r="AJA231" s="2214"/>
      <c r="AJB231" s="2214"/>
      <c r="AJC231" s="2214"/>
      <c r="AJD231" s="2214"/>
      <c r="AJE231" s="2214"/>
      <c r="AJF231" s="2214"/>
      <c r="AJG231" s="2214"/>
      <c r="AJH231" s="2214"/>
      <c r="AJI231" s="2214"/>
      <c r="AJJ231" s="2214"/>
      <c r="AJK231" s="2214"/>
      <c r="AJL231" s="2214"/>
      <c r="AJM231" s="2214"/>
      <c r="AJN231" s="2214"/>
      <c r="AJO231" s="2214"/>
      <c r="AJP231" s="2214"/>
      <c r="AJQ231" s="2214"/>
      <c r="AJR231" s="2214"/>
      <c r="AJS231" s="2214"/>
      <c r="AJT231" s="2214"/>
      <c r="AJU231" s="2214"/>
      <c r="AJV231" s="2214"/>
      <c r="AJW231" s="2214"/>
      <c r="AJX231" s="2214"/>
      <c r="AJY231" s="2214"/>
      <c r="AJZ231" s="2214"/>
      <c r="AKA231" s="2214"/>
      <c r="AKB231" s="2214"/>
      <c r="AKC231" s="2214"/>
      <c r="AKD231" s="2214"/>
      <c r="AKE231" s="2214"/>
      <c r="AKF231" s="2214"/>
      <c r="AKG231" s="2214"/>
      <c r="AKH231" s="2214"/>
      <c r="AKI231" s="2214"/>
      <c r="AKJ231" s="2214"/>
      <c r="AKK231" s="2214"/>
      <c r="AKL231" s="2214"/>
      <c r="AKM231" s="2214"/>
      <c r="AKN231" s="2214"/>
      <c r="AKO231" s="2214"/>
      <c r="AKP231" s="2214"/>
      <c r="AKQ231" s="2214"/>
      <c r="AKR231" s="2214"/>
      <c r="AKS231" s="2214"/>
      <c r="AKT231" s="2214"/>
      <c r="AKU231" s="2214"/>
      <c r="AKV231" s="2214"/>
      <c r="AKW231" s="2214"/>
      <c r="AKX231" s="2214"/>
      <c r="AKY231" s="2214"/>
      <c r="AKZ231" s="2214"/>
      <c r="ALA231" s="2214"/>
      <c r="ALB231" s="2214"/>
      <c r="ALC231" s="2214"/>
      <c r="ALD231" s="2214"/>
      <c r="ALE231" s="2214"/>
      <c r="ALF231" s="2214"/>
      <c r="ALG231" s="2214"/>
      <c r="ALH231" s="2214"/>
      <c r="ALI231" s="2214"/>
      <c r="ALJ231" s="2214"/>
      <c r="ALK231" s="2214"/>
      <c r="ALL231" s="2214"/>
      <c r="ALM231" s="2214"/>
      <c r="ALN231" s="2214"/>
      <c r="ALO231" s="2214"/>
      <c r="ALP231" s="2214"/>
      <c r="ALQ231" s="2214"/>
      <c r="ALR231" s="2214"/>
      <c r="ALS231" s="2214"/>
      <c r="ALT231" s="2214"/>
      <c r="ALU231" s="2214"/>
      <c r="ALV231" s="2214"/>
      <c r="ALW231" s="2214"/>
      <c r="ALX231" s="2214"/>
      <c r="ALY231" s="2214"/>
      <c r="ALZ231" s="2214"/>
      <c r="AMA231" s="2214"/>
      <c r="AMB231" s="2214"/>
      <c r="AMC231" s="2214"/>
      <c r="AMD231" s="2214"/>
      <c r="AME231" s="2214"/>
      <c r="AMF231" s="2214"/>
      <c r="AMG231" s="2214"/>
      <c r="AMH231" s="2214"/>
      <c r="AMI231" s="2214"/>
      <c r="AMJ231" s="2214"/>
      <c r="AMK231" s="2214"/>
      <c r="AML231" s="2214"/>
      <c r="AMM231" s="2214"/>
      <c r="AMN231" s="2214"/>
      <c r="AMO231" s="2214"/>
      <c r="AMP231" s="2214"/>
      <c r="AMQ231" s="2214"/>
      <c r="AMR231" s="2214"/>
      <c r="AMS231" s="2214"/>
      <c r="AMT231" s="2214"/>
      <c r="AMU231" s="2214"/>
      <c r="AMV231" s="2214"/>
      <c r="AMW231" s="2214"/>
      <c r="AMX231" s="2214"/>
      <c r="AMY231" s="2214"/>
      <c r="AMZ231" s="2214"/>
      <c r="ANA231" s="2214"/>
      <c r="ANB231" s="2214"/>
      <c r="ANC231" s="2214"/>
      <c r="AND231" s="2214"/>
      <c r="ANE231" s="2214"/>
      <c r="ANF231" s="2214"/>
      <c r="ANG231" s="2214"/>
      <c r="ANH231" s="2214"/>
      <c r="ANI231" s="2214"/>
      <c r="ANJ231" s="2214"/>
      <c r="ANK231" s="2214"/>
      <c r="ANL231" s="2214"/>
      <c r="ANM231" s="2214"/>
      <c r="ANN231" s="2214"/>
      <c r="ANO231" s="2214"/>
      <c r="ANP231" s="2214"/>
      <c r="ANQ231" s="2214"/>
      <c r="ANR231" s="2214"/>
      <c r="ANS231" s="2214"/>
      <c r="ANT231" s="2214"/>
      <c r="ANU231" s="2214"/>
      <c r="ANV231" s="2214"/>
      <c r="ANW231" s="2214"/>
      <c r="ANX231" s="2214"/>
      <c r="ANY231" s="2214"/>
      <c r="ANZ231" s="2214"/>
      <c r="AOA231" s="2214"/>
      <c r="AOB231" s="2214"/>
      <c r="AOC231" s="2214"/>
      <c r="AOD231" s="2214"/>
      <c r="AOE231" s="2214"/>
      <c r="AOF231" s="2214"/>
      <c r="AOG231" s="2214"/>
      <c r="AOH231" s="2214"/>
      <c r="AOI231" s="2214"/>
      <c r="AOJ231" s="2214"/>
      <c r="AOK231" s="2214"/>
      <c r="AOL231" s="2214"/>
      <c r="AOM231" s="2214"/>
      <c r="AON231" s="2214"/>
      <c r="AOO231" s="2214"/>
      <c r="AOP231" s="2214"/>
      <c r="AOQ231" s="2214"/>
      <c r="AOR231" s="2214"/>
      <c r="AOS231" s="2214"/>
      <c r="AOT231" s="2214"/>
      <c r="AOU231" s="2214"/>
      <c r="AOV231" s="2214"/>
      <c r="AOW231" s="2214"/>
      <c r="AOX231" s="2214"/>
      <c r="AOY231" s="2214"/>
      <c r="AOZ231" s="2214"/>
      <c r="APA231" s="2214"/>
      <c r="APB231" s="2214"/>
      <c r="APC231" s="2214"/>
      <c r="APD231" s="2214"/>
      <c r="APE231" s="2214"/>
      <c r="APF231" s="2214"/>
      <c r="APG231" s="2214"/>
      <c r="APH231" s="2214"/>
      <c r="API231" s="2214"/>
      <c r="APJ231" s="2214"/>
      <c r="APK231" s="2214"/>
      <c r="APL231" s="2214"/>
      <c r="APM231" s="2214"/>
      <c r="APN231" s="2214"/>
      <c r="APO231" s="2214"/>
      <c r="APP231" s="2214"/>
      <c r="APQ231" s="2214"/>
      <c r="APR231" s="2214"/>
      <c r="APS231" s="2214"/>
      <c r="APT231" s="2214"/>
      <c r="APU231" s="2214"/>
      <c r="APV231" s="2214"/>
      <c r="APW231" s="2214"/>
      <c r="APX231" s="2214"/>
      <c r="APY231" s="2214"/>
      <c r="APZ231" s="2214"/>
      <c r="AQA231" s="2214"/>
      <c r="AQB231" s="2214"/>
      <c r="AQC231" s="2214"/>
      <c r="AQD231" s="2214"/>
      <c r="AQE231" s="2214"/>
      <c r="AQF231" s="2214"/>
      <c r="AQG231" s="2214"/>
      <c r="AQH231" s="2214"/>
      <c r="AQI231" s="2214"/>
      <c r="AQJ231" s="2214"/>
      <c r="AQK231" s="2214"/>
      <c r="AQL231" s="2214"/>
      <c r="AQM231" s="2214"/>
      <c r="AQN231" s="2214"/>
      <c r="AQO231" s="2214"/>
      <c r="AQP231" s="2214"/>
      <c r="AQQ231" s="2214"/>
      <c r="AQR231" s="2214"/>
      <c r="AQS231" s="2214"/>
      <c r="AQT231" s="2214"/>
      <c r="AQU231" s="2214"/>
      <c r="AQV231" s="2214"/>
      <c r="AQW231" s="2214"/>
      <c r="AQX231" s="2214"/>
      <c r="AQY231" s="2214"/>
      <c r="AQZ231" s="2214"/>
      <c r="ARA231" s="2214"/>
      <c r="ARB231" s="2214"/>
      <c r="ARC231" s="2214"/>
      <c r="ARD231" s="2214"/>
      <c r="ARE231" s="2214"/>
      <c r="ARF231" s="2214"/>
      <c r="ARG231" s="2214"/>
      <c r="ARH231" s="2214"/>
      <c r="ARI231" s="2214"/>
      <c r="ARJ231" s="2214"/>
      <c r="ARK231" s="2214"/>
      <c r="ARL231" s="2214"/>
      <c r="ARM231" s="2214"/>
      <c r="ARN231" s="2214"/>
      <c r="ARO231" s="2214"/>
      <c r="ARP231" s="2214"/>
      <c r="ARQ231" s="2214"/>
      <c r="ARR231" s="2214"/>
      <c r="ARS231" s="2214"/>
      <c r="ART231" s="2214"/>
      <c r="ARU231" s="2214"/>
      <c r="ARV231" s="2214"/>
      <c r="ARW231" s="2214"/>
      <c r="ARX231" s="2214"/>
      <c r="ARY231" s="2214"/>
      <c r="ARZ231" s="2214"/>
      <c r="ASA231" s="2214"/>
      <c r="ASB231" s="2214"/>
      <c r="ASC231" s="2214"/>
      <c r="ASD231" s="2214"/>
      <c r="ASE231" s="2214"/>
      <c r="ASF231" s="2214"/>
      <c r="ASG231" s="2214"/>
      <c r="ASH231" s="2214"/>
      <c r="ASI231" s="2214"/>
      <c r="ASJ231" s="2214"/>
      <c r="ASK231" s="2214"/>
      <c r="ASL231" s="2214"/>
      <c r="ASM231" s="2214"/>
      <c r="ASN231" s="2214"/>
      <c r="ASO231" s="2214"/>
      <c r="ASP231" s="2214"/>
      <c r="ASQ231" s="2214"/>
      <c r="ASR231" s="2214"/>
      <c r="ASS231" s="2214"/>
      <c r="AST231" s="2214"/>
      <c r="ASU231" s="2214"/>
      <c r="ASV231" s="2214"/>
      <c r="ASW231" s="2214"/>
      <c r="ASX231" s="2214"/>
      <c r="ASY231" s="2214"/>
      <c r="ASZ231" s="2214"/>
      <c r="ATA231" s="2214"/>
      <c r="ATB231" s="2214"/>
      <c r="ATC231" s="2214"/>
      <c r="ATD231" s="2214"/>
      <c r="ATE231" s="2214"/>
      <c r="ATF231" s="2214"/>
      <c r="ATG231" s="2214"/>
      <c r="ATH231" s="2214"/>
      <c r="ATI231" s="2214"/>
      <c r="ATJ231" s="2214"/>
      <c r="ATK231" s="2214"/>
      <c r="ATL231" s="2214"/>
      <c r="ATM231" s="2214"/>
      <c r="ATN231" s="2214"/>
      <c r="ATO231" s="2214"/>
      <c r="ATP231" s="2214"/>
      <c r="ATQ231" s="2214"/>
      <c r="ATR231" s="2214"/>
      <c r="ATS231" s="2214"/>
      <c r="ATT231" s="2214"/>
      <c r="ATU231" s="2214"/>
      <c r="ATV231" s="2214"/>
      <c r="ATW231" s="2214"/>
      <c r="ATX231" s="2214"/>
      <c r="ATY231" s="2214"/>
      <c r="ATZ231" s="2214"/>
      <c r="AUA231" s="2214"/>
      <c r="AUB231" s="2214"/>
      <c r="AUC231" s="2214"/>
      <c r="AUD231" s="2214"/>
      <c r="AUE231" s="2214"/>
      <c r="AUF231" s="2214"/>
      <c r="AUG231" s="2214"/>
      <c r="AUH231" s="2214"/>
      <c r="AUI231" s="2214"/>
      <c r="AUJ231" s="2214"/>
      <c r="AUK231" s="2214"/>
      <c r="AUL231" s="2214"/>
      <c r="AUM231" s="2214"/>
      <c r="AUN231" s="2214"/>
      <c r="AUO231" s="2214"/>
      <c r="AUP231" s="2214"/>
      <c r="AUQ231" s="2214"/>
      <c r="AUR231" s="2214"/>
      <c r="AUS231" s="2214"/>
      <c r="AUT231" s="2214"/>
      <c r="AUU231" s="2214"/>
      <c r="AUV231" s="2214"/>
      <c r="AUW231" s="2214"/>
      <c r="AUX231" s="2214"/>
      <c r="AUY231" s="2214"/>
      <c r="AUZ231" s="2214"/>
      <c r="AVA231" s="2214"/>
      <c r="AVB231" s="2214"/>
      <c r="AVC231" s="2214"/>
      <c r="AVD231" s="2214"/>
      <c r="AVE231" s="2214"/>
      <c r="AVF231" s="2214"/>
      <c r="AVG231" s="2214"/>
      <c r="AVH231" s="2214"/>
      <c r="AVI231" s="2214"/>
      <c r="AVJ231" s="2214"/>
      <c r="AVK231" s="2214"/>
      <c r="AVL231" s="2214"/>
      <c r="AVM231" s="2214"/>
      <c r="AVN231" s="2214"/>
      <c r="AVO231" s="2214"/>
      <c r="AVP231" s="2214"/>
      <c r="AVQ231" s="2214"/>
      <c r="AVR231" s="2214"/>
      <c r="AVS231" s="2214"/>
      <c r="AVT231" s="2214"/>
      <c r="AVU231" s="2214"/>
      <c r="AVV231" s="2214"/>
      <c r="AVW231" s="2214"/>
      <c r="AVX231" s="2214"/>
      <c r="AVY231" s="2214"/>
      <c r="AVZ231" s="2214"/>
      <c r="AWA231" s="2214"/>
      <c r="AWB231" s="2214"/>
      <c r="AWC231" s="2214"/>
      <c r="AWD231" s="2214"/>
      <c r="AWE231" s="2214"/>
      <c r="AWF231" s="2214"/>
      <c r="AWG231" s="2214"/>
      <c r="AWH231" s="2214"/>
      <c r="AWI231" s="2214"/>
      <c r="AWJ231" s="2214"/>
      <c r="AWK231" s="2214"/>
      <c r="AWL231" s="2214"/>
      <c r="AWM231" s="2214"/>
      <c r="AWN231" s="2214"/>
      <c r="AWO231" s="2214"/>
      <c r="AWP231" s="2214"/>
      <c r="AWQ231" s="2214"/>
      <c r="AWR231" s="2214"/>
      <c r="AWS231" s="2214"/>
      <c r="AWT231" s="2214"/>
      <c r="AWU231" s="2214"/>
      <c r="AWV231" s="2214"/>
      <c r="AWW231" s="2214"/>
      <c r="AWX231" s="2214"/>
      <c r="AWY231" s="2214"/>
      <c r="AWZ231" s="2214"/>
      <c r="AXA231" s="2214"/>
      <c r="AXB231" s="2214"/>
      <c r="AXC231" s="2214"/>
      <c r="AXD231" s="2214"/>
      <c r="AXE231" s="2214"/>
      <c r="AXF231" s="2214"/>
      <c r="AXG231" s="2214"/>
      <c r="AXH231" s="2214"/>
      <c r="AXI231" s="2214"/>
      <c r="AXJ231" s="2214"/>
    </row>
    <row r="232" spans="1:1310" s="2215" customFormat="1" ht="23.25" customHeight="1">
      <c r="A232" s="756"/>
      <c r="B232" s="9016" t="s">
        <v>1596</v>
      </c>
      <c r="C232" s="9016"/>
      <c r="D232" s="9016"/>
      <c r="E232" s="9016"/>
      <c r="F232" s="750"/>
      <c r="G232" s="9016" t="s">
        <v>1597</v>
      </c>
      <c r="H232" s="9016"/>
      <c r="I232" s="9016"/>
      <c r="J232" s="750"/>
      <c r="K232" s="9017" t="s">
        <v>1598</v>
      </c>
      <c r="L232" s="9017"/>
      <c r="M232" s="9017"/>
      <c r="N232" s="750"/>
      <c r="O232" s="9016" t="s">
        <v>1599</v>
      </c>
      <c r="P232" s="9016"/>
      <c r="Q232" s="750"/>
      <c r="R232" s="311"/>
      <c r="S232" s="311"/>
      <c r="T232" s="311"/>
      <c r="U232" s="311"/>
      <c r="V232" s="311"/>
      <c r="W232" s="311"/>
      <c r="X232" s="311"/>
      <c r="Y232" s="311"/>
      <c r="Z232" s="311"/>
      <c r="AA232" s="311"/>
      <c r="AB232" s="311"/>
      <c r="AC232" s="311"/>
      <c r="AD232" s="2214"/>
      <c r="AE232" s="2214"/>
      <c r="AF232" s="2214"/>
      <c r="AG232" s="2214"/>
      <c r="AH232" s="2214"/>
      <c r="AI232" s="2214"/>
      <c r="AJ232" s="2214"/>
      <c r="AK232" s="2214"/>
      <c r="AL232" s="2214"/>
      <c r="AM232" s="2214"/>
      <c r="AN232" s="2214"/>
      <c r="AO232" s="2214"/>
      <c r="AP232" s="2214"/>
      <c r="AQ232" s="2214"/>
      <c r="AR232" s="2214"/>
      <c r="AS232" s="2214"/>
      <c r="AT232" s="2214"/>
      <c r="AU232" s="2214"/>
      <c r="AV232" s="2214"/>
      <c r="AW232" s="2214"/>
      <c r="AX232" s="2214"/>
      <c r="AY232" s="2214"/>
      <c r="AZ232" s="2214"/>
      <c r="BA232" s="2214"/>
      <c r="BB232" s="2214"/>
      <c r="BC232" s="2214"/>
      <c r="BD232" s="2214"/>
      <c r="BE232" s="2214"/>
      <c r="BF232" s="2214"/>
      <c r="BG232" s="2214"/>
      <c r="BH232" s="2214"/>
      <c r="BI232" s="2214"/>
      <c r="BJ232" s="2214"/>
      <c r="BK232" s="2214"/>
      <c r="BL232" s="2214"/>
      <c r="BM232" s="2214"/>
      <c r="BN232" s="2214"/>
      <c r="BO232" s="2214"/>
      <c r="BP232" s="2214"/>
      <c r="BQ232" s="2214"/>
      <c r="BR232" s="2214"/>
      <c r="BS232" s="2214"/>
      <c r="BT232" s="2214"/>
      <c r="BU232" s="2214"/>
      <c r="BV232" s="2214"/>
      <c r="BW232" s="2214"/>
      <c r="BX232" s="2214"/>
      <c r="BY232" s="2214"/>
      <c r="BZ232" s="2214"/>
      <c r="CA232" s="2214"/>
      <c r="CB232" s="2214"/>
      <c r="CC232" s="2214"/>
      <c r="CD232" s="2214"/>
      <c r="CE232" s="2214"/>
      <c r="CF232" s="2214"/>
      <c r="CG232" s="2214"/>
      <c r="CH232" s="2214"/>
      <c r="CI232" s="2214"/>
      <c r="CJ232" s="2214"/>
      <c r="CK232" s="2214"/>
      <c r="CL232" s="2214"/>
      <c r="CM232" s="2214"/>
      <c r="CN232" s="2214"/>
      <c r="CO232" s="2214"/>
      <c r="CP232" s="2214"/>
      <c r="CQ232" s="2214"/>
      <c r="CR232" s="2214"/>
      <c r="CS232" s="2214"/>
      <c r="CT232" s="2214"/>
      <c r="CU232" s="2214"/>
      <c r="CV232" s="2214"/>
      <c r="CW232" s="2214"/>
      <c r="CX232" s="2214"/>
      <c r="CY232" s="2214"/>
      <c r="CZ232" s="2214"/>
      <c r="DA232" s="2214"/>
      <c r="DB232" s="2214"/>
      <c r="DC232" s="2214"/>
      <c r="DD232" s="2214"/>
      <c r="DE232" s="2214"/>
      <c r="DF232" s="2214"/>
      <c r="DG232" s="2214"/>
      <c r="DH232" s="2214"/>
      <c r="DI232" s="2214"/>
      <c r="DJ232" s="2214"/>
      <c r="DK232" s="2214"/>
      <c r="DL232" s="2214"/>
      <c r="DM232" s="2214"/>
      <c r="DN232" s="2214"/>
      <c r="DO232" s="2214"/>
      <c r="DP232" s="2214"/>
      <c r="DQ232" s="2214"/>
      <c r="DR232" s="2214"/>
      <c r="DS232" s="2214"/>
      <c r="DT232" s="2214"/>
      <c r="DU232" s="2214"/>
      <c r="DV232" s="2214"/>
      <c r="DW232" s="2214"/>
      <c r="DX232" s="2214"/>
      <c r="DY232" s="2214"/>
      <c r="DZ232" s="2214"/>
      <c r="EA232" s="2214"/>
      <c r="EB232" s="2214"/>
      <c r="EC232" s="2214"/>
      <c r="ED232" s="2214"/>
      <c r="EE232" s="2214"/>
      <c r="EF232" s="2214"/>
      <c r="EG232" s="2214"/>
      <c r="EH232" s="2214"/>
      <c r="EI232" s="2214"/>
      <c r="EJ232" s="2214"/>
      <c r="EK232" s="2214"/>
      <c r="EL232" s="2214"/>
      <c r="EM232" s="2214"/>
      <c r="EN232" s="2214"/>
      <c r="EO232" s="2214"/>
      <c r="EP232" s="2214"/>
      <c r="EQ232" s="2214"/>
      <c r="ER232" s="2214"/>
      <c r="ES232" s="2214"/>
      <c r="ET232" s="2214"/>
      <c r="EU232" s="2214"/>
      <c r="EV232" s="2214"/>
      <c r="EW232" s="2214"/>
      <c r="EX232" s="2214"/>
      <c r="EY232" s="2214"/>
      <c r="EZ232" s="2214"/>
      <c r="FA232" s="2214"/>
      <c r="FB232" s="2214"/>
      <c r="FC232" s="2214"/>
      <c r="FD232" s="2214"/>
      <c r="FE232" s="2214"/>
      <c r="FF232" s="2214"/>
      <c r="FG232" s="2214"/>
      <c r="FH232" s="2214"/>
      <c r="FI232" s="2214"/>
      <c r="FJ232" s="2214"/>
      <c r="FK232" s="2214"/>
      <c r="FL232" s="2214"/>
      <c r="FM232" s="2214"/>
      <c r="FN232" s="2214"/>
      <c r="FO232" s="2214"/>
      <c r="FP232" s="2214"/>
      <c r="FQ232" s="2214"/>
      <c r="FR232" s="2214"/>
      <c r="FS232" s="2214"/>
      <c r="FT232" s="2214"/>
      <c r="FU232" s="2214"/>
      <c r="FV232" s="2214"/>
      <c r="FW232" s="2214"/>
      <c r="FX232" s="2214"/>
      <c r="FY232" s="2214"/>
      <c r="FZ232" s="2214"/>
      <c r="GA232" s="2214"/>
      <c r="GB232" s="2214"/>
      <c r="GC232" s="2214"/>
      <c r="GD232" s="2214"/>
      <c r="GE232" s="2214"/>
      <c r="GF232" s="2214"/>
      <c r="GG232" s="2214"/>
      <c r="GH232" s="2214"/>
      <c r="GI232" s="2214"/>
      <c r="GJ232" s="2214"/>
      <c r="GK232" s="2214"/>
      <c r="GL232" s="2214"/>
      <c r="GM232" s="2214"/>
      <c r="GN232" s="2214"/>
      <c r="GO232" s="2214"/>
      <c r="GP232" s="2214"/>
      <c r="GQ232" s="2214"/>
      <c r="GR232" s="2214"/>
      <c r="GS232" s="2214"/>
      <c r="GT232" s="2214"/>
      <c r="GU232" s="2214"/>
      <c r="GV232" s="2214"/>
      <c r="GW232" s="2214"/>
      <c r="GX232" s="2214"/>
      <c r="GY232" s="2214"/>
      <c r="GZ232" s="2214"/>
      <c r="HA232" s="2214"/>
      <c r="HB232" s="2214"/>
      <c r="HC232" s="2214"/>
      <c r="HD232" s="2214"/>
      <c r="HE232" s="2214"/>
      <c r="HF232" s="2214"/>
      <c r="HG232" s="2214"/>
      <c r="HH232" s="2214"/>
      <c r="HI232" s="2214"/>
      <c r="HJ232" s="2214"/>
      <c r="HK232" s="2214"/>
      <c r="HL232" s="2214"/>
      <c r="HM232" s="2214"/>
      <c r="HN232" s="2214"/>
      <c r="HO232" s="2214"/>
      <c r="HP232" s="2214"/>
      <c r="HQ232" s="2214"/>
      <c r="HR232" s="2214"/>
      <c r="HS232" s="2214"/>
      <c r="HT232" s="2214"/>
      <c r="HU232" s="2214"/>
      <c r="HV232" s="2214"/>
      <c r="HW232" s="2214"/>
      <c r="HX232" s="2214"/>
      <c r="HY232" s="2214"/>
      <c r="HZ232" s="2214"/>
      <c r="IA232" s="2214"/>
      <c r="IB232" s="2214"/>
      <c r="IC232" s="2214"/>
      <c r="ID232" s="2214"/>
      <c r="IE232" s="2214"/>
      <c r="IF232" s="2214"/>
      <c r="IG232" s="2214"/>
      <c r="IH232" s="2214"/>
      <c r="II232" s="2214"/>
      <c r="IJ232" s="2214"/>
      <c r="IK232" s="2214"/>
      <c r="IL232" s="2214"/>
      <c r="IM232" s="2214"/>
      <c r="IN232" s="2214"/>
      <c r="IO232" s="2214"/>
      <c r="IP232" s="2214"/>
      <c r="IQ232" s="2214"/>
      <c r="IR232" s="2214"/>
      <c r="IS232" s="2214"/>
      <c r="IT232" s="2214"/>
      <c r="IU232" s="2214"/>
      <c r="IV232" s="2214"/>
      <c r="IW232" s="2214"/>
      <c r="IX232" s="2214"/>
      <c r="IY232" s="2214"/>
      <c r="IZ232" s="2214"/>
      <c r="JA232" s="2214"/>
      <c r="JB232" s="2214"/>
      <c r="JC232" s="2214"/>
      <c r="JD232" s="2214"/>
      <c r="JE232" s="2214"/>
      <c r="JF232" s="2214"/>
      <c r="JG232" s="2214"/>
      <c r="JH232" s="2214"/>
      <c r="JI232" s="2214"/>
      <c r="JJ232" s="2214"/>
      <c r="JK232" s="2214"/>
      <c r="JL232" s="2214"/>
      <c r="JM232" s="2214"/>
      <c r="JN232" s="2214"/>
      <c r="JO232" s="2214"/>
      <c r="JP232" s="2214"/>
      <c r="JQ232" s="2214"/>
      <c r="JR232" s="2214"/>
      <c r="JS232" s="2214"/>
      <c r="JT232" s="2214"/>
      <c r="JU232" s="2214"/>
      <c r="JV232" s="2214"/>
      <c r="JW232" s="2214"/>
      <c r="JX232" s="2214"/>
      <c r="JY232" s="2214"/>
      <c r="JZ232" s="2214"/>
      <c r="KA232" s="2214"/>
      <c r="KB232" s="2214"/>
      <c r="KC232" s="2214"/>
      <c r="KD232" s="2214"/>
      <c r="KE232" s="2214"/>
      <c r="KF232" s="2214"/>
      <c r="KG232" s="2214"/>
      <c r="KH232" s="2214"/>
      <c r="KI232" s="2214"/>
      <c r="KJ232" s="2214"/>
      <c r="KK232" s="2214"/>
      <c r="KL232" s="2214"/>
      <c r="KM232" s="2214"/>
      <c r="KN232" s="2214"/>
      <c r="KO232" s="2214"/>
      <c r="KP232" s="2214"/>
      <c r="KQ232" s="2214"/>
      <c r="KR232" s="2214"/>
      <c r="KS232" s="2214"/>
      <c r="KT232" s="2214"/>
      <c r="KU232" s="2214"/>
      <c r="KV232" s="2214"/>
      <c r="KW232" s="2214"/>
      <c r="KX232" s="2214"/>
      <c r="KY232" s="2214"/>
      <c r="KZ232" s="2214"/>
      <c r="LA232" s="2214"/>
      <c r="LB232" s="2214"/>
      <c r="LC232" s="2214"/>
      <c r="LD232" s="2214"/>
      <c r="LE232" s="2214"/>
      <c r="LF232" s="2214"/>
      <c r="LG232" s="2214"/>
      <c r="LH232" s="2214"/>
      <c r="LI232" s="2214"/>
      <c r="LJ232" s="2214"/>
      <c r="LK232" s="2214"/>
      <c r="LL232" s="2214"/>
      <c r="LM232" s="2214"/>
      <c r="LN232" s="2214"/>
      <c r="LO232" s="2214"/>
      <c r="LP232" s="2214"/>
      <c r="LQ232" s="2214"/>
      <c r="LR232" s="2214"/>
      <c r="LS232" s="2214"/>
      <c r="LT232" s="2214"/>
      <c r="LU232" s="2214"/>
      <c r="LV232" s="2214"/>
      <c r="LW232" s="2214"/>
      <c r="LX232" s="2214"/>
      <c r="LY232" s="2214"/>
      <c r="LZ232" s="2214"/>
      <c r="MA232" s="2214"/>
      <c r="MB232" s="2214"/>
      <c r="MC232" s="2214"/>
      <c r="MD232" s="2214"/>
      <c r="ME232" s="2214"/>
      <c r="MF232" s="2214"/>
      <c r="MG232" s="2214"/>
      <c r="MH232" s="2214"/>
      <c r="MI232" s="2214"/>
      <c r="MJ232" s="2214"/>
      <c r="MK232" s="2214"/>
      <c r="ML232" s="2214"/>
      <c r="MM232" s="2214"/>
      <c r="MN232" s="2214"/>
      <c r="MO232" s="2214"/>
      <c r="MP232" s="2214"/>
      <c r="MQ232" s="2214"/>
      <c r="MR232" s="2214"/>
      <c r="MS232" s="2214"/>
      <c r="MT232" s="2214"/>
      <c r="MU232" s="2214"/>
      <c r="MV232" s="2214"/>
      <c r="MW232" s="2214"/>
      <c r="MX232" s="2214"/>
      <c r="MY232" s="2214"/>
      <c r="MZ232" s="2214"/>
      <c r="NA232" s="2214"/>
      <c r="NB232" s="2214"/>
      <c r="NC232" s="2214"/>
      <c r="ND232" s="2214"/>
      <c r="NE232" s="2214"/>
      <c r="NF232" s="2214"/>
      <c r="NG232" s="2214"/>
      <c r="NH232" s="2214"/>
      <c r="NI232" s="2214"/>
      <c r="NJ232" s="2214"/>
      <c r="NK232" s="2214"/>
      <c r="NL232" s="2214"/>
      <c r="NM232" s="2214"/>
      <c r="NN232" s="2214"/>
      <c r="NO232" s="2214"/>
      <c r="NP232" s="2214"/>
      <c r="NQ232" s="2214"/>
      <c r="NR232" s="2214"/>
      <c r="NS232" s="2214"/>
      <c r="NT232" s="2214"/>
      <c r="NU232" s="2214"/>
      <c r="NV232" s="2214"/>
      <c r="NW232" s="2214"/>
      <c r="NX232" s="2214"/>
      <c r="NY232" s="2214"/>
      <c r="NZ232" s="2214"/>
      <c r="OA232" s="2214"/>
      <c r="OB232" s="2214"/>
      <c r="OC232" s="2214"/>
      <c r="OD232" s="2214"/>
      <c r="OE232" s="2214"/>
      <c r="OF232" s="2214"/>
      <c r="OG232" s="2214"/>
      <c r="OH232" s="2214"/>
      <c r="OI232" s="2214"/>
      <c r="OJ232" s="2214"/>
      <c r="OK232" s="2214"/>
      <c r="OL232" s="2214"/>
      <c r="OM232" s="2214"/>
      <c r="ON232" s="2214"/>
      <c r="OO232" s="2214"/>
      <c r="OP232" s="2214"/>
      <c r="OQ232" s="2214"/>
      <c r="OR232" s="2214"/>
      <c r="OS232" s="2214"/>
      <c r="OT232" s="2214"/>
      <c r="OU232" s="2214"/>
      <c r="OV232" s="2214"/>
      <c r="OW232" s="2214"/>
      <c r="OX232" s="2214"/>
      <c r="OY232" s="2214"/>
      <c r="OZ232" s="2214"/>
      <c r="PA232" s="2214"/>
      <c r="PB232" s="2214"/>
      <c r="PC232" s="2214"/>
      <c r="PD232" s="2214"/>
      <c r="PE232" s="2214"/>
      <c r="PF232" s="2214"/>
      <c r="PG232" s="2214"/>
      <c r="PH232" s="2214"/>
      <c r="PI232" s="2214"/>
      <c r="PJ232" s="2214"/>
      <c r="PK232" s="2214"/>
      <c r="PL232" s="2214"/>
      <c r="PM232" s="2214"/>
      <c r="PN232" s="2214"/>
      <c r="PO232" s="2214"/>
      <c r="PP232" s="2214"/>
      <c r="PQ232" s="2214"/>
      <c r="PR232" s="2214"/>
      <c r="PS232" s="2214"/>
      <c r="PT232" s="2214"/>
      <c r="PU232" s="2214"/>
      <c r="PV232" s="2214"/>
      <c r="PW232" s="2214"/>
      <c r="PX232" s="2214"/>
      <c r="PY232" s="2214"/>
      <c r="PZ232" s="2214"/>
      <c r="QA232" s="2214"/>
      <c r="QB232" s="2214"/>
      <c r="QC232" s="2214"/>
      <c r="QD232" s="2214"/>
      <c r="QE232" s="2214"/>
      <c r="QF232" s="2214"/>
      <c r="QG232" s="2214"/>
      <c r="QH232" s="2214"/>
      <c r="QI232" s="2214"/>
      <c r="QJ232" s="2214"/>
      <c r="QK232" s="2214"/>
      <c r="QL232" s="2214"/>
      <c r="QM232" s="2214"/>
      <c r="QN232" s="2214"/>
      <c r="QO232" s="2214"/>
      <c r="QP232" s="2214"/>
      <c r="QQ232" s="2214"/>
      <c r="QR232" s="2214"/>
      <c r="QS232" s="2214"/>
      <c r="QT232" s="2214"/>
      <c r="QU232" s="2214"/>
      <c r="QV232" s="2214"/>
      <c r="QW232" s="2214"/>
      <c r="QX232" s="2214"/>
      <c r="QY232" s="2214"/>
      <c r="QZ232" s="2214"/>
      <c r="RA232" s="2214"/>
      <c r="RB232" s="2214"/>
      <c r="RC232" s="2214"/>
      <c r="RD232" s="2214"/>
      <c r="RE232" s="2214"/>
      <c r="RF232" s="2214"/>
      <c r="RG232" s="2214"/>
      <c r="RH232" s="2214"/>
      <c r="RI232" s="2214"/>
      <c r="RJ232" s="2214"/>
      <c r="RK232" s="2214"/>
      <c r="RL232" s="2214"/>
      <c r="RM232" s="2214"/>
      <c r="RN232" s="2214"/>
      <c r="RO232" s="2214"/>
      <c r="RP232" s="2214"/>
      <c r="RQ232" s="2214"/>
      <c r="RR232" s="2214"/>
      <c r="RS232" s="2214"/>
      <c r="RT232" s="2214"/>
      <c r="RU232" s="2214"/>
      <c r="RV232" s="2214"/>
      <c r="RW232" s="2214"/>
      <c r="RX232" s="2214"/>
      <c r="RY232" s="2214"/>
      <c r="RZ232" s="2214"/>
      <c r="SA232" s="2214"/>
      <c r="SB232" s="2214"/>
      <c r="SC232" s="2214"/>
      <c r="SD232" s="2214"/>
      <c r="SE232" s="2214"/>
      <c r="SF232" s="2214"/>
      <c r="SG232" s="2214"/>
      <c r="SH232" s="2214"/>
      <c r="SI232" s="2214"/>
      <c r="SJ232" s="2214"/>
      <c r="SK232" s="2214"/>
      <c r="SL232" s="2214"/>
      <c r="SM232" s="2214"/>
      <c r="SN232" s="2214"/>
      <c r="SO232" s="2214"/>
      <c r="SP232" s="2214"/>
      <c r="SQ232" s="2214"/>
      <c r="SR232" s="2214"/>
      <c r="SS232" s="2214"/>
      <c r="ST232" s="2214"/>
      <c r="SU232" s="2214"/>
      <c r="SV232" s="2214"/>
      <c r="SW232" s="2214"/>
      <c r="SX232" s="2214"/>
      <c r="SY232" s="2214"/>
      <c r="SZ232" s="2214"/>
      <c r="TA232" s="2214"/>
      <c r="TB232" s="2214"/>
      <c r="TC232" s="2214"/>
      <c r="TD232" s="2214"/>
      <c r="TE232" s="2214"/>
      <c r="TF232" s="2214"/>
      <c r="TG232" s="2214"/>
      <c r="TH232" s="2214"/>
      <c r="TI232" s="2214"/>
      <c r="TJ232" s="2214"/>
      <c r="TK232" s="2214"/>
      <c r="TL232" s="2214"/>
      <c r="TM232" s="2214"/>
      <c r="TN232" s="2214"/>
      <c r="TO232" s="2214"/>
      <c r="TP232" s="2214"/>
      <c r="TQ232" s="2214"/>
      <c r="TR232" s="2214"/>
      <c r="TS232" s="2214"/>
      <c r="TT232" s="2214"/>
      <c r="TU232" s="2214"/>
      <c r="TV232" s="2214"/>
      <c r="TW232" s="2214"/>
      <c r="TX232" s="2214"/>
      <c r="TY232" s="2214"/>
      <c r="TZ232" s="2214"/>
      <c r="UA232" s="2214"/>
      <c r="UB232" s="2214"/>
      <c r="UC232" s="2214"/>
      <c r="UD232" s="2214"/>
      <c r="UE232" s="2214"/>
      <c r="UF232" s="2214"/>
      <c r="UG232" s="2214"/>
      <c r="UH232" s="2214"/>
      <c r="UI232" s="2214"/>
      <c r="UJ232" s="2214"/>
      <c r="UK232" s="2214"/>
      <c r="UL232" s="2214"/>
      <c r="UM232" s="2214"/>
      <c r="UN232" s="2214"/>
      <c r="UO232" s="2214"/>
      <c r="UP232" s="2214"/>
      <c r="UQ232" s="2214"/>
      <c r="UR232" s="2214"/>
      <c r="US232" s="2214"/>
      <c r="UT232" s="2214"/>
      <c r="UU232" s="2214"/>
      <c r="UV232" s="2214"/>
      <c r="UW232" s="2214"/>
      <c r="UX232" s="2214"/>
      <c r="UY232" s="2214"/>
      <c r="UZ232" s="2214"/>
      <c r="VA232" s="2214"/>
      <c r="VB232" s="2214"/>
      <c r="VC232" s="2214"/>
      <c r="VD232" s="2214"/>
      <c r="VE232" s="2214"/>
      <c r="VF232" s="2214"/>
      <c r="VG232" s="2214"/>
      <c r="VH232" s="2214"/>
      <c r="VI232" s="2214"/>
      <c r="VJ232" s="2214"/>
      <c r="VK232" s="2214"/>
      <c r="VL232" s="2214"/>
      <c r="VM232" s="2214"/>
      <c r="VN232" s="2214"/>
      <c r="VO232" s="2214"/>
      <c r="VP232" s="2214"/>
      <c r="VQ232" s="2214"/>
      <c r="VR232" s="2214"/>
      <c r="VS232" s="2214"/>
      <c r="VT232" s="2214"/>
      <c r="VU232" s="2214"/>
      <c r="VV232" s="2214"/>
      <c r="VW232" s="2214"/>
      <c r="VX232" s="2214"/>
      <c r="VY232" s="2214"/>
      <c r="VZ232" s="2214"/>
      <c r="WA232" s="2214"/>
      <c r="WB232" s="2214"/>
      <c r="WC232" s="2214"/>
      <c r="WD232" s="2214"/>
      <c r="WE232" s="2214"/>
      <c r="WF232" s="2214"/>
      <c r="WG232" s="2214"/>
      <c r="WH232" s="2214"/>
      <c r="WI232" s="2214"/>
      <c r="WJ232" s="2214"/>
      <c r="WK232" s="2214"/>
      <c r="WL232" s="2214"/>
      <c r="WM232" s="2214"/>
      <c r="WN232" s="2214"/>
      <c r="WO232" s="2214"/>
      <c r="WP232" s="2214"/>
      <c r="WQ232" s="2214"/>
      <c r="WR232" s="2214"/>
      <c r="WS232" s="2214"/>
      <c r="WT232" s="2214"/>
      <c r="WU232" s="2214"/>
      <c r="WV232" s="2214"/>
      <c r="WW232" s="2214"/>
      <c r="WX232" s="2214"/>
      <c r="WY232" s="2214"/>
      <c r="WZ232" s="2214"/>
      <c r="XA232" s="2214"/>
      <c r="XB232" s="2214"/>
      <c r="XC232" s="2214"/>
      <c r="XD232" s="2214"/>
      <c r="XE232" s="2214"/>
      <c r="XF232" s="2214"/>
      <c r="XG232" s="2214"/>
      <c r="XH232" s="2214"/>
      <c r="XI232" s="2214"/>
      <c r="XJ232" s="2214"/>
      <c r="XK232" s="2214"/>
      <c r="XL232" s="2214"/>
      <c r="XM232" s="2214"/>
      <c r="XN232" s="2214"/>
      <c r="XO232" s="2214"/>
      <c r="XP232" s="2214"/>
      <c r="XQ232" s="2214"/>
      <c r="XR232" s="2214"/>
      <c r="XS232" s="2214"/>
      <c r="XT232" s="2214"/>
      <c r="XU232" s="2214"/>
      <c r="XV232" s="2214"/>
      <c r="XW232" s="2214"/>
      <c r="XX232" s="2214"/>
      <c r="XY232" s="2214"/>
      <c r="XZ232" s="2214"/>
      <c r="YA232" s="2214"/>
      <c r="YB232" s="2214"/>
      <c r="YC232" s="2214"/>
      <c r="YD232" s="2214"/>
      <c r="YE232" s="2214"/>
      <c r="YF232" s="2214"/>
      <c r="YG232" s="2214"/>
      <c r="YH232" s="2214"/>
      <c r="YI232" s="2214"/>
      <c r="YJ232" s="2214"/>
      <c r="YK232" s="2214"/>
      <c r="YL232" s="2214"/>
      <c r="YM232" s="2214"/>
      <c r="YN232" s="2214"/>
      <c r="YO232" s="2214"/>
      <c r="YP232" s="2214"/>
      <c r="YQ232" s="2214"/>
      <c r="YR232" s="2214"/>
      <c r="YS232" s="2214"/>
      <c r="YT232" s="2214"/>
      <c r="YU232" s="2214"/>
      <c r="YV232" s="2214"/>
      <c r="YW232" s="2214"/>
      <c r="YX232" s="2214"/>
      <c r="YY232" s="2214"/>
      <c r="YZ232" s="2214"/>
      <c r="ZA232" s="2214"/>
      <c r="ZB232" s="2214"/>
      <c r="ZC232" s="2214"/>
      <c r="ZD232" s="2214"/>
      <c r="ZE232" s="2214"/>
      <c r="ZF232" s="2214"/>
      <c r="ZG232" s="2214"/>
      <c r="ZH232" s="2214"/>
      <c r="ZI232" s="2214"/>
      <c r="ZJ232" s="2214"/>
      <c r="ZK232" s="2214"/>
      <c r="ZL232" s="2214"/>
      <c r="ZM232" s="2214"/>
      <c r="ZN232" s="2214"/>
      <c r="ZO232" s="2214"/>
      <c r="ZP232" s="2214"/>
      <c r="ZQ232" s="2214"/>
      <c r="ZR232" s="2214"/>
      <c r="ZS232" s="2214"/>
      <c r="ZT232" s="2214"/>
      <c r="ZU232" s="2214"/>
      <c r="ZV232" s="2214"/>
      <c r="ZW232" s="2214"/>
      <c r="ZX232" s="2214"/>
      <c r="ZY232" s="2214"/>
      <c r="ZZ232" s="2214"/>
      <c r="AAA232" s="2214"/>
      <c r="AAB232" s="2214"/>
      <c r="AAC232" s="2214"/>
      <c r="AAD232" s="2214"/>
      <c r="AAE232" s="2214"/>
      <c r="AAF232" s="2214"/>
      <c r="AAG232" s="2214"/>
      <c r="AAH232" s="2214"/>
      <c r="AAI232" s="2214"/>
      <c r="AAJ232" s="2214"/>
      <c r="AAK232" s="2214"/>
      <c r="AAL232" s="2214"/>
      <c r="AAM232" s="2214"/>
      <c r="AAN232" s="2214"/>
      <c r="AAO232" s="2214"/>
      <c r="AAP232" s="2214"/>
      <c r="AAQ232" s="2214"/>
      <c r="AAR232" s="2214"/>
      <c r="AAS232" s="2214"/>
      <c r="AAT232" s="2214"/>
      <c r="AAU232" s="2214"/>
      <c r="AAV232" s="2214"/>
      <c r="AAW232" s="2214"/>
      <c r="AAX232" s="2214"/>
      <c r="AAY232" s="2214"/>
      <c r="AAZ232" s="2214"/>
      <c r="ABA232" s="2214"/>
      <c r="ABB232" s="2214"/>
      <c r="ABC232" s="2214"/>
      <c r="ABD232" s="2214"/>
      <c r="ABE232" s="2214"/>
      <c r="ABF232" s="2214"/>
      <c r="ABG232" s="2214"/>
      <c r="ABH232" s="2214"/>
      <c r="ABI232" s="2214"/>
      <c r="ABJ232" s="2214"/>
      <c r="ABK232" s="2214"/>
      <c r="ABL232" s="2214"/>
      <c r="ABM232" s="2214"/>
      <c r="ABN232" s="2214"/>
      <c r="ABO232" s="2214"/>
      <c r="ABP232" s="2214"/>
      <c r="ABQ232" s="2214"/>
      <c r="ABR232" s="2214"/>
      <c r="ABS232" s="2214"/>
      <c r="ABT232" s="2214"/>
      <c r="ABU232" s="2214"/>
      <c r="ABV232" s="2214"/>
      <c r="ABW232" s="2214"/>
      <c r="ABX232" s="2214"/>
      <c r="ABY232" s="2214"/>
      <c r="ABZ232" s="2214"/>
      <c r="ACA232" s="2214"/>
      <c r="ACB232" s="2214"/>
      <c r="ACC232" s="2214"/>
      <c r="ACD232" s="2214"/>
      <c r="ACE232" s="2214"/>
      <c r="ACF232" s="2214"/>
      <c r="ACG232" s="2214"/>
      <c r="ACH232" s="2214"/>
      <c r="ACI232" s="2214"/>
      <c r="ACJ232" s="2214"/>
      <c r="ACK232" s="2214"/>
      <c r="ACL232" s="2214"/>
      <c r="ACM232" s="2214"/>
      <c r="ACN232" s="2214"/>
      <c r="ACO232" s="2214"/>
      <c r="ACP232" s="2214"/>
      <c r="ACQ232" s="2214"/>
      <c r="ACR232" s="2214"/>
      <c r="ACS232" s="2214"/>
      <c r="ACT232" s="2214"/>
      <c r="ACU232" s="2214"/>
      <c r="ACV232" s="2214"/>
      <c r="ACW232" s="2214"/>
      <c r="ACX232" s="2214"/>
      <c r="ACY232" s="2214"/>
      <c r="ACZ232" s="2214"/>
      <c r="ADA232" s="2214"/>
      <c r="ADB232" s="2214"/>
      <c r="ADC232" s="2214"/>
      <c r="ADD232" s="2214"/>
      <c r="ADE232" s="2214"/>
      <c r="ADF232" s="2214"/>
      <c r="ADG232" s="2214"/>
      <c r="ADH232" s="2214"/>
      <c r="ADI232" s="2214"/>
      <c r="ADJ232" s="2214"/>
      <c r="ADK232" s="2214"/>
      <c r="ADL232" s="2214"/>
      <c r="ADM232" s="2214"/>
      <c r="ADN232" s="2214"/>
      <c r="ADO232" s="2214"/>
      <c r="ADP232" s="2214"/>
      <c r="ADQ232" s="2214"/>
      <c r="ADR232" s="2214"/>
      <c r="ADS232" s="2214"/>
      <c r="ADT232" s="2214"/>
      <c r="ADU232" s="2214"/>
      <c r="ADV232" s="2214"/>
      <c r="ADW232" s="2214"/>
      <c r="ADX232" s="2214"/>
      <c r="ADY232" s="2214"/>
      <c r="ADZ232" s="2214"/>
      <c r="AEA232" s="2214"/>
      <c r="AEB232" s="2214"/>
      <c r="AEC232" s="2214"/>
      <c r="AED232" s="2214"/>
      <c r="AEE232" s="2214"/>
      <c r="AEF232" s="2214"/>
      <c r="AEG232" s="2214"/>
      <c r="AEH232" s="2214"/>
      <c r="AEI232" s="2214"/>
      <c r="AEJ232" s="2214"/>
      <c r="AEK232" s="2214"/>
      <c r="AEL232" s="2214"/>
      <c r="AEM232" s="2214"/>
      <c r="AEN232" s="2214"/>
      <c r="AEO232" s="2214"/>
      <c r="AEP232" s="2214"/>
      <c r="AEQ232" s="2214"/>
      <c r="AER232" s="2214"/>
      <c r="AES232" s="2214"/>
      <c r="AET232" s="2214"/>
      <c r="AEU232" s="2214"/>
      <c r="AEV232" s="2214"/>
      <c r="AEW232" s="2214"/>
      <c r="AEX232" s="2214"/>
      <c r="AEY232" s="2214"/>
      <c r="AEZ232" s="2214"/>
      <c r="AFA232" s="2214"/>
      <c r="AFB232" s="2214"/>
      <c r="AFC232" s="2214"/>
      <c r="AFD232" s="2214"/>
      <c r="AFE232" s="2214"/>
      <c r="AFF232" s="2214"/>
      <c r="AFG232" s="2214"/>
      <c r="AFH232" s="2214"/>
      <c r="AFI232" s="2214"/>
      <c r="AFJ232" s="2214"/>
      <c r="AFK232" s="2214"/>
      <c r="AFL232" s="2214"/>
      <c r="AFM232" s="2214"/>
      <c r="AFN232" s="2214"/>
      <c r="AFO232" s="2214"/>
      <c r="AFP232" s="2214"/>
      <c r="AFQ232" s="2214"/>
      <c r="AFR232" s="2214"/>
      <c r="AFS232" s="2214"/>
      <c r="AFT232" s="2214"/>
      <c r="AFU232" s="2214"/>
      <c r="AFV232" s="2214"/>
      <c r="AFW232" s="2214"/>
      <c r="AFX232" s="2214"/>
      <c r="AFY232" s="2214"/>
      <c r="AFZ232" s="2214"/>
      <c r="AGA232" s="2214"/>
      <c r="AGB232" s="2214"/>
      <c r="AGC232" s="2214"/>
      <c r="AGD232" s="2214"/>
      <c r="AGE232" s="2214"/>
      <c r="AGF232" s="2214"/>
      <c r="AGG232" s="2214"/>
      <c r="AGH232" s="2214"/>
      <c r="AGI232" s="2214"/>
      <c r="AGJ232" s="2214"/>
      <c r="AGK232" s="2214"/>
      <c r="AGL232" s="2214"/>
      <c r="AGM232" s="2214"/>
      <c r="AGN232" s="2214"/>
      <c r="AGO232" s="2214"/>
      <c r="AGP232" s="2214"/>
      <c r="AGQ232" s="2214"/>
      <c r="AGR232" s="2214"/>
      <c r="AGS232" s="2214"/>
      <c r="AGT232" s="2214"/>
      <c r="AGU232" s="2214"/>
      <c r="AGV232" s="2214"/>
      <c r="AGW232" s="2214"/>
      <c r="AGX232" s="2214"/>
      <c r="AGY232" s="2214"/>
      <c r="AGZ232" s="2214"/>
      <c r="AHA232" s="2214"/>
      <c r="AHB232" s="2214"/>
      <c r="AHC232" s="2214"/>
      <c r="AHD232" s="2214"/>
      <c r="AHE232" s="2214"/>
      <c r="AHF232" s="2214"/>
      <c r="AHG232" s="2214"/>
      <c r="AHH232" s="2214"/>
      <c r="AHI232" s="2214"/>
      <c r="AHJ232" s="2214"/>
      <c r="AHK232" s="2214"/>
      <c r="AHL232" s="2214"/>
      <c r="AHM232" s="2214"/>
      <c r="AHN232" s="2214"/>
      <c r="AHO232" s="2214"/>
      <c r="AHP232" s="2214"/>
      <c r="AHQ232" s="2214"/>
      <c r="AHR232" s="2214"/>
      <c r="AHS232" s="2214"/>
      <c r="AHT232" s="2214"/>
      <c r="AHU232" s="2214"/>
      <c r="AHV232" s="2214"/>
      <c r="AHW232" s="2214"/>
      <c r="AHX232" s="2214"/>
      <c r="AHY232" s="2214"/>
      <c r="AHZ232" s="2214"/>
      <c r="AIA232" s="2214"/>
      <c r="AIB232" s="2214"/>
      <c r="AIC232" s="2214"/>
      <c r="AID232" s="2214"/>
      <c r="AIE232" s="2214"/>
      <c r="AIF232" s="2214"/>
      <c r="AIG232" s="2214"/>
      <c r="AIH232" s="2214"/>
      <c r="AII232" s="2214"/>
      <c r="AIJ232" s="2214"/>
      <c r="AIK232" s="2214"/>
      <c r="AIL232" s="2214"/>
      <c r="AIM232" s="2214"/>
      <c r="AIN232" s="2214"/>
      <c r="AIO232" s="2214"/>
      <c r="AIP232" s="2214"/>
      <c r="AIQ232" s="2214"/>
      <c r="AIR232" s="2214"/>
      <c r="AIS232" s="2214"/>
      <c r="AIT232" s="2214"/>
      <c r="AIU232" s="2214"/>
      <c r="AIV232" s="2214"/>
      <c r="AIW232" s="2214"/>
      <c r="AIX232" s="2214"/>
      <c r="AIY232" s="2214"/>
      <c r="AIZ232" s="2214"/>
      <c r="AJA232" s="2214"/>
      <c r="AJB232" s="2214"/>
      <c r="AJC232" s="2214"/>
      <c r="AJD232" s="2214"/>
      <c r="AJE232" s="2214"/>
      <c r="AJF232" s="2214"/>
      <c r="AJG232" s="2214"/>
      <c r="AJH232" s="2214"/>
      <c r="AJI232" s="2214"/>
      <c r="AJJ232" s="2214"/>
      <c r="AJK232" s="2214"/>
      <c r="AJL232" s="2214"/>
      <c r="AJM232" s="2214"/>
      <c r="AJN232" s="2214"/>
      <c r="AJO232" s="2214"/>
      <c r="AJP232" s="2214"/>
      <c r="AJQ232" s="2214"/>
      <c r="AJR232" s="2214"/>
      <c r="AJS232" s="2214"/>
      <c r="AJT232" s="2214"/>
      <c r="AJU232" s="2214"/>
      <c r="AJV232" s="2214"/>
      <c r="AJW232" s="2214"/>
      <c r="AJX232" s="2214"/>
      <c r="AJY232" s="2214"/>
      <c r="AJZ232" s="2214"/>
      <c r="AKA232" s="2214"/>
      <c r="AKB232" s="2214"/>
      <c r="AKC232" s="2214"/>
      <c r="AKD232" s="2214"/>
      <c r="AKE232" s="2214"/>
      <c r="AKF232" s="2214"/>
      <c r="AKG232" s="2214"/>
      <c r="AKH232" s="2214"/>
      <c r="AKI232" s="2214"/>
      <c r="AKJ232" s="2214"/>
      <c r="AKK232" s="2214"/>
      <c r="AKL232" s="2214"/>
      <c r="AKM232" s="2214"/>
      <c r="AKN232" s="2214"/>
      <c r="AKO232" s="2214"/>
      <c r="AKP232" s="2214"/>
      <c r="AKQ232" s="2214"/>
      <c r="AKR232" s="2214"/>
      <c r="AKS232" s="2214"/>
      <c r="AKT232" s="2214"/>
      <c r="AKU232" s="2214"/>
      <c r="AKV232" s="2214"/>
      <c r="AKW232" s="2214"/>
      <c r="AKX232" s="2214"/>
      <c r="AKY232" s="2214"/>
      <c r="AKZ232" s="2214"/>
      <c r="ALA232" s="2214"/>
      <c r="ALB232" s="2214"/>
      <c r="ALC232" s="2214"/>
      <c r="ALD232" s="2214"/>
      <c r="ALE232" s="2214"/>
      <c r="ALF232" s="2214"/>
      <c r="ALG232" s="2214"/>
      <c r="ALH232" s="2214"/>
      <c r="ALI232" s="2214"/>
      <c r="ALJ232" s="2214"/>
      <c r="ALK232" s="2214"/>
      <c r="ALL232" s="2214"/>
      <c r="ALM232" s="2214"/>
      <c r="ALN232" s="2214"/>
      <c r="ALO232" s="2214"/>
      <c r="ALP232" s="2214"/>
      <c r="ALQ232" s="2214"/>
      <c r="ALR232" s="2214"/>
      <c r="ALS232" s="2214"/>
      <c r="ALT232" s="2214"/>
      <c r="ALU232" s="2214"/>
      <c r="ALV232" s="2214"/>
      <c r="ALW232" s="2214"/>
      <c r="ALX232" s="2214"/>
      <c r="ALY232" s="2214"/>
      <c r="ALZ232" s="2214"/>
      <c r="AMA232" s="2214"/>
      <c r="AMB232" s="2214"/>
      <c r="AMC232" s="2214"/>
      <c r="AMD232" s="2214"/>
      <c r="AME232" s="2214"/>
      <c r="AMF232" s="2214"/>
      <c r="AMG232" s="2214"/>
      <c r="AMH232" s="2214"/>
      <c r="AMI232" s="2214"/>
      <c r="AMJ232" s="2214"/>
      <c r="AMK232" s="2214"/>
      <c r="AML232" s="2214"/>
      <c r="AMM232" s="2214"/>
      <c r="AMN232" s="2214"/>
      <c r="AMO232" s="2214"/>
      <c r="AMP232" s="2214"/>
      <c r="AMQ232" s="2214"/>
      <c r="AMR232" s="2214"/>
      <c r="AMS232" s="2214"/>
      <c r="AMT232" s="2214"/>
      <c r="AMU232" s="2214"/>
      <c r="AMV232" s="2214"/>
      <c r="AMW232" s="2214"/>
      <c r="AMX232" s="2214"/>
      <c r="AMY232" s="2214"/>
      <c r="AMZ232" s="2214"/>
      <c r="ANA232" s="2214"/>
      <c r="ANB232" s="2214"/>
      <c r="ANC232" s="2214"/>
      <c r="AND232" s="2214"/>
      <c r="ANE232" s="2214"/>
      <c r="ANF232" s="2214"/>
      <c r="ANG232" s="2214"/>
      <c r="ANH232" s="2214"/>
      <c r="ANI232" s="2214"/>
      <c r="ANJ232" s="2214"/>
      <c r="ANK232" s="2214"/>
      <c r="ANL232" s="2214"/>
      <c r="ANM232" s="2214"/>
      <c r="ANN232" s="2214"/>
      <c r="ANO232" s="2214"/>
      <c r="ANP232" s="2214"/>
      <c r="ANQ232" s="2214"/>
      <c r="ANR232" s="2214"/>
      <c r="ANS232" s="2214"/>
      <c r="ANT232" s="2214"/>
      <c r="ANU232" s="2214"/>
      <c r="ANV232" s="2214"/>
      <c r="ANW232" s="2214"/>
      <c r="ANX232" s="2214"/>
      <c r="ANY232" s="2214"/>
      <c r="ANZ232" s="2214"/>
      <c r="AOA232" s="2214"/>
      <c r="AOB232" s="2214"/>
      <c r="AOC232" s="2214"/>
      <c r="AOD232" s="2214"/>
      <c r="AOE232" s="2214"/>
      <c r="AOF232" s="2214"/>
      <c r="AOG232" s="2214"/>
      <c r="AOH232" s="2214"/>
      <c r="AOI232" s="2214"/>
      <c r="AOJ232" s="2214"/>
      <c r="AOK232" s="2214"/>
      <c r="AOL232" s="2214"/>
      <c r="AOM232" s="2214"/>
      <c r="AON232" s="2214"/>
      <c r="AOO232" s="2214"/>
      <c r="AOP232" s="2214"/>
      <c r="AOQ232" s="2214"/>
      <c r="AOR232" s="2214"/>
      <c r="AOS232" s="2214"/>
      <c r="AOT232" s="2214"/>
      <c r="AOU232" s="2214"/>
      <c r="AOV232" s="2214"/>
      <c r="AOW232" s="2214"/>
      <c r="AOX232" s="2214"/>
      <c r="AOY232" s="2214"/>
      <c r="AOZ232" s="2214"/>
      <c r="APA232" s="2214"/>
      <c r="APB232" s="2214"/>
      <c r="APC232" s="2214"/>
      <c r="APD232" s="2214"/>
      <c r="APE232" s="2214"/>
      <c r="APF232" s="2214"/>
      <c r="APG232" s="2214"/>
      <c r="APH232" s="2214"/>
      <c r="API232" s="2214"/>
      <c r="APJ232" s="2214"/>
      <c r="APK232" s="2214"/>
      <c r="APL232" s="2214"/>
      <c r="APM232" s="2214"/>
      <c r="APN232" s="2214"/>
      <c r="APO232" s="2214"/>
      <c r="APP232" s="2214"/>
      <c r="APQ232" s="2214"/>
      <c r="APR232" s="2214"/>
      <c r="APS232" s="2214"/>
      <c r="APT232" s="2214"/>
      <c r="APU232" s="2214"/>
      <c r="APV232" s="2214"/>
      <c r="APW232" s="2214"/>
      <c r="APX232" s="2214"/>
      <c r="APY232" s="2214"/>
      <c r="APZ232" s="2214"/>
      <c r="AQA232" s="2214"/>
      <c r="AQB232" s="2214"/>
      <c r="AQC232" s="2214"/>
      <c r="AQD232" s="2214"/>
      <c r="AQE232" s="2214"/>
      <c r="AQF232" s="2214"/>
      <c r="AQG232" s="2214"/>
      <c r="AQH232" s="2214"/>
      <c r="AQI232" s="2214"/>
      <c r="AQJ232" s="2214"/>
      <c r="AQK232" s="2214"/>
      <c r="AQL232" s="2214"/>
      <c r="AQM232" s="2214"/>
      <c r="AQN232" s="2214"/>
      <c r="AQO232" s="2214"/>
      <c r="AQP232" s="2214"/>
      <c r="AQQ232" s="2214"/>
      <c r="AQR232" s="2214"/>
      <c r="AQS232" s="2214"/>
      <c r="AQT232" s="2214"/>
      <c r="AQU232" s="2214"/>
      <c r="AQV232" s="2214"/>
      <c r="AQW232" s="2214"/>
      <c r="AQX232" s="2214"/>
      <c r="AQY232" s="2214"/>
      <c r="AQZ232" s="2214"/>
      <c r="ARA232" s="2214"/>
      <c r="ARB232" s="2214"/>
      <c r="ARC232" s="2214"/>
      <c r="ARD232" s="2214"/>
      <c r="ARE232" s="2214"/>
      <c r="ARF232" s="2214"/>
      <c r="ARG232" s="2214"/>
      <c r="ARH232" s="2214"/>
      <c r="ARI232" s="2214"/>
      <c r="ARJ232" s="2214"/>
      <c r="ARK232" s="2214"/>
      <c r="ARL232" s="2214"/>
      <c r="ARM232" s="2214"/>
      <c r="ARN232" s="2214"/>
      <c r="ARO232" s="2214"/>
      <c r="ARP232" s="2214"/>
      <c r="ARQ232" s="2214"/>
      <c r="ARR232" s="2214"/>
      <c r="ARS232" s="2214"/>
      <c r="ART232" s="2214"/>
      <c r="ARU232" s="2214"/>
      <c r="ARV232" s="2214"/>
      <c r="ARW232" s="2214"/>
      <c r="ARX232" s="2214"/>
      <c r="ARY232" s="2214"/>
      <c r="ARZ232" s="2214"/>
      <c r="ASA232" s="2214"/>
      <c r="ASB232" s="2214"/>
      <c r="ASC232" s="2214"/>
      <c r="ASD232" s="2214"/>
      <c r="ASE232" s="2214"/>
      <c r="ASF232" s="2214"/>
      <c r="ASG232" s="2214"/>
      <c r="ASH232" s="2214"/>
      <c r="ASI232" s="2214"/>
      <c r="ASJ232" s="2214"/>
      <c r="ASK232" s="2214"/>
      <c r="ASL232" s="2214"/>
      <c r="ASM232" s="2214"/>
      <c r="ASN232" s="2214"/>
      <c r="ASO232" s="2214"/>
      <c r="ASP232" s="2214"/>
      <c r="ASQ232" s="2214"/>
      <c r="ASR232" s="2214"/>
      <c r="ASS232" s="2214"/>
      <c r="AST232" s="2214"/>
      <c r="ASU232" s="2214"/>
      <c r="ASV232" s="2214"/>
      <c r="ASW232" s="2214"/>
      <c r="ASX232" s="2214"/>
      <c r="ASY232" s="2214"/>
      <c r="ASZ232" s="2214"/>
      <c r="ATA232" s="2214"/>
      <c r="ATB232" s="2214"/>
      <c r="ATC232" s="2214"/>
      <c r="ATD232" s="2214"/>
      <c r="ATE232" s="2214"/>
      <c r="ATF232" s="2214"/>
      <c r="ATG232" s="2214"/>
      <c r="ATH232" s="2214"/>
      <c r="ATI232" s="2214"/>
      <c r="ATJ232" s="2214"/>
      <c r="ATK232" s="2214"/>
      <c r="ATL232" s="2214"/>
      <c r="ATM232" s="2214"/>
      <c r="ATN232" s="2214"/>
      <c r="ATO232" s="2214"/>
      <c r="ATP232" s="2214"/>
      <c r="ATQ232" s="2214"/>
      <c r="ATR232" s="2214"/>
      <c r="ATS232" s="2214"/>
      <c r="ATT232" s="2214"/>
      <c r="ATU232" s="2214"/>
      <c r="ATV232" s="2214"/>
      <c r="ATW232" s="2214"/>
      <c r="ATX232" s="2214"/>
      <c r="ATY232" s="2214"/>
      <c r="ATZ232" s="2214"/>
      <c r="AUA232" s="2214"/>
      <c r="AUB232" s="2214"/>
      <c r="AUC232" s="2214"/>
      <c r="AUD232" s="2214"/>
      <c r="AUE232" s="2214"/>
      <c r="AUF232" s="2214"/>
      <c r="AUG232" s="2214"/>
      <c r="AUH232" s="2214"/>
      <c r="AUI232" s="2214"/>
      <c r="AUJ232" s="2214"/>
      <c r="AUK232" s="2214"/>
      <c r="AUL232" s="2214"/>
      <c r="AUM232" s="2214"/>
      <c r="AUN232" s="2214"/>
      <c r="AUO232" s="2214"/>
      <c r="AUP232" s="2214"/>
      <c r="AUQ232" s="2214"/>
      <c r="AUR232" s="2214"/>
      <c r="AUS232" s="2214"/>
      <c r="AUT232" s="2214"/>
      <c r="AUU232" s="2214"/>
      <c r="AUV232" s="2214"/>
      <c r="AUW232" s="2214"/>
      <c r="AUX232" s="2214"/>
      <c r="AUY232" s="2214"/>
      <c r="AUZ232" s="2214"/>
      <c r="AVA232" s="2214"/>
      <c r="AVB232" s="2214"/>
      <c r="AVC232" s="2214"/>
      <c r="AVD232" s="2214"/>
      <c r="AVE232" s="2214"/>
      <c r="AVF232" s="2214"/>
      <c r="AVG232" s="2214"/>
      <c r="AVH232" s="2214"/>
      <c r="AVI232" s="2214"/>
      <c r="AVJ232" s="2214"/>
      <c r="AVK232" s="2214"/>
      <c r="AVL232" s="2214"/>
      <c r="AVM232" s="2214"/>
      <c r="AVN232" s="2214"/>
      <c r="AVO232" s="2214"/>
      <c r="AVP232" s="2214"/>
      <c r="AVQ232" s="2214"/>
      <c r="AVR232" s="2214"/>
      <c r="AVS232" s="2214"/>
      <c r="AVT232" s="2214"/>
      <c r="AVU232" s="2214"/>
      <c r="AVV232" s="2214"/>
      <c r="AVW232" s="2214"/>
      <c r="AVX232" s="2214"/>
      <c r="AVY232" s="2214"/>
      <c r="AVZ232" s="2214"/>
      <c r="AWA232" s="2214"/>
      <c r="AWB232" s="2214"/>
      <c r="AWC232" s="2214"/>
      <c r="AWD232" s="2214"/>
      <c r="AWE232" s="2214"/>
      <c r="AWF232" s="2214"/>
      <c r="AWG232" s="2214"/>
      <c r="AWH232" s="2214"/>
      <c r="AWI232" s="2214"/>
      <c r="AWJ232" s="2214"/>
      <c r="AWK232" s="2214"/>
      <c r="AWL232" s="2214"/>
      <c r="AWM232" s="2214"/>
      <c r="AWN232" s="2214"/>
      <c r="AWO232" s="2214"/>
      <c r="AWP232" s="2214"/>
      <c r="AWQ232" s="2214"/>
      <c r="AWR232" s="2214"/>
      <c r="AWS232" s="2214"/>
      <c r="AWT232" s="2214"/>
      <c r="AWU232" s="2214"/>
      <c r="AWV232" s="2214"/>
      <c r="AWW232" s="2214"/>
      <c r="AWX232" s="2214"/>
      <c r="AWY232" s="2214"/>
      <c r="AWZ232" s="2214"/>
      <c r="AXA232" s="2214"/>
      <c r="AXB232" s="2214"/>
      <c r="AXC232" s="2214"/>
      <c r="AXD232" s="2214"/>
      <c r="AXE232" s="2214"/>
      <c r="AXF232" s="2214"/>
      <c r="AXG232" s="2214"/>
      <c r="AXH232" s="2214"/>
      <c r="AXI232" s="2214"/>
      <c r="AXJ232" s="2214"/>
    </row>
    <row r="233" spans="1:1310" s="2215" customFormat="1" ht="23.25" customHeight="1">
      <c r="A233" s="756"/>
      <c r="B233" s="2216"/>
      <c r="C233" s="2216"/>
      <c r="D233" s="2216"/>
      <c r="E233" s="2216"/>
      <c r="F233" s="750"/>
      <c r="G233" s="743"/>
      <c r="H233" s="743"/>
      <c r="I233" s="743"/>
      <c r="J233" s="2217"/>
      <c r="K233" s="743"/>
      <c r="L233" s="743"/>
      <c r="M233" s="743"/>
      <c r="N233" s="2217"/>
      <c r="O233" s="9016" t="s">
        <v>1600</v>
      </c>
      <c r="P233" s="9016"/>
      <c r="Q233" s="2217"/>
      <c r="R233" s="311"/>
      <c r="S233" s="311"/>
      <c r="T233" s="311"/>
      <c r="U233" s="311"/>
      <c r="V233" s="311"/>
      <c r="W233" s="311"/>
      <c r="X233" s="311"/>
      <c r="Y233" s="311"/>
      <c r="Z233" s="311"/>
      <c r="AA233" s="311"/>
      <c r="AB233" s="311"/>
      <c r="AC233" s="311"/>
      <c r="AD233" s="2214"/>
      <c r="AE233" s="2214"/>
      <c r="AF233" s="2214"/>
      <c r="AG233" s="2214"/>
      <c r="AH233" s="2214"/>
      <c r="AI233" s="2214"/>
      <c r="AJ233" s="2214"/>
      <c r="AK233" s="2214"/>
      <c r="AL233" s="2214"/>
      <c r="AM233" s="2214"/>
      <c r="AN233" s="2214"/>
      <c r="AO233" s="2214"/>
      <c r="AP233" s="2214"/>
      <c r="AQ233" s="2214"/>
      <c r="AR233" s="2214"/>
      <c r="AS233" s="2214"/>
      <c r="AT233" s="2214"/>
      <c r="AU233" s="2214"/>
      <c r="AV233" s="2214"/>
      <c r="AW233" s="2214"/>
      <c r="AX233" s="2214"/>
      <c r="AY233" s="2214"/>
      <c r="AZ233" s="2214"/>
      <c r="BA233" s="2214"/>
      <c r="BB233" s="2214"/>
      <c r="BC233" s="2214"/>
      <c r="BD233" s="2214"/>
      <c r="BE233" s="2214"/>
      <c r="BF233" s="2214"/>
      <c r="BG233" s="2214"/>
      <c r="BH233" s="2214"/>
      <c r="BI233" s="2214"/>
      <c r="BJ233" s="2214"/>
      <c r="BK233" s="2214"/>
      <c r="BL233" s="2214"/>
      <c r="BM233" s="2214"/>
      <c r="BN233" s="2214"/>
      <c r="BO233" s="2214"/>
      <c r="BP233" s="2214"/>
      <c r="BQ233" s="2214"/>
      <c r="BR233" s="2214"/>
      <c r="BS233" s="2214"/>
      <c r="BT233" s="2214"/>
      <c r="BU233" s="2214"/>
      <c r="BV233" s="2214"/>
      <c r="BW233" s="2214"/>
      <c r="BX233" s="2214"/>
      <c r="BY233" s="2214"/>
      <c r="BZ233" s="2214"/>
      <c r="CA233" s="2214"/>
      <c r="CB233" s="2214"/>
      <c r="CC233" s="2214"/>
      <c r="CD233" s="2214"/>
      <c r="CE233" s="2214"/>
      <c r="CF233" s="2214"/>
      <c r="CG233" s="2214"/>
      <c r="CH233" s="2214"/>
      <c r="CI233" s="2214"/>
      <c r="CJ233" s="2214"/>
      <c r="CK233" s="2214"/>
      <c r="CL233" s="2214"/>
      <c r="CM233" s="2214"/>
      <c r="CN233" s="2214"/>
      <c r="CO233" s="2214"/>
      <c r="CP233" s="2214"/>
      <c r="CQ233" s="2214"/>
      <c r="CR233" s="2214"/>
      <c r="CS233" s="2214"/>
      <c r="CT233" s="2214"/>
      <c r="CU233" s="2214"/>
      <c r="CV233" s="2214"/>
      <c r="CW233" s="2214"/>
      <c r="CX233" s="2214"/>
      <c r="CY233" s="2214"/>
      <c r="CZ233" s="2214"/>
      <c r="DA233" s="2214"/>
      <c r="DB233" s="2214"/>
      <c r="DC233" s="2214"/>
      <c r="DD233" s="2214"/>
      <c r="DE233" s="2214"/>
      <c r="DF233" s="2214"/>
      <c r="DG233" s="2214"/>
      <c r="DH233" s="2214"/>
      <c r="DI233" s="2214"/>
      <c r="DJ233" s="2214"/>
      <c r="DK233" s="2214"/>
      <c r="DL233" s="2214"/>
      <c r="DM233" s="2214"/>
      <c r="DN233" s="2214"/>
      <c r="DO233" s="2214"/>
      <c r="DP233" s="2214"/>
      <c r="DQ233" s="2214"/>
      <c r="DR233" s="2214"/>
      <c r="DS233" s="2214"/>
      <c r="DT233" s="2214"/>
      <c r="DU233" s="2214"/>
      <c r="DV233" s="2214"/>
      <c r="DW233" s="2214"/>
      <c r="DX233" s="2214"/>
      <c r="DY233" s="2214"/>
      <c r="DZ233" s="2214"/>
      <c r="EA233" s="2214"/>
      <c r="EB233" s="2214"/>
      <c r="EC233" s="2214"/>
      <c r="ED233" s="2214"/>
      <c r="EE233" s="2214"/>
      <c r="EF233" s="2214"/>
      <c r="EG233" s="2214"/>
      <c r="EH233" s="2214"/>
      <c r="EI233" s="2214"/>
      <c r="EJ233" s="2214"/>
      <c r="EK233" s="2214"/>
      <c r="EL233" s="2214"/>
      <c r="EM233" s="2214"/>
      <c r="EN233" s="2214"/>
      <c r="EO233" s="2214"/>
      <c r="EP233" s="2214"/>
      <c r="EQ233" s="2214"/>
      <c r="ER233" s="2214"/>
      <c r="ES233" s="2214"/>
      <c r="ET233" s="2214"/>
      <c r="EU233" s="2214"/>
      <c r="EV233" s="2214"/>
      <c r="EW233" s="2214"/>
      <c r="EX233" s="2214"/>
      <c r="EY233" s="2214"/>
      <c r="EZ233" s="2214"/>
      <c r="FA233" s="2214"/>
      <c r="FB233" s="2214"/>
      <c r="FC233" s="2214"/>
      <c r="FD233" s="2214"/>
      <c r="FE233" s="2214"/>
      <c r="FF233" s="2214"/>
      <c r="FG233" s="2214"/>
      <c r="FH233" s="2214"/>
      <c r="FI233" s="2214"/>
      <c r="FJ233" s="2214"/>
      <c r="FK233" s="2214"/>
      <c r="FL233" s="2214"/>
      <c r="FM233" s="2214"/>
      <c r="FN233" s="2214"/>
      <c r="FO233" s="2214"/>
      <c r="FP233" s="2214"/>
      <c r="FQ233" s="2214"/>
      <c r="FR233" s="2214"/>
      <c r="FS233" s="2214"/>
      <c r="FT233" s="2214"/>
      <c r="FU233" s="2214"/>
      <c r="FV233" s="2214"/>
      <c r="FW233" s="2214"/>
      <c r="FX233" s="2214"/>
      <c r="FY233" s="2214"/>
      <c r="FZ233" s="2214"/>
      <c r="GA233" s="2214"/>
      <c r="GB233" s="2214"/>
      <c r="GC233" s="2214"/>
      <c r="GD233" s="2214"/>
      <c r="GE233" s="2214"/>
      <c r="GF233" s="2214"/>
      <c r="GG233" s="2214"/>
      <c r="GH233" s="2214"/>
      <c r="GI233" s="2214"/>
      <c r="GJ233" s="2214"/>
      <c r="GK233" s="2214"/>
      <c r="GL233" s="2214"/>
      <c r="GM233" s="2214"/>
      <c r="GN233" s="2214"/>
      <c r="GO233" s="2214"/>
      <c r="GP233" s="2214"/>
      <c r="GQ233" s="2214"/>
      <c r="GR233" s="2214"/>
      <c r="GS233" s="2214"/>
      <c r="GT233" s="2214"/>
      <c r="GU233" s="2214"/>
      <c r="GV233" s="2214"/>
      <c r="GW233" s="2214"/>
      <c r="GX233" s="2214"/>
      <c r="GY233" s="2214"/>
      <c r="GZ233" s="2214"/>
      <c r="HA233" s="2214"/>
      <c r="HB233" s="2214"/>
      <c r="HC233" s="2214"/>
      <c r="HD233" s="2214"/>
      <c r="HE233" s="2214"/>
      <c r="HF233" s="2214"/>
      <c r="HG233" s="2214"/>
      <c r="HH233" s="2214"/>
      <c r="HI233" s="2214"/>
      <c r="HJ233" s="2214"/>
      <c r="HK233" s="2214"/>
      <c r="HL233" s="2214"/>
      <c r="HM233" s="2214"/>
      <c r="HN233" s="2214"/>
      <c r="HO233" s="2214"/>
      <c r="HP233" s="2214"/>
      <c r="HQ233" s="2214"/>
      <c r="HR233" s="2214"/>
      <c r="HS233" s="2214"/>
      <c r="HT233" s="2214"/>
      <c r="HU233" s="2214"/>
      <c r="HV233" s="2214"/>
      <c r="HW233" s="2214"/>
      <c r="HX233" s="2214"/>
      <c r="HY233" s="2214"/>
      <c r="HZ233" s="2214"/>
      <c r="IA233" s="2214"/>
      <c r="IB233" s="2214"/>
      <c r="IC233" s="2214"/>
      <c r="ID233" s="2214"/>
      <c r="IE233" s="2214"/>
      <c r="IF233" s="2214"/>
      <c r="IG233" s="2214"/>
      <c r="IH233" s="2214"/>
      <c r="II233" s="2214"/>
      <c r="IJ233" s="2214"/>
      <c r="IK233" s="2214"/>
      <c r="IL233" s="2214"/>
      <c r="IM233" s="2214"/>
      <c r="IN233" s="2214"/>
      <c r="IO233" s="2214"/>
      <c r="IP233" s="2214"/>
      <c r="IQ233" s="2214"/>
      <c r="IR233" s="2214"/>
      <c r="IS233" s="2214"/>
      <c r="IT233" s="2214"/>
      <c r="IU233" s="2214"/>
      <c r="IV233" s="2214"/>
      <c r="IW233" s="2214"/>
      <c r="IX233" s="2214"/>
      <c r="IY233" s="2214"/>
      <c r="IZ233" s="2214"/>
      <c r="JA233" s="2214"/>
      <c r="JB233" s="2214"/>
      <c r="JC233" s="2214"/>
      <c r="JD233" s="2214"/>
      <c r="JE233" s="2214"/>
      <c r="JF233" s="2214"/>
      <c r="JG233" s="2214"/>
      <c r="JH233" s="2214"/>
      <c r="JI233" s="2214"/>
      <c r="JJ233" s="2214"/>
      <c r="JK233" s="2214"/>
      <c r="JL233" s="2214"/>
      <c r="JM233" s="2214"/>
      <c r="JN233" s="2214"/>
      <c r="JO233" s="2214"/>
      <c r="JP233" s="2214"/>
      <c r="JQ233" s="2214"/>
      <c r="JR233" s="2214"/>
      <c r="JS233" s="2214"/>
      <c r="JT233" s="2214"/>
      <c r="JU233" s="2214"/>
      <c r="JV233" s="2214"/>
      <c r="JW233" s="2214"/>
      <c r="JX233" s="2214"/>
      <c r="JY233" s="2214"/>
      <c r="JZ233" s="2214"/>
      <c r="KA233" s="2214"/>
      <c r="KB233" s="2214"/>
      <c r="KC233" s="2214"/>
      <c r="KD233" s="2214"/>
      <c r="KE233" s="2214"/>
      <c r="KF233" s="2214"/>
      <c r="KG233" s="2214"/>
      <c r="KH233" s="2214"/>
      <c r="KI233" s="2214"/>
      <c r="KJ233" s="2214"/>
      <c r="KK233" s="2214"/>
      <c r="KL233" s="2214"/>
      <c r="KM233" s="2214"/>
      <c r="KN233" s="2214"/>
      <c r="KO233" s="2214"/>
      <c r="KP233" s="2214"/>
      <c r="KQ233" s="2214"/>
      <c r="KR233" s="2214"/>
      <c r="KS233" s="2214"/>
      <c r="KT233" s="2214"/>
      <c r="KU233" s="2214"/>
      <c r="KV233" s="2214"/>
      <c r="KW233" s="2214"/>
      <c r="KX233" s="2214"/>
      <c r="KY233" s="2214"/>
      <c r="KZ233" s="2214"/>
      <c r="LA233" s="2214"/>
      <c r="LB233" s="2214"/>
      <c r="LC233" s="2214"/>
      <c r="LD233" s="2214"/>
      <c r="LE233" s="2214"/>
      <c r="LF233" s="2214"/>
      <c r="LG233" s="2214"/>
      <c r="LH233" s="2214"/>
      <c r="LI233" s="2214"/>
      <c r="LJ233" s="2214"/>
      <c r="LK233" s="2214"/>
      <c r="LL233" s="2214"/>
      <c r="LM233" s="2214"/>
      <c r="LN233" s="2214"/>
      <c r="LO233" s="2214"/>
      <c r="LP233" s="2214"/>
      <c r="LQ233" s="2214"/>
      <c r="LR233" s="2214"/>
      <c r="LS233" s="2214"/>
      <c r="LT233" s="2214"/>
      <c r="LU233" s="2214"/>
      <c r="LV233" s="2214"/>
      <c r="LW233" s="2214"/>
      <c r="LX233" s="2214"/>
      <c r="LY233" s="2214"/>
      <c r="LZ233" s="2214"/>
      <c r="MA233" s="2214"/>
      <c r="MB233" s="2214"/>
      <c r="MC233" s="2214"/>
      <c r="MD233" s="2214"/>
      <c r="ME233" s="2214"/>
      <c r="MF233" s="2214"/>
      <c r="MG233" s="2214"/>
      <c r="MH233" s="2214"/>
      <c r="MI233" s="2214"/>
      <c r="MJ233" s="2214"/>
      <c r="MK233" s="2214"/>
      <c r="ML233" s="2214"/>
      <c r="MM233" s="2214"/>
      <c r="MN233" s="2214"/>
      <c r="MO233" s="2214"/>
      <c r="MP233" s="2214"/>
      <c r="MQ233" s="2214"/>
      <c r="MR233" s="2214"/>
      <c r="MS233" s="2214"/>
      <c r="MT233" s="2214"/>
      <c r="MU233" s="2214"/>
      <c r="MV233" s="2214"/>
      <c r="MW233" s="2214"/>
      <c r="MX233" s="2214"/>
      <c r="MY233" s="2214"/>
      <c r="MZ233" s="2214"/>
      <c r="NA233" s="2214"/>
      <c r="NB233" s="2214"/>
      <c r="NC233" s="2214"/>
      <c r="ND233" s="2214"/>
      <c r="NE233" s="2214"/>
      <c r="NF233" s="2214"/>
      <c r="NG233" s="2214"/>
      <c r="NH233" s="2214"/>
      <c r="NI233" s="2214"/>
      <c r="NJ233" s="2214"/>
      <c r="NK233" s="2214"/>
      <c r="NL233" s="2214"/>
      <c r="NM233" s="2214"/>
      <c r="NN233" s="2214"/>
      <c r="NO233" s="2214"/>
      <c r="NP233" s="2214"/>
      <c r="NQ233" s="2214"/>
      <c r="NR233" s="2214"/>
      <c r="NS233" s="2214"/>
      <c r="NT233" s="2214"/>
      <c r="NU233" s="2214"/>
      <c r="NV233" s="2214"/>
      <c r="NW233" s="2214"/>
      <c r="NX233" s="2214"/>
      <c r="NY233" s="2214"/>
      <c r="NZ233" s="2214"/>
      <c r="OA233" s="2214"/>
      <c r="OB233" s="2214"/>
      <c r="OC233" s="2214"/>
      <c r="OD233" s="2214"/>
      <c r="OE233" s="2214"/>
      <c r="OF233" s="2214"/>
      <c r="OG233" s="2214"/>
      <c r="OH233" s="2214"/>
      <c r="OI233" s="2214"/>
      <c r="OJ233" s="2214"/>
      <c r="OK233" s="2214"/>
      <c r="OL233" s="2214"/>
      <c r="OM233" s="2214"/>
      <c r="ON233" s="2214"/>
      <c r="OO233" s="2214"/>
      <c r="OP233" s="2214"/>
      <c r="OQ233" s="2214"/>
      <c r="OR233" s="2214"/>
      <c r="OS233" s="2214"/>
      <c r="OT233" s="2214"/>
      <c r="OU233" s="2214"/>
      <c r="OV233" s="2214"/>
      <c r="OW233" s="2214"/>
      <c r="OX233" s="2214"/>
      <c r="OY233" s="2214"/>
      <c r="OZ233" s="2214"/>
      <c r="PA233" s="2214"/>
      <c r="PB233" s="2214"/>
      <c r="PC233" s="2214"/>
      <c r="PD233" s="2214"/>
      <c r="PE233" s="2214"/>
      <c r="PF233" s="2214"/>
      <c r="PG233" s="2214"/>
      <c r="PH233" s="2214"/>
      <c r="PI233" s="2214"/>
      <c r="PJ233" s="2214"/>
      <c r="PK233" s="2214"/>
      <c r="PL233" s="2214"/>
      <c r="PM233" s="2214"/>
      <c r="PN233" s="2214"/>
      <c r="PO233" s="2214"/>
      <c r="PP233" s="2214"/>
      <c r="PQ233" s="2214"/>
      <c r="PR233" s="2214"/>
      <c r="PS233" s="2214"/>
      <c r="PT233" s="2214"/>
      <c r="PU233" s="2214"/>
      <c r="PV233" s="2214"/>
      <c r="PW233" s="2214"/>
      <c r="PX233" s="2214"/>
      <c r="PY233" s="2214"/>
      <c r="PZ233" s="2214"/>
      <c r="QA233" s="2214"/>
      <c r="QB233" s="2214"/>
      <c r="QC233" s="2214"/>
      <c r="QD233" s="2214"/>
      <c r="QE233" s="2214"/>
      <c r="QF233" s="2214"/>
      <c r="QG233" s="2214"/>
      <c r="QH233" s="2214"/>
      <c r="QI233" s="2214"/>
      <c r="QJ233" s="2214"/>
      <c r="QK233" s="2214"/>
      <c r="QL233" s="2214"/>
      <c r="QM233" s="2214"/>
      <c r="QN233" s="2214"/>
      <c r="QO233" s="2214"/>
      <c r="QP233" s="2214"/>
      <c r="QQ233" s="2214"/>
      <c r="QR233" s="2214"/>
      <c r="QS233" s="2214"/>
      <c r="QT233" s="2214"/>
      <c r="QU233" s="2214"/>
      <c r="QV233" s="2214"/>
      <c r="QW233" s="2214"/>
      <c r="QX233" s="2214"/>
      <c r="QY233" s="2214"/>
      <c r="QZ233" s="2214"/>
      <c r="RA233" s="2214"/>
      <c r="RB233" s="2214"/>
      <c r="RC233" s="2214"/>
      <c r="RD233" s="2214"/>
      <c r="RE233" s="2214"/>
      <c r="RF233" s="2214"/>
      <c r="RG233" s="2214"/>
      <c r="RH233" s="2214"/>
      <c r="RI233" s="2214"/>
      <c r="RJ233" s="2214"/>
      <c r="RK233" s="2214"/>
      <c r="RL233" s="2214"/>
      <c r="RM233" s="2214"/>
      <c r="RN233" s="2214"/>
      <c r="RO233" s="2214"/>
      <c r="RP233" s="2214"/>
      <c r="RQ233" s="2214"/>
      <c r="RR233" s="2214"/>
      <c r="RS233" s="2214"/>
      <c r="RT233" s="2214"/>
      <c r="RU233" s="2214"/>
      <c r="RV233" s="2214"/>
      <c r="RW233" s="2214"/>
      <c r="RX233" s="2214"/>
      <c r="RY233" s="2214"/>
      <c r="RZ233" s="2214"/>
      <c r="SA233" s="2214"/>
      <c r="SB233" s="2214"/>
      <c r="SC233" s="2214"/>
      <c r="SD233" s="2214"/>
      <c r="SE233" s="2214"/>
      <c r="SF233" s="2214"/>
      <c r="SG233" s="2214"/>
      <c r="SH233" s="2214"/>
      <c r="SI233" s="2214"/>
      <c r="SJ233" s="2214"/>
      <c r="SK233" s="2214"/>
      <c r="SL233" s="2214"/>
      <c r="SM233" s="2214"/>
      <c r="SN233" s="2214"/>
      <c r="SO233" s="2214"/>
      <c r="SP233" s="2214"/>
      <c r="SQ233" s="2214"/>
      <c r="SR233" s="2214"/>
      <c r="SS233" s="2214"/>
      <c r="ST233" s="2214"/>
      <c r="SU233" s="2214"/>
      <c r="SV233" s="2214"/>
      <c r="SW233" s="2214"/>
      <c r="SX233" s="2214"/>
      <c r="SY233" s="2214"/>
      <c r="SZ233" s="2214"/>
      <c r="TA233" s="2214"/>
      <c r="TB233" s="2214"/>
      <c r="TC233" s="2214"/>
      <c r="TD233" s="2214"/>
      <c r="TE233" s="2214"/>
      <c r="TF233" s="2214"/>
      <c r="TG233" s="2214"/>
      <c r="TH233" s="2214"/>
      <c r="TI233" s="2214"/>
      <c r="TJ233" s="2214"/>
      <c r="TK233" s="2214"/>
      <c r="TL233" s="2214"/>
      <c r="TM233" s="2214"/>
      <c r="TN233" s="2214"/>
      <c r="TO233" s="2214"/>
      <c r="TP233" s="2214"/>
      <c r="TQ233" s="2214"/>
      <c r="TR233" s="2214"/>
      <c r="TS233" s="2214"/>
      <c r="TT233" s="2214"/>
      <c r="TU233" s="2214"/>
      <c r="TV233" s="2214"/>
      <c r="TW233" s="2214"/>
      <c r="TX233" s="2214"/>
      <c r="TY233" s="2214"/>
      <c r="TZ233" s="2214"/>
      <c r="UA233" s="2214"/>
      <c r="UB233" s="2214"/>
      <c r="UC233" s="2214"/>
      <c r="UD233" s="2214"/>
      <c r="UE233" s="2214"/>
      <c r="UF233" s="2214"/>
      <c r="UG233" s="2214"/>
      <c r="UH233" s="2214"/>
      <c r="UI233" s="2214"/>
      <c r="UJ233" s="2214"/>
      <c r="UK233" s="2214"/>
      <c r="UL233" s="2214"/>
      <c r="UM233" s="2214"/>
      <c r="UN233" s="2214"/>
      <c r="UO233" s="2214"/>
      <c r="UP233" s="2214"/>
      <c r="UQ233" s="2214"/>
      <c r="UR233" s="2214"/>
      <c r="US233" s="2214"/>
      <c r="UT233" s="2214"/>
      <c r="UU233" s="2214"/>
      <c r="UV233" s="2214"/>
      <c r="UW233" s="2214"/>
      <c r="UX233" s="2214"/>
      <c r="UY233" s="2214"/>
      <c r="UZ233" s="2214"/>
      <c r="VA233" s="2214"/>
      <c r="VB233" s="2214"/>
      <c r="VC233" s="2214"/>
      <c r="VD233" s="2214"/>
      <c r="VE233" s="2214"/>
      <c r="VF233" s="2214"/>
      <c r="VG233" s="2214"/>
      <c r="VH233" s="2214"/>
      <c r="VI233" s="2214"/>
      <c r="VJ233" s="2214"/>
      <c r="VK233" s="2214"/>
      <c r="VL233" s="2214"/>
      <c r="VM233" s="2214"/>
      <c r="VN233" s="2214"/>
      <c r="VO233" s="2214"/>
      <c r="VP233" s="2214"/>
      <c r="VQ233" s="2214"/>
      <c r="VR233" s="2214"/>
      <c r="VS233" s="2214"/>
      <c r="VT233" s="2214"/>
      <c r="VU233" s="2214"/>
      <c r="VV233" s="2214"/>
      <c r="VW233" s="2214"/>
      <c r="VX233" s="2214"/>
      <c r="VY233" s="2214"/>
      <c r="VZ233" s="2214"/>
      <c r="WA233" s="2214"/>
      <c r="WB233" s="2214"/>
      <c r="WC233" s="2214"/>
      <c r="WD233" s="2214"/>
      <c r="WE233" s="2214"/>
      <c r="WF233" s="2214"/>
      <c r="WG233" s="2214"/>
      <c r="WH233" s="2214"/>
      <c r="WI233" s="2214"/>
      <c r="WJ233" s="2214"/>
      <c r="WK233" s="2214"/>
      <c r="WL233" s="2214"/>
      <c r="WM233" s="2214"/>
      <c r="WN233" s="2214"/>
      <c r="WO233" s="2214"/>
      <c r="WP233" s="2214"/>
      <c r="WQ233" s="2214"/>
      <c r="WR233" s="2214"/>
      <c r="WS233" s="2214"/>
      <c r="WT233" s="2214"/>
      <c r="WU233" s="2214"/>
      <c r="WV233" s="2214"/>
      <c r="WW233" s="2214"/>
      <c r="WX233" s="2214"/>
      <c r="WY233" s="2214"/>
      <c r="WZ233" s="2214"/>
      <c r="XA233" s="2214"/>
      <c r="XB233" s="2214"/>
      <c r="XC233" s="2214"/>
      <c r="XD233" s="2214"/>
      <c r="XE233" s="2214"/>
      <c r="XF233" s="2214"/>
      <c r="XG233" s="2214"/>
      <c r="XH233" s="2214"/>
      <c r="XI233" s="2214"/>
      <c r="XJ233" s="2214"/>
      <c r="XK233" s="2214"/>
      <c r="XL233" s="2214"/>
      <c r="XM233" s="2214"/>
      <c r="XN233" s="2214"/>
      <c r="XO233" s="2214"/>
      <c r="XP233" s="2214"/>
      <c r="XQ233" s="2214"/>
      <c r="XR233" s="2214"/>
      <c r="XS233" s="2214"/>
      <c r="XT233" s="2214"/>
      <c r="XU233" s="2214"/>
      <c r="XV233" s="2214"/>
      <c r="XW233" s="2214"/>
      <c r="XX233" s="2214"/>
      <c r="XY233" s="2214"/>
      <c r="XZ233" s="2214"/>
      <c r="YA233" s="2214"/>
      <c r="YB233" s="2214"/>
      <c r="YC233" s="2214"/>
      <c r="YD233" s="2214"/>
      <c r="YE233" s="2214"/>
      <c r="YF233" s="2214"/>
      <c r="YG233" s="2214"/>
      <c r="YH233" s="2214"/>
      <c r="YI233" s="2214"/>
      <c r="YJ233" s="2214"/>
      <c r="YK233" s="2214"/>
      <c r="YL233" s="2214"/>
      <c r="YM233" s="2214"/>
      <c r="YN233" s="2214"/>
      <c r="YO233" s="2214"/>
      <c r="YP233" s="2214"/>
      <c r="YQ233" s="2214"/>
      <c r="YR233" s="2214"/>
      <c r="YS233" s="2214"/>
      <c r="YT233" s="2214"/>
      <c r="YU233" s="2214"/>
      <c r="YV233" s="2214"/>
      <c r="YW233" s="2214"/>
      <c r="YX233" s="2214"/>
      <c r="YY233" s="2214"/>
      <c r="YZ233" s="2214"/>
      <c r="ZA233" s="2214"/>
      <c r="ZB233" s="2214"/>
      <c r="ZC233" s="2214"/>
      <c r="ZD233" s="2214"/>
      <c r="ZE233" s="2214"/>
      <c r="ZF233" s="2214"/>
      <c r="ZG233" s="2214"/>
      <c r="ZH233" s="2214"/>
      <c r="ZI233" s="2214"/>
      <c r="ZJ233" s="2214"/>
      <c r="ZK233" s="2214"/>
      <c r="ZL233" s="2214"/>
      <c r="ZM233" s="2214"/>
      <c r="ZN233" s="2214"/>
      <c r="ZO233" s="2214"/>
      <c r="ZP233" s="2214"/>
      <c r="ZQ233" s="2214"/>
      <c r="ZR233" s="2214"/>
      <c r="ZS233" s="2214"/>
      <c r="ZT233" s="2214"/>
      <c r="ZU233" s="2214"/>
      <c r="ZV233" s="2214"/>
      <c r="ZW233" s="2214"/>
      <c r="ZX233" s="2214"/>
      <c r="ZY233" s="2214"/>
      <c r="ZZ233" s="2214"/>
      <c r="AAA233" s="2214"/>
      <c r="AAB233" s="2214"/>
      <c r="AAC233" s="2214"/>
      <c r="AAD233" s="2214"/>
      <c r="AAE233" s="2214"/>
      <c r="AAF233" s="2214"/>
      <c r="AAG233" s="2214"/>
      <c r="AAH233" s="2214"/>
      <c r="AAI233" s="2214"/>
      <c r="AAJ233" s="2214"/>
      <c r="AAK233" s="2214"/>
      <c r="AAL233" s="2214"/>
      <c r="AAM233" s="2214"/>
      <c r="AAN233" s="2214"/>
      <c r="AAO233" s="2214"/>
      <c r="AAP233" s="2214"/>
      <c r="AAQ233" s="2214"/>
      <c r="AAR233" s="2214"/>
      <c r="AAS233" s="2214"/>
      <c r="AAT233" s="2214"/>
      <c r="AAU233" s="2214"/>
      <c r="AAV233" s="2214"/>
      <c r="AAW233" s="2214"/>
      <c r="AAX233" s="2214"/>
      <c r="AAY233" s="2214"/>
      <c r="AAZ233" s="2214"/>
      <c r="ABA233" s="2214"/>
      <c r="ABB233" s="2214"/>
      <c r="ABC233" s="2214"/>
      <c r="ABD233" s="2214"/>
      <c r="ABE233" s="2214"/>
      <c r="ABF233" s="2214"/>
      <c r="ABG233" s="2214"/>
      <c r="ABH233" s="2214"/>
      <c r="ABI233" s="2214"/>
      <c r="ABJ233" s="2214"/>
      <c r="ABK233" s="2214"/>
      <c r="ABL233" s="2214"/>
      <c r="ABM233" s="2214"/>
      <c r="ABN233" s="2214"/>
      <c r="ABO233" s="2214"/>
      <c r="ABP233" s="2214"/>
      <c r="ABQ233" s="2214"/>
      <c r="ABR233" s="2214"/>
      <c r="ABS233" s="2214"/>
      <c r="ABT233" s="2214"/>
      <c r="ABU233" s="2214"/>
      <c r="ABV233" s="2214"/>
      <c r="ABW233" s="2214"/>
      <c r="ABX233" s="2214"/>
      <c r="ABY233" s="2214"/>
      <c r="ABZ233" s="2214"/>
      <c r="ACA233" s="2214"/>
      <c r="ACB233" s="2214"/>
      <c r="ACC233" s="2214"/>
      <c r="ACD233" s="2214"/>
      <c r="ACE233" s="2214"/>
      <c r="ACF233" s="2214"/>
      <c r="ACG233" s="2214"/>
      <c r="ACH233" s="2214"/>
      <c r="ACI233" s="2214"/>
      <c r="ACJ233" s="2214"/>
      <c r="ACK233" s="2214"/>
      <c r="ACL233" s="2214"/>
      <c r="ACM233" s="2214"/>
      <c r="ACN233" s="2214"/>
      <c r="ACO233" s="2214"/>
      <c r="ACP233" s="2214"/>
      <c r="ACQ233" s="2214"/>
      <c r="ACR233" s="2214"/>
      <c r="ACS233" s="2214"/>
      <c r="ACT233" s="2214"/>
      <c r="ACU233" s="2214"/>
      <c r="ACV233" s="2214"/>
      <c r="ACW233" s="2214"/>
      <c r="ACX233" s="2214"/>
      <c r="ACY233" s="2214"/>
      <c r="ACZ233" s="2214"/>
      <c r="ADA233" s="2214"/>
      <c r="ADB233" s="2214"/>
      <c r="ADC233" s="2214"/>
      <c r="ADD233" s="2214"/>
      <c r="ADE233" s="2214"/>
      <c r="ADF233" s="2214"/>
      <c r="ADG233" s="2214"/>
      <c r="ADH233" s="2214"/>
      <c r="ADI233" s="2214"/>
      <c r="ADJ233" s="2214"/>
      <c r="ADK233" s="2214"/>
      <c r="ADL233" s="2214"/>
      <c r="ADM233" s="2214"/>
      <c r="ADN233" s="2214"/>
      <c r="ADO233" s="2214"/>
      <c r="ADP233" s="2214"/>
      <c r="ADQ233" s="2214"/>
      <c r="ADR233" s="2214"/>
      <c r="ADS233" s="2214"/>
      <c r="ADT233" s="2214"/>
      <c r="ADU233" s="2214"/>
      <c r="ADV233" s="2214"/>
      <c r="ADW233" s="2214"/>
      <c r="ADX233" s="2214"/>
      <c r="ADY233" s="2214"/>
      <c r="ADZ233" s="2214"/>
      <c r="AEA233" s="2214"/>
      <c r="AEB233" s="2214"/>
      <c r="AEC233" s="2214"/>
      <c r="AED233" s="2214"/>
      <c r="AEE233" s="2214"/>
      <c r="AEF233" s="2214"/>
      <c r="AEG233" s="2214"/>
      <c r="AEH233" s="2214"/>
      <c r="AEI233" s="2214"/>
      <c r="AEJ233" s="2214"/>
      <c r="AEK233" s="2214"/>
      <c r="AEL233" s="2214"/>
      <c r="AEM233" s="2214"/>
      <c r="AEN233" s="2214"/>
      <c r="AEO233" s="2214"/>
      <c r="AEP233" s="2214"/>
      <c r="AEQ233" s="2214"/>
      <c r="AER233" s="2214"/>
      <c r="AES233" s="2214"/>
      <c r="AET233" s="2214"/>
      <c r="AEU233" s="2214"/>
      <c r="AEV233" s="2214"/>
      <c r="AEW233" s="2214"/>
      <c r="AEX233" s="2214"/>
      <c r="AEY233" s="2214"/>
      <c r="AEZ233" s="2214"/>
      <c r="AFA233" s="2214"/>
      <c r="AFB233" s="2214"/>
      <c r="AFC233" s="2214"/>
      <c r="AFD233" s="2214"/>
      <c r="AFE233" s="2214"/>
      <c r="AFF233" s="2214"/>
      <c r="AFG233" s="2214"/>
      <c r="AFH233" s="2214"/>
      <c r="AFI233" s="2214"/>
      <c r="AFJ233" s="2214"/>
      <c r="AFK233" s="2214"/>
      <c r="AFL233" s="2214"/>
      <c r="AFM233" s="2214"/>
      <c r="AFN233" s="2214"/>
      <c r="AFO233" s="2214"/>
      <c r="AFP233" s="2214"/>
      <c r="AFQ233" s="2214"/>
      <c r="AFR233" s="2214"/>
      <c r="AFS233" s="2214"/>
      <c r="AFT233" s="2214"/>
      <c r="AFU233" s="2214"/>
      <c r="AFV233" s="2214"/>
      <c r="AFW233" s="2214"/>
      <c r="AFX233" s="2214"/>
      <c r="AFY233" s="2214"/>
      <c r="AFZ233" s="2214"/>
      <c r="AGA233" s="2214"/>
      <c r="AGB233" s="2214"/>
      <c r="AGC233" s="2214"/>
      <c r="AGD233" s="2214"/>
      <c r="AGE233" s="2214"/>
      <c r="AGF233" s="2214"/>
      <c r="AGG233" s="2214"/>
      <c r="AGH233" s="2214"/>
      <c r="AGI233" s="2214"/>
      <c r="AGJ233" s="2214"/>
      <c r="AGK233" s="2214"/>
      <c r="AGL233" s="2214"/>
      <c r="AGM233" s="2214"/>
      <c r="AGN233" s="2214"/>
      <c r="AGO233" s="2214"/>
      <c r="AGP233" s="2214"/>
      <c r="AGQ233" s="2214"/>
      <c r="AGR233" s="2214"/>
      <c r="AGS233" s="2214"/>
      <c r="AGT233" s="2214"/>
      <c r="AGU233" s="2214"/>
      <c r="AGV233" s="2214"/>
      <c r="AGW233" s="2214"/>
      <c r="AGX233" s="2214"/>
      <c r="AGY233" s="2214"/>
      <c r="AGZ233" s="2214"/>
      <c r="AHA233" s="2214"/>
      <c r="AHB233" s="2214"/>
      <c r="AHC233" s="2214"/>
      <c r="AHD233" s="2214"/>
      <c r="AHE233" s="2214"/>
      <c r="AHF233" s="2214"/>
      <c r="AHG233" s="2214"/>
      <c r="AHH233" s="2214"/>
      <c r="AHI233" s="2214"/>
      <c r="AHJ233" s="2214"/>
      <c r="AHK233" s="2214"/>
      <c r="AHL233" s="2214"/>
      <c r="AHM233" s="2214"/>
      <c r="AHN233" s="2214"/>
      <c r="AHO233" s="2214"/>
      <c r="AHP233" s="2214"/>
      <c r="AHQ233" s="2214"/>
      <c r="AHR233" s="2214"/>
      <c r="AHS233" s="2214"/>
      <c r="AHT233" s="2214"/>
      <c r="AHU233" s="2214"/>
      <c r="AHV233" s="2214"/>
      <c r="AHW233" s="2214"/>
      <c r="AHX233" s="2214"/>
      <c r="AHY233" s="2214"/>
      <c r="AHZ233" s="2214"/>
      <c r="AIA233" s="2214"/>
      <c r="AIB233" s="2214"/>
      <c r="AIC233" s="2214"/>
      <c r="AID233" s="2214"/>
      <c r="AIE233" s="2214"/>
      <c r="AIF233" s="2214"/>
      <c r="AIG233" s="2214"/>
      <c r="AIH233" s="2214"/>
      <c r="AII233" s="2214"/>
      <c r="AIJ233" s="2214"/>
      <c r="AIK233" s="2214"/>
      <c r="AIL233" s="2214"/>
      <c r="AIM233" s="2214"/>
      <c r="AIN233" s="2214"/>
      <c r="AIO233" s="2214"/>
      <c r="AIP233" s="2214"/>
      <c r="AIQ233" s="2214"/>
      <c r="AIR233" s="2214"/>
      <c r="AIS233" s="2214"/>
      <c r="AIT233" s="2214"/>
      <c r="AIU233" s="2214"/>
      <c r="AIV233" s="2214"/>
      <c r="AIW233" s="2214"/>
      <c r="AIX233" s="2214"/>
      <c r="AIY233" s="2214"/>
      <c r="AIZ233" s="2214"/>
      <c r="AJA233" s="2214"/>
      <c r="AJB233" s="2214"/>
      <c r="AJC233" s="2214"/>
      <c r="AJD233" s="2214"/>
      <c r="AJE233" s="2214"/>
      <c r="AJF233" s="2214"/>
      <c r="AJG233" s="2214"/>
      <c r="AJH233" s="2214"/>
      <c r="AJI233" s="2214"/>
      <c r="AJJ233" s="2214"/>
      <c r="AJK233" s="2214"/>
      <c r="AJL233" s="2214"/>
      <c r="AJM233" s="2214"/>
      <c r="AJN233" s="2214"/>
      <c r="AJO233" s="2214"/>
      <c r="AJP233" s="2214"/>
      <c r="AJQ233" s="2214"/>
      <c r="AJR233" s="2214"/>
      <c r="AJS233" s="2214"/>
      <c r="AJT233" s="2214"/>
      <c r="AJU233" s="2214"/>
      <c r="AJV233" s="2214"/>
      <c r="AJW233" s="2214"/>
      <c r="AJX233" s="2214"/>
      <c r="AJY233" s="2214"/>
      <c r="AJZ233" s="2214"/>
      <c r="AKA233" s="2214"/>
      <c r="AKB233" s="2214"/>
      <c r="AKC233" s="2214"/>
      <c r="AKD233" s="2214"/>
      <c r="AKE233" s="2214"/>
      <c r="AKF233" s="2214"/>
      <c r="AKG233" s="2214"/>
      <c r="AKH233" s="2214"/>
      <c r="AKI233" s="2214"/>
      <c r="AKJ233" s="2214"/>
      <c r="AKK233" s="2214"/>
      <c r="AKL233" s="2214"/>
      <c r="AKM233" s="2214"/>
      <c r="AKN233" s="2214"/>
      <c r="AKO233" s="2214"/>
      <c r="AKP233" s="2214"/>
      <c r="AKQ233" s="2214"/>
      <c r="AKR233" s="2214"/>
      <c r="AKS233" s="2214"/>
      <c r="AKT233" s="2214"/>
      <c r="AKU233" s="2214"/>
      <c r="AKV233" s="2214"/>
      <c r="AKW233" s="2214"/>
      <c r="AKX233" s="2214"/>
      <c r="AKY233" s="2214"/>
      <c r="AKZ233" s="2214"/>
      <c r="ALA233" s="2214"/>
      <c r="ALB233" s="2214"/>
      <c r="ALC233" s="2214"/>
      <c r="ALD233" s="2214"/>
      <c r="ALE233" s="2214"/>
      <c r="ALF233" s="2214"/>
      <c r="ALG233" s="2214"/>
      <c r="ALH233" s="2214"/>
      <c r="ALI233" s="2214"/>
      <c r="ALJ233" s="2214"/>
      <c r="ALK233" s="2214"/>
      <c r="ALL233" s="2214"/>
      <c r="ALM233" s="2214"/>
      <c r="ALN233" s="2214"/>
      <c r="ALO233" s="2214"/>
      <c r="ALP233" s="2214"/>
      <c r="ALQ233" s="2214"/>
      <c r="ALR233" s="2214"/>
      <c r="ALS233" s="2214"/>
      <c r="ALT233" s="2214"/>
      <c r="ALU233" s="2214"/>
      <c r="ALV233" s="2214"/>
      <c r="ALW233" s="2214"/>
      <c r="ALX233" s="2214"/>
      <c r="ALY233" s="2214"/>
      <c r="ALZ233" s="2214"/>
      <c r="AMA233" s="2214"/>
      <c r="AMB233" s="2214"/>
      <c r="AMC233" s="2214"/>
      <c r="AMD233" s="2214"/>
      <c r="AME233" s="2214"/>
      <c r="AMF233" s="2214"/>
      <c r="AMG233" s="2214"/>
      <c r="AMH233" s="2214"/>
      <c r="AMI233" s="2214"/>
      <c r="AMJ233" s="2214"/>
      <c r="AMK233" s="2214"/>
      <c r="AML233" s="2214"/>
      <c r="AMM233" s="2214"/>
      <c r="AMN233" s="2214"/>
      <c r="AMO233" s="2214"/>
      <c r="AMP233" s="2214"/>
      <c r="AMQ233" s="2214"/>
      <c r="AMR233" s="2214"/>
      <c r="AMS233" s="2214"/>
      <c r="AMT233" s="2214"/>
      <c r="AMU233" s="2214"/>
      <c r="AMV233" s="2214"/>
      <c r="AMW233" s="2214"/>
      <c r="AMX233" s="2214"/>
      <c r="AMY233" s="2214"/>
      <c r="AMZ233" s="2214"/>
      <c r="ANA233" s="2214"/>
      <c r="ANB233" s="2214"/>
      <c r="ANC233" s="2214"/>
      <c r="AND233" s="2214"/>
      <c r="ANE233" s="2214"/>
      <c r="ANF233" s="2214"/>
      <c r="ANG233" s="2214"/>
      <c r="ANH233" s="2214"/>
      <c r="ANI233" s="2214"/>
      <c r="ANJ233" s="2214"/>
      <c r="ANK233" s="2214"/>
      <c r="ANL233" s="2214"/>
      <c r="ANM233" s="2214"/>
      <c r="ANN233" s="2214"/>
      <c r="ANO233" s="2214"/>
      <c r="ANP233" s="2214"/>
      <c r="ANQ233" s="2214"/>
      <c r="ANR233" s="2214"/>
      <c r="ANS233" s="2214"/>
      <c r="ANT233" s="2214"/>
      <c r="ANU233" s="2214"/>
      <c r="ANV233" s="2214"/>
      <c r="ANW233" s="2214"/>
      <c r="ANX233" s="2214"/>
      <c r="ANY233" s="2214"/>
      <c r="ANZ233" s="2214"/>
      <c r="AOA233" s="2214"/>
      <c r="AOB233" s="2214"/>
      <c r="AOC233" s="2214"/>
      <c r="AOD233" s="2214"/>
      <c r="AOE233" s="2214"/>
      <c r="AOF233" s="2214"/>
      <c r="AOG233" s="2214"/>
      <c r="AOH233" s="2214"/>
      <c r="AOI233" s="2214"/>
      <c r="AOJ233" s="2214"/>
      <c r="AOK233" s="2214"/>
      <c r="AOL233" s="2214"/>
      <c r="AOM233" s="2214"/>
      <c r="AON233" s="2214"/>
      <c r="AOO233" s="2214"/>
      <c r="AOP233" s="2214"/>
      <c r="AOQ233" s="2214"/>
      <c r="AOR233" s="2214"/>
      <c r="AOS233" s="2214"/>
      <c r="AOT233" s="2214"/>
      <c r="AOU233" s="2214"/>
      <c r="AOV233" s="2214"/>
      <c r="AOW233" s="2214"/>
      <c r="AOX233" s="2214"/>
      <c r="AOY233" s="2214"/>
      <c r="AOZ233" s="2214"/>
      <c r="APA233" s="2214"/>
      <c r="APB233" s="2214"/>
      <c r="APC233" s="2214"/>
      <c r="APD233" s="2214"/>
      <c r="APE233" s="2214"/>
      <c r="APF233" s="2214"/>
      <c r="APG233" s="2214"/>
      <c r="APH233" s="2214"/>
      <c r="API233" s="2214"/>
      <c r="APJ233" s="2214"/>
      <c r="APK233" s="2214"/>
      <c r="APL233" s="2214"/>
      <c r="APM233" s="2214"/>
      <c r="APN233" s="2214"/>
      <c r="APO233" s="2214"/>
      <c r="APP233" s="2214"/>
      <c r="APQ233" s="2214"/>
      <c r="APR233" s="2214"/>
      <c r="APS233" s="2214"/>
      <c r="APT233" s="2214"/>
      <c r="APU233" s="2214"/>
      <c r="APV233" s="2214"/>
      <c r="APW233" s="2214"/>
      <c r="APX233" s="2214"/>
      <c r="APY233" s="2214"/>
      <c r="APZ233" s="2214"/>
      <c r="AQA233" s="2214"/>
      <c r="AQB233" s="2214"/>
      <c r="AQC233" s="2214"/>
      <c r="AQD233" s="2214"/>
      <c r="AQE233" s="2214"/>
      <c r="AQF233" s="2214"/>
      <c r="AQG233" s="2214"/>
      <c r="AQH233" s="2214"/>
      <c r="AQI233" s="2214"/>
      <c r="AQJ233" s="2214"/>
      <c r="AQK233" s="2214"/>
      <c r="AQL233" s="2214"/>
      <c r="AQM233" s="2214"/>
      <c r="AQN233" s="2214"/>
      <c r="AQO233" s="2214"/>
      <c r="AQP233" s="2214"/>
      <c r="AQQ233" s="2214"/>
      <c r="AQR233" s="2214"/>
      <c r="AQS233" s="2214"/>
      <c r="AQT233" s="2214"/>
      <c r="AQU233" s="2214"/>
      <c r="AQV233" s="2214"/>
      <c r="AQW233" s="2214"/>
      <c r="AQX233" s="2214"/>
      <c r="AQY233" s="2214"/>
      <c r="AQZ233" s="2214"/>
      <c r="ARA233" s="2214"/>
      <c r="ARB233" s="2214"/>
      <c r="ARC233" s="2214"/>
      <c r="ARD233" s="2214"/>
      <c r="ARE233" s="2214"/>
      <c r="ARF233" s="2214"/>
      <c r="ARG233" s="2214"/>
      <c r="ARH233" s="2214"/>
      <c r="ARI233" s="2214"/>
      <c r="ARJ233" s="2214"/>
      <c r="ARK233" s="2214"/>
      <c r="ARL233" s="2214"/>
      <c r="ARM233" s="2214"/>
      <c r="ARN233" s="2214"/>
      <c r="ARO233" s="2214"/>
      <c r="ARP233" s="2214"/>
      <c r="ARQ233" s="2214"/>
      <c r="ARR233" s="2214"/>
      <c r="ARS233" s="2214"/>
      <c r="ART233" s="2214"/>
      <c r="ARU233" s="2214"/>
      <c r="ARV233" s="2214"/>
      <c r="ARW233" s="2214"/>
      <c r="ARX233" s="2214"/>
      <c r="ARY233" s="2214"/>
      <c r="ARZ233" s="2214"/>
      <c r="ASA233" s="2214"/>
      <c r="ASB233" s="2214"/>
      <c r="ASC233" s="2214"/>
      <c r="ASD233" s="2214"/>
      <c r="ASE233" s="2214"/>
      <c r="ASF233" s="2214"/>
      <c r="ASG233" s="2214"/>
      <c r="ASH233" s="2214"/>
      <c r="ASI233" s="2214"/>
      <c r="ASJ233" s="2214"/>
      <c r="ASK233" s="2214"/>
      <c r="ASL233" s="2214"/>
      <c r="ASM233" s="2214"/>
      <c r="ASN233" s="2214"/>
      <c r="ASO233" s="2214"/>
      <c r="ASP233" s="2214"/>
      <c r="ASQ233" s="2214"/>
      <c r="ASR233" s="2214"/>
      <c r="ASS233" s="2214"/>
      <c r="AST233" s="2214"/>
      <c r="ASU233" s="2214"/>
      <c r="ASV233" s="2214"/>
      <c r="ASW233" s="2214"/>
      <c r="ASX233" s="2214"/>
      <c r="ASY233" s="2214"/>
      <c r="ASZ233" s="2214"/>
      <c r="ATA233" s="2214"/>
      <c r="ATB233" s="2214"/>
      <c r="ATC233" s="2214"/>
      <c r="ATD233" s="2214"/>
      <c r="ATE233" s="2214"/>
      <c r="ATF233" s="2214"/>
      <c r="ATG233" s="2214"/>
      <c r="ATH233" s="2214"/>
      <c r="ATI233" s="2214"/>
      <c r="ATJ233" s="2214"/>
      <c r="ATK233" s="2214"/>
      <c r="ATL233" s="2214"/>
      <c r="ATM233" s="2214"/>
      <c r="ATN233" s="2214"/>
      <c r="ATO233" s="2214"/>
      <c r="ATP233" s="2214"/>
      <c r="ATQ233" s="2214"/>
      <c r="ATR233" s="2214"/>
      <c r="ATS233" s="2214"/>
      <c r="ATT233" s="2214"/>
      <c r="ATU233" s="2214"/>
      <c r="ATV233" s="2214"/>
      <c r="ATW233" s="2214"/>
      <c r="ATX233" s="2214"/>
      <c r="ATY233" s="2214"/>
      <c r="ATZ233" s="2214"/>
      <c r="AUA233" s="2214"/>
      <c r="AUB233" s="2214"/>
      <c r="AUC233" s="2214"/>
      <c r="AUD233" s="2214"/>
      <c r="AUE233" s="2214"/>
      <c r="AUF233" s="2214"/>
      <c r="AUG233" s="2214"/>
      <c r="AUH233" s="2214"/>
      <c r="AUI233" s="2214"/>
      <c r="AUJ233" s="2214"/>
      <c r="AUK233" s="2214"/>
      <c r="AUL233" s="2214"/>
      <c r="AUM233" s="2214"/>
      <c r="AUN233" s="2214"/>
      <c r="AUO233" s="2214"/>
      <c r="AUP233" s="2214"/>
      <c r="AUQ233" s="2214"/>
      <c r="AUR233" s="2214"/>
      <c r="AUS233" s="2214"/>
      <c r="AUT233" s="2214"/>
      <c r="AUU233" s="2214"/>
      <c r="AUV233" s="2214"/>
      <c r="AUW233" s="2214"/>
      <c r="AUX233" s="2214"/>
      <c r="AUY233" s="2214"/>
      <c r="AUZ233" s="2214"/>
      <c r="AVA233" s="2214"/>
      <c r="AVB233" s="2214"/>
      <c r="AVC233" s="2214"/>
      <c r="AVD233" s="2214"/>
      <c r="AVE233" s="2214"/>
      <c r="AVF233" s="2214"/>
      <c r="AVG233" s="2214"/>
      <c r="AVH233" s="2214"/>
      <c r="AVI233" s="2214"/>
      <c r="AVJ233" s="2214"/>
      <c r="AVK233" s="2214"/>
      <c r="AVL233" s="2214"/>
      <c r="AVM233" s="2214"/>
      <c r="AVN233" s="2214"/>
      <c r="AVO233" s="2214"/>
      <c r="AVP233" s="2214"/>
      <c r="AVQ233" s="2214"/>
      <c r="AVR233" s="2214"/>
      <c r="AVS233" s="2214"/>
      <c r="AVT233" s="2214"/>
      <c r="AVU233" s="2214"/>
      <c r="AVV233" s="2214"/>
      <c r="AVW233" s="2214"/>
      <c r="AVX233" s="2214"/>
      <c r="AVY233" s="2214"/>
      <c r="AVZ233" s="2214"/>
      <c r="AWA233" s="2214"/>
      <c r="AWB233" s="2214"/>
      <c r="AWC233" s="2214"/>
      <c r="AWD233" s="2214"/>
      <c r="AWE233" s="2214"/>
      <c r="AWF233" s="2214"/>
      <c r="AWG233" s="2214"/>
      <c r="AWH233" s="2214"/>
      <c r="AWI233" s="2214"/>
      <c r="AWJ233" s="2214"/>
      <c r="AWK233" s="2214"/>
      <c r="AWL233" s="2214"/>
      <c r="AWM233" s="2214"/>
      <c r="AWN233" s="2214"/>
      <c r="AWO233" s="2214"/>
      <c r="AWP233" s="2214"/>
      <c r="AWQ233" s="2214"/>
      <c r="AWR233" s="2214"/>
      <c r="AWS233" s="2214"/>
      <c r="AWT233" s="2214"/>
      <c r="AWU233" s="2214"/>
      <c r="AWV233" s="2214"/>
      <c r="AWW233" s="2214"/>
      <c r="AWX233" s="2214"/>
      <c r="AWY233" s="2214"/>
      <c r="AWZ233" s="2214"/>
      <c r="AXA233" s="2214"/>
      <c r="AXB233" s="2214"/>
      <c r="AXC233" s="2214"/>
      <c r="AXD233" s="2214"/>
      <c r="AXE233" s="2214"/>
      <c r="AXF233" s="2214"/>
      <c r="AXG233" s="2214"/>
      <c r="AXH233" s="2214"/>
      <c r="AXI233" s="2214"/>
      <c r="AXJ233" s="2214"/>
    </row>
    <row r="234" spans="1:1310" s="2215" customFormat="1" ht="23.25" customHeight="1">
      <c r="A234" s="756"/>
      <c r="B234" s="2218"/>
      <c r="C234" s="2219"/>
      <c r="D234" s="2219"/>
      <c r="E234" s="2219"/>
      <c r="F234" s="755"/>
      <c r="G234" s="2219"/>
      <c r="H234" s="2219"/>
      <c r="I234" s="2219"/>
      <c r="J234" s="2220"/>
      <c r="K234" s="2219"/>
      <c r="L234" s="2219"/>
      <c r="M234" s="2219"/>
      <c r="N234" s="2219"/>
      <c r="O234" s="2219"/>
      <c r="P234" s="2219"/>
      <c r="Q234" s="2219"/>
      <c r="R234" s="311"/>
      <c r="S234" s="311"/>
      <c r="T234" s="311"/>
      <c r="U234" s="311"/>
      <c r="V234" s="311"/>
      <c r="W234" s="311"/>
      <c r="X234" s="311"/>
      <c r="Y234" s="311"/>
      <c r="Z234" s="311"/>
      <c r="AA234" s="311"/>
      <c r="AB234" s="311"/>
      <c r="AC234" s="311"/>
      <c r="AD234" s="2214"/>
      <c r="AE234" s="2214"/>
      <c r="AF234" s="2214"/>
      <c r="AG234" s="2214"/>
      <c r="AH234" s="2214"/>
      <c r="AI234" s="2214"/>
      <c r="AJ234" s="2214"/>
      <c r="AK234" s="2214"/>
      <c r="AL234" s="2214"/>
      <c r="AM234" s="2214"/>
      <c r="AN234" s="2214"/>
      <c r="AO234" s="2214"/>
      <c r="AP234" s="2214"/>
      <c r="AQ234" s="2214"/>
      <c r="AR234" s="2214"/>
      <c r="AS234" s="2214"/>
      <c r="AT234" s="2214"/>
      <c r="AU234" s="2214"/>
      <c r="AV234" s="2214"/>
      <c r="AW234" s="2214"/>
      <c r="AX234" s="2214"/>
      <c r="AY234" s="2214"/>
      <c r="AZ234" s="2214"/>
      <c r="BA234" s="2214"/>
      <c r="BB234" s="2214"/>
      <c r="BC234" s="2214"/>
      <c r="BD234" s="2214"/>
      <c r="BE234" s="2214"/>
      <c r="BF234" s="2214"/>
      <c r="BG234" s="2214"/>
      <c r="BH234" s="2214"/>
      <c r="BI234" s="2214"/>
      <c r="BJ234" s="2214"/>
      <c r="BK234" s="2214"/>
      <c r="BL234" s="2214"/>
      <c r="BM234" s="2214"/>
      <c r="BN234" s="2214"/>
      <c r="BO234" s="2214"/>
      <c r="BP234" s="2214"/>
      <c r="BQ234" s="2214"/>
      <c r="BR234" s="2214"/>
      <c r="BS234" s="2214"/>
      <c r="BT234" s="2214"/>
      <c r="BU234" s="2214"/>
      <c r="BV234" s="2214"/>
      <c r="BW234" s="2214"/>
      <c r="BX234" s="2214"/>
      <c r="BY234" s="2214"/>
      <c r="BZ234" s="2214"/>
      <c r="CA234" s="2214"/>
      <c r="CB234" s="2214"/>
      <c r="CC234" s="2214"/>
      <c r="CD234" s="2214"/>
      <c r="CE234" s="2214"/>
      <c r="CF234" s="2214"/>
      <c r="CG234" s="2214"/>
      <c r="CH234" s="2214"/>
      <c r="CI234" s="2214"/>
      <c r="CJ234" s="2214"/>
      <c r="CK234" s="2214"/>
      <c r="CL234" s="2214"/>
      <c r="CM234" s="2214"/>
      <c r="CN234" s="2214"/>
      <c r="CO234" s="2214"/>
      <c r="CP234" s="2214"/>
      <c r="CQ234" s="2214"/>
      <c r="CR234" s="2214"/>
      <c r="CS234" s="2214"/>
      <c r="CT234" s="2214"/>
      <c r="CU234" s="2214"/>
      <c r="CV234" s="2214"/>
      <c r="CW234" s="2214"/>
      <c r="CX234" s="2214"/>
      <c r="CY234" s="2214"/>
      <c r="CZ234" s="2214"/>
      <c r="DA234" s="2214"/>
      <c r="DB234" s="2214"/>
      <c r="DC234" s="2214"/>
      <c r="DD234" s="2214"/>
      <c r="DE234" s="2214"/>
      <c r="DF234" s="2214"/>
      <c r="DG234" s="2214"/>
      <c r="DH234" s="2214"/>
      <c r="DI234" s="2214"/>
      <c r="DJ234" s="2214"/>
      <c r="DK234" s="2214"/>
      <c r="DL234" s="2214"/>
      <c r="DM234" s="2214"/>
      <c r="DN234" s="2214"/>
      <c r="DO234" s="2214"/>
      <c r="DP234" s="2214"/>
      <c r="DQ234" s="2214"/>
      <c r="DR234" s="2214"/>
      <c r="DS234" s="2214"/>
      <c r="DT234" s="2214"/>
      <c r="DU234" s="2214"/>
      <c r="DV234" s="2214"/>
      <c r="DW234" s="2214"/>
      <c r="DX234" s="2214"/>
      <c r="DY234" s="2214"/>
      <c r="DZ234" s="2214"/>
      <c r="EA234" s="2214"/>
      <c r="EB234" s="2214"/>
      <c r="EC234" s="2214"/>
      <c r="ED234" s="2214"/>
      <c r="EE234" s="2214"/>
      <c r="EF234" s="2214"/>
      <c r="EG234" s="2214"/>
      <c r="EH234" s="2214"/>
      <c r="EI234" s="2214"/>
      <c r="EJ234" s="2214"/>
      <c r="EK234" s="2214"/>
      <c r="EL234" s="2214"/>
      <c r="EM234" s="2214"/>
      <c r="EN234" s="2214"/>
      <c r="EO234" s="2214"/>
      <c r="EP234" s="2214"/>
      <c r="EQ234" s="2214"/>
      <c r="ER234" s="2214"/>
      <c r="ES234" s="2214"/>
      <c r="ET234" s="2214"/>
      <c r="EU234" s="2214"/>
      <c r="EV234" s="2214"/>
      <c r="EW234" s="2214"/>
      <c r="EX234" s="2214"/>
      <c r="EY234" s="2214"/>
      <c r="EZ234" s="2214"/>
      <c r="FA234" s="2214"/>
      <c r="FB234" s="2214"/>
      <c r="FC234" s="2214"/>
      <c r="FD234" s="2214"/>
      <c r="FE234" s="2214"/>
      <c r="FF234" s="2214"/>
      <c r="FG234" s="2214"/>
      <c r="FH234" s="2214"/>
      <c r="FI234" s="2214"/>
      <c r="FJ234" s="2214"/>
      <c r="FK234" s="2214"/>
      <c r="FL234" s="2214"/>
      <c r="FM234" s="2214"/>
      <c r="FN234" s="2214"/>
      <c r="FO234" s="2214"/>
      <c r="FP234" s="2214"/>
      <c r="FQ234" s="2214"/>
      <c r="FR234" s="2214"/>
      <c r="FS234" s="2214"/>
      <c r="FT234" s="2214"/>
      <c r="FU234" s="2214"/>
      <c r="FV234" s="2214"/>
      <c r="FW234" s="2214"/>
      <c r="FX234" s="2214"/>
      <c r="FY234" s="2214"/>
      <c r="FZ234" s="2214"/>
      <c r="GA234" s="2214"/>
      <c r="GB234" s="2214"/>
      <c r="GC234" s="2214"/>
      <c r="GD234" s="2214"/>
      <c r="GE234" s="2214"/>
      <c r="GF234" s="2214"/>
      <c r="GG234" s="2214"/>
      <c r="GH234" s="2214"/>
      <c r="GI234" s="2214"/>
      <c r="GJ234" s="2214"/>
      <c r="GK234" s="2214"/>
      <c r="GL234" s="2214"/>
      <c r="GM234" s="2214"/>
      <c r="GN234" s="2214"/>
      <c r="GO234" s="2214"/>
      <c r="GP234" s="2214"/>
      <c r="GQ234" s="2214"/>
      <c r="GR234" s="2214"/>
      <c r="GS234" s="2214"/>
      <c r="GT234" s="2214"/>
      <c r="GU234" s="2214"/>
      <c r="GV234" s="2214"/>
      <c r="GW234" s="2214"/>
      <c r="GX234" s="2214"/>
      <c r="GY234" s="2214"/>
      <c r="GZ234" s="2214"/>
      <c r="HA234" s="2214"/>
      <c r="HB234" s="2214"/>
      <c r="HC234" s="2214"/>
      <c r="HD234" s="2214"/>
      <c r="HE234" s="2214"/>
      <c r="HF234" s="2214"/>
      <c r="HG234" s="2214"/>
      <c r="HH234" s="2214"/>
      <c r="HI234" s="2214"/>
      <c r="HJ234" s="2214"/>
      <c r="HK234" s="2214"/>
      <c r="HL234" s="2214"/>
      <c r="HM234" s="2214"/>
      <c r="HN234" s="2214"/>
      <c r="HO234" s="2214"/>
      <c r="HP234" s="2214"/>
      <c r="HQ234" s="2214"/>
      <c r="HR234" s="2214"/>
      <c r="HS234" s="2214"/>
      <c r="HT234" s="2214"/>
      <c r="HU234" s="2214"/>
      <c r="HV234" s="2214"/>
      <c r="HW234" s="2214"/>
      <c r="HX234" s="2214"/>
      <c r="HY234" s="2214"/>
      <c r="HZ234" s="2214"/>
      <c r="IA234" s="2214"/>
      <c r="IB234" s="2214"/>
      <c r="IC234" s="2214"/>
      <c r="ID234" s="2214"/>
      <c r="IE234" s="2214"/>
      <c r="IF234" s="2214"/>
      <c r="IG234" s="2214"/>
      <c r="IH234" s="2214"/>
      <c r="II234" s="2214"/>
      <c r="IJ234" s="2214"/>
      <c r="IK234" s="2214"/>
      <c r="IL234" s="2214"/>
      <c r="IM234" s="2214"/>
      <c r="IN234" s="2214"/>
      <c r="IO234" s="2214"/>
      <c r="IP234" s="2214"/>
      <c r="IQ234" s="2214"/>
      <c r="IR234" s="2214"/>
      <c r="IS234" s="2214"/>
      <c r="IT234" s="2214"/>
      <c r="IU234" s="2214"/>
      <c r="IV234" s="2214"/>
      <c r="IW234" s="2214"/>
      <c r="IX234" s="2214"/>
      <c r="IY234" s="2214"/>
      <c r="IZ234" s="2214"/>
      <c r="JA234" s="2214"/>
      <c r="JB234" s="2214"/>
      <c r="JC234" s="2214"/>
      <c r="JD234" s="2214"/>
      <c r="JE234" s="2214"/>
      <c r="JF234" s="2214"/>
      <c r="JG234" s="2214"/>
      <c r="JH234" s="2214"/>
      <c r="JI234" s="2214"/>
      <c r="JJ234" s="2214"/>
      <c r="JK234" s="2214"/>
      <c r="JL234" s="2214"/>
      <c r="JM234" s="2214"/>
      <c r="JN234" s="2214"/>
      <c r="JO234" s="2214"/>
      <c r="JP234" s="2214"/>
      <c r="JQ234" s="2214"/>
      <c r="JR234" s="2214"/>
      <c r="JS234" s="2214"/>
      <c r="JT234" s="2214"/>
      <c r="JU234" s="2214"/>
      <c r="JV234" s="2214"/>
      <c r="JW234" s="2214"/>
      <c r="JX234" s="2214"/>
      <c r="JY234" s="2214"/>
      <c r="JZ234" s="2214"/>
      <c r="KA234" s="2214"/>
      <c r="KB234" s="2214"/>
      <c r="KC234" s="2214"/>
      <c r="KD234" s="2214"/>
      <c r="KE234" s="2214"/>
      <c r="KF234" s="2214"/>
      <c r="KG234" s="2214"/>
      <c r="KH234" s="2214"/>
      <c r="KI234" s="2214"/>
      <c r="KJ234" s="2214"/>
      <c r="KK234" s="2214"/>
      <c r="KL234" s="2214"/>
      <c r="KM234" s="2214"/>
      <c r="KN234" s="2214"/>
      <c r="KO234" s="2214"/>
      <c r="KP234" s="2214"/>
      <c r="KQ234" s="2214"/>
      <c r="KR234" s="2214"/>
      <c r="KS234" s="2214"/>
      <c r="KT234" s="2214"/>
      <c r="KU234" s="2214"/>
      <c r="KV234" s="2214"/>
      <c r="KW234" s="2214"/>
      <c r="KX234" s="2214"/>
      <c r="KY234" s="2214"/>
      <c r="KZ234" s="2214"/>
      <c r="LA234" s="2214"/>
      <c r="LB234" s="2214"/>
      <c r="LC234" s="2214"/>
      <c r="LD234" s="2214"/>
      <c r="LE234" s="2214"/>
      <c r="LF234" s="2214"/>
      <c r="LG234" s="2214"/>
      <c r="LH234" s="2214"/>
      <c r="LI234" s="2214"/>
      <c r="LJ234" s="2214"/>
      <c r="LK234" s="2214"/>
      <c r="LL234" s="2214"/>
      <c r="LM234" s="2214"/>
      <c r="LN234" s="2214"/>
      <c r="LO234" s="2214"/>
      <c r="LP234" s="2214"/>
      <c r="LQ234" s="2214"/>
      <c r="LR234" s="2214"/>
      <c r="LS234" s="2214"/>
      <c r="LT234" s="2214"/>
      <c r="LU234" s="2214"/>
      <c r="LV234" s="2214"/>
      <c r="LW234" s="2214"/>
      <c r="LX234" s="2214"/>
      <c r="LY234" s="2214"/>
      <c r="LZ234" s="2214"/>
      <c r="MA234" s="2214"/>
      <c r="MB234" s="2214"/>
      <c r="MC234" s="2214"/>
      <c r="MD234" s="2214"/>
      <c r="ME234" s="2214"/>
      <c r="MF234" s="2214"/>
      <c r="MG234" s="2214"/>
      <c r="MH234" s="2214"/>
      <c r="MI234" s="2214"/>
      <c r="MJ234" s="2214"/>
      <c r="MK234" s="2214"/>
      <c r="ML234" s="2214"/>
      <c r="MM234" s="2214"/>
      <c r="MN234" s="2214"/>
      <c r="MO234" s="2214"/>
      <c r="MP234" s="2214"/>
      <c r="MQ234" s="2214"/>
      <c r="MR234" s="2214"/>
      <c r="MS234" s="2214"/>
      <c r="MT234" s="2214"/>
      <c r="MU234" s="2214"/>
      <c r="MV234" s="2214"/>
      <c r="MW234" s="2214"/>
      <c r="MX234" s="2214"/>
      <c r="MY234" s="2214"/>
      <c r="MZ234" s="2214"/>
      <c r="NA234" s="2214"/>
      <c r="NB234" s="2214"/>
      <c r="NC234" s="2214"/>
      <c r="ND234" s="2214"/>
      <c r="NE234" s="2214"/>
      <c r="NF234" s="2214"/>
      <c r="NG234" s="2214"/>
      <c r="NH234" s="2214"/>
      <c r="NI234" s="2214"/>
      <c r="NJ234" s="2214"/>
      <c r="NK234" s="2214"/>
      <c r="NL234" s="2214"/>
      <c r="NM234" s="2214"/>
      <c r="NN234" s="2214"/>
      <c r="NO234" s="2214"/>
      <c r="NP234" s="2214"/>
      <c r="NQ234" s="2214"/>
      <c r="NR234" s="2214"/>
      <c r="NS234" s="2214"/>
      <c r="NT234" s="2214"/>
      <c r="NU234" s="2214"/>
      <c r="NV234" s="2214"/>
      <c r="NW234" s="2214"/>
      <c r="NX234" s="2214"/>
      <c r="NY234" s="2214"/>
      <c r="NZ234" s="2214"/>
      <c r="OA234" s="2214"/>
      <c r="OB234" s="2214"/>
      <c r="OC234" s="2214"/>
      <c r="OD234" s="2214"/>
      <c r="OE234" s="2214"/>
      <c r="OF234" s="2214"/>
      <c r="OG234" s="2214"/>
      <c r="OH234" s="2214"/>
      <c r="OI234" s="2214"/>
      <c r="OJ234" s="2214"/>
      <c r="OK234" s="2214"/>
      <c r="OL234" s="2214"/>
      <c r="OM234" s="2214"/>
      <c r="ON234" s="2214"/>
      <c r="OO234" s="2214"/>
      <c r="OP234" s="2214"/>
      <c r="OQ234" s="2214"/>
      <c r="OR234" s="2214"/>
      <c r="OS234" s="2214"/>
      <c r="OT234" s="2214"/>
      <c r="OU234" s="2214"/>
      <c r="OV234" s="2214"/>
      <c r="OW234" s="2214"/>
      <c r="OX234" s="2214"/>
      <c r="OY234" s="2214"/>
      <c r="OZ234" s="2214"/>
      <c r="PA234" s="2214"/>
      <c r="PB234" s="2214"/>
      <c r="PC234" s="2214"/>
      <c r="PD234" s="2214"/>
      <c r="PE234" s="2214"/>
      <c r="PF234" s="2214"/>
      <c r="PG234" s="2214"/>
      <c r="PH234" s="2214"/>
      <c r="PI234" s="2214"/>
      <c r="PJ234" s="2214"/>
      <c r="PK234" s="2214"/>
      <c r="PL234" s="2214"/>
      <c r="PM234" s="2214"/>
      <c r="PN234" s="2214"/>
      <c r="PO234" s="2214"/>
      <c r="PP234" s="2214"/>
      <c r="PQ234" s="2214"/>
      <c r="PR234" s="2214"/>
      <c r="PS234" s="2214"/>
      <c r="PT234" s="2214"/>
      <c r="PU234" s="2214"/>
      <c r="PV234" s="2214"/>
      <c r="PW234" s="2214"/>
      <c r="PX234" s="2214"/>
      <c r="PY234" s="2214"/>
      <c r="PZ234" s="2214"/>
      <c r="QA234" s="2214"/>
      <c r="QB234" s="2214"/>
      <c r="QC234" s="2214"/>
      <c r="QD234" s="2214"/>
      <c r="QE234" s="2214"/>
      <c r="QF234" s="2214"/>
      <c r="QG234" s="2214"/>
      <c r="QH234" s="2214"/>
      <c r="QI234" s="2214"/>
      <c r="QJ234" s="2214"/>
      <c r="QK234" s="2214"/>
      <c r="QL234" s="2214"/>
      <c r="QM234" s="2214"/>
      <c r="QN234" s="2214"/>
      <c r="QO234" s="2214"/>
      <c r="QP234" s="2214"/>
      <c r="QQ234" s="2214"/>
      <c r="QR234" s="2214"/>
      <c r="QS234" s="2214"/>
      <c r="QT234" s="2214"/>
      <c r="QU234" s="2214"/>
      <c r="QV234" s="2214"/>
      <c r="QW234" s="2214"/>
      <c r="QX234" s="2214"/>
      <c r="QY234" s="2214"/>
      <c r="QZ234" s="2214"/>
      <c r="RA234" s="2214"/>
      <c r="RB234" s="2214"/>
      <c r="RC234" s="2214"/>
      <c r="RD234" s="2214"/>
      <c r="RE234" s="2214"/>
      <c r="RF234" s="2214"/>
      <c r="RG234" s="2214"/>
      <c r="RH234" s="2214"/>
      <c r="RI234" s="2214"/>
      <c r="RJ234" s="2214"/>
      <c r="RK234" s="2214"/>
      <c r="RL234" s="2214"/>
      <c r="RM234" s="2214"/>
      <c r="RN234" s="2214"/>
      <c r="RO234" s="2214"/>
      <c r="RP234" s="2214"/>
      <c r="RQ234" s="2214"/>
      <c r="RR234" s="2214"/>
      <c r="RS234" s="2214"/>
      <c r="RT234" s="2214"/>
      <c r="RU234" s="2214"/>
      <c r="RV234" s="2214"/>
      <c r="RW234" s="2214"/>
      <c r="RX234" s="2214"/>
      <c r="RY234" s="2214"/>
      <c r="RZ234" s="2214"/>
      <c r="SA234" s="2214"/>
      <c r="SB234" s="2214"/>
      <c r="SC234" s="2214"/>
      <c r="SD234" s="2214"/>
      <c r="SE234" s="2214"/>
      <c r="SF234" s="2214"/>
      <c r="SG234" s="2214"/>
      <c r="SH234" s="2214"/>
      <c r="SI234" s="2214"/>
      <c r="SJ234" s="2214"/>
      <c r="SK234" s="2214"/>
      <c r="SL234" s="2214"/>
      <c r="SM234" s="2214"/>
      <c r="SN234" s="2214"/>
      <c r="SO234" s="2214"/>
      <c r="SP234" s="2214"/>
      <c r="SQ234" s="2214"/>
      <c r="SR234" s="2214"/>
      <c r="SS234" s="2214"/>
      <c r="ST234" s="2214"/>
      <c r="SU234" s="2214"/>
      <c r="SV234" s="2214"/>
      <c r="SW234" s="2214"/>
      <c r="SX234" s="2214"/>
      <c r="SY234" s="2214"/>
      <c r="SZ234" s="2214"/>
      <c r="TA234" s="2214"/>
      <c r="TB234" s="2214"/>
      <c r="TC234" s="2214"/>
      <c r="TD234" s="2214"/>
      <c r="TE234" s="2214"/>
      <c r="TF234" s="2214"/>
      <c r="TG234" s="2214"/>
      <c r="TH234" s="2214"/>
      <c r="TI234" s="2214"/>
      <c r="TJ234" s="2214"/>
      <c r="TK234" s="2214"/>
      <c r="TL234" s="2214"/>
      <c r="TM234" s="2214"/>
      <c r="TN234" s="2214"/>
      <c r="TO234" s="2214"/>
      <c r="TP234" s="2214"/>
      <c r="TQ234" s="2214"/>
      <c r="TR234" s="2214"/>
      <c r="TS234" s="2214"/>
      <c r="TT234" s="2214"/>
      <c r="TU234" s="2214"/>
      <c r="TV234" s="2214"/>
      <c r="TW234" s="2214"/>
      <c r="TX234" s="2214"/>
      <c r="TY234" s="2214"/>
      <c r="TZ234" s="2214"/>
      <c r="UA234" s="2214"/>
      <c r="UB234" s="2214"/>
      <c r="UC234" s="2214"/>
      <c r="UD234" s="2214"/>
      <c r="UE234" s="2214"/>
      <c r="UF234" s="2214"/>
      <c r="UG234" s="2214"/>
      <c r="UH234" s="2214"/>
      <c r="UI234" s="2214"/>
      <c r="UJ234" s="2214"/>
      <c r="UK234" s="2214"/>
      <c r="UL234" s="2214"/>
      <c r="UM234" s="2214"/>
      <c r="UN234" s="2214"/>
      <c r="UO234" s="2214"/>
      <c r="UP234" s="2214"/>
      <c r="UQ234" s="2214"/>
      <c r="UR234" s="2214"/>
      <c r="US234" s="2214"/>
      <c r="UT234" s="2214"/>
      <c r="UU234" s="2214"/>
      <c r="UV234" s="2214"/>
      <c r="UW234" s="2214"/>
      <c r="UX234" s="2214"/>
      <c r="UY234" s="2214"/>
      <c r="UZ234" s="2214"/>
      <c r="VA234" s="2214"/>
      <c r="VB234" s="2214"/>
      <c r="VC234" s="2214"/>
      <c r="VD234" s="2214"/>
      <c r="VE234" s="2214"/>
      <c r="VF234" s="2214"/>
      <c r="VG234" s="2214"/>
      <c r="VH234" s="2214"/>
      <c r="VI234" s="2214"/>
      <c r="VJ234" s="2214"/>
      <c r="VK234" s="2214"/>
      <c r="VL234" s="2214"/>
      <c r="VM234" s="2214"/>
      <c r="VN234" s="2214"/>
      <c r="VO234" s="2214"/>
      <c r="VP234" s="2214"/>
      <c r="VQ234" s="2214"/>
      <c r="VR234" s="2214"/>
      <c r="VS234" s="2214"/>
      <c r="VT234" s="2214"/>
      <c r="VU234" s="2214"/>
      <c r="VV234" s="2214"/>
      <c r="VW234" s="2214"/>
      <c r="VX234" s="2214"/>
      <c r="VY234" s="2214"/>
      <c r="VZ234" s="2214"/>
      <c r="WA234" s="2214"/>
      <c r="WB234" s="2214"/>
      <c r="WC234" s="2214"/>
      <c r="WD234" s="2214"/>
      <c r="WE234" s="2214"/>
      <c r="WF234" s="2214"/>
      <c r="WG234" s="2214"/>
      <c r="WH234" s="2214"/>
      <c r="WI234" s="2214"/>
      <c r="WJ234" s="2214"/>
      <c r="WK234" s="2214"/>
      <c r="WL234" s="2214"/>
      <c r="WM234" s="2214"/>
      <c r="WN234" s="2214"/>
      <c r="WO234" s="2214"/>
      <c r="WP234" s="2214"/>
      <c r="WQ234" s="2214"/>
      <c r="WR234" s="2214"/>
      <c r="WS234" s="2214"/>
      <c r="WT234" s="2214"/>
      <c r="WU234" s="2214"/>
      <c r="WV234" s="2214"/>
      <c r="WW234" s="2214"/>
      <c r="WX234" s="2214"/>
      <c r="WY234" s="2214"/>
      <c r="WZ234" s="2214"/>
      <c r="XA234" s="2214"/>
      <c r="XB234" s="2214"/>
      <c r="XC234" s="2214"/>
      <c r="XD234" s="2214"/>
      <c r="XE234" s="2214"/>
      <c r="XF234" s="2214"/>
      <c r="XG234" s="2214"/>
      <c r="XH234" s="2214"/>
      <c r="XI234" s="2214"/>
      <c r="XJ234" s="2214"/>
      <c r="XK234" s="2214"/>
      <c r="XL234" s="2214"/>
      <c r="XM234" s="2214"/>
      <c r="XN234" s="2214"/>
      <c r="XO234" s="2214"/>
      <c r="XP234" s="2214"/>
      <c r="XQ234" s="2214"/>
      <c r="XR234" s="2214"/>
      <c r="XS234" s="2214"/>
      <c r="XT234" s="2214"/>
      <c r="XU234" s="2214"/>
      <c r="XV234" s="2214"/>
      <c r="XW234" s="2214"/>
      <c r="XX234" s="2214"/>
      <c r="XY234" s="2214"/>
      <c r="XZ234" s="2214"/>
      <c r="YA234" s="2214"/>
      <c r="YB234" s="2214"/>
      <c r="YC234" s="2214"/>
      <c r="YD234" s="2214"/>
      <c r="YE234" s="2214"/>
      <c r="YF234" s="2214"/>
      <c r="YG234" s="2214"/>
      <c r="YH234" s="2214"/>
      <c r="YI234" s="2214"/>
      <c r="YJ234" s="2214"/>
      <c r="YK234" s="2214"/>
      <c r="YL234" s="2214"/>
      <c r="YM234" s="2214"/>
      <c r="YN234" s="2214"/>
      <c r="YO234" s="2214"/>
      <c r="YP234" s="2214"/>
      <c r="YQ234" s="2214"/>
      <c r="YR234" s="2214"/>
      <c r="YS234" s="2214"/>
      <c r="YT234" s="2214"/>
      <c r="YU234" s="2214"/>
      <c r="YV234" s="2214"/>
      <c r="YW234" s="2214"/>
      <c r="YX234" s="2214"/>
      <c r="YY234" s="2214"/>
      <c r="YZ234" s="2214"/>
      <c r="ZA234" s="2214"/>
      <c r="ZB234" s="2214"/>
      <c r="ZC234" s="2214"/>
      <c r="ZD234" s="2214"/>
      <c r="ZE234" s="2214"/>
      <c r="ZF234" s="2214"/>
      <c r="ZG234" s="2214"/>
      <c r="ZH234" s="2214"/>
      <c r="ZI234" s="2214"/>
      <c r="ZJ234" s="2214"/>
      <c r="ZK234" s="2214"/>
      <c r="ZL234" s="2214"/>
      <c r="ZM234" s="2214"/>
      <c r="ZN234" s="2214"/>
      <c r="ZO234" s="2214"/>
      <c r="ZP234" s="2214"/>
      <c r="ZQ234" s="2214"/>
      <c r="ZR234" s="2214"/>
      <c r="ZS234" s="2214"/>
      <c r="ZT234" s="2214"/>
      <c r="ZU234" s="2214"/>
      <c r="ZV234" s="2214"/>
      <c r="ZW234" s="2214"/>
      <c r="ZX234" s="2214"/>
      <c r="ZY234" s="2214"/>
      <c r="ZZ234" s="2214"/>
      <c r="AAA234" s="2214"/>
      <c r="AAB234" s="2214"/>
      <c r="AAC234" s="2214"/>
      <c r="AAD234" s="2214"/>
      <c r="AAE234" s="2214"/>
      <c r="AAF234" s="2214"/>
      <c r="AAG234" s="2214"/>
      <c r="AAH234" s="2214"/>
      <c r="AAI234" s="2214"/>
      <c r="AAJ234" s="2214"/>
      <c r="AAK234" s="2214"/>
      <c r="AAL234" s="2214"/>
      <c r="AAM234" s="2214"/>
      <c r="AAN234" s="2214"/>
      <c r="AAO234" s="2214"/>
      <c r="AAP234" s="2214"/>
      <c r="AAQ234" s="2214"/>
      <c r="AAR234" s="2214"/>
      <c r="AAS234" s="2214"/>
      <c r="AAT234" s="2214"/>
      <c r="AAU234" s="2214"/>
      <c r="AAV234" s="2214"/>
      <c r="AAW234" s="2214"/>
      <c r="AAX234" s="2214"/>
      <c r="AAY234" s="2214"/>
      <c r="AAZ234" s="2214"/>
      <c r="ABA234" s="2214"/>
      <c r="ABB234" s="2214"/>
      <c r="ABC234" s="2214"/>
      <c r="ABD234" s="2214"/>
      <c r="ABE234" s="2214"/>
      <c r="ABF234" s="2214"/>
      <c r="ABG234" s="2214"/>
      <c r="ABH234" s="2214"/>
      <c r="ABI234" s="2214"/>
      <c r="ABJ234" s="2214"/>
      <c r="ABK234" s="2214"/>
      <c r="ABL234" s="2214"/>
      <c r="ABM234" s="2214"/>
      <c r="ABN234" s="2214"/>
      <c r="ABO234" s="2214"/>
      <c r="ABP234" s="2214"/>
      <c r="ABQ234" s="2214"/>
      <c r="ABR234" s="2214"/>
      <c r="ABS234" s="2214"/>
      <c r="ABT234" s="2214"/>
      <c r="ABU234" s="2214"/>
      <c r="ABV234" s="2214"/>
      <c r="ABW234" s="2214"/>
      <c r="ABX234" s="2214"/>
      <c r="ABY234" s="2214"/>
      <c r="ABZ234" s="2214"/>
      <c r="ACA234" s="2214"/>
      <c r="ACB234" s="2214"/>
      <c r="ACC234" s="2214"/>
      <c r="ACD234" s="2214"/>
      <c r="ACE234" s="2214"/>
      <c r="ACF234" s="2214"/>
      <c r="ACG234" s="2214"/>
      <c r="ACH234" s="2214"/>
      <c r="ACI234" s="2214"/>
      <c r="ACJ234" s="2214"/>
      <c r="ACK234" s="2214"/>
      <c r="ACL234" s="2214"/>
      <c r="ACM234" s="2214"/>
      <c r="ACN234" s="2214"/>
      <c r="ACO234" s="2214"/>
      <c r="ACP234" s="2214"/>
      <c r="ACQ234" s="2214"/>
      <c r="ACR234" s="2214"/>
      <c r="ACS234" s="2214"/>
      <c r="ACT234" s="2214"/>
      <c r="ACU234" s="2214"/>
      <c r="ACV234" s="2214"/>
      <c r="ACW234" s="2214"/>
      <c r="ACX234" s="2214"/>
      <c r="ACY234" s="2214"/>
      <c r="ACZ234" s="2214"/>
      <c r="ADA234" s="2214"/>
      <c r="ADB234" s="2214"/>
      <c r="ADC234" s="2214"/>
      <c r="ADD234" s="2214"/>
      <c r="ADE234" s="2214"/>
      <c r="ADF234" s="2214"/>
      <c r="ADG234" s="2214"/>
      <c r="ADH234" s="2214"/>
      <c r="ADI234" s="2214"/>
      <c r="ADJ234" s="2214"/>
      <c r="ADK234" s="2214"/>
      <c r="ADL234" s="2214"/>
      <c r="ADM234" s="2214"/>
      <c r="ADN234" s="2214"/>
      <c r="ADO234" s="2214"/>
      <c r="ADP234" s="2214"/>
      <c r="ADQ234" s="2214"/>
      <c r="ADR234" s="2214"/>
      <c r="ADS234" s="2214"/>
      <c r="ADT234" s="2214"/>
      <c r="ADU234" s="2214"/>
      <c r="ADV234" s="2214"/>
      <c r="ADW234" s="2214"/>
      <c r="ADX234" s="2214"/>
      <c r="ADY234" s="2214"/>
      <c r="ADZ234" s="2214"/>
      <c r="AEA234" s="2214"/>
      <c r="AEB234" s="2214"/>
      <c r="AEC234" s="2214"/>
      <c r="AED234" s="2214"/>
      <c r="AEE234" s="2214"/>
      <c r="AEF234" s="2214"/>
      <c r="AEG234" s="2214"/>
      <c r="AEH234" s="2214"/>
      <c r="AEI234" s="2214"/>
      <c r="AEJ234" s="2214"/>
      <c r="AEK234" s="2214"/>
      <c r="AEL234" s="2214"/>
      <c r="AEM234" s="2214"/>
      <c r="AEN234" s="2214"/>
      <c r="AEO234" s="2214"/>
      <c r="AEP234" s="2214"/>
      <c r="AEQ234" s="2214"/>
      <c r="AER234" s="2214"/>
      <c r="AES234" s="2214"/>
      <c r="AET234" s="2214"/>
      <c r="AEU234" s="2214"/>
      <c r="AEV234" s="2214"/>
      <c r="AEW234" s="2214"/>
      <c r="AEX234" s="2214"/>
      <c r="AEY234" s="2214"/>
      <c r="AEZ234" s="2214"/>
      <c r="AFA234" s="2214"/>
      <c r="AFB234" s="2214"/>
      <c r="AFC234" s="2214"/>
      <c r="AFD234" s="2214"/>
      <c r="AFE234" s="2214"/>
      <c r="AFF234" s="2214"/>
      <c r="AFG234" s="2214"/>
      <c r="AFH234" s="2214"/>
      <c r="AFI234" s="2214"/>
      <c r="AFJ234" s="2214"/>
      <c r="AFK234" s="2214"/>
      <c r="AFL234" s="2214"/>
      <c r="AFM234" s="2214"/>
      <c r="AFN234" s="2214"/>
      <c r="AFO234" s="2214"/>
      <c r="AFP234" s="2214"/>
      <c r="AFQ234" s="2214"/>
      <c r="AFR234" s="2214"/>
      <c r="AFS234" s="2214"/>
      <c r="AFT234" s="2214"/>
      <c r="AFU234" s="2214"/>
      <c r="AFV234" s="2214"/>
      <c r="AFW234" s="2214"/>
      <c r="AFX234" s="2214"/>
      <c r="AFY234" s="2214"/>
      <c r="AFZ234" s="2214"/>
      <c r="AGA234" s="2214"/>
      <c r="AGB234" s="2214"/>
      <c r="AGC234" s="2214"/>
      <c r="AGD234" s="2214"/>
      <c r="AGE234" s="2214"/>
      <c r="AGF234" s="2214"/>
      <c r="AGG234" s="2214"/>
      <c r="AGH234" s="2214"/>
      <c r="AGI234" s="2214"/>
      <c r="AGJ234" s="2214"/>
      <c r="AGK234" s="2214"/>
      <c r="AGL234" s="2214"/>
      <c r="AGM234" s="2214"/>
      <c r="AGN234" s="2214"/>
      <c r="AGO234" s="2214"/>
      <c r="AGP234" s="2214"/>
      <c r="AGQ234" s="2214"/>
      <c r="AGR234" s="2214"/>
      <c r="AGS234" s="2214"/>
      <c r="AGT234" s="2214"/>
      <c r="AGU234" s="2214"/>
      <c r="AGV234" s="2214"/>
      <c r="AGW234" s="2214"/>
      <c r="AGX234" s="2214"/>
      <c r="AGY234" s="2214"/>
      <c r="AGZ234" s="2214"/>
      <c r="AHA234" s="2214"/>
      <c r="AHB234" s="2214"/>
      <c r="AHC234" s="2214"/>
      <c r="AHD234" s="2214"/>
      <c r="AHE234" s="2214"/>
      <c r="AHF234" s="2214"/>
      <c r="AHG234" s="2214"/>
      <c r="AHH234" s="2214"/>
      <c r="AHI234" s="2214"/>
      <c r="AHJ234" s="2214"/>
      <c r="AHK234" s="2214"/>
      <c r="AHL234" s="2214"/>
      <c r="AHM234" s="2214"/>
      <c r="AHN234" s="2214"/>
      <c r="AHO234" s="2214"/>
      <c r="AHP234" s="2214"/>
      <c r="AHQ234" s="2214"/>
      <c r="AHR234" s="2214"/>
      <c r="AHS234" s="2214"/>
      <c r="AHT234" s="2214"/>
      <c r="AHU234" s="2214"/>
      <c r="AHV234" s="2214"/>
      <c r="AHW234" s="2214"/>
      <c r="AHX234" s="2214"/>
      <c r="AHY234" s="2214"/>
      <c r="AHZ234" s="2214"/>
      <c r="AIA234" s="2214"/>
      <c r="AIB234" s="2214"/>
      <c r="AIC234" s="2214"/>
      <c r="AID234" s="2214"/>
      <c r="AIE234" s="2214"/>
      <c r="AIF234" s="2214"/>
      <c r="AIG234" s="2214"/>
      <c r="AIH234" s="2214"/>
      <c r="AII234" s="2214"/>
      <c r="AIJ234" s="2214"/>
      <c r="AIK234" s="2214"/>
      <c r="AIL234" s="2214"/>
      <c r="AIM234" s="2214"/>
      <c r="AIN234" s="2214"/>
      <c r="AIO234" s="2214"/>
      <c r="AIP234" s="2214"/>
      <c r="AIQ234" s="2214"/>
      <c r="AIR234" s="2214"/>
      <c r="AIS234" s="2214"/>
      <c r="AIT234" s="2214"/>
      <c r="AIU234" s="2214"/>
      <c r="AIV234" s="2214"/>
      <c r="AIW234" s="2214"/>
      <c r="AIX234" s="2214"/>
      <c r="AIY234" s="2214"/>
      <c r="AIZ234" s="2214"/>
      <c r="AJA234" s="2214"/>
      <c r="AJB234" s="2214"/>
      <c r="AJC234" s="2214"/>
      <c r="AJD234" s="2214"/>
      <c r="AJE234" s="2214"/>
      <c r="AJF234" s="2214"/>
      <c r="AJG234" s="2214"/>
      <c r="AJH234" s="2214"/>
      <c r="AJI234" s="2214"/>
      <c r="AJJ234" s="2214"/>
      <c r="AJK234" s="2214"/>
      <c r="AJL234" s="2214"/>
      <c r="AJM234" s="2214"/>
      <c r="AJN234" s="2214"/>
      <c r="AJO234" s="2214"/>
      <c r="AJP234" s="2214"/>
      <c r="AJQ234" s="2214"/>
      <c r="AJR234" s="2214"/>
      <c r="AJS234" s="2214"/>
      <c r="AJT234" s="2214"/>
      <c r="AJU234" s="2214"/>
      <c r="AJV234" s="2214"/>
      <c r="AJW234" s="2214"/>
      <c r="AJX234" s="2214"/>
      <c r="AJY234" s="2214"/>
      <c r="AJZ234" s="2214"/>
      <c r="AKA234" s="2214"/>
      <c r="AKB234" s="2214"/>
      <c r="AKC234" s="2214"/>
      <c r="AKD234" s="2214"/>
      <c r="AKE234" s="2214"/>
      <c r="AKF234" s="2214"/>
      <c r="AKG234" s="2214"/>
      <c r="AKH234" s="2214"/>
      <c r="AKI234" s="2214"/>
      <c r="AKJ234" s="2214"/>
      <c r="AKK234" s="2214"/>
      <c r="AKL234" s="2214"/>
      <c r="AKM234" s="2214"/>
      <c r="AKN234" s="2214"/>
      <c r="AKO234" s="2214"/>
      <c r="AKP234" s="2214"/>
      <c r="AKQ234" s="2214"/>
      <c r="AKR234" s="2214"/>
      <c r="AKS234" s="2214"/>
      <c r="AKT234" s="2214"/>
      <c r="AKU234" s="2214"/>
      <c r="AKV234" s="2214"/>
      <c r="AKW234" s="2214"/>
      <c r="AKX234" s="2214"/>
      <c r="AKY234" s="2214"/>
      <c r="AKZ234" s="2214"/>
      <c r="ALA234" s="2214"/>
      <c r="ALB234" s="2214"/>
      <c r="ALC234" s="2214"/>
      <c r="ALD234" s="2214"/>
      <c r="ALE234" s="2214"/>
      <c r="ALF234" s="2214"/>
      <c r="ALG234" s="2214"/>
      <c r="ALH234" s="2214"/>
      <c r="ALI234" s="2214"/>
      <c r="ALJ234" s="2214"/>
      <c r="ALK234" s="2214"/>
      <c r="ALL234" s="2214"/>
      <c r="ALM234" s="2214"/>
      <c r="ALN234" s="2214"/>
      <c r="ALO234" s="2214"/>
      <c r="ALP234" s="2214"/>
      <c r="ALQ234" s="2214"/>
      <c r="ALR234" s="2214"/>
      <c r="ALS234" s="2214"/>
      <c r="ALT234" s="2214"/>
      <c r="ALU234" s="2214"/>
      <c r="ALV234" s="2214"/>
      <c r="ALW234" s="2214"/>
      <c r="ALX234" s="2214"/>
      <c r="ALY234" s="2214"/>
      <c r="ALZ234" s="2214"/>
      <c r="AMA234" s="2214"/>
      <c r="AMB234" s="2214"/>
      <c r="AMC234" s="2214"/>
      <c r="AMD234" s="2214"/>
      <c r="AME234" s="2214"/>
      <c r="AMF234" s="2214"/>
      <c r="AMG234" s="2214"/>
      <c r="AMH234" s="2214"/>
      <c r="AMI234" s="2214"/>
      <c r="AMJ234" s="2214"/>
      <c r="AMK234" s="2214"/>
      <c r="AML234" s="2214"/>
      <c r="AMM234" s="2214"/>
      <c r="AMN234" s="2214"/>
      <c r="AMO234" s="2214"/>
      <c r="AMP234" s="2214"/>
      <c r="AMQ234" s="2214"/>
      <c r="AMR234" s="2214"/>
      <c r="AMS234" s="2214"/>
      <c r="AMT234" s="2214"/>
      <c r="AMU234" s="2214"/>
      <c r="AMV234" s="2214"/>
      <c r="AMW234" s="2214"/>
      <c r="AMX234" s="2214"/>
      <c r="AMY234" s="2214"/>
      <c r="AMZ234" s="2214"/>
      <c r="ANA234" s="2214"/>
      <c r="ANB234" s="2214"/>
      <c r="ANC234" s="2214"/>
      <c r="AND234" s="2214"/>
      <c r="ANE234" s="2214"/>
      <c r="ANF234" s="2214"/>
      <c r="ANG234" s="2214"/>
      <c r="ANH234" s="2214"/>
      <c r="ANI234" s="2214"/>
      <c r="ANJ234" s="2214"/>
      <c r="ANK234" s="2214"/>
      <c r="ANL234" s="2214"/>
      <c r="ANM234" s="2214"/>
      <c r="ANN234" s="2214"/>
      <c r="ANO234" s="2214"/>
      <c r="ANP234" s="2214"/>
      <c r="ANQ234" s="2214"/>
      <c r="ANR234" s="2214"/>
      <c r="ANS234" s="2214"/>
      <c r="ANT234" s="2214"/>
      <c r="ANU234" s="2214"/>
      <c r="ANV234" s="2214"/>
      <c r="ANW234" s="2214"/>
      <c r="ANX234" s="2214"/>
      <c r="ANY234" s="2214"/>
      <c r="ANZ234" s="2214"/>
      <c r="AOA234" s="2214"/>
      <c r="AOB234" s="2214"/>
      <c r="AOC234" s="2214"/>
      <c r="AOD234" s="2214"/>
      <c r="AOE234" s="2214"/>
      <c r="AOF234" s="2214"/>
      <c r="AOG234" s="2214"/>
      <c r="AOH234" s="2214"/>
      <c r="AOI234" s="2214"/>
      <c r="AOJ234" s="2214"/>
      <c r="AOK234" s="2214"/>
      <c r="AOL234" s="2214"/>
      <c r="AOM234" s="2214"/>
      <c r="AON234" s="2214"/>
      <c r="AOO234" s="2214"/>
      <c r="AOP234" s="2214"/>
      <c r="AOQ234" s="2214"/>
      <c r="AOR234" s="2214"/>
      <c r="AOS234" s="2214"/>
      <c r="AOT234" s="2214"/>
      <c r="AOU234" s="2214"/>
      <c r="AOV234" s="2214"/>
      <c r="AOW234" s="2214"/>
      <c r="AOX234" s="2214"/>
      <c r="AOY234" s="2214"/>
      <c r="AOZ234" s="2214"/>
      <c r="APA234" s="2214"/>
      <c r="APB234" s="2214"/>
      <c r="APC234" s="2214"/>
      <c r="APD234" s="2214"/>
      <c r="APE234" s="2214"/>
      <c r="APF234" s="2214"/>
      <c r="APG234" s="2214"/>
      <c r="APH234" s="2214"/>
      <c r="API234" s="2214"/>
      <c r="APJ234" s="2214"/>
      <c r="APK234" s="2214"/>
      <c r="APL234" s="2214"/>
      <c r="APM234" s="2214"/>
      <c r="APN234" s="2214"/>
      <c r="APO234" s="2214"/>
      <c r="APP234" s="2214"/>
      <c r="APQ234" s="2214"/>
      <c r="APR234" s="2214"/>
      <c r="APS234" s="2214"/>
      <c r="APT234" s="2214"/>
      <c r="APU234" s="2214"/>
      <c r="APV234" s="2214"/>
      <c r="APW234" s="2214"/>
      <c r="APX234" s="2214"/>
      <c r="APY234" s="2214"/>
      <c r="APZ234" s="2214"/>
      <c r="AQA234" s="2214"/>
      <c r="AQB234" s="2214"/>
      <c r="AQC234" s="2214"/>
      <c r="AQD234" s="2214"/>
      <c r="AQE234" s="2214"/>
      <c r="AQF234" s="2214"/>
      <c r="AQG234" s="2214"/>
      <c r="AQH234" s="2214"/>
      <c r="AQI234" s="2214"/>
      <c r="AQJ234" s="2214"/>
      <c r="AQK234" s="2214"/>
      <c r="AQL234" s="2214"/>
      <c r="AQM234" s="2214"/>
      <c r="AQN234" s="2214"/>
      <c r="AQO234" s="2214"/>
      <c r="AQP234" s="2214"/>
      <c r="AQQ234" s="2214"/>
      <c r="AQR234" s="2214"/>
      <c r="AQS234" s="2214"/>
      <c r="AQT234" s="2214"/>
      <c r="AQU234" s="2214"/>
      <c r="AQV234" s="2214"/>
      <c r="AQW234" s="2214"/>
      <c r="AQX234" s="2214"/>
      <c r="AQY234" s="2214"/>
      <c r="AQZ234" s="2214"/>
      <c r="ARA234" s="2214"/>
      <c r="ARB234" s="2214"/>
      <c r="ARC234" s="2214"/>
      <c r="ARD234" s="2214"/>
      <c r="ARE234" s="2214"/>
      <c r="ARF234" s="2214"/>
      <c r="ARG234" s="2214"/>
      <c r="ARH234" s="2214"/>
      <c r="ARI234" s="2214"/>
      <c r="ARJ234" s="2214"/>
      <c r="ARK234" s="2214"/>
      <c r="ARL234" s="2214"/>
      <c r="ARM234" s="2214"/>
      <c r="ARN234" s="2214"/>
      <c r="ARO234" s="2214"/>
      <c r="ARP234" s="2214"/>
      <c r="ARQ234" s="2214"/>
      <c r="ARR234" s="2214"/>
      <c r="ARS234" s="2214"/>
      <c r="ART234" s="2214"/>
      <c r="ARU234" s="2214"/>
      <c r="ARV234" s="2214"/>
      <c r="ARW234" s="2214"/>
      <c r="ARX234" s="2214"/>
      <c r="ARY234" s="2214"/>
      <c r="ARZ234" s="2214"/>
      <c r="ASA234" s="2214"/>
      <c r="ASB234" s="2214"/>
      <c r="ASC234" s="2214"/>
      <c r="ASD234" s="2214"/>
      <c r="ASE234" s="2214"/>
      <c r="ASF234" s="2214"/>
      <c r="ASG234" s="2214"/>
      <c r="ASH234" s="2214"/>
      <c r="ASI234" s="2214"/>
      <c r="ASJ234" s="2214"/>
      <c r="ASK234" s="2214"/>
      <c r="ASL234" s="2214"/>
      <c r="ASM234" s="2214"/>
      <c r="ASN234" s="2214"/>
      <c r="ASO234" s="2214"/>
      <c r="ASP234" s="2214"/>
      <c r="ASQ234" s="2214"/>
      <c r="ASR234" s="2214"/>
      <c r="ASS234" s="2214"/>
      <c r="AST234" s="2214"/>
      <c r="ASU234" s="2214"/>
      <c r="ASV234" s="2214"/>
      <c r="ASW234" s="2214"/>
      <c r="ASX234" s="2214"/>
      <c r="ASY234" s="2214"/>
      <c r="ASZ234" s="2214"/>
      <c r="ATA234" s="2214"/>
      <c r="ATB234" s="2214"/>
      <c r="ATC234" s="2214"/>
      <c r="ATD234" s="2214"/>
      <c r="ATE234" s="2214"/>
      <c r="ATF234" s="2214"/>
      <c r="ATG234" s="2214"/>
      <c r="ATH234" s="2214"/>
      <c r="ATI234" s="2214"/>
      <c r="ATJ234" s="2214"/>
      <c r="ATK234" s="2214"/>
      <c r="ATL234" s="2214"/>
      <c r="ATM234" s="2214"/>
      <c r="ATN234" s="2214"/>
      <c r="ATO234" s="2214"/>
      <c r="ATP234" s="2214"/>
      <c r="ATQ234" s="2214"/>
      <c r="ATR234" s="2214"/>
      <c r="ATS234" s="2214"/>
      <c r="ATT234" s="2214"/>
      <c r="ATU234" s="2214"/>
      <c r="ATV234" s="2214"/>
      <c r="ATW234" s="2214"/>
      <c r="ATX234" s="2214"/>
      <c r="ATY234" s="2214"/>
      <c r="ATZ234" s="2214"/>
      <c r="AUA234" s="2214"/>
      <c r="AUB234" s="2214"/>
      <c r="AUC234" s="2214"/>
      <c r="AUD234" s="2214"/>
      <c r="AUE234" s="2214"/>
      <c r="AUF234" s="2214"/>
      <c r="AUG234" s="2214"/>
      <c r="AUH234" s="2214"/>
      <c r="AUI234" s="2214"/>
      <c r="AUJ234" s="2214"/>
      <c r="AUK234" s="2214"/>
      <c r="AUL234" s="2214"/>
      <c r="AUM234" s="2214"/>
      <c r="AUN234" s="2214"/>
      <c r="AUO234" s="2214"/>
      <c r="AUP234" s="2214"/>
      <c r="AUQ234" s="2214"/>
      <c r="AUR234" s="2214"/>
      <c r="AUS234" s="2214"/>
      <c r="AUT234" s="2214"/>
      <c r="AUU234" s="2214"/>
      <c r="AUV234" s="2214"/>
      <c r="AUW234" s="2214"/>
      <c r="AUX234" s="2214"/>
      <c r="AUY234" s="2214"/>
      <c r="AUZ234" s="2214"/>
      <c r="AVA234" s="2214"/>
      <c r="AVB234" s="2214"/>
      <c r="AVC234" s="2214"/>
      <c r="AVD234" s="2214"/>
      <c r="AVE234" s="2214"/>
      <c r="AVF234" s="2214"/>
      <c r="AVG234" s="2214"/>
      <c r="AVH234" s="2214"/>
      <c r="AVI234" s="2214"/>
      <c r="AVJ234" s="2214"/>
      <c r="AVK234" s="2214"/>
      <c r="AVL234" s="2214"/>
      <c r="AVM234" s="2214"/>
      <c r="AVN234" s="2214"/>
      <c r="AVO234" s="2214"/>
      <c r="AVP234" s="2214"/>
      <c r="AVQ234" s="2214"/>
      <c r="AVR234" s="2214"/>
      <c r="AVS234" s="2214"/>
      <c r="AVT234" s="2214"/>
      <c r="AVU234" s="2214"/>
      <c r="AVV234" s="2214"/>
      <c r="AVW234" s="2214"/>
      <c r="AVX234" s="2214"/>
      <c r="AVY234" s="2214"/>
      <c r="AVZ234" s="2214"/>
      <c r="AWA234" s="2214"/>
      <c r="AWB234" s="2214"/>
      <c r="AWC234" s="2214"/>
      <c r="AWD234" s="2214"/>
      <c r="AWE234" s="2214"/>
      <c r="AWF234" s="2214"/>
      <c r="AWG234" s="2214"/>
      <c r="AWH234" s="2214"/>
      <c r="AWI234" s="2214"/>
      <c r="AWJ234" s="2214"/>
      <c r="AWK234" s="2214"/>
      <c r="AWL234" s="2214"/>
      <c r="AWM234" s="2214"/>
      <c r="AWN234" s="2214"/>
      <c r="AWO234" s="2214"/>
      <c r="AWP234" s="2214"/>
      <c r="AWQ234" s="2214"/>
      <c r="AWR234" s="2214"/>
      <c r="AWS234" s="2214"/>
      <c r="AWT234" s="2214"/>
      <c r="AWU234" s="2214"/>
      <c r="AWV234" s="2214"/>
      <c r="AWW234" s="2214"/>
      <c r="AWX234" s="2214"/>
      <c r="AWY234" s="2214"/>
      <c r="AWZ234" s="2214"/>
      <c r="AXA234" s="2214"/>
      <c r="AXB234" s="2214"/>
      <c r="AXC234" s="2214"/>
      <c r="AXD234" s="2214"/>
      <c r="AXE234" s="2214"/>
      <c r="AXF234" s="2214"/>
      <c r="AXG234" s="2214"/>
      <c r="AXH234" s="2214"/>
      <c r="AXI234" s="2214"/>
      <c r="AXJ234" s="2214"/>
    </row>
    <row r="235" spans="1:1310" s="2215" customFormat="1" ht="120.75" customHeight="1">
      <c r="A235" s="756"/>
      <c r="B235" s="2221"/>
      <c r="C235" s="2221"/>
      <c r="D235" s="2221"/>
      <c r="E235" s="2221"/>
      <c r="F235" s="748"/>
      <c r="G235" s="9018" t="s">
        <v>1601</v>
      </c>
      <c r="H235" s="9018"/>
      <c r="I235" s="9018"/>
      <c r="J235" s="2216"/>
      <c r="K235" s="758"/>
      <c r="L235" s="2221"/>
      <c r="M235" s="2221"/>
      <c r="N235" s="2221"/>
      <c r="O235" s="2221"/>
      <c r="P235" s="2221"/>
      <c r="Q235" s="2221"/>
      <c r="R235" s="311"/>
      <c r="S235" s="311"/>
      <c r="T235" s="311"/>
      <c r="U235" s="311"/>
      <c r="V235" s="311"/>
      <c r="W235" s="311"/>
      <c r="X235" s="311"/>
      <c r="Y235" s="311"/>
      <c r="Z235" s="311"/>
      <c r="AA235" s="311"/>
      <c r="AB235" s="311"/>
      <c r="AC235" s="311"/>
      <c r="AD235" s="2214"/>
      <c r="AE235" s="2214"/>
      <c r="AF235" s="2214"/>
      <c r="AG235" s="2214"/>
      <c r="AH235" s="2214"/>
      <c r="AI235" s="2214"/>
      <c r="AJ235" s="2214"/>
      <c r="AK235" s="2214"/>
      <c r="AL235" s="2214"/>
      <c r="AM235" s="2214"/>
      <c r="AN235" s="2214"/>
      <c r="AO235" s="2214"/>
      <c r="AP235" s="2214"/>
      <c r="AQ235" s="2214"/>
      <c r="AR235" s="2214"/>
      <c r="AS235" s="2214"/>
      <c r="AT235" s="2214"/>
      <c r="AU235" s="2214"/>
      <c r="AV235" s="2214"/>
      <c r="AW235" s="2214"/>
      <c r="AX235" s="2214"/>
      <c r="AY235" s="2214"/>
      <c r="AZ235" s="2214"/>
      <c r="BA235" s="2214"/>
      <c r="BB235" s="2214"/>
      <c r="BC235" s="2214"/>
      <c r="BD235" s="2214"/>
      <c r="BE235" s="2214"/>
      <c r="BF235" s="2214"/>
      <c r="BG235" s="2214"/>
      <c r="BH235" s="2214"/>
      <c r="BI235" s="2214"/>
      <c r="BJ235" s="2214"/>
      <c r="BK235" s="2214"/>
      <c r="BL235" s="2214"/>
      <c r="BM235" s="2214"/>
      <c r="BN235" s="2214"/>
      <c r="BO235" s="2214"/>
      <c r="BP235" s="2214"/>
      <c r="BQ235" s="2214"/>
      <c r="BR235" s="2214"/>
      <c r="BS235" s="2214"/>
      <c r="BT235" s="2214"/>
      <c r="BU235" s="2214"/>
      <c r="BV235" s="2214"/>
      <c r="BW235" s="2214"/>
      <c r="BX235" s="2214"/>
      <c r="BY235" s="2214"/>
      <c r="BZ235" s="2214"/>
      <c r="CA235" s="2214"/>
      <c r="CB235" s="2214"/>
      <c r="CC235" s="2214"/>
      <c r="CD235" s="2214"/>
      <c r="CE235" s="2214"/>
      <c r="CF235" s="2214"/>
      <c r="CG235" s="2214"/>
      <c r="CH235" s="2214"/>
      <c r="CI235" s="2214"/>
      <c r="CJ235" s="2214"/>
      <c r="CK235" s="2214"/>
      <c r="CL235" s="2214"/>
      <c r="CM235" s="2214"/>
      <c r="CN235" s="2214"/>
      <c r="CO235" s="2214"/>
      <c r="CP235" s="2214"/>
      <c r="CQ235" s="2214"/>
      <c r="CR235" s="2214"/>
      <c r="CS235" s="2214"/>
      <c r="CT235" s="2214"/>
      <c r="CU235" s="2214"/>
      <c r="CV235" s="2214"/>
      <c r="CW235" s="2214"/>
      <c r="CX235" s="2214"/>
      <c r="CY235" s="2214"/>
      <c r="CZ235" s="2214"/>
      <c r="DA235" s="2214"/>
      <c r="DB235" s="2214"/>
      <c r="DC235" s="2214"/>
      <c r="DD235" s="2214"/>
      <c r="DE235" s="2214"/>
      <c r="DF235" s="2214"/>
      <c r="DG235" s="2214"/>
      <c r="DH235" s="2214"/>
      <c r="DI235" s="2214"/>
      <c r="DJ235" s="2214"/>
      <c r="DK235" s="2214"/>
      <c r="DL235" s="2214"/>
      <c r="DM235" s="2214"/>
      <c r="DN235" s="2214"/>
      <c r="DO235" s="2214"/>
      <c r="DP235" s="2214"/>
      <c r="DQ235" s="2214"/>
      <c r="DR235" s="2214"/>
      <c r="DS235" s="2214"/>
      <c r="DT235" s="2214"/>
      <c r="DU235" s="2214"/>
      <c r="DV235" s="2214"/>
      <c r="DW235" s="2214"/>
      <c r="DX235" s="2214"/>
      <c r="DY235" s="2214"/>
      <c r="DZ235" s="2214"/>
      <c r="EA235" s="2214"/>
      <c r="EB235" s="2214"/>
      <c r="EC235" s="2214"/>
      <c r="ED235" s="2214"/>
      <c r="EE235" s="2214"/>
      <c r="EF235" s="2214"/>
      <c r="EG235" s="2214"/>
      <c r="EH235" s="2214"/>
      <c r="EI235" s="2214"/>
      <c r="EJ235" s="2214"/>
      <c r="EK235" s="2214"/>
      <c r="EL235" s="2214"/>
      <c r="EM235" s="2214"/>
      <c r="EN235" s="2214"/>
      <c r="EO235" s="2214"/>
      <c r="EP235" s="2214"/>
      <c r="EQ235" s="2214"/>
      <c r="ER235" s="2214"/>
      <c r="ES235" s="2214"/>
      <c r="ET235" s="2214"/>
      <c r="EU235" s="2214"/>
      <c r="EV235" s="2214"/>
      <c r="EW235" s="2214"/>
      <c r="EX235" s="2214"/>
      <c r="EY235" s="2214"/>
      <c r="EZ235" s="2214"/>
      <c r="FA235" s="2214"/>
      <c r="FB235" s="2214"/>
      <c r="FC235" s="2214"/>
      <c r="FD235" s="2214"/>
      <c r="FE235" s="2214"/>
      <c r="FF235" s="2214"/>
      <c r="FG235" s="2214"/>
      <c r="FH235" s="2214"/>
      <c r="FI235" s="2214"/>
      <c r="FJ235" s="2214"/>
      <c r="FK235" s="2214"/>
      <c r="FL235" s="2214"/>
      <c r="FM235" s="2214"/>
      <c r="FN235" s="2214"/>
      <c r="FO235" s="2214"/>
      <c r="FP235" s="2214"/>
      <c r="FQ235" s="2214"/>
      <c r="FR235" s="2214"/>
      <c r="FS235" s="2214"/>
      <c r="FT235" s="2214"/>
      <c r="FU235" s="2214"/>
      <c r="FV235" s="2214"/>
      <c r="FW235" s="2214"/>
      <c r="FX235" s="2214"/>
      <c r="FY235" s="2214"/>
      <c r="FZ235" s="2214"/>
      <c r="GA235" s="2214"/>
      <c r="GB235" s="2214"/>
      <c r="GC235" s="2214"/>
      <c r="GD235" s="2214"/>
      <c r="GE235" s="2214"/>
      <c r="GF235" s="2214"/>
      <c r="GG235" s="2214"/>
      <c r="GH235" s="2214"/>
      <c r="GI235" s="2214"/>
      <c r="GJ235" s="2214"/>
      <c r="GK235" s="2214"/>
      <c r="GL235" s="2214"/>
      <c r="GM235" s="2214"/>
      <c r="GN235" s="2214"/>
      <c r="GO235" s="2214"/>
      <c r="GP235" s="2214"/>
      <c r="GQ235" s="2214"/>
      <c r="GR235" s="2214"/>
      <c r="GS235" s="2214"/>
      <c r="GT235" s="2214"/>
      <c r="GU235" s="2214"/>
      <c r="GV235" s="2214"/>
      <c r="GW235" s="2214"/>
      <c r="GX235" s="2214"/>
      <c r="GY235" s="2214"/>
      <c r="GZ235" s="2214"/>
      <c r="HA235" s="2214"/>
      <c r="HB235" s="2214"/>
      <c r="HC235" s="2214"/>
      <c r="HD235" s="2214"/>
      <c r="HE235" s="2214"/>
      <c r="HF235" s="2214"/>
      <c r="HG235" s="2214"/>
      <c r="HH235" s="2214"/>
      <c r="HI235" s="2214"/>
      <c r="HJ235" s="2214"/>
      <c r="HK235" s="2214"/>
      <c r="HL235" s="2214"/>
      <c r="HM235" s="2214"/>
      <c r="HN235" s="2214"/>
      <c r="HO235" s="2214"/>
      <c r="HP235" s="2214"/>
      <c r="HQ235" s="2214"/>
      <c r="HR235" s="2214"/>
      <c r="HS235" s="2214"/>
      <c r="HT235" s="2214"/>
      <c r="HU235" s="2214"/>
      <c r="HV235" s="2214"/>
      <c r="HW235" s="2214"/>
      <c r="HX235" s="2214"/>
      <c r="HY235" s="2214"/>
      <c r="HZ235" s="2214"/>
      <c r="IA235" s="2214"/>
      <c r="IB235" s="2214"/>
      <c r="IC235" s="2214"/>
      <c r="ID235" s="2214"/>
      <c r="IE235" s="2214"/>
      <c r="IF235" s="2214"/>
      <c r="IG235" s="2214"/>
      <c r="IH235" s="2214"/>
      <c r="II235" s="2214"/>
      <c r="IJ235" s="2214"/>
      <c r="IK235" s="2214"/>
      <c r="IL235" s="2214"/>
      <c r="IM235" s="2214"/>
      <c r="IN235" s="2214"/>
      <c r="IO235" s="2214"/>
      <c r="IP235" s="2214"/>
      <c r="IQ235" s="2214"/>
      <c r="IR235" s="2214"/>
      <c r="IS235" s="2214"/>
      <c r="IT235" s="2214"/>
      <c r="IU235" s="2214"/>
      <c r="IV235" s="2214"/>
      <c r="IW235" s="2214"/>
      <c r="IX235" s="2214"/>
      <c r="IY235" s="2214"/>
      <c r="IZ235" s="2214"/>
      <c r="JA235" s="2214"/>
      <c r="JB235" s="2214"/>
      <c r="JC235" s="2214"/>
      <c r="JD235" s="2214"/>
      <c r="JE235" s="2214"/>
      <c r="JF235" s="2214"/>
      <c r="JG235" s="2214"/>
      <c r="JH235" s="2214"/>
      <c r="JI235" s="2214"/>
      <c r="JJ235" s="2214"/>
      <c r="JK235" s="2214"/>
      <c r="JL235" s="2214"/>
      <c r="JM235" s="2214"/>
      <c r="JN235" s="2214"/>
      <c r="JO235" s="2214"/>
      <c r="JP235" s="2214"/>
      <c r="JQ235" s="2214"/>
      <c r="JR235" s="2214"/>
      <c r="JS235" s="2214"/>
      <c r="JT235" s="2214"/>
      <c r="JU235" s="2214"/>
      <c r="JV235" s="2214"/>
      <c r="JW235" s="2214"/>
      <c r="JX235" s="2214"/>
      <c r="JY235" s="2214"/>
      <c r="JZ235" s="2214"/>
      <c r="KA235" s="2214"/>
      <c r="KB235" s="2214"/>
      <c r="KC235" s="2214"/>
      <c r="KD235" s="2214"/>
      <c r="KE235" s="2214"/>
      <c r="KF235" s="2214"/>
      <c r="KG235" s="2214"/>
      <c r="KH235" s="2214"/>
      <c r="KI235" s="2214"/>
      <c r="KJ235" s="2214"/>
      <c r="KK235" s="2214"/>
      <c r="KL235" s="2214"/>
      <c r="KM235" s="2214"/>
      <c r="KN235" s="2214"/>
      <c r="KO235" s="2214"/>
      <c r="KP235" s="2214"/>
      <c r="KQ235" s="2214"/>
      <c r="KR235" s="2214"/>
      <c r="KS235" s="2214"/>
      <c r="KT235" s="2214"/>
      <c r="KU235" s="2214"/>
      <c r="KV235" s="2214"/>
      <c r="KW235" s="2214"/>
      <c r="KX235" s="2214"/>
      <c r="KY235" s="2214"/>
      <c r="KZ235" s="2214"/>
      <c r="LA235" s="2214"/>
      <c r="LB235" s="2214"/>
      <c r="LC235" s="2214"/>
      <c r="LD235" s="2214"/>
      <c r="LE235" s="2214"/>
      <c r="LF235" s="2214"/>
      <c r="LG235" s="2214"/>
      <c r="LH235" s="2214"/>
      <c r="LI235" s="2214"/>
      <c r="LJ235" s="2214"/>
      <c r="LK235" s="2214"/>
      <c r="LL235" s="2214"/>
      <c r="LM235" s="2214"/>
      <c r="LN235" s="2214"/>
      <c r="LO235" s="2214"/>
      <c r="LP235" s="2214"/>
      <c r="LQ235" s="2214"/>
      <c r="LR235" s="2214"/>
      <c r="LS235" s="2214"/>
      <c r="LT235" s="2214"/>
      <c r="LU235" s="2214"/>
      <c r="LV235" s="2214"/>
      <c r="LW235" s="2214"/>
      <c r="LX235" s="2214"/>
      <c r="LY235" s="2214"/>
      <c r="LZ235" s="2214"/>
      <c r="MA235" s="2214"/>
      <c r="MB235" s="2214"/>
      <c r="MC235" s="2214"/>
      <c r="MD235" s="2214"/>
      <c r="ME235" s="2214"/>
      <c r="MF235" s="2214"/>
      <c r="MG235" s="2214"/>
      <c r="MH235" s="2214"/>
      <c r="MI235" s="2214"/>
      <c r="MJ235" s="2214"/>
      <c r="MK235" s="2214"/>
      <c r="ML235" s="2214"/>
      <c r="MM235" s="2214"/>
      <c r="MN235" s="2214"/>
      <c r="MO235" s="2214"/>
      <c r="MP235" s="2214"/>
      <c r="MQ235" s="2214"/>
      <c r="MR235" s="2214"/>
      <c r="MS235" s="2214"/>
      <c r="MT235" s="2214"/>
      <c r="MU235" s="2214"/>
      <c r="MV235" s="2214"/>
      <c r="MW235" s="2214"/>
      <c r="MX235" s="2214"/>
      <c r="MY235" s="2214"/>
      <c r="MZ235" s="2214"/>
      <c r="NA235" s="2214"/>
      <c r="NB235" s="2214"/>
      <c r="NC235" s="2214"/>
      <c r="ND235" s="2214"/>
      <c r="NE235" s="2214"/>
      <c r="NF235" s="2214"/>
      <c r="NG235" s="2214"/>
      <c r="NH235" s="2214"/>
      <c r="NI235" s="2214"/>
      <c r="NJ235" s="2214"/>
      <c r="NK235" s="2214"/>
      <c r="NL235" s="2214"/>
      <c r="NM235" s="2214"/>
      <c r="NN235" s="2214"/>
      <c r="NO235" s="2214"/>
      <c r="NP235" s="2214"/>
      <c r="NQ235" s="2214"/>
      <c r="NR235" s="2214"/>
      <c r="NS235" s="2214"/>
      <c r="NT235" s="2214"/>
      <c r="NU235" s="2214"/>
      <c r="NV235" s="2214"/>
      <c r="NW235" s="2214"/>
      <c r="NX235" s="2214"/>
      <c r="NY235" s="2214"/>
      <c r="NZ235" s="2214"/>
      <c r="OA235" s="2214"/>
      <c r="OB235" s="2214"/>
      <c r="OC235" s="2214"/>
      <c r="OD235" s="2214"/>
      <c r="OE235" s="2214"/>
      <c r="OF235" s="2214"/>
      <c r="OG235" s="2214"/>
      <c r="OH235" s="2214"/>
      <c r="OI235" s="2214"/>
      <c r="OJ235" s="2214"/>
      <c r="OK235" s="2214"/>
      <c r="OL235" s="2214"/>
      <c r="OM235" s="2214"/>
      <c r="ON235" s="2214"/>
      <c r="OO235" s="2214"/>
      <c r="OP235" s="2214"/>
      <c r="OQ235" s="2214"/>
      <c r="OR235" s="2214"/>
      <c r="OS235" s="2214"/>
      <c r="OT235" s="2214"/>
      <c r="OU235" s="2214"/>
      <c r="OV235" s="2214"/>
      <c r="OW235" s="2214"/>
      <c r="OX235" s="2214"/>
      <c r="OY235" s="2214"/>
      <c r="OZ235" s="2214"/>
      <c r="PA235" s="2214"/>
      <c r="PB235" s="2214"/>
      <c r="PC235" s="2214"/>
      <c r="PD235" s="2214"/>
      <c r="PE235" s="2214"/>
      <c r="PF235" s="2214"/>
      <c r="PG235" s="2214"/>
      <c r="PH235" s="2214"/>
      <c r="PI235" s="2214"/>
      <c r="PJ235" s="2214"/>
      <c r="PK235" s="2214"/>
      <c r="PL235" s="2214"/>
      <c r="PM235" s="2214"/>
      <c r="PN235" s="2214"/>
      <c r="PO235" s="2214"/>
      <c r="PP235" s="2214"/>
      <c r="PQ235" s="2214"/>
      <c r="PR235" s="2214"/>
      <c r="PS235" s="2214"/>
      <c r="PT235" s="2214"/>
      <c r="PU235" s="2214"/>
      <c r="PV235" s="2214"/>
      <c r="PW235" s="2214"/>
      <c r="PX235" s="2214"/>
      <c r="PY235" s="2214"/>
      <c r="PZ235" s="2214"/>
      <c r="QA235" s="2214"/>
      <c r="QB235" s="2214"/>
      <c r="QC235" s="2214"/>
      <c r="QD235" s="2214"/>
      <c r="QE235" s="2214"/>
      <c r="QF235" s="2214"/>
      <c r="QG235" s="2214"/>
      <c r="QH235" s="2214"/>
      <c r="QI235" s="2214"/>
      <c r="QJ235" s="2214"/>
      <c r="QK235" s="2214"/>
      <c r="QL235" s="2214"/>
      <c r="QM235" s="2214"/>
      <c r="QN235" s="2214"/>
      <c r="QO235" s="2214"/>
      <c r="QP235" s="2214"/>
      <c r="QQ235" s="2214"/>
      <c r="QR235" s="2214"/>
      <c r="QS235" s="2214"/>
      <c r="QT235" s="2214"/>
      <c r="QU235" s="2214"/>
      <c r="QV235" s="2214"/>
      <c r="QW235" s="2214"/>
      <c r="QX235" s="2214"/>
      <c r="QY235" s="2214"/>
      <c r="QZ235" s="2214"/>
      <c r="RA235" s="2214"/>
      <c r="RB235" s="2214"/>
      <c r="RC235" s="2214"/>
      <c r="RD235" s="2214"/>
      <c r="RE235" s="2214"/>
      <c r="RF235" s="2214"/>
      <c r="RG235" s="2214"/>
      <c r="RH235" s="2214"/>
      <c r="RI235" s="2214"/>
      <c r="RJ235" s="2214"/>
      <c r="RK235" s="2214"/>
      <c r="RL235" s="2214"/>
      <c r="RM235" s="2214"/>
      <c r="RN235" s="2214"/>
      <c r="RO235" s="2214"/>
      <c r="RP235" s="2214"/>
      <c r="RQ235" s="2214"/>
      <c r="RR235" s="2214"/>
      <c r="RS235" s="2214"/>
      <c r="RT235" s="2214"/>
      <c r="RU235" s="2214"/>
      <c r="RV235" s="2214"/>
      <c r="RW235" s="2214"/>
      <c r="RX235" s="2214"/>
      <c r="RY235" s="2214"/>
      <c r="RZ235" s="2214"/>
      <c r="SA235" s="2214"/>
      <c r="SB235" s="2214"/>
      <c r="SC235" s="2214"/>
      <c r="SD235" s="2214"/>
      <c r="SE235" s="2214"/>
      <c r="SF235" s="2214"/>
      <c r="SG235" s="2214"/>
      <c r="SH235" s="2214"/>
      <c r="SI235" s="2214"/>
      <c r="SJ235" s="2214"/>
      <c r="SK235" s="2214"/>
      <c r="SL235" s="2214"/>
      <c r="SM235" s="2214"/>
      <c r="SN235" s="2214"/>
      <c r="SO235" s="2214"/>
      <c r="SP235" s="2214"/>
      <c r="SQ235" s="2214"/>
      <c r="SR235" s="2214"/>
      <c r="SS235" s="2214"/>
      <c r="ST235" s="2214"/>
      <c r="SU235" s="2214"/>
      <c r="SV235" s="2214"/>
      <c r="SW235" s="2214"/>
      <c r="SX235" s="2214"/>
      <c r="SY235" s="2214"/>
      <c r="SZ235" s="2214"/>
      <c r="TA235" s="2214"/>
      <c r="TB235" s="2214"/>
      <c r="TC235" s="2214"/>
      <c r="TD235" s="2214"/>
      <c r="TE235" s="2214"/>
      <c r="TF235" s="2214"/>
      <c r="TG235" s="2214"/>
      <c r="TH235" s="2214"/>
      <c r="TI235" s="2214"/>
      <c r="TJ235" s="2214"/>
      <c r="TK235" s="2214"/>
      <c r="TL235" s="2214"/>
      <c r="TM235" s="2214"/>
      <c r="TN235" s="2214"/>
      <c r="TO235" s="2214"/>
      <c r="TP235" s="2214"/>
      <c r="TQ235" s="2214"/>
      <c r="TR235" s="2214"/>
      <c r="TS235" s="2214"/>
      <c r="TT235" s="2214"/>
      <c r="TU235" s="2214"/>
      <c r="TV235" s="2214"/>
      <c r="TW235" s="2214"/>
      <c r="TX235" s="2214"/>
      <c r="TY235" s="2214"/>
      <c r="TZ235" s="2214"/>
      <c r="UA235" s="2214"/>
      <c r="UB235" s="2214"/>
      <c r="UC235" s="2214"/>
      <c r="UD235" s="2214"/>
      <c r="UE235" s="2214"/>
      <c r="UF235" s="2214"/>
      <c r="UG235" s="2214"/>
      <c r="UH235" s="2214"/>
      <c r="UI235" s="2214"/>
      <c r="UJ235" s="2214"/>
      <c r="UK235" s="2214"/>
      <c r="UL235" s="2214"/>
      <c r="UM235" s="2214"/>
      <c r="UN235" s="2214"/>
      <c r="UO235" s="2214"/>
      <c r="UP235" s="2214"/>
      <c r="UQ235" s="2214"/>
      <c r="UR235" s="2214"/>
      <c r="US235" s="2214"/>
      <c r="UT235" s="2214"/>
      <c r="UU235" s="2214"/>
      <c r="UV235" s="2214"/>
      <c r="UW235" s="2214"/>
      <c r="UX235" s="2214"/>
      <c r="UY235" s="2214"/>
      <c r="UZ235" s="2214"/>
      <c r="VA235" s="2214"/>
      <c r="VB235" s="2214"/>
      <c r="VC235" s="2214"/>
      <c r="VD235" s="2214"/>
      <c r="VE235" s="2214"/>
      <c r="VF235" s="2214"/>
      <c r="VG235" s="2214"/>
      <c r="VH235" s="2214"/>
      <c r="VI235" s="2214"/>
      <c r="VJ235" s="2214"/>
      <c r="VK235" s="2214"/>
      <c r="VL235" s="2214"/>
      <c r="VM235" s="2214"/>
      <c r="VN235" s="2214"/>
      <c r="VO235" s="2214"/>
      <c r="VP235" s="2214"/>
      <c r="VQ235" s="2214"/>
      <c r="VR235" s="2214"/>
      <c r="VS235" s="2214"/>
      <c r="VT235" s="2214"/>
      <c r="VU235" s="2214"/>
      <c r="VV235" s="2214"/>
      <c r="VW235" s="2214"/>
      <c r="VX235" s="2214"/>
      <c r="VY235" s="2214"/>
      <c r="VZ235" s="2214"/>
      <c r="WA235" s="2214"/>
      <c r="WB235" s="2214"/>
      <c r="WC235" s="2214"/>
      <c r="WD235" s="2214"/>
      <c r="WE235" s="2214"/>
      <c r="WF235" s="2214"/>
      <c r="WG235" s="2214"/>
      <c r="WH235" s="2214"/>
      <c r="WI235" s="2214"/>
      <c r="WJ235" s="2214"/>
      <c r="WK235" s="2214"/>
      <c r="WL235" s="2214"/>
      <c r="WM235" s="2214"/>
      <c r="WN235" s="2214"/>
      <c r="WO235" s="2214"/>
      <c r="WP235" s="2214"/>
      <c r="WQ235" s="2214"/>
      <c r="WR235" s="2214"/>
      <c r="WS235" s="2214"/>
      <c r="WT235" s="2214"/>
      <c r="WU235" s="2214"/>
      <c r="WV235" s="2214"/>
      <c r="WW235" s="2214"/>
      <c r="WX235" s="2214"/>
      <c r="WY235" s="2214"/>
      <c r="WZ235" s="2214"/>
      <c r="XA235" s="2214"/>
      <c r="XB235" s="2214"/>
      <c r="XC235" s="2214"/>
      <c r="XD235" s="2214"/>
      <c r="XE235" s="2214"/>
      <c r="XF235" s="2214"/>
      <c r="XG235" s="2214"/>
      <c r="XH235" s="2214"/>
      <c r="XI235" s="2214"/>
      <c r="XJ235" s="2214"/>
      <c r="XK235" s="2214"/>
      <c r="XL235" s="2214"/>
      <c r="XM235" s="2214"/>
      <c r="XN235" s="2214"/>
      <c r="XO235" s="2214"/>
      <c r="XP235" s="2214"/>
      <c r="XQ235" s="2214"/>
      <c r="XR235" s="2214"/>
      <c r="XS235" s="2214"/>
      <c r="XT235" s="2214"/>
      <c r="XU235" s="2214"/>
      <c r="XV235" s="2214"/>
      <c r="XW235" s="2214"/>
      <c r="XX235" s="2214"/>
      <c r="XY235" s="2214"/>
      <c r="XZ235" s="2214"/>
      <c r="YA235" s="2214"/>
      <c r="YB235" s="2214"/>
      <c r="YC235" s="2214"/>
      <c r="YD235" s="2214"/>
      <c r="YE235" s="2214"/>
      <c r="YF235" s="2214"/>
      <c r="YG235" s="2214"/>
      <c r="YH235" s="2214"/>
      <c r="YI235" s="2214"/>
      <c r="YJ235" s="2214"/>
      <c r="YK235" s="2214"/>
      <c r="YL235" s="2214"/>
      <c r="YM235" s="2214"/>
      <c r="YN235" s="2214"/>
      <c r="YO235" s="2214"/>
      <c r="YP235" s="2214"/>
      <c r="YQ235" s="2214"/>
      <c r="YR235" s="2214"/>
      <c r="YS235" s="2214"/>
      <c r="YT235" s="2214"/>
      <c r="YU235" s="2214"/>
      <c r="YV235" s="2214"/>
      <c r="YW235" s="2214"/>
      <c r="YX235" s="2214"/>
      <c r="YY235" s="2214"/>
      <c r="YZ235" s="2214"/>
      <c r="ZA235" s="2214"/>
      <c r="ZB235" s="2214"/>
      <c r="ZC235" s="2214"/>
      <c r="ZD235" s="2214"/>
      <c r="ZE235" s="2214"/>
      <c r="ZF235" s="2214"/>
      <c r="ZG235" s="2214"/>
      <c r="ZH235" s="2214"/>
      <c r="ZI235" s="2214"/>
      <c r="ZJ235" s="2214"/>
      <c r="ZK235" s="2214"/>
      <c r="ZL235" s="2214"/>
      <c r="ZM235" s="2214"/>
      <c r="ZN235" s="2214"/>
      <c r="ZO235" s="2214"/>
      <c r="ZP235" s="2214"/>
      <c r="ZQ235" s="2214"/>
      <c r="ZR235" s="2214"/>
      <c r="ZS235" s="2214"/>
      <c r="ZT235" s="2214"/>
      <c r="ZU235" s="2214"/>
      <c r="ZV235" s="2214"/>
      <c r="ZW235" s="2214"/>
      <c r="ZX235" s="2214"/>
      <c r="ZY235" s="2214"/>
      <c r="ZZ235" s="2214"/>
      <c r="AAA235" s="2214"/>
      <c r="AAB235" s="2214"/>
      <c r="AAC235" s="2214"/>
      <c r="AAD235" s="2214"/>
      <c r="AAE235" s="2214"/>
      <c r="AAF235" s="2214"/>
      <c r="AAG235" s="2214"/>
      <c r="AAH235" s="2214"/>
      <c r="AAI235" s="2214"/>
      <c r="AAJ235" s="2214"/>
      <c r="AAK235" s="2214"/>
      <c r="AAL235" s="2214"/>
      <c r="AAM235" s="2214"/>
      <c r="AAN235" s="2214"/>
      <c r="AAO235" s="2214"/>
      <c r="AAP235" s="2214"/>
      <c r="AAQ235" s="2214"/>
      <c r="AAR235" s="2214"/>
      <c r="AAS235" s="2214"/>
      <c r="AAT235" s="2214"/>
      <c r="AAU235" s="2214"/>
      <c r="AAV235" s="2214"/>
      <c r="AAW235" s="2214"/>
      <c r="AAX235" s="2214"/>
      <c r="AAY235" s="2214"/>
      <c r="AAZ235" s="2214"/>
      <c r="ABA235" s="2214"/>
      <c r="ABB235" s="2214"/>
      <c r="ABC235" s="2214"/>
      <c r="ABD235" s="2214"/>
      <c r="ABE235" s="2214"/>
      <c r="ABF235" s="2214"/>
      <c r="ABG235" s="2214"/>
      <c r="ABH235" s="2214"/>
      <c r="ABI235" s="2214"/>
      <c r="ABJ235" s="2214"/>
      <c r="ABK235" s="2214"/>
      <c r="ABL235" s="2214"/>
      <c r="ABM235" s="2214"/>
      <c r="ABN235" s="2214"/>
      <c r="ABO235" s="2214"/>
      <c r="ABP235" s="2214"/>
      <c r="ABQ235" s="2214"/>
      <c r="ABR235" s="2214"/>
      <c r="ABS235" s="2214"/>
      <c r="ABT235" s="2214"/>
      <c r="ABU235" s="2214"/>
      <c r="ABV235" s="2214"/>
      <c r="ABW235" s="2214"/>
      <c r="ABX235" s="2214"/>
      <c r="ABY235" s="2214"/>
      <c r="ABZ235" s="2214"/>
      <c r="ACA235" s="2214"/>
      <c r="ACB235" s="2214"/>
      <c r="ACC235" s="2214"/>
      <c r="ACD235" s="2214"/>
      <c r="ACE235" s="2214"/>
      <c r="ACF235" s="2214"/>
      <c r="ACG235" s="2214"/>
      <c r="ACH235" s="2214"/>
      <c r="ACI235" s="2214"/>
      <c r="ACJ235" s="2214"/>
      <c r="ACK235" s="2214"/>
      <c r="ACL235" s="2214"/>
      <c r="ACM235" s="2214"/>
      <c r="ACN235" s="2214"/>
      <c r="ACO235" s="2214"/>
      <c r="ACP235" s="2214"/>
      <c r="ACQ235" s="2214"/>
      <c r="ACR235" s="2214"/>
      <c r="ACS235" s="2214"/>
      <c r="ACT235" s="2214"/>
      <c r="ACU235" s="2214"/>
      <c r="ACV235" s="2214"/>
      <c r="ACW235" s="2214"/>
      <c r="ACX235" s="2214"/>
      <c r="ACY235" s="2214"/>
      <c r="ACZ235" s="2214"/>
      <c r="ADA235" s="2214"/>
      <c r="ADB235" s="2214"/>
      <c r="ADC235" s="2214"/>
      <c r="ADD235" s="2214"/>
      <c r="ADE235" s="2214"/>
      <c r="ADF235" s="2214"/>
      <c r="ADG235" s="2214"/>
      <c r="ADH235" s="2214"/>
      <c r="ADI235" s="2214"/>
      <c r="ADJ235" s="2214"/>
      <c r="ADK235" s="2214"/>
      <c r="ADL235" s="2214"/>
      <c r="ADM235" s="2214"/>
      <c r="ADN235" s="2214"/>
      <c r="ADO235" s="2214"/>
      <c r="ADP235" s="2214"/>
      <c r="ADQ235" s="2214"/>
      <c r="ADR235" s="2214"/>
      <c r="ADS235" s="2214"/>
      <c r="ADT235" s="2214"/>
      <c r="ADU235" s="2214"/>
      <c r="ADV235" s="2214"/>
      <c r="ADW235" s="2214"/>
      <c r="ADX235" s="2214"/>
      <c r="ADY235" s="2214"/>
      <c r="ADZ235" s="2214"/>
      <c r="AEA235" s="2214"/>
      <c r="AEB235" s="2214"/>
      <c r="AEC235" s="2214"/>
      <c r="AED235" s="2214"/>
      <c r="AEE235" s="2214"/>
      <c r="AEF235" s="2214"/>
      <c r="AEG235" s="2214"/>
      <c r="AEH235" s="2214"/>
      <c r="AEI235" s="2214"/>
      <c r="AEJ235" s="2214"/>
      <c r="AEK235" s="2214"/>
      <c r="AEL235" s="2214"/>
      <c r="AEM235" s="2214"/>
      <c r="AEN235" s="2214"/>
      <c r="AEO235" s="2214"/>
      <c r="AEP235" s="2214"/>
      <c r="AEQ235" s="2214"/>
      <c r="AER235" s="2214"/>
      <c r="AES235" s="2214"/>
      <c r="AET235" s="2214"/>
      <c r="AEU235" s="2214"/>
      <c r="AEV235" s="2214"/>
      <c r="AEW235" s="2214"/>
      <c r="AEX235" s="2214"/>
      <c r="AEY235" s="2214"/>
      <c r="AEZ235" s="2214"/>
      <c r="AFA235" s="2214"/>
      <c r="AFB235" s="2214"/>
      <c r="AFC235" s="2214"/>
      <c r="AFD235" s="2214"/>
      <c r="AFE235" s="2214"/>
      <c r="AFF235" s="2214"/>
      <c r="AFG235" s="2214"/>
      <c r="AFH235" s="2214"/>
      <c r="AFI235" s="2214"/>
      <c r="AFJ235" s="2214"/>
      <c r="AFK235" s="2214"/>
      <c r="AFL235" s="2214"/>
      <c r="AFM235" s="2214"/>
      <c r="AFN235" s="2214"/>
      <c r="AFO235" s="2214"/>
      <c r="AFP235" s="2214"/>
      <c r="AFQ235" s="2214"/>
      <c r="AFR235" s="2214"/>
      <c r="AFS235" s="2214"/>
      <c r="AFT235" s="2214"/>
      <c r="AFU235" s="2214"/>
      <c r="AFV235" s="2214"/>
      <c r="AFW235" s="2214"/>
      <c r="AFX235" s="2214"/>
      <c r="AFY235" s="2214"/>
      <c r="AFZ235" s="2214"/>
      <c r="AGA235" s="2214"/>
      <c r="AGB235" s="2214"/>
      <c r="AGC235" s="2214"/>
      <c r="AGD235" s="2214"/>
      <c r="AGE235" s="2214"/>
      <c r="AGF235" s="2214"/>
      <c r="AGG235" s="2214"/>
      <c r="AGH235" s="2214"/>
      <c r="AGI235" s="2214"/>
      <c r="AGJ235" s="2214"/>
      <c r="AGK235" s="2214"/>
      <c r="AGL235" s="2214"/>
      <c r="AGM235" s="2214"/>
      <c r="AGN235" s="2214"/>
      <c r="AGO235" s="2214"/>
      <c r="AGP235" s="2214"/>
      <c r="AGQ235" s="2214"/>
      <c r="AGR235" s="2214"/>
      <c r="AGS235" s="2214"/>
      <c r="AGT235" s="2214"/>
      <c r="AGU235" s="2214"/>
      <c r="AGV235" s="2214"/>
      <c r="AGW235" s="2214"/>
      <c r="AGX235" s="2214"/>
      <c r="AGY235" s="2214"/>
      <c r="AGZ235" s="2214"/>
      <c r="AHA235" s="2214"/>
      <c r="AHB235" s="2214"/>
      <c r="AHC235" s="2214"/>
      <c r="AHD235" s="2214"/>
      <c r="AHE235" s="2214"/>
      <c r="AHF235" s="2214"/>
      <c r="AHG235" s="2214"/>
      <c r="AHH235" s="2214"/>
      <c r="AHI235" s="2214"/>
      <c r="AHJ235" s="2214"/>
      <c r="AHK235" s="2214"/>
      <c r="AHL235" s="2214"/>
      <c r="AHM235" s="2214"/>
      <c r="AHN235" s="2214"/>
      <c r="AHO235" s="2214"/>
      <c r="AHP235" s="2214"/>
      <c r="AHQ235" s="2214"/>
      <c r="AHR235" s="2214"/>
      <c r="AHS235" s="2214"/>
      <c r="AHT235" s="2214"/>
      <c r="AHU235" s="2214"/>
      <c r="AHV235" s="2214"/>
      <c r="AHW235" s="2214"/>
      <c r="AHX235" s="2214"/>
      <c r="AHY235" s="2214"/>
      <c r="AHZ235" s="2214"/>
      <c r="AIA235" s="2214"/>
      <c r="AIB235" s="2214"/>
      <c r="AIC235" s="2214"/>
      <c r="AID235" s="2214"/>
      <c r="AIE235" s="2214"/>
      <c r="AIF235" s="2214"/>
      <c r="AIG235" s="2214"/>
      <c r="AIH235" s="2214"/>
      <c r="AII235" s="2214"/>
      <c r="AIJ235" s="2214"/>
      <c r="AIK235" s="2214"/>
      <c r="AIL235" s="2214"/>
      <c r="AIM235" s="2214"/>
      <c r="AIN235" s="2214"/>
      <c r="AIO235" s="2214"/>
      <c r="AIP235" s="2214"/>
      <c r="AIQ235" s="2214"/>
      <c r="AIR235" s="2214"/>
      <c r="AIS235" s="2214"/>
      <c r="AIT235" s="2214"/>
      <c r="AIU235" s="2214"/>
      <c r="AIV235" s="2214"/>
      <c r="AIW235" s="2214"/>
      <c r="AIX235" s="2214"/>
      <c r="AIY235" s="2214"/>
      <c r="AIZ235" s="2214"/>
      <c r="AJA235" s="2214"/>
      <c r="AJB235" s="2214"/>
      <c r="AJC235" s="2214"/>
      <c r="AJD235" s="2214"/>
      <c r="AJE235" s="2214"/>
      <c r="AJF235" s="2214"/>
      <c r="AJG235" s="2214"/>
      <c r="AJH235" s="2214"/>
      <c r="AJI235" s="2214"/>
      <c r="AJJ235" s="2214"/>
      <c r="AJK235" s="2214"/>
      <c r="AJL235" s="2214"/>
      <c r="AJM235" s="2214"/>
      <c r="AJN235" s="2214"/>
      <c r="AJO235" s="2214"/>
      <c r="AJP235" s="2214"/>
      <c r="AJQ235" s="2214"/>
      <c r="AJR235" s="2214"/>
      <c r="AJS235" s="2214"/>
      <c r="AJT235" s="2214"/>
      <c r="AJU235" s="2214"/>
      <c r="AJV235" s="2214"/>
      <c r="AJW235" s="2214"/>
      <c r="AJX235" s="2214"/>
      <c r="AJY235" s="2214"/>
      <c r="AJZ235" s="2214"/>
      <c r="AKA235" s="2214"/>
      <c r="AKB235" s="2214"/>
      <c r="AKC235" s="2214"/>
      <c r="AKD235" s="2214"/>
      <c r="AKE235" s="2214"/>
      <c r="AKF235" s="2214"/>
      <c r="AKG235" s="2214"/>
      <c r="AKH235" s="2214"/>
      <c r="AKI235" s="2214"/>
      <c r="AKJ235" s="2214"/>
      <c r="AKK235" s="2214"/>
      <c r="AKL235" s="2214"/>
      <c r="AKM235" s="2214"/>
      <c r="AKN235" s="2214"/>
      <c r="AKO235" s="2214"/>
      <c r="AKP235" s="2214"/>
      <c r="AKQ235" s="2214"/>
      <c r="AKR235" s="2214"/>
      <c r="AKS235" s="2214"/>
      <c r="AKT235" s="2214"/>
      <c r="AKU235" s="2214"/>
      <c r="AKV235" s="2214"/>
      <c r="AKW235" s="2214"/>
      <c r="AKX235" s="2214"/>
      <c r="AKY235" s="2214"/>
      <c r="AKZ235" s="2214"/>
      <c r="ALA235" s="2214"/>
      <c r="ALB235" s="2214"/>
      <c r="ALC235" s="2214"/>
      <c r="ALD235" s="2214"/>
      <c r="ALE235" s="2214"/>
      <c r="ALF235" s="2214"/>
      <c r="ALG235" s="2214"/>
      <c r="ALH235" s="2214"/>
      <c r="ALI235" s="2214"/>
      <c r="ALJ235" s="2214"/>
      <c r="ALK235" s="2214"/>
      <c r="ALL235" s="2214"/>
      <c r="ALM235" s="2214"/>
      <c r="ALN235" s="2214"/>
      <c r="ALO235" s="2214"/>
      <c r="ALP235" s="2214"/>
      <c r="ALQ235" s="2214"/>
      <c r="ALR235" s="2214"/>
      <c r="ALS235" s="2214"/>
      <c r="ALT235" s="2214"/>
      <c r="ALU235" s="2214"/>
      <c r="ALV235" s="2214"/>
      <c r="ALW235" s="2214"/>
      <c r="ALX235" s="2214"/>
      <c r="ALY235" s="2214"/>
      <c r="ALZ235" s="2214"/>
      <c r="AMA235" s="2214"/>
      <c r="AMB235" s="2214"/>
      <c r="AMC235" s="2214"/>
      <c r="AMD235" s="2214"/>
      <c r="AME235" s="2214"/>
      <c r="AMF235" s="2214"/>
      <c r="AMG235" s="2214"/>
      <c r="AMH235" s="2214"/>
      <c r="AMI235" s="2214"/>
      <c r="AMJ235" s="2214"/>
      <c r="AMK235" s="2214"/>
      <c r="AML235" s="2214"/>
      <c r="AMM235" s="2214"/>
      <c r="AMN235" s="2214"/>
      <c r="AMO235" s="2214"/>
      <c r="AMP235" s="2214"/>
      <c r="AMQ235" s="2214"/>
      <c r="AMR235" s="2214"/>
      <c r="AMS235" s="2214"/>
      <c r="AMT235" s="2214"/>
      <c r="AMU235" s="2214"/>
      <c r="AMV235" s="2214"/>
      <c r="AMW235" s="2214"/>
      <c r="AMX235" s="2214"/>
      <c r="AMY235" s="2214"/>
      <c r="AMZ235" s="2214"/>
      <c r="ANA235" s="2214"/>
      <c r="ANB235" s="2214"/>
      <c r="ANC235" s="2214"/>
      <c r="AND235" s="2214"/>
      <c r="ANE235" s="2214"/>
      <c r="ANF235" s="2214"/>
      <c r="ANG235" s="2214"/>
      <c r="ANH235" s="2214"/>
      <c r="ANI235" s="2214"/>
      <c r="ANJ235" s="2214"/>
      <c r="ANK235" s="2214"/>
      <c r="ANL235" s="2214"/>
      <c r="ANM235" s="2214"/>
      <c r="ANN235" s="2214"/>
      <c r="ANO235" s="2214"/>
      <c r="ANP235" s="2214"/>
      <c r="ANQ235" s="2214"/>
      <c r="ANR235" s="2214"/>
      <c r="ANS235" s="2214"/>
      <c r="ANT235" s="2214"/>
      <c r="ANU235" s="2214"/>
      <c r="ANV235" s="2214"/>
      <c r="ANW235" s="2214"/>
      <c r="ANX235" s="2214"/>
      <c r="ANY235" s="2214"/>
      <c r="ANZ235" s="2214"/>
      <c r="AOA235" s="2214"/>
      <c r="AOB235" s="2214"/>
      <c r="AOC235" s="2214"/>
      <c r="AOD235" s="2214"/>
      <c r="AOE235" s="2214"/>
      <c r="AOF235" s="2214"/>
      <c r="AOG235" s="2214"/>
      <c r="AOH235" s="2214"/>
      <c r="AOI235" s="2214"/>
      <c r="AOJ235" s="2214"/>
      <c r="AOK235" s="2214"/>
      <c r="AOL235" s="2214"/>
      <c r="AOM235" s="2214"/>
      <c r="AON235" s="2214"/>
      <c r="AOO235" s="2214"/>
      <c r="AOP235" s="2214"/>
      <c r="AOQ235" s="2214"/>
      <c r="AOR235" s="2214"/>
      <c r="AOS235" s="2214"/>
      <c r="AOT235" s="2214"/>
      <c r="AOU235" s="2214"/>
      <c r="AOV235" s="2214"/>
      <c r="AOW235" s="2214"/>
      <c r="AOX235" s="2214"/>
      <c r="AOY235" s="2214"/>
      <c r="AOZ235" s="2214"/>
      <c r="APA235" s="2214"/>
      <c r="APB235" s="2214"/>
      <c r="APC235" s="2214"/>
      <c r="APD235" s="2214"/>
      <c r="APE235" s="2214"/>
      <c r="APF235" s="2214"/>
      <c r="APG235" s="2214"/>
      <c r="APH235" s="2214"/>
      <c r="API235" s="2214"/>
      <c r="APJ235" s="2214"/>
      <c r="APK235" s="2214"/>
      <c r="APL235" s="2214"/>
      <c r="APM235" s="2214"/>
      <c r="APN235" s="2214"/>
      <c r="APO235" s="2214"/>
      <c r="APP235" s="2214"/>
      <c r="APQ235" s="2214"/>
      <c r="APR235" s="2214"/>
      <c r="APS235" s="2214"/>
      <c r="APT235" s="2214"/>
      <c r="APU235" s="2214"/>
      <c r="APV235" s="2214"/>
      <c r="APW235" s="2214"/>
      <c r="APX235" s="2214"/>
      <c r="APY235" s="2214"/>
      <c r="APZ235" s="2214"/>
      <c r="AQA235" s="2214"/>
      <c r="AQB235" s="2214"/>
      <c r="AQC235" s="2214"/>
      <c r="AQD235" s="2214"/>
      <c r="AQE235" s="2214"/>
      <c r="AQF235" s="2214"/>
      <c r="AQG235" s="2214"/>
      <c r="AQH235" s="2214"/>
      <c r="AQI235" s="2214"/>
      <c r="AQJ235" s="2214"/>
      <c r="AQK235" s="2214"/>
      <c r="AQL235" s="2214"/>
      <c r="AQM235" s="2214"/>
      <c r="AQN235" s="2214"/>
      <c r="AQO235" s="2214"/>
      <c r="AQP235" s="2214"/>
      <c r="AQQ235" s="2214"/>
      <c r="AQR235" s="2214"/>
      <c r="AQS235" s="2214"/>
      <c r="AQT235" s="2214"/>
      <c r="AQU235" s="2214"/>
      <c r="AQV235" s="2214"/>
      <c r="AQW235" s="2214"/>
      <c r="AQX235" s="2214"/>
      <c r="AQY235" s="2214"/>
      <c r="AQZ235" s="2214"/>
      <c r="ARA235" s="2214"/>
      <c r="ARB235" s="2214"/>
      <c r="ARC235" s="2214"/>
      <c r="ARD235" s="2214"/>
      <c r="ARE235" s="2214"/>
      <c r="ARF235" s="2214"/>
      <c r="ARG235" s="2214"/>
      <c r="ARH235" s="2214"/>
      <c r="ARI235" s="2214"/>
      <c r="ARJ235" s="2214"/>
      <c r="ARK235" s="2214"/>
      <c r="ARL235" s="2214"/>
      <c r="ARM235" s="2214"/>
      <c r="ARN235" s="2214"/>
      <c r="ARO235" s="2214"/>
      <c r="ARP235" s="2214"/>
      <c r="ARQ235" s="2214"/>
      <c r="ARR235" s="2214"/>
      <c r="ARS235" s="2214"/>
      <c r="ART235" s="2214"/>
      <c r="ARU235" s="2214"/>
      <c r="ARV235" s="2214"/>
      <c r="ARW235" s="2214"/>
      <c r="ARX235" s="2214"/>
      <c r="ARY235" s="2214"/>
      <c r="ARZ235" s="2214"/>
      <c r="ASA235" s="2214"/>
      <c r="ASB235" s="2214"/>
      <c r="ASC235" s="2214"/>
      <c r="ASD235" s="2214"/>
      <c r="ASE235" s="2214"/>
      <c r="ASF235" s="2214"/>
      <c r="ASG235" s="2214"/>
      <c r="ASH235" s="2214"/>
      <c r="ASI235" s="2214"/>
      <c r="ASJ235" s="2214"/>
      <c r="ASK235" s="2214"/>
      <c r="ASL235" s="2214"/>
      <c r="ASM235" s="2214"/>
      <c r="ASN235" s="2214"/>
      <c r="ASO235" s="2214"/>
      <c r="ASP235" s="2214"/>
      <c r="ASQ235" s="2214"/>
      <c r="ASR235" s="2214"/>
      <c r="ASS235" s="2214"/>
      <c r="AST235" s="2214"/>
      <c r="ASU235" s="2214"/>
      <c r="ASV235" s="2214"/>
      <c r="ASW235" s="2214"/>
      <c r="ASX235" s="2214"/>
      <c r="ASY235" s="2214"/>
      <c r="ASZ235" s="2214"/>
      <c r="ATA235" s="2214"/>
      <c r="ATB235" s="2214"/>
      <c r="ATC235" s="2214"/>
      <c r="ATD235" s="2214"/>
      <c r="ATE235" s="2214"/>
      <c r="ATF235" s="2214"/>
      <c r="ATG235" s="2214"/>
      <c r="ATH235" s="2214"/>
      <c r="ATI235" s="2214"/>
      <c r="ATJ235" s="2214"/>
      <c r="ATK235" s="2214"/>
      <c r="ATL235" s="2214"/>
      <c r="ATM235" s="2214"/>
      <c r="ATN235" s="2214"/>
      <c r="ATO235" s="2214"/>
      <c r="ATP235" s="2214"/>
      <c r="ATQ235" s="2214"/>
      <c r="ATR235" s="2214"/>
      <c r="ATS235" s="2214"/>
      <c r="ATT235" s="2214"/>
      <c r="ATU235" s="2214"/>
      <c r="ATV235" s="2214"/>
      <c r="ATW235" s="2214"/>
      <c r="ATX235" s="2214"/>
      <c r="ATY235" s="2214"/>
      <c r="ATZ235" s="2214"/>
      <c r="AUA235" s="2214"/>
      <c r="AUB235" s="2214"/>
      <c r="AUC235" s="2214"/>
      <c r="AUD235" s="2214"/>
      <c r="AUE235" s="2214"/>
      <c r="AUF235" s="2214"/>
      <c r="AUG235" s="2214"/>
      <c r="AUH235" s="2214"/>
      <c r="AUI235" s="2214"/>
      <c r="AUJ235" s="2214"/>
      <c r="AUK235" s="2214"/>
      <c r="AUL235" s="2214"/>
      <c r="AUM235" s="2214"/>
      <c r="AUN235" s="2214"/>
      <c r="AUO235" s="2214"/>
      <c r="AUP235" s="2214"/>
      <c r="AUQ235" s="2214"/>
      <c r="AUR235" s="2214"/>
      <c r="AUS235" s="2214"/>
      <c r="AUT235" s="2214"/>
      <c r="AUU235" s="2214"/>
      <c r="AUV235" s="2214"/>
      <c r="AUW235" s="2214"/>
      <c r="AUX235" s="2214"/>
      <c r="AUY235" s="2214"/>
      <c r="AUZ235" s="2214"/>
      <c r="AVA235" s="2214"/>
      <c r="AVB235" s="2214"/>
      <c r="AVC235" s="2214"/>
      <c r="AVD235" s="2214"/>
      <c r="AVE235" s="2214"/>
      <c r="AVF235" s="2214"/>
      <c r="AVG235" s="2214"/>
      <c r="AVH235" s="2214"/>
      <c r="AVI235" s="2214"/>
      <c r="AVJ235" s="2214"/>
      <c r="AVK235" s="2214"/>
      <c r="AVL235" s="2214"/>
      <c r="AVM235" s="2214"/>
      <c r="AVN235" s="2214"/>
      <c r="AVO235" s="2214"/>
      <c r="AVP235" s="2214"/>
      <c r="AVQ235" s="2214"/>
      <c r="AVR235" s="2214"/>
      <c r="AVS235" s="2214"/>
      <c r="AVT235" s="2214"/>
      <c r="AVU235" s="2214"/>
      <c r="AVV235" s="2214"/>
      <c r="AVW235" s="2214"/>
      <c r="AVX235" s="2214"/>
      <c r="AVY235" s="2214"/>
      <c r="AVZ235" s="2214"/>
      <c r="AWA235" s="2214"/>
      <c r="AWB235" s="2214"/>
      <c r="AWC235" s="2214"/>
      <c r="AWD235" s="2214"/>
      <c r="AWE235" s="2214"/>
      <c r="AWF235" s="2214"/>
      <c r="AWG235" s="2214"/>
      <c r="AWH235" s="2214"/>
      <c r="AWI235" s="2214"/>
      <c r="AWJ235" s="2214"/>
      <c r="AWK235" s="2214"/>
      <c r="AWL235" s="2214"/>
      <c r="AWM235" s="2214"/>
      <c r="AWN235" s="2214"/>
      <c r="AWO235" s="2214"/>
      <c r="AWP235" s="2214"/>
      <c r="AWQ235" s="2214"/>
      <c r="AWR235" s="2214"/>
      <c r="AWS235" s="2214"/>
      <c r="AWT235" s="2214"/>
      <c r="AWU235" s="2214"/>
      <c r="AWV235" s="2214"/>
      <c r="AWW235" s="2214"/>
      <c r="AWX235" s="2214"/>
      <c r="AWY235" s="2214"/>
      <c r="AWZ235" s="2214"/>
      <c r="AXA235" s="2214"/>
      <c r="AXB235" s="2214"/>
      <c r="AXC235" s="2214"/>
      <c r="AXD235" s="2214"/>
      <c r="AXE235" s="2214"/>
      <c r="AXF235" s="2214"/>
      <c r="AXG235" s="2214"/>
      <c r="AXH235" s="2214"/>
      <c r="AXI235" s="2214"/>
      <c r="AXJ235" s="2214"/>
    </row>
    <row r="236" spans="1:1310" s="2215" customFormat="1" ht="56.25" customHeight="1">
      <c r="A236" s="756"/>
      <c r="B236" s="9008" t="s">
        <v>1602</v>
      </c>
      <c r="C236" s="9008"/>
      <c r="D236" s="9008"/>
      <c r="E236" s="9008"/>
      <c r="F236" s="750"/>
      <c r="G236" s="9009" t="s">
        <v>1602</v>
      </c>
      <c r="H236" s="9009"/>
      <c r="I236" s="9009"/>
      <c r="J236" s="2217"/>
      <c r="K236" s="9010" t="s">
        <v>1603</v>
      </c>
      <c r="L236" s="9010"/>
      <c r="M236" s="9010"/>
      <c r="N236" s="2217"/>
      <c r="O236" s="9011" t="s">
        <v>1604</v>
      </c>
      <c r="P236" s="9011"/>
      <c r="Q236" s="9011"/>
      <c r="R236" s="311"/>
      <c r="S236" s="311"/>
      <c r="T236" s="311"/>
      <c r="U236" s="311"/>
      <c r="V236" s="311"/>
      <c r="W236" s="311"/>
      <c r="X236" s="311"/>
      <c r="Y236" s="311"/>
      <c r="Z236" s="311"/>
      <c r="AA236" s="311"/>
      <c r="AB236" s="311"/>
      <c r="AC236" s="311"/>
      <c r="AD236" s="2214"/>
      <c r="AE236" s="2214"/>
      <c r="AF236" s="2214"/>
      <c r="AG236" s="2214"/>
      <c r="AH236" s="2214"/>
      <c r="AI236" s="2214"/>
      <c r="AJ236" s="2214"/>
      <c r="AK236" s="2214"/>
      <c r="AL236" s="2214"/>
      <c r="AM236" s="2214"/>
      <c r="AN236" s="2214"/>
      <c r="AO236" s="2214"/>
      <c r="AP236" s="2214"/>
      <c r="AQ236" s="2214"/>
      <c r="AR236" s="2214"/>
      <c r="AS236" s="2214"/>
      <c r="AT236" s="2214"/>
      <c r="AU236" s="2214"/>
      <c r="AV236" s="2214"/>
      <c r="AW236" s="2214"/>
      <c r="AX236" s="2214"/>
      <c r="AY236" s="2214"/>
      <c r="AZ236" s="2214"/>
      <c r="BA236" s="2214"/>
      <c r="BB236" s="2214"/>
      <c r="BC236" s="2214"/>
      <c r="BD236" s="2214"/>
      <c r="BE236" s="2214"/>
      <c r="BF236" s="2214"/>
      <c r="BG236" s="2214"/>
      <c r="BH236" s="2214"/>
      <c r="BI236" s="2214"/>
      <c r="BJ236" s="2214"/>
      <c r="BK236" s="2214"/>
      <c r="BL236" s="2214"/>
      <c r="BM236" s="2214"/>
      <c r="BN236" s="2214"/>
      <c r="BO236" s="2214"/>
      <c r="BP236" s="2214"/>
      <c r="BQ236" s="2214"/>
      <c r="BR236" s="2214"/>
      <c r="BS236" s="2214"/>
      <c r="BT236" s="2214"/>
      <c r="BU236" s="2214"/>
      <c r="BV236" s="2214"/>
      <c r="BW236" s="2214"/>
      <c r="BX236" s="2214"/>
      <c r="BY236" s="2214"/>
      <c r="BZ236" s="2214"/>
      <c r="CA236" s="2214"/>
      <c r="CB236" s="2214"/>
      <c r="CC236" s="2214"/>
      <c r="CD236" s="2214"/>
      <c r="CE236" s="2214"/>
      <c r="CF236" s="2214"/>
      <c r="CG236" s="2214"/>
      <c r="CH236" s="2214"/>
      <c r="CI236" s="2214"/>
      <c r="CJ236" s="2214"/>
      <c r="CK236" s="2214"/>
      <c r="CL236" s="2214"/>
      <c r="CM236" s="2214"/>
      <c r="CN236" s="2214"/>
      <c r="CO236" s="2214"/>
      <c r="CP236" s="2214"/>
      <c r="CQ236" s="2214"/>
      <c r="CR236" s="2214"/>
      <c r="CS236" s="2214"/>
      <c r="CT236" s="2214"/>
      <c r="CU236" s="2214"/>
      <c r="CV236" s="2214"/>
      <c r="CW236" s="2214"/>
      <c r="CX236" s="2214"/>
      <c r="CY236" s="2214"/>
      <c r="CZ236" s="2214"/>
      <c r="DA236" s="2214"/>
      <c r="DB236" s="2214"/>
      <c r="DC236" s="2214"/>
      <c r="DD236" s="2214"/>
      <c r="DE236" s="2214"/>
      <c r="DF236" s="2214"/>
      <c r="DG236" s="2214"/>
      <c r="DH236" s="2214"/>
      <c r="DI236" s="2214"/>
      <c r="DJ236" s="2214"/>
      <c r="DK236" s="2214"/>
      <c r="DL236" s="2214"/>
      <c r="DM236" s="2214"/>
      <c r="DN236" s="2214"/>
      <c r="DO236" s="2214"/>
      <c r="DP236" s="2214"/>
      <c r="DQ236" s="2214"/>
      <c r="DR236" s="2214"/>
      <c r="DS236" s="2214"/>
      <c r="DT236" s="2214"/>
      <c r="DU236" s="2214"/>
      <c r="DV236" s="2214"/>
      <c r="DW236" s="2214"/>
      <c r="DX236" s="2214"/>
      <c r="DY236" s="2214"/>
      <c r="DZ236" s="2214"/>
      <c r="EA236" s="2214"/>
      <c r="EB236" s="2214"/>
      <c r="EC236" s="2214"/>
      <c r="ED236" s="2214"/>
      <c r="EE236" s="2214"/>
      <c r="EF236" s="2214"/>
      <c r="EG236" s="2214"/>
      <c r="EH236" s="2214"/>
      <c r="EI236" s="2214"/>
      <c r="EJ236" s="2214"/>
      <c r="EK236" s="2214"/>
      <c r="EL236" s="2214"/>
      <c r="EM236" s="2214"/>
      <c r="EN236" s="2214"/>
      <c r="EO236" s="2214"/>
      <c r="EP236" s="2214"/>
      <c r="EQ236" s="2214"/>
      <c r="ER236" s="2214"/>
      <c r="ES236" s="2214"/>
      <c r="ET236" s="2214"/>
      <c r="EU236" s="2214"/>
      <c r="EV236" s="2214"/>
      <c r="EW236" s="2214"/>
      <c r="EX236" s="2214"/>
      <c r="EY236" s="2214"/>
      <c r="EZ236" s="2214"/>
      <c r="FA236" s="2214"/>
      <c r="FB236" s="2214"/>
      <c r="FC236" s="2214"/>
      <c r="FD236" s="2214"/>
      <c r="FE236" s="2214"/>
      <c r="FF236" s="2214"/>
      <c r="FG236" s="2214"/>
      <c r="FH236" s="2214"/>
      <c r="FI236" s="2214"/>
      <c r="FJ236" s="2214"/>
      <c r="FK236" s="2214"/>
      <c r="FL236" s="2214"/>
      <c r="FM236" s="2214"/>
      <c r="FN236" s="2214"/>
      <c r="FO236" s="2214"/>
      <c r="FP236" s="2214"/>
      <c r="FQ236" s="2214"/>
      <c r="FR236" s="2214"/>
      <c r="FS236" s="2214"/>
      <c r="FT236" s="2214"/>
      <c r="FU236" s="2214"/>
      <c r="FV236" s="2214"/>
      <c r="FW236" s="2214"/>
      <c r="FX236" s="2214"/>
      <c r="FY236" s="2214"/>
      <c r="FZ236" s="2214"/>
      <c r="GA236" s="2214"/>
      <c r="GB236" s="2214"/>
      <c r="GC236" s="2214"/>
      <c r="GD236" s="2214"/>
      <c r="GE236" s="2214"/>
      <c r="GF236" s="2214"/>
      <c r="GG236" s="2214"/>
      <c r="GH236" s="2214"/>
      <c r="GI236" s="2214"/>
      <c r="GJ236" s="2214"/>
      <c r="GK236" s="2214"/>
      <c r="GL236" s="2214"/>
      <c r="GM236" s="2214"/>
      <c r="GN236" s="2214"/>
      <c r="GO236" s="2214"/>
      <c r="GP236" s="2214"/>
      <c r="GQ236" s="2214"/>
      <c r="GR236" s="2214"/>
      <c r="GS236" s="2214"/>
      <c r="GT236" s="2214"/>
      <c r="GU236" s="2214"/>
      <c r="GV236" s="2214"/>
      <c r="GW236" s="2214"/>
      <c r="GX236" s="2214"/>
      <c r="GY236" s="2214"/>
      <c r="GZ236" s="2214"/>
      <c r="HA236" s="2214"/>
      <c r="HB236" s="2214"/>
      <c r="HC236" s="2214"/>
      <c r="HD236" s="2214"/>
      <c r="HE236" s="2214"/>
      <c r="HF236" s="2214"/>
      <c r="HG236" s="2214"/>
      <c r="HH236" s="2214"/>
      <c r="HI236" s="2214"/>
      <c r="HJ236" s="2214"/>
      <c r="HK236" s="2214"/>
      <c r="HL236" s="2214"/>
      <c r="HM236" s="2214"/>
      <c r="HN236" s="2214"/>
      <c r="HO236" s="2214"/>
      <c r="HP236" s="2214"/>
      <c r="HQ236" s="2214"/>
      <c r="HR236" s="2214"/>
      <c r="HS236" s="2214"/>
      <c r="HT236" s="2214"/>
      <c r="HU236" s="2214"/>
      <c r="HV236" s="2214"/>
      <c r="HW236" s="2214"/>
      <c r="HX236" s="2214"/>
      <c r="HY236" s="2214"/>
      <c r="HZ236" s="2214"/>
      <c r="IA236" s="2214"/>
      <c r="IB236" s="2214"/>
      <c r="IC236" s="2214"/>
      <c r="ID236" s="2214"/>
      <c r="IE236" s="2214"/>
      <c r="IF236" s="2214"/>
      <c r="IG236" s="2214"/>
      <c r="IH236" s="2214"/>
      <c r="II236" s="2214"/>
      <c r="IJ236" s="2214"/>
      <c r="IK236" s="2214"/>
      <c r="IL236" s="2214"/>
      <c r="IM236" s="2214"/>
      <c r="IN236" s="2214"/>
      <c r="IO236" s="2214"/>
      <c r="IP236" s="2214"/>
      <c r="IQ236" s="2214"/>
      <c r="IR236" s="2214"/>
      <c r="IS236" s="2214"/>
      <c r="IT236" s="2214"/>
      <c r="IU236" s="2214"/>
      <c r="IV236" s="2214"/>
      <c r="IW236" s="2214"/>
      <c r="IX236" s="2214"/>
      <c r="IY236" s="2214"/>
      <c r="IZ236" s="2214"/>
      <c r="JA236" s="2214"/>
      <c r="JB236" s="2214"/>
      <c r="JC236" s="2214"/>
      <c r="JD236" s="2214"/>
      <c r="JE236" s="2214"/>
      <c r="JF236" s="2214"/>
      <c r="JG236" s="2214"/>
      <c r="JH236" s="2214"/>
      <c r="JI236" s="2214"/>
      <c r="JJ236" s="2214"/>
      <c r="JK236" s="2214"/>
      <c r="JL236" s="2214"/>
      <c r="JM236" s="2214"/>
      <c r="JN236" s="2214"/>
      <c r="JO236" s="2214"/>
      <c r="JP236" s="2214"/>
      <c r="JQ236" s="2214"/>
      <c r="JR236" s="2214"/>
      <c r="JS236" s="2214"/>
      <c r="JT236" s="2214"/>
      <c r="JU236" s="2214"/>
      <c r="JV236" s="2214"/>
      <c r="JW236" s="2214"/>
      <c r="JX236" s="2214"/>
      <c r="JY236" s="2214"/>
      <c r="JZ236" s="2214"/>
      <c r="KA236" s="2214"/>
      <c r="KB236" s="2214"/>
      <c r="KC236" s="2214"/>
      <c r="KD236" s="2214"/>
      <c r="KE236" s="2214"/>
      <c r="KF236" s="2214"/>
      <c r="KG236" s="2214"/>
      <c r="KH236" s="2214"/>
      <c r="KI236" s="2214"/>
      <c r="KJ236" s="2214"/>
      <c r="KK236" s="2214"/>
      <c r="KL236" s="2214"/>
      <c r="KM236" s="2214"/>
      <c r="KN236" s="2214"/>
      <c r="KO236" s="2214"/>
      <c r="KP236" s="2214"/>
      <c r="KQ236" s="2214"/>
      <c r="KR236" s="2214"/>
      <c r="KS236" s="2214"/>
      <c r="KT236" s="2214"/>
      <c r="KU236" s="2214"/>
      <c r="KV236" s="2214"/>
      <c r="KW236" s="2214"/>
      <c r="KX236" s="2214"/>
      <c r="KY236" s="2214"/>
      <c r="KZ236" s="2214"/>
      <c r="LA236" s="2214"/>
      <c r="LB236" s="2214"/>
      <c r="LC236" s="2214"/>
      <c r="LD236" s="2214"/>
      <c r="LE236" s="2214"/>
      <c r="LF236" s="2214"/>
      <c r="LG236" s="2214"/>
      <c r="LH236" s="2214"/>
      <c r="LI236" s="2214"/>
      <c r="LJ236" s="2214"/>
      <c r="LK236" s="2214"/>
      <c r="LL236" s="2214"/>
      <c r="LM236" s="2214"/>
      <c r="LN236" s="2214"/>
      <c r="LO236" s="2214"/>
      <c r="LP236" s="2214"/>
      <c r="LQ236" s="2214"/>
      <c r="LR236" s="2214"/>
      <c r="LS236" s="2214"/>
      <c r="LT236" s="2214"/>
      <c r="LU236" s="2214"/>
      <c r="LV236" s="2214"/>
      <c r="LW236" s="2214"/>
      <c r="LX236" s="2214"/>
      <c r="LY236" s="2214"/>
      <c r="LZ236" s="2214"/>
      <c r="MA236" s="2214"/>
      <c r="MB236" s="2214"/>
      <c r="MC236" s="2214"/>
      <c r="MD236" s="2214"/>
      <c r="ME236" s="2214"/>
      <c r="MF236" s="2214"/>
      <c r="MG236" s="2214"/>
      <c r="MH236" s="2214"/>
      <c r="MI236" s="2214"/>
      <c r="MJ236" s="2214"/>
      <c r="MK236" s="2214"/>
      <c r="ML236" s="2214"/>
      <c r="MM236" s="2214"/>
      <c r="MN236" s="2214"/>
      <c r="MO236" s="2214"/>
      <c r="MP236" s="2214"/>
      <c r="MQ236" s="2214"/>
      <c r="MR236" s="2214"/>
      <c r="MS236" s="2214"/>
      <c r="MT236" s="2214"/>
      <c r="MU236" s="2214"/>
      <c r="MV236" s="2214"/>
      <c r="MW236" s="2214"/>
      <c r="MX236" s="2214"/>
      <c r="MY236" s="2214"/>
      <c r="MZ236" s="2214"/>
      <c r="NA236" s="2214"/>
      <c r="NB236" s="2214"/>
      <c r="NC236" s="2214"/>
      <c r="ND236" s="2214"/>
      <c r="NE236" s="2214"/>
      <c r="NF236" s="2214"/>
      <c r="NG236" s="2214"/>
      <c r="NH236" s="2214"/>
      <c r="NI236" s="2214"/>
      <c r="NJ236" s="2214"/>
      <c r="NK236" s="2214"/>
      <c r="NL236" s="2214"/>
      <c r="NM236" s="2214"/>
      <c r="NN236" s="2214"/>
      <c r="NO236" s="2214"/>
      <c r="NP236" s="2214"/>
      <c r="NQ236" s="2214"/>
      <c r="NR236" s="2214"/>
      <c r="NS236" s="2214"/>
      <c r="NT236" s="2214"/>
      <c r="NU236" s="2214"/>
      <c r="NV236" s="2214"/>
      <c r="NW236" s="2214"/>
      <c r="NX236" s="2214"/>
      <c r="NY236" s="2214"/>
      <c r="NZ236" s="2214"/>
      <c r="OA236" s="2214"/>
      <c r="OB236" s="2214"/>
      <c r="OC236" s="2214"/>
      <c r="OD236" s="2214"/>
      <c r="OE236" s="2214"/>
      <c r="OF236" s="2214"/>
      <c r="OG236" s="2214"/>
      <c r="OH236" s="2214"/>
      <c r="OI236" s="2214"/>
      <c r="OJ236" s="2214"/>
      <c r="OK236" s="2214"/>
      <c r="OL236" s="2214"/>
      <c r="OM236" s="2214"/>
      <c r="ON236" s="2214"/>
      <c r="OO236" s="2214"/>
      <c r="OP236" s="2214"/>
      <c r="OQ236" s="2214"/>
      <c r="OR236" s="2214"/>
      <c r="OS236" s="2214"/>
      <c r="OT236" s="2214"/>
      <c r="OU236" s="2214"/>
      <c r="OV236" s="2214"/>
      <c r="OW236" s="2214"/>
      <c r="OX236" s="2214"/>
      <c r="OY236" s="2214"/>
      <c r="OZ236" s="2214"/>
      <c r="PA236" s="2214"/>
      <c r="PB236" s="2214"/>
      <c r="PC236" s="2214"/>
      <c r="PD236" s="2214"/>
      <c r="PE236" s="2214"/>
      <c r="PF236" s="2214"/>
      <c r="PG236" s="2214"/>
      <c r="PH236" s="2214"/>
      <c r="PI236" s="2214"/>
      <c r="PJ236" s="2214"/>
      <c r="PK236" s="2214"/>
      <c r="PL236" s="2214"/>
      <c r="PM236" s="2214"/>
      <c r="PN236" s="2214"/>
      <c r="PO236" s="2214"/>
      <c r="PP236" s="2214"/>
      <c r="PQ236" s="2214"/>
      <c r="PR236" s="2214"/>
      <c r="PS236" s="2214"/>
      <c r="PT236" s="2214"/>
      <c r="PU236" s="2214"/>
      <c r="PV236" s="2214"/>
      <c r="PW236" s="2214"/>
      <c r="PX236" s="2214"/>
      <c r="PY236" s="2214"/>
      <c r="PZ236" s="2214"/>
      <c r="QA236" s="2214"/>
      <c r="QB236" s="2214"/>
      <c r="QC236" s="2214"/>
      <c r="QD236" s="2214"/>
      <c r="QE236" s="2214"/>
      <c r="QF236" s="2214"/>
      <c r="QG236" s="2214"/>
      <c r="QH236" s="2214"/>
      <c r="QI236" s="2214"/>
      <c r="QJ236" s="2214"/>
      <c r="QK236" s="2214"/>
      <c r="QL236" s="2214"/>
      <c r="QM236" s="2214"/>
      <c r="QN236" s="2214"/>
      <c r="QO236" s="2214"/>
      <c r="QP236" s="2214"/>
      <c r="QQ236" s="2214"/>
      <c r="QR236" s="2214"/>
      <c r="QS236" s="2214"/>
      <c r="QT236" s="2214"/>
      <c r="QU236" s="2214"/>
      <c r="QV236" s="2214"/>
      <c r="QW236" s="2214"/>
      <c r="QX236" s="2214"/>
      <c r="QY236" s="2214"/>
      <c r="QZ236" s="2214"/>
      <c r="RA236" s="2214"/>
      <c r="RB236" s="2214"/>
      <c r="RC236" s="2214"/>
      <c r="RD236" s="2214"/>
      <c r="RE236" s="2214"/>
      <c r="RF236" s="2214"/>
      <c r="RG236" s="2214"/>
      <c r="RH236" s="2214"/>
      <c r="RI236" s="2214"/>
      <c r="RJ236" s="2214"/>
      <c r="RK236" s="2214"/>
      <c r="RL236" s="2214"/>
      <c r="RM236" s="2214"/>
      <c r="RN236" s="2214"/>
      <c r="RO236" s="2214"/>
      <c r="RP236" s="2214"/>
      <c r="RQ236" s="2214"/>
      <c r="RR236" s="2214"/>
      <c r="RS236" s="2214"/>
      <c r="RT236" s="2214"/>
      <c r="RU236" s="2214"/>
      <c r="RV236" s="2214"/>
      <c r="RW236" s="2214"/>
      <c r="RX236" s="2214"/>
      <c r="RY236" s="2214"/>
      <c r="RZ236" s="2214"/>
      <c r="SA236" s="2214"/>
      <c r="SB236" s="2214"/>
      <c r="SC236" s="2214"/>
      <c r="SD236" s="2214"/>
      <c r="SE236" s="2214"/>
      <c r="SF236" s="2214"/>
      <c r="SG236" s="2214"/>
      <c r="SH236" s="2214"/>
      <c r="SI236" s="2214"/>
      <c r="SJ236" s="2214"/>
      <c r="SK236" s="2214"/>
      <c r="SL236" s="2214"/>
      <c r="SM236" s="2214"/>
      <c r="SN236" s="2214"/>
      <c r="SO236" s="2214"/>
      <c r="SP236" s="2214"/>
      <c r="SQ236" s="2214"/>
      <c r="SR236" s="2214"/>
      <c r="SS236" s="2214"/>
      <c r="ST236" s="2214"/>
      <c r="SU236" s="2214"/>
      <c r="SV236" s="2214"/>
      <c r="SW236" s="2214"/>
      <c r="SX236" s="2214"/>
      <c r="SY236" s="2214"/>
      <c r="SZ236" s="2214"/>
      <c r="TA236" s="2214"/>
      <c r="TB236" s="2214"/>
      <c r="TC236" s="2214"/>
      <c r="TD236" s="2214"/>
      <c r="TE236" s="2214"/>
      <c r="TF236" s="2214"/>
      <c r="TG236" s="2214"/>
      <c r="TH236" s="2214"/>
      <c r="TI236" s="2214"/>
      <c r="TJ236" s="2214"/>
      <c r="TK236" s="2214"/>
      <c r="TL236" s="2214"/>
      <c r="TM236" s="2214"/>
      <c r="TN236" s="2214"/>
      <c r="TO236" s="2214"/>
      <c r="TP236" s="2214"/>
      <c r="TQ236" s="2214"/>
      <c r="TR236" s="2214"/>
      <c r="TS236" s="2214"/>
      <c r="TT236" s="2214"/>
      <c r="TU236" s="2214"/>
      <c r="TV236" s="2214"/>
      <c r="TW236" s="2214"/>
      <c r="TX236" s="2214"/>
      <c r="TY236" s="2214"/>
      <c r="TZ236" s="2214"/>
      <c r="UA236" s="2214"/>
      <c r="UB236" s="2214"/>
      <c r="UC236" s="2214"/>
      <c r="UD236" s="2214"/>
      <c r="UE236" s="2214"/>
      <c r="UF236" s="2214"/>
      <c r="UG236" s="2214"/>
      <c r="UH236" s="2214"/>
      <c r="UI236" s="2214"/>
      <c r="UJ236" s="2214"/>
      <c r="UK236" s="2214"/>
      <c r="UL236" s="2214"/>
      <c r="UM236" s="2214"/>
      <c r="UN236" s="2214"/>
      <c r="UO236" s="2214"/>
      <c r="UP236" s="2214"/>
      <c r="UQ236" s="2214"/>
      <c r="UR236" s="2214"/>
      <c r="US236" s="2214"/>
      <c r="UT236" s="2214"/>
      <c r="UU236" s="2214"/>
      <c r="UV236" s="2214"/>
      <c r="UW236" s="2214"/>
      <c r="UX236" s="2214"/>
      <c r="UY236" s="2214"/>
      <c r="UZ236" s="2214"/>
      <c r="VA236" s="2214"/>
      <c r="VB236" s="2214"/>
      <c r="VC236" s="2214"/>
      <c r="VD236" s="2214"/>
      <c r="VE236" s="2214"/>
      <c r="VF236" s="2214"/>
      <c r="VG236" s="2214"/>
      <c r="VH236" s="2214"/>
      <c r="VI236" s="2214"/>
      <c r="VJ236" s="2214"/>
      <c r="VK236" s="2214"/>
      <c r="VL236" s="2214"/>
      <c r="VM236" s="2214"/>
      <c r="VN236" s="2214"/>
      <c r="VO236" s="2214"/>
      <c r="VP236" s="2214"/>
      <c r="VQ236" s="2214"/>
      <c r="VR236" s="2214"/>
      <c r="VS236" s="2214"/>
      <c r="VT236" s="2214"/>
      <c r="VU236" s="2214"/>
      <c r="VV236" s="2214"/>
      <c r="VW236" s="2214"/>
      <c r="VX236" s="2214"/>
      <c r="VY236" s="2214"/>
      <c r="VZ236" s="2214"/>
      <c r="WA236" s="2214"/>
      <c r="WB236" s="2214"/>
      <c r="WC236" s="2214"/>
      <c r="WD236" s="2214"/>
      <c r="WE236" s="2214"/>
      <c r="WF236" s="2214"/>
      <c r="WG236" s="2214"/>
      <c r="WH236" s="2214"/>
      <c r="WI236" s="2214"/>
      <c r="WJ236" s="2214"/>
      <c r="WK236" s="2214"/>
      <c r="WL236" s="2214"/>
      <c r="WM236" s="2214"/>
      <c r="WN236" s="2214"/>
      <c r="WO236" s="2214"/>
      <c r="WP236" s="2214"/>
      <c r="WQ236" s="2214"/>
      <c r="WR236" s="2214"/>
      <c r="WS236" s="2214"/>
      <c r="WT236" s="2214"/>
      <c r="WU236" s="2214"/>
      <c r="WV236" s="2214"/>
      <c r="WW236" s="2214"/>
      <c r="WX236" s="2214"/>
      <c r="WY236" s="2214"/>
      <c r="WZ236" s="2214"/>
      <c r="XA236" s="2214"/>
      <c r="XB236" s="2214"/>
      <c r="XC236" s="2214"/>
      <c r="XD236" s="2214"/>
      <c r="XE236" s="2214"/>
      <c r="XF236" s="2214"/>
      <c r="XG236" s="2214"/>
      <c r="XH236" s="2214"/>
      <c r="XI236" s="2214"/>
      <c r="XJ236" s="2214"/>
      <c r="XK236" s="2214"/>
      <c r="XL236" s="2214"/>
      <c r="XM236" s="2214"/>
      <c r="XN236" s="2214"/>
      <c r="XO236" s="2214"/>
      <c r="XP236" s="2214"/>
      <c r="XQ236" s="2214"/>
      <c r="XR236" s="2214"/>
      <c r="XS236" s="2214"/>
      <c r="XT236" s="2214"/>
      <c r="XU236" s="2214"/>
      <c r="XV236" s="2214"/>
      <c r="XW236" s="2214"/>
      <c r="XX236" s="2214"/>
      <c r="XY236" s="2214"/>
      <c r="XZ236" s="2214"/>
      <c r="YA236" s="2214"/>
      <c r="YB236" s="2214"/>
      <c r="YC236" s="2214"/>
      <c r="YD236" s="2214"/>
      <c r="YE236" s="2214"/>
      <c r="YF236" s="2214"/>
      <c r="YG236" s="2214"/>
      <c r="YH236" s="2214"/>
      <c r="YI236" s="2214"/>
      <c r="YJ236" s="2214"/>
      <c r="YK236" s="2214"/>
      <c r="YL236" s="2214"/>
      <c r="YM236" s="2214"/>
      <c r="YN236" s="2214"/>
      <c r="YO236" s="2214"/>
      <c r="YP236" s="2214"/>
      <c r="YQ236" s="2214"/>
      <c r="YR236" s="2214"/>
      <c r="YS236" s="2214"/>
      <c r="YT236" s="2214"/>
      <c r="YU236" s="2214"/>
      <c r="YV236" s="2214"/>
      <c r="YW236" s="2214"/>
      <c r="YX236" s="2214"/>
      <c r="YY236" s="2214"/>
      <c r="YZ236" s="2214"/>
      <c r="ZA236" s="2214"/>
      <c r="ZB236" s="2214"/>
      <c r="ZC236" s="2214"/>
      <c r="ZD236" s="2214"/>
      <c r="ZE236" s="2214"/>
      <c r="ZF236" s="2214"/>
      <c r="ZG236" s="2214"/>
      <c r="ZH236" s="2214"/>
      <c r="ZI236" s="2214"/>
      <c r="ZJ236" s="2214"/>
      <c r="ZK236" s="2214"/>
      <c r="ZL236" s="2214"/>
      <c r="ZM236" s="2214"/>
      <c r="ZN236" s="2214"/>
      <c r="ZO236" s="2214"/>
      <c r="ZP236" s="2214"/>
      <c r="ZQ236" s="2214"/>
      <c r="ZR236" s="2214"/>
      <c r="ZS236" s="2214"/>
      <c r="ZT236" s="2214"/>
      <c r="ZU236" s="2214"/>
      <c r="ZV236" s="2214"/>
      <c r="ZW236" s="2214"/>
      <c r="ZX236" s="2214"/>
      <c r="ZY236" s="2214"/>
      <c r="ZZ236" s="2214"/>
      <c r="AAA236" s="2214"/>
      <c r="AAB236" s="2214"/>
      <c r="AAC236" s="2214"/>
      <c r="AAD236" s="2214"/>
      <c r="AAE236" s="2214"/>
      <c r="AAF236" s="2214"/>
      <c r="AAG236" s="2214"/>
      <c r="AAH236" s="2214"/>
      <c r="AAI236" s="2214"/>
      <c r="AAJ236" s="2214"/>
      <c r="AAK236" s="2214"/>
      <c r="AAL236" s="2214"/>
      <c r="AAM236" s="2214"/>
      <c r="AAN236" s="2214"/>
      <c r="AAO236" s="2214"/>
      <c r="AAP236" s="2214"/>
      <c r="AAQ236" s="2214"/>
      <c r="AAR236" s="2214"/>
      <c r="AAS236" s="2214"/>
      <c r="AAT236" s="2214"/>
      <c r="AAU236" s="2214"/>
      <c r="AAV236" s="2214"/>
      <c r="AAW236" s="2214"/>
      <c r="AAX236" s="2214"/>
      <c r="AAY236" s="2214"/>
      <c r="AAZ236" s="2214"/>
      <c r="ABA236" s="2214"/>
      <c r="ABB236" s="2214"/>
      <c r="ABC236" s="2214"/>
      <c r="ABD236" s="2214"/>
      <c r="ABE236" s="2214"/>
      <c r="ABF236" s="2214"/>
      <c r="ABG236" s="2214"/>
      <c r="ABH236" s="2214"/>
      <c r="ABI236" s="2214"/>
      <c r="ABJ236" s="2214"/>
      <c r="ABK236" s="2214"/>
      <c r="ABL236" s="2214"/>
      <c r="ABM236" s="2214"/>
      <c r="ABN236" s="2214"/>
      <c r="ABO236" s="2214"/>
      <c r="ABP236" s="2214"/>
      <c r="ABQ236" s="2214"/>
      <c r="ABR236" s="2214"/>
      <c r="ABS236" s="2214"/>
      <c r="ABT236" s="2214"/>
      <c r="ABU236" s="2214"/>
      <c r="ABV236" s="2214"/>
      <c r="ABW236" s="2214"/>
      <c r="ABX236" s="2214"/>
      <c r="ABY236" s="2214"/>
      <c r="ABZ236" s="2214"/>
      <c r="ACA236" s="2214"/>
      <c r="ACB236" s="2214"/>
      <c r="ACC236" s="2214"/>
      <c r="ACD236" s="2214"/>
      <c r="ACE236" s="2214"/>
      <c r="ACF236" s="2214"/>
      <c r="ACG236" s="2214"/>
      <c r="ACH236" s="2214"/>
      <c r="ACI236" s="2214"/>
      <c r="ACJ236" s="2214"/>
      <c r="ACK236" s="2214"/>
      <c r="ACL236" s="2214"/>
      <c r="ACM236" s="2214"/>
      <c r="ACN236" s="2214"/>
      <c r="ACO236" s="2214"/>
      <c r="ACP236" s="2214"/>
      <c r="ACQ236" s="2214"/>
      <c r="ACR236" s="2214"/>
      <c r="ACS236" s="2214"/>
      <c r="ACT236" s="2214"/>
      <c r="ACU236" s="2214"/>
      <c r="ACV236" s="2214"/>
      <c r="ACW236" s="2214"/>
      <c r="ACX236" s="2214"/>
      <c r="ACY236" s="2214"/>
      <c r="ACZ236" s="2214"/>
      <c r="ADA236" s="2214"/>
      <c r="ADB236" s="2214"/>
      <c r="ADC236" s="2214"/>
      <c r="ADD236" s="2214"/>
      <c r="ADE236" s="2214"/>
      <c r="ADF236" s="2214"/>
      <c r="ADG236" s="2214"/>
      <c r="ADH236" s="2214"/>
      <c r="ADI236" s="2214"/>
      <c r="ADJ236" s="2214"/>
      <c r="ADK236" s="2214"/>
      <c r="ADL236" s="2214"/>
      <c r="ADM236" s="2214"/>
      <c r="ADN236" s="2214"/>
      <c r="ADO236" s="2214"/>
      <c r="ADP236" s="2214"/>
      <c r="ADQ236" s="2214"/>
      <c r="ADR236" s="2214"/>
      <c r="ADS236" s="2214"/>
      <c r="ADT236" s="2214"/>
      <c r="ADU236" s="2214"/>
      <c r="ADV236" s="2214"/>
      <c r="ADW236" s="2214"/>
      <c r="ADX236" s="2214"/>
      <c r="ADY236" s="2214"/>
      <c r="ADZ236" s="2214"/>
      <c r="AEA236" s="2214"/>
      <c r="AEB236" s="2214"/>
      <c r="AEC236" s="2214"/>
      <c r="AED236" s="2214"/>
      <c r="AEE236" s="2214"/>
      <c r="AEF236" s="2214"/>
      <c r="AEG236" s="2214"/>
      <c r="AEH236" s="2214"/>
      <c r="AEI236" s="2214"/>
      <c r="AEJ236" s="2214"/>
      <c r="AEK236" s="2214"/>
      <c r="AEL236" s="2214"/>
      <c r="AEM236" s="2214"/>
      <c r="AEN236" s="2214"/>
      <c r="AEO236" s="2214"/>
      <c r="AEP236" s="2214"/>
      <c r="AEQ236" s="2214"/>
      <c r="AER236" s="2214"/>
      <c r="AES236" s="2214"/>
      <c r="AET236" s="2214"/>
      <c r="AEU236" s="2214"/>
      <c r="AEV236" s="2214"/>
      <c r="AEW236" s="2214"/>
      <c r="AEX236" s="2214"/>
      <c r="AEY236" s="2214"/>
      <c r="AEZ236" s="2214"/>
      <c r="AFA236" s="2214"/>
      <c r="AFB236" s="2214"/>
      <c r="AFC236" s="2214"/>
      <c r="AFD236" s="2214"/>
      <c r="AFE236" s="2214"/>
      <c r="AFF236" s="2214"/>
      <c r="AFG236" s="2214"/>
      <c r="AFH236" s="2214"/>
      <c r="AFI236" s="2214"/>
      <c r="AFJ236" s="2214"/>
      <c r="AFK236" s="2214"/>
      <c r="AFL236" s="2214"/>
      <c r="AFM236" s="2214"/>
      <c r="AFN236" s="2214"/>
      <c r="AFO236" s="2214"/>
      <c r="AFP236" s="2214"/>
      <c r="AFQ236" s="2214"/>
      <c r="AFR236" s="2214"/>
      <c r="AFS236" s="2214"/>
      <c r="AFT236" s="2214"/>
      <c r="AFU236" s="2214"/>
      <c r="AFV236" s="2214"/>
      <c r="AFW236" s="2214"/>
      <c r="AFX236" s="2214"/>
      <c r="AFY236" s="2214"/>
      <c r="AFZ236" s="2214"/>
      <c r="AGA236" s="2214"/>
      <c r="AGB236" s="2214"/>
      <c r="AGC236" s="2214"/>
      <c r="AGD236" s="2214"/>
      <c r="AGE236" s="2214"/>
      <c r="AGF236" s="2214"/>
      <c r="AGG236" s="2214"/>
      <c r="AGH236" s="2214"/>
      <c r="AGI236" s="2214"/>
      <c r="AGJ236" s="2214"/>
      <c r="AGK236" s="2214"/>
      <c r="AGL236" s="2214"/>
      <c r="AGM236" s="2214"/>
      <c r="AGN236" s="2214"/>
      <c r="AGO236" s="2214"/>
      <c r="AGP236" s="2214"/>
      <c r="AGQ236" s="2214"/>
      <c r="AGR236" s="2214"/>
      <c r="AGS236" s="2214"/>
      <c r="AGT236" s="2214"/>
      <c r="AGU236" s="2214"/>
      <c r="AGV236" s="2214"/>
      <c r="AGW236" s="2214"/>
      <c r="AGX236" s="2214"/>
      <c r="AGY236" s="2214"/>
      <c r="AGZ236" s="2214"/>
      <c r="AHA236" s="2214"/>
      <c r="AHB236" s="2214"/>
      <c r="AHC236" s="2214"/>
      <c r="AHD236" s="2214"/>
      <c r="AHE236" s="2214"/>
      <c r="AHF236" s="2214"/>
      <c r="AHG236" s="2214"/>
      <c r="AHH236" s="2214"/>
      <c r="AHI236" s="2214"/>
      <c r="AHJ236" s="2214"/>
      <c r="AHK236" s="2214"/>
      <c r="AHL236" s="2214"/>
      <c r="AHM236" s="2214"/>
      <c r="AHN236" s="2214"/>
      <c r="AHO236" s="2214"/>
      <c r="AHP236" s="2214"/>
      <c r="AHQ236" s="2214"/>
      <c r="AHR236" s="2214"/>
      <c r="AHS236" s="2214"/>
      <c r="AHT236" s="2214"/>
      <c r="AHU236" s="2214"/>
      <c r="AHV236" s="2214"/>
      <c r="AHW236" s="2214"/>
      <c r="AHX236" s="2214"/>
      <c r="AHY236" s="2214"/>
      <c r="AHZ236" s="2214"/>
      <c r="AIA236" s="2214"/>
      <c r="AIB236" s="2214"/>
      <c r="AIC236" s="2214"/>
      <c r="AID236" s="2214"/>
      <c r="AIE236" s="2214"/>
      <c r="AIF236" s="2214"/>
      <c r="AIG236" s="2214"/>
      <c r="AIH236" s="2214"/>
      <c r="AII236" s="2214"/>
      <c r="AIJ236" s="2214"/>
      <c r="AIK236" s="2214"/>
      <c r="AIL236" s="2214"/>
      <c r="AIM236" s="2214"/>
      <c r="AIN236" s="2214"/>
      <c r="AIO236" s="2214"/>
      <c r="AIP236" s="2214"/>
      <c r="AIQ236" s="2214"/>
      <c r="AIR236" s="2214"/>
      <c r="AIS236" s="2214"/>
      <c r="AIT236" s="2214"/>
      <c r="AIU236" s="2214"/>
      <c r="AIV236" s="2214"/>
      <c r="AIW236" s="2214"/>
      <c r="AIX236" s="2214"/>
      <c r="AIY236" s="2214"/>
      <c r="AIZ236" s="2214"/>
      <c r="AJA236" s="2214"/>
      <c r="AJB236" s="2214"/>
      <c r="AJC236" s="2214"/>
      <c r="AJD236" s="2214"/>
      <c r="AJE236" s="2214"/>
      <c r="AJF236" s="2214"/>
      <c r="AJG236" s="2214"/>
      <c r="AJH236" s="2214"/>
      <c r="AJI236" s="2214"/>
      <c r="AJJ236" s="2214"/>
      <c r="AJK236" s="2214"/>
      <c r="AJL236" s="2214"/>
      <c r="AJM236" s="2214"/>
      <c r="AJN236" s="2214"/>
      <c r="AJO236" s="2214"/>
      <c r="AJP236" s="2214"/>
      <c r="AJQ236" s="2214"/>
      <c r="AJR236" s="2214"/>
      <c r="AJS236" s="2214"/>
      <c r="AJT236" s="2214"/>
      <c r="AJU236" s="2214"/>
      <c r="AJV236" s="2214"/>
      <c r="AJW236" s="2214"/>
      <c r="AJX236" s="2214"/>
      <c r="AJY236" s="2214"/>
      <c r="AJZ236" s="2214"/>
      <c r="AKA236" s="2214"/>
      <c r="AKB236" s="2214"/>
      <c r="AKC236" s="2214"/>
      <c r="AKD236" s="2214"/>
      <c r="AKE236" s="2214"/>
      <c r="AKF236" s="2214"/>
      <c r="AKG236" s="2214"/>
      <c r="AKH236" s="2214"/>
      <c r="AKI236" s="2214"/>
      <c r="AKJ236" s="2214"/>
      <c r="AKK236" s="2214"/>
      <c r="AKL236" s="2214"/>
      <c r="AKM236" s="2214"/>
      <c r="AKN236" s="2214"/>
      <c r="AKO236" s="2214"/>
      <c r="AKP236" s="2214"/>
      <c r="AKQ236" s="2214"/>
      <c r="AKR236" s="2214"/>
      <c r="AKS236" s="2214"/>
      <c r="AKT236" s="2214"/>
      <c r="AKU236" s="2214"/>
      <c r="AKV236" s="2214"/>
      <c r="AKW236" s="2214"/>
      <c r="AKX236" s="2214"/>
      <c r="AKY236" s="2214"/>
      <c r="AKZ236" s="2214"/>
      <c r="ALA236" s="2214"/>
      <c r="ALB236" s="2214"/>
      <c r="ALC236" s="2214"/>
      <c r="ALD236" s="2214"/>
      <c r="ALE236" s="2214"/>
      <c r="ALF236" s="2214"/>
      <c r="ALG236" s="2214"/>
      <c r="ALH236" s="2214"/>
      <c r="ALI236" s="2214"/>
      <c r="ALJ236" s="2214"/>
      <c r="ALK236" s="2214"/>
      <c r="ALL236" s="2214"/>
      <c r="ALM236" s="2214"/>
      <c r="ALN236" s="2214"/>
      <c r="ALO236" s="2214"/>
      <c r="ALP236" s="2214"/>
      <c r="ALQ236" s="2214"/>
      <c r="ALR236" s="2214"/>
      <c r="ALS236" s="2214"/>
      <c r="ALT236" s="2214"/>
      <c r="ALU236" s="2214"/>
      <c r="ALV236" s="2214"/>
      <c r="ALW236" s="2214"/>
      <c r="ALX236" s="2214"/>
      <c r="ALY236" s="2214"/>
      <c r="ALZ236" s="2214"/>
      <c r="AMA236" s="2214"/>
      <c r="AMB236" s="2214"/>
      <c r="AMC236" s="2214"/>
      <c r="AMD236" s="2214"/>
      <c r="AME236" s="2214"/>
      <c r="AMF236" s="2214"/>
      <c r="AMG236" s="2214"/>
      <c r="AMH236" s="2214"/>
      <c r="AMI236" s="2214"/>
      <c r="AMJ236" s="2214"/>
      <c r="AMK236" s="2214"/>
      <c r="AML236" s="2214"/>
      <c r="AMM236" s="2214"/>
      <c r="AMN236" s="2214"/>
      <c r="AMO236" s="2214"/>
      <c r="AMP236" s="2214"/>
      <c r="AMQ236" s="2214"/>
      <c r="AMR236" s="2214"/>
      <c r="AMS236" s="2214"/>
      <c r="AMT236" s="2214"/>
      <c r="AMU236" s="2214"/>
      <c r="AMV236" s="2214"/>
      <c r="AMW236" s="2214"/>
      <c r="AMX236" s="2214"/>
      <c r="AMY236" s="2214"/>
      <c r="AMZ236" s="2214"/>
      <c r="ANA236" s="2214"/>
      <c r="ANB236" s="2214"/>
      <c r="ANC236" s="2214"/>
      <c r="AND236" s="2214"/>
      <c r="ANE236" s="2214"/>
      <c r="ANF236" s="2214"/>
      <c r="ANG236" s="2214"/>
      <c r="ANH236" s="2214"/>
      <c r="ANI236" s="2214"/>
      <c r="ANJ236" s="2214"/>
      <c r="ANK236" s="2214"/>
      <c r="ANL236" s="2214"/>
      <c r="ANM236" s="2214"/>
      <c r="ANN236" s="2214"/>
      <c r="ANO236" s="2214"/>
      <c r="ANP236" s="2214"/>
      <c r="ANQ236" s="2214"/>
      <c r="ANR236" s="2214"/>
      <c r="ANS236" s="2214"/>
      <c r="ANT236" s="2214"/>
      <c r="ANU236" s="2214"/>
      <c r="ANV236" s="2214"/>
      <c r="ANW236" s="2214"/>
      <c r="ANX236" s="2214"/>
      <c r="ANY236" s="2214"/>
      <c r="ANZ236" s="2214"/>
      <c r="AOA236" s="2214"/>
      <c r="AOB236" s="2214"/>
      <c r="AOC236" s="2214"/>
      <c r="AOD236" s="2214"/>
      <c r="AOE236" s="2214"/>
      <c r="AOF236" s="2214"/>
      <c r="AOG236" s="2214"/>
      <c r="AOH236" s="2214"/>
      <c r="AOI236" s="2214"/>
      <c r="AOJ236" s="2214"/>
      <c r="AOK236" s="2214"/>
      <c r="AOL236" s="2214"/>
      <c r="AOM236" s="2214"/>
      <c r="AON236" s="2214"/>
      <c r="AOO236" s="2214"/>
      <c r="AOP236" s="2214"/>
      <c r="AOQ236" s="2214"/>
      <c r="AOR236" s="2214"/>
      <c r="AOS236" s="2214"/>
      <c r="AOT236" s="2214"/>
      <c r="AOU236" s="2214"/>
      <c r="AOV236" s="2214"/>
      <c r="AOW236" s="2214"/>
      <c r="AOX236" s="2214"/>
      <c r="AOY236" s="2214"/>
      <c r="AOZ236" s="2214"/>
      <c r="APA236" s="2214"/>
      <c r="APB236" s="2214"/>
      <c r="APC236" s="2214"/>
      <c r="APD236" s="2214"/>
      <c r="APE236" s="2214"/>
      <c r="APF236" s="2214"/>
      <c r="APG236" s="2214"/>
      <c r="APH236" s="2214"/>
      <c r="API236" s="2214"/>
      <c r="APJ236" s="2214"/>
      <c r="APK236" s="2214"/>
      <c r="APL236" s="2214"/>
      <c r="APM236" s="2214"/>
      <c r="APN236" s="2214"/>
      <c r="APO236" s="2214"/>
      <c r="APP236" s="2214"/>
      <c r="APQ236" s="2214"/>
      <c r="APR236" s="2214"/>
      <c r="APS236" s="2214"/>
      <c r="APT236" s="2214"/>
      <c r="APU236" s="2214"/>
      <c r="APV236" s="2214"/>
      <c r="APW236" s="2214"/>
      <c r="APX236" s="2214"/>
      <c r="APY236" s="2214"/>
      <c r="APZ236" s="2214"/>
      <c r="AQA236" s="2214"/>
      <c r="AQB236" s="2214"/>
      <c r="AQC236" s="2214"/>
      <c r="AQD236" s="2214"/>
      <c r="AQE236" s="2214"/>
      <c r="AQF236" s="2214"/>
      <c r="AQG236" s="2214"/>
      <c r="AQH236" s="2214"/>
      <c r="AQI236" s="2214"/>
      <c r="AQJ236" s="2214"/>
      <c r="AQK236" s="2214"/>
      <c r="AQL236" s="2214"/>
      <c r="AQM236" s="2214"/>
      <c r="AQN236" s="2214"/>
      <c r="AQO236" s="2214"/>
      <c r="AQP236" s="2214"/>
      <c r="AQQ236" s="2214"/>
      <c r="AQR236" s="2214"/>
      <c r="AQS236" s="2214"/>
      <c r="AQT236" s="2214"/>
      <c r="AQU236" s="2214"/>
      <c r="AQV236" s="2214"/>
      <c r="AQW236" s="2214"/>
      <c r="AQX236" s="2214"/>
      <c r="AQY236" s="2214"/>
      <c r="AQZ236" s="2214"/>
      <c r="ARA236" s="2214"/>
      <c r="ARB236" s="2214"/>
      <c r="ARC236" s="2214"/>
      <c r="ARD236" s="2214"/>
      <c r="ARE236" s="2214"/>
      <c r="ARF236" s="2214"/>
      <c r="ARG236" s="2214"/>
      <c r="ARH236" s="2214"/>
      <c r="ARI236" s="2214"/>
      <c r="ARJ236" s="2214"/>
      <c r="ARK236" s="2214"/>
      <c r="ARL236" s="2214"/>
      <c r="ARM236" s="2214"/>
      <c r="ARN236" s="2214"/>
      <c r="ARO236" s="2214"/>
      <c r="ARP236" s="2214"/>
      <c r="ARQ236" s="2214"/>
      <c r="ARR236" s="2214"/>
      <c r="ARS236" s="2214"/>
      <c r="ART236" s="2214"/>
      <c r="ARU236" s="2214"/>
      <c r="ARV236" s="2214"/>
      <c r="ARW236" s="2214"/>
      <c r="ARX236" s="2214"/>
      <c r="ARY236" s="2214"/>
      <c r="ARZ236" s="2214"/>
      <c r="ASA236" s="2214"/>
      <c r="ASB236" s="2214"/>
      <c r="ASC236" s="2214"/>
      <c r="ASD236" s="2214"/>
      <c r="ASE236" s="2214"/>
      <c r="ASF236" s="2214"/>
      <c r="ASG236" s="2214"/>
      <c r="ASH236" s="2214"/>
      <c r="ASI236" s="2214"/>
      <c r="ASJ236" s="2214"/>
      <c r="ASK236" s="2214"/>
      <c r="ASL236" s="2214"/>
      <c r="ASM236" s="2214"/>
      <c r="ASN236" s="2214"/>
      <c r="ASO236" s="2214"/>
      <c r="ASP236" s="2214"/>
      <c r="ASQ236" s="2214"/>
      <c r="ASR236" s="2214"/>
      <c r="ASS236" s="2214"/>
      <c r="AST236" s="2214"/>
      <c r="ASU236" s="2214"/>
      <c r="ASV236" s="2214"/>
      <c r="ASW236" s="2214"/>
      <c r="ASX236" s="2214"/>
      <c r="ASY236" s="2214"/>
      <c r="ASZ236" s="2214"/>
      <c r="ATA236" s="2214"/>
      <c r="ATB236" s="2214"/>
      <c r="ATC236" s="2214"/>
      <c r="ATD236" s="2214"/>
      <c r="ATE236" s="2214"/>
      <c r="ATF236" s="2214"/>
      <c r="ATG236" s="2214"/>
      <c r="ATH236" s="2214"/>
      <c r="ATI236" s="2214"/>
      <c r="ATJ236" s="2214"/>
      <c r="ATK236" s="2214"/>
      <c r="ATL236" s="2214"/>
      <c r="ATM236" s="2214"/>
      <c r="ATN236" s="2214"/>
      <c r="ATO236" s="2214"/>
      <c r="ATP236" s="2214"/>
      <c r="ATQ236" s="2214"/>
      <c r="ATR236" s="2214"/>
      <c r="ATS236" s="2214"/>
      <c r="ATT236" s="2214"/>
      <c r="ATU236" s="2214"/>
      <c r="ATV236" s="2214"/>
      <c r="ATW236" s="2214"/>
      <c r="ATX236" s="2214"/>
      <c r="ATY236" s="2214"/>
      <c r="ATZ236" s="2214"/>
      <c r="AUA236" s="2214"/>
      <c r="AUB236" s="2214"/>
      <c r="AUC236" s="2214"/>
      <c r="AUD236" s="2214"/>
      <c r="AUE236" s="2214"/>
      <c r="AUF236" s="2214"/>
      <c r="AUG236" s="2214"/>
      <c r="AUH236" s="2214"/>
      <c r="AUI236" s="2214"/>
      <c r="AUJ236" s="2214"/>
      <c r="AUK236" s="2214"/>
      <c r="AUL236" s="2214"/>
      <c r="AUM236" s="2214"/>
      <c r="AUN236" s="2214"/>
      <c r="AUO236" s="2214"/>
      <c r="AUP236" s="2214"/>
      <c r="AUQ236" s="2214"/>
      <c r="AUR236" s="2214"/>
      <c r="AUS236" s="2214"/>
      <c r="AUT236" s="2214"/>
      <c r="AUU236" s="2214"/>
      <c r="AUV236" s="2214"/>
      <c r="AUW236" s="2214"/>
      <c r="AUX236" s="2214"/>
      <c r="AUY236" s="2214"/>
      <c r="AUZ236" s="2214"/>
      <c r="AVA236" s="2214"/>
      <c r="AVB236" s="2214"/>
      <c r="AVC236" s="2214"/>
      <c r="AVD236" s="2214"/>
      <c r="AVE236" s="2214"/>
      <c r="AVF236" s="2214"/>
      <c r="AVG236" s="2214"/>
      <c r="AVH236" s="2214"/>
      <c r="AVI236" s="2214"/>
      <c r="AVJ236" s="2214"/>
      <c r="AVK236" s="2214"/>
      <c r="AVL236" s="2214"/>
      <c r="AVM236" s="2214"/>
      <c r="AVN236" s="2214"/>
      <c r="AVO236" s="2214"/>
      <c r="AVP236" s="2214"/>
      <c r="AVQ236" s="2214"/>
      <c r="AVR236" s="2214"/>
      <c r="AVS236" s="2214"/>
      <c r="AVT236" s="2214"/>
      <c r="AVU236" s="2214"/>
      <c r="AVV236" s="2214"/>
      <c r="AVW236" s="2214"/>
      <c r="AVX236" s="2214"/>
      <c r="AVY236" s="2214"/>
      <c r="AVZ236" s="2214"/>
      <c r="AWA236" s="2214"/>
      <c r="AWB236" s="2214"/>
      <c r="AWC236" s="2214"/>
      <c r="AWD236" s="2214"/>
      <c r="AWE236" s="2214"/>
      <c r="AWF236" s="2214"/>
      <c r="AWG236" s="2214"/>
      <c r="AWH236" s="2214"/>
      <c r="AWI236" s="2214"/>
      <c r="AWJ236" s="2214"/>
      <c r="AWK236" s="2214"/>
      <c r="AWL236" s="2214"/>
      <c r="AWM236" s="2214"/>
      <c r="AWN236" s="2214"/>
      <c r="AWO236" s="2214"/>
      <c r="AWP236" s="2214"/>
      <c r="AWQ236" s="2214"/>
      <c r="AWR236" s="2214"/>
      <c r="AWS236" s="2214"/>
      <c r="AWT236" s="2214"/>
      <c r="AWU236" s="2214"/>
      <c r="AWV236" s="2214"/>
      <c r="AWW236" s="2214"/>
      <c r="AWX236" s="2214"/>
      <c r="AWY236" s="2214"/>
      <c r="AWZ236" s="2214"/>
      <c r="AXA236" s="2214"/>
      <c r="AXB236" s="2214"/>
      <c r="AXC236" s="2214"/>
      <c r="AXD236" s="2214"/>
      <c r="AXE236" s="2214"/>
      <c r="AXF236" s="2214"/>
      <c r="AXG236" s="2214"/>
      <c r="AXH236" s="2214"/>
      <c r="AXI236" s="2214"/>
      <c r="AXJ236" s="2214"/>
    </row>
    <row r="237" spans="1:1310" s="2215" customFormat="1" ht="23.25" customHeight="1">
      <c r="A237" s="756"/>
      <c r="B237" s="760"/>
      <c r="C237" s="760"/>
      <c r="D237" s="760"/>
      <c r="E237" s="760"/>
      <c r="F237" s="760"/>
      <c r="G237" s="760"/>
      <c r="H237" s="760"/>
      <c r="I237" s="760"/>
      <c r="J237" s="760"/>
      <c r="K237" s="760"/>
      <c r="L237" s="760"/>
      <c r="M237" s="760"/>
      <c r="N237" s="760"/>
      <c r="O237" s="760"/>
      <c r="P237" s="760"/>
      <c r="Q237" s="760"/>
      <c r="R237" s="311"/>
      <c r="S237" s="311"/>
      <c r="T237" s="311"/>
      <c r="U237" s="311"/>
      <c r="V237" s="311"/>
      <c r="W237" s="311"/>
      <c r="X237" s="311"/>
      <c r="Y237" s="311"/>
      <c r="Z237" s="311"/>
      <c r="AA237" s="311"/>
      <c r="AB237" s="311"/>
      <c r="AC237" s="311"/>
      <c r="AD237" s="2214"/>
      <c r="AE237" s="2214"/>
      <c r="AF237" s="2214"/>
      <c r="AG237" s="2214"/>
      <c r="AH237" s="2214"/>
      <c r="AI237" s="2214"/>
      <c r="AJ237" s="2214"/>
      <c r="AK237" s="2214"/>
      <c r="AL237" s="2214"/>
      <c r="AM237" s="2214"/>
      <c r="AN237" s="2214"/>
      <c r="AO237" s="2214"/>
      <c r="AP237" s="2214"/>
      <c r="AQ237" s="2214"/>
      <c r="AR237" s="2214"/>
      <c r="AS237" s="2214"/>
      <c r="AT237" s="2214"/>
      <c r="AU237" s="2214"/>
      <c r="AV237" s="2214"/>
      <c r="AW237" s="2214"/>
      <c r="AX237" s="2214"/>
      <c r="AY237" s="2214"/>
      <c r="AZ237" s="2214"/>
      <c r="BA237" s="2214"/>
      <c r="BB237" s="2214"/>
      <c r="BC237" s="2214"/>
      <c r="BD237" s="2214"/>
      <c r="BE237" s="2214"/>
      <c r="BF237" s="2214"/>
      <c r="BG237" s="2214"/>
      <c r="BH237" s="2214"/>
      <c r="BI237" s="2214"/>
      <c r="BJ237" s="2214"/>
      <c r="BK237" s="2214"/>
      <c r="BL237" s="2214"/>
      <c r="BM237" s="2214"/>
      <c r="BN237" s="2214"/>
      <c r="BO237" s="2214"/>
      <c r="BP237" s="2214"/>
      <c r="BQ237" s="2214"/>
      <c r="BR237" s="2214"/>
      <c r="BS237" s="2214"/>
      <c r="BT237" s="2214"/>
      <c r="BU237" s="2214"/>
      <c r="BV237" s="2214"/>
      <c r="BW237" s="2214"/>
      <c r="BX237" s="2214"/>
      <c r="BY237" s="2214"/>
      <c r="BZ237" s="2214"/>
      <c r="CA237" s="2214"/>
      <c r="CB237" s="2214"/>
      <c r="CC237" s="2214"/>
      <c r="CD237" s="2214"/>
      <c r="CE237" s="2214"/>
      <c r="CF237" s="2214"/>
      <c r="CG237" s="2214"/>
      <c r="CH237" s="2214"/>
      <c r="CI237" s="2214"/>
      <c r="CJ237" s="2214"/>
      <c r="CK237" s="2214"/>
      <c r="CL237" s="2214"/>
      <c r="CM237" s="2214"/>
      <c r="CN237" s="2214"/>
      <c r="CO237" s="2214"/>
      <c r="CP237" s="2214"/>
      <c r="CQ237" s="2214"/>
      <c r="CR237" s="2214"/>
      <c r="CS237" s="2214"/>
      <c r="CT237" s="2214"/>
      <c r="CU237" s="2214"/>
      <c r="CV237" s="2214"/>
      <c r="CW237" s="2214"/>
      <c r="CX237" s="2214"/>
      <c r="CY237" s="2214"/>
      <c r="CZ237" s="2214"/>
      <c r="DA237" s="2214"/>
      <c r="DB237" s="2214"/>
      <c r="DC237" s="2214"/>
      <c r="DD237" s="2214"/>
      <c r="DE237" s="2214"/>
      <c r="DF237" s="2214"/>
      <c r="DG237" s="2214"/>
      <c r="DH237" s="2214"/>
      <c r="DI237" s="2214"/>
      <c r="DJ237" s="2214"/>
      <c r="DK237" s="2214"/>
      <c r="DL237" s="2214"/>
      <c r="DM237" s="2214"/>
      <c r="DN237" s="2214"/>
      <c r="DO237" s="2214"/>
      <c r="DP237" s="2214"/>
      <c r="DQ237" s="2214"/>
      <c r="DR237" s="2214"/>
      <c r="DS237" s="2214"/>
      <c r="DT237" s="2214"/>
      <c r="DU237" s="2214"/>
      <c r="DV237" s="2214"/>
      <c r="DW237" s="2214"/>
      <c r="DX237" s="2214"/>
      <c r="DY237" s="2214"/>
      <c r="DZ237" s="2214"/>
      <c r="EA237" s="2214"/>
      <c r="EB237" s="2214"/>
      <c r="EC237" s="2214"/>
      <c r="ED237" s="2214"/>
      <c r="EE237" s="2214"/>
      <c r="EF237" s="2214"/>
      <c r="EG237" s="2214"/>
      <c r="EH237" s="2214"/>
      <c r="EI237" s="2214"/>
      <c r="EJ237" s="2214"/>
      <c r="EK237" s="2214"/>
      <c r="EL237" s="2214"/>
      <c r="EM237" s="2214"/>
      <c r="EN237" s="2214"/>
      <c r="EO237" s="2214"/>
      <c r="EP237" s="2214"/>
      <c r="EQ237" s="2214"/>
      <c r="ER237" s="2214"/>
      <c r="ES237" s="2214"/>
      <c r="ET237" s="2214"/>
      <c r="EU237" s="2214"/>
      <c r="EV237" s="2214"/>
      <c r="EW237" s="2214"/>
      <c r="EX237" s="2214"/>
      <c r="EY237" s="2214"/>
      <c r="EZ237" s="2214"/>
      <c r="FA237" s="2214"/>
      <c r="FB237" s="2214"/>
      <c r="FC237" s="2214"/>
      <c r="FD237" s="2214"/>
      <c r="FE237" s="2214"/>
      <c r="FF237" s="2214"/>
      <c r="FG237" s="2214"/>
      <c r="FH237" s="2214"/>
      <c r="FI237" s="2214"/>
      <c r="FJ237" s="2214"/>
      <c r="FK237" s="2214"/>
      <c r="FL237" s="2214"/>
      <c r="FM237" s="2214"/>
      <c r="FN237" s="2214"/>
      <c r="FO237" s="2214"/>
      <c r="FP237" s="2214"/>
      <c r="FQ237" s="2214"/>
      <c r="FR237" s="2214"/>
      <c r="FS237" s="2214"/>
      <c r="FT237" s="2214"/>
      <c r="FU237" s="2214"/>
      <c r="FV237" s="2214"/>
      <c r="FW237" s="2214"/>
      <c r="FX237" s="2214"/>
      <c r="FY237" s="2214"/>
      <c r="FZ237" s="2214"/>
      <c r="GA237" s="2214"/>
      <c r="GB237" s="2214"/>
      <c r="GC237" s="2214"/>
      <c r="GD237" s="2214"/>
      <c r="GE237" s="2214"/>
      <c r="GF237" s="2214"/>
      <c r="GG237" s="2214"/>
      <c r="GH237" s="2214"/>
      <c r="GI237" s="2214"/>
      <c r="GJ237" s="2214"/>
      <c r="GK237" s="2214"/>
      <c r="GL237" s="2214"/>
      <c r="GM237" s="2214"/>
      <c r="GN237" s="2214"/>
      <c r="GO237" s="2214"/>
      <c r="GP237" s="2214"/>
      <c r="GQ237" s="2214"/>
      <c r="GR237" s="2214"/>
      <c r="GS237" s="2214"/>
      <c r="GT237" s="2214"/>
      <c r="GU237" s="2214"/>
      <c r="GV237" s="2214"/>
      <c r="GW237" s="2214"/>
      <c r="GX237" s="2214"/>
      <c r="GY237" s="2214"/>
      <c r="GZ237" s="2214"/>
      <c r="HA237" s="2214"/>
      <c r="HB237" s="2214"/>
      <c r="HC237" s="2214"/>
      <c r="HD237" s="2214"/>
      <c r="HE237" s="2214"/>
      <c r="HF237" s="2214"/>
      <c r="HG237" s="2214"/>
      <c r="HH237" s="2214"/>
      <c r="HI237" s="2214"/>
      <c r="HJ237" s="2214"/>
      <c r="HK237" s="2214"/>
      <c r="HL237" s="2214"/>
      <c r="HM237" s="2214"/>
      <c r="HN237" s="2214"/>
      <c r="HO237" s="2214"/>
      <c r="HP237" s="2214"/>
      <c r="HQ237" s="2214"/>
      <c r="HR237" s="2214"/>
      <c r="HS237" s="2214"/>
      <c r="HT237" s="2214"/>
      <c r="HU237" s="2214"/>
      <c r="HV237" s="2214"/>
      <c r="HW237" s="2214"/>
      <c r="HX237" s="2214"/>
      <c r="HY237" s="2214"/>
      <c r="HZ237" s="2214"/>
      <c r="IA237" s="2214"/>
      <c r="IB237" s="2214"/>
      <c r="IC237" s="2214"/>
      <c r="ID237" s="2214"/>
      <c r="IE237" s="2214"/>
      <c r="IF237" s="2214"/>
      <c r="IG237" s="2214"/>
      <c r="IH237" s="2214"/>
      <c r="II237" s="2214"/>
      <c r="IJ237" s="2214"/>
      <c r="IK237" s="2214"/>
      <c r="IL237" s="2214"/>
      <c r="IM237" s="2214"/>
      <c r="IN237" s="2214"/>
      <c r="IO237" s="2214"/>
      <c r="IP237" s="2214"/>
      <c r="IQ237" s="2214"/>
      <c r="IR237" s="2214"/>
      <c r="IS237" s="2214"/>
      <c r="IT237" s="2214"/>
      <c r="IU237" s="2214"/>
      <c r="IV237" s="2214"/>
      <c r="IW237" s="2214"/>
      <c r="IX237" s="2214"/>
      <c r="IY237" s="2214"/>
      <c r="IZ237" s="2214"/>
      <c r="JA237" s="2214"/>
      <c r="JB237" s="2214"/>
      <c r="JC237" s="2214"/>
      <c r="JD237" s="2214"/>
      <c r="JE237" s="2214"/>
      <c r="JF237" s="2214"/>
      <c r="JG237" s="2214"/>
      <c r="JH237" s="2214"/>
      <c r="JI237" s="2214"/>
      <c r="JJ237" s="2214"/>
      <c r="JK237" s="2214"/>
      <c r="JL237" s="2214"/>
      <c r="JM237" s="2214"/>
      <c r="JN237" s="2214"/>
      <c r="JO237" s="2214"/>
      <c r="JP237" s="2214"/>
      <c r="JQ237" s="2214"/>
      <c r="JR237" s="2214"/>
      <c r="JS237" s="2214"/>
      <c r="JT237" s="2214"/>
      <c r="JU237" s="2214"/>
      <c r="JV237" s="2214"/>
      <c r="JW237" s="2214"/>
      <c r="JX237" s="2214"/>
      <c r="JY237" s="2214"/>
      <c r="JZ237" s="2214"/>
      <c r="KA237" s="2214"/>
      <c r="KB237" s="2214"/>
      <c r="KC237" s="2214"/>
      <c r="KD237" s="2214"/>
      <c r="KE237" s="2214"/>
      <c r="KF237" s="2214"/>
      <c r="KG237" s="2214"/>
      <c r="KH237" s="2214"/>
      <c r="KI237" s="2214"/>
      <c r="KJ237" s="2214"/>
      <c r="KK237" s="2214"/>
      <c r="KL237" s="2214"/>
      <c r="KM237" s="2214"/>
      <c r="KN237" s="2214"/>
      <c r="KO237" s="2214"/>
      <c r="KP237" s="2214"/>
      <c r="KQ237" s="2214"/>
      <c r="KR237" s="2214"/>
      <c r="KS237" s="2214"/>
      <c r="KT237" s="2214"/>
      <c r="KU237" s="2214"/>
      <c r="KV237" s="2214"/>
      <c r="KW237" s="2214"/>
      <c r="KX237" s="2214"/>
      <c r="KY237" s="2214"/>
      <c r="KZ237" s="2214"/>
      <c r="LA237" s="2214"/>
      <c r="LB237" s="2214"/>
      <c r="LC237" s="2214"/>
      <c r="LD237" s="2214"/>
      <c r="LE237" s="2214"/>
      <c r="LF237" s="2214"/>
      <c r="LG237" s="2214"/>
      <c r="LH237" s="2214"/>
      <c r="LI237" s="2214"/>
      <c r="LJ237" s="2214"/>
      <c r="LK237" s="2214"/>
      <c r="LL237" s="2214"/>
      <c r="LM237" s="2214"/>
      <c r="LN237" s="2214"/>
      <c r="LO237" s="2214"/>
      <c r="LP237" s="2214"/>
      <c r="LQ237" s="2214"/>
      <c r="LR237" s="2214"/>
      <c r="LS237" s="2214"/>
      <c r="LT237" s="2214"/>
      <c r="LU237" s="2214"/>
      <c r="LV237" s="2214"/>
      <c r="LW237" s="2214"/>
      <c r="LX237" s="2214"/>
      <c r="LY237" s="2214"/>
      <c r="LZ237" s="2214"/>
      <c r="MA237" s="2214"/>
      <c r="MB237" s="2214"/>
      <c r="MC237" s="2214"/>
      <c r="MD237" s="2214"/>
      <c r="ME237" s="2214"/>
      <c r="MF237" s="2214"/>
      <c r="MG237" s="2214"/>
      <c r="MH237" s="2214"/>
      <c r="MI237" s="2214"/>
      <c r="MJ237" s="2214"/>
      <c r="MK237" s="2214"/>
      <c r="ML237" s="2214"/>
      <c r="MM237" s="2214"/>
      <c r="MN237" s="2214"/>
      <c r="MO237" s="2214"/>
      <c r="MP237" s="2214"/>
      <c r="MQ237" s="2214"/>
      <c r="MR237" s="2214"/>
      <c r="MS237" s="2214"/>
      <c r="MT237" s="2214"/>
      <c r="MU237" s="2214"/>
      <c r="MV237" s="2214"/>
      <c r="MW237" s="2214"/>
      <c r="MX237" s="2214"/>
      <c r="MY237" s="2214"/>
      <c r="MZ237" s="2214"/>
      <c r="NA237" s="2214"/>
      <c r="NB237" s="2214"/>
      <c r="NC237" s="2214"/>
      <c r="ND237" s="2214"/>
      <c r="NE237" s="2214"/>
      <c r="NF237" s="2214"/>
      <c r="NG237" s="2214"/>
      <c r="NH237" s="2214"/>
      <c r="NI237" s="2214"/>
      <c r="NJ237" s="2214"/>
      <c r="NK237" s="2214"/>
      <c r="NL237" s="2214"/>
      <c r="NM237" s="2214"/>
      <c r="NN237" s="2214"/>
      <c r="NO237" s="2214"/>
      <c r="NP237" s="2214"/>
      <c r="NQ237" s="2214"/>
      <c r="NR237" s="2214"/>
      <c r="NS237" s="2214"/>
      <c r="NT237" s="2214"/>
      <c r="NU237" s="2214"/>
      <c r="NV237" s="2214"/>
      <c r="NW237" s="2214"/>
      <c r="NX237" s="2214"/>
      <c r="NY237" s="2214"/>
      <c r="NZ237" s="2214"/>
      <c r="OA237" s="2214"/>
      <c r="OB237" s="2214"/>
      <c r="OC237" s="2214"/>
      <c r="OD237" s="2214"/>
      <c r="OE237" s="2214"/>
      <c r="OF237" s="2214"/>
      <c r="OG237" s="2214"/>
      <c r="OH237" s="2214"/>
      <c r="OI237" s="2214"/>
      <c r="OJ237" s="2214"/>
      <c r="OK237" s="2214"/>
      <c r="OL237" s="2214"/>
      <c r="OM237" s="2214"/>
      <c r="ON237" s="2214"/>
      <c r="OO237" s="2214"/>
      <c r="OP237" s="2214"/>
      <c r="OQ237" s="2214"/>
      <c r="OR237" s="2214"/>
      <c r="OS237" s="2214"/>
      <c r="OT237" s="2214"/>
      <c r="OU237" s="2214"/>
      <c r="OV237" s="2214"/>
      <c r="OW237" s="2214"/>
      <c r="OX237" s="2214"/>
      <c r="OY237" s="2214"/>
      <c r="OZ237" s="2214"/>
      <c r="PA237" s="2214"/>
      <c r="PB237" s="2214"/>
      <c r="PC237" s="2214"/>
      <c r="PD237" s="2214"/>
      <c r="PE237" s="2214"/>
      <c r="PF237" s="2214"/>
      <c r="PG237" s="2214"/>
      <c r="PH237" s="2214"/>
      <c r="PI237" s="2214"/>
      <c r="PJ237" s="2214"/>
      <c r="PK237" s="2214"/>
      <c r="PL237" s="2214"/>
      <c r="PM237" s="2214"/>
      <c r="PN237" s="2214"/>
      <c r="PO237" s="2214"/>
      <c r="PP237" s="2214"/>
      <c r="PQ237" s="2214"/>
      <c r="PR237" s="2214"/>
      <c r="PS237" s="2214"/>
      <c r="PT237" s="2214"/>
      <c r="PU237" s="2214"/>
      <c r="PV237" s="2214"/>
      <c r="PW237" s="2214"/>
      <c r="PX237" s="2214"/>
      <c r="PY237" s="2214"/>
      <c r="PZ237" s="2214"/>
      <c r="QA237" s="2214"/>
      <c r="QB237" s="2214"/>
      <c r="QC237" s="2214"/>
      <c r="QD237" s="2214"/>
      <c r="QE237" s="2214"/>
      <c r="QF237" s="2214"/>
      <c r="QG237" s="2214"/>
      <c r="QH237" s="2214"/>
      <c r="QI237" s="2214"/>
      <c r="QJ237" s="2214"/>
      <c r="QK237" s="2214"/>
      <c r="QL237" s="2214"/>
      <c r="QM237" s="2214"/>
      <c r="QN237" s="2214"/>
      <c r="QO237" s="2214"/>
      <c r="QP237" s="2214"/>
      <c r="QQ237" s="2214"/>
      <c r="QR237" s="2214"/>
      <c r="QS237" s="2214"/>
      <c r="QT237" s="2214"/>
      <c r="QU237" s="2214"/>
      <c r="QV237" s="2214"/>
      <c r="QW237" s="2214"/>
      <c r="QX237" s="2214"/>
      <c r="QY237" s="2214"/>
      <c r="QZ237" s="2214"/>
      <c r="RA237" s="2214"/>
      <c r="RB237" s="2214"/>
      <c r="RC237" s="2214"/>
      <c r="RD237" s="2214"/>
      <c r="RE237" s="2214"/>
      <c r="RF237" s="2214"/>
      <c r="RG237" s="2214"/>
      <c r="RH237" s="2214"/>
      <c r="RI237" s="2214"/>
      <c r="RJ237" s="2214"/>
      <c r="RK237" s="2214"/>
      <c r="RL237" s="2214"/>
      <c r="RM237" s="2214"/>
      <c r="RN237" s="2214"/>
      <c r="RO237" s="2214"/>
      <c r="RP237" s="2214"/>
      <c r="RQ237" s="2214"/>
      <c r="RR237" s="2214"/>
      <c r="RS237" s="2214"/>
      <c r="RT237" s="2214"/>
      <c r="RU237" s="2214"/>
      <c r="RV237" s="2214"/>
      <c r="RW237" s="2214"/>
      <c r="RX237" s="2214"/>
      <c r="RY237" s="2214"/>
      <c r="RZ237" s="2214"/>
      <c r="SA237" s="2214"/>
      <c r="SB237" s="2214"/>
      <c r="SC237" s="2214"/>
      <c r="SD237" s="2214"/>
      <c r="SE237" s="2214"/>
      <c r="SF237" s="2214"/>
      <c r="SG237" s="2214"/>
      <c r="SH237" s="2214"/>
      <c r="SI237" s="2214"/>
      <c r="SJ237" s="2214"/>
      <c r="SK237" s="2214"/>
      <c r="SL237" s="2214"/>
      <c r="SM237" s="2214"/>
      <c r="SN237" s="2214"/>
      <c r="SO237" s="2214"/>
      <c r="SP237" s="2214"/>
      <c r="SQ237" s="2214"/>
      <c r="SR237" s="2214"/>
      <c r="SS237" s="2214"/>
      <c r="ST237" s="2214"/>
      <c r="SU237" s="2214"/>
      <c r="SV237" s="2214"/>
      <c r="SW237" s="2214"/>
      <c r="SX237" s="2214"/>
      <c r="SY237" s="2214"/>
      <c r="SZ237" s="2214"/>
      <c r="TA237" s="2214"/>
      <c r="TB237" s="2214"/>
      <c r="TC237" s="2214"/>
      <c r="TD237" s="2214"/>
      <c r="TE237" s="2214"/>
      <c r="TF237" s="2214"/>
      <c r="TG237" s="2214"/>
      <c r="TH237" s="2214"/>
      <c r="TI237" s="2214"/>
      <c r="TJ237" s="2214"/>
      <c r="TK237" s="2214"/>
      <c r="TL237" s="2214"/>
      <c r="TM237" s="2214"/>
      <c r="TN237" s="2214"/>
      <c r="TO237" s="2214"/>
      <c r="TP237" s="2214"/>
      <c r="TQ237" s="2214"/>
      <c r="TR237" s="2214"/>
      <c r="TS237" s="2214"/>
      <c r="TT237" s="2214"/>
      <c r="TU237" s="2214"/>
      <c r="TV237" s="2214"/>
      <c r="TW237" s="2214"/>
      <c r="TX237" s="2214"/>
      <c r="TY237" s="2214"/>
      <c r="TZ237" s="2214"/>
      <c r="UA237" s="2214"/>
      <c r="UB237" s="2214"/>
      <c r="UC237" s="2214"/>
      <c r="UD237" s="2214"/>
      <c r="UE237" s="2214"/>
      <c r="UF237" s="2214"/>
      <c r="UG237" s="2214"/>
      <c r="UH237" s="2214"/>
      <c r="UI237" s="2214"/>
      <c r="UJ237" s="2214"/>
      <c r="UK237" s="2214"/>
      <c r="UL237" s="2214"/>
      <c r="UM237" s="2214"/>
      <c r="UN237" s="2214"/>
      <c r="UO237" s="2214"/>
      <c r="UP237" s="2214"/>
      <c r="UQ237" s="2214"/>
      <c r="UR237" s="2214"/>
      <c r="US237" s="2214"/>
      <c r="UT237" s="2214"/>
      <c r="UU237" s="2214"/>
      <c r="UV237" s="2214"/>
      <c r="UW237" s="2214"/>
      <c r="UX237" s="2214"/>
      <c r="UY237" s="2214"/>
      <c r="UZ237" s="2214"/>
      <c r="VA237" s="2214"/>
      <c r="VB237" s="2214"/>
      <c r="VC237" s="2214"/>
      <c r="VD237" s="2214"/>
      <c r="VE237" s="2214"/>
      <c r="VF237" s="2214"/>
      <c r="VG237" s="2214"/>
      <c r="VH237" s="2214"/>
      <c r="VI237" s="2214"/>
      <c r="VJ237" s="2214"/>
      <c r="VK237" s="2214"/>
      <c r="VL237" s="2214"/>
      <c r="VM237" s="2214"/>
      <c r="VN237" s="2214"/>
      <c r="VO237" s="2214"/>
      <c r="VP237" s="2214"/>
      <c r="VQ237" s="2214"/>
      <c r="VR237" s="2214"/>
      <c r="VS237" s="2214"/>
      <c r="VT237" s="2214"/>
      <c r="VU237" s="2214"/>
      <c r="VV237" s="2214"/>
      <c r="VW237" s="2214"/>
      <c r="VX237" s="2214"/>
      <c r="VY237" s="2214"/>
      <c r="VZ237" s="2214"/>
      <c r="WA237" s="2214"/>
      <c r="WB237" s="2214"/>
      <c r="WC237" s="2214"/>
      <c r="WD237" s="2214"/>
      <c r="WE237" s="2214"/>
      <c r="WF237" s="2214"/>
      <c r="WG237" s="2214"/>
      <c r="WH237" s="2214"/>
      <c r="WI237" s="2214"/>
      <c r="WJ237" s="2214"/>
      <c r="WK237" s="2214"/>
      <c r="WL237" s="2214"/>
      <c r="WM237" s="2214"/>
      <c r="WN237" s="2214"/>
      <c r="WO237" s="2214"/>
      <c r="WP237" s="2214"/>
      <c r="WQ237" s="2214"/>
      <c r="WR237" s="2214"/>
      <c r="WS237" s="2214"/>
      <c r="WT237" s="2214"/>
      <c r="WU237" s="2214"/>
      <c r="WV237" s="2214"/>
      <c r="WW237" s="2214"/>
      <c r="WX237" s="2214"/>
      <c r="WY237" s="2214"/>
      <c r="WZ237" s="2214"/>
      <c r="XA237" s="2214"/>
      <c r="XB237" s="2214"/>
      <c r="XC237" s="2214"/>
      <c r="XD237" s="2214"/>
      <c r="XE237" s="2214"/>
      <c r="XF237" s="2214"/>
      <c r="XG237" s="2214"/>
      <c r="XH237" s="2214"/>
      <c r="XI237" s="2214"/>
      <c r="XJ237" s="2214"/>
      <c r="XK237" s="2214"/>
      <c r="XL237" s="2214"/>
      <c r="XM237" s="2214"/>
      <c r="XN237" s="2214"/>
      <c r="XO237" s="2214"/>
      <c r="XP237" s="2214"/>
      <c r="XQ237" s="2214"/>
      <c r="XR237" s="2214"/>
      <c r="XS237" s="2214"/>
      <c r="XT237" s="2214"/>
      <c r="XU237" s="2214"/>
      <c r="XV237" s="2214"/>
      <c r="XW237" s="2214"/>
      <c r="XX237" s="2214"/>
      <c r="XY237" s="2214"/>
      <c r="XZ237" s="2214"/>
      <c r="YA237" s="2214"/>
      <c r="YB237" s="2214"/>
      <c r="YC237" s="2214"/>
      <c r="YD237" s="2214"/>
      <c r="YE237" s="2214"/>
      <c r="YF237" s="2214"/>
      <c r="YG237" s="2214"/>
      <c r="YH237" s="2214"/>
      <c r="YI237" s="2214"/>
      <c r="YJ237" s="2214"/>
      <c r="YK237" s="2214"/>
      <c r="YL237" s="2214"/>
      <c r="YM237" s="2214"/>
      <c r="YN237" s="2214"/>
      <c r="YO237" s="2214"/>
      <c r="YP237" s="2214"/>
      <c r="YQ237" s="2214"/>
      <c r="YR237" s="2214"/>
      <c r="YS237" s="2214"/>
      <c r="YT237" s="2214"/>
      <c r="YU237" s="2214"/>
      <c r="YV237" s="2214"/>
      <c r="YW237" s="2214"/>
      <c r="YX237" s="2214"/>
      <c r="YY237" s="2214"/>
      <c r="YZ237" s="2214"/>
      <c r="ZA237" s="2214"/>
      <c r="ZB237" s="2214"/>
      <c r="ZC237" s="2214"/>
      <c r="ZD237" s="2214"/>
      <c r="ZE237" s="2214"/>
      <c r="ZF237" s="2214"/>
      <c r="ZG237" s="2214"/>
      <c r="ZH237" s="2214"/>
      <c r="ZI237" s="2214"/>
      <c r="ZJ237" s="2214"/>
      <c r="ZK237" s="2214"/>
      <c r="ZL237" s="2214"/>
      <c r="ZM237" s="2214"/>
      <c r="ZN237" s="2214"/>
      <c r="ZO237" s="2214"/>
      <c r="ZP237" s="2214"/>
      <c r="ZQ237" s="2214"/>
      <c r="ZR237" s="2214"/>
      <c r="ZS237" s="2214"/>
      <c r="ZT237" s="2214"/>
      <c r="ZU237" s="2214"/>
      <c r="ZV237" s="2214"/>
      <c r="ZW237" s="2214"/>
      <c r="ZX237" s="2214"/>
      <c r="ZY237" s="2214"/>
      <c r="ZZ237" s="2214"/>
      <c r="AAA237" s="2214"/>
      <c r="AAB237" s="2214"/>
      <c r="AAC237" s="2214"/>
      <c r="AAD237" s="2214"/>
      <c r="AAE237" s="2214"/>
      <c r="AAF237" s="2214"/>
      <c r="AAG237" s="2214"/>
      <c r="AAH237" s="2214"/>
      <c r="AAI237" s="2214"/>
      <c r="AAJ237" s="2214"/>
      <c r="AAK237" s="2214"/>
      <c r="AAL237" s="2214"/>
      <c r="AAM237" s="2214"/>
      <c r="AAN237" s="2214"/>
      <c r="AAO237" s="2214"/>
      <c r="AAP237" s="2214"/>
      <c r="AAQ237" s="2214"/>
      <c r="AAR237" s="2214"/>
      <c r="AAS237" s="2214"/>
      <c r="AAT237" s="2214"/>
      <c r="AAU237" s="2214"/>
      <c r="AAV237" s="2214"/>
      <c r="AAW237" s="2214"/>
      <c r="AAX237" s="2214"/>
      <c r="AAY237" s="2214"/>
      <c r="AAZ237" s="2214"/>
      <c r="ABA237" s="2214"/>
      <c r="ABB237" s="2214"/>
      <c r="ABC237" s="2214"/>
      <c r="ABD237" s="2214"/>
      <c r="ABE237" s="2214"/>
      <c r="ABF237" s="2214"/>
      <c r="ABG237" s="2214"/>
      <c r="ABH237" s="2214"/>
      <c r="ABI237" s="2214"/>
      <c r="ABJ237" s="2214"/>
      <c r="ABK237" s="2214"/>
      <c r="ABL237" s="2214"/>
      <c r="ABM237" s="2214"/>
      <c r="ABN237" s="2214"/>
      <c r="ABO237" s="2214"/>
      <c r="ABP237" s="2214"/>
      <c r="ABQ237" s="2214"/>
      <c r="ABR237" s="2214"/>
      <c r="ABS237" s="2214"/>
      <c r="ABT237" s="2214"/>
      <c r="ABU237" s="2214"/>
      <c r="ABV237" s="2214"/>
      <c r="ABW237" s="2214"/>
      <c r="ABX237" s="2214"/>
      <c r="ABY237" s="2214"/>
      <c r="ABZ237" s="2214"/>
      <c r="ACA237" s="2214"/>
      <c r="ACB237" s="2214"/>
      <c r="ACC237" s="2214"/>
      <c r="ACD237" s="2214"/>
      <c r="ACE237" s="2214"/>
      <c r="ACF237" s="2214"/>
      <c r="ACG237" s="2214"/>
      <c r="ACH237" s="2214"/>
      <c r="ACI237" s="2214"/>
      <c r="ACJ237" s="2214"/>
      <c r="ACK237" s="2214"/>
      <c r="ACL237" s="2214"/>
      <c r="ACM237" s="2214"/>
      <c r="ACN237" s="2214"/>
      <c r="ACO237" s="2214"/>
      <c r="ACP237" s="2214"/>
      <c r="ACQ237" s="2214"/>
      <c r="ACR237" s="2214"/>
      <c r="ACS237" s="2214"/>
      <c r="ACT237" s="2214"/>
      <c r="ACU237" s="2214"/>
      <c r="ACV237" s="2214"/>
      <c r="ACW237" s="2214"/>
      <c r="ACX237" s="2214"/>
      <c r="ACY237" s="2214"/>
      <c r="ACZ237" s="2214"/>
      <c r="ADA237" s="2214"/>
      <c r="ADB237" s="2214"/>
      <c r="ADC237" s="2214"/>
      <c r="ADD237" s="2214"/>
      <c r="ADE237" s="2214"/>
      <c r="ADF237" s="2214"/>
      <c r="ADG237" s="2214"/>
      <c r="ADH237" s="2214"/>
      <c r="ADI237" s="2214"/>
      <c r="ADJ237" s="2214"/>
      <c r="ADK237" s="2214"/>
      <c r="ADL237" s="2214"/>
      <c r="ADM237" s="2214"/>
      <c r="ADN237" s="2214"/>
      <c r="ADO237" s="2214"/>
      <c r="ADP237" s="2214"/>
      <c r="ADQ237" s="2214"/>
      <c r="ADR237" s="2214"/>
      <c r="ADS237" s="2214"/>
      <c r="ADT237" s="2214"/>
      <c r="ADU237" s="2214"/>
      <c r="ADV237" s="2214"/>
      <c r="ADW237" s="2214"/>
      <c r="ADX237" s="2214"/>
      <c r="ADY237" s="2214"/>
      <c r="ADZ237" s="2214"/>
      <c r="AEA237" s="2214"/>
      <c r="AEB237" s="2214"/>
      <c r="AEC237" s="2214"/>
      <c r="AED237" s="2214"/>
      <c r="AEE237" s="2214"/>
      <c r="AEF237" s="2214"/>
      <c r="AEG237" s="2214"/>
      <c r="AEH237" s="2214"/>
      <c r="AEI237" s="2214"/>
      <c r="AEJ237" s="2214"/>
      <c r="AEK237" s="2214"/>
      <c r="AEL237" s="2214"/>
      <c r="AEM237" s="2214"/>
      <c r="AEN237" s="2214"/>
      <c r="AEO237" s="2214"/>
      <c r="AEP237" s="2214"/>
      <c r="AEQ237" s="2214"/>
      <c r="AER237" s="2214"/>
      <c r="AES237" s="2214"/>
      <c r="AET237" s="2214"/>
      <c r="AEU237" s="2214"/>
      <c r="AEV237" s="2214"/>
      <c r="AEW237" s="2214"/>
      <c r="AEX237" s="2214"/>
      <c r="AEY237" s="2214"/>
      <c r="AEZ237" s="2214"/>
      <c r="AFA237" s="2214"/>
      <c r="AFB237" s="2214"/>
      <c r="AFC237" s="2214"/>
      <c r="AFD237" s="2214"/>
      <c r="AFE237" s="2214"/>
      <c r="AFF237" s="2214"/>
      <c r="AFG237" s="2214"/>
      <c r="AFH237" s="2214"/>
      <c r="AFI237" s="2214"/>
      <c r="AFJ237" s="2214"/>
      <c r="AFK237" s="2214"/>
      <c r="AFL237" s="2214"/>
      <c r="AFM237" s="2214"/>
      <c r="AFN237" s="2214"/>
      <c r="AFO237" s="2214"/>
      <c r="AFP237" s="2214"/>
      <c r="AFQ237" s="2214"/>
      <c r="AFR237" s="2214"/>
      <c r="AFS237" s="2214"/>
      <c r="AFT237" s="2214"/>
      <c r="AFU237" s="2214"/>
      <c r="AFV237" s="2214"/>
      <c r="AFW237" s="2214"/>
      <c r="AFX237" s="2214"/>
      <c r="AFY237" s="2214"/>
      <c r="AFZ237" s="2214"/>
      <c r="AGA237" s="2214"/>
      <c r="AGB237" s="2214"/>
      <c r="AGC237" s="2214"/>
      <c r="AGD237" s="2214"/>
      <c r="AGE237" s="2214"/>
      <c r="AGF237" s="2214"/>
      <c r="AGG237" s="2214"/>
      <c r="AGH237" s="2214"/>
      <c r="AGI237" s="2214"/>
      <c r="AGJ237" s="2214"/>
      <c r="AGK237" s="2214"/>
      <c r="AGL237" s="2214"/>
      <c r="AGM237" s="2214"/>
      <c r="AGN237" s="2214"/>
      <c r="AGO237" s="2214"/>
      <c r="AGP237" s="2214"/>
      <c r="AGQ237" s="2214"/>
      <c r="AGR237" s="2214"/>
      <c r="AGS237" s="2214"/>
      <c r="AGT237" s="2214"/>
      <c r="AGU237" s="2214"/>
      <c r="AGV237" s="2214"/>
      <c r="AGW237" s="2214"/>
      <c r="AGX237" s="2214"/>
      <c r="AGY237" s="2214"/>
      <c r="AGZ237" s="2214"/>
      <c r="AHA237" s="2214"/>
      <c r="AHB237" s="2214"/>
      <c r="AHC237" s="2214"/>
      <c r="AHD237" s="2214"/>
      <c r="AHE237" s="2214"/>
      <c r="AHF237" s="2214"/>
      <c r="AHG237" s="2214"/>
      <c r="AHH237" s="2214"/>
      <c r="AHI237" s="2214"/>
      <c r="AHJ237" s="2214"/>
      <c r="AHK237" s="2214"/>
      <c r="AHL237" s="2214"/>
      <c r="AHM237" s="2214"/>
      <c r="AHN237" s="2214"/>
      <c r="AHO237" s="2214"/>
      <c r="AHP237" s="2214"/>
      <c r="AHQ237" s="2214"/>
      <c r="AHR237" s="2214"/>
      <c r="AHS237" s="2214"/>
      <c r="AHT237" s="2214"/>
      <c r="AHU237" s="2214"/>
      <c r="AHV237" s="2214"/>
      <c r="AHW237" s="2214"/>
      <c r="AHX237" s="2214"/>
      <c r="AHY237" s="2214"/>
      <c r="AHZ237" s="2214"/>
      <c r="AIA237" s="2214"/>
      <c r="AIB237" s="2214"/>
      <c r="AIC237" s="2214"/>
      <c r="AID237" s="2214"/>
      <c r="AIE237" s="2214"/>
      <c r="AIF237" s="2214"/>
      <c r="AIG237" s="2214"/>
      <c r="AIH237" s="2214"/>
      <c r="AII237" s="2214"/>
      <c r="AIJ237" s="2214"/>
      <c r="AIK237" s="2214"/>
      <c r="AIL237" s="2214"/>
      <c r="AIM237" s="2214"/>
      <c r="AIN237" s="2214"/>
      <c r="AIO237" s="2214"/>
      <c r="AIP237" s="2214"/>
      <c r="AIQ237" s="2214"/>
      <c r="AIR237" s="2214"/>
      <c r="AIS237" s="2214"/>
      <c r="AIT237" s="2214"/>
      <c r="AIU237" s="2214"/>
      <c r="AIV237" s="2214"/>
      <c r="AIW237" s="2214"/>
      <c r="AIX237" s="2214"/>
      <c r="AIY237" s="2214"/>
      <c r="AIZ237" s="2214"/>
      <c r="AJA237" s="2214"/>
      <c r="AJB237" s="2214"/>
      <c r="AJC237" s="2214"/>
      <c r="AJD237" s="2214"/>
      <c r="AJE237" s="2214"/>
      <c r="AJF237" s="2214"/>
      <c r="AJG237" s="2214"/>
      <c r="AJH237" s="2214"/>
      <c r="AJI237" s="2214"/>
      <c r="AJJ237" s="2214"/>
      <c r="AJK237" s="2214"/>
      <c r="AJL237" s="2214"/>
      <c r="AJM237" s="2214"/>
      <c r="AJN237" s="2214"/>
      <c r="AJO237" s="2214"/>
      <c r="AJP237" s="2214"/>
      <c r="AJQ237" s="2214"/>
      <c r="AJR237" s="2214"/>
      <c r="AJS237" s="2214"/>
      <c r="AJT237" s="2214"/>
      <c r="AJU237" s="2214"/>
      <c r="AJV237" s="2214"/>
      <c r="AJW237" s="2214"/>
      <c r="AJX237" s="2214"/>
      <c r="AJY237" s="2214"/>
      <c r="AJZ237" s="2214"/>
      <c r="AKA237" s="2214"/>
      <c r="AKB237" s="2214"/>
      <c r="AKC237" s="2214"/>
      <c r="AKD237" s="2214"/>
      <c r="AKE237" s="2214"/>
      <c r="AKF237" s="2214"/>
      <c r="AKG237" s="2214"/>
      <c r="AKH237" s="2214"/>
      <c r="AKI237" s="2214"/>
      <c r="AKJ237" s="2214"/>
      <c r="AKK237" s="2214"/>
      <c r="AKL237" s="2214"/>
      <c r="AKM237" s="2214"/>
      <c r="AKN237" s="2214"/>
      <c r="AKO237" s="2214"/>
      <c r="AKP237" s="2214"/>
      <c r="AKQ237" s="2214"/>
      <c r="AKR237" s="2214"/>
      <c r="AKS237" s="2214"/>
      <c r="AKT237" s="2214"/>
      <c r="AKU237" s="2214"/>
      <c r="AKV237" s="2214"/>
      <c r="AKW237" s="2214"/>
      <c r="AKX237" s="2214"/>
      <c r="AKY237" s="2214"/>
      <c r="AKZ237" s="2214"/>
      <c r="ALA237" s="2214"/>
      <c r="ALB237" s="2214"/>
      <c r="ALC237" s="2214"/>
      <c r="ALD237" s="2214"/>
      <c r="ALE237" s="2214"/>
      <c r="ALF237" s="2214"/>
      <c r="ALG237" s="2214"/>
      <c r="ALH237" s="2214"/>
      <c r="ALI237" s="2214"/>
      <c r="ALJ237" s="2214"/>
      <c r="ALK237" s="2214"/>
      <c r="ALL237" s="2214"/>
      <c r="ALM237" s="2214"/>
      <c r="ALN237" s="2214"/>
      <c r="ALO237" s="2214"/>
      <c r="ALP237" s="2214"/>
      <c r="ALQ237" s="2214"/>
      <c r="ALR237" s="2214"/>
      <c r="ALS237" s="2214"/>
      <c r="ALT237" s="2214"/>
      <c r="ALU237" s="2214"/>
      <c r="ALV237" s="2214"/>
      <c r="ALW237" s="2214"/>
      <c r="ALX237" s="2214"/>
      <c r="ALY237" s="2214"/>
      <c r="ALZ237" s="2214"/>
      <c r="AMA237" s="2214"/>
      <c r="AMB237" s="2214"/>
      <c r="AMC237" s="2214"/>
      <c r="AMD237" s="2214"/>
      <c r="AME237" s="2214"/>
      <c r="AMF237" s="2214"/>
      <c r="AMG237" s="2214"/>
      <c r="AMH237" s="2214"/>
      <c r="AMI237" s="2214"/>
      <c r="AMJ237" s="2214"/>
      <c r="AMK237" s="2214"/>
      <c r="AML237" s="2214"/>
      <c r="AMM237" s="2214"/>
      <c r="AMN237" s="2214"/>
      <c r="AMO237" s="2214"/>
      <c r="AMP237" s="2214"/>
      <c r="AMQ237" s="2214"/>
      <c r="AMR237" s="2214"/>
      <c r="AMS237" s="2214"/>
      <c r="AMT237" s="2214"/>
      <c r="AMU237" s="2214"/>
      <c r="AMV237" s="2214"/>
      <c r="AMW237" s="2214"/>
      <c r="AMX237" s="2214"/>
      <c r="AMY237" s="2214"/>
      <c r="AMZ237" s="2214"/>
      <c r="ANA237" s="2214"/>
      <c r="ANB237" s="2214"/>
      <c r="ANC237" s="2214"/>
      <c r="AND237" s="2214"/>
      <c r="ANE237" s="2214"/>
      <c r="ANF237" s="2214"/>
      <c r="ANG237" s="2214"/>
      <c r="ANH237" s="2214"/>
      <c r="ANI237" s="2214"/>
      <c r="ANJ237" s="2214"/>
      <c r="ANK237" s="2214"/>
      <c r="ANL237" s="2214"/>
      <c r="ANM237" s="2214"/>
      <c r="ANN237" s="2214"/>
      <c r="ANO237" s="2214"/>
      <c r="ANP237" s="2214"/>
      <c r="ANQ237" s="2214"/>
      <c r="ANR237" s="2214"/>
      <c r="ANS237" s="2214"/>
      <c r="ANT237" s="2214"/>
      <c r="ANU237" s="2214"/>
      <c r="ANV237" s="2214"/>
      <c r="ANW237" s="2214"/>
      <c r="ANX237" s="2214"/>
      <c r="ANY237" s="2214"/>
      <c r="ANZ237" s="2214"/>
      <c r="AOA237" s="2214"/>
      <c r="AOB237" s="2214"/>
      <c r="AOC237" s="2214"/>
      <c r="AOD237" s="2214"/>
      <c r="AOE237" s="2214"/>
      <c r="AOF237" s="2214"/>
      <c r="AOG237" s="2214"/>
      <c r="AOH237" s="2214"/>
      <c r="AOI237" s="2214"/>
      <c r="AOJ237" s="2214"/>
      <c r="AOK237" s="2214"/>
      <c r="AOL237" s="2214"/>
      <c r="AOM237" s="2214"/>
      <c r="AON237" s="2214"/>
      <c r="AOO237" s="2214"/>
      <c r="AOP237" s="2214"/>
      <c r="AOQ237" s="2214"/>
      <c r="AOR237" s="2214"/>
      <c r="AOS237" s="2214"/>
      <c r="AOT237" s="2214"/>
      <c r="AOU237" s="2214"/>
      <c r="AOV237" s="2214"/>
      <c r="AOW237" s="2214"/>
      <c r="AOX237" s="2214"/>
      <c r="AOY237" s="2214"/>
      <c r="AOZ237" s="2214"/>
      <c r="APA237" s="2214"/>
      <c r="APB237" s="2214"/>
      <c r="APC237" s="2214"/>
      <c r="APD237" s="2214"/>
      <c r="APE237" s="2214"/>
      <c r="APF237" s="2214"/>
      <c r="APG237" s="2214"/>
      <c r="APH237" s="2214"/>
      <c r="API237" s="2214"/>
      <c r="APJ237" s="2214"/>
      <c r="APK237" s="2214"/>
      <c r="APL237" s="2214"/>
      <c r="APM237" s="2214"/>
      <c r="APN237" s="2214"/>
      <c r="APO237" s="2214"/>
      <c r="APP237" s="2214"/>
      <c r="APQ237" s="2214"/>
      <c r="APR237" s="2214"/>
      <c r="APS237" s="2214"/>
      <c r="APT237" s="2214"/>
      <c r="APU237" s="2214"/>
      <c r="APV237" s="2214"/>
      <c r="APW237" s="2214"/>
      <c r="APX237" s="2214"/>
      <c r="APY237" s="2214"/>
      <c r="APZ237" s="2214"/>
      <c r="AQA237" s="2214"/>
      <c r="AQB237" s="2214"/>
      <c r="AQC237" s="2214"/>
      <c r="AQD237" s="2214"/>
      <c r="AQE237" s="2214"/>
      <c r="AQF237" s="2214"/>
      <c r="AQG237" s="2214"/>
      <c r="AQH237" s="2214"/>
      <c r="AQI237" s="2214"/>
      <c r="AQJ237" s="2214"/>
      <c r="AQK237" s="2214"/>
      <c r="AQL237" s="2214"/>
      <c r="AQM237" s="2214"/>
      <c r="AQN237" s="2214"/>
      <c r="AQO237" s="2214"/>
      <c r="AQP237" s="2214"/>
      <c r="AQQ237" s="2214"/>
      <c r="AQR237" s="2214"/>
      <c r="AQS237" s="2214"/>
      <c r="AQT237" s="2214"/>
      <c r="AQU237" s="2214"/>
      <c r="AQV237" s="2214"/>
      <c r="AQW237" s="2214"/>
      <c r="AQX237" s="2214"/>
      <c r="AQY237" s="2214"/>
      <c r="AQZ237" s="2214"/>
      <c r="ARA237" s="2214"/>
      <c r="ARB237" s="2214"/>
      <c r="ARC237" s="2214"/>
      <c r="ARD237" s="2214"/>
      <c r="ARE237" s="2214"/>
      <c r="ARF237" s="2214"/>
      <c r="ARG237" s="2214"/>
      <c r="ARH237" s="2214"/>
      <c r="ARI237" s="2214"/>
      <c r="ARJ237" s="2214"/>
      <c r="ARK237" s="2214"/>
      <c r="ARL237" s="2214"/>
      <c r="ARM237" s="2214"/>
      <c r="ARN237" s="2214"/>
      <c r="ARO237" s="2214"/>
      <c r="ARP237" s="2214"/>
      <c r="ARQ237" s="2214"/>
      <c r="ARR237" s="2214"/>
      <c r="ARS237" s="2214"/>
      <c r="ART237" s="2214"/>
      <c r="ARU237" s="2214"/>
      <c r="ARV237" s="2214"/>
      <c r="ARW237" s="2214"/>
      <c r="ARX237" s="2214"/>
      <c r="ARY237" s="2214"/>
      <c r="ARZ237" s="2214"/>
      <c r="ASA237" s="2214"/>
      <c r="ASB237" s="2214"/>
      <c r="ASC237" s="2214"/>
      <c r="ASD237" s="2214"/>
      <c r="ASE237" s="2214"/>
      <c r="ASF237" s="2214"/>
      <c r="ASG237" s="2214"/>
      <c r="ASH237" s="2214"/>
      <c r="ASI237" s="2214"/>
      <c r="ASJ237" s="2214"/>
      <c r="ASK237" s="2214"/>
      <c r="ASL237" s="2214"/>
      <c r="ASM237" s="2214"/>
      <c r="ASN237" s="2214"/>
      <c r="ASO237" s="2214"/>
      <c r="ASP237" s="2214"/>
      <c r="ASQ237" s="2214"/>
      <c r="ASR237" s="2214"/>
      <c r="ASS237" s="2214"/>
      <c r="AST237" s="2214"/>
      <c r="ASU237" s="2214"/>
      <c r="ASV237" s="2214"/>
      <c r="ASW237" s="2214"/>
      <c r="ASX237" s="2214"/>
      <c r="ASY237" s="2214"/>
      <c r="ASZ237" s="2214"/>
      <c r="ATA237" s="2214"/>
      <c r="ATB237" s="2214"/>
      <c r="ATC237" s="2214"/>
      <c r="ATD237" s="2214"/>
      <c r="ATE237" s="2214"/>
      <c r="ATF237" s="2214"/>
      <c r="ATG237" s="2214"/>
      <c r="ATH237" s="2214"/>
      <c r="ATI237" s="2214"/>
      <c r="ATJ237" s="2214"/>
      <c r="ATK237" s="2214"/>
      <c r="ATL237" s="2214"/>
      <c r="ATM237" s="2214"/>
      <c r="ATN237" s="2214"/>
      <c r="ATO237" s="2214"/>
      <c r="ATP237" s="2214"/>
      <c r="ATQ237" s="2214"/>
      <c r="ATR237" s="2214"/>
      <c r="ATS237" s="2214"/>
      <c r="ATT237" s="2214"/>
      <c r="ATU237" s="2214"/>
      <c r="ATV237" s="2214"/>
      <c r="ATW237" s="2214"/>
      <c r="ATX237" s="2214"/>
      <c r="ATY237" s="2214"/>
      <c r="ATZ237" s="2214"/>
      <c r="AUA237" s="2214"/>
      <c r="AUB237" s="2214"/>
      <c r="AUC237" s="2214"/>
      <c r="AUD237" s="2214"/>
      <c r="AUE237" s="2214"/>
      <c r="AUF237" s="2214"/>
      <c r="AUG237" s="2214"/>
      <c r="AUH237" s="2214"/>
      <c r="AUI237" s="2214"/>
      <c r="AUJ237" s="2214"/>
      <c r="AUK237" s="2214"/>
      <c r="AUL237" s="2214"/>
      <c r="AUM237" s="2214"/>
      <c r="AUN237" s="2214"/>
      <c r="AUO237" s="2214"/>
      <c r="AUP237" s="2214"/>
      <c r="AUQ237" s="2214"/>
      <c r="AUR237" s="2214"/>
      <c r="AUS237" s="2214"/>
      <c r="AUT237" s="2214"/>
      <c r="AUU237" s="2214"/>
      <c r="AUV237" s="2214"/>
      <c r="AUW237" s="2214"/>
      <c r="AUX237" s="2214"/>
      <c r="AUY237" s="2214"/>
      <c r="AUZ237" s="2214"/>
      <c r="AVA237" s="2214"/>
      <c r="AVB237" s="2214"/>
      <c r="AVC237" s="2214"/>
      <c r="AVD237" s="2214"/>
      <c r="AVE237" s="2214"/>
      <c r="AVF237" s="2214"/>
      <c r="AVG237" s="2214"/>
      <c r="AVH237" s="2214"/>
      <c r="AVI237" s="2214"/>
      <c r="AVJ237" s="2214"/>
      <c r="AVK237" s="2214"/>
      <c r="AVL237" s="2214"/>
      <c r="AVM237" s="2214"/>
      <c r="AVN237" s="2214"/>
      <c r="AVO237" s="2214"/>
      <c r="AVP237" s="2214"/>
      <c r="AVQ237" s="2214"/>
      <c r="AVR237" s="2214"/>
      <c r="AVS237" s="2214"/>
      <c r="AVT237" s="2214"/>
      <c r="AVU237" s="2214"/>
      <c r="AVV237" s="2214"/>
      <c r="AVW237" s="2214"/>
      <c r="AVX237" s="2214"/>
      <c r="AVY237" s="2214"/>
      <c r="AVZ237" s="2214"/>
      <c r="AWA237" s="2214"/>
      <c r="AWB237" s="2214"/>
      <c r="AWC237" s="2214"/>
      <c r="AWD237" s="2214"/>
      <c r="AWE237" s="2214"/>
      <c r="AWF237" s="2214"/>
      <c r="AWG237" s="2214"/>
      <c r="AWH237" s="2214"/>
      <c r="AWI237" s="2214"/>
      <c r="AWJ237" s="2214"/>
      <c r="AWK237" s="2214"/>
      <c r="AWL237" s="2214"/>
      <c r="AWM237" s="2214"/>
      <c r="AWN237" s="2214"/>
      <c r="AWO237" s="2214"/>
      <c r="AWP237" s="2214"/>
      <c r="AWQ237" s="2214"/>
      <c r="AWR237" s="2214"/>
      <c r="AWS237" s="2214"/>
      <c r="AWT237" s="2214"/>
      <c r="AWU237" s="2214"/>
      <c r="AWV237" s="2214"/>
      <c r="AWW237" s="2214"/>
      <c r="AWX237" s="2214"/>
      <c r="AWY237" s="2214"/>
      <c r="AWZ237" s="2214"/>
      <c r="AXA237" s="2214"/>
      <c r="AXB237" s="2214"/>
      <c r="AXC237" s="2214"/>
      <c r="AXD237" s="2214"/>
      <c r="AXE237" s="2214"/>
      <c r="AXF237" s="2214"/>
      <c r="AXG237" s="2214"/>
      <c r="AXH237" s="2214"/>
      <c r="AXI237" s="2214"/>
      <c r="AXJ237" s="2214"/>
    </row>
    <row r="238" spans="1:1310" ht="20.100000000000001" customHeight="1">
      <c r="A238" s="756"/>
      <c r="B238" s="1"/>
      <c r="C238" s="1"/>
      <c r="D238" s="1"/>
      <c r="E238" s="462"/>
      <c r="F238" s="462"/>
      <c r="G238" s="1"/>
      <c r="H238" s="1"/>
      <c r="I238" s="1"/>
      <c r="J238" s="1"/>
      <c r="K238" s="1"/>
      <c r="L238" s="15"/>
      <c r="M238" s="15"/>
      <c r="N238" s="15"/>
      <c r="O238" s="15"/>
      <c r="P238" s="15"/>
      <c r="Q238" s="15"/>
    </row>
    <row r="239" spans="1:1310" ht="20.100000000000001" customHeight="1">
      <c r="A239" s="756"/>
      <c r="B239" s="9012" t="s">
        <v>1609</v>
      </c>
      <c r="C239" s="9012"/>
      <c r="D239" s="9012"/>
      <c r="E239" s="744" t="s">
        <v>1605</v>
      </c>
      <c r="F239" s="745"/>
      <c r="G239" s="744" t="s">
        <v>1606</v>
      </c>
      <c r="H239" s="746"/>
      <c r="I239" s="1"/>
      <c r="J239" s="744" t="s">
        <v>1607</v>
      </c>
      <c r="K239" s="746"/>
      <c r="L239" s="15"/>
      <c r="M239" s="747" t="s">
        <v>1608</v>
      </c>
      <c r="Q239" s="15"/>
    </row>
    <row r="240" spans="1:1310" ht="20.100000000000001" customHeight="1">
      <c r="A240" s="756"/>
      <c r="B240" s="1"/>
      <c r="C240" s="1"/>
      <c r="D240" s="1"/>
      <c r="E240" s="462"/>
      <c r="F240" s="462"/>
      <c r="G240" s="1"/>
      <c r="H240" s="1"/>
      <c r="I240" s="1"/>
      <c r="J240" s="1"/>
      <c r="K240" s="1"/>
      <c r="L240" s="15"/>
      <c r="M240" s="15"/>
      <c r="N240" s="15"/>
      <c r="O240" s="15"/>
      <c r="P240" s="15"/>
      <c r="Q240" s="15"/>
    </row>
    <row r="241" spans="1:1310" s="2215" customFormat="1" ht="23.25" customHeight="1">
      <c r="A241" s="756"/>
      <c r="B241" s="760"/>
      <c r="C241" s="760"/>
      <c r="D241" s="760"/>
      <c r="E241" s="760"/>
      <c r="F241" s="760"/>
      <c r="G241" s="760"/>
      <c r="H241" s="760"/>
      <c r="I241" s="760"/>
      <c r="J241" s="760"/>
      <c r="K241" s="760"/>
      <c r="L241" s="760"/>
      <c r="M241" s="760"/>
      <c r="N241" s="760"/>
      <c r="O241" s="760"/>
      <c r="P241" s="760"/>
      <c r="Q241" s="760"/>
      <c r="R241" s="311"/>
      <c r="S241" s="311"/>
      <c r="T241" s="311"/>
      <c r="U241" s="311"/>
      <c r="V241" s="311"/>
      <c r="W241" s="311"/>
      <c r="X241" s="311"/>
      <c r="Y241" s="311"/>
      <c r="Z241" s="311"/>
      <c r="AA241" s="311"/>
      <c r="AB241" s="311"/>
      <c r="AC241" s="311"/>
      <c r="AD241" s="2214"/>
      <c r="AE241" s="2214"/>
      <c r="AF241" s="2214"/>
      <c r="AG241" s="2214"/>
      <c r="AH241" s="2214"/>
      <c r="AI241" s="2214"/>
      <c r="AJ241" s="2214"/>
      <c r="AK241" s="2214"/>
      <c r="AL241" s="2214"/>
      <c r="AM241" s="2214"/>
      <c r="AN241" s="2214"/>
      <c r="AO241" s="2214"/>
      <c r="AP241" s="2214"/>
      <c r="AQ241" s="2214"/>
      <c r="AR241" s="2214"/>
      <c r="AS241" s="2214"/>
      <c r="AT241" s="2214"/>
      <c r="AU241" s="2214"/>
      <c r="AV241" s="2214"/>
      <c r="AW241" s="2214"/>
      <c r="AX241" s="2214"/>
      <c r="AY241" s="2214"/>
      <c r="AZ241" s="2214"/>
      <c r="BA241" s="2214"/>
      <c r="BB241" s="2214"/>
      <c r="BC241" s="2214"/>
      <c r="BD241" s="2214"/>
      <c r="BE241" s="2214"/>
      <c r="BF241" s="2214"/>
      <c r="BG241" s="2214"/>
      <c r="BH241" s="2214"/>
      <c r="BI241" s="2214"/>
      <c r="BJ241" s="2214"/>
      <c r="BK241" s="2214"/>
      <c r="BL241" s="2214"/>
      <c r="BM241" s="2214"/>
      <c r="BN241" s="2214"/>
      <c r="BO241" s="2214"/>
      <c r="BP241" s="2214"/>
      <c r="BQ241" s="2214"/>
      <c r="BR241" s="2214"/>
      <c r="BS241" s="2214"/>
      <c r="BT241" s="2214"/>
      <c r="BU241" s="2214"/>
      <c r="BV241" s="2214"/>
      <c r="BW241" s="2214"/>
      <c r="BX241" s="2214"/>
      <c r="BY241" s="2214"/>
      <c r="BZ241" s="2214"/>
      <c r="CA241" s="2214"/>
      <c r="CB241" s="2214"/>
      <c r="CC241" s="2214"/>
      <c r="CD241" s="2214"/>
      <c r="CE241" s="2214"/>
      <c r="CF241" s="2214"/>
      <c r="CG241" s="2214"/>
      <c r="CH241" s="2214"/>
      <c r="CI241" s="2214"/>
      <c r="CJ241" s="2214"/>
      <c r="CK241" s="2214"/>
      <c r="CL241" s="2214"/>
      <c r="CM241" s="2214"/>
      <c r="CN241" s="2214"/>
      <c r="CO241" s="2214"/>
      <c r="CP241" s="2214"/>
      <c r="CQ241" s="2214"/>
      <c r="CR241" s="2214"/>
      <c r="CS241" s="2214"/>
      <c r="CT241" s="2214"/>
      <c r="CU241" s="2214"/>
      <c r="CV241" s="2214"/>
      <c r="CW241" s="2214"/>
      <c r="CX241" s="2214"/>
      <c r="CY241" s="2214"/>
      <c r="CZ241" s="2214"/>
      <c r="DA241" s="2214"/>
      <c r="DB241" s="2214"/>
      <c r="DC241" s="2214"/>
      <c r="DD241" s="2214"/>
      <c r="DE241" s="2214"/>
      <c r="DF241" s="2214"/>
      <c r="DG241" s="2214"/>
      <c r="DH241" s="2214"/>
      <c r="DI241" s="2214"/>
      <c r="DJ241" s="2214"/>
      <c r="DK241" s="2214"/>
      <c r="DL241" s="2214"/>
      <c r="DM241" s="2214"/>
      <c r="DN241" s="2214"/>
      <c r="DO241" s="2214"/>
      <c r="DP241" s="2214"/>
      <c r="DQ241" s="2214"/>
      <c r="DR241" s="2214"/>
      <c r="DS241" s="2214"/>
      <c r="DT241" s="2214"/>
      <c r="DU241" s="2214"/>
      <c r="DV241" s="2214"/>
      <c r="DW241" s="2214"/>
      <c r="DX241" s="2214"/>
      <c r="DY241" s="2214"/>
      <c r="DZ241" s="2214"/>
      <c r="EA241" s="2214"/>
      <c r="EB241" s="2214"/>
      <c r="EC241" s="2214"/>
      <c r="ED241" s="2214"/>
      <c r="EE241" s="2214"/>
      <c r="EF241" s="2214"/>
      <c r="EG241" s="2214"/>
      <c r="EH241" s="2214"/>
      <c r="EI241" s="2214"/>
      <c r="EJ241" s="2214"/>
      <c r="EK241" s="2214"/>
      <c r="EL241" s="2214"/>
      <c r="EM241" s="2214"/>
      <c r="EN241" s="2214"/>
      <c r="EO241" s="2214"/>
      <c r="EP241" s="2214"/>
      <c r="EQ241" s="2214"/>
      <c r="ER241" s="2214"/>
      <c r="ES241" s="2214"/>
      <c r="ET241" s="2214"/>
      <c r="EU241" s="2214"/>
      <c r="EV241" s="2214"/>
      <c r="EW241" s="2214"/>
      <c r="EX241" s="2214"/>
      <c r="EY241" s="2214"/>
      <c r="EZ241" s="2214"/>
      <c r="FA241" s="2214"/>
      <c r="FB241" s="2214"/>
      <c r="FC241" s="2214"/>
      <c r="FD241" s="2214"/>
      <c r="FE241" s="2214"/>
      <c r="FF241" s="2214"/>
      <c r="FG241" s="2214"/>
      <c r="FH241" s="2214"/>
      <c r="FI241" s="2214"/>
      <c r="FJ241" s="2214"/>
      <c r="FK241" s="2214"/>
      <c r="FL241" s="2214"/>
      <c r="FM241" s="2214"/>
      <c r="FN241" s="2214"/>
      <c r="FO241" s="2214"/>
      <c r="FP241" s="2214"/>
      <c r="FQ241" s="2214"/>
      <c r="FR241" s="2214"/>
      <c r="FS241" s="2214"/>
      <c r="FT241" s="2214"/>
      <c r="FU241" s="2214"/>
      <c r="FV241" s="2214"/>
      <c r="FW241" s="2214"/>
      <c r="FX241" s="2214"/>
      <c r="FY241" s="2214"/>
      <c r="FZ241" s="2214"/>
      <c r="GA241" s="2214"/>
      <c r="GB241" s="2214"/>
      <c r="GC241" s="2214"/>
      <c r="GD241" s="2214"/>
      <c r="GE241" s="2214"/>
      <c r="GF241" s="2214"/>
      <c r="GG241" s="2214"/>
      <c r="GH241" s="2214"/>
      <c r="GI241" s="2214"/>
      <c r="GJ241" s="2214"/>
      <c r="GK241" s="2214"/>
      <c r="GL241" s="2214"/>
      <c r="GM241" s="2214"/>
      <c r="GN241" s="2214"/>
      <c r="GO241" s="2214"/>
      <c r="GP241" s="2214"/>
      <c r="GQ241" s="2214"/>
      <c r="GR241" s="2214"/>
      <c r="GS241" s="2214"/>
      <c r="GT241" s="2214"/>
      <c r="GU241" s="2214"/>
      <c r="GV241" s="2214"/>
      <c r="GW241" s="2214"/>
      <c r="GX241" s="2214"/>
      <c r="GY241" s="2214"/>
      <c r="GZ241" s="2214"/>
      <c r="HA241" s="2214"/>
      <c r="HB241" s="2214"/>
      <c r="HC241" s="2214"/>
      <c r="HD241" s="2214"/>
      <c r="HE241" s="2214"/>
      <c r="HF241" s="2214"/>
      <c r="HG241" s="2214"/>
      <c r="HH241" s="2214"/>
      <c r="HI241" s="2214"/>
      <c r="HJ241" s="2214"/>
      <c r="HK241" s="2214"/>
      <c r="HL241" s="2214"/>
      <c r="HM241" s="2214"/>
      <c r="HN241" s="2214"/>
      <c r="HO241" s="2214"/>
      <c r="HP241" s="2214"/>
      <c r="HQ241" s="2214"/>
      <c r="HR241" s="2214"/>
      <c r="HS241" s="2214"/>
      <c r="HT241" s="2214"/>
      <c r="HU241" s="2214"/>
      <c r="HV241" s="2214"/>
      <c r="HW241" s="2214"/>
      <c r="HX241" s="2214"/>
      <c r="HY241" s="2214"/>
      <c r="HZ241" s="2214"/>
      <c r="IA241" s="2214"/>
      <c r="IB241" s="2214"/>
      <c r="IC241" s="2214"/>
      <c r="ID241" s="2214"/>
      <c r="IE241" s="2214"/>
      <c r="IF241" s="2214"/>
      <c r="IG241" s="2214"/>
      <c r="IH241" s="2214"/>
      <c r="II241" s="2214"/>
      <c r="IJ241" s="2214"/>
      <c r="IK241" s="2214"/>
      <c r="IL241" s="2214"/>
      <c r="IM241" s="2214"/>
      <c r="IN241" s="2214"/>
      <c r="IO241" s="2214"/>
      <c r="IP241" s="2214"/>
      <c r="IQ241" s="2214"/>
      <c r="IR241" s="2214"/>
      <c r="IS241" s="2214"/>
      <c r="IT241" s="2214"/>
      <c r="IU241" s="2214"/>
      <c r="IV241" s="2214"/>
      <c r="IW241" s="2214"/>
      <c r="IX241" s="2214"/>
      <c r="IY241" s="2214"/>
      <c r="IZ241" s="2214"/>
      <c r="JA241" s="2214"/>
      <c r="JB241" s="2214"/>
      <c r="JC241" s="2214"/>
      <c r="JD241" s="2214"/>
      <c r="JE241" s="2214"/>
      <c r="JF241" s="2214"/>
      <c r="JG241" s="2214"/>
      <c r="JH241" s="2214"/>
      <c r="JI241" s="2214"/>
      <c r="JJ241" s="2214"/>
      <c r="JK241" s="2214"/>
      <c r="JL241" s="2214"/>
      <c r="JM241" s="2214"/>
      <c r="JN241" s="2214"/>
      <c r="JO241" s="2214"/>
      <c r="JP241" s="2214"/>
      <c r="JQ241" s="2214"/>
      <c r="JR241" s="2214"/>
      <c r="JS241" s="2214"/>
      <c r="JT241" s="2214"/>
      <c r="JU241" s="2214"/>
      <c r="JV241" s="2214"/>
      <c r="JW241" s="2214"/>
      <c r="JX241" s="2214"/>
      <c r="JY241" s="2214"/>
      <c r="JZ241" s="2214"/>
      <c r="KA241" s="2214"/>
      <c r="KB241" s="2214"/>
      <c r="KC241" s="2214"/>
      <c r="KD241" s="2214"/>
      <c r="KE241" s="2214"/>
      <c r="KF241" s="2214"/>
      <c r="KG241" s="2214"/>
      <c r="KH241" s="2214"/>
      <c r="KI241" s="2214"/>
      <c r="KJ241" s="2214"/>
      <c r="KK241" s="2214"/>
      <c r="KL241" s="2214"/>
      <c r="KM241" s="2214"/>
      <c r="KN241" s="2214"/>
      <c r="KO241" s="2214"/>
      <c r="KP241" s="2214"/>
      <c r="KQ241" s="2214"/>
      <c r="KR241" s="2214"/>
      <c r="KS241" s="2214"/>
      <c r="KT241" s="2214"/>
      <c r="KU241" s="2214"/>
      <c r="KV241" s="2214"/>
      <c r="KW241" s="2214"/>
      <c r="KX241" s="2214"/>
      <c r="KY241" s="2214"/>
      <c r="KZ241" s="2214"/>
      <c r="LA241" s="2214"/>
      <c r="LB241" s="2214"/>
      <c r="LC241" s="2214"/>
      <c r="LD241" s="2214"/>
      <c r="LE241" s="2214"/>
      <c r="LF241" s="2214"/>
      <c r="LG241" s="2214"/>
      <c r="LH241" s="2214"/>
      <c r="LI241" s="2214"/>
      <c r="LJ241" s="2214"/>
      <c r="LK241" s="2214"/>
      <c r="LL241" s="2214"/>
      <c r="LM241" s="2214"/>
      <c r="LN241" s="2214"/>
      <c r="LO241" s="2214"/>
      <c r="LP241" s="2214"/>
      <c r="LQ241" s="2214"/>
      <c r="LR241" s="2214"/>
      <c r="LS241" s="2214"/>
      <c r="LT241" s="2214"/>
      <c r="LU241" s="2214"/>
      <c r="LV241" s="2214"/>
      <c r="LW241" s="2214"/>
      <c r="LX241" s="2214"/>
      <c r="LY241" s="2214"/>
      <c r="LZ241" s="2214"/>
      <c r="MA241" s="2214"/>
      <c r="MB241" s="2214"/>
      <c r="MC241" s="2214"/>
      <c r="MD241" s="2214"/>
      <c r="ME241" s="2214"/>
      <c r="MF241" s="2214"/>
      <c r="MG241" s="2214"/>
      <c r="MH241" s="2214"/>
      <c r="MI241" s="2214"/>
      <c r="MJ241" s="2214"/>
      <c r="MK241" s="2214"/>
      <c r="ML241" s="2214"/>
      <c r="MM241" s="2214"/>
      <c r="MN241" s="2214"/>
      <c r="MO241" s="2214"/>
      <c r="MP241" s="2214"/>
      <c r="MQ241" s="2214"/>
      <c r="MR241" s="2214"/>
      <c r="MS241" s="2214"/>
      <c r="MT241" s="2214"/>
      <c r="MU241" s="2214"/>
      <c r="MV241" s="2214"/>
      <c r="MW241" s="2214"/>
      <c r="MX241" s="2214"/>
      <c r="MY241" s="2214"/>
      <c r="MZ241" s="2214"/>
      <c r="NA241" s="2214"/>
      <c r="NB241" s="2214"/>
      <c r="NC241" s="2214"/>
      <c r="ND241" s="2214"/>
      <c r="NE241" s="2214"/>
      <c r="NF241" s="2214"/>
      <c r="NG241" s="2214"/>
      <c r="NH241" s="2214"/>
      <c r="NI241" s="2214"/>
      <c r="NJ241" s="2214"/>
      <c r="NK241" s="2214"/>
      <c r="NL241" s="2214"/>
      <c r="NM241" s="2214"/>
      <c r="NN241" s="2214"/>
      <c r="NO241" s="2214"/>
      <c r="NP241" s="2214"/>
      <c r="NQ241" s="2214"/>
      <c r="NR241" s="2214"/>
      <c r="NS241" s="2214"/>
      <c r="NT241" s="2214"/>
      <c r="NU241" s="2214"/>
      <c r="NV241" s="2214"/>
      <c r="NW241" s="2214"/>
      <c r="NX241" s="2214"/>
      <c r="NY241" s="2214"/>
      <c r="NZ241" s="2214"/>
      <c r="OA241" s="2214"/>
      <c r="OB241" s="2214"/>
      <c r="OC241" s="2214"/>
      <c r="OD241" s="2214"/>
      <c r="OE241" s="2214"/>
      <c r="OF241" s="2214"/>
      <c r="OG241" s="2214"/>
      <c r="OH241" s="2214"/>
      <c r="OI241" s="2214"/>
      <c r="OJ241" s="2214"/>
      <c r="OK241" s="2214"/>
      <c r="OL241" s="2214"/>
      <c r="OM241" s="2214"/>
      <c r="ON241" s="2214"/>
      <c r="OO241" s="2214"/>
      <c r="OP241" s="2214"/>
      <c r="OQ241" s="2214"/>
      <c r="OR241" s="2214"/>
      <c r="OS241" s="2214"/>
      <c r="OT241" s="2214"/>
      <c r="OU241" s="2214"/>
      <c r="OV241" s="2214"/>
      <c r="OW241" s="2214"/>
      <c r="OX241" s="2214"/>
      <c r="OY241" s="2214"/>
      <c r="OZ241" s="2214"/>
      <c r="PA241" s="2214"/>
      <c r="PB241" s="2214"/>
      <c r="PC241" s="2214"/>
      <c r="PD241" s="2214"/>
      <c r="PE241" s="2214"/>
      <c r="PF241" s="2214"/>
      <c r="PG241" s="2214"/>
      <c r="PH241" s="2214"/>
      <c r="PI241" s="2214"/>
      <c r="PJ241" s="2214"/>
      <c r="PK241" s="2214"/>
      <c r="PL241" s="2214"/>
      <c r="PM241" s="2214"/>
      <c r="PN241" s="2214"/>
      <c r="PO241" s="2214"/>
      <c r="PP241" s="2214"/>
      <c r="PQ241" s="2214"/>
      <c r="PR241" s="2214"/>
      <c r="PS241" s="2214"/>
      <c r="PT241" s="2214"/>
      <c r="PU241" s="2214"/>
      <c r="PV241" s="2214"/>
      <c r="PW241" s="2214"/>
      <c r="PX241" s="2214"/>
      <c r="PY241" s="2214"/>
      <c r="PZ241" s="2214"/>
      <c r="QA241" s="2214"/>
      <c r="QB241" s="2214"/>
      <c r="QC241" s="2214"/>
      <c r="QD241" s="2214"/>
      <c r="QE241" s="2214"/>
      <c r="QF241" s="2214"/>
      <c r="QG241" s="2214"/>
      <c r="QH241" s="2214"/>
      <c r="QI241" s="2214"/>
      <c r="QJ241" s="2214"/>
      <c r="QK241" s="2214"/>
      <c r="QL241" s="2214"/>
      <c r="QM241" s="2214"/>
      <c r="QN241" s="2214"/>
      <c r="QO241" s="2214"/>
      <c r="QP241" s="2214"/>
      <c r="QQ241" s="2214"/>
      <c r="QR241" s="2214"/>
      <c r="QS241" s="2214"/>
      <c r="QT241" s="2214"/>
      <c r="QU241" s="2214"/>
      <c r="QV241" s="2214"/>
      <c r="QW241" s="2214"/>
      <c r="QX241" s="2214"/>
      <c r="QY241" s="2214"/>
      <c r="QZ241" s="2214"/>
      <c r="RA241" s="2214"/>
      <c r="RB241" s="2214"/>
      <c r="RC241" s="2214"/>
      <c r="RD241" s="2214"/>
      <c r="RE241" s="2214"/>
      <c r="RF241" s="2214"/>
      <c r="RG241" s="2214"/>
      <c r="RH241" s="2214"/>
      <c r="RI241" s="2214"/>
      <c r="RJ241" s="2214"/>
      <c r="RK241" s="2214"/>
      <c r="RL241" s="2214"/>
      <c r="RM241" s="2214"/>
      <c r="RN241" s="2214"/>
      <c r="RO241" s="2214"/>
      <c r="RP241" s="2214"/>
      <c r="RQ241" s="2214"/>
      <c r="RR241" s="2214"/>
      <c r="RS241" s="2214"/>
      <c r="RT241" s="2214"/>
      <c r="RU241" s="2214"/>
      <c r="RV241" s="2214"/>
      <c r="RW241" s="2214"/>
      <c r="RX241" s="2214"/>
      <c r="RY241" s="2214"/>
      <c r="RZ241" s="2214"/>
      <c r="SA241" s="2214"/>
      <c r="SB241" s="2214"/>
      <c r="SC241" s="2214"/>
      <c r="SD241" s="2214"/>
      <c r="SE241" s="2214"/>
      <c r="SF241" s="2214"/>
      <c r="SG241" s="2214"/>
      <c r="SH241" s="2214"/>
      <c r="SI241" s="2214"/>
      <c r="SJ241" s="2214"/>
      <c r="SK241" s="2214"/>
      <c r="SL241" s="2214"/>
      <c r="SM241" s="2214"/>
      <c r="SN241" s="2214"/>
      <c r="SO241" s="2214"/>
      <c r="SP241" s="2214"/>
      <c r="SQ241" s="2214"/>
      <c r="SR241" s="2214"/>
      <c r="SS241" s="2214"/>
      <c r="ST241" s="2214"/>
      <c r="SU241" s="2214"/>
      <c r="SV241" s="2214"/>
      <c r="SW241" s="2214"/>
      <c r="SX241" s="2214"/>
      <c r="SY241" s="2214"/>
      <c r="SZ241" s="2214"/>
      <c r="TA241" s="2214"/>
      <c r="TB241" s="2214"/>
      <c r="TC241" s="2214"/>
      <c r="TD241" s="2214"/>
      <c r="TE241" s="2214"/>
      <c r="TF241" s="2214"/>
      <c r="TG241" s="2214"/>
      <c r="TH241" s="2214"/>
      <c r="TI241" s="2214"/>
      <c r="TJ241" s="2214"/>
      <c r="TK241" s="2214"/>
      <c r="TL241" s="2214"/>
      <c r="TM241" s="2214"/>
      <c r="TN241" s="2214"/>
      <c r="TO241" s="2214"/>
      <c r="TP241" s="2214"/>
      <c r="TQ241" s="2214"/>
      <c r="TR241" s="2214"/>
      <c r="TS241" s="2214"/>
      <c r="TT241" s="2214"/>
      <c r="TU241" s="2214"/>
      <c r="TV241" s="2214"/>
      <c r="TW241" s="2214"/>
      <c r="TX241" s="2214"/>
      <c r="TY241" s="2214"/>
      <c r="TZ241" s="2214"/>
      <c r="UA241" s="2214"/>
      <c r="UB241" s="2214"/>
      <c r="UC241" s="2214"/>
      <c r="UD241" s="2214"/>
      <c r="UE241" s="2214"/>
      <c r="UF241" s="2214"/>
      <c r="UG241" s="2214"/>
      <c r="UH241" s="2214"/>
      <c r="UI241" s="2214"/>
      <c r="UJ241" s="2214"/>
      <c r="UK241" s="2214"/>
      <c r="UL241" s="2214"/>
      <c r="UM241" s="2214"/>
      <c r="UN241" s="2214"/>
      <c r="UO241" s="2214"/>
      <c r="UP241" s="2214"/>
      <c r="UQ241" s="2214"/>
      <c r="UR241" s="2214"/>
      <c r="US241" s="2214"/>
      <c r="UT241" s="2214"/>
      <c r="UU241" s="2214"/>
      <c r="UV241" s="2214"/>
      <c r="UW241" s="2214"/>
      <c r="UX241" s="2214"/>
      <c r="UY241" s="2214"/>
      <c r="UZ241" s="2214"/>
      <c r="VA241" s="2214"/>
      <c r="VB241" s="2214"/>
      <c r="VC241" s="2214"/>
      <c r="VD241" s="2214"/>
      <c r="VE241" s="2214"/>
      <c r="VF241" s="2214"/>
      <c r="VG241" s="2214"/>
      <c r="VH241" s="2214"/>
      <c r="VI241" s="2214"/>
      <c r="VJ241" s="2214"/>
      <c r="VK241" s="2214"/>
      <c r="VL241" s="2214"/>
      <c r="VM241" s="2214"/>
      <c r="VN241" s="2214"/>
      <c r="VO241" s="2214"/>
      <c r="VP241" s="2214"/>
      <c r="VQ241" s="2214"/>
      <c r="VR241" s="2214"/>
      <c r="VS241" s="2214"/>
      <c r="VT241" s="2214"/>
      <c r="VU241" s="2214"/>
      <c r="VV241" s="2214"/>
      <c r="VW241" s="2214"/>
      <c r="VX241" s="2214"/>
      <c r="VY241" s="2214"/>
      <c r="VZ241" s="2214"/>
      <c r="WA241" s="2214"/>
      <c r="WB241" s="2214"/>
      <c r="WC241" s="2214"/>
      <c r="WD241" s="2214"/>
      <c r="WE241" s="2214"/>
      <c r="WF241" s="2214"/>
      <c r="WG241" s="2214"/>
      <c r="WH241" s="2214"/>
      <c r="WI241" s="2214"/>
      <c r="WJ241" s="2214"/>
      <c r="WK241" s="2214"/>
      <c r="WL241" s="2214"/>
      <c r="WM241" s="2214"/>
      <c r="WN241" s="2214"/>
      <c r="WO241" s="2214"/>
      <c r="WP241" s="2214"/>
      <c r="WQ241" s="2214"/>
      <c r="WR241" s="2214"/>
      <c r="WS241" s="2214"/>
      <c r="WT241" s="2214"/>
      <c r="WU241" s="2214"/>
      <c r="WV241" s="2214"/>
      <c r="WW241" s="2214"/>
      <c r="WX241" s="2214"/>
      <c r="WY241" s="2214"/>
      <c r="WZ241" s="2214"/>
      <c r="XA241" s="2214"/>
      <c r="XB241" s="2214"/>
      <c r="XC241" s="2214"/>
      <c r="XD241" s="2214"/>
      <c r="XE241" s="2214"/>
      <c r="XF241" s="2214"/>
      <c r="XG241" s="2214"/>
      <c r="XH241" s="2214"/>
      <c r="XI241" s="2214"/>
      <c r="XJ241" s="2214"/>
      <c r="XK241" s="2214"/>
      <c r="XL241" s="2214"/>
      <c r="XM241" s="2214"/>
      <c r="XN241" s="2214"/>
      <c r="XO241" s="2214"/>
      <c r="XP241" s="2214"/>
      <c r="XQ241" s="2214"/>
      <c r="XR241" s="2214"/>
      <c r="XS241" s="2214"/>
      <c r="XT241" s="2214"/>
      <c r="XU241" s="2214"/>
      <c r="XV241" s="2214"/>
      <c r="XW241" s="2214"/>
      <c r="XX241" s="2214"/>
      <c r="XY241" s="2214"/>
      <c r="XZ241" s="2214"/>
      <c r="YA241" s="2214"/>
      <c r="YB241" s="2214"/>
      <c r="YC241" s="2214"/>
      <c r="YD241" s="2214"/>
      <c r="YE241" s="2214"/>
      <c r="YF241" s="2214"/>
      <c r="YG241" s="2214"/>
      <c r="YH241" s="2214"/>
      <c r="YI241" s="2214"/>
      <c r="YJ241" s="2214"/>
      <c r="YK241" s="2214"/>
      <c r="YL241" s="2214"/>
      <c r="YM241" s="2214"/>
      <c r="YN241" s="2214"/>
      <c r="YO241" s="2214"/>
      <c r="YP241" s="2214"/>
      <c r="YQ241" s="2214"/>
      <c r="YR241" s="2214"/>
      <c r="YS241" s="2214"/>
      <c r="YT241" s="2214"/>
      <c r="YU241" s="2214"/>
      <c r="YV241" s="2214"/>
      <c r="YW241" s="2214"/>
      <c r="YX241" s="2214"/>
      <c r="YY241" s="2214"/>
      <c r="YZ241" s="2214"/>
      <c r="ZA241" s="2214"/>
      <c r="ZB241" s="2214"/>
      <c r="ZC241" s="2214"/>
      <c r="ZD241" s="2214"/>
      <c r="ZE241" s="2214"/>
      <c r="ZF241" s="2214"/>
      <c r="ZG241" s="2214"/>
      <c r="ZH241" s="2214"/>
      <c r="ZI241" s="2214"/>
      <c r="ZJ241" s="2214"/>
      <c r="ZK241" s="2214"/>
      <c r="ZL241" s="2214"/>
      <c r="ZM241" s="2214"/>
      <c r="ZN241" s="2214"/>
      <c r="ZO241" s="2214"/>
      <c r="ZP241" s="2214"/>
      <c r="ZQ241" s="2214"/>
      <c r="ZR241" s="2214"/>
      <c r="ZS241" s="2214"/>
      <c r="ZT241" s="2214"/>
      <c r="ZU241" s="2214"/>
      <c r="ZV241" s="2214"/>
      <c r="ZW241" s="2214"/>
      <c r="ZX241" s="2214"/>
      <c r="ZY241" s="2214"/>
      <c r="ZZ241" s="2214"/>
      <c r="AAA241" s="2214"/>
      <c r="AAB241" s="2214"/>
      <c r="AAC241" s="2214"/>
      <c r="AAD241" s="2214"/>
      <c r="AAE241" s="2214"/>
      <c r="AAF241" s="2214"/>
      <c r="AAG241" s="2214"/>
      <c r="AAH241" s="2214"/>
      <c r="AAI241" s="2214"/>
      <c r="AAJ241" s="2214"/>
      <c r="AAK241" s="2214"/>
      <c r="AAL241" s="2214"/>
      <c r="AAM241" s="2214"/>
      <c r="AAN241" s="2214"/>
      <c r="AAO241" s="2214"/>
      <c r="AAP241" s="2214"/>
      <c r="AAQ241" s="2214"/>
      <c r="AAR241" s="2214"/>
      <c r="AAS241" s="2214"/>
      <c r="AAT241" s="2214"/>
      <c r="AAU241" s="2214"/>
      <c r="AAV241" s="2214"/>
      <c r="AAW241" s="2214"/>
      <c r="AAX241" s="2214"/>
      <c r="AAY241" s="2214"/>
      <c r="AAZ241" s="2214"/>
      <c r="ABA241" s="2214"/>
      <c r="ABB241" s="2214"/>
      <c r="ABC241" s="2214"/>
      <c r="ABD241" s="2214"/>
      <c r="ABE241" s="2214"/>
      <c r="ABF241" s="2214"/>
      <c r="ABG241" s="2214"/>
      <c r="ABH241" s="2214"/>
      <c r="ABI241" s="2214"/>
      <c r="ABJ241" s="2214"/>
      <c r="ABK241" s="2214"/>
      <c r="ABL241" s="2214"/>
      <c r="ABM241" s="2214"/>
      <c r="ABN241" s="2214"/>
      <c r="ABO241" s="2214"/>
      <c r="ABP241" s="2214"/>
      <c r="ABQ241" s="2214"/>
      <c r="ABR241" s="2214"/>
      <c r="ABS241" s="2214"/>
      <c r="ABT241" s="2214"/>
      <c r="ABU241" s="2214"/>
      <c r="ABV241" s="2214"/>
      <c r="ABW241" s="2214"/>
      <c r="ABX241" s="2214"/>
      <c r="ABY241" s="2214"/>
      <c r="ABZ241" s="2214"/>
      <c r="ACA241" s="2214"/>
      <c r="ACB241" s="2214"/>
      <c r="ACC241" s="2214"/>
      <c r="ACD241" s="2214"/>
      <c r="ACE241" s="2214"/>
      <c r="ACF241" s="2214"/>
      <c r="ACG241" s="2214"/>
      <c r="ACH241" s="2214"/>
      <c r="ACI241" s="2214"/>
      <c r="ACJ241" s="2214"/>
      <c r="ACK241" s="2214"/>
      <c r="ACL241" s="2214"/>
      <c r="ACM241" s="2214"/>
      <c r="ACN241" s="2214"/>
      <c r="ACO241" s="2214"/>
      <c r="ACP241" s="2214"/>
      <c r="ACQ241" s="2214"/>
      <c r="ACR241" s="2214"/>
      <c r="ACS241" s="2214"/>
      <c r="ACT241" s="2214"/>
      <c r="ACU241" s="2214"/>
      <c r="ACV241" s="2214"/>
      <c r="ACW241" s="2214"/>
      <c r="ACX241" s="2214"/>
      <c r="ACY241" s="2214"/>
      <c r="ACZ241" s="2214"/>
      <c r="ADA241" s="2214"/>
      <c r="ADB241" s="2214"/>
      <c r="ADC241" s="2214"/>
      <c r="ADD241" s="2214"/>
      <c r="ADE241" s="2214"/>
      <c r="ADF241" s="2214"/>
      <c r="ADG241" s="2214"/>
      <c r="ADH241" s="2214"/>
      <c r="ADI241" s="2214"/>
      <c r="ADJ241" s="2214"/>
      <c r="ADK241" s="2214"/>
      <c r="ADL241" s="2214"/>
      <c r="ADM241" s="2214"/>
      <c r="ADN241" s="2214"/>
      <c r="ADO241" s="2214"/>
      <c r="ADP241" s="2214"/>
      <c r="ADQ241" s="2214"/>
      <c r="ADR241" s="2214"/>
      <c r="ADS241" s="2214"/>
      <c r="ADT241" s="2214"/>
      <c r="ADU241" s="2214"/>
      <c r="ADV241" s="2214"/>
      <c r="ADW241" s="2214"/>
      <c r="ADX241" s="2214"/>
      <c r="ADY241" s="2214"/>
      <c r="ADZ241" s="2214"/>
      <c r="AEA241" s="2214"/>
      <c r="AEB241" s="2214"/>
      <c r="AEC241" s="2214"/>
      <c r="AED241" s="2214"/>
      <c r="AEE241" s="2214"/>
      <c r="AEF241" s="2214"/>
      <c r="AEG241" s="2214"/>
      <c r="AEH241" s="2214"/>
      <c r="AEI241" s="2214"/>
      <c r="AEJ241" s="2214"/>
      <c r="AEK241" s="2214"/>
      <c r="AEL241" s="2214"/>
      <c r="AEM241" s="2214"/>
      <c r="AEN241" s="2214"/>
      <c r="AEO241" s="2214"/>
      <c r="AEP241" s="2214"/>
      <c r="AEQ241" s="2214"/>
      <c r="AER241" s="2214"/>
      <c r="AES241" s="2214"/>
      <c r="AET241" s="2214"/>
      <c r="AEU241" s="2214"/>
      <c r="AEV241" s="2214"/>
      <c r="AEW241" s="2214"/>
      <c r="AEX241" s="2214"/>
      <c r="AEY241" s="2214"/>
      <c r="AEZ241" s="2214"/>
      <c r="AFA241" s="2214"/>
      <c r="AFB241" s="2214"/>
      <c r="AFC241" s="2214"/>
      <c r="AFD241" s="2214"/>
      <c r="AFE241" s="2214"/>
      <c r="AFF241" s="2214"/>
      <c r="AFG241" s="2214"/>
      <c r="AFH241" s="2214"/>
      <c r="AFI241" s="2214"/>
      <c r="AFJ241" s="2214"/>
      <c r="AFK241" s="2214"/>
      <c r="AFL241" s="2214"/>
      <c r="AFM241" s="2214"/>
      <c r="AFN241" s="2214"/>
      <c r="AFO241" s="2214"/>
      <c r="AFP241" s="2214"/>
      <c r="AFQ241" s="2214"/>
      <c r="AFR241" s="2214"/>
      <c r="AFS241" s="2214"/>
      <c r="AFT241" s="2214"/>
      <c r="AFU241" s="2214"/>
      <c r="AFV241" s="2214"/>
      <c r="AFW241" s="2214"/>
      <c r="AFX241" s="2214"/>
      <c r="AFY241" s="2214"/>
      <c r="AFZ241" s="2214"/>
      <c r="AGA241" s="2214"/>
      <c r="AGB241" s="2214"/>
      <c r="AGC241" s="2214"/>
      <c r="AGD241" s="2214"/>
      <c r="AGE241" s="2214"/>
      <c r="AGF241" s="2214"/>
      <c r="AGG241" s="2214"/>
      <c r="AGH241" s="2214"/>
      <c r="AGI241" s="2214"/>
      <c r="AGJ241" s="2214"/>
      <c r="AGK241" s="2214"/>
      <c r="AGL241" s="2214"/>
      <c r="AGM241" s="2214"/>
      <c r="AGN241" s="2214"/>
      <c r="AGO241" s="2214"/>
      <c r="AGP241" s="2214"/>
      <c r="AGQ241" s="2214"/>
      <c r="AGR241" s="2214"/>
      <c r="AGS241" s="2214"/>
      <c r="AGT241" s="2214"/>
      <c r="AGU241" s="2214"/>
      <c r="AGV241" s="2214"/>
      <c r="AGW241" s="2214"/>
      <c r="AGX241" s="2214"/>
      <c r="AGY241" s="2214"/>
      <c r="AGZ241" s="2214"/>
      <c r="AHA241" s="2214"/>
      <c r="AHB241" s="2214"/>
      <c r="AHC241" s="2214"/>
      <c r="AHD241" s="2214"/>
      <c r="AHE241" s="2214"/>
      <c r="AHF241" s="2214"/>
      <c r="AHG241" s="2214"/>
      <c r="AHH241" s="2214"/>
      <c r="AHI241" s="2214"/>
      <c r="AHJ241" s="2214"/>
      <c r="AHK241" s="2214"/>
      <c r="AHL241" s="2214"/>
      <c r="AHM241" s="2214"/>
      <c r="AHN241" s="2214"/>
      <c r="AHO241" s="2214"/>
      <c r="AHP241" s="2214"/>
      <c r="AHQ241" s="2214"/>
      <c r="AHR241" s="2214"/>
      <c r="AHS241" s="2214"/>
      <c r="AHT241" s="2214"/>
      <c r="AHU241" s="2214"/>
      <c r="AHV241" s="2214"/>
      <c r="AHW241" s="2214"/>
      <c r="AHX241" s="2214"/>
      <c r="AHY241" s="2214"/>
      <c r="AHZ241" s="2214"/>
      <c r="AIA241" s="2214"/>
      <c r="AIB241" s="2214"/>
      <c r="AIC241" s="2214"/>
      <c r="AID241" s="2214"/>
      <c r="AIE241" s="2214"/>
      <c r="AIF241" s="2214"/>
      <c r="AIG241" s="2214"/>
      <c r="AIH241" s="2214"/>
      <c r="AII241" s="2214"/>
      <c r="AIJ241" s="2214"/>
      <c r="AIK241" s="2214"/>
      <c r="AIL241" s="2214"/>
      <c r="AIM241" s="2214"/>
      <c r="AIN241" s="2214"/>
      <c r="AIO241" s="2214"/>
      <c r="AIP241" s="2214"/>
      <c r="AIQ241" s="2214"/>
      <c r="AIR241" s="2214"/>
      <c r="AIS241" s="2214"/>
      <c r="AIT241" s="2214"/>
      <c r="AIU241" s="2214"/>
      <c r="AIV241" s="2214"/>
      <c r="AIW241" s="2214"/>
      <c r="AIX241" s="2214"/>
      <c r="AIY241" s="2214"/>
      <c r="AIZ241" s="2214"/>
      <c r="AJA241" s="2214"/>
      <c r="AJB241" s="2214"/>
      <c r="AJC241" s="2214"/>
      <c r="AJD241" s="2214"/>
      <c r="AJE241" s="2214"/>
      <c r="AJF241" s="2214"/>
      <c r="AJG241" s="2214"/>
      <c r="AJH241" s="2214"/>
      <c r="AJI241" s="2214"/>
      <c r="AJJ241" s="2214"/>
      <c r="AJK241" s="2214"/>
      <c r="AJL241" s="2214"/>
      <c r="AJM241" s="2214"/>
      <c r="AJN241" s="2214"/>
      <c r="AJO241" s="2214"/>
      <c r="AJP241" s="2214"/>
      <c r="AJQ241" s="2214"/>
      <c r="AJR241" s="2214"/>
      <c r="AJS241" s="2214"/>
      <c r="AJT241" s="2214"/>
      <c r="AJU241" s="2214"/>
      <c r="AJV241" s="2214"/>
      <c r="AJW241" s="2214"/>
      <c r="AJX241" s="2214"/>
      <c r="AJY241" s="2214"/>
      <c r="AJZ241" s="2214"/>
      <c r="AKA241" s="2214"/>
      <c r="AKB241" s="2214"/>
      <c r="AKC241" s="2214"/>
      <c r="AKD241" s="2214"/>
      <c r="AKE241" s="2214"/>
      <c r="AKF241" s="2214"/>
      <c r="AKG241" s="2214"/>
      <c r="AKH241" s="2214"/>
      <c r="AKI241" s="2214"/>
      <c r="AKJ241" s="2214"/>
      <c r="AKK241" s="2214"/>
      <c r="AKL241" s="2214"/>
      <c r="AKM241" s="2214"/>
      <c r="AKN241" s="2214"/>
      <c r="AKO241" s="2214"/>
      <c r="AKP241" s="2214"/>
      <c r="AKQ241" s="2214"/>
      <c r="AKR241" s="2214"/>
      <c r="AKS241" s="2214"/>
      <c r="AKT241" s="2214"/>
      <c r="AKU241" s="2214"/>
      <c r="AKV241" s="2214"/>
      <c r="AKW241" s="2214"/>
      <c r="AKX241" s="2214"/>
      <c r="AKY241" s="2214"/>
      <c r="AKZ241" s="2214"/>
      <c r="ALA241" s="2214"/>
      <c r="ALB241" s="2214"/>
      <c r="ALC241" s="2214"/>
      <c r="ALD241" s="2214"/>
      <c r="ALE241" s="2214"/>
      <c r="ALF241" s="2214"/>
      <c r="ALG241" s="2214"/>
      <c r="ALH241" s="2214"/>
      <c r="ALI241" s="2214"/>
      <c r="ALJ241" s="2214"/>
      <c r="ALK241" s="2214"/>
      <c r="ALL241" s="2214"/>
      <c r="ALM241" s="2214"/>
      <c r="ALN241" s="2214"/>
      <c r="ALO241" s="2214"/>
      <c r="ALP241" s="2214"/>
      <c r="ALQ241" s="2214"/>
      <c r="ALR241" s="2214"/>
      <c r="ALS241" s="2214"/>
      <c r="ALT241" s="2214"/>
      <c r="ALU241" s="2214"/>
      <c r="ALV241" s="2214"/>
      <c r="ALW241" s="2214"/>
      <c r="ALX241" s="2214"/>
      <c r="ALY241" s="2214"/>
      <c r="ALZ241" s="2214"/>
      <c r="AMA241" s="2214"/>
      <c r="AMB241" s="2214"/>
      <c r="AMC241" s="2214"/>
      <c r="AMD241" s="2214"/>
      <c r="AME241" s="2214"/>
      <c r="AMF241" s="2214"/>
      <c r="AMG241" s="2214"/>
      <c r="AMH241" s="2214"/>
      <c r="AMI241" s="2214"/>
      <c r="AMJ241" s="2214"/>
      <c r="AMK241" s="2214"/>
      <c r="AML241" s="2214"/>
      <c r="AMM241" s="2214"/>
      <c r="AMN241" s="2214"/>
      <c r="AMO241" s="2214"/>
      <c r="AMP241" s="2214"/>
      <c r="AMQ241" s="2214"/>
      <c r="AMR241" s="2214"/>
      <c r="AMS241" s="2214"/>
      <c r="AMT241" s="2214"/>
      <c r="AMU241" s="2214"/>
      <c r="AMV241" s="2214"/>
      <c r="AMW241" s="2214"/>
      <c r="AMX241" s="2214"/>
      <c r="AMY241" s="2214"/>
      <c r="AMZ241" s="2214"/>
      <c r="ANA241" s="2214"/>
      <c r="ANB241" s="2214"/>
      <c r="ANC241" s="2214"/>
      <c r="AND241" s="2214"/>
      <c r="ANE241" s="2214"/>
      <c r="ANF241" s="2214"/>
      <c r="ANG241" s="2214"/>
      <c r="ANH241" s="2214"/>
      <c r="ANI241" s="2214"/>
      <c r="ANJ241" s="2214"/>
      <c r="ANK241" s="2214"/>
      <c r="ANL241" s="2214"/>
      <c r="ANM241" s="2214"/>
      <c r="ANN241" s="2214"/>
      <c r="ANO241" s="2214"/>
      <c r="ANP241" s="2214"/>
      <c r="ANQ241" s="2214"/>
      <c r="ANR241" s="2214"/>
      <c r="ANS241" s="2214"/>
      <c r="ANT241" s="2214"/>
      <c r="ANU241" s="2214"/>
      <c r="ANV241" s="2214"/>
      <c r="ANW241" s="2214"/>
      <c r="ANX241" s="2214"/>
      <c r="ANY241" s="2214"/>
      <c r="ANZ241" s="2214"/>
      <c r="AOA241" s="2214"/>
      <c r="AOB241" s="2214"/>
      <c r="AOC241" s="2214"/>
      <c r="AOD241" s="2214"/>
      <c r="AOE241" s="2214"/>
      <c r="AOF241" s="2214"/>
      <c r="AOG241" s="2214"/>
      <c r="AOH241" s="2214"/>
      <c r="AOI241" s="2214"/>
      <c r="AOJ241" s="2214"/>
      <c r="AOK241" s="2214"/>
      <c r="AOL241" s="2214"/>
      <c r="AOM241" s="2214"/>
      <c r="AON241" s="2214"/>
      <c r="AOO241" s="2214"/>
      <c r="AOP241" s="2214"/>
      <c r="AOQ241" s="2214"/>
      <c r="AOR241" s="2214"/>
      <c r="AOS241" s="2214"/>
      <c r="AOT241" s="2214"/>
      <c r="AOU241" s="2214"/>
      <c r="AOV241" s="2214"/>
      <c r="AOW241" s="2214"/>
      <c r="AOX241" s="2214"/>
      <c r="AOY241" s="2214"/>
      <c r="AOZ241" s="2214"/>
      <c r="APA241" s="2214"/>
      <c r="APB241" s="2214"/>
      <c r="APC241" s="2214"/>
      <c r="APD241" s="2214"/>
      <c r="APE241" s="2214"/>
      <c r="APF241" s="2214"/>
      <c r="APG241" s="2214"/>
      <c r="APH241" s="2214"/>
      <c r="API241" s="2214"/>
      <c r="APJ241" s="2214"/>
      <c r="APK241" s="2214"/>
      <c r="APL241" s="2214"/>
      <c r="APM241" s="2214"/>
      <c r="APN241" s="2214"/>
      <c r="APO241" s="2214"/>
      <c r="APP241" s="2214"/>
      <c r="APQ241" s="2214"/>
      <c r="APR241" s="2214"/>
      <c r="APS241" s="2214"/>
      <c r="APT241" s="2214"/>
      <c r="APU241" s="2214"/>
      <c r="APV241" s="2214"/>
      <c r="APW241" s="2214"/>
      <c r="APX241" s="2214"/>
      <c r="APY241" s="2214"/>
      <c r="APZ241" s="2214"/>
      <c r="AQA241" s="2214"/>
      <c r="AQB241" s="2214"/>
      <c r="AQC241" s="2214"/>
      <c r="AQD241" s="2214"/>
      <c r="AQE241" s="2214"/>
      <c r="AQF241" s="2214"/>
      <c r="AQG241" s="2214"/>
      <c r="AQH241" s="2214"/>
      <c r="AQI241" s="2214"/>
      <c r="AQJ241" s="2214"/>
      <c r="AQK241" s="2214"/>
      <c r="AQL241" s="2214"/>
      <c r="AQM241" s="2214"/>
      <c r="AQN241" s="2214"/>
      <c r="AQO241" s="2214"/>
      <c r="AQP241" s="2214"/>
      <c r="AQQ241" s="2214"/>
      <c r="AQR241" s="2214"/>
      <c r="AQS241" s="2214"/>
      <c r="AQT241" s="2214"/>
      <c r="AQU241" s="2214"/>
      <c r="AQV241" s="2214"/>
      <c r="AQW241" s="2214"/>
      <c r="AQX241" s="2214"/>
      <c r="AQY241" s="2214"/>
      <c r="AQZ241" s="2214"/>
      <c r="ARA241" s="2214"/>
      <c r="ARB241" s="2214"/>
      <c r="ARC241" s="2214"/>
      <c r="ARD241" s="2214"/>
      <c r="ARE241" s="2214"/>
      <c r="ARF241" s="2214"/>
      <c r="ARG241" s="2214"/>
      <c r="ARH241" s="2214"/>
      <c r="ARI241" s="2214"/>
      <c r="ARJ241" s="2214"/>
      <c r="ARK241" s="2214"/>
      <c r="ARL241" s="2214"/>
      <c r="ARM241" s="2214"/>
      <c r="ARN241" s="2214"/>
      <c r="ARO241" s="2214"/>
      <c r="ARP241" s="2214"/>
      <c r="ARQ241" s="2214"/>
      <c r="ARR241" s="2214"/>
      <c r="ARS241" s="2214"/>
      <c r="ART241" s="2214"/>
      <c r="ARU241" s="2214"/>
      <c r="ARV241" s="2214"/>
      <c r="ARW241" s="2214"/>
      <c r="ARX241" s="2214"/>
      <c r="ARY241" s="2214"/>
      <c r="ARZ241" s="2214"/>
      <c r="ASA241" s="2214"/>
      <c r="ASB241" s="2214"/>
      <c r="ASC241" s="2214"/>
      <c r="ASD241" s="2214"/>
      <c r="ASE241" s="2214"/>
      <c r="ASF241" s="2214"/>
      <c r="ASG241" s="2214"/>
      <c r="ASH241" s="2214"/>
      <c r="ASI241" s="2214"/>
      <c r="ASJ241" s="2214"/>
      <c r="ASK241" s="2214"/>
      <c r="ASL241" s="2214"/>
      <c r="ASM241" s="2214"/>
      <c r="ASN241" s="2214"/>
      <c r="ASO241" s="2214"/>
      <c r="ASP241" s="2214"/>
      <c r="ASQ241" s="2214"/>
      <c r="ASR241" s="2214"/>
      <c r="ASS241" s="2214"/>
      <c r="AST241" s="2214"/>
      <c r="ASU241" s="2214"/>
      <c r="ASV241" s="2214"/>
      <c r="ASW241" s="2214"/>
      <c r="ASX241" s="2214"/>
      <c r="ASY241" s="2214"/>
      <c r="ASZ241" s="2214"/>
      <c r="ATA241" s="2214"/>
      <c r="ATB241" s="2214"/>
      <c r="ATC241" s="2214"/>
      <c r="ATD241" s="2214"/>
      <c r="ATE241" s="2214"/>
      <c r="ATF241" s="2214"/>
      <c r="ATG241" s="2214"/>
      <c r="ATH241" s="2214"/>
      <c r="ATI241" s="2214"/>
      <c r="ATJ241" s="2214"/>
      <c r="ATK241" s="2214"/>
      <c r="ATL241" s="2214"/>
      <c r="ATM241" s="2214"/>
      <c r="ATN241" s="2214"/>
      <c r="ATO241" s="2214"/>
      <c r="ATP241" s="2214"/>
      <c r="ATQ241" s="2214"/>
      <c r="ATR241" s="2214"/>
      <c r="ATS241" s="2214"/>
      <c r="ATT241" s="2214"/>
      <c r="ATU241" s="2214"/>
      <c r="ATV241" s="2214"/>
      <c r="ATW241" s="2214"/>
      <c r="ATX241" s="2214"/>
      <c r="ATY241" s="2214"/>
      <c r="ATZ241" s="2214"/>
      <c r="AUA241" s="2214"/>
      <c r="AUB241" s="2214"/>
      <c r="AUC241" s="2214"/>
      <c r="AUD241" s="2214"/>
      <c r="AUE241" s="2214"/>
      <c r="AUF241" s="2214"/>
      <c r="AUG241" s="2214"/>
      <c r="AUH241" s="2214"/>
      <c r="AUI241" s="2214"/>
      <c r="AUJ241" s="2214"/>
      <c r="AUK241" s="2214"/>
      <c r="AUL241" s="2214"/>
      <c r="AUM241" s="2214"/>
      <c r="AUN241" s="2214"/>
      <c r="AUO241" s="2214"/>
      <c r="AUP241" s="2214"/>
      <c r="AUQ241" s="2214"/>
      <c r="AUR241" s="2214"/>
      <c r="AUS241" s="2214"/>
      <c r="AUT241" s="2214"/>
      <c r="AUU241" s="2214"/>
      <c r="AUV241" s="2214"/>
      <c r="AUW241" s="2214"/>
      <c r="AUX241" s="2214"/>
      <c r="AUY241" s="2214"/>
      <c r="AUZ241" s="2214"/>
      <c r="AVA241" s="2214"/>
      <c r="AVB241" s="2214"/>
      <c r="AVC241" s="2214"/>
      <c r="AVD241" s="2214"/>
      <c r="AVE241" s="2214"/>
      <c r="AVF241" s="2214"/>
      <c r="AVG241" s="2214"/>
      <c r="AVH241" s="2214"/>
      <c r="AVI241" s="2214"/>
      <c r="AVJ241" s="2214"/>
      <c r="AVK241" s="2214"/>
      <c r="AVL241" s="2214"/>
      <c r="AVM241" s="2214"/>
      <c r="AVN241" s="2214"/>
      <c r="AVO241" s="2214"/>
      <c r="AVP241" s="2214"/>
      <c r="AVQ241" s="2214"/>
      <c r="AVR241" s="2214"/>
      <c r="AVS241" s="2214"/>
      <c r="AVT241" s="2214"/>
      <c r="AVU241" s="2214"/>
      <c r="AVV241" s="2214"/>
      <c r="AVW241" s="2214"/>
      <c r="AVX241" s="2214"/>
      <c r="AVY241" s="2214"/>
      <c r="AVZ241" s="2214"/>
      <c r="AWA241" s="2214"/>
      <c r="AWB241" s="2214"/>
      <c r="AWC241" s="2214"/>
      <c r="AWD241" s="2214"/>
      <c r="AWE241" s="2214"/>
      <c r="AWF241" s="2214"/>
      <c r="AWG241" s="2214"/>
      <c r="AWH241" s="2214"/>
      <c r="AWI241" s="2214"/>
      <c r="AWJ241" s="2214"/>
      <c r="AWK241" s="2214"/>
      <c r="AWL241" s="2214"/>
      <c r="AWM241" s="2214"/>
      <c r="AWN241" s="2214"/>
      <c r="AWO241" s="2214"/>
      <c r="AWP241" s="2214"/>
      <c r="AWQ241" s="2214"/>
      <c r="AWR241" s="2214"/>
      <c r="AWS241" s="2214"/>
      <c r="AWT241" s="2214"/>
      <c r="AWU241" s="2214"/>
      <c r="AWV241" s="2214"/>
      <c r="AWW241" s="2214"/>
      <c r="AWX241" s="2214"/>
      <c r="AWY241" s="2214"/>
      <c r="AWZ241" s="2214"/>
      <c r="AXA241" s="2214"/>
      <c r="AXB241" s="2214"/>
      <c r="AXC241" s="2214"/>
      <c r="AXD241" s="2214"/>
      <c r="AXE241" s="2214"/>
      <c r="AXF241" s="2214"/>
      <c r="AXG241" s="2214"/>
      <c r="AXH241" s="2214"/>
      <c r="AXI241" s="2214"/>
      <c r="AXJ241" s="2214"/>
    </row>
    <row r="242" spans="1:1310" ht="20.100000000000001" customHeight="1" thickBot="1">
      <c r="B242" s="1"/>
      <c r="C242" s="1"/>
      <c r="D242" s="1"/>
      <c r="E242" s="462"/>
      <c r="F242" s="462"/>
      <c r="G242" s="1"/>
      <c r="H242" s="1"/>
      <c r="I242" s="1"/>
      <c r="J242" s="1"/>
      <c r="K242" s="1"/>
      <c r="L242" s="15"/>
      <c r="M242" s="15"/>
      <c r="N242" s="15"/>
      <c r="O242" s="15"/>
      <c r="P242" s="15"/>
      <c r="Q242" s="15"/>
    </row>
    <row r="243" spans="1:1310" ht="20.100000000000001" customHeight="1">
      <c r="A243" s="2222" t="s">
        <v>67</v>
      </c>
      <c r="B243" s="8933" t="s">
        <v>1610</v>
      </c>
      <c r="C243" s="8934"/>
      <c r="D243" s="8934"/>
      <c r="E243" s="8934"/>
      <c r="F243" s="8934"/>
      <c r="G243" s="8935"/>
      <c r="H243" s="1"/>
      <c r="I243" s="9013" t="s">
        <v>1627</v>
      </c>
      <c r="J243" s="9014"/>
      <c r="K243" s="9014"/>
      <c r="L243" s="9014"/>
      <c r="M243" s="9014"/>
      <c r="N243" s="9014"/>
      <c r="O243" s="9015"/>
      <c r="P243" s="15"/>
      <c r="Q243" s="15"/>
    </row>
    <row r="244" spans="1:1310" ht="20.100000000000001" customHeight="1">
      <c r="A244" s="8968" t="s">
        <v>1610</v>
      </c>
      <c r="B244" s="8936"/>
      <c r="C244" s="8937"/>
      <c r="D244" s="8937"/>
      <c r="E244" s="8937"/>
      <c r="F244" s="8937"/>
      <c r="G244" s="8938"/>
      <c r="H244" s="1"/>
      <c r="I244" s="792" t="s">
        <v>1628</v>
      </c>
      <c r="J244" s="34"/>
      <c r="K244" s="34"/>
      <c r="L244" s="793" t="s">
        <v>1629</v>
      </c>
      <c r="M244" s="34"/>
      <c r="N244" s="34"/>
      <c r="O244" s="2223"/>
      <c r="P244" s="15"/>
      <c r="Q244" s="15"/>
    </row>
    <row r="245" spans="1:1310" ht="20.100000000000001" customHeight="1">
      <c r="A245" s="8968"/>
      <c r="B245" s="2224"/>
      <c r="C245" s="311"/>
      <c r="D245" s="2225"/>
      <c r="E245" s="311"/>
      <c r="F245" s="2225"/>
      <c r="G245" s="2226"/>
      <c r="H245" s="1"/>
      <c r="I245" s="792" t="s">
        <v>1630</v>
      </c>
      <c r="J245" s="34"/>
      <c r="K245" s="34"/>
      <c r="L245" s="793" t="s">
        <v>1631</v>
      </c>
      <c r="M245" s="34"/>
      <c r="N245" s="34"/>
      <c r="O245" s="2223"/>
      <c r="P245" s="15"/>
      <c r="Q245" s="15"/>
    </row>
    <row r="246" spans="1:1310" ht="20.100000000000001" customHeight="1">
      <c r="A246" s="8968"/>
      <c r="B246" s="2227" t="s">
        <v>66</v>
      </c>
      <c r="C246" s="398" t="s">
        <v>1611</v>
      </c>
      <c r="D246" s="34"/>
      <c r="E246" s="34"/>
      <c r="F246" s="34"/>
      <c r="G246" s="2223"/>
      <c r="H246" s="1"/>
      <c r="I246" s="792" t="s">
        <v>1632</v>
      </c>
      <c r="J246" s="34"/>
      <c r="K246" s="34"/>
      <c r="L246" s="1"/>
      <c r="M246" s="34"/>
      <c r="N246" s="34"/>
      <c r="O246" s="2223"/>
      <c r="P246" s="15"/>
      <c r="Q246" s="15"/>
    </row>
    <row r="247" spans="1:1310" ht="20.100000000000001" customHeight="1">
      <c r="A247" s="8968"/>
      <c r="B247" s="2228" t="s">
        <v>81</v>
      </c>
      <c r="C247" s="398" t="s">
        <v>1612</v>
      </c>
      <c r="D247" s="34"/>
      <c r="E247" s="34"/>
      <c r="F247" s="34"/>
      <c r="G247" s="2223"/>
      <c r="H247" s="1"/>
      <c r="I247" s="792" t="s">
        <v>1633</v>
      </c>
      <c r="J247" s="34"/>
      <c r="K247" s="34"/>
      <c r="L247" s="793" t="s">
        <v>1634</v>
      </c>
      <c r="M247" s="34"/>
      <c r="N247" s="34"/>
      <c r="O247" s="2223"/>
      <c r="P247" s="15"/>
      <c r="Q247" s="15"/>
    </row>
    <row r="248" spans="1:1310" ht="20.100000000000001" customHeight="1">
      <c r="A248" s="8968"/>
      <c r="B248" s="767" t="s">
        <v>84</v>
      </c>
      <c r="C248" s="398" t="s">
        <v>1613</v>
      </c>
      <c r="D248" s="34"/>
      <c r="E248" s="34"/>
      <c r="F248" s="34"/>
      <c r="G248" s="2223"/>
      <c r="H248" s="1"/>
      <c r="I248" s="792" t="s">
        <v>1635</v>
      </c>
      <c r="J248" s="34"/>
      <c r="K248" s="34"/>
      <c r="L248" s="793" t="s">
        <v>1636</v>
      </c>
      <c r="M248" s="34"/>
      <c r="N248" s="34"/>
      <c r="O248" s="2223"/>
      <c r="P248" s="15"/>
      <c r="Q248" s="15"/>
    </row>
    <row r="249" spans="1:1310" ht="20.100000000000001" customHeight="1" thickBot="1">
      <c r="A249" s="8968"/>
      <c r="B249" s="446"/>
      <c r="C249" s="34"/>
      <c r="D249" s="34"/>
      <c r="E249" s="34"/>
      <c r="F249" s="34"/>
      <c r="G249" s="2223"/>
      <c r="H249" s="1"/>
      <c r="I249" s="792"/>
      <c r="J249" s="34"/>
      <c r="K249" s="34"/>
      <c r="L249" s="793" t="s">
        <v>1637</v>
      </c>
      <c r="M249" s="34"/>
      <c r="N249" s="34"/>
      <c r="O249" s="2223"/>
      <c r="P249" s="15"/>
      <c r="Q249" s="15"/>
    </row>
    <row r="250" spans="1:1310" ht="20.100000000000001" customHeight="1">
      <c r="A250" s="8968"/>
      <c r="B250" s="768"/>
      <c r="C250" s="769"/>
      <c r="D250" s="770"/>
      <c r="E250" s="769"/>
      <c r="F250" s="770"/>
      <c r="G250" s="771"/>
      <c r="H250" s="1"/>
      <c r="I250" s="446"/>
      <c r="J250" s="34"/>
      <c r="K250" s="34"/>
      <c r="L250" s="34"/>
      <c r="M250" s="34"/>
      <c r="N250" s="34"/>
      <c r="O250" s="2223"/>
      <c r="P250" s="15"/>
      <c r="Q250" s="15"/>
    </row>
    <row r="251" spans="1:1310" ht="20.100000000000001" customHeight="1">
      <c r="A251" s="8968"/>
      <c r="B251" s="8969" t="s">
        <v>1614</v>
      </c>
      <c r="C251" s="8970"/>
      <c r="D251" s="8970"/>
      <c r="E251" s="8970"/>
      <c r="F251" s="8970"/>
      <c r="G251" s="8971"/>
      <c r="H251" s="1"/>
      <c r="I251" s="792" t="s">
        <v>1638</v>
      </c>
      <c r="J251" s="34"/>
      <c r="K251" s="34"/>
      <c r="L251" s="419" t="s">
        <v>1640</v>
      </c>
      <c r="M251" s="34"/>
      <c r="N251" s="34"/>
      <c r="O251" s="2223"/>
      <c r="P251" s="15"/>
      <c r="Q251" s="15"/>
    </row>
    <row r="252" spans="1:1310" ht="20.100000000000001" customHeight="1">
      <c r="A252" s="8968"/>
      <c r="B252" s="772"/>
      <c r="C252" s="34"/>
      <c r="D252" s="773"/>
      <c r="E252" s="34"/>
      <c r="F252" s="773"/>
      <c r="G252" s="2229"/>
      <c r="H252" s="1"/>
      <c r="I252" s="792" t="s">
        <v>1639</v>
      </c>
      <c r="J252" s="34"/>
      <c r="K252" s="34"/>
      <c r="L252" s="794">
        <v>0</v>
      </c>
      <c r="M252" s="795">
        <v>0</v>
      </c>
      <c r="N252" s="796">
        <v>0</v>
      </c>
      <c r="O252" s="2230">
        <v>0</v>
      </c>
      <c r="P252" s="15"/>
      <c r="Q252" s="15"/>
    </row>
    <row r="253" spans="1:1310" ht="20.100000000000001" customHeight="1" thickBot="1">
      <c r="A253" s="8968"/>
      <c r="B253" s="2227" t="s">
        <v>66</v>
      </c>
      <c r="C253" s="398" t="s">
        <v>1615</v>
      </c>
      <c r="D253" s="34"/>
      <c r="E253" s="34"/>
      <c r="F253" s="34"/>
      <c r="G253" s="2223"/>
      <c r="H253" s="1"/>
      <c r="I253" s="2213"/>
      <c r="J253" s="453"/>
      <c r="K253" s="453"/>
      <c r="L253" s="453"/>
      <c r="M253" s="453"/>
      <c r="N253" s="453"/>
      <c r="O253" s="454"/>
      <c r="P253" s="15"/>
      <c r="Q253" s="15"/>
    </row>
    <row r="254" spans="1:1310" ht="20.100000000000001" customHeight="1" thickBot="1">
      <c r="A254" s="8968"/>
      <c r="B254" s="2228" t="s">
        <v>81</v>
      </c>
      <c r="C254" s="398" t="s">
        <v>1616</v>
      </c>
      <c r="D254" s="34"/>
      <c r="E254" s="34"/>
      <c r="F254" s="34"/>
      <c r="G254" s="2223"/>
      <c r="H254" s="1"/>
      <c r="I254" s="311"/>
      <c r="J254" s="311"/>
      <c r="K254" s="311"/>
      <c r="L254" s="311"/>
      <c r="M254" s="311"/>
      <c r="N254" s="311"/>
      <c r="O254" s="311"/>
      <c r="P254" s="15"/>
      <c r="Q254" s="15"/>
    </row>
    <row r="255" spans="1:1310" ht="20.100000000000001" customHeight="1">
      <c r="A255" s="8968"/>
      <c r="B255" s="767" t="s">
        <v>84</v>
      </c>
      <c r="C255" s="398" t="s">
        <v>1617</v>
      </c>
      <c r="D255" s="34"/>
      <c r="E255" s="34"/>
      <c r="F255" s="34"/>
      <c r="G255" s="2223"/>
      <c r="H255" s="1"/>
      <c r="I255" s="8972" t="s">
        <v>1645</v>
      </c>
      <c r="J255" s="8973"/>
      <c r="K255" s="8973"/>
      <c r="L255" s="8973"/>
      <c r="M255" s="8973"/>
      <c r="N255" s="8973"/>
      <c r="O255" s="8974"/>
      <c r="P255" s="15"/>
      <c r="Q255" s="15"/>
    </row>
    <row r="256" spans="1:1310" ht="20.100000000000001" customHeight="1">
      <c r="A256" s="8968"/>
      <c r="B256" s="446"/>
      <c r="C256" s="34"/>
      <c r="D256" s="34"/>
      <c r="E256" s="34"/>
      <c r="F256" s="34"/>
      <c r="G256" s="2223"/>
      <c r="H256" s="1"/>
      <c r="I256" s="8975" t="s">
        <v>1646</v>
      </c>
      <c r="J256" s="8976">
        <v>8.35</v>
      </c>
      <c r="K256" s="8977" t="s">
        <v>1647</v>
      </c>
      <c r="L256" s="8977"/>
      <c r="M256" s="8976">
        <v>0.25</v>
      </c>
      <c r="N256" s="8978">
        <f>IF(ISBLANK(M257),I260,M257)</f>
        <v>33.4</v>
      </c>
      <c r="O256" s="8979" t="s">
        <v>261</v>
      </c>
      <c r="P256" s="15"/>
      <c r="Q256" s="15"/>
    </row>
    <row r="257" spans="1:17" ht="20.100000000000001" customHeight="1">
      <c r="A257" s="8968"/>
      <c r="B257" s="2231" t="s">
        <v>1618</v>
      </c>
      <c r="C257" s="2232"/>
      <c r="D257" s="2233"/>
      <c r="E257" s="2232"/>
      <c r="F257" s="8980">
        <f>3.14*(11*11)</f>
        <v>379.94</v>
      </c>
      <c r="G257" s="8981"/>
      <c r="H257" s="1"/>
      <c r="I257" s="8975"/>
      <c r="J257" s="8976"/>
      <c r="K257" s="8977"/>
      <c r="L257" s="8977"/>
      <c r="M257" s="8976"/>
      <c r="N257" s="8978"/>
      <c r="O257" s="8979"/>
      <c r="P257" s="15"/>
      <c r="Q257" s="15"/>
    </row>
    <row r="258" spans="1:17" ht="20.100000000000001" customHeight="1">
      <c r="A258" s="8968"/>
      <c r="B258" s="2234" t="s">
        <v>1619</v>
      </c>
      <c r="C258" s="2235"/>
      <c r="D258" s="2236"/>
      <c r="E258" s="2235"/>
      <c r="F258" s="9003" t="s">
        <v>1620</v>
      </c>
      <c r="G258" s="9004"/>
      <c r="H258" s="1"/>
      <c r="I258" s="8975"/>
      <c r="J258" s="8976"/>
      <c r="K258" s="9005" t="s">
        <v>1648</v>
      </c>
      <c r="L258" s="9005"/>
      <c r="M258" s="9006">
        <v>70</v>
      </c>
      <c r="N258" s="9007">
        <f>J256/M258</f>
        <v>0.11928571428571429</v>
      </c>
      <c r="O258" s="8979" t="s">
        <v>1649</v>
      </c>
      <c r="P258" s="15"/>
      <c r="Q258" s="15"/>
    </row>
    <row r="259" spans="1:17" ht="20.100000000000001" customHeight="1">
      <c r="A259" s="8968"/>
      <c r="B259" s="2237" t="s">
        <v>1621</v>
      </c>
      <c r="C259" s="2238" t="s">
        <v>1622</v>
      </c>
      <c r="E259" s="2238" t="s">
        <v>1623</v>
      </c>
      <c r="F259" s="2239" t="s">
        <v>1624</v>
      </c>
      <c r="G259" s="2240"/>
      <c r="H259" s="1"/>
      <c r="I259" s="8975"/>
      <c r="J259" s="8976"/>
      <c r="K259" s="9005"/>
      <c r="L259" s="9005"/>
      <c r="M259" s="9006"/>
      <c r="N259" s="9007"/>
      <c r="O259" s="8979"/>
      <c r="P259" s="15"/>
      <c r="Q259" s="15"/>
    </row>
    <row r="260" spans="1:17" ht="20.100000000000001" customHeight="1">
      <c r="A260" s="8968"/>
      <c r="B260" s="8988">
        <v>1</v>
      </c>
      <c r="C260" s="8990">
        <v>22</v>
      </c>
      <c r="D260" s="1"/>
      <c r="E260" s="8954">
        <f>C260/2</f>
        <v>11</v>
      </c>
      <c r="F260" s="8959">
        <f>PI()*(E260^2)</f>
        <v>380.13271108436498</v>
      </c>
      <c r="G260" s="2241"/>
      <c r="H260" s="1"/>
      <c r="I260" s="2242">
        <f>IF(ISBLANK(M256),0,J256/M256)</f>
        <v>33.4</v>
      </c>
      <c r="J260" s="322"/>
      <c r="K260" s="322"/>
      <c r="L260" s="322"/>
      <c r="M260" s="322"/>
      <c r="N260" s="322"/>
      <c r="O260" s="2243"/>
      <c r="P260" s="15"/>
      <c r="Q260" s="15"/>
    </row>
    <row r="261" spans="1:17" ht="20.100000000000001" customHeight="1" thickBot="1">
      <c r="A261" s="8968"/>
      <c r="B261" s="8988"/>
      <c r="C261" s="8990"/>
      <c r="D261" s="1"/>
      <c r="E261" s="8954"/>
      <c r="F261" s="8959"/>
      <c r="G261" s="2241"/>
      <c r="H261" s="1"/>
      <c r="I261" s="8960" t="s">
        <v>1650</v>
      </c>
      <c r="J261" s="8961"/>
      <c r="K261" s="8961"/>
      <c r="L261" s="8961"/>
      <c r="M261" s="8961"/>
      <c r="N261" s="8961"/>
      <c r="O261" s="8962"/>
      <c r="P261" s="15"/>
      <c r="Q261" s="15"/>
    </row>
    <row r="262" spans="1:17" ht="20.100000000000001" customHeight="1">
      <c r="A262" s="8968"/>
      <c r="B262" s="783"/>
      <c r="C262" s="785"/>
      <c r="D262" s="1"/>
      <c r="E262" s="412"/>
      <c r="F262" s="786"/>
      <c r="G262" s="2241"/>
      <c r="H262" s="1"/>
      <c r="I262" s="8982" t="s">
        <v>8</v>
      </c>
      <c r="J262" s="8983"/>
      <c r="K262" s="8983"/>
      <c r="L262" s="8983"/>
      <c r="M262" s="8983"/>
      <c r="N262" s="8983"/>
      <c r="O262" s="8984"/>
      <c r="P262" s="15"/>
      <c r="Q262" s="15"/>
    </row>
    <row r="263" spans="1:17" ht="20.100000000000001" customHeight="1" thickBot="1">
      <c r="A263" s="8968"/>
      <c r="B263" s="8988">
        <v>1</v>
      </c>
      <c r="C263" s="8990">
        <v>22</v>
      </c>
      <c r="D263" s="1"/>
      <c r="E263" s="8954">
        <f>C263/2</f>
        <v>11</v>
      </c>
      <c r="F263" s="8959">
        <f>PI()*(E263^2)</f>
        <v>380.13271108436498</v>
      </c>
      <c r="G263" s="2241"/>
      <c r="H263" s="1"/>
      <c r="I263" s="8985"/>
      <c r="J263" s="8986"/>
      <c r="K263" s="8986"/>
      <c r="L263" s="8986"/>
      <c r="M263" s="8986"/>
      <c r="N263" s="8986"/>
      <c r="O263" s="8987"/>
      <c r="P263" s="15"/>
      <c r="Q263" s="15"/>
    </row>
    <row r="264" spans="1:17" ht="20.100000000000001" customHeight="1" thickBot="1">
      <c r="A264" s="8968"/>
      <c r="B264" s="8989"/>
      <c r="C264" s="8991"/>
      <c r="D264" s="1"/>
      <c r="E264" s="8992"/>
      <c r="F264" s="8993"/>
      <c r="G264" s="2241"/>
      <c r="H264" s="1"/>
      <c r="P264" s="15"/>
      <c r="Q264" s="15"/>
    </row>
    <row r="265" spans="1:17" ht="20.100000000000001" customHeight="1">
      <c r="A265" s="8968"/>
      <c r="B265" s="8994" t="s">
        <v>1625</v>
      </c>
      <c r="C265" s="8995"/>
      <c r="D265" s="8995"/>
      <c r="E265" s="8995"/>
      <c r="F265" s="8995"/>
      <c r="G265" s="8996"/>
      <c r="H265" s="1"/>
      <c r="I265" s="8997" t="s">
        <v>1651</v>
      </c>
      <c r="J265" s="8998"/>
      <c r="K265" s="8998"/>
      <c r="L265" s="8998"/>
      <c r="M265" s="8998"/>
      <c r="N265" s="8999"/>
      <c r="O265" s="15"/>
      <c r="P265" s="15"/>
      <c r="Q265" s="15"/>
    </row>
    <row r="266" spans="1:17" ht="20.100000000000001" customHeight="1">
      <c r="A266" s="8968"/>
      <c r="B266" s="787" t="s">
        <v>1626</v>
      </c>
      <c r="C266" s="311"/>
      <c r="D266" s="788"/>
      <c r="E266" s="311"/>
      <c r="F266" s="789"/>
      <c r="G266" s="2244"/>
      <c r="H266" s="1"/>
      <c r="I266" s="9000"/>
      <c r="J266" s="9001"/>
      <c r="K266" s="9001"/>
      <c r="L266" s="9001"/>
      <c r="M266" s="9001"/>
      <c r="N266" s="9002"/>
      <c r="O266" s="15"/>
      <c r="P266" s="15"/>
      <c r="Q266" s="15"/>
    </row>
    <row r="267" spans="1:17" ht="20.100000000000001" customHeight="1">
      <c r="A267" s="8968"/>
      <c r="B267" s="8856" t="s">
        <v>8</v>
      </c>
      <c r="C267" s="8857"/>
      <c r="D267" s="8857"/>
      <c r="E267" s="8857"/>
      <c r="F267" s="8857"/>
      <c r="G267" s="8858"/>
      <c r="H267" s="1"/>
      <c r="I267" s="8949" t="s">
        <v>1652</v>
      </c>
      <c r="J267" s="8950"/>
      <c r="K267" s="8950"/>
      <c r="L267" s="8950"/>
      <c r="M267" s="8950"/>
      <c r="N267" s="8951"/>
      <c r="O267" s="15"/>
      <c r="P267" s="15"/>
      <c r="Q267" s="15"/>
    </row>
    <row r="268" spans="1:17" ht="20.100000000000001" customHeight="1" thickBot="1">
      <c r="A268" s="8968"/>
      <c r="B268" s="8674"/>
      <c r="C268" s="8675"/>
      <c r="D268" s="8675"/>
      <c r="E268" s="8675"/>
      <c r="F268" s="8675"/>
      <c r="G268" s="8676"/>
      <c r="H268" s="1"/>
      <c r="I268" s="8949"/>
      <c r="J268" s="8950"/>
      <c r="K268" s="8950"/>
      <c r="L268" s="8950"/>
      <c r="M268" s="8950"/>
      <c r="N268" s="8951"/>
      <c r="O268" s="15"/>
      <c r="P268" s="15"/>
      <c r="Q268" s="15"/>
    </row>
    <row r="269" spans="1:17" ht="20.100000000000001" customHeight="1" thickBot="1">
      <c r="B269" s="1"/>
      <c r="C269" s="1"/>
      <c r="D269" s="1"/>
      <c r="E269" s="462"/>
      <c r="F269" s="462"/>
      <c r="G269" s="1"/>
      <c r="H269" s="1"/>
      <c r="I269" s="8917" t="s">
        <v>1621</v>
      </c>
      <c r="J269" s="8846" t="s">
        <v>1622</v>
      </c>
      <c r="K269" s="8846" t="s">
        <v>1623</v>
      </c>
      <c r="L269" s="8963" t="s">
        <v>1653</v>
      </c>
      <c r="M269" s="8964" t="s">
        <v>463</v>
      </c>
      <c r="N269" s="8912" t="s">
        <v>1654</v>
      </c>
      <c r="O269" s="15"/>
      <c r="P269" s="15"/>
      <c r="Q269" s="15"/>
    </row>
    <row r="270" spans="1:17" ht="20.100000000000001" customHeight="1">
      <c r="A270" s="2222" t="s">
        <v>67</v>
      </c>
      <c r="B270" s="8965" t="s">
        <v>1641</v>
      </c>
      <c r="C270" s="8966"/>
      <c r="D270" s="8966"/>
      <c r="E270" s="8966"/>
      <c r="F270" s="8966"/>
      <c r="G270" s="8967"/>
      <c r="H270" s="1"/>
      <c r="I270" s="8917"/>
      <c r="J270" s="8846"/>
      <c r="K270" s="8846"/>
      <c r="L270" s="8963"/>
      <c r="M270" s="8964"/>
      <c r="N270" s="8912"/>
      <c r="O270" s="15"/>
      <c r="P270" s="15"/>
      <c r="Q270" s="15"/>
    </row>
    <row r="271" spans="1:17" ht="20.100000000000001" customHeight="1">
      <c r="A271" s="8953" t="s">
        <v>1641</v>
      </c>
      <c r="B271" s="8946" t="s">
        <v>1642</v>
      </c>
      <c r="C271" s="8947"/>
      <c r="D271" s="8947"/>
      <c r="E271" s="8947"/>
      <c r="F271" s="8947"/>
      <c r="G271" s="8948"/>
      <c r="H271" s="1"/>
      <c r="I271" s="8913">
        <v>1</v>
      </c>
      <c r="J271" s="8893">
        <v>22</v>
      </c>
      <c r="K271" s="8954">
        <f>J271/2</f>
        <v>11</v>
      </c>
      <c r="L271" s="8955">
        <v>0.15</v>
      </c>
      <c r="M271" s="8944">
        <f>(PI()*(K271^2)*I271)</f>
        <v>380.13271108436498</v>
      </c>
      <c r="N271" s="8945">
        <f>N275</f>
        <v>1.5783961298369786</v>
      </c>
      <c r="O271" s="15"/>
      <c r="P271" s="15"/>
      <c r="Q271" s="15"/>
    </row>
    <row r="272" spans="1:17" ht="20.100000000000001" customHeight="1">
      <c r="A272" s="8953"/>
      <c r="B272" s="8946"/>
      <c r="C272" s="8947"/>
      <c r="D272" s="8947"/>
      <c r="E272" s="8947"/>
      <c r="F272" s="8947"/>
      <c r="G272" s="8948"/>
      <c r="H272" s="1"/>
      <c r="I272" s="8913"/>
      <c r="J272" s="8893"/>
      <c r="K272" s="8954"/>
      <c r="L272" s="8955"/>
      <c r="M272" s="8944"/>
      <c r="N272" s="8945"/>
      <c r="O272" s="15"/>
      <c r="P272" s="15"/>
      <c r="Q272" s="15"/>
    </row>
    <row r="273" spans="1:17" ht="20.100000000000001" customHeight="1">
      <c r="A273" s="8953"/>
      <c r="B273" s="8946" t="s">
        <v>1643</v>
      </c>
      <c r="C273" s="8947"/>
      <c r="D273" s="8947"/>
      <c r="E273" s="8947"/>
      <c r="F273" s="8947"/>
      <c r="G273" s="8948"/>
      <c r="H273" s="1"/>
      <c r="I273" s="8949" t="s">
        <v>1655</v>
      </c>
      <c r="J273" s="8950"/>
      <c r="K273" s="8950"/>
      <c r="L273" s="8950"/>
      <c r="M273" s="8950"/>
      <c r="N273" s="8951"/>
      <c r="O273" s="15"/>
      <c r="P273" s="15"/>
      <c r="Q273" s="15"/>
    </row>
    <row r="274" spans="1:17" ht="20.100000000000001" customHeight="1">
      <c r="A274" s="8953"/>
      <c r="B274" s="8946"/>
      <c r="C274" s="8947"/>
      <c r="D274" s="8947"/>
      <c r="E274" s="8947"/>
      <c r="F274" s="8947"/>
      <c r="G274" s="8948"/>
      <c r="H274" s="1"/>
      <c r="I274" s="8949"/>
      <c r="J274" s="8950"/>
      <c r="K274" s="8950"/>
      <c r="L274" s="8950"/>
      <c r="M274" s="8950"/>
      <c r="N274" s="8951"/>
      <c r="O274" s="15"/>
      <c r="P274" s="15"/>
      <c r="Q274" s="15"/>
    </row>
    <row r="275" spans="1:17" ht="20.100000000000001" customHeight="1">
      <c r="A275" s="8953"/>
      <c r="B275" s="8946"/>
      <c r="C275" s="8947"/>
      <c r="D275" s="8947"/>
      <c r="E275" s="8947"/>
      <c r="F275" s="8947"/>
      <c r="G275" s="8948"/>
      <c r="H275" s="1"/>
      <c r="I275" s="8913">
        <v>1</v>
      </c>
      <c r="J275" s="8893">
        <v>30</v>
      </c>
      <c r="K275" s="8893">
        <v>20</v>
      </c>
      <c r="L275" s="8952">
        <f>(L271*N271)*I271</f>
        <v>0.2367594194755468</v>
      </c>
      <c r="M275" s="8944">
        <f>(J275*K275)*I275</f>
        <v>600</v>
      </c>
      <c r="N275" s="8945">
        <f>M275/M271</f>
        <v>1.5783961298369786</v>
      </c>
      <c r="O275" s="15"/>
      <c r="P275" s="15"/>
      <c r="Q275" s="15"/>
    </row>
    <row r="276" spans="1:17" ht="20.100000000000001" customHeight="1">
      <c r="A276" s="8953"/>
      <c r="B276" s="798"/>
      <c r="C276" s="799"/>
      <c r="D276" s="799"/>
      <c r="E276" s="799"/>
      <c r="F276" s="799"/>
      <c r="G276" s="2241"/>
      <c r="H276" s="1"/>
      <c r="I276" s="8913"/>
      <c r="J276" s="8893"/>
      <c r="K276" s="8893"/>
      <c r="L276" s="8952"/>
      <c r="M276" s="8944"/>
      <c r="N276" s="8945"/>
      <c r="O276" s="15"/>
      <c r="P276" s="15"/>
      <c r="Q276" s="15"/>
    </row>
    <row r="277" spans="1:17" ht="20.100000000000001" customHeight="1">
      <c r="A277" s="8953"/>
      <c r="B277" s="798"/>
      <c r="C277" s="799"/>
      <c r="D277" s="799"/>
      <c r="E277" s="799"/>
      <c r="F277" s="799"/>
      <c r="G277" s="2241"/>
      <c r="H277" s="1"/>
      <c r="I277" s="8956" t="s">
        <v>1656</v>
      </c>
      <c r="J277" s="8957" t="s">
        <v>1657</v>
      </c>
      <c r="K277" s="8957" t="s">
        <v>1658</v>
      </c>
      <c r="L277" s="8958" t="s">
        <v>1653</v>
      </c>
      <c r="M277" s="8925" t="s">
        <v>463</v>
      </c>
      <c r="N277" s="8926" t="s">
        <v>1654</v>
      </c>
      <c r="O277" s="15"/>
      <c r="P277" s="15"/>
      <c r="Q277" s="15"/>
    </row>
    <row r="278" spans="1:17" ht="20.100000000000001" customHeight="1">
      <c r="A278" s="8953"/>
      <c r="B278" s="798"/>
      <c r="C278" s="799"/>
      <c r="D278" s="799"/>
      <c r="E278" s="799"/>
      <c r="F278" s="799"/>
      <c r="G278" s="2241"/>
      <c r="H278" s="1"/>
      <c r="I278" s="8956"/>
      <c r="J278" s="8957"/>
      <c r="K278" s="8957"/>
      <c r="L278" s="8958"/>
      <c r="M278" s="8925"/>
      <c r="N278" s="8926"/>
      <c r="O278" s="15"/>
      <c r="P278" s="15"/>
      <c r="Q278" s="15"/>
    </row>
    <row r="279" spans="1:17" ht="20.100000000000001" customHeight="1" thickBot="1">
      <c r="A279" s="8953"/>
      <c r="B279" s="798"/>
      <c r="C279" s="799"/>
      <c r="D279" s="799"/>
      <c r="E279" s="799"/>
      <c r="F279" s="799"/>
      <c r="G279" s="2241"/>
      <c r="H279" s="1"/>
      <c r="I279" s="2245" t="s">
        <v>1659</v>
      </c>
      <c r="J279" s="2246"/>
      <c r="K279" s="2246"/>
      <c r="L279" s="2246"/>
      <c r="M279" s="2246"/>
      <c r="N279" s="2247"/>
      <c r="O279" s="15"/>
      <c r="P279" s="15"/>
      <c r="Q279" s="15"/>
    </row>
    <row r="280" spans="1:17" ht="20.100000000000001" customHeight="1">
      <c r="A280" s="8953"/>
      <c r="B280" s="798"/>
      <c r="C280" s="799"/>
      <c r="D280" s="799"/>
      <c r="E280" s="799"/>
      <c r="F280" s="799"/>
      <c r="G280" s="2241"/>
      <c r="H280" s="1"/>
      <c r="I280" s="2248" t="s">
        <v>1660</v>
      </c>
      <c r="J280" s="809" t="s">
        <v>1661</v>
      </c>
      <c r="K280" s="802"/>
      <c r="L280" s="802"/>
      <c r="M280" s="802"/>
      <c r="N280" s="803"/>
      <c r="O280" s="15"/>
      <c r="P280" s="15"/>
      <c r="Q280" s="15"/>
    </row>
    <row r="281" spans="1:17" ht="20.100000000000001" customHeight="1">
      <c r="A281" s="8953"/>
      <c r="B281" s="798"/>
      <c r="C281" s="799"/>
      <c r="D281" s="799"/>
      <c r="E281" s="799"/>
      <c r="F281" s="799"/>
      <c r="G281" s="2241"/>
      <c r="H281" s="1"/>
      <c r="I281" s="8927" t="s">
        <v>8</v>
      </c>
      <c r="J281" s="8928"/>
      <c r="K281" s="8928"/>
      <c r="L281" s="8928"/>
      <c r="M281" s="8928"/>
      <c r="N281" s="8929"/>
      <c r="O281" s="15"/>
      <c r="P281" s="15"/>
      <c r="Q281" s="15"/>
    </row>
    <row r="282" spans="1:17" ht="20.100000000000001" customHeight="1" thickBot="1">
      <c r="A282" s="8953"/>
      <c r="B282" s="798"/>
      <c r="C282" s="799"/>
      <c r="D282" s="799"/>
      <c r="E282" s="799"/>
      <c r="F282" s="799"/>
      <c r="G282" s="2241"/>
      <c r="H282" s="1"/>
      <c r="I282" s="8930"/>
      <c r="J282" s="8931"/>
      <c r="K282" s="8931"/>
      <c r="L282" s="8931"/>
      <c r="M282" s="8931"/>
      <c r="N282" s="8932"/>
      <c r="O282" s="15"/>
      <c r="P282" s="15"/>
      <c r="Q282" s="15"/>
    </row>
    <row r="283" spans="1:17" ht="20.100000000000001" customHeight="1" thickBot="1">
      <c r="A283" s="8953"/>
      <c r="B283" s="798"/>
      <c r="C283" s="799"/>
      <c r="D283" s="799"/>
      <c r="E283" s="799"/>
      <c r="F283" s="799"/>
      <c r="G283" s="2241"/>
      <c r="H283" s="1"/>
      <c r="I283" s="15"/>
      <c r="J283" s="15"/>
      <c r="K283" s="15"/>
      <c r="L283" s="15"/>
      <c r="M283" s="15"/>
      <c r="N283" s="15"/>
      <c r="O283" s="15"/>
      <c r="P283" s="15"/>
      <c r="Q283" s="15"/>
    </row>
    <row r="284" spans="1:17" ht="20.100000000000001" customHeight="1">
      <c r="A284" s="8953"/>
      <c r="B284" s="798"/>
      <c r="C284" s="799"/>
      <c r="D284" s="799"/>
      <c r="E284" s="799"/>
      <c r="F284" s="799"/>
      <c r="G284" s="2241"/>
      <c r="H284" s="1"/>
      <c r="I284" s="8933" t="s">
        <v>1662</v>
      </c>
      <c r="J284" s="8934"/>
      <c r="K284" s="8934"/>
      <c r="L284" s="8934"/>
      <c r="M284" s="8935"/>
      <c r="O284" s="15"/>
      <c r="P284" s="15"/>
      <c r="Q284" s="15"/>
    </row>
    <row r="285" spans="1:17" ht="20.100000000000001" customHeight="1">
      <c r="A285" s="8953"/>
      <c r="B285" s="798"/>
      <c r="C285" s="799"/>
      <c r="D285" s="799"/>
      <c r="E285" s="799"/>
      <c r="F285" s="799"/>
      <c r="G285" s="2241"/>
      <c r="H285" s="1"/>
      <c r="I285" s="8936"/>
      <c r="J285" s="8937"/>
      <c r="K285" s="8937"/>
      <c r="L285" s="8937"/>
      <c r="M285" s="8938"/>
    </row>
    <row r="286" spans="1:17" ht="20.100000000000001" customHeight="1">
      <c r="A286" s="8953"/>
      <c r="B286" s="798"/>
      <c r="C286" s="799"/>
      <c r="D286" s="799"/>
      <c r="E286" s="799"/>
      <c r="F286" s="799"/>
      <c r="G286" s="2241"/>
      <c r="H286" s="1"/>
      <c r="I286" s="8936"/>
      <c r="J286" s="8937"/>
      <c r="K286" s="8937"/>
      <c r="L286" s="8937"/>
      <c r="M286" s="8938"/>
    </row>
    <row r="287" spans="1:17" ht="20.100000000000001" customHeight="1">
      <c r="A287" s="8953"/>
      <c r="B287" s="8939" t="s">
        <v>1644</v>
      </c>
      <c r="C287" s="8940"/>
      <c r="D287" s="8940"/>
      <c r="E287" s="8940"/>
      <c r="F287" s="8940"/>
      <c r="G287" s="2241"/>
      <c r="H287" s="1"/>
      <c r="I287" s="8917" t="s">
        <v>1621</v>
      </c>
      <c r="J287" s="8846" t="s">
        <v>1622</v>
      </c>
      <c r="K287" s="8846" t="s">
        <v>1623</v>
      </c>
      <c r="L287" s="8846" t="s">
        <v>1663</v>
      </c>
      <c r="M287" s="8912" t="s">
        <v>463</v>
      </c>
    </row>
    <row r="288" spans="1:17" ht="20.100000000000001" customHeight="1">
      <c r="A288" s="8953"/>
      <c r="B288" s="8939"/>
      <c r="C288" s="8940"/>
      <c r="D288" s="8940"/>
      <c r="E288" s="8940"/>
      <c r="F288" s="8940"/>
      <c r="G288" s="2241"/>
      <c r="H288" s="1"/>
      <c r="I288" s="8917"/>
      <c r="J288" s="8846"/>
      <c r="K288" s="8846"/>
      <c r="L288" s="8846"/>
      <c r="M288" s="8912"/>
    </row>
    <row r="289" spans="1:17" ht="20.100000000000001" customHeight="1" thickBot="1">
      <c r="A289" s="8953"/>
      <c r="B289" s="8941"/>
      <c r="C289" s="8942"/>
      <c r="D289" s="8942"/>
      <c r="E289" s="8942"/>
      <c r="F289" s="8942"/>
      <c r="G289" s="300"/>
      <c r="H289" s="1"/>
      <c r="I289" s="8913">
        <v>1</v>
      </c>
      <c r="J289" s="8850">
        <v>22</v>
      </c>
      <c r="K289" s="8943">
        <f>J289/2</f>
        <v>11</v>
      </c>
      <c r="L289" s="8850">
        <v>1</v>
      </c>
      <c r="M289" s="8895">
        <f>((PI()*(K289^2)*L289))*I289</f>
        <v>380.13271108436498</v>
      </c>
    </row>
    <row r="290" spans="1:17" ht="20.100000000000001" customHeight="1">
      <c r="B290" s="1"/>
      <c r="C290" s="1"/>
      <c r="D290" s="1"/>
      <c r="E290" s="462"/>
      <c r="F290" s="462"/>
      <c r="G290" s="1"/>
      <c r="H290" s="1"/>
      <c r="I290" s="8913"/>
      <c r="J290" s="8850"/>
      <c r="K290" s="8943"/>
      <c r="L290" s="8850"/>
      <c r="M290" s="8895"/>
    </row>
    <row r="291" spans="1:17" ht="20.100000000000001" customHeight="1">
      <c r="B291" s="8918" t="s">
        <v>1664</v>
      </c>
      <c r="C291" s="8919"/>
      <c r="D291" s="8919"/>
      <c r="E291" s="8919"/>
      <c r="F291" s="8919"/>
      <c r="G291" s="8920"/>
      <c r="H291" s="1"/>
      <c r="I291" s="8917" t="s">
        <v>1621</v>
      </c>
      <c r="J291" s="8846" t="s">
        <v>1622</v>
      </c>
      <c r="K291" s="8846" t="s">
        <v>1663</v>
      </c>
      <c r="L291" s="8846"/>
      <c r="M291" s="8912" t="s">
        <v>463</v>
      </c>
    </row>
    <row r="292" spans="1:17" ht="20.100000000000001" customHeight="1">
      <c r="B292" s="8918"/>
      <c r="C292" s="8919"/>
      <c r="D292" s="8919"/>
      <c r="E292" s="8919"/>
      <c r="F292" s="8919"/>
      <c r="G292" s="8920"/>
      <c r="H292" s="1"/>
      <c r="I292" s="8917"/>
      <c r="J292" s="8846"/>
      <c r="K292" s="8846"/>
      <c r="L292" s="8846"/>
      <c r="M292" s="8912"/>
    </row>
    <row r="293" spans="1:17" ht="20.100000000000001" customHeight="1">
      <c r="B293" s="8921" t="s">
        <v>1656</v>
      </c>
      <c r="C293" s="8922" t="s">
        <v>1657</v>
      </c>
      <c r="D293" s="8922" t="s">
        <v>1658</v>
      </c>
      <c r="E293" s="8922" t="s">
        <v>1663</v>
      </c>
      <c r="F293" s="8922" t="s">
        <v>463</v>
      </c>
      <c r="G293" s="8923"/>
      <c r="H293" s="1"/>
      <c r="I293" s="8913">
        <v>1</v>
      </c>
      <c r="J293" s="8893">
        <v>22</v>
      </c>
      <c r="K293" s="8893">
        <v>1</v>
      </c>
      <c r="L293" s="8924"/>
      <c r="M293" s="8895">
        <f>(((J293/2)*(J293/2)*3.1416)*K293)*I293</f>
        <v>380.1336</v>
      </c>
    </row>
    <row r="294" spans="1:17" ht="20.100000000000001" customHeight="1">
      <c r="B294" s="8921"/>
      <c r="C294" s="8922"/>
      <c r="D294" s="8922"/>
      <c r="E294" s="8922"/>
      <c r="F294" s="8922"/>
      <c r="G294" s="8923"/>
      <c r="H294" s="1"/>
      <c r="I294" s="8913"/>
      <c r="J294" s="8893"/>
      <c r="K294" s="8893"/>
      <c r="L294" s="8924"/>
      <c r="M294" s="8895"/>
    </row>
    <row r="295" spans="1:17" ht="20.100000000000001" customHeight="1">
      <c r="B295" s="8913">
        <v>1</v>
      </c>
      <c r="C295" s="8893">
        <v>30</v>
      </c>
      <c r="D295" s="8893">
        <v>20</v>
      </c>
      <c r="E295" s="8850">
        <v>1</v>
      </c>
      <c r="F295" s="8915">
        <f>((C295*D295)*E295)*B295</f>
        <v>600</v>
      </c>
      <c r="G295" s="8916"/>
      <c r="H295" s="1"/>
      <c r="I295" s="8917" t="s">
        <v>1621</v>
      </c>
      <c r="J295" s="8846" t="s">
        <v>1622</v>
      </c>
      <c r="K295" s="8846" t="s">
        <v>1663</v>
      </c>
      <c r="L295" s="8846" t="s">
        <v>1648</v>
      </c>
      <c r="M295" s="8912" t="s">
        <v>463</v>
      </c>
    </row>
    <row r="296" spans="1:17" ht="20.100000000000001" customHeight="1">
      <c r="B296" s="8913"/>
      <c r="C296" s="8893"/>
      <c r="D296" s="8893"/>
      <c r="E296" s="8850"/>
      <c r="F296" s="8915"/>
      <c r="G296" s="8916"/>
      <c r="H296" s="1"/>
      <c r="I296" s="8917"/>
      <c r="J296" s="8846"/>
      <c r="K296" s="8846"/>
      <c r="L296" s="8846"/>
      <c r="M296" s="8912"/>
    </row>
    <row r="297" spans="1:17" ht="20.100000000000001" customHeight="1">
      <c r="B297" s="8896" t="s">
        <v>1659</v>
      </c>
      <c r="C297" s="8897"/>
      <c r="D297" s="8897"/>
      <c r="E297" s="8897"/>
      <c r="F297" s="8897"/>
      <c r="G297" s="8898"/>
      <c r="H297" s="1"/>
      <c r="I297" s="8913">
        <v>1</v>
      </c>
      <c r="J297" s="8893">
        <v>22</v>
      </c>
      <c r="K297" s="8893">
        <v>1</v>
      </c>
      <c r="L297" s="8914">
        <v>3</v>
      </c>
      <c r="M297" s="8895">
        <f>(((J297/2)*(J297/2)*PI()*K297)*I297)/L297</f>
        <v>126.71090369478833</v>
      </c>
    </row>
    <row r="298" spans="1:17" ht="20.100000000000001" customHeight="1">
      <c r="B298" s="810" t="s">
        <v>8</v>
      </c>
      <c r="C298" s="806"/>
      <c r="D298" s="806"/>
      <c r="E298" s="806"/>
      <c r="F298" s="806"/>
      <c r="G298" s="2250"/>
      <c r="H298" s="1"/>
      <c r="I298" s="8913"/>
      <c r="J298" s="8893"/>
      <c r="K298" s="8893"/>
      <c r="L298" s="8914"/>
      <c r="M298" s="8895"/>
    </row>
    <row r="299" spans="1:17" ht="20.100000000000001" customHeight="1" thickBot="1">
      <c r="B299" s="2251"/>
      <c r="C299" s="813"/>
      <c r="D299" s="813"/>
      <c r="E299" s="813"/>
      <c r="F299" s="813"/>
      <c r="G299" s="814"/>
      <c r="H299" s="1"/>
      <c r="I299" s="8896" t="s">
        <v>1659</v>
      </c>
      <c r="J299" s="8897"/>
      <c r="K299" s="8897"/>
      <c r="L299" s="8897"/>
      <c r="M299" s="8898"/>
    </row>
    <row r="300" spans="1:17" ht="20.100000000000001" customHeight="1">
      <c r="B300" s="1"/>
      <c r="C300" s="1"/>
      <c r="D300" s="1"/>
      <c r="E300" s="462"/>
      <c r="F300" s="462"/>
      <c r="G300" s="1"/>
      <c r="H300" s="1"/>
      <c r="I300" s="8899" t="s">
        <v>8</v>
      </c>
      <c r="J300" s="8900"/>
      <c r="K300" s="8900"/>
      <c r="L300" s="8900"/>
      <c r="M300" s="8901"/>
    </row>
    <row r="301" spans="1:17" ht="20.100000000000001" customHeight="1" thickBot="1">
      <c r="B301" s="1"/>
      <c r="C301" s="1"/>
      <c r="D301" s="1"/>
      <c r="E301" s="462"/>
      <c r="F301" s="462"/>
      <c r="G301" s="1"/>
      <c r="H301" s="1"/>
      <c r="I301" s="8902"/>
      <c r="J301" s="8903"/>
      <c r="K301" s="8903"/>
      <c r="L301" s="8903"/>
      <c r="M301" s="8904"/>
      <c r="N301" s="15"/>
    </row>
    <row r="302" spans="1:17" ht="20.100000000000001" customHeight="1">
      <c r="A302" s="1"/>
      <c r="B302" s="1"/>
      <c r="C302" s="1"/>
      <c r="D302" s="1"/>
      <c r="E302" s="462"/>
      <c r="F302" s="462"/>
      <c r="G302" s="1"/>
      <c r="H302" s="15"/>
      <c r="I302" s="15"/>
      <c r="J302" s="15"/>
      <c r="K302" s="15"/>
      <c r="L302" s="15"/>
      <c r="M302" s="15"/>
      <c r="N302" s="15"/>
    </row>
    <row r="303" spans="1:17" ht="20.100000000000001" customHeight="1">
      <c r="B303" s="8905" t="s">
        <v>1691</v>
      </c>
      <c r="C303" s="8906"/>
      <c r="D303" s="8906"/>
      <c r="E303" s="8906"/>
      <c r="F303" s="8906"/>
      <c r="G303" s="8906"/>
      <c r="H303" s="8906"/>
      <c r="I303" s="8906"/>
      <c r="J303" s="8906"/>
      <c r="K303" s="8906"/>
      <c r="L303" s="15"/>
      <c r="M303" s="15"/>
      <c r="N303" s="15"/>
      <c r="O303" s="15"/>
      <c r="P303" s="15"/>
      <c r="Q303" s="15"/>
    </row>
    <row r="304" spans="1:17" ht="20.100000000000001" customHeight="1">
      <c r="B304" s="8905"/>
      <c r="C304" s="8906"/>
      <c r="D304" s="8906"/>
      <c r="E304" s="8906"/>
      <c r="F304" s="8906"/>
      <c r="G304" s="8906"/>
      <c r="H304" s="8906"/>
      <c r="I304" s="8906"/>
      <c r="J304" s="8906"/>
      <c r="K304" s="8906"/>
      <c r="L304" s="15"/>
      <c r="M304" s="15"/>
      <c r="N304" s="15"/>
      <c r="O304" s="15"/>
      <c r="P304" s="15"/>
      <c r="Q304" s="15"/>
    </row>
    <row r="305" spans="2:17" ht="20.100000000000001" customHeight="1">
      <c r="B305" s="8907" t="s">
        <v>1692</v>
      </c>
      <c r="C305" s="8908"/>
      <c r="D305" s="8908"/>
      <c r="E305" s="8908"/>
      <c r="F305" s="8908"/>
      <c r="G305" s="8908"/>
      <c r="H305" s="8908"/>
      <c r="I305" s="8908"/>
      <c r="J305" s="8908"/>
      <c r="K305" s="8909"/>
      <c r="L305" s="15"/>
      <c r="M305" s="15"/>
      <c r="N305" s="15"/>
      <c r="O305" s="15"/>
      <c r="P305" s="15"/>
      <c r="Q305" s="15"/>
    </row>
    <row r="306" spans="2:17" ht="20.100000000000001" customHeight="1">
      <c r="B306" s="304"/>
      <c r="C306" s="8910" t="s">
        <v>1621</v>
      </c>
      <c r="D306" s="8910"/>
      <c r="E306" s="8910" t="s">
        <v>1622</v>
      </c>
      <c r="F306" s="8910"/>
      <c r="G306" s="8910" t="s">
        <v>1663</v>
      </c>
      <c r="H306" s="8910"/>
      <c r="I306" s="8911" t="s">
        <v>1693</v>
      </c>
      <c r="J306" s="8911"/>
      <c r="K306" s="2252" t="s">
        <v>463</v>
      </c>
      <c r="L306" s="15"/>
      <c r="M306" s="15"/>
      <c r="N306" s="15"/>
      <c r="O306" s="15"/>
      <c r="P306" s="15"/>
      <c r="Q306" s="15"/>
    </row>
    <row r="307" spans="2:17" ht="20.100000000000001" customHeight="1">
      <c r="B307" s="8892" t="s">
        <v>66</v>
      </c>
      <c r="C307" s="8848">
        <v>1</v>
      </c>
      <c r="D307" s="8848"/>
      <c r="E307" s="8893">
        <v>26</v>
      </c>
      <c r="F307" s="8893"/>
      <c r="G307" s="8893">
        <v>4</v>
      </c>
      <c r="H307" s="8893"/>
      <c r="I307" s="8894">
        <f>(I311/K311)*K307</f>
        <v>0.47499999999999998</v>
      </c>
      <c r="J307" s="8894"/>
      <c r="K307" s="8895">
        <f>(((E307/2)*(E307/2)*PI())*G307)*C307</f>
        <v>2123.7166338267002</v>
      </c>
      <c r="L307" s="15"/>
      <c r="M307" s="15"/>
      <c r="N307" s="15"/>
      <c r="O307" s="15"/>
      <c r="P307" s="15"/>
      <c r="Q307" s="15"/>
    </row>
    <row r="308" spans="2:17" ht="20.100000000000001" customHeight="1">
      <c r="B308" s="8892"/>
      <c r="C308" s="8848"/>
      <c r="D308" s="8848"/>
      <c r="E308" s="8893"/>
      <c r="F308" s="8893"/>
      <c r="G308" s="8893"/>
      <c r="H308" s="8893"/>
      <c r="I308" s="8894"/>
      <c r="J308" s="8894"/>
      <c r="K308" s="8895"/>
      <c r="L308" s="15"/>
      <c r="M308" s="15"/>
      <c r="N308" s="15"/>
      <c r="O308" s="15"/>
      <c r="P308" s="15"/>
      <c r="Q308" s="15"/>
    </row>
    <row r="309" spans="2:17" ht="20.100000000000001" customHeight="1" thickBot="1">
      <c r="B309" s="304"/>
      <c r="C309" s="2253"/>
      <c r="D309" s="311"/>
      <c r="E309" s="2254"/>
      <c r="F309" s="311"/>
      <c r="G309" s="2254"/>
      <c r="H309" s="311"/>
      <c r="I309" s="819"/>
      <c r="J309" s="311"/>
      <c r="K309" s="2252"/>
      <c r="L309" s="15"/>
      <c r="M309" s="15"/>
      <c r="N309" s="15"/>
      <c r="O309" s="15"/>
      <c r="P309" s="15"/>
      <c r="Q309" s="15"/>
    </row>
    <row r="310" spans="2:17" ht="20.100000000000001" customHeight="1">
      <c r="B310" s="8885" t="s">
        <v>1694</v>
      </c>
      <c r="C310" s="8867"/>
      <c r="D310" s="8867"/>
      <c r="E310" s="8867"/>
      <c r="F310" s="8867"/>
      <c r="G310" s="8867"/>
      <c r="H310" s="8867"/>
      <c r="I310" s="8867"/>
      <c r="J310" s="8867"/>
      <c r="K310" s="8886"/>
      <c r="L310" s="15"/>
      <c r="M310" s="15"/>
      <c r="N310" s="15"/>
      <c r="O310" s="15"/>
      <c r="P310" s="15"/>
      <c r="Q310" s="15"/>
    </row>
    <row r="311" spans="2:17" ht="20.100000000000001" customHeight="1">
      <c r="B311" s="8887" t="s">
        <v>81</v>
      </c>
      <c r="C311" s="8888">
        <v>1</v>
      </c>
      <c r="D311" s="8888"/>
      <c r="E311" s="8889">
        <v>26</v>
      </c>
      <c r="F311" s="8889"/>
      <c r="G311" s="8889">
        <v>4</v>
      </c>
      <c r="H311" s="8889"/>
      <c r="I311" s="8890">
        <v>0.47499999999999998</v>
      </c>
      <c r="J311" s="8890"/>
      <c r="K311" s="8891">
        <f>(((E311/2)*(E311/2)*PI())*G311)*C311</f>
        <v>2123.7166338267002</v>
      </c>
      <c r="L311" s="15"/>
      <c r="M311" s="15"/>
      <c r="N311" s="15"/>
      <c r="O311" s="15"/>
      <c r="P311" s="15"/>
      <c r="Q311" s="15"/>
    </row>
    <row r="312" spans="2:17" ht="20.100000000000001" customHeight="1">
      <c r="B312" s="8887"/>
      <c r="C312" s="8888"/>
      <c r="D312" s="8888"/>
      <c r="E312" s="8889"/>
      <c r="F312" s="8889"/>
      <c r="G312" s="8889"/>
      <c r="H312" s="8889"/>
      <c r="I312" s="8890"/>
      <c r="J312" s="8890"/>
      <c r="K312" s="8891"/>
      <c r="L312" s="15"/>
      <c r="M312" s="15"/>
      <c r="N312" s="15"/>
      <c r="O312" s="15"/>
      <c r="P312" s="15"/>
      <c r="Q312" s="15"/>
    </row>
    <row r="313" spans="2:17" ht="20.100000000000001" customHeight="1">
      <c r="B313" s="8872" t="s">
        <v>1695</v>
      </c>
      <c r="C313" s="8873"/>
      <c r="D313" s="8873"/>
      <c r="E313" s="8873"/>
      <c r="F313" s="8873"/>
      <c r="G313" s="8873"/>
      <c r="H313" s="8873"/>
      <c r="I313" s="8873"/>
      <c r="J313" s="8873"/>
      <c r="K313" s="8874"/>
      <c r="L313" s="15"/>
      <c r="M313" s="15"/>
      <c r="N313" s="15"/>
      <c r="O313" s="15"/>
      <c r="P313" s="15"/>
      <c r="Q313" s="15"/>
    </row>
    <row r="314" spans="2:17" ht="20.100000000000001" customHeight="1">
      <c r="B314" s="820" t="s">
        <v>66</v>
      </c>
      <c r="C314" s="8875" t="s">
        <v>1696</v>
      </c>
      <c r="D314" s="8875"/>
      <c r="E314" s="8875"/>
      <c r="F314" s="8875"/>
      <c r="G314" s="8875"/>
      <c r="H314" s="8875"/>
      <c r="I314" s="8875"/>
      <c r="J314" s="8875"/>
      <c r="K314" s="8876"/>
      <c r="L314" s="15"/>
      <c r="M314" s="15"/>
      <c r="N314" s="15"/>
      <c r="O314" s="15"/>
      <c r="P314" s="15"/>
      <c r="Q314" s="15"/>
    </row>
    <row r="315" spans="2:17" ht="20.100000000000001" customHeight="1">
      <c r="B315" s="8877" t="s">
        <v>81</v>
      </c>
      <c r="C315" s="8878" t="s">
        <v>1697</v>
      </c>
      <c r="D315" s="8878"/>
      <c r="E315" s="8878"/>
      <c r="F315" s="8878"/>
      <c r="G315" s="8878"/>
      <c r="H315" s="8878"/>
      <c r="I315" s="8878"/>
      <c r="J315" s="8878"/>
      <c r="K315" s="8879"/>
      <c r="L315" s="15"/>
      <c r="M315" s="15"/>
      <c r="N315" s="15"/>
      <c r="O315" s="15"/>
      <c r="P315" s="15"/>
      <c r="Q315" s="15"/>
    </row>
    <row r="316" spans="2:17" ht="20.100000000000001" customHeight="1">
      <c r="B316" s="8877"/>
      <c r="C316" s="8878"/>
      <c r="D316" s="8878"/>
      <c r="E316" s="8878"/>
      <c r="F316" s="8878"/>
      <c r="G316" s="8878"/>
      <c r="H316" s="8878"/>
      <c r="I316" s="8878"/>
      <c r="J316" s="8878"/>
      <c r="K316" s="8879"/>
      <c r="L316" s="15"/>
      <c r="M316" s="15"/>
      <c r="N316" s="15"/>
      <c r="O316" s="15"/>
      <c r="P316" s="15"/>
      <c r="Q316" s="15"/>
    </row>
    <row r="317" spans="2:17" ht="20.100000000000001" customHeight="1">
      <c r="B317" s="8880"/>
      <c r="C317" s="8881"/>
      <c r="D317" s="8881"/>
      <c r="E317" s="8881"/>
      <c r="F317" s="8881"/>
      <c r="G317" s="8881"/>
      <c r="H317" s="8881"/>
      <c r="I317" s="8881"/>
      <c r="J317" s="8881"/>
      <c r="K317" s="8882"/>
      <c r="L317" s="15"/>
      <c r="M317" s="15"/>
      <c r="N317" s="15"/>
      <c r="O317" s="15"/>
      <c r="P317" s="15"/>
      <c r="Q317" s="15"/>
    </row>
    <row r="318" spans="2:17" ht="20.100000000000001" customHeight="1">
      <c r="B318" s="8883" t="s">
        <v>1698</v>
      </c>
      <c r="C318" s="8884"/>
      <c r="D318" s="8884"/>
      <c r="E318" s="8884"/>
      <c r="F318" s="821"/>
      <c r="G318" s="821"/>
      <c r="H318" s="821"/>
      <c r="I318" s="822" t="s">
        <v>61</v>
      </c>
      <c r="J318" s="2255">
        <f>SUM(D319:D320,G319:G320,J319:J320)</f>
        <v>0.47500000000000003</v>
      </c>
      <c r="K318" s="824"/>
      <c r="L318" s="15"/>
      <c r="M318" s="15"/>
      <c r="N318" s="15"/>
      <c r="O318" s="15"/>
      <c r="P318" s="15"/>
      <c r="Q318" s="15"/>
    </row>
    <row r="319" spans="2:17" ht="20.100000000000001" customHeight="1">
      <c r="B319" s="8868" t="s">
        <v>1699</v>
      </c>
      <c r="C319" s="8869"/>
      <c r="D319" s="2256">
        <v>0.25</v>
      </c>
      <c r="E319" s="8869" t="s">
        <v>366</v>
      </c>
      <c r="F319" s="8869"/>
      <c r="G319" s="2256">
        <v>5.0000000000000001E-3</v>
      </c>
      <c r="H319" s="8869" t="s">
        <v>1700</v>
      </c>
      <c r="I319" s="8869"/>
      <c r="J319" s="2256">
        <v>2.5000000000000001E-2</v>
      </c>
      <c r="K319" s="2257"/>
      <c r="L319" s="15"/>
      <c r="M319" s="15"/>
      <c r="N319" s="15"/>
      <c r="O319" s="15"/>
      <c r="P319" s="15"/>
      <c r="Q319" s="15"/>
    </row>
    <row r="320" spans="2:17" ht="20.100000000000001" customHeight="1">
      <c r="B320" s="8870" t="s">
        <v>1701</v>
      </c>
      <c r="C320" s="8871"/>
      <c r="D320" s="2258">
        <v>0.125</v>
      </c>
      <c r="E320" s="8871" t="s">
        <v>1702</v>
      </c>
      <c r="F320" s="8871"/>
      <c r="G320" s="2258">
        <v>0.02</v>
      </c>
      <c r="H320" s="8871" t="s">
        <v>1553</v>
      </c>
      <c r="I320" s="8871"/>
      <c r="J320" s="2258">
        <v>0.05</v>
      </c>
      <c r="K320" s="828"/>
      <c r="L320" s="15"/>
      <c r="M320" s="15"/>
      <c r="N320" s="15"/>
      <c r="O320" s="15"/>
      <c r="P320" s="15"/>
      <c r="Q320" s="15"/>
    </row>
    <row r="321" spans="2:17" ht="20.100000000000001" customHeight="1">
      <c r="B321" s="8856" t="s">
        <v>8</v>
      </c>
      <c r="C321" s="8857"/>
      <c r="D321" s="8857"/>
      <c r="E321" s="8857"/>
      <c r="F321" s="8857"/>
      <c r="G321" s="8857"/>
      <c r="H321" s="8857"/>
      <c r="I321" s="8857"/>
      <c r="J321" s="8857"/>
      <c r="K321" s="8858"/>
      <c r="L321" s="15"/>
      <c r="M321" s="15"/>
      <c r="N321" s="15"/>
      <c r="O321" s="15"/>
      <c r="P321" s="15"/>
      <c r="Q321" s="15"/>
    </row>
    <row r="322" spans="2:17" ht="20.100000000000001" customHeight="1" thickBot="1">
      <c r="B322" s="8674"/>
      <c r="C322" s="8675"/>
      <c r="D322" s="8675"/>
      <c r="E322" s="8675"/>
      <c r="F322" s="8675"/>
      <c r="G322" s="8675"/>
      <c r="H322" s="8675"/>
      <c r="I322" s="8675"/>
      <c r="J322" s="8675"/>
      <c r="K322" s="8676"/>
      <c r="L322" s="15"/>
      <c r="M322" s="15"/>
      <c r="N322" s="15"/>
      <c r="O322" s="15"/>
      <c r="P322" s="15"/>
      <c r="Q322" s="15"/>
    </row>
    <row r="323" spans="2:17" ht="20.100000000000001" customHeight="1" thickBot="1">
      <c r="B323" s="1"/>
      <c r="C323" s="1"/>
      <c r="D323" s="1"/>
      <c r="E323" s="462"/>
      <c r="F323" s="462"/>
      <c r="G323" s="1"/>
      <c r="H323" s="1"/>
      <c r="I323" s="1"/>
      <c r="J323" s="1"/>
      <c r="K323" s="1"/>
      <c r="L323" s="15"/>
      <c r="M323" s="15"/>
      <c r="N323" s="15"/>
      <c r="O323" s="15"/>
      <c r="P323" s="15"/>
      <c r="Q323" s="15"/>
    </row>
    <row r="324" spans="2:17" ht="20.100000000000001" customHeight="1">
      <c r="B324" s="8859" t="s">
        <v>1703</v>
      </c>
      <c r="C324" s="8859"/>
      <c r="D324" s="8859"/>
      <c r="E324" s="8859"/>
      <c r="F324" s="8859"/>
      <c r="G324" s="8859"/>
      <c r="H324" s="8859"/>
      <c r="I324" s="8859"/>
      <c r="J324" s="8859"/>
      <c r="K324" s="8859"/>
      <c r="L324" s="8859"/>
      <c r="M324" s="8859"/>
      <c r="N324" s="8860"/>
      <c r="O324" s="15"/>
      <c r="P324" s="15"/>
      <c r="Q324" s="15"/>
    </row>
    <row r="325" spans="2:17" ht="20.100000000000001" customHeight="1">
      <c r="B325" s="8861"/>
      <c r="C325" s="8861"/>
      <c r="D325" s="8861"/>
      <c r="E325" s="8861"/>
      <c r="F325" s="8861"/>
      <c r="G325" s="8861"/>
      <c r="H325" s="8861"/>
      <c r="I325" s="8861"/>
      <c r="J325" s="8861"/>
      <c r="K325" s="8861"/>
      <c r="L325" s="8861"/>
      <c r="M325" s="8861"/>
      <c r="N325" s="8862"/>
      <c r="O325" s="15"/>
      <c r="P325" s="15"/>
      <c r="Q325" s="15"/>
    </row>
    <row r="326" spans="2:17" ht="20.100000000000001" customHeight="1">
      <c r="B326" s="8861"/>
      <c r="C326" s="8861"/>
      <c r="D326" s="8861"/>
      <c r="E326" s="8861"/>
      <c r="F326" s="8861"/>
      <c r="G326" s="8861"/>
      <c r="H326" s="8861"/>
      <c r="I326" s="8861"/>
      <c r="J326" s="8861"/>
      <c r="K326" s="8861"/>
      <c r="L326" s="8861"/>
      <c r="M326" s="8861"/>
      <c r="N326" s="8862"/>
      <c r="O326" s="15"/>
      <c r="P326" s="15"/>
      <c r="Q326" s="15"/>
    </row>
    <row r="327" spans="2:17" ht="20.100000000000001" customHeight="1">
      <c r="B327" s="829"/>
      <c r="C327" s="8863" t="s">
        <v>1704</v>
      </c>
      <c r="D327" s="8863"/>
      <c r="E327" s="8863"/>
      <c r="F327" s="8863"/>
      <c r="G327" s="8863"/>
      <c r="H327" s="8863"/>
      <c r="I327" s="8863"/>
      <c r="J327" s="8863"/>
      <c r="K327" s="8863"/>
      <c r="L327" s="8863"/>
      <c r="M327" s="8863"/>
      <c r="N327" s="2223"/>
      <c r="O327" s="15"/>
      <c r="P327" s="15"/>
      <c r="Q327" s="15"/>
    </row>
    <row r="328" spans="2:17" ht="20.100000000000001" customHeight="1">
      <c r="B328" s="829"/>
      <c r="C328" s="8864" t="s">
        <v>1705</v>
      </c>
      <c r="D328" s="8864"/>
      <c r="E328" s="8864"/>
      <c r="F328" s="8864"/>
      <c r="G328" s="8864"/>
      <c r="H328" s="8864"/>
      <c r="I328" s="8864"/>
      <c r="J328" s="8864"/>
      <c r="K328" s="8864"/>
      <c r="L328" s="8864"/>
      <c r="M328" s="8864"/>
      <c r="N328" s="2223"/>
      <c r="O328" s="15"/>
      <c r="P328" s="15"/>
      <c r="Q328" s="15"/>
    </row>
    <row r="329" spans="2:17" ht="20.100000000000001" customHeight="1">
      <c r="B329" s="829"/>
      <c r="C329" s="8865" t="s">
        <v>1706</v>
      </c>
      <c r="D329" s="8865"/>
      <c r="E329" s="8865"/>
      <c r="F329" s="8865"/>
      <c r="G329" s="8865"/>
      <c r="H329" s="8865"/>
      <c r="I329" s="8865"/>
      <c r="J329" s="8865"/>
      <c r="K329" s="8865"/>
      <c r="L329" s="8865"/>
      <c r="M329" s="8865"/>
      <c r="N329" s="2223"/>
      <c r="O329" s="15"/>
      <c r="P329" s="15"/>
      <c r="Q329" s="15"/>
    </row>
    <row r="330" spans="2:17" ht="20.100000000000001" customHeight="1" thickBot="1">
      <c r="B330" s="829"/>
      <c r="C330" s="8866"/>
      <c r="D330" s="8866"/>
      <c r="E330" s="8866"/>
      <c r="F330" s="8866"/>
      <c r="G330" s="8866"/>
      <c r="H330" s="8866"/>
      <c r="I330" s="8866"/>
      <c r="J330" s="8866"/>
      <c r="K330" s="8866"/>
      <c r="L330" s="8866"/>
      <c r="M330" s="8866"/>
      <c r="N330" s="2223"/>
      <c r="O330" s="15"/>
      <c r="P330" s="15"/>
      <c r="Q330" s="15"/>
    </row>
    <row r="331" spans="2:17" ht="20.100000000000001" customHeight="1">
      <c r="B331" s="829"/>
      <c r="C331" s="830"/>
      <c r="D331" s="8867" t="s">
        <v>1692</v>
      </c>
      <c r="E331" s="8867"/>
      <c r="F331" s="8867"/>
      <c r="G331" s="8867"/>
      <c r="H331" s="8867"/>
      <c r="I331" s="8867"/>
      <c r="J331" s="8867"/>
      <c r="K331" s="8867"/>
      <c r="L331" s="8867"/>
      <c r="M331" s="8867"/>
      <c r="N331" s="2223"/>
      <c r="O331" s="15"/>
      <c r="P331" s="15"/>
      <c r="Q331" s="15"/>
    </row>
    <row r="332" spans="2:17" ht="20.100000000000001" customHeight="1">
      <c r="B332" s="829"/>
      <c r="C332" s="8852" t="s">
        <v>1707</v>
      </c>
      <c r="D332" s="8853" t="s">
        <v>1708</v>
      </c>
      <c r="E332" s="8853" t="s">
        <v>1709</v>
      </c>
      <c r="F332" s="8847" t="s">
        <v>1710</v>
      </c>
      <c r="G332" s="8847" t="s">
        <v>1711</v>
      </c>
      <c r="H332" s="8845" t="s">
        <v>1712</v>
      </c>
      <c r="I332" s="8845" t="s">
        <v>1713</v>
      </c>
      <c r="J332" s="863"/>
      <c r="K332" s="863"/>
      <c r="L332" s="8846" t="s">
        <v>1714</v>
      </c>
      <c r="M332" s="8847" t="s">
        <v>1715</v>
      </c>
      <c r="N332" s="2223"/>
      <c r="O332" s="15"/>
      <c r="P332" s="15"/>
      <c r="Q332" s="15"/>
    </row>
    <row r="333" spans="2:17" ht="20.100000000000001" customHeight="1">
      <c r="B333" s="829"/>
      <c r="C333" s="8852"/>
      <c r="D333" s="8853"/>
      <c r="E333" s="8853"/>
      <c r="F333" s="8847"/>
      <c r="G333" s="8847"/>
      <c r="H333" s="8845"/>
      <c r="I333" s="8845"/>
      <c r="J333" s="863"/>
      <c r="K333" s="863"/>
      <c r="L333" s="8846"/>
      <c r="M333" s="8847"/>
      <c r="N333" s="2223"/>
      <c r="O333" s="15"/>
      <c r="P333" s="15"/>
      <c r="Q333" s="15"/>
    </row>
    <row r="334" spans="2:17" ht="20.100000000000001" customHeight="1">
      <c r="B334" s="829"/>
      <c r="C334" s="8852"/>
      <c r="D334" s="8853"/>
      <c r="E334" s="8853"/>
      <c r="F334" s="8847"/>
      <c r="G334" s="8847"/>
      <c r="H334" s="8845"/>
      <c r="I334" s="8845"/>
      <c r="J334" s="863"/>
      <c r="K334" s="863"/>
      <c r="L334" s="8846"/>
      <c r="M334" s="8847"/>
      <c r="N334" s="2223"/>
      <c r="O334" s="15"/>
      <c r="P334" s="15"/>
      <c r="Q334" s="15"/>
    </row>
    <row r="335" spans="2:17" ht="20.100000000000001" customHeight="1">
      <c r="B335" s="829"/>
      <c r="C335" s="831" t="s">
        <v>1174</v>
      </c>
      <c r="D335" s="831" t="s">
        <v>1174</v>
      </c>
      <c r="E335" s="831" t="s">
        <v>1174</v>
      </c>
      <c r="F335" s="831" t="s">
        <v>1174</v>
      </c>
      <c r="G335" s="831" t="s">
        <v>1174</v>
      </c>
      <c r="H335" s="831" t="s">
        <v>1174</v>
      </c>
      <c r="I335" s="831" t="s">
        <v>1174</v>
      </c>
      <c r="J335" s="831"/>
      <c r="K335" s="831"/>
      <c r="L335" s="2253"/>
      <c r="M335" s="2259"/>
      <c r="N335" s="2223"/>
      <c r="O335" s="15"/>
      <c r="P335" s="15"/>
      <c r="Q335" s="15"/>
    </row>
    <row r="336" spans="2:17" ht="20.100000000000001" customHeight="1">
      <c r="B336" s="829"/>
      <c r="C336" s="8848">
        <v>1</v>
      </c>
      <c r="D336" s="8849">
        <v>32.5</v>
      </c>
      <c r="E336" s="8849">
        <v>53</v>
      </c>
      <c r="F336" s="8850">
        <v>2.5</v>
      </c>
      <c r="G336" s="8851">
        <v>2.5</v>
      </c>
      <c r="H336" s="8851">
        <v>5</v>
      </c>
      <c r="I336" s="8851">
        <v>5</v>
      </c>
      <c r="J336" s="856"/>
      <c r="K336" s="856"/>
      <c r="L336" s="8854">
        <f>(L343/M348)*M340</f>
        <v>1.7392499999999997</v>
      </c>
      <c r="M336" s="8855">
        <f>(M345/M348)*M340</f>
        <v>1.75</v>
      </c>
      <c r="N336" s="2223"/>
      <c r="O336" s="15"/>
      <c r="P336" s="15"/>
      <c r="Q336" s="15"/>
    </row>
    <row r="337" spans="2:17" ht="20.100000000000001" customHeight="1">
      <c r="B337" s="829"/>
      <c r="C337" s="8848"/>
      <c r="D337" s="8849"/>
      <c r="E337" s="8849"/>
      <c r="F337" s="8850"/>
      <c r="G337" s="8851"/>
      <c r="H337" s="8851"/>
      <c r="I337" s="8851"/>
      <c r="J337" s="856"/>
      <c r="K337" s="856"/>
      <c r="L337" s="8854"/>
      <c r="M337" s="8855"/>
      <c r="N337" s="2223"/>
      <c r="O337" s="15"/>
      <c r="P337" s="15"/>
      <c r="Q337" s="15"/>
    </row>
    <row r="338" spans="2:17" ht="20.100000000000001" customHeight="1">
      <c r="B338" s="829"/>
      <c r="C338" s="857" t="s">
        <v>66</v>
      </c>
      <c r="D338" s="857" t="s">
        <v>81</v>
      </c>
      <c r="E338" s="857" t="s">
        <v>84</v>
      </c>
      <c r="F338" s="857" t="s">
        <v>89</v>
      </c>
      <c r="G338" s="857" t="s">
        <v>85</v>
      </c>
      <c r="H338" s="857" t="s">
        <v>87</v>
      </c>
      <c r="I338" s="857" t="s">
        <v>6</v>
      </c>
      <c r="J338" s="857"/>
      <c r="K338" s="857"/>
      <c r="L338" s="857" t="s">
        <v>90</v>
      </c>
      <c r="M338" s="857" t="s">
        <v>92</v>
      </c>
      <c r="N338" s="2223"/>
      <c r="O338" s="15"/>
      <c r="P338" s="15"/>
      <c r="Q338" s="15"/>
    </row>
    <row r="339" spans="2:17" ht="20.100000000000001" customHeight="1">
      <c r="B339" s="829"/>
      <c r="C339" s="851">
        <f>(D336*E336)*C336</f>
        <v>1722.5</v>
      </c>
      <c r="D339" s="851">
        <f>((D336*F336)*2)*C336+((E336*F336)*2)*C336</f>
        <v>427.5</v>
      </c>
      <c r="E339" s="851">
        <f>((D336*H339)*2)*C336+((E336*H339)*2)*C336</f>
        <v>85.5</v>
      </c>
      <c r="F339" s="851">
        <f>((D336*I339)*2)*C336+((E336*I339)*2)*C336</f>
        <v>85.5</v>
      </c>
      <c r="G339" s="852">
        <f>G336/10</f>
        <v>0.25</v>
      </c>
      <c r="H339" s="852">
        <f>H336/10</f>
        <v>0.5</v>
      </c>
      <c r="I339" s="852">
        <f>I336/10</f>
        <v>0.5</v>
      </c>
      <c r="J339" s="852"/>
      <c r="K339" s="852"/>
      <c r="L339" s="851">
        <f>SUM(C339:F339)</f>
        <v>2321</v>
      </c>
      <c r="M339" s="853">
        <f>(C339*F336)/1000</f>
        <v>4.3062500000000004</v>
      </c>
      <c r="N339" s="2223"/>
      <c r="O339" s="15"/>
      <c r="P339" s="15"/>
      <c r="Q339" s="15"/>
    </row>
    <row r="340" spans="2:17" ht="20.100000000000001" customHeight="1" thickBot="1">
      <c r="B340" s="829"/>
      <c r="C340" s="858"/>
      <c r="D340" s="858"/>
      <c r="E340" s="858"/>
      <c r="F340" s="858"/>
      <c r="G340" s="859"/>
      <c r="H340" s="859"/>
      <c r="I340" s="860" t="s">
        <v>1716</v>
      </c>
      <c r="J340" s="860"/>
      <c r="K340" s="860"/>
      <c r="L340" s="861" t="s">
        <v>94</v>
      </c>
      <c r="M340" s="862">
        <f>L339*G339</f>
        <v>580.25</v>
      </c>
      <c r="N340" s="2223"/>
      <c r="O340" s="15"/>
      <c r="P340" s="15"/>
      <c r="Q340" s="15"/>
    </row>
    <row r="341" spans="2:17" ht="20.100000000000001" customHeight="1">
      <c r="B341" s="829"/>
      <c r="C341" s="830"/>
      <c r="D341" s="8839" t="s">
        <v>1694</v>
      </c>
      <c r="E341" s="8839"/>
      <c r="F341" s="8839"/>
      <c r="G341" s="8839"/>
      <c r="H341" s="8839"/>
      <c r="I341" s="8839"/>
      <c r="J341" s="8839"/>
      <c r="K341" s="8839"/>
      <c r="L341" s="8839"/>
      <c r="M341" s="8839"/>
      <c r="N341" s="2223"/>
      <c r="O341" s="15"/>
      <c r="P341" s="15"/>
      <c r="Q341" s="15"/>
    </row>
    <row r="342" spans="2:17" ht="20.100000000000001" customHeight="1">
      <c r="B342" s="829"/>
      <c r="C342" s="8840" t="s">
        <v>1717</v>
      </c>
      <c r="D342" s="8840"/>
      <c r="E342" s="8840"/>
      <c r="F342" s="8840"/>
      <c r="G342" s="8840"/>
      <c r="H342" s="8840"/>
      <c r="I342" s="8840"/>
      <c r="J342" s="8840"/>
      <c r="K342" s="8840"/>
      <c r="L342" s="8840"/>
      <c r="M342" s="833" t="s">
        <v>1174</v>
      </c>
      <c r="N342" s="2223"/>
      <c r="O342" s="15"/>
      <c r="P342" s="15"/>
      <c r="Q342" s="15"/>
    </row>
    <row r="343" spans="2:17" ht="20.100000000000001" customHeight="1">
      <c r="B343" s="829"/>
      <c r="C343" s="8841">
        <v>4</v>
      </c>
      <c r="D343" s="8842">
        <v>32.5</v>
      </c>
      <c r="E343" s="8842">
        <v>53</v>
      </c>
      <c r="F343" s="8843">
        <v>2.5</v>
      </c>
      <c r="G343" s="8834">
        <v>2.5</v>
      </c>
      <c r="H343" s="8834">
        <v>5</v>
      </c>
      <c r="I343" s="8834">
        <v>5</v>
      </c>
      <c r="J343" s="845"/>
      <c r="K343" s="845"/>
      <c r="L343" s="8835">
        <f>E359</f>
        <v>6.956999999999999</v>
      </c>
      <c r="M343" s="8836">
        <v>7</v>
      </c>
      <c r="N343" s="2223"/>
      <c r="O343" s="15"/>
      <c r="P343" s="15"/>
      <c r="Q343" s="15"/>
    </row>
    <row r="344" spans="2:17" ht="20.100000000000001" customHeight="1">
      <c r="B344" s="829"/>
      <c r="C344" s="8841"/>
      <c r="D344" s="8842"/>
      <c r="E344" s="8842"/>
      <c r="F344" s="8843"/>
      <c r="G344" s="8834"/>
      <c r="H344" s="8834"/>
      <c r="I344" s="8834"/>
      <c r="J344" s="845"/>
      <c r="K344" s="845"/>
      <c r="L344" s="8835"/>
      <c r="M344" s="8836"/>
      <c r="N344" s="2223"/>
      <c r="O344" s="15"/>
      <c r="P344" s="15"/>
      <c r="Q344" s="15"/>
    </row>
    <row r="345" spans="2:17" ht="20.100000000000001" customHeight="1">
      <c r="B345" s="829"/>
      <c r="C345" s="2260">
        <f>ROW()-2</f>
        <v>343</v>
      </c>
      <c r="D345" s="8837" t="s">
        <v>1718</v>
      </c>
      <c r="E345" s="8837"/>
      <c r="F345" s="8837"/>
      <c r="G345" s="8837"/>
      <c r="H345" s="8837"/>
      <c r="I345" s="8837"/>
      <c r="J345" s="847"/>
      <c r="K345" s="847"/>
      <c r="L345" s="2261"/>
      <c r="M345" s="849">
        <f>IF(ISBLANK(M343),L343,M343)</f>
        <v>7</v>
      </c>
      <c r="N345" s="2223"/>
      <c r="O345" s="15"/>
      <c r="P345" s="15"/>
      <c r="Q345" s="15"/>
    </row>
    <row r="346" spans="2:17" ht="20.100000000000001" customHeight="1">
      <c r="B346" s="829"/>
      <c r="C346" s="850" t="s">
        <v>66</v>
      </c>
      <c r="D346" s="850" t="s">
        <v>81</v>
      </c>
      <c r="E346" s="850" t="s">
        <v>84</v>
      </c>
      <c r="F346" s="850" t="s">
        <v>89</v>
      </c>
      <c r="G346" s="850" t="s">
        <v>85</v>
      </c>
      <c r="H346" s="850" t="s">
        <v>87</v>
      </c>
      <c r="I346" s="850" t="s">
        <v>6</v>
      </c>
      <c r="J346" s="850"/>
      <c r="K346" s="850"/>
      <c r="L346" s="850" t="s">
        <v>90</v>
      </c>
      <c r="M346" s="850" t="s">
        <v>92</v>
      </c>
      <c r="N346" s="2223"/>
      <c r="O346" s="15"/>
      <c r="P346" s="15"/>
      <c r="Q346" s="15"/>
    </row>
    <row r="347" spans="2:17" ht="20.100000000000001" customHeight="1">
      <c r="B347" s="829"/>
      <c r="C347" s="851">
        <f>(D343*E343)*C343</f>
        <v>6890</v>
      </c>
      <c r="D347" s="851">
        <f>((D343*F343)*2)*C343+((E343*F343)*2)*C343</f>
        <v>1710</v>
      </c>
      <c r="E347" s="851">
        <f>((D343*H347)*2)*C343+((E343*H347)*2)*C343</f>
        <v>342</v>
      </c>
      <c r="F347" s="851">
        <f>((D343*I347)*2)*C343+((E343*I347)*2)*C343</f>
        <v>342</v>
      </c>
      <c r="G347" s="852">
        <f>G343/10</f>
        <v>0.25</v>
      </c>
      <c r="H347" s="852">
        <f>H343/10</f>
        <v>0.5</v>
      </c>
      <c r="I347" s="852">
        <f>I343/10</f>
        <v>0.5</v>
      </c>
      <c r="J347" s="852"/>
      <c r="K347" s="852"/>
      <c r="L347" s="851">
        <f>SUM(C347:F347)</f>
        <v>9284</v>
      </c>
      <c r="M347" s="853">
        <f>(C347*F343)/1000</f>
        <v>17.225000000000001</v>
      </c>
      <c r="N347" s="2223"/>
      <c r="O347" s="15"/>
      <c r="P347" s="15"/>
      <c r="Q347" s="15"/>
    </row>
    <row r="348" spans="2:17" ht="20.100000000000001" customHeight="1" thickBot="1">
      <c r="B348" s="829"/>
      <c r="C348" s="2261"/>
      <c r="D348" s="2261"/>
      <c r="E348" s="2261"/>
      <c r="F348" s="2261"/>
      <c r="G348" s="2261"/>
      <c r="H348" s="2261"/>
      <c r="I348" s="854" t="s">
        <v>1719</v>
      </c>
      <c r="J348" s="854"/>
      <c r="K348" s="854"/>
      <c r="L348" s="850" t="s">
        <v>94</v>
      </c>
      <c r="M348" s="855">
        <f>L347*G347</f>
        <v>2321</v>
      </c>
      <c r="N348" s="2223"/>
      <c r="O348" s="15"/>
      <c r="P348" s="15"/>
      <c r="Q348" s="15"/>
    </row>
    <row r="349" spans="2:17" ht="20.100000000000001" customHeight="1">
      <c r="B349" s="829"/>
      <c r="C349" s="834"/>
      <c r="D349" s="834"/>
      <c r="E349" s="834"/>
      <c r="F349" s="834"/>
      <c r="G349" s="834"/>
      <c r="H349" s="834"/>
      <c r="I349" s="835"/>
      <c r="J349" s="835"/>
      <c r="K349" s="835"/>
      <c r="L349" s="836"/>
      <c r="M349" s="837"/>
      <c r="N349" s="2223"/>
      <c r="O349" s="15"/>
      <c r="P349" s="15"/>
      <c r="Q349" s="15"/>
    </row>
    <row r="350" spans="2:17" ht="20.100000000000001" customHeight="1">
      <c r="B350" s="829"/>
      <c r="C350" s="839" t="s">
        <v>66</v>
      </c>
      <c r="D350" s="840" t="s">
        <v>1720</v>
      </c>
      <c r="E350" s="840"/>
      <c r="F350" s="839" t="s">
        <v>87</v>
      </c>
      <c r="G350" s="2262" t="s">
        <v>1721</v>
      </c>
      <c r="H350" s="784"/>
      <c r="I350" s="839" t="s">
        <v>92</v>
      </c>
      <c r="J350" s="8838" t="s">
        <v>1722</v>
      </c>
      <c r="K350" s="8838"/>
      <c r="L350" s="8838"/>
      <c r="M350" s="8838"/>
      <c r="N350" s="2223"/>
      <c r="O350" s="15"/>
      <c r="P350" s="15"/>
      <c r="Q350" s="15"/>
    </row>
    <row r="351" spans="2:17" ht="20.100000000000001" customHeight="1">
      <c r="B351" s="829"/>
      <c r="C351" s="839" t="s">
        <v>81</v>
      </c>
      <c r="D351" s="840" t="s">
        <v>1723</v>
      </c>
      <c r="E351" s="840"/>
      <c r="F351" s="839" t="s">
        <v>6</v>
      </c>
      <c r="G351" s="840" t="s">
        <v>1724</v>
      </c>
      <c r="H351" s="784"/>
      <c r="I351" s="842"/>
      <c r="J351" s="8838"/>
      <c r="K351" s="8838"/>
      <c r="L351" s="8838"/>
      <c r="M351" s="8838"/>
      <c r="N351" s="2223"/>
      <c r="O351" s="15"/>
      <c r="P351" s="15"/>
      <c r="Q351" s="15"/>
    </row>
    <row r="352" spans="2:17" ht="20.100000000000001" customHeight="1">
      <c r="B352" s="829"/>
      <c r="C352" s="839" t="s">
        <v>84</v>
      </c>
      <c r="D352" s="840" t="s">
        <v>1725</v>
      </c>
      <c r="E352" s="840"/>
      <c r="F352" s="839" t="s">
        <v>89</v>
      </c>
      <c r="G352" s="840" t="s">
        <v>1726</v>
      </c>
      <c r="H352" s="784"/>
      <c r="I352" s="839" t="s">
        <v>94</v>
      </c>
      <c r="J352" s="840" t="s">
        <v>1727</v>
      </c>
      <c r="K352" s="843"/>
      <c r="L352" s="840"/>
      <c r="M352" s="843"/>
      <c r="N352" s="2223"/>
      <c r="O352" s="15"/>
      <c r="P352" s="15"/>
      <c r="Q352" s="15"/>
    </row>
    <row r="353" spans="2:17" ht="20.100000000000001" customHeight="1">
      <c r="B353" s="829"/>
      <c r="C353" s="839" t="s">
        <v>85</v>
      </c>
      <c r="D353" s="840" t="s">
        <v>1728</v>
      </c>
      <c r="E353" s="2262"/>
      <c r="F353" s="839" t="s">
        <v>90</v>
      </c>
      <c r="G353" s="840" t="s">
        <v>1729</v>
      </c>
      <c r="H353" s="784"/>
      <c r="I353" s="784"/>
      <c r="J353" s="784"/>
      <c r="K353" s="784"/>
      <c r="L353" s="844"/>
      <c r="M353" s="843"/>
      <c r="N353" s="2223"/>
      <c r="O353" s="15"/>
      <c r="P353" s="15"/>
      <c r="Q353" s="15"/>
    </row>
    <row r="354" spans="2:17" ht="20.100000000000001" customHeight="1" thickBot="1">
      <c r="B354" s="829"/>
      <c r="C354" s="839"/>
      <c r="D354" s="840"/>
      <c r="E354" s="2262"/>
      <c r="F354" s="839"/>
      <c r="G354" s="840"/>
      <c r="H354" s="784"/>
      <c r="I354" s="784"/>
      <c r="J354" s="784"/>
      <c r="K354" s="784"/>
      <c r="L354" s="844"/>
      <c r="M354" s="843"/>
      <c r="N354" s="2223"/>
      <c r="O354" s="15"/>
      <c r="P354" s="15"/>
      <c r="Q354" s="15"/>
    </row>
    <row r="355" spans="2:17" ht="20.100000000000001" customHeight="1">
      <c r="B355" s="829"/>
      <c r="C355" s="830"/>
      <c r="D355" s="8844" t="s">
        <v>1730</v>
      </c>
      <c r="E355" s="8844"/>
      <c r="F355" s="8844"/>
      <c r="G355" s="8844"/>
      <c r="H355" s="8844"/>
      <c r="I355" s="8844"/>
      <c r="J355" s="8844"/>
      <c r="K355" s="8844"/>
      <c r="L355" s="8844"/>
      <c r="M355" s="8844"/>
      <c r="N355" s="2223"/>
      <c r="O355" s="15"/>
      <c r="P355" s="15"/>
      <c r="Q355" s="15"/>
    </row>
    <row r="356" spans="2:17" ht="20.100000000000001" customHeight="1">
      <c r="B356" s="829"/>
      <c r="C356" s="8824" t="s">
        <v>1731</v>
      </c>
      <c r="D356" s="8824"/>
      <c r="E356" s="8824"/>
      <c r="F356" s="8824"/>
      <c r="G356" s="8824"/>
      <c r="H356" s="8824"/>
      <c r="I356" s="8824"/>
      <c r="J356" s="8824"/>
      <c r="K356" s="8824"/>
      <c r="L356" s="8824"/>
      <c r="M356" s="8824"/>
      <c r="N356" s="2223"/>
      <c r="O356" s="15"/>
      <c r="P356" s="15"/>
      <c r="Q356" s="15"/>
    </row>
    <row r="357" spans="2:17" ht="20.100000000000001" customHeight="1">
      <c r="B357" s="829"/>
      <c r="C357" s="8824"/>
      <c r="D357" s="8824"/>
      <c r="E357" s="8824"/>
      <c r="F357" s="8824"/>
      <c r="G357" s="8824"/>
      <c r="H357" s="8824"/>
      <c r="I357" s="8824"/>
      <c r="J357" s="8824"/>
      <c r="K357" s="8824"/>
      <c r="L357" s="8824"/>
      <c r="M357" s="8824"/>
      <c r="N357" s="2223"/>
      <c r="O357" s="15"/>
      <c r="P357" s="15"/>
      <c r="Q357" s="15"/>
    </row>
    <row r="358" spans="2:17" ht="20.100000000000001" customHeight="1">
      <c r="B358" s="829"/>
      <c r="C358" s="8825"/>
      <c r="D358" s="8825"/>
      <c r="E358" s="8825"/>
      <c r="F358" s="8825"/>
      <c r="G358" s="8825"/>
      <c r="H358" s="8825"/>
      <c r="I358" s="8825"/>
      <c r="J358" s="8825"/>
      <c r="K358" s="8825"/>
      <c r="L358" s="8825"/>
      <c r="M358" s="8825"/>
      <c r="N358" s="2223"/>
      <c r="O358" s="15"/>
      <c r="P358" s="15"/>
      <c r="Q358" s="15"/>
    </row>
    <row r="359" spans="2:17" ht="20.100000000000001" customHeight="1">
      <c r="B359" s="829"/>
      <c r="C359" s="864"/>
      <c r="D359" s="865" t="s">
        <v>1732</v>
      </c>
      <c r="E359" s="866">
        <f>SUM(E360:E362,I360:I362)</f>
        <v>6.956999999999999</v>
      </c>
      <c r="F359" s="864"/>
      <c r="G359" s="864"/>
      <c r="H359" s="864"/>
      <c r="I359" s="864"/>
      <c r="J359" s="864"/>
      <c r="K359" s="864"/>
      <c r="L359" s="864"/>
      <c r="M359" s="864"/>
      <c r="N359" s="2223"/>
      <c r="O359" s="15"/>
      <c r="P359" s="15"/>
      <c r="Q359" s="15"/>
    </row>
    <row r="360" spans="2:17" ht="20.100000000000001" customHeight="1">
      <c r="B360" s="829"/>
      <c r="C360" s="401"/>
      <c r="D360" s="867" t="s">
        <v>1699</v>
      </c>
      <c r="E360" s="868">
        <v>3.5</v>
      </c>
      <c r="F360" s="869"/>
      <c r="G360" s="401"/>
      <c r="H360" s="867" t="s">
        <v>1733</v>
      </c>
      <c r="I360" s="868">
        <v>0.55000000000000004</v>
      </c>
      <c r="J360" s="868"/>
      <c r="K360" s="868"/>
      <c r="L360" s="869"/>
      <c r="M360" s="864"/>
      <c r="N360" s="2223"/>
      <c r="O360" s="15"/>
      <c r="P360" s="15"/>
      <c r="Q360" s="15"/>
    </row>
    <row r="361" spans="2:17" ht="20.100000000000001" customHeight="1">
      <c r="B361" s="829"/>
      <c r="C361" s="401"/>
      <c r="D361" s="867" t="s">
        <v>1701</v>
      </c>
      <c r="E361" s="868">
        <v>1.6</v>
      </c>
      <c r="F361" s="869"/>
      <c r="G361" s="401"/>
      <c r="H361" s="867" t="s">
        <v>1734</v>
      </c>
      <c r="I361" s="868">
        <v>4.4999999999999998E-2</v>
      </c>
      <c r="J361" s="868"/>
      <c r="K361" s="868"/>
      <c r="L361" s="869"/>
      <c r="M361" s="864"/>
      <c r="N361" s="2223"/>
      <c r="O361" s="15"/>
      <c r="P361" s="15"/>
      <c r="Q361" s="15"/>
    </row>
    <row r="362" spans="2:17" ht="20.100000000000001" customHeight="1">
      <c r="B362" s="829"/>
      <c r="C362" s="401"/>
      <c r="D362" s="867" t="s">
        <v>1735</v>
      </c>
      <c r="E362" s="868">
        <v>1.25</v>
      </c>
      <c r="F362" s="869"/>
      <c r="G362" s="401"/>
      <c r="H362" s="870" t="s">
        <v>1736</v>
      </c>
      <c r="I362" s="868">
        <v>1.2E-2</v>
      </c>
      <c r="J362" s="868"/>
      <c r="K362" s="868"/>
      <c r="L362" s="869"/>
      <c r="M362" s="864"/>
      <c r="N362" s="2223"/>
      <c r="O362" s="15"/>
      <c r="P362" s="15"/>
      <c r="Q362" s="15"/>
    </row>
    <row r="363" spans="2:17" ht="20.100000000000001" customHeight="1">
      <c r="B363" s="829"/>
      <c r="C363" s="871" t="s">
        <v>1737</v>
      </c>
      <c r="D363" s="864"/>
      <c r="E363" s="864"/>
      <c r="F363" s="864"/>
      <c r="G363" s="864"/>
      <c r="H363" s="864"/>
      <c r="I363" s="864"/>
      <c r="J363" s="864"/>
      <c r="K363" s="864"/>
      <c r="L363" s="864"/>
      <c r="M363" s="864"/>
      <c r="N363" s="2223"/>
      <c r="O363" s="15"/>
      <c r="P363" s="15"/>
      <c r="Q363" s="15"/>
    </row>
    <row r="364" spans="2:17" ht="20.100000000000001" customHeight="1">
      <c r="B364" s="829"/>
      <c r="C364" s="8826" t="s">
        <v>1743</v>
      </c>
      <c r="D364" s="8826"/>
      <c r="E364" s="8826"/>
      <c r="F364" s="8826"/>
      <c r="G364" s="8826"/>
      <c r="H364" s="8826"/>
      <c r="I364" s="8826"/>
      <c r="J364" s="8826"/>
      <c r="K364" s="8826"/>
      <c r="L364" s="8826"/>
      <c r="M364" s="8826"/>
      <c r="N364" s="2223"/>
      <c r="O364" s="15"/>
      <c r="P364" s="15"/>
      <c r="Q364" s="15"/>
    </row>
    <row r="365" spans="2:17" ht="20.100000000000001" customHeight="1">
      <c r="B365" s="829"/>
      <c r="C365" s="8826"/>
      <c r="D365" s="8826"/>
      <c r="E365" s="8826"/>
      <c r="F365" s="8826"/>
      <c r="G365" s="8826"/>
      <c r="H365" s="8826"/>
      <c r="I365" s="8826"/>
      <c r="J365" s="8826"/>
      <c r="K365" s="8826"/>
      <c r="L365" s="8826"/>
      <c r="M365" s="8826"/>
      <c r="N365" s="2223"/>
      <c r="O365" s="15"/>
      <c r="P365" s="15"/>
      <c r="Q365" s="15"/>
    </row>
    <row r="366" spans="2:17" ht="20.100000000000001" customHeight="1">
      <c r="B366" s="829"/>
      <c r="C366" s="871" t="s">
        <v>1744</v>
      </c>
      <c r="D366" s="864"/>
      <c r="E366" s="864"/>
      <c r="F366" s="864"/>
      <c r="G366" s="864"/>
      <c r="H366" s="864"/>
      <c r="I366" s="864"/>
      <c r="J366" s="864"/>
      <c r="K366" s="864"/>
      <c r="L366" s="864"/>
      <c r="M366" s="864"/>
      <c r="N366" s="2223"/>
      <c r="O366" s="15"/>
      <c r="P366" s="15"/>
      <c r="Q366" s="15"/>
    </row>
    <row r="367" spans="2:17" ht="20.100000000000001" customHeight="1">
      <c r="B367" s="829"/>
      <c r="C367" s="872" t="s">
        <v>1738</v>
      </c>
      <c r="D367" s="864"/>
      <c r="E367" s="864"/>
      <c r="F367" s="864"/>
      <c r="G367" s="864"/>
      <c r="H367" s="864"/>
      <c r="I367" s="864"/>
      <c r="J367" s="864"/>
      <c r="K367" s="864"/>
      <c r="L367" s="864"/>
      <c r="M367" s="864"/>
      <c r="N367" s="2223"/>
      <c r="O367" s="15"/>
      <c r="P367" s="15"/>
      <c r="Q367" s="15"/>
    </row>
    <row r="368" spans="2:17" ht="20.100000000000001" customHeight="1">
      <c r="B368" s="829"/>
      <c r="C368" s="873" t="s">
        <v>1739</v>
      </c>
      <c r="D368" s="864"/>
      <c r="E368" s="864"/>
      <c r="F368" s="873" t="s">
        <v>1740</v>
      </c>
      <c r="G368" s="864"/>
      <c r="H368" s="873" t="s">
        <v>1741</v>
      </c>
      <c r="I368" s="864"/>
      <c r="J368" s="864"/>
      <c r="K368" s="864"/>
      <c r="L368" s="864"/>
      <c r="M368" s="864"/>
      <c r="N368" s="2223"/>
      <c r="O368" s="15"/>
      <c r="P368" s="15"/>
      <c r="Q368" s="15"/>
    </row>
    <row r="369" spans="2:17" ht="20.100000000000001" customHeight="1">
      <c r="B369" s="829"/>
      <c r="C369" s="873" t="s">
        <v>5</v>
      </c>
      <c r="D369" s="874" t="s">
        <v>1742</v>
      </c>
      <c r="E369" s="864"/>
      <c r="F369" s="864"/>
      <c r="G369" s="864"/>
      <c r="H369" s="864"/>
      <c r="I369" s="864"/>
      <c r="J369" s="864"/>
      <c r="K369" s="864"/>
      <c r="L369" s="864"/>
      <c r="M369" s="864"/>
      <c r="N369" s="2223"/>
      <c r="O369" s="15"/>
      <c r="P369" s="15"/>
      <c r="Q369" s="15"/>
    </row>
    <row r="370" spans="2:17" ht="20.100000000000001" customHeight="1">
      <c r="B370" s="829"/>
      <c r="C370" s="864"/>
      <c r="D370" s="864"/>
      <c r="E370" s="864"/>
      <c r="F370" s="864"/>
      <c r="G370" s="864"/>
      <c r="H370" s="864"/>
      <c r="I370" s="864"/>
      <c r="J370" s="864"/>
      <c r="K370" s="864"/>
      <c r="L370" s="864"/>
      <c r="M370" s="864"/>
      <c r="N370" s="2223"/>
      <c r="O370" s="15"/>
      <c r="P370" s="15"/>
      <c r="Q370" s="15"/>
    </row>
    <row r="371" spans="2:17" ht="20.100000000000001" customHeight="1">
      <c r="B371" s="829"/>
      <c r="C371" s="8827" t="s">
        <v>8</v>
      </c>
      <c r="D371" s="8827"/>
      <c r="E371" s="8827"/>
      <c r="F371" s="8827"/>
      <c r="G371" s="8827"/>
      <c r="H371" s="8827"/>
      <c r="I371" s="8827"/>
      <c r="J371" s="8827"/>
      <c r="K371" s="8827"/>
      <c r="L371" s="8827"/>
      <c r="M371" s="8827"/>
      <c r="N371" s="2223"/>
      <c r="O371" s="15"/>
      <c r="P371" s="15"/>
      <c r="Q371" s="15"/>
    </row>
    <row r="372" spans="2:17" ht="20.100000000000001" customHeight="1" thickBot="1">
      <c r="B372" s="2263"/>
      <c r="C372" s="8675"/>
      <c r="D372" s="8675"/>
      <c r="E372" s="8675"/>
      <c r="F372" s="8675"/>
      <c r="G372" s="8675"/>
      <c r="H372" s="8675"/>
      <c r="I372" s="8675"/>
      <c r="J372" s="8675"/>
      <c r="K372" s="8675"/>
      <c r="L372" s="8675"/>
      <c r="M372" s="8675"/>
      <c r="N372" s="454"/>
      <c r="O372" s="15"/>
      <c r="P372" s="15"/>
      <c r="Q372" s="15"/>
    </row>
    <row r="373" spans="2:17" ht="20.100000000000001" customHeight="1" thickBot="1">
      <c r="B373" s="1"/>
      <c r="C373" s="1"/>
      <c r="D373" s="1"/>
      <c r="E373" s="462"/>
      <c r="F373" s="462"/>
      <c r="G373" s="1"/>
      <c r="H373" s="1"/>
      <c r="I373" s="1"/>
      <c r="J373" s="1"/>
      <c r="K373" s="1"/>
      <c r="L373" s="15"/>
      <c r="M373" s="15"/>
      <c r="N373" s="15"/>
      <c r="O373" s="15"/>
      <c r="P373" s="15"/>
      <c r="Q373" s="15"/>
    </row>
    <row r="374" spans="2:17" ht="20.100000000000001" customHeight="1">
      <c r="B374" s="8828" t="s">
        <v>1665</v>
      </c>
      <c r="C374" s="8829"/>
      <c r="D374" s="8829"/>
      <c r="E374" s="8829"/>
      <c r="F374" s="8829"/>
      <c r="G374" s="8829"/>
      <c r="H374" s="8829"/>
      <c r="I374" s="8829"/>
      <c r="J374" s="8830"/>
      <c r="K374" s="1"/>
      <c r="L374" s="15"/>
      <c r="M374" s="15"/>
      <c r="N374" s="15"/>
      <c r="O374" s="15"/>
      <c r="P374" s="15"/>
      <c r="Q374" s="15"/>
    </row>
    <row r="375" spans="2:17" ht="20.100000000000001" customHeight="1">
      <c r="B375" s="8831" t="s">
        <v>1690</v>
      </c>
      <c r="C375" s="8832"/>
      <c r="D375" s="8832"/>
      <c r="E375" s="8832"/>
      <c r="F375" s="8832"/>
      <c r="G375" s="8832"/>
      <c r="H375" s="8832"/>
      <c r="I375" s="8832"/>
      <c r="J375" s="8833"/>
      <c r="K375" s="1"/>
      <c r="L375" s="15"/>
      <c r="M375" s="15"/>
      <c r="N375" s="15"/>
      <c r="O375" s="15"/>
      <c r="P375" s="15"/>
      <c r="Q375" s="15"/>
    </row>
    <row r="376" spans="2:17" ht="20.100000000000001" customHeight="1">
      <c r="B376" s="8809" t="s">
        <v>1666</v>
      </c>
      <c r="C376" s="8810"/>
      <c r="D376" s="8810"/>
      <c r="E376" s="8810"/>
      <c r="F376" s="8810"/>
      <c r="G376" s="8810"/>
      <c r="H376" s="8810"/>
      <c r="I376" s="8810"/>
      <c r="J376" s="8811"/>
      <c r="K376" s="1"/>
      <c r="L376" s="15"/>
      <c r="M376" s="15"/>
      <c r="N376" s="15"/>
      <c r="O376" s="15"/>
      <c r="P376" s="15"/>
      <c r="Q376" s="15"/>
    </row>
    <row r="377" spans="2:17" ht="20.100000000000001" customHeight="1">
      <c r="B377" s="8809"/>
      <c r="C377" s="8810"/>
      <c r="D377" s="8810"/>
      <c r="E377" s="8810"/>
      <c r="F377" s="8810"/>
      <c r="G377" s="8810"/>
      <c r="H377" s="8810"/>
      <c r="I377" s="8810"/>
      <c r="J377" s="8811"/>
      <c r="K377" s="1"/>
      <c r="L377" s="15"/>
      <c r="M377" s="15"/>
      <c r="N377" s="15"/>
      <c r="O377" s="15"/>
      <c r="P377" s="15"/>
      <c r="Q377" s="15"/>
    </row>
    <row r="378" spans="2:17" ht="20.100000000000001" customHeight="1">
      <c r="B378" s="877" t="s">
        <v>1667</v>
      </c>
      <c r="C378" s="878"/>
      <c r="D378" s="878"/>
      <c r="E378" s="878"/>
      <c r="F378" s="878"/>
      <c r="G378" s="878"/>
      <c r="H378" s="878"/>
      <c r="I378" s="878"/>
      <c r="J378" s="2264"/>
      <c r="K378" s="1"/>
      <c r="L378" s="15"/>
      <c r="M378" s="15"/>
      <c r="N378" s="15"/>
      <c r="O378" s="15"/>
      <c r="P378" s="15"/>
      <c r="Q378" s="15"/>
    </row>
    <row r="379" spans="2:17" ht="20.100000000000001" customHeight="1">
      <c r="B379" s="877" t="s">
        <v>1668</v>
      </c>
      <c r="C379" s="878"/>
      <c r="D379" s="878"/>
      <c r="E379" s="878"/>
      <c r="F379" s="878"/>
      <c r="G379" s="880" t="s">
        <v>1669</v>
      </c>
      <c r="H379" s="878"/>
      <c r="I379" s="878"/>
      <c r="J379" s="2264"/>
      <c r="K379" s="1"/>
      <c r="L379" s="15"/>
      <c r="M379" s="15"/>
      <c r="N379" s="15"/>
      <c r="O379" s="15"/>
      <c r="P379" s="15"/>
      <c r="Q379" s="15"/>
    </row>
    <row r="380" spans="2:17" ht="20.100000000000001" customHeight="1">
      <c r="B380" s="8812" t="s">
        <v>1670</v>
      </c>
      <c r="C380" s="8813"/>
      <c r="D380" s="8813"/>
      <c r="E380" s="8813"/>
      <c r="F380" s="8813"/>
      <c r="G380" s="8813"/>
      <c r="H380" s="8813"/>
      <c r="I380" s="8813"/>
      <c r="J380" s="8814"/>
      <c r="K380" s="1"/>
      <c r="L380" s="15"/>
      <c r="M380" s="15"/>
      <c r="N380" s="15"/>
      <c r="O380" s="15"/>
      <c r="P380" s="15"/>
      <c r="Q380" s="15"/>
    </row>
    <row r="381" spans="2:17" ht="20.100000000000001" customHeight="1">
      <c r="B381" s="8812"/>
      <c r="C381" s="8813"/>
      <c r="D381" s="8813"/>
      <c r="E381" s="8813"/>
      <c r="F381" s="8813"/>
      <c r="G381" s="8813"/>
      <c r="H381" s="8813"/>
      <c r="I381" s="8813"/>
      <c r="J381" s="8814"/>
      <c r="K381" s="1"/>
      <c r="L381" s="15"/>
      <c r="M381" s="15"/>
      <c r="N381" s="15"/>
      <c r="O381" s="15"/>
      <c r="P381" s="15"/>
      <c r="Q381" s="15"/>
    </row>
    <row r="382" spans="2:17" ht="20.100000000000001" customHeight="1">
      <c r="B382" s="8815" t="s">
        <v>1671</v>
      </c>
      <c r="C382" s="8816"/>
      <c r="D382" s="8816"/>
      <c r="E382" s="8816"/>
      <c r="F382" s="8816"/>
      <c r="G382" s="8816"/>
      <c r="H382" s="8816"/>
      <c r="I382" s="8816"/>
      <c r="J382" s="8817"/>
      <c r="K382" s="1"/>
      <c r="L382" s="15"/>
      <c r="M382" s="15"/>
      <c r="N382" s="15"/>
      <c r="O382" s="15"/>
      <c r="P382" s="15"/>
      <c r="Q382" s="15"/>
    </row>
    <row r="383" spans="2:17" ht="20.100000000000001" customHeight="1">
      <c r="B383" s="8815"/>
      <c r="C383" s="8816"/>
      <c r="D383" s="8816"/>
      <c r="E383" s="8816"/>
      <c r="F383" s="8816"/>
      <c r="G383" s="8816"/>
      <c r="H383" s="8816"/>
      <c r="I383" s="8816"/>
      <c r="J383" s="8817"/>
      <c r="K383" s="1"/>
      <c r="L383" s="15"/>
      <c r="M383" s="15"/>
      <c r="N383" s="15"/>
      <c r="O383" s="15"/>
      <c r="P383" s="15"/>
      <c r="Q383" s="15"/>
    </row>
    <row r="384" spans="2:17" ht="20.100000000000001" customHeight="1">
      <c r="B384" s="8818" t="s">
        <v>1672</v>
      </c>
      <c r="C384" s="8819"/>
      <c r="D384" s="8820">
        <v>9.86</v>
      </c>
      <c r="E384" s="8821" t="s">
        <v>1673</v>
      </c>
      <c r="F384" s="8820">
        <v>5.694</v>
      </c>
      <c r="G384" s="8822" t="s">
        <v>1674</v>
      </c>
      <c r="H384" s="8823">
        <f>D384*F384</f>
        <v>56.14284</v>
      </c>
      <c r="I384" s="8823" t="s">
        <v>1675</v>
      </c>
      <c r="J384" s="8802">
        <f>H384</f>
        <v>56.14284</v>
      </c>
      <c r="K384" s="1"/>
      <c r="L384" s="15"/>
      <c r="M384" s="15"/>
      <c r="N384" s="15"/>
      <c r="O384" s="15"/>
      <c r="P384" s="15"/>
      <c r="Q384" s="15"/>
    </row>
    <row r="385" spans="2:17" ht="20.100000000000001" customHeight="1">
      <c r="B385" s="8818"/>
      <c r="C385" s="8819"/>
      <c r="D385" s="8820"/>
      <c r="E385" s="8821"/>
      <c r="F385" s="8820"/>
      <c r="G385" s="8822"/>
      <c r="H385" s="8823"/>
      <c r="I385" s="8823"/>
      <c r="J385" s="8802"/>
      <c r="K385" s="1"/>
      <c r="L385" s="15"/>
      <c r="M385" s="15"/>
      <c r="N385" s="15"/>
      <c r="O385" s="15"/>
      <c r="P385" s="15"/>
      <c r="Q385" s="15"/>
    </row>
    <row r="386" spans="2:17" ht="20.100000000000001" customHeight="1">
      <c r="B386" s="875"/>
      <c r="C386" s="881" t="s">
        <v>1676</v>
      </c>
      <c r="D386" s="784"/>
      <c r="E386" s="784"/>
      <c r="F386" s="784"/>
      <c r="G386" s="784"/>
      <c r="H386" s="784"/>
      <c r="I386" s="784"/>
      <c r="J386" s="2265"/>
      <c r="K386" s="1"/>
      <c r="L386" s="15"/>
      <c r="M386" s="15"/>
      <c r="N386" s="15"/>
      <c r="O386" s="15"/>
      <c r="P386" s="15"/>
      <c r="Q386" s="15"/>
    </row>
    <row r="387" spans="2:17" ht="20.100000000000001" customHeight="1">
      <c r="B387" s="875"/>
      <c r="C387" s="881" t="s">
        <v>1677</v>
      </c>
      <c r="D387" s="784"/>
      <c r="E387" s="784"/>
      <c r="F387" s="784"/>
      <c r="G387" s="784"/>
      <c r="H387" s="784"/>
      <c r="I387" s="784"/>
      <c r="J387" s="2265"/>
      <c r="K387" s="1"/>
      <c r="L387" s="15"/>
      <c r="M387" s="15"/>
      <c r="N387" s="15"/>
      <c r="O387" s="15"/>
      <c r="P387" s="15"/>
      <c r="Q387" s="15"/>
    </row>
    <row r="388" spans="2:17" ht="20.100000000000001" customHeight="1">
      <c r="B388" s="875"/>
      <c r="C388" s="881" t="s">
        <v>1678</v>
      </c>
      <c r="D388" s="784"/>
      <c r="E388" s="784"/>
      <c r="F388" s="784"/>
      <c r="G388" s="784"/>
      <c r="H388" s="784"/>
      <c r="I388" s="784"/>
      <c r="J388" s="2265"/>
      <c r="K388" s="1"/>
      <c r="L388" s="15"/>
      <c r="M388" s="15"/>
      <c r="N388" s="15"/>
      <c r="O388" s="15"/>
      <c r="P388" s="15"/>
      <c r="Q388" s="15"/>
    </row>
    <row r="389" spans="2:17" ht="20.100000000000001" customHeight="1">
      <c r="B389" s="875"/>
      <c r="C389" s="881" t="s">
        <v>1679</v>
      </c>
      <c r="D389" s="784"/>
      <c r="E389" s="784"/>
      <c r="F389" s="784"/>
      <c r="G389" s="784"/>
      <c r="H389" s="784"/>
      <c r="I389" s="784"/>
      <c r="J389" s="2265"/>
      <c r="K389" s="1"/>
      <c r="L389" s="15"/>
      <c r="M389" s="15"/>
      <c r="N389" s="15"/>
      <c r="O389" s="15"/>
      <c r="P389" s="15"/>
      <c r="Q389" s="15"/>
    </row>
    <row r="390" spans="2:17" ht="20.100000000000001" customHeight="1">
      <c r="B390" s="8803" t="s">
        <v>1680</v>
      </c>
      <c r="C390" s="8804"/>
      <c r="D390" s="8804"/>
      <c r="E390" s="8804"/>
      <c r="F390" s="8804"/>
      <c r="G390" s="8804"/>
      <c r="H390" s="8804"/>
      <c r="I390" s="8804"/>
      <c r="J390" s="8805"/>
      <c r="K390" s="1"/>
      <c r="L390" s="15"/>
      <c r="M390" s="15"/>
      <c r="N390" s="15"/>
      <c r="O390" s="15"/>
      <c r="P390" s="15"/>
      <c r="Q390" s="15"/>
    </row>
    <row r="391" spans="2:17" ht="20.100000000000001" customHeight="1">
      <c r="B391" s="8803"/>
      <c r="C391" s="8804"/>
      <c r="D391" s="8804"/>
      <c r="E391" s="8804"/>
      <c r="F391" s="8804"/>
      <c r="G391" s="8804"/>
      <c r="H391" s="8804"/>
      <c r="I391" s="8804"/>
      <c r="J391" s="8805"/>
      <c r="K391" s="1"/>
      <c r="L391" s="15"/>
      <c r="M391" s="15"/>
      <c r="N391" s="15"/>
      <c r="O391" s="15"/>
      <c r="P391" s="15"/>
      <c r="Q391" s="15"/>
    </row>
    <row r="392" spans="2:17" ht="20.100000000000001" customHeight="1">
      <c r="B392" s="8803"/>
      <c r="C392" s="8804"/>
      <c r="D392" s="8804"/>
      <c r="E392" s="8804"/>
      <c r="F392" s="8804"/>
      <c r="G392" s="8804"/>
      <c r="H392" s="8804"/>
      <c r="I392" s="8804"/>
      <c r="J392" s="8805"/>
      <c r="K392" s="1"/>
      <c r="L392" s="15"/>
      <c r="M392" s="15"/>
      <c r="N392" s="15"/>
      <c r="O392" s="15"/>
      <c r="P392" s="15"/>
      <c r="Q392" s="15"/>
    </row>
    <row r="393" spans="2:17" ht="20.100000000000001" customHeight="1">
      <c r="B393" s="8803" t="s">
        <v>1681</v>
      </c>
      <c r="C393" s="8804"/>
      <c r="D393" s="8804"/>
      <c r="E393" s="8804"/>
      <c r="F393" s="8804"/>
      <c r="G393" s="8804"/>
      <c r="H393" s="8804"/>
      <c r="I393" s="8804"/>
      <c r="J393" s="8805"/>
      <c r="K393" s="1"/>
      <c r="L393" s="15"/>
      <c r="M393" s="15"/>
      <c r="N393" s="15"/>
      <c r="O393" s="15"/>
      <c r="P393" s="15"/>
      <c r="Q393" s="15"/>
    </row>
    <row r="394" spans="2:17" ht="20.100000000000001" customHeight="1">
      <c r="B394" s="8803"/>
      <c r="C394" s="8804"/>
      <c r="D394" s="8804"/>
      <c r="E394" s="8804"/>
      <c r="F394" s="8804"/>
      <c r="G394" s="8804"/>
      <c r="H394" s="8804"/>
      <c r="I394" s="8804"/>
      <c r="J394" s="8805"/>
      <c r="K394" s="1"/>
      <c r="L394" s="15"/>
      <c r="M394" s="15"/>
      <c r="N394" s="15"/>
      <c r="O394" s="15"/>
      <c r="P394" s="15"/>
      <c r="Q394" s="15"/>
    </row>
    <row r="395" spans="2:17" ht="20.100000000000001" customHeight="1">
      <c r="B395" s="875"/>
      <c r="C395" s="881" t="s">
        <v>1682</v>
      </c>
      <c r="D395" s="784"/>
      <c r="E395" s="784"/>
      <c r="F395" s="784"/>
      <c r="G395" s="784"/>
      <c r="H395" s="784"/>
      <c r="I395" s="784"/>
      <c r="J395" s="2265"/>
      <c r="K395" s="1"/>
      <c r="L395" s="15"/>
      <c r="M395" s="15"/>
      <c r="N395" s="15"/>
      <c r="O395" s="15"/>
      <c r="P395" s="15"/>
      <c r="Q395" s="15"/>
    </row>
    <row r="396" spans="2:17" ht="20.100000000000001" customHeight="1">
      <c r="B396" s="875"/>
      <c r="C396" s="881" t="s">
        <v>1683</v>
      </c>
      <c r="D396" s="784"/>
      <c r="E396" s="784"/>
      <c r="F396" s="784"/>
      <c r="G396" s="784"/>
      <c r="H396" s="784"/>
      <c r="I396" s="784"/>
      <c r="J396" s="2265"/>
      <c r="K396" s="1"/>
      <c r="L396" s="15"/>
      <c r="M396" s="15"/>
      <c r="N396" s="15"/>
      <c r="O396" s="15"/>
      <c r="P396" s="15"/>
      <c r="Q396" s="15"/>
    </row>
    <row r="397" spans="2:17" ht="20.100000000000001" customHeight="1">
      <c r="B397" s="2266"/>
      <c r="C397" s="2267"/>
      <c r="D397" s="784"/>
      <c r="E397" s="784"/>
      <c r="F397" s="784"/>
      <c r="G397" s="784"/>
      <c r="H397" s="784"/>
      <c r="I397" s="784"/>
      <c r="J397" s="2265"/>
      <c r="K397" s="1"/>
      <c r="L397" s="15"/>
      <c r="M397" s="15"/>
      <c r="N397" s="15"/>
      <c r="O397" s="15"/>
      <c r="P397" s="15"/>
      <c r="Q397" s="15"/>
    </row>
    <row r="398" spans="2:17" ht="20.100000000000001" customHeight="1">
      <c r="B398" s="875"/>
      <c r="C398" s="881" t="s">
        <v>1684</v>
      </c>
      <c r="D398" s="784"/>
      <c r="E398" s="784"/>
      <c r="F398" s="784"/>
      <c r="G398" s="784"/>
      <c r="H398" s="784"/>
      <c r="I398" s="784"/>
      <c r="J398" s="2265"/>
      <c r="K398" s="1"/>
      <c r="L398" s="15"/>
      <c r="M398" s="15"/>
      <c r="N398" s="15"/>
      <c r="O398" s="15"/>
      <c r="P398" s="15"/>
      <c r="Q398" s="15"/>
    </row>
    <row r="399" spans="2:17" ht="20.100000000000001" customHeight="1">
      <c r="B399" s="875"/>
      <c r="C399" s="881" t="s">
        <v>1685</v>
      </c>
      <c r="D399" s="784"/>
      <c r="E399" s="784"/>
      <c r="F399" s="784"/>
      <c r="G399" s="784"/>
      <c r="H399" s="784"/>
      <c r="I399" s="784"/>
      <c r="J399" s="2265"/>
      <c r="K399" s="1"/>
      <c r="L399" s="15"/>
      <c r="M399" s="15"/>
      <c r="N399" s="15"/>
      <c r="O399" s="15"/>
      <c r="P399" s="15"/>
      <c r="Q399" s="15"/>
    </row>
    <row r="400" spans="2:17" ht="20.100000000000001" customHeight="1">
      <c r="B400" s="875"/>
      <c r="C400" s="881" t="s">
        <v>1686</v>
      </c>
      <c r="D400" s="784"/>
      <c r="E400" s="784"/>
      <c r="F400" s="784"/>
      <c r="G400" s="784"/>
      <c r="H400" s="784"/>
      <c r="I400" s="784"/>
      <c r="J400" s="2265"/>
      <c r="K400" s="1"/>
      <c r="L400" s="15"/>
      <c r="M400" s="15"/>
      <c r="N400" s="15"/>
      <c r="O400" s="15"/>
      <c r="P400" s="15"/>
      <c r="Q400" s="15"/>
    </row>
    <row r="401" spans="1:17" ht="20.100000000000001" customHeight="1">
      <c r="B401" s="875"/>
      <c r="C401" s="881" t="s">
        <v>1687</v>
      </c>
      <c r="D401" s="784"/>
      <c r="E401" s="784"/>
      <c r="F401" s="784"/>
      <c r="G401" s="784"/>
      <c r="H401" s="784"/>
      <c r="I401" s="784"/>
      <c r="J401" s="2265"/>
      <c r="K401" s="1"/>
      <c r="L401" s="15"/>
      <c r="M401" s="15"/>
      <c r="N401" s="15"/>
      <c r="O401" s="15"/>
      <c r="P401" s="15"/>
      <c r="Q401" s="15"/>
    </row>
    <row r="402" spans="1:17" ht="20.100000000000001" customHeight="1">
      <c r="B402" s="8803" t="s">
        <v>1688</v>
      </c>
      <c r="C402" s="8804"/>
      <c r="D402" s="8804"/>
      <c r="E402" s="8804"/>
      <c r="F402" s="8804"/>
      <c r="G402" s="8804"/>
      <c r="H402" s="8804"/>
      <c r="I402" s="8804"/>
      <c r="J402" s="8805"/>
      <c r="K402" s="1"/>
      <c r="L402" s="15"/>
      <c r="M402" s="15"/>
      <c r="N402" s="15"/>
      <c r="O402" s="15"/>
      <c r="P402" s="15"/>
      <c r="Q402" s="15"/>
    </row>
    <row r="403" spans="1:17" ht="20.100000000000001" customHeight="1">
      <c r="B403" s="8803"/>
      <c r="C403" s="8804"/>
      <c r="D403" s="8804"/>
      <c r="E403" s="8804"/>
      <c r="F403" s="8804"/>
      <c r="G403" s="8804"/>
      <c r="H403" s="8804"/>
      <c r="I403" s="8804"/>
      <c r="J403" s="8805"/>
      <c r="K403" s="1"/>
      <c r="L403" s="15"/>
      <c r="M403" s="15"/>
      <c r="N403" s="15"/>
      <c r="O403" s="15"/>
      <c r="P403" s="15"/>
      <c r="Q403" s="15"/>
    </row>
    <row r="404" spans="1:17" ht="20.100000000000001" customHeight="1">
      <c r="B404" s="815" t="s">
        <v>1689</v>
      </c>
      <c r="C404" s="34"/>
      <c r="D404" s="34"/>
      <c r="E404" s="34"/>
      <c r="F404" s="34"/>
      <c r="G404" s="34"/>
      <c r="H404" s="34"/>
      <c r="I404" s="34"/>
      <c r="J404" s="2223"/>
      <c r="K404" s="1"/>
      <c r="L404" s="15"/>
      <c r="M404" s="15"/>
      <c r="N404" s="15"/>
      <c r="O404" s="15"/>
      <c r="P404" s="15"/>
      <c r="Q404" s="15"/>
    </row>
    <row r="405" spans="1:17" ht="20.100000000000001" customHeight="1" thickBot="1">
      <c r="B405" s="2213"/>
      <c r="C405" s="453"/>
      <c r="D405" s="453"/>
      <c r="E405" s="453"/>
      <c r="F405" s="453"/>
      <c r="G405" s="453"/>
      <c r="H405" s="453"/>
      <c r="I405" s="453"/>
      <c r="J405" s="454"/>
      <c r="K405" s="1"/>
      <c r="L405" s="15"/>
      <c r="M405" s="15"/>
      <c r="N405" s="15"/>
      <c r="O405" s="15"/>
      <c r="P405" s="15"/>
      <c r="Q405" s="15"/>
    </row>
    <row r="406" spans="1:17" ht="20.100000000000001" customHeight="1">
      <c r="B406" s="1"/>
      <c r="C406" s="1"/>
      <c r="D406" s="1"/>
      <c r="E406" s="462"/>
      <c r="F406" s="462"/>
      <c r="G406" s="1"/>
      <c r="H406" s="1"/>
      <c r="I406" s="1"/>
      <c r="J406" s="1"/>
      <c r="K406" s="1"/>
      <c r="L406" s="15"/>
      <c r="M406" s="15"/>
      <c r="N406" s="15"/>
      <c r="O406" s="15"/>
      <c r="P406" s="15"/>
      <c r="Q406" s="15"/>
    </row>
    <row r="407" spans="1:17">
      <c r="A407" s="525"/>
      <c r="B407" s="526"/>
      <c r="C407" s="527"/>
      <c r="D407" s="527"/>
      <c r="E407" s="527"/>
      <c r="F407" s="527"/>
      <c r="G407" s="527"/>
      <c r="H407" s="527"/>
      <c r="I407" s="527"/>
      <c r="J407" s="526"/>
      <c r="K407" s="526"/>
      <c r="L407" s="526"/>
      <c r="M407" s="525"/>
      <c r="N407" s="525"/>
      <c r="O407" s="525"/>
      <c r="P407" s="525"/>
      <c r="Q407" s="525"/>
    </row>
    <row r="408" spans="1:17" ht="20.100000000000001" customHeight="1">
      <c r="B408" s="1"/>
      <c r="C408" s="1"/>
      <c r="D408" s="1"/>
      <c r="E408" s="462"/>
      <c r="F408" s="462"/>
      <c r="G408" s="1"/>
      <c r="H408" s="1"/>
      <c r="I408" s="1"/>
      <c r="J408" s="1"/>
      <c r="K408" s="1"/>
      <c r="L408" s="15"/>
      <c r="M408" s="15"/>
      <c r="N408" s="15"/>
      <c r="O408" s="15"/>
      <c r="P408" s="15"/>
      <c r="Q408" s="15"/>
    </row>
    <row r="409" spans="1:17" ht="15.75" thickBot="1">
      <c r="A409" s="15"/>
      <c r="B409" s="14"/>
      <c r="C409" s="27"/>
      <c r="D409" s="27"/>
      <c r="E409" s="27"/>
      <c r="F409" s="27"/>
      <c r="G409" s="27"/>
      <c r="H409" s="27"/>
      <c r="I409" s="27"/>
      <c r="J409" s="14"/>
      <c r="K409" s="14"/>
      <c r="L409" s="14"/>
      <c r="M409" s="15"/>
      <c r="N409" s="15"/>
      <c r="O409" s="15"/>
      <c r="P409" s="15"/>
      <c r="Q409" s="15"/>
    </row>
    <row r="410" spans="1:17" ht="15.75">
      <c r="A410" s="15"/>
      <c r="B410" s="8806" t="s">
        <v>467</v>
      </c>
      <c r="C410" s="8807"/>
      <c r="D410" s="8807"/>
      <c r="E410" s="8807"/>
      <c r="F410" s="8807"/>
      <c r="G410" s="8808"/>
      <c r="H410" s="27"/>
      <c r="I410" s="8806" t="s">
        <v>467</v>
      </c>
      <c r="J410" s="8807"/>
      <c r="K410" s="8807"/>
      <c r="L410" s="8807"/>
      <c r="M410" s="8807"/>
      <c r="N410" s="8808"/>
      <c r="O410" s="15"/>
      <c r="P410" s="15"/>
      <c r="Q410" s="15"/>
    </row>
    <row r="411" spans="1:17">
      <c r="A411" s="15"/>
      <c r="B411" s="8792" t="s">
        <v>463</v>
      </c>
      <c r="C411" s="8793"/>
      <c r="D411" s="303" t="s">
        <v>466</v>
      </c>
      <c r="E411" s="713" t="s">
        <v>462</v>
      </c>
      <c r="F411" s="8794" t="s">
        <v>61</v>
      </c>
      <c r="G411" s="8795"/>
      <c r="H411" s="27"/>
      <c r="I411" s="8792" t="s">
        <v>463</v>
      </c>
      <c r="J411" s="8793"/>
      <c r="K411" s="303" t="s">
        <v>466</v>
      </c>
      <c r="L411" s="713" t="s">
        <v>462</v>
      </c>
      <c r="M411" s="8794" t="s">
        <v>61</v>
      </c>
      <c r="N411" s="8795"/>
      <c r="O411" s="15"/>
      <c r="P411" s="15"/>
      <c r="Q411" s="15"/>
    </row>
    <row r="412" spans="1:17">
      <c r="A412" s="15"/>
      <c r="B412" s="8796">
        <v>20</v>
      </c>
      <c r="C412" s="8798">
        <f>B412/100</f>
        <v>0.2</v>
      </c>
      <c r="D412" s="469" t="s">
        <v>192</v>
      </c>
      <c r="E412" s="302">
        <v>1</v>
      </c>
      <c r="F412" s="471">
        <f>(B412*E412)*10</f>
        <v>200</v>
      </c>
      <c r="G412" s="2268">
        <f>F412/1000</f>
        <v>0.2</v>
      </c>
      <c r="H412" s="27"/>
      <c r="I412" s="8800">
        <v>10</v>
      </c>
      <c r="J412" s="8798">
        <f>I412/10</f>
        <v>1</v>
      </c>
      <c r="K412" s="469" t="s">
        <v>192</v>
      </c>
      <c r="L412" s="302">
        <v>1</v>
      </c>
      <c r="M412" s="471">
        <f>(I412*L412)*100</f>
        <v>1000</v>
      </c>
      <c r="N412" s="2268">
        <f>M412/1000</f>
        <v>1</v>
      </c>
      <c r="O412" s="15"/>
      <c r="P412" s="15"/>
      <c r="Q412" s="15"/>
    </row>
    <row r="413" spans="1:17">
      <c r="A413" s="15"/>
      <c r="B413" s="8796"/>
      <c r="C413" s="8798"/>
      <c r="D413" s="469" t="s">
        <v>468</v>
      </c>
      <c r="E413" s="302">
        <v>1.03</v>
      </c>
      <c r="F413" s="471">
        <f>(B412*E413)*10</f>
        <v>206</v>
      </c>
      <c r="G413" s="2268">
        <f>F413/1000</f>
        <v>0.20599999999999999</v>
      </c>
      <c r="H413" s="27"/>
      <c r="I413" s="8800"/>
      <c r="J413" s="8798"/>
      <c r="K413" s="469" t="s">
        <v>468</v>
      </c>
      <c r="L413" s="302">
        <v>1.03</v>
      </c>
      <c r="M413" s="471">
        <f>(I412*L413)*100</f>
        <v>1030</v>
      </c>
      <c r="N413" s="2268">
        <f>M413/1000</f>
        <v>1.03</v>
      </c>
      <c r="O413" s="15"/>
      <c r="P413" s="15"/>
      <c r="Q413" s="15"/>
    </row>
    <row r="414" spans="1:17">
      <c r="A414" s="15"/>
      <c r="B414" s="8796"/>
      <c r="C414" s="8798"/>
      <c r="D414" s="469" t="s">
        <v>469</v>
      </c>
      <c r="E414" s="302">
        <v>1.0149999999999999</v>
      </c>
      <c r="F414" s="471">
        <f>(E414*B412)*10</f>
        <v>202.99999999999997</v>
      </c>
      <c r="G414" s="2268">
        <f>F414/1000</f>
        <v>0.20299999999999996</v>
      </c>
      <c r="H414" s="27"/>
      <c r="I414" s="8800"/>
      <c r="J414" s="8798"/>
      <c r="K414" s="469" t="s">
        <v>469</v>
      </c>
      <c r="L414" s="302">
        <v>1.0149999999999999</v>
      </c>
      <c r="M414" s="471">
        <f>(L414*I412)*100</f>
        <v>1014.9999999999999</v>
      </c>
      <c r="N414" s="2268">
        <f>M414/1000</f>
        <v>1.0149999999999999</v>
      </c>
      <c r="O414" s="15"/>
      <c r="P414" s="15"/>
      <c r="Q414" s="15"/>
    </row>
    <row r="415" spans="1:17">
      <c r="A415" s="15"/>
      <c r="B415" s="8796"/>
      <c r="C415" s="8798"/>
      <c r="D415" s="469" t="s">
        <v>464</v>
      </c>
      <c r="E415" s="302">
        <v>0.92</v>
      </c>
      <c r="F415" s="471">
        <f>(E415*B412)*10</f>
        <v>184.00000000000003</v>
      </c>
      <c r="G415" s="2268">
        <f>F415/1000</f>
        <v>0.18400000000000002</v>
      </c>
      <c r="H415" s="27"/>
      <c r="I415" s="8800"/>
      <c r="J415" s="8798"/>
      <c r="K415" s="469" t="s">
        <v>464</v>
      </c>
      <c r="L415" s="302">
        <v>0.92</v>
      </c>
      <c r="M415" s="471">
        <f>(L415*I412)*100</f>
        <v>920.00000000000011</v>
      </c>
      <c r="N415" s="2268">
        <f>M415/1000</f>
        <v>0.92000000000000015</v>
      </c>
      <c r="O415" s="15"/>
      <c r="P415" s="15"/>
      <c r="Q415" s="15"/>
    </row>
    <row r="416" spans="1:17" ht="15.75" thickBot="1">
      <c r="A416" s="15"/>
      <c r="B416" s="8797"/>
      <c r="C416" s="8799"/>
      <c r="D416" s="470" t="s">
        <v>465</v>
      </c>
      <c r="E416" s="424">
        <v>0.8</v>
      </c>
      <c r="F416" s="472">
        <f>(E416*B412)*10</f>
        <v>160</v>
      </c>
      <c r="G416" s="2269">
        <f>F416/1000</f>
        <v>0.16</v>
      </c>
      <c r="H416" s="27"/>
      <c r="I416" s="8801"/>
      <c r="J416" s="8799"/>
      <c r="K416" s="470" t="s">
        <v>465</v>
      </c>
      <c r="L416" s="424">
        <v>0.8</v>
      </c>
      <c r="M416" s="472">
        <f>(L416*I412)*100</f>
        <v>800</v>
      </c>
      <c r="N416" s="2269">
        <f>M416/1000</f>
        <v>0.8</v>
      </c>
      <c r="O416" s="15"/>
      <c r="P416" s="15"/>
      <c r="Q416" s="15"/>
    </row>
    <row r="417" spans="1:17">
      <c r="A417" s="15"/>
      <c r="B417" s="14"/>
      <c r="C417" s="27"/>
      <c r="D417" s="27"/>
      <c r="E417" s="27"/>
      <c r="F417" s="27"/>
      <c r="G417" s="27"/>
      <c r="H417" s="27"/>
      <c r="I417" s="27"/>
      <c r="J417" s="14"/>
      <c r="K417" s="14"/>
      <c r="L417" s="14"/>
      <c r="M417" s="15"/>
      <c r="N417" s="15"/>
      <c r="O417" s="15"/>
      <c r="P417" s="15"/>
      <c r="Q417" s="15"/>
    </row>
    <row r="418" spans="1:17">
      <c r="A418" s="15"/>
      <c r="B418" s="14"/>
      <c r="C418" s="27"/>
      <c r="D418" s="27"/>
      <c r="E418" s="27"/>
      <c r="F418" s="27"/>
      <c r="G418" s="27"/>
      <c r="H418" s="27"/>
      <c r="I418" s="27"/>
      <c r="J418" s="14"/>
      <c r="K418" s="14"/>
      <c r="L418" s="14"/>
      <c r="M418" s="15"/>
      <c r="N418" s="15"/>
      <c r="O418" s="15"/>
      <c r="P418" s="15"/>
      <c r="Q418" s="15"/>
    </row>
    <row r="419" spans="1:17">
      <c r="A419" s="15"/>
      <c r="B419" s="14"/>
      <c r="C419" s="27"/>
      <c r="D419" s="27"/>
      <c r="E419" s="27"/>
      <c r="F419" s="27"/>
      <c r="G419" s="27"/>
      <c r="H419" s="27"/>
      <c r="I419" s="27"/>
      <c r="J419" s="14"/>
      <c r="K419" s="14"/>
      <c r="L419" s="14"/>
      <c r="M419" s="15"/>
      <c r="N419" s="15"/>
      <c r="O419" s="15"/>
      <c r="P419" s="15"/>
      <c r="Q419" s="15"/>
    </row>
    <row r="420" spans="1:17" ht="15.75" thickBot="1">
      <c r="A420" s="15"/>
      <c r="B420" s="14"/>
      <c r="C420" s="27"/>
      <c r="D420" s="27"/>
      <c r="E420" s="27"/>
      <c r="F420" s="27"/>
      <c r="G420" s="27"/>
      <c r="H420" s="27"/>
      <c r="I420" s="27"/>
      <c r="J420" s="14"/>
      <c r="K420" s="14"/>
      <c r="L420" s="14"/>
      <c r="M420" s="15"/>
      <c r="N420" s="15"/>
      <c r="O420" s="15"/>
      <c r="P420" s="15"/>
      <c r="Q420" s="15"/>
    </row>
    <row r="421" spans="1:17">
      <c r="A421" s="15"/>
      <c r="B421" s="14"/>
      <c r="C421" s="27"/>
      <c r="D421" s="27"/>
      <c r="E421" s="27"/>
      <c r="F421" s="8774" t="s">
        <v>26</v>
      </c>
      <c r="G421" s="8775"/>
      <c r="H421" s="8775"/>
      <c r="I421" s="8776"/>
      <c r="J421" s="14"/>
      <c r="K421" s="8774" t="s">
        <v>26</v>
      </c>
      <c r="L421" s="8775"/>
      <c r="M421" s="8775"/>
      <c r="N421" s="8776"/>
      <c r="O421" s="15"/>
      <c r="P421" s="15"/>
    </row>
    <row r="422" spans="1:17" ht="15.75" thickBot="1">
      <c r="A422" s="15"/>
      <c r="B422" s="14"/>
      <c r="C422" s="14"/>
      <c r="D422" s="14"/>
      <c r="E422" s="14"/>
      <c r="F422" s="8777"/>
      <c r="G422" s="8778"/>
      <c r="H422" s="8778"/>
      <c r="I422" s="8779"/>
      <c r="J422" s="1"/>
      <c r="K422" s="8777"/>
      <c r="L422" s="8778"/>
      <c r="M422" s="8778"/>
      <c r="N422" s="8779"/>
      <c r="O422" s="15"/>
      <c r="P422" s="15"/>
    </row>
    <row r="423" spans="1:17" ht="19.5" customHeight="1" thickBot="1">
      <c r="A423" s="15"/>
      <c r="B423" s="14"/>
      <c r="C423" s="14"/>
      <c r="D423" s="14"/>
      <c r="E423" s="14"/>
      <c r="F423" s="528" t="s">
        <v>43</v>
      </c>
      <c r="G423" s="529" t="s">
        <v>41</v>
      </c>
      <c r="H423" s="529" t="s">
        <v>40</v>
      </c>
      <c r="I423" s="530" t="s">
        <v>39</v>
      </c>
      <c r="J423" s="1"/>
      <c r="K423" s="8749" t="s">
        <v>21</v>
      </c>
      <c r="L423" s="8750"/>
      <c r="M423" s="8750"/>
      <c r="N423" s="8751"/>
      <c r="O423" s="15"/>
      <c r="P423" s="15"/>
    </row>
    <row r="424" spans="1:17" ht="15.75" customHeight="1">
      <c r="A424" s="15"/>
      <c r="B424" s="14"/>
      <c r="C424" s="14"/>
      <c r="D424" s="14"/>
      <c r="E424" s="14"/>
      <c r="F424" s="8780" t="s">
        <v>149</v>
      </c>
      <c r="G424" s="8781"/>
      <c r="H424" s="8781"/>
      <c r="I424" s="8782"/>
      <c r="J424" s="1"/>
      <c r="K424" s="8783" t="s">
        <v>44</v>
      </c>
      <c r="L424" s="8784"/>
      <c r="M424" s="8784"/>
      <c r="N424" s="8785"/>
      <c r="O424" s="15"/>
      <c r="P424" s="15"/>
    </row>
    <row r="425" spans="1:17" ht="18.75" customHeight="1">
      <c r="A425" s="15"/>
      <c r="B425" s="14"/>
      <c r="C425" s="14"/>
      <c r="D425" s="14"/>
      <c r="E425" s="14"/>
      <c r="F425" s="2270" t="s">
        <v>34</v>
      </c>
      <c r="G425" s="2271" t="s">
        <v>33</v>
      </c>
      <c r="H425" s="2271" t="s">
        <v>32</v>
      </c>
      <c r="I425" s="2272" t="s">
        <v>31</v>
      </c>
      <c r="J425" s="1"/>
      <c r="K425" s="8786" t="s">
        <v>38</v>
      </c>
      <c r="L425" s="8788" t="s">
        <v>37</v>
      </c>
      <c r="M425" s="8788" t="s">
        <v>36</v>
      </c>
      <c r="N425" s="8790" t="s">
        <v>35</v>
      </c>
      <c r="O425" s="15"/>
      <c r="P425" s="15"/>
    </row>
    <row r="426" spans="1:17" ht="15.75" customHeight="1">
      <c r="A426" s="15"/>
      <c r="B426" s="14"/>
      <c r="C426" s="14"/>
      <c r="D426" s="14"/>
      <c r="E426" s="14"/>
      <c r="F426" s="2273">
        <v>1</v>
      </c>
      <c r="G426" s="2274">
        <f>F426*10</f>
        <v>10</v>
      </c>
      <c r="H426" s="2274">
        <f>G426*10</f>
        <v>100</v>
      </c>
      <c r="I426" s="533">
        <f>H426*10</f>
        <v>1000</v>
      </c>
      <c r="J426" s="1"/>
      <c r="K426" s="8787"/>
      <c r="L426" s="8789"/>
      <c r="M426" s="8789"/>
      <c r="N426" s="8791"/>
      <c r="O426" s="15"/>
      <c r="P426" s="15"/>
    </row>
    <row r="427" spans="1:17" ht="15.75" customHeight="1">
      <c r="A427" s="15"/>
      <c r="B427" s="14"/>
      <c r="C427" s="14"/>
      <c r="D427" s="14"/>
      <c r="E427" s="14"/>
      <c r="F427" s="2275">
        <f>G427/10</f>
        <v>0.1</v>
      </c>
      <c r="G427" s="2276">
        <v>1</v>
      </c>
      <c r="H427" s="2274">
        <f>G427*10</f>
        <v>10</v>
      </c>
      <c r="I427" s="533">
        <f>G427*100</f>
        <v>100</v>
      </c>
      <c r="J427" s="1"/>
      <c r="K427" s="6" t="s">
        <v>30</v>
      </c>
      <c r="L427" s="5" t="s">
        <v>29</v>
      </c>
      <c r="M427" s="5" t="s">
        <v>28</v>
      </c>
      <c r="N427" s="4" t="s">
        <v>27</v>
      </c>
      <c r="O427" s="15"/>
      <c r="P427" s="15"/>
    </row>
    <row r="428" spans="1:17" ht="15.75" customHeight="1">
      <c r="A428" s="15"/>
      <c r="B428" s="14"/>
      <c r="C428" s="14"/>
      <c r="D428" s="14"/>
      <c r="E428" s="14"/>
      <c r="F428" s="2275">
        <f t="shared" ref="F428:G428" si="1">G428/10</f>
        <v>0.01</v>
      </c>
      <c r="G428" s="2274">
        <f t="shared" si="1"/>
        <v>0.1</v>
      </c>
      <c r="H428" s="2276">
        <v>1</v>
      </c>
      <c r="I428" s="533">
        <f>G428*100</f>
        <v>10</v>
      </c>
      <c r="J428" s="1"/>
      <c r="K428" s="6" t="s">
        <v>25</v>
      </c>
      <c r="L428" s="5" t="s">
        <v>24</v>
      </c>
      <c r="M428" s="5" t="s">
        <v>23</v>
      </c>
      <c r="N428" s="4" t="s">
        <v>22</v>
      </c>
      <c r="O428" s="15"/>
      <c r="P428" s="15"/>
    </row>
    <row r="429" spans="1:17" ht="15.75" customHeight="1">
      <c r="A429" s="15"/>
      <c r="B429" s="14"/>
      <c r="C429" s="14"/>
      <c r="D429" s="14"/>
      <c r="E429" s="14"/>
      <c r="F429" s="2277">
        <f>I429/1000</f>
        <v>1E-3</v>
      </c>
      <c r="G429" s="2278">
        <f>I429/100</f>
        <v>0.01</v>
      </c>
      <c r="H429" s="2278">
        <f>I429/10</f>
        <v>0.1</v>
      </c>
      <c r="I429" s="2279">
        <v>1</v>
      </c>
      <c r="J429" s="1"/>
      <c r="K429" s="6" t="s">
        <v>18</v>
      </c>
      <c r="L429" s="5" t="s">
        <v>17</v>
      </c>
      <c r="M429" s="5" t="s">
        <v>16</v>
      </c>
      <c r="N429" s="4" t="s">
        <v>15</v>
      </c>
      <c r="O429" s="15"/>
      <c r="P429" s="15"/>
    </row>
    <row r="430" spans="1:17" ht="15" customHeight="1">
      <c r="A430" s="15"/>
      <c r="B430" s="14"/>
      <c r="C430" s="14"/>
      <c r="D430" s="14"/>
      <c r="E430" s="14"/>
      <c r="F430" s="8749" t="s">
        <v>21</v>
      </c>
      <c r="G430" s="8750"/>
      <c r="H430" s="8750"/>
      <c r="I430" s="8751"/>
      <c r="J430" s="1"/>
      <c r="K430" s="537" t="s">
        <v>13</v>
      </c>
      <c r="L430" s="538" t="s">
        <v>12</v>
      </c>
      <c r="M430" s="538" t="s">
        <v>11</v>
      </c>
      <c r="N430" s="2280" t="s">
        <v>10</v>
      </c>
      <c r="O430" s="15"/>
      <c r="P430" s="15"/>
    </row>
    <row r="431" spans="1:17" ht="16.5" thickBot="1">
      <c r="A431" s="15"/>
      <c r="B431" s="14"/>
      <c r="C431" s="14"/>
      <c r="D431" s="14"/>
      <c r="E431" s="14"/>
      <c r="F431" s="8752" t="s">
        <v>9</v>
      </c>
      <c r="G431" s="8753"/>
      <c r="H431" s="8753"/>
      <c r="I431" s="8754"/>
      <c r="J431" s="1"/>
      <c r="K431" s="8752" t="s">
        <v>9</v>
      </c>
      <c r="L431" s="8753"/>
      <c r="M431" s="8753"/>
      <c r="N431" s="8754"/>
      <c r="O431" s="15"/>
      <c r="P431" s="15"/>
    </row>
    <row r="432" spans="1:17">
      <c r="A432" s="15"/>
      <c r="B432" s="14"/>
      <c r="C432" s="14"/>
      <c r="D432" s="14"/>
      <c r="F432" s="15"/>
      <c r="G432" s="15"/>
      <c r="H432" s="15"/>
      <c r="I432" s="15"/>
      <c r="J432" s="15"/>
      <c r="K432" s="15"/>
      <c r="L432" s="15"/>
      <c r="M432" s="15"/>
      <c r="N432" s="15"/>
      <c r="O432" s="15"/>
      <c r="P432" s="15"/>
    </row>
    <row r="433" spans="1:17">
      <c r="A433" s="15"/>
      <c r="B433" s="14"/>
      <c r="C433" s="14"/>
      <c r="D433" s="14"/>
      <c r="E433" s="1"/>
      <c r="F433" s="15"/>
      <c r="G433" s="15"/>
      <c r="H433" s="15"/>
      <c r="I433" s="15"/>
      <c r="J433" s="15"/>
      <c r="K433" s="15"/>
      <c r="L433" s="15"/>
      <c r="M433" s="15"/>
      <c r="N433" s="15"/>
      <c r="O433" s="15"/>
      <c r="P433" s="15"/>
    </row>
    <row r="434" spans="1:17" ht="21" customHeight="1">
      <c r="A434" s="15"/>
      <c r="B434" s="519" t="s">
        <v>1283</v>
      </c>
      <c r="C434" s="461" t="s">
        <v>138</v>
      </c>
      <c r="D434" s="14"/>
      <c r="E434" s="1"/>
      <c r="F434" s="15"/>
      <c r="G434" s="15"/>
      <c r="H434" s="15"/>
      <c r="I434" s="15"/>
      <c r="J434" s="15"/>
      <c r="K434" s="8755" t="s">
        <v>1292</v>
      </c>
      <c r="L434" s="8756"/>
      <c r="M434" s="8757"/>
      <c r="N434" s="15"/>
      <c r="O434" s="15"/>
      <c r="P434" s="15"/>
    </row>
    <row r="435" spans="1:17" ht="21">
      <c r="A435" s="15"/>
      <c r="B435" s="462"/>
      <c r="C435" s="463"/>
      <c r="D435" s="14"/>
      <c r="E435" s="1"/>
      <c r="F435" s="15"/>
      <c r="G435" s="15"/>
      <c r="H435" s="15"/>
      <c r="I435" s="15"/>
      <c r="J435" s="15"/>
      <c r="K435" s="2281" t="s">
        <v>1293</v>
      </c>
      <c r="L435" s="2282" t="s">
        <v>1294</v>
      </c>
      <c r="M435" s="2283" t="s">
        <v>1295</v>
      </c>
      <c r="N435" s="15"/>
      <c r="O435" s="15"/>
      <c r="P435" s="15"/>
      <c r="Q435" s="15"/>
    </row>
    <row r="436" spans="1:17" ht="21">
      <c r="A436" s="15"/>
      <c r="B436" s="462" t="s">
        <v>140</v>
      </c>
      <c r="C436" s="543"/>
      <c r="D436" s="14"/>
      <c r="E436" s="1"/>
      <c r="F436" s="15"/>
      <c r="G436" s="15"/>
      <c r="H436" s="15"/>
      <c r="I436" s="15"/>
      <c r="J436" s="15"/>
      <c r="K436" s="544">
        <v>4.1666666666666664E-2</v>
      </c>
      <c r="L436" s="545">
        <v>60</v>
      </c>
      <c r="M436" s="2284">
        <v>100</v>
      </c>
      <c r="N436" s="15"/>
      <c r="O436" s="15"/>
      <c r="P436" s="15"/>
      <c r="Q436" s="15"/>
    </row>
    <row r="437" spans="1:17" ht="21">
      <c r="A437" s="15"/>
      <c r="B437" s="462" t="s">
        <v>141</v>
      </c>
      <c r="C437" s="543"/>
      <c r="D437" s="14"/>
      <c r="E437" s="1"/>
      <c r="F437" s="15"/>
      <c r="G437" s="15"/>
      <c r="H437" s="15"/>
      <c r="I437" s="15"/>
      <c r="J437" s="15"/>
      <c r="K437" s="546">
        <v>4.1666666666666664E-2</v>
      </c>
      <c r="L437" s="547">
        <f>(L436/K436)*K437</f>
        <v>60</v>
      </c>
      <c r="M437" s="2285">
        <f>(M436/K436)*K437</f>
        <v>100</v>
      </c>
      <c r="N437" s="15"/>
      <c r="O437" s="15"/>
      <c r="P437" s="15"/>
      <c r="Q437" s="15"/>
    </row>
    <row r="438" spans="1:17" ht="21">
      <c r="A438" s="15"/>
      <c r="B438" s="519" t="s">
        <v>1283</v>
      </c>
      <c r="C438" s="461" t="s">
        <v>142</v>
      </c>
      <c r="D438" s="14"/>
      <c r="F438" s="15"/>
      <c r="G438" s="15"/>
      <c r="H438" s="15"/>
      <c r="I438" s="15"/>
      <c r="J438" s="15"/>
      <c r="K438" s="548">
        <f>(K436/L436)*L438</f>
        <v>6.2499999999999993E-2</v>
      </c>
      <c r="L438" s="549">
        <v>90</v>
      </c>
      <c r="M438" s="2286">
        <f>(M436/L436)*L438</f>
        <v>150</v>
      </c>
      <c r="N438" s="15"/>
      <c r="O438" s="15"/>
      <c r="P438" s="15"/>
      <c r="Q438" s="15"/>
    </row>
    <row r="439" spans="1:17" ht="15.75">
      <c r="A439" s="15"/>
      <c r="B439" s="14"/>
      <c r="C439" s="14"/>
      <c r="D439" s="14"/>
      <c r="F439" s="15"/>
      <c r="G439" s="15"/>
      <c r="H439" s="15"/>
      <c r="I439" s="15"/>
      <c r="J439" s="15"/>
      <c r="K439" s="2287">
        <f>(K436/M436)*M439</f>
        <v>1.6666666666666666E-2</v>
      </c>
      <c r="L439" s="2288">
        <f>(L436/M436)*M439</f>
        <v>24</v>
      </c>
      <c r="M439" s="2289">
        <v>40</v>
      </c>
      <c r="N439" s="15"/>
      <c r="O439" s="15"/>
      <c r="P439" s="15"/>
      <c r="Q439" s="15"/>
    </row>
    <row r="440" spans="1:17">
      <c r="A440" s="15"/>
      <c r="B440" s="14"/>
      <c r="C440" s="14"/>
      <c r="D440" s="14"/>
      <c r="E440" s="14"/>
      <c r="F440" s="14"/>
      <c r="G440" s="14"/>
      <c r="H440" s="15"/>
      <c r="I440" s="15"/>
      <c r="J440" s="15"/>
      <c r="K440" s="15"/>
      <c r="L440" s="15"/>
      <c r="M440" s="15"/>
      <c r="N440" s="15"/>
      <c r="O440" s="15"/>
      <c r="P440" s="15"/>
      <c r="Q440" s="15"/>
    </row>
    <row r="441" spans="1:17">
      <c r="A441" s="525"/>
      <c r="B441" s="526"/>
      <c r="C441" s="527"/>
      <c r="D441" s="527"/>
      <c r="E441" s="527"/>
      <c r="F441" s="527"/>
      <c r="G441" s="527"/>
      <c r="H441" s="527"/>
      <c r="I441" s="527"/>
      <c r="J441" s="526"/>
      <c r="K441" s="526"/>
      <c r="L441" s="526"/>
      <c r="M441" s="525"/>
      <c r="N441" s="525"/>
      <c r="O441" s="525"/>
      <c r="P441" s="525"/>
      <c r="Q441" s="525"/>
    </row>
    <row r="442" spans="1:17" ht="15.75" thickBot="1">
      <c r="A442" s="15"/>
      <c r="B442" s="14"/>
      <c r="C442" s="14"/>
      <c r="D442" s="14"/>
      <c r="E442" s="14"/>
      <c r="F442" s="14"/>
      <c r="G442" s="14"/>
      <c r="H442" s="15"/>
      <c r="I442" s="15"/>
      <c r="J442" s="15"/>
      <c r="K442" s="15"/>
      <c r="L442" s="15"/>
      <c r="M442" s="15"/>
      <c r="N442" s="15"/>
      <c r="O442" s="15"/>
      <c r="P442" s="15"/>
      <c r="Q442" s="15"/>
    </row>
    <row r="443" spans="1:17">
      <c r="A443" s="15"/>
      <c r="B443" s="8758" t="s">
        <v>148</v>
      </c>
      <c r="C443" s="8759"/>
      <c r="D443" s="8759"/>
      <c r="E443" s="8759"/>
      <c r="F443" s="8759"/>
      <c r="G443" s="8760"/>
      <c r="H443" s="15"/>
      <c r="I443" s="8764" t="s">
        <v>159</v>
      </c>
      <c r="J443" s="8765"/>
      <c r="K443" s="8768" t="s">
        <v>160</v>
      </c>
      <c r="L443" s="8768"/>
      <c r="M443" s="8770" t="s">
        <v>161</v>
      </c>
      <c r="N443" s="8772" t="s">
        <v>162</v>
      </c>
      <c r="O443" s="15"/>
      <c r="P443" s="15"/>
      <c r="Q443" s="15"/>
    </row>
    <row r="444" spans="1:17">
      <c r="A444" s="15"/>
      <c r="B444" s="8761"/>
      <c r="C444" s="8762"/>
      <c r="D444" s="8762"/>
      <c r="E444" s="8762"/>
      <c r="F444" s="8762"/>
      <c r="G444" s="8763"/>
      <c r="H444" s="15"/>
      <c r="I444" s="8766"/>
      <c r="J444" s="8767"/>
      <c r="K444" s="8769"/>
      <c r="L444" s="8769"/>
      <c r="M444" s="8771"/>
      <c r="N444" s="8773"/>
      <c r="O444" s="15"/>
      <c r="P444" s="15"/>
      <c r="Q444" s="15"/>
    </row>
    <row r="445" spans="1:17" ht="15.75" customHeight="1">
      <c r="A445" s="15"/>
      <c r="B445" s="8727" t="s">
        <v>150</v>
      </c>
      <c r="C445" s="8728"/>
      <c r="D445" s="8728"/>
      <c r="E445" s="8728"/>
      <c r="F445" s="8728"/>
      <c r="G445" s="8729"/>
      <c r="H445" s="15"/>
      <c r="I445" s="8745" t="s">
        <v>166</v>
      </c>
      <c r="J445" s="8746"/>
      <c r="K445" s="35" t="s">
        <v>167</v>
      </c>
      <c r="L445" s="35"/>
      <c r="M445" s="36"/>
      <c r="N445" s="2290"/>
      <c r="O445" s="15"/>
      <c r="P445" s="15"/>
      <c r="Q445" s="15"/>
    </row>
    <row r="446" spans="1:17" ht="15.75" customHeight="1">
      <c r="A446" s="15"/>
      <c r="B446" s="8727"/>
      <c r="C446" s="8728"/>
      <c r="D446" s="8728"/>
      <c r="E446" s="8728"/>
      <c r="F446" s="8728"/>
      <c r="G446" s="8729"/>
      <c r="H446" s="15"/>
      <c r="I446" s="8747" t="s">
        <v>170</v>
      </c>
      <c r="J446" s="8748"/>
      <c r="K446" s="38" t="s">
        <v>171</v>
      </c>
      <c r="L446" s="38"/>
      <c r="M446" s="721" t="s">
        <v>172</v>
      </c>
      <c r="N446" s="2291" t="s">
        <v>173</v>
      </c>
      <c r="O446" s="15"/>
      <c r="P446" s="15"/>
      <c r="Q446" s="15"/>
    </row>
    <row r="447" spans="1:17" ht="16.5" customHeight="1">
      <c r="A447" s="15"/>
      <c r="B447" s="722" t="s">
        <v>151</v>
      </c>
      <c r="C447" s="8741" t="s">
        <v>152</v>
      </c>
      <c r="D447" s="8741"/>
      <c r="E447" s="8741"/>
      <c r="F447" s="8741"/>
      <c r="G447" s="8742"/>
      <c r="H447" s="15"/>
      <c r="I447" s="8747" t="s">
        <v>174</v>
      </c>
      <c r="J447" s="8748"/>
      <c r="K447" s="38" t="s">
        <v>175</v>
      </c>
      <c r="L447" s="38"/>
      <c r="M447" s="721" t="s">
        <v>176</v>
      </c>
      <c r="N447" s="2291" t="s">
        <v>177</v>
      </c>
      <c r="O447" s="15"/>
      <c r="P447" s="15"/>
      <c r="Q447" s="15"/>
    </row>
    <row r="448" spans="1:17">
      <c r="A448" s="15"/>
      <c r="B448" s="722" t="s">
        <v>151</v>
      </c>
      <c r="C448" s="8741" t="s">
        <v>153</v>
      </c>
      <c r="D448" s="8741"/>
      <c r="E448" s="8741"/>
      <c r="F448" s="8741"/>
      <c r="G448" s="8742"/>
      <c r="H448" s="15"/>
      <c r="I448" s="8747" t="s">
        <v>180</v>
      </c>
      <c r="J448" s="8748"/>
      <c r="K448" s="38" t="s">
        <v>181</v>
      </c>
      <c r="L448" s="38"/>
      <c r="M448" s="721" t="s">
        <v>182</v>
      </c>
      <c r="N448" s="2291" t="s">
        <v>183</v>
      </c>
      <c r="O448" s="15"/>
      <c r="P448" s="15"/>
      <c r="Q448" s="15"/>
    </row>
    <row r="449" spans="1:17" ht="15.75" customHeight="1" thickBot="1">
      <c r="A449" s="15"/>
      <c r="B449" s="722" t="s">
        <v>151</v>
      </c>
      <c r="C449" s="8741" t="s">
        <v>154</v>
      </c>
      <c r="D449" s="8741"/>
      <c r="E449" s="8741"/>
      <c r="F449" s="8741"/>
      <c r="G449" s="8742"/>
      <c r="H449" s="15"/>
      <c r="I449" s="8743" t="s">
        <v>184</v>
      </c>
      <c r="J449" s="8744"/>
      <c r="K449" s="40" t="s">
        <v>185</v>
      </c>
      <c r="L449" s="40"/>
      <c r="M449" s="724" t="s">
        <v>186</v>
      </c>
      <c r="N449" s="550" t="s">
        <v>187</v>
      </c>
      <c r="O449" s="15"/>
      <c r="P449" s="15"/>
      <c r="Q449" s="15"/>
    </row>
    <row r="450" spans="1:17" ht="15.75" customHeight="1">
      <c r="A450" s="15"/>
      <c r="B450" s="722" t="s">
        <v>155</v>
      </c>
      <c r="C450" s="8741" t="s">
        <v>156</v>
      </c>
      <c r="D450" s="8741"/>
      <c r="E450" s="8741"/>
      <c r="F450" s="8741"/>
      <c r="G450" s="8742"/>
      <c r="H450" s="15"/>
      <c r="I450" s="15"/>
      <c r="J450" s="15"/>
      <c r="K450" s="15"/>
      <c r="L450" s="15"/>
      <c r="M450" s="15"/>
      <c r="N450" s="15"/>
      <c r="O450" s="15"/>
      <c r="P450" s="15"/>
      <c r="Q450" s="15"/>
    </row>
    <row r="451" spans="1:17" ht="15" customHeight="1">
      <c r="A451" s="15"/>
      <c r="B451" s="722" t="s">
        <v>157</v>
      </c>
      <c r="C451" s="8741" t="s">
        <v>158</v>
      </c>
      <c r="D451" s="8741"/>
      <c r="E451" s="8741"/>
      <c r="F451" s="8741"/>
      <c r="G451" s="8742"/>
      <c r="H451" s="14"/>
      <c r="I451" s="1"/>
      <c r="J451" s="1"/>
      <c r="K451" s="1"/>
      <c r="L451" s="1"/>
      <c r="M451" s="1"/>
      <c r="N451" s="1"/>
      <c r="O451" s="15"/>
      <c r="P451" s="15"/>
      <c r="Q451" s="15"/>
    </row>
    <row r="452" spans="1:17">
      <c r="A452" s="15"/>
      <c r="B452" s="722" t="s">
        <v>163</v>
      </c>
      <c r="C452" s="8741" t="s">
        <v>164</v>
      </c>
      <c r="D452" s="8741"/>
      <c r="E452" s="8741"/>
      <c r="F452" s="8741"/>
      <c r="G452" s="8742"/>
      <c r="H452" s="14"/>
      <c r="I452" s="1"/>
      <c r="J452" s="1"/>
      <c r="K452" s="1"/>
      <c r="L452" s="1"/>
      <c r="M452" s="1"/>
      <c r="N452" s="1"/>
      <c r="O452" s="15"/>
      <c r="P452" s="15"/>
      <c r="Q452" s="15"/>
    </row>
    <row r="453" spans="1:17">
      <c r="A453" s="15"/>
      <c r="B453" s="722" t="s">
        <v>163</v>
      </c>
      <c r="C453" s="8741" t="s">
        <v>165</v>
      </c>
      <c r="D453" s="8741"/>
      <c r="E453" s="8741"/>
      <c r="F453" s="8741"/>
      <c r="G453" s="8742"/>
      <c r="H453" s="14"/>
      <c r="I453" s="1"/>
      <c r="J453" s="1"/>
      <c r="K453" s="1"/>
      <c r="L453" s="1"/>
      <c r="M453" s="1"/>
      <c r="N453" s="1"/>
      <c r="O453" s="15"/>
      <c r="P453" s="15"/>
      <c r="Q453" s="15"/>
    </row>
    <row r="454" spans="1:17">
      <c r="A454" s="15"/>
      <c r="B454" s="8727" t="s">
        <v>168</v>
      </c>
      <c r="C454" s="8728" t="s">
        <v>169</v>
      </c>
      <c r="D454" s="8728"/>
      <c r="E454" s="8728"/>
      <c r="F454" s="8728"/>
      <c r="G454" s="8729"/>
      <c r="H454" s="14"/>
      <c r="I454" s="1"/>
      <c r="J454" s="1"/>
      <c r="K454" s="1"/>
      <c r="L454" s="1"/>
      <c r="M454" s="1"/>
      <c r="N454" s="1"/>
      <c r="O454" s="15"/>
      <c r="P454" s="15"/>
      <c r="Q454" s="15"/>
    </row>
    <row r="455" spans="1:17">
      <c r="A455" s="15"/>
      <c r="B455" s="8727"/>
      <c r="C455" s="8728"/>
      <c r="D455" s="8728"/>
      <c r="E455" s="8728"/>
      <c r="F455" s="8728"/>
      <c r="G455" s="8729"/>
      <c r="H455" s="14"/>
      <c r="I455" s="1"/>
      <c r="J455" s="1"/>
      <c r="K455" s="1"/>
      <c r="L455" s="1"/>
      <c r="M455" s="1"/>
      <c r="N455" s="1"/>
      <c r="O455" s="15"/>
      <c r="P455" s="15"/>
      <c r="Q455" s="15"/>
    </row>
    <row r="456" spans="1:17">
      <c r="A456" s="15"/>
      <c r="B456" s="8727" t="s">
        <v>178</v>
      </c>
      <c r="C456" s="8728" t="s">
        <v>179</v>
      </c>
      <c r="D456" s="8728"/>
      <c r="E456" s="8728"/>
      <c r="F456" s="8728"/>
      <c r="G456" s="8729"/>
      <c r="H456" s="14"/>
      <c r="I456" s="1"/>
      <c r="J456" s="1"/>
      <c r="K456" s="1"/>
      <c r="L456" s="1"/>
      <c r="M456" s="1"/>
      <c r="N456" s="1"/>
      <c r="O456" s="15"/>
      <c r="P456" s="15"/>
      <c r="Q456" s="15"/>
    </row>
    <row r="457" spans="1:17">
      <c r="A457" s="15"/>
      <c r="B457" s="8730"/>
      <c r="C457" s="8731"/>
      <c r="D457" s="8731"/>
      <c r="E457" s="8731"/>
      <c r="F457" s="8731"/>
      <c r="G457" s="8732"/>
      <c r="H457" s="14"/>
      <c r="I457" s="1"/>
      <c r="J457" s="1"/>
      <c r="K457" s="1"/>
      <c r="L457" s="1"/>
      <c r="M457" s="1"/>
      <c r="N457" s="1"/>
      <c r="O457" s="15"/>
      <c r="P457" s="15"/>
      <c r="Q457" s="15"/>
    </row>
    <row r="458" spans="1:17" ht="15.75" thickBot="1">
      <c r="A458" s="15"/>
      <c r="B458" s="723"/>
      <c r="C458" s="723"/>
      <c r="D458" s="723"/>
      <c r="E458" s="723"/>
      <c r="F458" s="723"/>
      <c r="G458" s="723"/>
      <c r="H458" s="14"/>
      <c r="I458" s="721"/>
      <c r="J458" s="721"/>
      <c r="K458" s="38"/>
      <c r="L458" s="38"/>
      <c r="M458" s="721"/>
      <c r="N458" s="721"/>
      <c r="O458" s="15"/>
      <c r="P458" s="15"/>
      <c r="Q458" s="15"/>
    </row>
    <row r="459" spans="1:17" ht="15.75">
      <c r="A459" s="32"/>
      <c r="B459" s="551" t="s">
        <v>1296</v>
      </c>
      <c r="C459" s="41"/>
      <c r="D459" s="41"/>
      <c r="E459" s="42"/>
      <c r="F459" s="15"/>
      <c r="G459" s="15"/>
      <c r="H459" s="552" t="s">
        <v>188</v>
      </c>
      <c r="I459" s="43"/>
      <c r="J459" s="44"/>
      <c r="K459" s="44"/>
      <c r="L459" s="44"/>
      <c r="M459" s="44"/>
      <c r="N459" s="45"/>
      <c r="O459" s="15"/>
      <c r="P459" s="15"/>
      <c r="Q459" s="15"/>
    </row>
    <row r="460" spans="1:17" ht="25.5">
      <c r="A460" s="32"/>
      <c r="B460" s="8733" t="s">
        <v>189</v>
      </c>
      <c r="C460" s="8734"/>
      <c r="D460" s="8737" t="s">
        <v>190</v>
      </c>
      <c r="E460" s="8739">
        <f>(B462*B465)+(C462*C465)+(D462*D465)+(E462*E465)</f>
        <v>228.85000000000002</v>
      </c>
      <c r="F460" s="15"/>
      <c r="G460" s="15"/>
      <c r="H460" s="46" t="s">
        <v>191</v>
      </c>
      <c r="I460" s="47" t="s">
        <v>192</v>
      </c>
      <c r="J460" s="47" t="s">
        <v>193</v>
      </c>
      <c r="K460" s="47" t="s">
        <v>194</v>
      </c>
      <c r="L460" s="47" t="s">
        <v>195</v>
      </c>
      <c r="M460" s="47" t="s">
        <v>196</v>
      </c>
      <c r="N460" s="2292" t="s">
        <v>197</v>
      </c>
      <c r="O460" s="15"/>
      <c r="P460" s="15"/>
      <c r="Q460" s="15"/>
    </row>
    <row r="461" spans="1:17">
      <c r="A461" s="32"/>
      <c r="B461" s="8735"/>
      <c r="C461" s="8736"/>
      <c r="D461" s="8738"/>
      <c r="E461" s="8740"/>
      <c r="F461" s="15"/>
      <c r="G461" s="15"/>
      <c r="H461" s="8724">
        <v>0.12</v>
      </c>
      <c r="I461" s="8725">
        <v>1</v>
      </c>
      <c r="J461" s="8725">
        <v>0.11</v>
      </c>
      <c r="K461" s="8725">
        <v>0</v>
      </c>
      <c r="L461" s="8725">
        <v>0.01</v>
      </c>
      <c r="M461" s="8725">
        <v>5.0000000000000001E-3</v>
      </c>
      <c r="N461" s="8715">
        <f>SUM(H461:M461)</f>
        <v>1.2450000000000001</v>
      </c>
      <c r="O461" s="15"/>
      <c r="P461" s="15"/>
      <c r="Q461" s="15"/>
    </row>
    <row r="462" spans="1:17">
      <c r="A462" s="32"/>
      <c r="B462" s="8716">
        <v>6.5000000000000002E-2</v>
      </c>
      <c r="C462" s="8718">
        <v>7.4999999999999997E-2</v>
      </c>
      <c r="D462" s="8718">
        <v>0.12</v>
      </c>
      <c r="E462" s="8720">
        <v>0.15</v>
      </c>
      <c r="F462" s="15"/>
      <c r="G462" s="15"/>
      <c r="H462" s="8724"/>
      <c r="I462" s="8725"/>
      <c r="J462" s="8725"/>
      <c r="K462" s="8725"/>
      <c r="L462" s="8725"/>
      <c r="M462" s="8725"/>
      <c r="N462" s="8715"/>
      <c r="O462" s="15"/>
      <c r="P462" s="15"/>
      <c r="Q462" s="15"/>
    </row>
    <row r="463" spans="1:17">
      <c r="A463" s="32"/>
      <c r="B463" s="8717"/>
      <c r="C463" s="8719"/>
      <c r="D463" s="8719"/>
      <c r="E463" s="8721"/>
      <c r="F463" s="15"/>
      <c r="G463" s="15"/>
      <c r="H463" s="8722">
        <f>(H461/N461)*N463</f>
        <v>2.1204819277108431</v>
      </c>
      <c r="I463" s="8723">
        <f>(I461/N461)*N463</f>
        <v>17.670682730923691</v>
      </c>
      <c r="J463" s="8723">
        <f>(J461/N461)*N463</f>
        <v>1.9437751004016062</v>
      </c>
      <c r="K463" s="8723">
        <f>(K461/N461)*N463</f>
        <v>0</v>
      </c>
      <c r="L463" s="8723">
        <f>(L461/N461)*N463</f>
        <v>0.17670682730923692</v>
      </c>
      <c r="M463" s="8723">
        <f>(M461/N461)*N463</f>
        <v>8.8353413654618462E-2</v>
      </c>
      <c r="N463" s="8726">
        <v>22</v>
      </c>
      <c r="O463" s="15"/>
      <c r="P463" s="15"/>
      <c r="Q463" s="15"/>
    </row>
    <row r="464" spans="1:17">
      <c r="A464" s="32"/>
      <c r="B464" s="49" t="s">
        <v>198</v>
      </c>
      <c r="C464" s="50" t="s">
        <v>199</v>
      </c>
      <c r="D464" s="50" t="s">
        <v>200</v>
      </c>
      <c r="E464" s="2293" t="s">
        <v>201</v>
      </c>
      <c r="F464" s="15"/>
      <c r="G464" s="15"/>
      <c r="H464" s="8722"/>
      <c r="I464" s="8723"/>
      <c r="J464" s="8723"/>
      <c r="K464" s="8723"/>
      <c r="L464" s="8723"/>
      <c r="M464" s="8723"/>
      <c r="N464" s="8726"/>
      <c r="O464" s="15"/>
      <c r="P464" s="15"/>
      <c r="Q464" s="15"/>
    </row>
    <row r="465" spans="1:17">
      <c r="A465" s="32"/>
      <c r="B465" s="8692">
        <v>920</v>
      </c>
      <c r="C465" s="8694">
        <v>1700</v>
      </c>
      <c r="D465" s="8694">
        <v>240</v>
      </c>
      <c r="E465" s="8696">
        <v>85</v>
      </c>
      <c r="F465" s="15"/>
      <c r="G465" s="15"/>
      <c r="H465" s="8698" t="s">
        <v>202</v>
      </c>
      <c r="I465" s="8699"/>
      <c r="J465" s="8699"/>
      <c r="K465" s="8699"/>
      <c r="L465" s="8699"/>
      <c r="M465" s="8699"/>
      <c r="N465" s="8700"/>
      <c r="O465" s="15"/>
      <c r="P465" s="15"/>
      <c r="Q465" s="15"/>
    </row>
    <row r="466" spans="1:17">
      <c r="A466" s="32"/>
      <c r="B466" s="8693"/>
      <c r="C466" s="8695"/>
      <c r="D466" s="8695"/>
      <c r="E466" s="8697"/>
      <c r="F466" s="15"/>
      <c r="G466" s="15"/>
      <c r="H466" s="8701">
        <f t="shared" ref="H466:M466" si="2">ROUNDUP(H463,2)</f>
        <v>2.13</v>
      </c>
      <c r="I466" s="8702">
        <f t="shared" si="2"/>
        <v>17.680000000000003</v>
      </c>
      <c r="J466" s="8702">
        <f t="shared" si="2"/>
        <v>1.95</v>
      </c>
      <c r="K466" s="8702">
        <f t="shared" si="2"/>
        <v>0</v>
      </c>
      <c r="L466" s="8702">
        <f t="shared" si="2"/>
        <v>0.18000000000000002</v>
      </c>
      <c r="M466" s="8702">
        <f t="shared" si="2"/>
        <v>0.09</v>
      </c>
      <c r="N466" s="8703">
        <f>SUM(H466:M466)</f>
        <v>22.03</v>
      </c>
      <c r="O466" s="15"/>
      <c r="P466" s="15"/>
      <c r="Q466" s="15"/>
    </row>
    <row r="467" spans="1:17">
      <c r="A467" s="32"/>
      <c r="B467" s="8704" t="s">
        <v>203</v>
      </c>
      <c r="C467" s="8706">
        <f>SUM(B465:E465)</f>
        <v>2945</v>
      </c>
      <c r="D467" s="8708" t="s">
        <v>204</v>
      </c>
      <c r="E467" s="8710">
        <f>IF(E460=0,0,E460/D462)</f>
        <v>1907.0833333333335</v>
      </c>
      <c r="F467" s="15"/>
      <c r="G467" s="15"/>
      <c r="H467" s="8701"/>
      <c r="I467" s="8702"/>
      <c r="J467" s="8702"/>
      <c r="K467" s="8702"/>
      <c r="L467" s="8702"/>
      <c r="M467" s="8702"/>
      <c r="N467" s="8703"/>
      <c r="O467" s="15"/>
      <c r="P467" s="15"/>
      <c r="Q467" s="15"/>
    </row>
    <row r="468" spans="1:17" ht="15.75" thickBot="1">
      <c r="A468" s="32"/>
      <c r="B468" s="8705"/>
      <c r="C468" s="8707"/>
      <c r="D468" s="8709"/>
      <c r="E468" s="8711"/>
      <c r="F468" s="15"/>
      <c r="G468" s="15"/>
      <c r="H468" s="8712" t="s">
        <v>205</v>
      </c>
      <c r="I468" s="8713"/>
      <c r="J468" s="8713"/>
      <c r="K468" s="8713"/>
      <c r="L468" s="8713"/>
      <c r="M468" s="8713"/>
      <c r="N468" s="8714"/>
      <c r="O468" s="15"/>
      <c r="P468" s="15"/>
      <c r="Q468" s="15"/>
    </row>
    <row r="469" spans="1:17" ht="15.75" thickBot="1">
      <c r="A469" s="32"/>
      <c r="B469" s="8677" t="s">
        <v>205</v>
      </c>
      <c r="C469" s="8678"/>
      <c r="D469" s="8678"/>
      <c r="E469" s="8679"/>
      <c r="F469" s="15"/>
      <c r="G469" s="15"/>
      <c r="H469" s="15"/>
      <c r="I469" s="14"/>
      <c r="J469" s="14"/>
      <c r="K469" s="14"/>
      <c r="L469" s="14"/>
      <c r="M469" s="15"/>
      <c r="N469" s="15"/>
      <c r="O469" s="15"/>
      <c r="P469" s="15"/>
      <c r="Q469" s="15"/>
    </row>
    <row r="470" spans="1:17" ht="15.75" thickBot="1">
      <c r="A470" s="15"/>
      <c r="B470" s="723"/>
      <c r="C470" s="723"/>
      <c r="D470" s="723"/>
      <c r="E470" s="723"/>
      <c r="F470" s="723"/>
      <c r="G470" s="723"/>
      <c r="H470" s="14"/>
      <c r="I470" s="721"/>
      <c r="J470" s="721"/>
      <c r="K470" s="38"/>
      <c r="L470" s="14"/>
      <c r="M470" s="14"/>
      <c r="N470" s="14"/>
      <c r="O470" s="14"/>
      <c r="P470" s="14"/>
      <c r="Q470" s="14"/>
    </row>
    <row r="471" spans="1:17" ht="15" customHeight="1">
      <c r="B471" s="8680" t="s">
        <v>1523</v>
      </c>
      <c r="C471" s="8681"/>
      <c r="D471" s="8681"/>
      <c r="E471" s="8681"/>
      <c r="F471" s="8681"/>
      <c r="G471" s="8681"/>
      <c r="H471" s="8681"/>
      <c r="I471" s="8681"/>
      <c r="J471" s="8681"/>
      <c r="K471" s="8681"/>
      <c r="L471" s="8681"/>
      <c r="M471" s="8681"/>
      <c r="N471" s="8681"/>
      <c r="O471" s="8681"/>
      <c r="P471" s="8681"/>
      <c r="Q471" s="8682"/>
    </row>
    <row r="472" spans="1:17" ht="15.75" customHeight="1" thickBot="1">
      <c r="B472" s="8683"/>
      <c r="C472" s="8684"/>
      <c r="D472" s="8684"/>
      <c r="E472" s="8684"/>
      <c r="F472" s="8684"/>
      <c r="G472" s="8684"/>
      <c r="H472" s="8684"/>
      <c r="I472" s="8684"/>
      <c r="J472" s="8684"/>
      <c r="K472" s="8684"/>
      <c r="L472" s="8684"/>
      <c r="M472" s="8684"/>
      <c r="N472" s="8684"/>
      <c r="O472" s="8684"/>
      <c r="P472" s="8684"/>
      <c r="Q472" s="8685"/>
    </row>
    <row r="473" spans="1:17">
      <c r="A473" s="1"/>
      <c r="B473" s="1"/>
      <c r="C473" s="1"/>
      <c r="D473" s="1"/>
      <c r="E473" s="1"/>
      <c r="F473" s="1"/>
      <c r="G473" s="1"/>
      <c r="H473" s="1"/>
      <c r="I473" s="1"/>
      <c r="J473" s="1"/>
      <c r="K473" s="1"/>
      <c r="L473" s="1"/>
      <c r="M473" s="1"/>
      <c r="N473" s="1"/>
      <c r="O473" s="1"/>
      <c r="P473" s="1"/>
      <c r="Q473" s="1"/>
    </row>
    <row r="474" spans="1:17" ht="15.75" thickBot="1">
      <c r="A474" s="2222" t="s">
        <v>67</v>
      </c>
      <c r="B474" s="8650" t="str">
        <f>B475</f>
        <v>Gélatine alimentaire</v>
      </c>
      <c r="C474" s="8650"/>
      <c r="D474" s="8650"/>
      <c r="E474" s="8650"/>
      <c r="F474" s="8650"/>
      <c r="G474" s="8650"/>
      <c r="H474" s="8650"/>
      <c r="I474" s="8650"/>
      <c r="J474" s="8650"/>
      <c r="K474" s="8650"/>
      <c r="L474" s="8650"/>
      <c r="M474" s="8650"/>
      <c r="N474" s="8650"/>
      <c r="O474" s="1"/>
      <c r="P474" s="1"/>
      <c r="Q474" s="1"/>
    </row>
    <row r="475" spans="1:17" ht="15" customHeight="1">
      <c r="A475" s="8651" t="str">
        <f>B475</f>
        <v>Gélatine alimentaire</v>
      </c>
      <c r="B475" s="8652" t="s">
        <v>1524</v>
      </c>
      <c r="C475" s="8653"/>
      <c r="D475" s="8653"/>
      <c r="E475" s="8653"/>
      <c r="F475" s="8653"/>
      <c r="G475" s="8653"/>
      <c r="H475" s="8653"/>
      <c r="I475" s="8653"/>
      <c r="J475" s="8653"/>
      <c r="K475" s="8653"/>
      <c r="L475" s="8653"/>
      <c r="M475" s="8653"/>
      <c r="N475" s="8654"/>
      <c r="O475" s="1"/>
      <c r="P475" s="1"/>
      <c r="Q475" s="1"/>
    </row>
    <row r="476" spans="1:17" ht="15" customHeight="1">
      <c r="A476" s="8651"/>
      <c r="B476" s="8655"/>
      <c r="C476" s="8656"/>
      <c r="D476" s="8656"/>
      <c r="E476" s="8656"/>
      <c r="F476" s="8656"/>
      <c r="G476" s="8656"/>
      <c r="H476" s="8656"/>
      <c r="I476" s="8656"/>
      <c r="J476" s="8656"/>
      <c r="K476" s="8656"/>
      <c r="L476" s="8656"/>
      <c r="M476" s="8656"/>
      <c r="N476" s="8657"/>
      <c r="O476" s="1"/>
      <c r="P476" s="1"/>
      <c r="Q476" s="1"/>
    </row>
    <row r="477" spans="1:17" ht="15" customHeight="1">
      <c r="A477" s="8651"/>
      <c r="B477" s="8658" t="s">
        <v>1525</v>
      </c>
      <c r="C477" s="8659"/>
      <c r="D477" s="8659"/>
      <c r="E477" s="8659"/>
      <c r="F477" s="8659"/>
      <c r="G477" s="8659"/>
      <c r="H477" s="8659"/>
      <c r="I477" s="8659"/>
      <c r="J477" s="8659"/>
      <c r="K477" s="8659"/>
      <c r="L477" s="8659"/>
      <c r="M477" s="8659"/>
      <c r="N477" s="8660"/>
      <c r="O477" s="1"/>
      <c r="P477" s="1"/>
      <c r="Q477" s="1"/>
    </row>
    <row r="478" spans="1:17" ht="15.75" customHeight="1">
      <c r="A478" s="8651"/>
      <c r="B478" s="8661"/>
      <c r="C478" s="8662"/>
      <c r="D478" s="8662"/>
      <c r="E478" s="8662"/>
      <c r="F478" s="8662"/>
      <c r="G478" s="8662"/>
      <c r="H478" s="8662"/>
      <c r="I478" s="8662"/>
      <c r="J478" s="8662"/>
      <c r="K478" s="8662"/>
      <c r="L478" s="8662"/>
      <c r="M478" s="8662"/>
      <c r="N478" s="8663"/>
      <c r="O478" s="1"/>
      <c r="P478" s="1"/>
      <c r="Q478" s="1"/>
    </row>
    <row r="479" spans="1:17" ht="15.75" customHeight="1">
      <c r="A479" s="8651"/>
      <c r="B479" s="656"/>
      <c r="C479" s="657"/>
      <c r="D479" s="657"/>
      <c r="E479" s="657"/>
      <c r="F479" s="657"/>
      <c r="G479" s="657"/>
      <c r="H479" s="657"/>
      <c r="I479" s="657"/>
      <c r="J479" s="657"/>
      <c r="K479" s="657"/>
      <c r="L479" s="657"/>
      <c r="M479" s="657"/>
      <c r="N479" s="2294" t="s">
        <v>1526</v>
      </c>
      <c r="O479" s="1"/>
      <c r="P479" s="1"/>
      <c r="Q479" s="1"/>
    </row>
    <row r="480" spans="1:17" ht="16.5" customHeight="1">
      <c r="A480" s="8651"/>
      <c r="B480" s="656"/>
      <c r="C480" s="2295" t="s">
        <v>1527</v>
      </c>
      <c r="D480" s="657"/>
      <c r="E480" s="657"/>
      <c r="F480" s="657"/>
      <c r="G480" s="657"/>
      <c r="H480" s="657"/>
      <c r="I480" s="657"/>
      <c r="J480" s="657"/>
      <c r="K480" s="657"/>
      <c r="L480" s="657"/>
      <c r="M480" s="657"/>
      <c r="N480" s="2296"/>
      <c r="O480" s="1"/>
      <c r="P480" s="1"/>
      <c r="Q480" s="1"/>
    </row>
    <row r="481" spans="1:17" ht="15.75" customHeight="1">
      <c r="A481" s="8651"/>
      <c r="B481" s="656"/>
      <c r="C481" s="2295" t="s">
        <v>1528</v>
      </c>
      <c r="D481" s="657"/>
      <c r="E481" s="657"/>
      <c r="F481" s="657"/>
      <c r="G481" s="657"/>
      <c r="H481" s="657"/>
      <c r="I481" s="657"/>
      <c r="J481" s="657"/>
      <c r="K481" s="657"/>
      <c r="L481" s="657"/>
      <c r="M481" s="657"/>
      <c r="N481" s="2296"/>
      <c r="O481" s="1"/>
      <c r="P481" s="1"/>
      <c r="Q481" s="1"/>
    </row>
    <row r="482" spans="1:17" ht="15.75">
      <c r="A482" s="8651"/>
      <c r="B482" s="656"/>
      <c r="C482" s="2295" t="s">
        <v>1529</v>
      </c>
      <c r="D482" s="657"/>
      <c r="E482" s="657"/>
      <c r="F482" s="657"/>
      <c r="G482" s="657"/>
      <c r="H482" s="657"/>
      <c r="I482" s="657"/>
      <c r="J482" s="657"/>
      <c r="K482" s="657"/>
      <c r="L482" s="657"/>
      <c r="M482" s="657"/>
      <c r="N482" s="2296"/>
      <c r="O482" s="1"/>
      <c r="P482" s="1"/>
      <c r="Q482" s="1"/>
    </row>
    <row r="483" spans="1:17" ht="15.75" customHeight="1">
      <c r="A483" s="8651"/>
      <c r="B483" s="656"/>
      <c r="C483" s="2295" t="s">
        <v>1530</v>
      </c>
      <c r="D483" s="657"/>
      <c r="E483" s="657"/>
      <c r="F483" s="657"/>
      <c r="G483" s="657"/>
      <c r="H483" s="657"/>
      <c r="I483" s="657"/>
      <c r="J483" s="657"/>
      <c r="K483" s="657"/>
      <c r="L483" s="657"/>
      <c r="M483" s="657"/>
      <c r="N483" s="2296"/>
      <c r="O483" s="1"/>
      <c r="P483" s="1"/>
      <c r="Q483" s="1"/>
    </row>
    <row r="484" spans="1:17" ht="15.75">
      <c r="A484" s="8651"/>
      <c r="B484" s="656"/>
      <c r="C484" s="2295" t="s">
        <v>1531</v>
      </c>
      <c r="D484" s="657"/>
      <c r="E484" s="657"/>
      <c r="F484" s="657"/>
      <c r="G484" s="657"/>
      <c r="H484" s="657"/>
      <c r="I484" s="657"/>
      <c r="J484" s="657"/>
      <c r="K484" s="657"/>
      <c r="L484" s="657"/>
      <c r="M484" s="657"/>
      <c r="N484" s="2296"/>
      <c r="O484" s="1"/>
      <c r="P484" s="1"/>
      <c r="Q484" s="1"/>
    </row>
    <row r="485" spans="1:17" ht="15.75">
      <c r="A485" s="8651"/>
      <c r="B485" s="656"/>
      <c r="C485" s="2295" t="s">
        <v>1532</v>
      </c>
      <c r="D485" s="657"/>
      <c r="E485" s="657"/>
      <c r="F485" s="657"/>
      <c r="G485" s="657"/>
      <c r="H485" s="657"/>
      <c r="I485" s="657"/>
      <c r="J485" s="657"/>
      <c r="K485" s="657"/>
      <c r="L485" s="657"/>
      <c r="M485" s="657"/>
      <c r="N485" s="2296"/>
      <c r="O485" s="1"/>
      <c r="P485" s="1"/>
      <c r="Q485" s="1"/>
    </row>
    <row r="486" spans="1:17" ht="15.75">
      <c r="A486" s="8651"/>
      <c r="B486" s="656"/>
      <c r="C486" s="2295" t="s">
        <v>1533</v>
      </c>
      <c r="D486" s="657"/>
      <c r="E486" s="657"/>
      <c r="F486" s="657"/>
      <c r="G486" s="657"/>
      <c r="H486" s="657"/>
      <c r="I486" s="657"/>
      <c r="J486" s="657"/>
      <c r="K486" s="657"/>
      <c r="L486" s="657"/>
      <c r="M486" s="657"/>
      <c r="N486" s="2296"/>
      <c r="O486" s="1"/>
      <c r="P486" s="1"/>
      <c r="Q486" s="1"/>
    </row>
    <row r="487" spans="1:17">
      <c r="A487" s="8651"/>
      <c r="B487" s="656"/>
      <c r="C487" s="657"/>
      <c r="D487" s="657"/>
      <c r="E487" s="657"/>
      <c r="F487" s="657"/>
      <c r="G487" s="657"/>
      <c r="H487" s="657"/>
      <c r="I487" s="657"/>
      <c r="J487" s="657"/>
      <c r="K487" s="657"/>
      <c r="L487" s="657"/>
      <c r="M487" s="657"/>
      <c r="N487" s="2296"/>
      <c r="O487" s="1"/>
      <c r="P487" s="1"/>
      <c r="Q487" s="1"/>
    </row>
    <row r="488" spans="1:17">
      <c r="A488" s="8651"/>
      <c r="B488" s="656"/>
      <c r="C488" s="8686" t="s">
        <v>1534</v>
      </c>
      <c r="D488" s="8687"/>
      <c r="E488" s="8687"/>
      <c r="F488" s="8687"/>
      <c r="G488" s="8687"/>
      <c r="H488" s="8687"/>
      <c r="I488" s="8687"/>
      <c r="J488" s="8687"/>
      <c r="K488" s="8687"/>
      <c r="L488" s="8687"/>
      <c r="M488" s="8688"/>
      <c r="N488" s="2296"/>
      <c r="O488" s="1"/>
      <c r="P488" s="1"/>
      <c r="Q488" s="1"/>
    </row>
    <row r="489" spans="1:17">
      <c r="A489" s="8651"/>
      <c r="B489" s="656"/>
      <c r="C489" s="664"/>
      <c r="D489" s="665"/>
      <c r="E489" s="1"/>
      <c r="F489" s="661" t="s">
        <v>66</v>
      </c>
      <c r="G489" s="665"/>
      <c r="H489" s="8689" t="s">
        <v>1535</v>
      </c>
      <c r="I489" s="8689"/>
      <c r="J489" s="8689"/>
      <c r="K489" s="8689"/>
      <c r="L489" s="8689"/>
      <c r="M489" s="8690"/>
      <c r="N489" s="2296"/>
      <c r="O489" s="1"/>
      <c r="P489" s="1"/>
      <c r="Q489" s="1"/>
    </row>
    <row r="490" spans="1:17" ht="15.75">
      <c r="A490" s="8651"/>
      <c r="B490" s="656"/>
      <c r="C490" s="666" t="s">
        <v>81</v>
      </c>
      <c r="D490" s="8691" t="s">
        <v>1536</v>
      </c>
      <c r="E490" s="8691"/>
      <c r="F490" s="667">
        <v>2</v>
      </c>
      <c r="G490" s="12"/>
      <c r="H490" s="668" t="s">
        <v>1537</v>
      </c>
      <c r="I490" s="12"/>
      <c r="J490" s="12"/>
      <c r="K490" s="669"/>
      <c r="L490" s="669"/>
      <c r="M490" s="2297"/>
      <c r="N490" s="2296"/>
      <c r="O490" s="1"/>
      <c r="P490" s="1"/>
      <c r="Q490" s="1"/>
    </row>
    <row r="491" spans="1:17" ht="15.75">
      <c r="A491" s="8651"/>
      <c r="B491" s="656"/>
      <c r="C491" s="671">
        <v>10</v>
      </c>
      <c r="D491" s="672" t="s">
        <v>126</v>
      </c>
      <c r="E491" s="1"/>
      <c r="F491" s="673">
        <f>C491*F490</f>
        <v>20</v>
      </c>
      <c r="G491" s="674"/>
      <c r="H491" s="675" t="s">
        <v>1538</v>
      </c>
      <c r="I491" s="12"/>
      <c r="J491" s="12"/>
      <c r="K491" s="669"/>
      <c r="L491" s="669"/>
      <c r="M491" s="2297"/>
      <c r="N491" s="2296"/>
      <c r="O491" s="1"/>
      <c r="P491" s="1"/>
      <c r="Q491" s="1"/>
    </row>
    <row r="492" spans="1:17" ht="15.75">
      <c r="A492" s="8651"/>
      <c r="B492" s="656"/>
      <c r="C492" s="676"/>
      <c r="D492" s="677"/>
      <c r="E492" s="669"/>
      <c r="F492" s="669"/>
      <c r="G492" s="669"/>
      <c r="H492" s="675" t="s">
        <v>1539</v>
      </c>
      <c r="I492" s="716"/>
      <c r="J492" s="12"/>
      <c r="K492" s="669"/>
      <c r="L492" s="669"/>
      <c r="M492" s="2297"/>
      <c r="N492" s="2296"/>
      <c r="O492" s="1"/>
      <c r="P492" s="1"/>
      <c r="Q492" s="1"/>
    </row>
    <row r="493" spans="1:17" ht="15.75">
      <c r="A493" s="8651"/>
      <c r="B493" s="656"/>
      <c r="C493" s="666"/>
      <c r="D493" s="678"/>
      <c r="E493" s="669"/>
      <c r="F493" s="669"/>
      <c r="G493" s="669"/>
      <c r="H493" s="668" t="s">
        <v>1540</v>
      </c>
      <c r="I493" s="12"/>
      <c r="J493" s="12"/>
      <c r="K493" s="669"/>
      <c r="L493" s="669"/>
      <c r="M493" s="2297"/>
      <c r="N493" s="2296"/>
      <c r="O493" s="1"/>
      <c r="P493" s="1"/>
      <c r="Q493" s="1"/>
    </row>
    <row r="494" spans="1:17" ht="15.75">
      <c r="A494" s="8651"/>
      <c r="B494" s="656"/>
      <c r="C494" s="680" t="s">
        <v>66</v>
      </c>
      <c r="D494" s="681" t="s">
        <v>1541</v>
      </c>
      <c r="E494" s="682"/>
      <c r="F494" s="682"/>
      <c r="G494" s="682"/>
      <c r="H494" s="682"/>
      <c r="I494" s="682"/>
      <c r="J494" s="682"/>
      <c r="K494" s="682"/>
      <c r="L494" s="682"/>
      <c r="M494" s="683"/>
      <c r="N494" s="2296"/>
      <c r="O494" s="1"/>
      <c r="P494" s="1"/>
      <c r="Q494" s="1"/>
    </row>
    <row r="495" spans="1:17" ht="15.75">
      <c r="A495" s="8651"/>
      <c r="B495" s="656"/>
      <c r="C495" s="2298" t="s">
        <v>81</v>
      </c>
      <c r="D495" s="2299" t="s">
        <v>1542</v>
      </c>
      <c r="E495" s="2300"/>
      <c r="F495" s="2300"/>
      <c r="G495" s="2300"/>
      <c r="H495" s="2300"/>
      <c r="I495" s="2300"/>
      <c r="J495" s="2300"/>
      <c r="K495" s="2300"/>
      <c r="L495" s="2300"/>
      <c r="M495" s="2301"/>
      <c r="N495" s="2296"/>
      <c r="O495" s="1"/>
      <c r="P495" s="1"/>
      <c r="Q495" s="1"/>
    </row>
    <row r="496" spans="1:17">
      <c r="A496" s="8651"/>
      <c r="B496" s="679" t="str">
        <f ca="1">CELL("nomfichier",A492)</f>
        <v>D:\Données\1.UPRT\0-UPRT.fait\1-UPRT.FR-SITE-WEB\ff-fiches-fabrications\ff.fiches.fabrication.2023\UPRT.23.aout\[ff-20-CHARCUTERIE-michel-Mariette.BOUDIN.BLANC_-1.xlsx]Cuisiniers.Pesez</v>
      </c>
      <c r="C496" s="657"/>
      <c r="D496" s="657"/>
      <c r="E496" s="657"/>
      <c r="F496" s="657"/>
      <c r="G496" s="657"/>
      <c r="H496" s="657"/>
      <c r="I496" s="657"/>
      <c r="J496" s="657"/>
      <c r="K496" s="657"/>
      <c r="L496" s="657"/>
      <c r="M496" s="657"/>
      <c r="N496" s="2296"/>
      <c r="O496" s="1"/>
      <c r="P496" s="1"/>
      <c r="Q496" s="1"/>
    </row>
    <row r="497" spans="1:17" ht="15" customHeight="1">
      <c r="A497" s="8651"/>
      <c r="B497" s="8671" t="s">
        <v>1543</v>
      </c>
      <c r="C497" s="8672"/>
      <c r="D497" s="8672"/>
      <c r="E497" s="8672"/>
      <c r="F497" s="8672"/>
      <c r="G497" s="8672"/>
      <c r="H497" s="8672"/>
      <c r="I497" s="8672"/>
      <c r="J497" s="8672"/>
      <c r="K497" s="8672"/>
      <c r="L497" s="8672"/>
      <c r="M497" s="8672"/>
      <c r="N497" s="8673"/>
      <c r="O497" s="1"/>
      <c r="P497" s="1"/>
      <c r="Q497" s="1"/>
    </row>
    <row r="498" spans="1:17" ht="15.75" thickBot="1">
      <c r="A498" s="8651"/>
      <c r="B498" s="8674"/>
      <c r="C498" s="8675"/>
      <c r="D498" s="8675"/>
      <c r="E498" s="8675"/>
      <c r="F498" s="8675"/>
      <c r="G498" s="8675"/>
      <c r="H498" s="8675"/>
      <c r="I498" s="8675"/>
      <c r="J498" s="8675"/>
      <c r="K498" s="8675"/>
      <c r="L498" s="8675"/>
      <c r="M498" s="8675"/>
      <c r="N498" s="8676"/>
      <c r="O498" s="1"/>
      <c r="P498" s="1"/>
      <c r="Q498" s="1"/>
    </row>
    <row r="499" spans="1:17">
      <c r="B499" s="1"/>
      <c r="C499" s="1"/>
      <c r="D499" s="1"/>
      <c r="E499" s="1"/>
      <c r="F499" s="1"/>
      <c r="G499" s="1"/>
      <c r="H499" s="1"/>
      <c r="I499" s="1"/>
      <c r="J499" s="1"/>
      <c r="K499" s="1"/>
      <c r="L499" s="1"/>
      <c r="M499" s="1"/>
      <c r="N499" s="1"/>
      <c r="O499" s="1"/>
      <c r="P499" s="1"/>
      <c r="Q499" s="1"/>
    </row>
    <row r="500" spans="1:17" ht="15.75" thickBot="1">
      <c r="A500" s="2222" t="s">
        <v>67</v>
      </c>
      <c r="B500" s="8650" t="str">
        <f>B501</f>
        <v>ŒUFS poids et %</v>
      </c>
      <c r="C500" s="8650"/>
      <c r="D500" s="8650"/>
      <c r="E500" s="8650"/>
      <c r="F500" s="8650"/>
      <c r="G500" s="8650"/>
      <c r="H500" s="8650"/>
      <c r="I500" s="8650"/>
      <c r="J500" s="8650"/>
      <c r="K500" s="8650"/>
      <c r="L500" s="8650"/>
      <c r="M500" s="8650"/>
      <c r="N500" s="8650"/>
      <c r="O500" s="1"/>
      <c r="P500" s="1"/>
      <c r="Q500" s="1"/>
    </row>
    <row r="501" spans="1:17" ht="15" customHeight="1">
      <c r="A501" s="8651" t="str">
        <f>B501</f>
        <v>ŒUFS poids et %</v>
      </c>
      <c r="B501" s="8652" t="s">
        <v>1544</v>
      </c>
      <c r="C501" s="8653"/>
      <c r="D501" s="8653"/>
      <c r="E501" s="8653"/>
      <c r="F501" s="8653"/>
      <c r="G501" s="8653"/>
      <c r="H501" s="8653"/>
      <c r="I501" s="8653"/>
      <c r="J501" s="8653"/>
      <c r="K501" s="8653"/>
      <c r="L501" s="8653"/>
      <c r="M501" s="8653"/>
      <c r="N501" s="8654"/>
      <c r="O501" s="1"/>
      <c r="P501" s="1"/>
      <c r="Q501" s="1"/>
    </row>
    <row r="502" spans="1:17" ht="15" customHeight="1">
      <c r="A502" s="8651"/>
      <c r="B502" s="8655"/>
      <c r="C502" s="8656"/>
      <c r="D502" s="8656"/>
      <c r="E502" s="8656"/>
      <c r="F502" s="8656"/>
      <c r="G502" s="8656"/>
      <c r="H502" s="8656"/>
      <c r="I502" s="8656"/>
      <c r="J502" s="8656"/>
      <c r="K502" s="8656"/>
      <c r="L502" s="8656"/>
      <c r="M502" s="8656"/>
      <c r="N502" s="8657"/>
      <c r="O502" s="1"/>
      <c r="P502" s="1"/>
      <c r="Q502" s="1"/>
    </row>
    <row r="503" spans="1:17" ht="15" customHeight="1">
      <c r="A503" s="8651"/>
      <c r="B503" s="8658" t="s">
        <v>271</v>
      </c>
      <c r="C503" s="8659"/>
      <c r="D503" s="8659"/>
      <c r="E503" s="8659"/>
      <c r="F503" s="8659"/>
      <c r="G503" s="8659"/>
      <c r="H503" s="8659"/>
      <c r="I503" s="8659"/>
      <c r="J503" s="8659"/>
      <c r="K503" s="8659"/>
      <c r="L503" s="8659"/>
      <c r="M503" s="8659"/>
      <c r="N503" s="8660"/>
      <c r="O503" s="1"/>
      <c r="P503" s="1"/>
      <c r="Q503" s="1"/>
    </row>
    <row r="504" spans="1:17" ht="15.75" customHeight="1">
      <c r="A504" s="8651"/>
      <c r="B504" s="8661"/>
      <c r="C504" s="8662"/>
      <c r="D504" s="8662"/>
      <c r="E504" s="8662"/>
      <c r="F504" s="8662"/>
      <c r="G504" s="8662"/>
      <c r="H504" s="8662"/>
      <c r="I504" s="8662"/>
      <c r="J504" s="8662"/>
      <c r="K504" s="8662"/>
      <c r="L504" s="8662"/>
      <c r="M504" s="8662"/>
      <c r="N504" s="8663"/>
      <c r="O504" s="1"/>
      <c r="P504" s="1"/>
      <c r="Q504" s="1"/>
    </row>
    <row r="505" spans="1:17" ht="15" customHeight="1">
      <c r="A505" s="8651"/>
      <c r="B505" s="8664" t="s">
        <v>1544</v>
      </c>
      <c r="C505" s="8665"/>
      <c r="D505" s="8665"/>
      <c r="E505" s="8665"/>
      <c r="F505" s="8665"/>
      <c r="G505" s="8665"/>
      <c r="H505" s="8665"/>
      <c r="I505" s="8665"/>
      <c r="J505" s="8665"/>
      <c r="K505" s="8665"/>
      <c r="L505" s="8665"/>
      <c r="M505" s="8665"/>
      <c r="N505" s="8666"/>
      <c r="O505" s="1"/>
      <c r="P505" s="1"/>
      <c r="Q505" s="1"/>
    </row>
    <row r="506" spans="1:17" ht="15.75" customHeight="1">
      <c r="A506" s="8651"/>
      <c r="B506" s="2302" t="s">
        <v>81</v>
      </c>
      <c r="C506" s="2303"/>
      <c r="D506" s="2304" t="s">
        <v>66</v>
      </c>
      <c r="E506" s="2303"/>
      <c r="F506" s="2303"/>
      <c r="G506" s="2305" t="s">
        <v>81</v>
      </c>
      <c r="H506" s="2303"/>
      <c r="I506" s="2304" t="s">
        <v>66</v>
      </c>
      <c r="J506" s="2303"/>
      <c r="K506" s="2305" t="s">
        <v>81</v>
      </c>
      <c r="L506" s="2303"/>
      <c r="M506" s="2304" t="s">
        <v>66</v>
      </c>
      <c r="N506" s="2306"/>
      <c r="O506" s="1"/>
      <c r="P506" s="1"/>
      <c r="Q506" s="1"/>
    </row>
    <row r="507" spans="1:17" ht="18.75" customHeight="1">
      <c r="A507" s="8651"/>
      <c r="B507" s="8667" t="s">
        <v>1545</v>
      </c>
      <c r="C507" s="8668"/>
      <c r="D507" s="2307">
        <v>50</v>
      </c>
      <c r="E507" s="2308">
        <v>1</v>
      </c>
      <c r="F507" s="2309"/>
      <c r="G507" s="8669" t="s">
        <v>1546</v>
      </c>
      <c r="H507" s="8670"/>
      <c r="I507" s="2307">
        <v>20</v>
      </c>
      <c r="J507" s="2310">
        <f>I507/D507</f>
        <v>0.4</v>
      </c>
      <c r="K507" s="8669" t="s">
        <v>1547</v>
      </c>
      <c r="L507" s="8670"/>
      <c r="M507" s="2307">
        <v>30</v>
      </c>
      <c r="N507" s="2311">
        <f>M507/D507</f>
        <v>0.6</v>
      </c>
      <c r="O507" s="1"/>
      <c r="P507" s="1"/>
      <c r="Q507" s="1"/>
    </row>
    <row r="508" spans="1:17" ht="15.75">
      <c r="A508" s="8651"/>
      <c r="B508" s="688">
        <v>4</v>
      </c>
      <c r="C508" s="714" t="s">
        <v>1548</v>
      </c>
      <c r="D508" s="714">
        <f>B508*D507</f>
        <v>200</v>
      </c>
      <c r="E508" s="672" t="s">
        <v>39</v>
      </c>
      <c r="F508" s="1"/>
      <c r="G508" s="688">
        <v>10</v>
      </c>
      <c r="H508" s="714" t="s">
        <v>1549</v>
      </c>
      <c r="I508" s="714">
        <f>G508*I507</f>
        <v>200</v>
      </c>
      <c r="J508" s="672" t="s">
        <v>39</v>
      </c>
      <c r="K508" s="688">
        <v>12</v>
      </c>
      <c r="L508" s="714" t="s">
        <v>1550</v>
      </c>
      <c r="M508" s="714">
        <f>K508*M507</f>
        <v>360</v>
      </c>
      <c r="N508" s="2312" t="s">
        <v>39</v>
      </c>
      <c r="O508" s="1"/>
      <c r="P508" s="1"/>
      <c r="Q508" s="1"/>
    </row>
    <row r="509" spans="1:17" ht="15.75" customHeight="1">
      <c r="A509" s="8651"/>
      <c r="B509" s="689" t="s">
        <v>61</v>
      </c>
      <c r="C509" s="690" t="s">
        <v>1551</v>
      </c>
      <c r="D509" s="690" t="s">
        <v>1552</v>
      </c>
      <c r="E509" s="690" t="s">
        <v>1553</v>
      </c>
      <c r="F509" s="1"/>
      <c r="G509" s="689" t="s">
        <v>61</v>
      </c>
      <c r="H509" s="690" t="s">
        <v>1551</v>
      </c>
      <c r="I509" s="690" t="s">
        <v>1552</v>
      </c>
      <c r="J509" s="690" t="s">
        <v>1553</v>
      </c>
      <c r="K509" s="689" t="s">
        <v>61</v>
      </c>
      <c r="L509" s="690" t="s">
        <v>1551</v>
      </c>
      <c r="M509" s="690" t="s">
        <v>1552</v>
      </c>
      <c r="N509" s="2313" t="s">
        <v>1553</v>
      </c>
      <c r="O509" s="1"/>
      <c r="P509" s="1"/>
      <c r="Q509" s="1"/>
    </row>
    <row r="510" spans="1:17">
      <c r="A510" s="8651"/>
      <c r="B510" s="692">
        <f>D508</f>
        <v>200</v>
      </c>
      <c r="C510" s="693">
        <f>B510*C511</f>
        <v>24.489795918367346</v>
      </c>
      <c r="D510" s="693">
        <f>B510*D511</f>
        <v>22.448979591836736</v>
      </c>
      <c r="E510" s="693">
        <f>B510*E511</f>
        <v>153.0612244897959</v>
      </c>
      <c r="F510" s="1"/>
      <c r="G510" s="692">
        <f>I508</f>
        <v>200</v>
      </c>
      <c r="H510" s="694">
        <f>G510*H511</f>
        <v>34.4</v>
      </c>
      <c r="I510" s="694">
        <f>G510*I511</f>
        <v>64.600000000000009</v>
      </c>
      <c r="J510" s="694">
        <f>G510*J511</f>
        <v>101</v>
      </c>
      <c r="K510" s="692">
        <f>M508</f>
        <v>360</v>
      </c>
      <c r="L510" s="693">
        <f>K510*L511</f>
        <v>39.96</v>
      </c>
      <c r="M510" s="693">
        <f>K510*M511</f>
        <v>0</v>
      </c>
      <c r="N510" s="2314">
        <f>K510*N511</f>
        <v>320</v>
      </c>
      <c r="O510" s="1"/>
      <c r="P510" s="1"/>
      <c r="Q510" s="1"/>
    </row>
    <row r="511" spans="1:17">
      <c r="A511" s="8651"/>
      <c r="B511" s="696">
        <f>C511+D511+E511</f>
        <v>1</v>
      </c>
      <c r="C511" s="697">
        <v>0.12244897959183673</v>
      </c>
      <c r="D511" s="697">
        <v>0.11224489795918367</v>
      </c>
      <c r="E511" s="697">
        <v>0.76530612244897955</v>
      </c>
      <c r="F511" s="1"/>
      <c r="G511" s="696">
        <f>H511+I511+J511</f>
        <v>1</v>
      </c>
      <c r="H511" s="697">
        <v>0.17199999999999999</v>
      </c>
      <c r="I511" s="697">
        <v>0.32300000000000001</v>
      </c>
      <c r="J511" s="697">
        <v>0.505</v>
      </c>
      <c r="K511" s="696">
        <f>L511+M511+N511</f>
        <v>0.99988888888888894</v>
      </c>
      <c r="L511" s="697">
        <v>0.111</v>
      </c>
      <c r="M511" s="698">
        <v>0</v>
      </c>
      <c r="N511" s="2315">
        <v>0.88888888888888895</v>
      </c>
      <c r="O511" s="1"/>
      <c r="P511" s="1"/>
      <c r="Q511" s="1"/>
    </row>
    <row r="512" spans="1:17">
      <c r="A512" s="8651"/>
      <c r="B512" s="2316"/>
      <c r="C512" s="2304" t="s">
        <v>66</v>
      </c>
      <c r="D512" s="2304" t="s">
        <v>66</v>
      </c>
      <c r="E512" s="2304" t="s">
        <v>66</v>
      </c>
      <c r="F512" s="2317"/>
      <c r="G512" s="2316"/>
      <c r="H512" s="2304" t="s">
        <v>66</v>
      </c>
      <c r="I512" s="2304" t="s">
        <v>66</v>
      </c>
      <c r="J512" s="2304" t="s">
        <v>66</v>
      </c>
      <c r="K512" s="2316"/>
      <c r="L512" s="2304" t="s">
        <v>66</v>
      </c>
      <c r="M512" s="2318"/>
      <c r="N512" s="2319" t="s">
        <v>66</v>
      </c>
      <c r="O512" s="1"/>
      <c r="P512" s="1"/>
      <c r="Q512" s="1"/>
    </row>
    <row r="513" spans="1:17">
      <c r="A513" s="8651"/>
      <c r="B513" s="702" t="s">
        <v>66</v>
      </c>
      <c r="C513" s="703" t="s">
        <v>1554</v>
      </c>
      <c r="D513" s="704"/>
      <c r="E513" s="704"/>
      <c r="F513" s="704"/>
      <c r="G513" s="704"/>
      <c r="H513" s="704"/>
      <c r="I513" s="704"/>
      <c r="J513" s="704"/>
      <c r="K513" s="704"/>
      <c r="L513" s="704"/>
      <c r="M513" s="704"/>
      <c r="N513" s="2320"/>
      <c r="O513" s="1"/>
      <c r="P513" s="1"/>
      <c r="Q513" s="1"/>
    </row>
    <row r="514" spans="1:17">
      <c r="A514" s="8651"/>
      <c r="B514" s="706" t="s">
        <v>81</v>
      </c>
      <c r="C514" s="707" t="s">
        <v>1555</v>
      </c>
      <c r="D514" s="704"/>
      <c r="E514" s="704"/>
      <c r="F514" s="704"/>
      <c r="G514" s="704"/>
      <c r="H514" s="704"/>
      <c r="I514" s="704"/>
      <c r="J514" s="704"/>
      <c r="K514" s="704"/>
      <c r="L514" s="704"/>
      <c r="M514" s="657"/>
      <c r="N514" s="2321" t="s">
        <v>1526</v>
      </c>
      <c r="O514" s="1"/>
      <c r="P514" s="1"/>
      <c r="Q514" s="1"/>
    </row>
    <row r="515" spans="1:17">
      <c r="A515" s="8651"/>
      <c r="B515" s="709"/>
      <c r="C515" s="661"/>
      <c r="D515" s="710" t="s">
        <v>1556</v>
      </c>
      <c r="E515" s="711" t="s">
        <v>1557</v>
      </c>
      <c r="F515" s="1"/>
      <c r="G515" s="698"/>
      <c r="H515" s="661"/>
      <c r="I515" s="661"/>
      <c r="J515" s="661"/>
      <c r="K515" s="704"/>
      <c r="L515" s="704"/>
      <c r="M515" s="657"/>
      <c r="N515" s="2320"/>
      <c r="O515" s="1"/>
      <c r="P515" s="1"/>
      <c r="Q515" s="1"/>
    </row>
    <row r="516" spans="1:17" ht="15" customHeight="1">
      <c r="A516" s="8651"/>
      <c r="B516" s="8671" t="s">
        <v>1543</v>
      </c>
      <c r="C516" s="8672"/>
      <c r="D516" s="8672"/>
      <c r="E516" s="8672"/>
      <c r="F516" s="8672"/>
      <c r="G516" s="8672"/>
      <c r="H516" s="8672"/>
      <c r="I516" s="8672"/>
      <c r="J516" s="8672"/>
      <c r="K516" s="8672"/>
      <c r="L516" s="8672"/>
      <c r="M516" s="8672"/>
      <c r="N516" s="8673"/>
      <c r="O516" s="1"/>
      <c r="P516" s="1"/>
      <c r="Q516" s="1"/>
    </row>
    <row r="517" spans="1:17" ht="15.75" thickBot="1">
      <c r="A517" s="8651"/>
      <c r="B517" s="8674"/>
      <c r="C517" s="8675"/>
      <c r="D517" s="8675"/>
      <c r="E517" s="8675"/>
      <c r="F517" s="8675"/>
      <c r="G517" s="8675"/>
      <c r="H517" s="8675"/>
      <c r="I517" s="8675"/>
      <c r="J517" s="8675"/>
      <c r="K517" s="8675"/>
      <c r="L517" s="8675"/>
      <c r="M517" s="8675"/>
      <c r="N517" s="8676"/>
      <c r="O517" s="1"/>
      <c r="P517" s="1"/>
      <c r="Q517" s="1"/>
    </row>
    <row r="518" spans="1:17">
      <c r="A518" s="15"/>
      <c r="B518" s="723"/>
      <c r="C518" s="723"/>
      <c r="D518" s="723"/>
      <c r="E518" s="723"/>
      <c r="F518" s="723"/>
      <c r="G518" s="723"/>
      <c r="H518" s="14"/>
      <c r="I518" s="721"/>
      <c r="J518" s="721"/>
      <c r="K518" s="38"/>
      <c r="L518" s="14"/>
      <c r="M518" s="14"/>
      <c r="N518" s="14"/>
      <c r="O518" s="14"/>
      <c r="P518" s="14"/>
      <c r="Q518" s="14"/>
    </row>
    <row r="519" spans="1:17">
      <c r="A519" s="525"/>
      <c r="B519" s="526"/>
      <c r="C519" s="527"/>
      <c r="D519" s="527"/>
      <c r="E519" s="527"/>
      <c r="F519" s="527"/>
      <c r="G519" s="527"/>
      <c r="H519" s="527"/>
      <c r="I519" s="527"/>
      <c r="J519" s="526"/>
      <c r="K519" s="526"/>
      <c r="L519" s="526"/>
      <c r="M519" s="525"/>
      <c r="N519" s="525"/>
      <c r="O519" s="525"/>
      <c r="P519" s="525"/>
      <c r="Q519" s="525"/>
    </row>
    <row r="520" spans="1:17" ht="16.5" thickBot="1">
      <c r="A520" s="15"/>
      <c r="B520" s="236"/>
      <c r="C520" s="237"/>
      <c r="D520" s="237"/>
      <c r="E520" s="237"/>
      <c r="F520" s="237"/>
      <c r="G520" s="237"/>
      <c r="H520" s="14"/>
      <c r="I520" s="14"/>
      <c r="J520" s="14"/>
      <c r="K520" s="14"/>
      <c r="L520" s="14"/>
      <c r="M520" s="14"/>
      <c r="N520" s="14"/>
      <c r="O520" s="14"/>
      <c r="P520" s="14"/>
      <c r="Q520" s="15"/>
    </row>
    <row r="521" spans="1:17" ht="15.75">
      <c r="A521" s="32"/>
      <c r="B521" s="238"/>
      <c r="C521" s="239"/>
      <c r="D521" s="239"/>
      <c r="E521" s="239"/>
      <c r="F521" s="239"/>
      <c r="G521" s="239"/>
      <c r="H521" s="239"/>
      <c r="I521" s="239"/>
      <c r="J521" s="240" t="s">
        <v>323</v>
      </c>
      <c r="K521" s="14"/>
      <c r="L521" s="14"/>
      <c r="M521" s="14"/>
      <c r="N521" s="14"/>
      <c r="O521" s="14"/>
      <c r="P521" s="14"/>
      <c r="Q521" s="15"/>
    </row>
    <row r="522" spans="1:17">
      <c r="A522" s="32"/>
      <c r="B522" s="241"/>
      <c r="C522" s="553" t="s">
        <v>324</v>
      </c>
      <c r="D522" s="2322">
        <v>0.44</v>
      </c>
      <c r="E522" s="14"/>
      <c r="F522" s="242" t="s">
        <v>324</v>
      </c>
      <c r="G522" s="2322">
        <v>100</v>
      </c>
      <c r="H522" s="14"/>
      <c r="I522" s="243" t="s">
        <v>325</v>
      </c>
      <c r="J522" s="2323">
        <v>115</v>
      </c>
      <c r="K522" s="14"/>
      <c r="L522" s="14"/>
      <c r="M522" s="15"/>
      <c r="N522" s="15"/>
      <c r="O522" s="15"/>
      <c r="P522" s="15"/>
      <c r="Q522" s="15"/>
    </row>
    <row r="523" spans="1:17">
      <c r="A523" s="32"/>
      <c r="B523" s="245"/>
      <c r="C523" s="246" t="s">
        <v>326</v>
      </c>
      <c r="D523" s="2324">
        <v>60</v>
      </c>
      <c r="E523" s="14"/>
      <c r="F523" s="246" t="s">
        <v>327</v>
      </c>
      <c r="G523" s="2325">
        <v>10</v>
      </c>
      <c r="H523" s="14"/>
      <c r="I523" s="242" t="s">
        <v>324</v>
      </c>
      <c r="J523" s="2326">
        <v>133</v>
      </c>
      <c r="K523" s="14"/>
      <c r="L523" s="14"/>
      <c r="M523" s="15"/>
      <c r="N523" s="15"/>
      <c r="O523" s="15"/>
      <c r="P523" s="15"/>
      <c r="Q523" s="15"/>
    </row>
    <row r="524" spans="1:17">
      <c r="A524" s="32"/>
      <c r="B524" s="248"/>
      <c r="C524" s="249" t="s">
        <v>327</v>
      </c>
      <c r="D524" s="2327">
        <f>D522*D523%</f>
        <v>0.26400000000000001</v>
      </c>
      <c r="E524" s="14"/>
      <c r="F524" s="250" t="s">
        <v>325</v>
      </c>
      <c r="G524" s="2327">
        <f>IF(G522=0,0,G522+G523)</f>
        <v>110</v>
      </c>
      <c r="H524" s="14"/>
      <c r="I524" s="249" t="s">
        <v>327</v>
      </c>
      <c r="J524" s="2328">
        <f>IF(J522=0,0,IF(J523=0,0,J522-J523))</f>
        <v>-18</v>
      </c>
      <c r="K524" s="14"/>
      <c r="L524" s="14"/>
      <c r="M524" s="15"/>
      <c r="N524" s="15"/>
      <c r="O524" s="15"/>
      <c r="P524" s="15"/>
      <c r="Q524" s="15"/>
    </row>
    <row r="525" spans="1:17">
      <c r="A525" s="32"/>
      <c r="B525" s="912"/>
      <c r="C525" s="250" t="s">
        <v>325</v>
      </c>
      <c r="D525" s="2327">
        <f>((D522*D523)/100)+D522</f>
        <v>0.70399999999999996</v>
      </c>
      <c r="E525" s="14"/>
      <c r="F525" s="252" t="s">
        <v>326</v>
      </c>
      <c r="G525" s="2329">
        <f>IF(G522=0,0,IF(ISBLANK(G522),0,(G523/G522)*100))</f>
        <v>10</v>
      </c>
      <c r="H525" s="14"/>
      <c r="I525" s="252" t="s">
        <v>326</v>
      </c>
      <c r="J525" s="2330">
        <f>IF(J523=0,0,IF(ISBLANK(J523),0,(J524/J523)*100))</f>
        <v>-13.533834586466165</v>
      </c>
      <c r="K525" s="14"/>
      <c r="L525" s="14"/>
      <c r="M525" s="15"/>
      <c r="N525" s="15"/>
      <c r="O525" s="15"/>
      <c r="P525" s="15"/>
      <c r="Q525" s="15"/>
    </row>
    <row r="526" spans="1:17">
      <c r="A526" s="32"/>
      <c r="B526" s="254"/>
      <c r="C526" s="2331"/>
      <c r="D526" s="2332"/>
      <c r="E526" s="2333"/>
      <c r="F526" s="2334"/>
      <c r="G526" s="2335"/>
      <c r="H526" s="2333"/>
      <c r="I526" s="2334"/>
      <c r="J526" s="255"/>
      <c r="K526" s="14"/>
      <c r="L526" s="14"/>
      <c r="M526" s="15"/>
      <c r="N526" s="15"/>
      <c r="O526" s="15"/>
      <c r="P526" s="15"/>
      <c r="Q526" s="15"/>
    </row>
    <row r="527" spans="1:17">
      <c r="A527" s="32"/>
      <c r="B527" s="241"/>
      <c r="C527" s="242" t="s">
        <v>324</v>
      </c>
      <c r="D527" s="2322">
        <v>5.8970000000000002</v>
      </c>
      <c r="E527" s="14"/>
      <c r="F527" s="243" t="s">
        <v>325</v>
      </c>
      <c r="G527" s="2325">
        <v>9.64</v>
      </c>
      <c r="H527" s="14"/>
      <c r="I527" s="243" t="s">
        <v>325</v>
      </c>
      <c r="J527" s="2323">
        <v>100</v>
      </c>
      <c r="K527" s="14"/>
      <c r="L527" s="14"/>
      <c r="M527" s="15"/>
      <c r="N527" s="15"/>
      <c r="O527" s="15"/>
      <c r="P527" s="15"/>
      <c r="Q527" s="15"/>
    </row>
    <row r="528" spans="1:17" ht="45">
      <c r="A528" s="32"/>
      <c r="B528" s="256"/>
      <c r="C528" s="243" t="s">
        <v>325</v>
      </c>
      <c r="D528" s="2325">
        <v>9.64</v>
      </c>
      <c r="E528" s="14"/>
      <c r="F528" s="257" t="s">
        <v>326</v>
      </c>
      <c r="G528" s="2336">
        <v>63.5</v>
      </c>
      <c r="H528" s="14"/>
      <c r="I528" s="257" t="s">
        <v>327</v>
      </c>
      <c r="J528" s="2323">
        <v>50</v>
      </c>
      <c r="K528" s="14"/>
      <c r="L528" s="14"/>
      <c r="M528" s="15"/>
      <c r="N528" s="15"/>
      <c r="O528" s="15"/>
      <c r="P528" s="15"/>
      <c r="Q528" s="15"/>
    </row>
    <row r="529" spans="1:17">
      <c r="A529" s="32"/>
      <c r="B529" s="248"/>
      <c r="C529" s="249" t="s">
        <v>327</v>
      </c>
      <c r="D529" s="2327">
        <f>IF(D527=0,0,IF(D528=0,0,D528-D527))</f>
        <v>3.7430000000000003</v>
      </c>
      <c r="E529" s="14"/>
      <c r="F529" s="249" t="s">
        <v>327</v>
      </c>
      <c r="G529" s="2327">
        <f>G527-G530</f>
        <v>3.7439755351681958</v>
      </c>
      <c r="H529" s="14"/>
      <c r="I529" s="250" t="s">
        <v>324</v>
      </c>
      <c r="J529" s="2328">
        <f>IF(J527=0,0,IF(ISBLANK(J527),0,J527-J528))</f>
        <v>50</v>
      </c>
      <c r="K529" s="14"/>
      <c r="L529" s="14"/>
      <c r="M529" s="15"/>
      <c r="N529" s="15"/>
      <c r="O529" s="15"/>
      <c r="P529" s="15"/>
      <c r="Q529" s="15"/>
    </row>
    <row r="530" spans="1:17">
      <c r="A530" s="32"/>
      <c r="B530" s="2337"/>
      <c r="C530" s="2338" t="s">
        <v>326</v>
      </c>
      <c r="D530" s="2339">
        <f>IF(D527=0,0,IF(ISBLANK(D527),0,(D529/D527)*100))</f>
        <v>63.472952348651859</v>
      </c>
      <c r="E530" s="14"/>
      <c r="F530" s="2340" t="s">
        <v>324</v>
      </c>
      <c r="G530" s="2341">
        <f>(G527/(100+G528)*100)</f>
        <v>5.8960244648318048</v>
      </c>
      <c r="H530" s="14"/>
      <c r="I530" s="2338" t="s">
        <v>326</v>
      </c>
      <c r="J530" s="2342">
        <f>IF(J529=0,0,IF(ISBLANK(J528),0,(J528/J529)*100))</f>
        <v>100</v>
      </c>
      <c r="K530" s="14"/>
      <c r="L530" s="14"/>
      <c r="M530" s="15"/>
      <c r="N530" s="15"/>
      <c r="O530" s="15"/>
      <c r="P530" s="15"/>
      <c r="Q530" s="15"/>
    </row>
    <row r="531" spans="1:17">
      <c r="A531" s="32"/>
      <c r="B531" s="8641" t="s">
        <v>205</v>
      </c>
      <c r="C531" s="8642"/>
      <c r="D531" s="8642"/>
      <c r="E531" s="8642"/>
      <c r="F531" s="8642"/>
      <c r="G531" s="8642"/>
      <c r="H531" s="8642"/>
      <c r="I531" s="8642"/>
      <c r="J531" s="8642"/>
      <c r="K531" s="14"/>
      <c r="L531" s="14"/>
      <c r="M531" s="15"/>
      <c r="N531" s="15"/>
      <c r="O531" s="15"/>
      <c r="P531" s="15"/>
      <c r="Q531" s="15"/>
    </row>
    <row r="532" spans="1:17">
      <c r="A532" s="15"/>
      <c r="B532" s="723"/>
      <c r="C532" s="723"/>
      <c r="D532" s="723"/>
      <c r="E532" s="723"/>
      <c r="F532" s="723"/>
      <c r="G532" s="723"/>
      <c r="H532" s="14"/>
      <c r="I532" s="721"/>
      <c r="J532" s="721"/>
      <c r="K532" s="38"/>
      <c r="L532" s="38"/>
      <c r="M532" s="721"/>
      <c r="N532" s="721"/>
      <c r="O532" s="15"/>
      <c r="P532" s="15"/>
      <c r="Q532" s="14"/>
    </row>
    <row r="533" spans="1:17">
      <c r="A533" s="15"/>
      <c r="B533" s="723"/>
      <c r="C533" s="723"/>
      <c r="D533" s="723"/>
      <c r="E533" s="723"/>
      <c r="F533" s="723"/>
      <c r="G533" s="723"/>
      <c r="H533" s="14"/>
      <c r="I533" s="721"/>
      <c r="J533" s="721"/>
      <c r="K533" s="38"/>
      <c r="L533" s="38"/>
      <c r="M533" s="721"/>
      <c r="N533" s="721"/>
      <c r="O533" s="15"/>
      <c r="P533" s="15"/>
      <c r="Q533" s="14"/>
    </row>
    <row r="534" spans="1:17">
      <c r="A534" s="15"/>
      <c r="B534" s="554">
        <v>15</v>
      </c>
      <c r="C534" s="554">
        <v>15</v>
      </c>
      <c r="D534" s="554">
        <v>15</v>
      </c>
      <c r="E534" s="554">
        <v>15</v>
      </c>
      <c r="F534" s="554">
        <v>15</v>
      </c>
      <c r="G534" s="554">
        <v>15</v>
      </c>
      <c r="H534" s="555" t="s">
        <v>369</v>
      </c>
      <c r="I534" s="554">
        <v>15</v>
      </c>
      <c r="J534" s="554">
        <v>15</v>
      </c>
      <c r="K534" s="554">
        <v>15</v>
      </c>
      <c r="L534" s="554">
        <v>15</v>
      </c>
      <c r="M534" s="554">
        <v>15</v>
      </c>
      <c r="N534" s="554">
        <v>15</v>
      </c>
      <c r="O534" s="556" t="s">
        <v>369</v>
      </c>
      <c r="P534" s="15"/>
      <c r="Q534" s="14"/>
    </row>
    <row r="535" spans="1:17" ht="18">
      <c r="A535" s="15"/>
      <c r="B535" s="2343" t="s">
        <v>56</v>
      </c>
      <c r="C535" s="2344"/>
      <c r="D535" s="2344"/>
      <c r="E535" s="2344"/>
      <c r="F535" s="2344"/>
      <c r="G535" s="2345" t="s">
        <v>55</v>
      </c>
      <c r="H535" s="1"/>
      <c r="I535" s="2343" t="s">
        <v>370</v>
      </c>
      <c r="J535" s="2344"/>
      <c r="K535" s="2344"/>
      <c r="L535" s="2344"/>
      <c r="M535" s="2344"/>
      <c r="N535" s="2345" t="s">
        <v>55</v>
      </c>
      <c r="O535" s="1"/>
      <c r="P535" s="15"/>
      <c r="Q535" s="14"/>
    </row>
    <row r="536" spans="1:17" ht="15.75">
      <c r="A536" s="15"/>
      <c r="B536" s="557" t="s">
        <v>52</v>
      </c>
      <c r="C536" s="2346">
        <v>1000</v>
      </c>
      <c r="D536" s="10" t="s">
        <v>52</v>
      </c>
      <c r="E536" s="2346">
        <v>1000</v>
      </c>
      <c r="F536" s="557" t="s">
        <v>52</v>
      </c>
      <c r="G536" s="2346">
        <v>100</v>
      </c>
      <c r="H536" s="1"/>
      <c r="I536" s="2347" t="s">
        <v>52</v>
      </c>
      <c r="J536" s="2348">
        <v>1</v>
      </c>
      <c r="K536" s="10" t="s">
        <v>52</v>
      </c>
      <c r="L536" s="2348">
        <v>1</v>
      </c>
      <c r="M536" s="557" t="s">
        <v>52</v>
      </c>
      <c r="N536" s="2348">
        <v>1</v>
      </c>
      <c r="O536" s="1"/>
      <c r="P536" s="15"/>
      <c r="Q536" s="14"/>
    </row>
    <row r="537" spans="1:17" ht="15.75">
      <c r="A537" s="15"/>
      <c r="B537" s="559" t="s">
        <v>53</v>
      </c>
      <c r="C537" s="2349">
        <v>2000</v>
      </c>
      <c r="D537" s="9" t="s">
        <v>51</v>
      </c>
      <c r="E537" s="2349">
        <v>327</v>
      </c>
      <c r="F537" s="559" t="s">
        <v>50</v>
      </c>
      <c r="G537" s="2350">
        <v>40</v>
      </c>
      <c r="H537" s="1"/>
      <c r="I537" s="559" t="s">
        <v>53</v>
      </c>
      <c r="J537" s="2351">
        <v>2</v>
      </c>
      <c r="K537" s="9" t="s">
        <v>51</v>
      </c>
      <c r="L537" s="2351">
        <v>2</v>
      </c>
      <c r="M537" s="559" t="s">
        <v>50</v>
      </c>
      <c r="N537" s="2350">
        <v>50</v>
      </c>
      <c r="O537" s="1"/>
      <c r="P537" s="15"/>
      <c r="Q537" s="14"/>
    </row>
    <row r="538" spans="1:17" ht="15.75">
      <c r="A538" s="15"/>
      <c r="B538" s="560" t="s">
        <v>49</v>
      </c>
      <c r="C538" s="2352">
        <f>IF(C536=0,0,IF(C537=0,0,C537-C536))</f>
        <v>1000</v>
      </c>
      <c r="D538" s="560" t="s">
        <v>54</v>
      </c>
      <c r="E538" s="2352">
        <f>IF(E536=0,0,E536+E537)</f>
        <v>1327</v>
      </c>
      <c r="F538" s="560" t="s">
        <v>49</v>
      </c>
      <c r="G538" s="2353">
        <f>G539*G537%</f>
        <v>66.666666666666671</v>
      </c>
      <c r="H538" s="1"/>
      <c r="I538" s="560" t="s">
        <v>49</v>
      </c>
      <c r="J538" s="2354">
        <f>IF(J536=0,0,IF(J537=0,0,J537-J536))</f>
        <v>1</v>
      </c>
      <c r="K538" s="560" t="s">
        <v>54</v>
      </c>
      <c r="L538" s="2354">
        <f>IF(L536=0,0,L536+L537)</f>
        <v>3</v>
      </c>
      <c r="M538" s="560" t="s">
        <v>49</v>
      </c>
      <c r="N538" s="2354">
        <f>N539*N537%</f>
        <v>1</v>
      </c>
      <c r="O538" s="1"/>
      <c r="P538" s="15"/>
      <c r="Q538" s="14"/>
    </row>
    <row r="539" spans="1:17" ht="15.75">
      <c r="A539" s="15"/>
      <c r="B539" s="2355" t="s">
        <v>48</v>
      </c>
      <c r="C539" s="2356">
        <f>IF(C536=0,0,IF(C537=0,0,C538/C537))</f>
        <v>0.5</v>
      </c>
      <c r="D539" s="2355" t="s">
        <v>48</v>
      </c>
      <c r="E539" s="2356">
        <f>IF(E536=0,0,E537/E538)</f>
        <v>0.24642049736247174</v>
      </c>
      <c r="F539" s="560" t="s">
        <v>54</v>
      </c>
      <c r="G539" s="2353">
        <f>G536/(100-G537)*100</f>
        <v>166.66666666666669</v>
      </c>
      <c r="H539" s="1"/>
      <c r="I539" s="2355" t="s">
        <v>48</v>
      </c>
      <c r="J539" s="2356">
        <f>IF(J536=0,0,IF(J537=0,0,J538/J537))</f>
        <v>0.5</v>
      </c>
      <c r="K539" s="2355" t="s">
        <v>48</v>
      </c>
      <c r="L539" s="2356">
        <f>IF(L536=0,0,L537/L538)</f>
        <v>0.66666666666666663</v>
      </c>
      <c r="M539" s="560" t="s">
        <v>54</v>
      </c>
      <c r="N539" s="2357">
        <f>N536/(100-N537)*100</f>
        <v>2</v>
      </c>
      <c r="O539" s="1"/>
      <c r="P539" s="15"/>
      <c r="Q539" s="14"/>
    </row>
    <row r="540" spans="1:17" ht="15.75">
      <c r="A540" s="15"/>
      <c r="B540" s="561" t="s">
        <v>53</v>
      </c>
      <c r="C540" s="2349">
        <v>1780</v>
      </c>
      <c r="D540" s="2358" t="s">
        <v>53</v>
      </c>
      <c r="E540" s="2349">
        <v>2310</v>
      </c>
      <c r="F540" s="2359" t="s">
        <v>53</v>
      </c>
      <c r="G540" s="2360">
        <v>500</v>
      </c>
      <c r="H540" s="1"/>
      <c r="I540" s="561" t="s">
        <v>53</v>
      </c>
      <c r="J540" s="2361">
        <v>2</v>
      </c>
      <c r="K540" s="2358" t="s">
        <v>53</v>
      </c>
      <c r="L540" s="2362">
        <v>2</v>
      </c>
      <c r="M540" s="2358" t="s">
        <v>53</v>
      </c>
      <c r="N540" s="2361">
        <v>1</v>
      </c>
      <c r="O540" s="1"/>
      <c r="P540" s="15"/>
      <c r="Q540" s="14"/>
    </row>
    <row r="541" spans="1:17" ht="15.75">
      <c r="A541" s="15"/>
      <c r="B541" s="565" t="s">
        <v>52</v>
      </c>
      <c r="C541" s="2346">
        <v>1000</v>
      </c>
      <c r="D541" s="7" t="s">
        <v>51</v>
      </c>
      <c r="E541" s="2346">
        <v>720</v>
      </c>
      <c r="F541" s="7" t="s">
        <v>50</v>
      </c>
      <c r="G541" s="2363">
        <v>50</v>
      </c>
      <c r="H541" s="1"/>
      <c r="I541" s="565" t="s">
        <v>52</v>
      </c>
      <c r="J541" s="2364">
        <v>1</v>
      </c>
      <c r="K541" s="7" t="s">
        <v>51</v>
      </c>
      <c r="L541" s="2364">
        <v>1</v>
      </c>
      <c r="M541" s="7" t="s">
        <v>50</v>
      </c>
      <c r="N541" s="2363">
        <v>50</v>
      </c>
      <c r="O541" s="1"/>
      <c r="P541" s="15"/>
      <c r="Q541" s="14"/>
    </row>
    <row r="542" spans="1:17" ht="15.75">
      <c r="A542" s="15"/>
      <c r="B542" s="560" t="s">
        <v>49</v>
      </c>
      <c r="C542" s="2352">
        <f>IF(C540=0,0,IF(C541=0,0,C540-C541))</f>
        <v>780</v>
      </c>
      <c r="D542" s="560" t="s">
        <v>47</v>
      </c>
      <c r="E542" s="2352">
        <f>IF(E540=0,0,IF(E541=0,0,E540-E541))</f>
        <v>1590</v>
      </c>
      <c r="F542" s="560" t="s">
        <v>49</v>
      </c>
      <c r="G542" s="2352">
        <f>G540*G541%</f>
        <v>250</v>
      </c>
      <c r="H542" s="1"/>
      <c r="I542" s="560" t="s">
        <v>49</v>
      </c>
      <c r="J542" s="2354">
        <f>IF(J540=0,0,IF(J541=0,0,J540-J541))</f>
        <v>1</v>
      </c>
      <c r="K542" s="560" t="s">
        <v>47</v>
      </c>
      <c r="L542" s="2354">
        <f>IF(L540=0,0,IF(L541=0,0,L540-L541))</f>
        <v>1</v>
      </c>
      <c r="M542" s="560" t="s">
        <v>49</v>
      </c>
      <c r="N542" s="2354">
        <f>N540*N541%</f>
        <v>0.5</v>
      </c>
      <c r="O542" s="1"/>
      <c r="P542" s="15"/>
      <c r="Q542" s="14"/>
    </row>
    <row r="543" spans="1:17" ht="15.75">
      <c r="A543" s="15"/>
      <c r="B543" s="2355" t="s">
        <v>48</v>
      </c>
      <c r="C543" s="2356">
        <f>IF(C540=0,0,C542/C540)</f>
        <v>0.43820224719101125</v>
      </c>
      <c r="D543" s="2355" t="s">
        <v>48</v>
      </c>
      <c r="E543" s="2356">
        <f>IF(E540=0,0,IF(E541=0,0,E541/E540))</f>
        <v>0.31168831168831168</v>
      </c>
      <c r="F543" s="2355" t="s">
        <v>47</v>
      </c>
      <c r="G543" s="2365">
        <f>G540-G542</f>
        <v>250</v>
      </c>
      <c r="H543" s="1"/>
      <c r="I543" s="2355" t="s">
        <v>48</v>
      </c>
      <c r="J543" s="2356">
        <f>IF(J540=0,0,J542/J540)</f>
        <v>0.5</v>
      </c>
      <c r="K543" s="2355" t="s">
        <v>48</v>
      </c>
      <c r="L543" s="2356">
        <f>IF(L540=0,0,IF(L541=0,0,L541/L540))</f>
        <v>0.5</v>
      </c>
      <c r="M543" s="2355" t="s">
        <v>47</v>
      </c>
      <c r="N543" s="2366">
        <f>N540-N542</f>
        <v>0.5</v>
      </c>
      <c r="O543" s="1"/>
      <c r="P543" s="15"/>
      <c r="Q543" s="14"/>
    </row>
    <row r="544" spans="1:17">
      <c r="A544" s="15"/>
      <c r="B544" s="8643" t="s">
        <v>205</v>
      </c>
      <c r="C544" s="8644"/>
      <c r="D544" s="8644"/>
      <c r="E544" s="8644"/>
      <c r="F544" s="8644"/>
      <c r="G544" s="8644"/>
      <c r="H544" s="1"/>
      <c r="I544" s="8643" t="s">
        <v>205</v>
      </c>
      <c r="J544" s="8644"/>
      <c r="K544" s="8644"/>
      <c r="L544" s="8644"/>
      <c r="M544" s="8644"/>
      <c r="N544" s="8644"/>
      <c r="O544" s="1"/>
      <c r="P544" s="15"/>
      <c r="Q544" s="14"/>
    </row>
    <row r="545" spans="1:17">
      <c r="A545" s="15"/>
      <c r="B545" s="723"/>
      <c r="C545" s="723"/>
      <c r="D545" s="723"/>
      <c r="E545" s="723"/>
      <c r="F545" s="723"/>
      <c r="G545" s="723"/>
      <c r="H545" s="14"/>
      <c r="I545" s="721"/>
      <c r="J545" s="721"/>
      <c r="K545" s="38"/>
      <c r="L545" s="38"/>
      <c r="M545" s="721"/>
      <c r="N545" s="721"/>
      <c r="O545" s="15"/>
      <c r="P545" s="15"/>
      <c r="Q545" s="14"/>
    </row>
    <row r="546" spans="1:17">
      <c r="A546" s="525"/>
      <c r="B546" s="526"/>
      <c r="C546" s="527"/>
      <c r="D546" s="527"/>
      <c r="E546" s="527"/>
      <c r="F546" s="527"/>
      <c r="G546" s="527"/>
      <c r="H546" s="527"/>
      <c r="I546" s="527"/>
      <c r="J546" s="526"/>
      <c r="K546" s="526"/>
      <c r="L546" s="526"/>
      <c r="M546" s="525"/>
      <c r="N546" s="525"/>
      <c r="O546" s="525"/>
      <c r="P546" s="525"/>
      <c r="Q546" s="525"/>
    </row>
    <row r="547" spans="1:17">
      <c r="A547" s="15"/>
      <c r="B547" s="723"/>
      <c r="C547" s="723"/>
      <c r="D547" s="723"/>
      <c r="E547" s="723"/>
      <c r="F547" s="723"/>
      <c r="G547" s="723"/>
      <c r="H547" s="14"/>
      <c r="I547" s="721"/>
      <c r="J547" s="721"/>
      <c r="K547" s="38"/>
      <c r="L547" s="38"/>
      <c r="M547" s="721"/>
      <c r="N547" s="721"/>
      <c r="O547" s="15"/>
      <c r="P547" s="15"/>
      <c r="Q547" s="14"/>
    </row>
    <row r="548" spans="1:17">
      <c r="A548" s="15"/>
      <c r="B548" s="723"/>
      <c r="C548" s="723"/>
      <c r="D548" s="723"/>
      <c r="E548" s="723"/>
      <c r="F548" s="723"/>
      <c r="G548" s="723"/>
      <c r="H548" s="14"/>
      <c r="I548" s="721"/>
      <c r="J548" s="721"/>
      <c r="K548" s="38"/>
      <c r="L548" s="38"/>
      <c r="M548" s="721"/>
      <c r="N548" s="721"/>
      <c r="O548" s="15"/>
      <c r="P548" s="15"/>
      <c r="Q548" s="14"/>
    </row>
    <row r="549" spans="1:17" ht="15.75">
      <c r="A549" s="15"/>
      <c r="B549" s="723"/>
      <c r="C549" s="723"/>
      <c r="D549" s="723"/>
      <c r="E549" s="723"/>
      <c r="F549" s="723"/>
      <c r="G549" s="723"/>
      <c r="H549" s="14"/>
      <c r="I549" s="721"/>
      <c r="J549" s="287" t="s">
        <v>451</v>
      </c>
      <c r="K549" s="288"/>
      <c r="L549" s="288"/>
      <c r="M549" s="289"/>
      <c r="N549" s="289"/>
      <c r="O549" s="15"/>
      <c r="P549" s="15"/>
      <c r="Q549" s="14"/>
    </row>
    <row r="550" spans="1:17">
      <c r="A550" s="15"/>
      <c r="B550" s="723"/>
      <c r="C550" s="723"/>
      <c r="D550" s="723"/>
      <c r="E550" s="723"/>
      <c r="F550" s="723"/>
      <c r="G550" s="723"/>
      <c r="H550" s="14"/>
      <c r="I550" s="721"/>
      <c r="J550" s="721"/>
      <c r="K550" s="38"/>
      <c r="L550" s="38"/>
      <c r="M550" s="721"/>
      <c r="N550" s="721"/>
      <c r="O550" s="15"/>
      <c r="P550" s="15"/>
      <c r="Q550" s="14"/>
    </row>
    <row r="551" spans="1:17" ht="21">
      <c r="A551" s="15"/>
      <c r="B551" s="723"/>
      <c r="C551" s="723"/>
      <c r="D551" s="723"/>
      <c r="E551" s="723"/>
      <c r="F551" s="723"/>
      <c r="G551" s="723"/>
      <c r="H551" s="14"/>
      <c r="I551" s="721"/>
      <c r="J551" s="280" t="s">
        <v>376</v>
      </c>
      <c r="K551" s="15"/>
      <c r="L551" s="15"/>
      <c r="M551" s="15"/>
      <c r="N551" s="15"/>
      <c r="O551" s="15"/>
      <c r="P551" s="15"/>
      <c r="Q551" s="14"/>
    </row>
    <row r="552" spans="1:17" ht="23.25">
      <c r="A552" s="15"/>
      <c r="B552" s="723"/>
      <c r="C552" s="723"/>
      <c r="D552" s="723"/>
      <c r="E552" s="723"/>
      <c r="F552" s="723"/>
      <c r="G552" s="723"/>
      <c r="H552" s="14"/>
      <c r="I552" s="721"/>
      <c r="J552" s="8645" t="s">
        <v>375</v>
      </c>
      <c r="K552" s="8645"/>
      <c r="L552" s="8645"/>
      <c r="M552" s="8645"/>
      <c r="N552" s="8645"/>
      <c r="O552" s="15"/>
      <c r="P552" s="15"/>
      <c r="Q552" s="14"/>
    </row>
    <row r="553" spans="1:17" ht="21">
      <c r="A553" s="15"/>
      <c r="B553" s="723"/>
      <c r="C553" s="723"/>
      <c r="D553" s="723"/>
      <c r="E553" s="723"/>
      <c r="F553" s="723"/>
      <c r="G553" s="723"/>
      <c r="H553" s="14"/>
      <c r="I553" s="721"/>
      <c r="J553" s="292"/>
      <c r="K553" s="293" t="s">
        <v>430</v>
      </c>
      <c r="L553" s="290"/>
      <c r="M553" s="291"/>
      <c r="N553" s="721"/>
      <c r="O553" s="15"/>
      <c r="P553" s="15"/>
      <c r="Q553" s="14"/>
    </row>
    <row r="554" spans="1:17" ht="21">
      <c r="A554" s="15"/>
      <c r="B554" s="723"/>
      <c r="C554" s="723"/>
      <c r="D554" s="723"/>
      <c r="E554" s="723"/>
      <c r="F554" s="723"/>
      <c r="G554" s="723"/>
      <c r="H554" s="14"/>
      <c r="I554" s="721"/>
      <c r="J554" s="292"/>
      <c r="K554" s="293" t="s">
        <v>411</v>
      </c>
      <c r="L554" s="290"/>
      <c r="M554" s="291"/>
      <c r="N554" s="721"/>
      <c r="O554" s="15"/>
      <c r="P554" s="15"/>
      <c r="Q554" s="14"/>
    </row>
    <row r="555" spans="1:17" ht="21">
      <c r="A555" s="15"/>
      <c r="B555" s="723"/>
      <c r="C555" s="723"/>
      <c r="D555" s="723"/>
      <c r="E555" s="723"/>
      <c r="F555" s="723"/>
      <c r="G555" s="723"/>
      <c r="H555" s="14"/>
      <c r="I555" s="721"/>
      <c r="J555" s="292"/>
      <c r="K555" s="293" t="s">
        <v>439</v>
      </c>
      <c r="L555" s="290"/>
      <c r="M555" s="291"/>
      <c r="N555" s="721"/>
      <c r="O555" s="15"/>
      <c r="P555" s="15"/>
      <c r="Q555" s="14"/>
    </row>
    <row r="556" spans="1:17" ht="21">
      <c r="A556" s="15"/>
      <c r="B556" s="283" t="s">
        <v>409</v>
      </c>
      <c r="C556" s="723"/>
      <c r="D556" s="723"/>
      <c r="E556" s="723"/>
      <c r="F556" s="723"/>
      <c r="G556" s="723"/>
      <c r="H556" s="14"/>
      <c r="I556" s="721"/>
      <c r="J556" s="292"/>
      <c r="K556" s="293" t="s">
        <v>428</v>
      </c>
      <c r="L556" s="290"/>
      <c r="M556" s="291"/>
      <c r="N556" s="721"/>
      <c r="O556" s="15"/>
      <c r="P556" s="15"/>
      <c r="Q556" s="14"/>
    </row>
    <row r="557" spans="1:17" ht="21">
      <c r="A557" s="15"/>
      <c r="B557" s="283" t="s">
        <v>410</v>
      </c>
      <c r="C557" s="723"/>
      <c r="D557" s="723"/>
      <c r="E557" s="723"/>
      <c r="F557" s="723"/>
      <c r="G557" s="723"/>
      <c r="H557" s="14"/>
      <c r="I557" s="721"/>
      <c r="J557" s="292"/>
      <c r="K557" s="293" t="s">
        <v>429</v>
      </c>
      <c r="L557" s="290"/>
      <c r="M557" s="291"/>
      <c r="N557" s="721"/>
      <c r="O557" s="15"/>
      <c r="P557" s="15"/>
      <c r="Q557" s="14"/>
    </row>
    <row r="558" spans="1:17" ht="21">
      <c r="A558" s="15"/>
      <c r="B558" s="723"/>
      <c r="C558" s="723"/>
      <c r="D558" s="723"/>
      <c r="E558" s="723"/>
      <c r="F558" s="723"/>
      <c r="G558" s="723"/>
      <c r="H558" s="14"/>
      <c r="I558" s="721"/>
      <c r="J558" s="292"/>
      <c r="K558" s="293" t="s">
        <v>431</v>
      </c>
      <c r="L558" s="290"/>
      <c r="M558" s="291"/>
      <c r="N558" s="721"/>
      <c r="O558" s="15"/>
      <c r="P558" s="15"/>
      <c r="Q558" s="14"/>
    </row>
    <row r="559" spans="1:17" ht="21">
      <c r="A559" s="15"/>
      <c r="B559" s="295" t="s">
        <v>454</v>
      </c>
      <c r="C559" s="1"/>
      <c r="D559" s="1"/>
      <c r="E559" s="1"/>
      <c r="F559" s="723"/>
      <c r="G559" s="723"/>
      <c r="H559" s="14"/>
      <c r="I559" s="721"/>
      <c r="J559" s="292"/>
      <c r="K559" s="293" t="s">
        <v>432</v>
      </c>
      <c r="L559" s="290"/>
      <c r="M559" s="291"/>
      <c r="N559" s="721"/>
      <c r="O559" s="15"/>
      <c r="P559" s="15"/>
      <c r="Q559" s="14"/>
    </row>
    <row r="560" spans="1:17">
      <c r="A560" s="15"/>
      <c r="B560" s="296" t="s">
        <v>455</v>
      </c>
      <c r="C560" s="1"/>
      <c r="D560" s="1"/>
      <c r="E560" s="1"/>
      <c r="F560" s="723"/>
      <c r="G560" s="723"/>
      <c r="H560" s="14"/>
      <c r="I560" s="721"/>
      <c r="J560" s="721"/>
      <c r="K560" s="38"/>
      <c r="L560" s="38"/>
      <c r="M560" s="721"/>
      <c r="N560" s="721"/>
      <c r="O560" s="15"/>
      <c r="P560" s="15"/>
      <c r="Q560" s="14"/>
    </row>
    <row r="561" spans="1:17" ht="31.5" customHeight="1" thickBot="1">
      <c r="A561" s="15"/>
      <c r="B561" s="283"/>
      <c r="C561" s="2267"/>
      <c r="D561" s="2267"/>
      <c r="E561" s="2267"/>
      <c r="F561" s="723"/>
      <c r="G561" s="723"/>
      <c r="H561" s="14"/>
      <c r="I561" s="721"/>
      <c r="J561" s="295"/>
      <c r="K561" s="38"/>
      <c r="L561" s="38"/>
      <c r="O561" s="15"/>
      <c r="P561" s="15"/>
      <c r="Q561" s="14"/>
    </row>
    <row r="562" spans="1:17" ht="16.5" customHeight="1" thickBot="1">
      <c r="A562" s="15"/>
      <c r="B562" s="282"/>
      <c r="C562" s="1"/>
      <c r="D562" s="1"/>
      <c r="E562" s="1"/>
      <c r="F562" s="723"/>
      <c r="G562" s="723"/>
      <c r="H562" s="14"/>
      <c r="I562" s="721"/>
      <c r="J562" s="296"/>
      <c r="K562" s="38"/>
      <c r="L562" s="38"/>
      <c r="M562" s="8646" t="s">
        <v>442</v>
      </c>
      <c r="N562" s="8647"/>
      <c r="O562" s="15"/>
      <c r="P562" s="15"/>
      <c r="Q562" s="14"/>
    </row>
    <row r="563" spans="1:17" ht="15.75">
      <c r="A563" s="15"/>
      <c r="B563" s="284" t="s">
        <v>414</v>
      </c>
      <c r="C563" s="1"/>
      <c r="D563" s="1"/>
      <c r="E563" s="1"/>
      <c r="F563" s="723"/>
      <c r="G563" s="8629" t="s">
        <v>452</v>
      </c>
      <c r="H563" s="8630"/>
      <c r="I563" s="721"/>
      <c r="J563" s="282"/>
      <c r="K563" s="282"/>
      <c r="L563" s="38"/>
      <c r="M563" s="8648" t="s">
        <v>443</v>
      </c>
      <c r="N563" s="8649"/>
      <c r="O563" s="15"/>
      <c r="P563" s="15"/>
      <c r="Q563" s="14"/>
    </row>
    <row r="564" spans="1:17" ht="15.75">
      <c r="A564" s="15"/>
      <c r="B564" s="285" t="s">
        <v>452</v>
      </c>
      <c r="C564" s="1"/>
      <c r="D564" s="1"/>
      <c r="E564" s="1" t="s">
        <v>460</v>
      </c>
      <c r="F564" s="723"/>
      <c r="G564" s="8631"/>
      <c r="H564" s="8632"/>
      <c r="I564" s="721"/>
      <c r="J564" s="282" t="s">
        <v>442</v>
      </c>
      <c r="K564" s="282"/>
      <c r="L564" s="38"/>
      <c r="M564" s="323" t="s">
        <v>53</v>
      </c>
      <c r="N564" s="2367">
        <v>140</v>
      </c>
      <c r="O564" s="15"/>
      <c r="P564" s="15"/>
      <c r="Q564" s="14"/>
    </row>
    <row r="565" spans="1:17" ht="15.75" customHeight="1">
      <c r="A565" s="15"/>
      <c r="B565" s="282" t="s">
        <v>415</v>
      </c>
      <c r="C565" s="1"/>
      <c r="D565" s="1"/>
      <c r="E565" s="1"/>
      <c r="F565" s="723"/>
      <c r="G565" s="333" t="s">
        <v>53</v>
      </c>
      <c r="H565" s="2368">
        <v>87</v>
      </c>
      <c r="I565" s="721"/>
      <c r="J565" s="282" t="s">
        <v>443</v>
      </c>
      <c r="K565" s="282"/>
      <c r="L565" s="38"/>
      <c r="M565" s="325" t="s">
        <v>50</v>
      </c>
      <c r="N565" s="2369">
        <v>20</v>
      </c>
      <c r="O565" s="15"/>
      <c r="P565" s="1"/>
      <c r="Q565" s="1"/>
    </row>
    <row r="566" spans="1:17" ht="15.75">
      <c r="A566" s="15"/>
      <c r="B566" s="282" t="s">
        <v>417</v>
      </c>
      <c r="C566" s="1"/>
      <c r="D566" s="1"/>
      <c r="E566" s="1"/>
      <c r="F566" s="723"/>
      <c r="G566" s="335" t="s">
        <v>50</v>
      </c>
      <c r="H566" s="2370">
        <v>5</v>
      </c>
      <c r="I566" s="721"/>
      <c r="J566" s="282" t="s">
        <v>444</v>
      </c>
      <c r="K566" s="282"/>
      <c r="L566" s="38"/>
      <c r="M566" s="327" t="s">
        <v>49</v>
      </c>
      <c r="N566" s="2371">
        <f>(N564*N565)/100</f>
        <v>28</v>
      </c>
      <c r="O566" s="15"/>
      <c r="P566" s="1"/>
      <c r="Q566" s="1"/>
    </row>
    <row r="567" spans="1:17" ht="15.75">
      <c r="A567" s="15"/>
      <c r="B567" s="284" t="s">
        <v>424</v>
      </c>
      <c r="C567" s="1"/>
      <c r="D567" s="1"/>
      <c r="E567" s="1"/>
      <c r="F567" s="723"/>
      <c r="G567" s="329" t="s">
        <v>461</v>
      </c>
      <c r="H567" s="2372">
        <f>H566/100</f>
        <v>0.05</v>
      </c>
      <c r="I567" s="721"/>
      <c r="J567" s="284" t="s">
        <v>445</v>
      </c>
      <c r="K567" s="282"/>
      <c r="L567" s="38"/>
      <c r="M567" s="327" t="s">
        <v>461</v>
      </c>
      <c r="N567" s="2373">
        <f>N565/100</f>
        <v>0.2</v>
      </c>
      <c r="O567" s="15"/>
      <c r="P567" s="1"/>
      <c r="Q567" s="1"/>
    </row>
    <row r="568" spans="1:17" ht="16.5" thickBot="1">
      <c r="A568" s="15"/>
      <c r="B568" s="282" t="s">
        <v>418</v>
      </c>
      <c r="C568" s="1"/>
      <c r="D568" s="1"/>
      <c r="E568" s="1"/>
      <c r="F568" s="723"/>
      <c r="G568" s="2374" t="s">
        <v>49</v>
      </c>
      <c r="H568" s="332">
        <f>H565*H567</f>
        <v>4.3500000000000005</v>
      </c>
      <c r="I568" s="721"/>
      <c r="J568" s="282" t="s">
        <v>446</v>
      </c>
      <c r="K568" s="282"/>
      <c r="L568" s="38"/>
      <c r="M568" s="329" t="s">
        <v>49</v>
      </c>
      <c r="N568" s="2375">
        <f>N564*N567</f>
        <v>28</v>
      </c>
      <c r="O568" s="1"/>
      <c r="P568" s="1"/>
      <c r="Q568" s="1"/>
    </row>
    <row r="569" spans="1:17" ht="16.5" thickBot="1">
      <c r="A569" s="15"/>
      <c r="B569" s="282" t="s">
        <v>416</v>
      </c>
      <c r="C569" s="1"/>
      <c r="D569" s="1"/>
      <c r="E569" s="1"/>
      <c r="F569" s="723"/>
      <c r="G569" s="723"/>
      <c r="H569" s="14"/>
      <c r="I569" s="721"/>
      <c r="J569" s="284" t="s">
        <v>447</v>
      </c>
      <c r="K569" s="282"/>
      <c r="L569" s="38"/>
      <c r="M569" s="8627" t="s">
        <v>445</v>
      </c>
      <c r="N569" s="8628"/>
      <c r="O569" s="1"/>
      <c r="P569" s="1"/>
      <c r="Q569" s="1"/>
    </row>
    <row r="570" spans="1:17" ht="15.75">
      <c r="A570" s="15"/>
      <c r="B570" s="284" t="s">
        <v>426</v>
      </c>
      <c r="C570" s="1"/>
      <c r="D570" s="1"/>
      <c r="E570" s="1"/>
      <c r="F570" s="723"/>
      <c r="G570" s="8629" t="s">
        <v>453</v>
      </c>
      <c r="H570" s="8630"/>
      <c r="I570" s="721"/>
      <c r="J570" s="282" t="s">
        <v>448</v>
      </c>
      <c r="K570" s="282"/>
      <c r="L570" s="38"/>
      <c r="M570" s="8633" t="s">
        <v>446</v>
      </c>
      <c r="N570" s="8634"/>
      <c r="O570" s="1"/>
      <c r="P570" s="1"/>
      <c r="Q570" s="1"/>
    </row>
    <row r="571" spans="1:17" ht="15.75">
      <c r="A571" s="15"/>
      <c r="B571" s="282"/>
      <c r="C571" s="1"/>
      <c r="D571" s="1"/>
      <c r="E571" s="1"/>
      <c r="F571" s="723"/>
      <c r="G571" s="8631"/>
      <c r="H571" s="8632"/>
      <c r="I571" s="721"/>
      <c r="J571" s="284" t="s">
        <v>378</v>
      </c>
      <c r="K571" s="282"/>
      <c r="L571" s="38"/>
      <c r="M571" s="338">
        <f>N567</f>
        <v>0.2</v>
      </c>
      <c r="N571" s="339">
        <f>N564*M571</f>
        <v>28</v>
      </c>
      <c r="O571" s="301" t="s">
        <v>2</v>
      </c>
      <c r="P571" s="1"/>
      <c r="Q571" s="1"/>
    </row>
    <row r="572" spans="1:17" ht="15.75">
      <c r="A572" s="15"/>
      <c r="B572" s="285" t="s">
        <v>453</v>
      </c>
      <c r="C572" s="1"/>
      <c r="D572" s="1"/>
      <c r="E572" s="1"/>
      <c r="F572" s="723"/>
      <c r="G572" s="333" t="s">
        <v>53</v>
      </c>
      <c r="H572" s="2376">
        <v>87</v>
      </c>
      <c r="I572" s="721"/>
      <c r="J572" s="282"/>
      <c r="K572" s="282"/>
      <c r="L572" s="38"/>
      <c r="M572" s="8635" t="s">
        <v>447</v>
      </c>
      <c r="N572" s="8636"/>
      <c r="O572" s="15"/>
      <c r="P572" s="1"/>
      <c r="Q572" s="1"/>
    </row>
    <row r="573" spans="1:17" ht="15.75">
      <c r="A573" s="15"/>
      <c r="B573" s="282" t="s">
        <v>419</v>
      </c>
      <c r="C573" s="1"/>
      <c r="D573" s="1"/>
      <c r="E573" s="1"/>
      <c r="F573" s="723"/>
      <c r="G573" s="335" t="s">
        <v>50</v>
      </c>
      <c r="H573" s="2370">
        <v>5</v>
      </c>
      <c r="I573" s="721"/>
      <c r="J573" s="1"/>
      <c r="K573" s="282"/>
      <c r="L573" s="38"/>
      <c r="M573" s="294" t="s">
        <v>448</v>
      </c>
      <c r="N573" s="2241"/>
      <c r="O573" s="15"/>
      <c r="P573" s="1"/>
      <c r="Q573" s="1"/>
    </row>
    <row r="574" spans="1:17" ht="15.75">
      <c r="A574" s="15"/>
      <c r="B574" s="284" t="s">
        <v>420</v>
      </c>
      <c r="C574" s="1"/>
      <c r="D574" s="1"/>
      <c r="E574" s="1"/>
      <c r="F574" s="723"/>
      <c r="G574" s="329" t="s">
        <v>461</v>
      </c>
      <c r="H574" s="2372">
        <f>(100-H573)/100</f>
        <v>0.95</v>
      </c>
      <c r="I574" s="721"/>
      <c r="J574" s="1"/>
      <c r="K574" s="282"/>
      <c r="L574" s="38"/>
      <c r="M574" s="342" t="s">
        <v>50</v>
      </c>
      <c r="N574" s="2377">
        <v>40</v>
      </c>
      <c r="O574" s="15"/>
      <c r="P574" s="1"/>
      <c r="Q574" s="1"/>
    </row>
    <row r="575" spans="1:17" ht="16.5" thickBot="1">
      <c r="A575" s="15"/>
      <c r="B575" s="282" t="s">
        <v>421</v>
      </c>
      <c r="C575" s="1"/>
      <c r="D575" s="1"/>
      <c r="E575" s="1"/>
      <c r="F575" s="723"/>
      <c r="G575" s="2374" t="s">
        <v>47</v>
      </c>
      <c r="H575" s="332">
        <f>H572*H574</f>
        <v>82.649999999999991</v>
      </c>
      <c r="I575" s="721"/>
      <c r="J575" s="1"/>
      <c r="K575" s="282"/>
      <c r="L575" s="38"/>
      <c r="M575" s="338">
        <f>N574/100</f>
        <v>0.4</v>
      </c>
      <c r="N575" s="339">
        <f>N564*M575</f>
        <v>56</v>
      </c>
      <c r="O575" s="15"/>
      <c r="P575" s="1"/>
      <c r="Q575" s="1"/>
    </row>
    <row r="576" spans="1:17" ht="15.75">
      <c r="A576" s="15"/>
      <c r="B576" s="284" t="s">
        <v>425</v>
      </c>
      <c r="C576" s="1"/>
      <c r="D576" s="1"/>
      <c r="E576" s="1"/>
      <c r="F576" s="723"/>
      <c r="G576" s="723"/>
      <c r="H576" s="14"/>
      <c r="I576" s="721"/>
      <c r="J576" s="1"/>
      <c r="K576" s="282"/>
      <c r="L576" s="38"/>
      <c r="M576" s="342" t="s">
        <v>50</v>
      </c>
      <c r="N576" s="2377">
        <v>90</v>
      </c>
      <c r="O576" s="15"/>
      <c r="P576" s="1"/>
      <c r="Q576" s="1"/>
    </row>
    <row r="577" spans="1:17" ht="15.75">
      <c r="A577" s="15"/>
      <c r="B577" s="282" t="s">
        <v>422</v>
      </c>
      <c r="C577" s="1"/>
      <c r="D577" s="1"/>
      <c r="E577" s="1"/>
      <c r="F577" s="723"/>
      <c r="G577" s="723"/>
      <c r="H577" s="14"/>
      <c r="I577" s="721"/>
      <c r="J577" s="1"/>
      <c r="K577" s="282"/>
      <c r="L577" s="38"/>
      <c r="M577" s="8633" t="s">
        <v>378</v>
      </c>
      <c r="N577" s="8634"/>
      <c r="O577" s="15"/>
      <c r="P577" s="1"/>
      <c r="Q577" s="1"/>
    </row>
    <row r="578" spans="1:17" ht="16.5" thickBot="1">
      <c r="A578" s="15"/>
      <c r="B578" s="282"/>
      <c r="C578" s="1"/>
      <c r="D578" s="1"/>
      <c r="E578" s="1"/>
      <c r="F578" s="723"/>
      <c r="G578" s="723"/>
      <c r="H578" s="14"/>
      <c r="I578" s="721"/>
      <c r="J578" s="1"/>
      <c r="K578" s="282"/>
      <c r="L578" s="38"/>
      <c r="M578" s="2378">
        <f>N576/100</f>
        <v>0.9</v>
      </c>
      <c r="N578" s="340">
        <f>N564*M578</f>
        <v>126</v>
      </c>
      <c r="O578" s="15"/>
      <c r="P578" s="1"/>
      <c r="Q578" s="1"/>
    </row>
    <row r="579" spans="1:17" ht="15.75">
      <c r="A579" s="15"/>
      <c r="B579" s="282" t="s">
        <v>449</v>
      </c>
      <c r="C579" s="282"/>
      <c r="D579" s="38"/>
      <c r="E579" s="282"/>
      <c r="F579" s="282"/>
      <c r="G579" s="8637" t="s">
        <v>449</v>
      </c>
      <c r="H579" s="8638"/>
      <c r="I579" s="721"/>
      <c r="J579" s="282"/>
      <c r="K579" s="282"/>
      <c r="L579" s="282"/>
      <c r="M579" s="282"/>
      <c r="N579" s="282"/>
      <c r="O579" s="15"/>
      <c r="P579" s="1"/>
      <c r="Q579" s="1"/>
    </row>
    <row r="580" spans="1:17" ht="15.75">
      <c r="A580" s="15"/>
      <c r="B580" s="282" t="s">
        <v>450</v>
      </c>
      <c r="C580" s="282"/>
      <c r="D580" s="38"/>
      <c r="E580" s="282"/>
      <c r="F580" s="282"/>
      <c r="G580" s="8639"/>
      <c r="H580" s="8640"/>
      <c r="I580" s="721"/>
      <c r="J580" s="282"/>
      <c r="K580" s="282"/>
      <c r="L580" s="282"/>
      <c r="M580" s="282"/>
      <c r="N580" s="282"/>
      <c r="O580" s="15"/>
      <c r="P580" s="1"/>
      <c r="Q580" s="1"/>
    </row>
    <row r="581" spans="1:17" ht="15.75">
      <c r="A581" s="15"/>
      <c r="B581" s="282" t="s">
        <v>399</v>
      </c>
      <c r="C581" s="282"/>
      <c r="D581" s="38"/>
      <c r="E581" s="282"/>
      <c r="F581" s="282"/>
      <c r="G581" s="8621" t="s">
        <v>450</v>
      </c>
      <c r="H581" s="8622"/>
      <c r="I581" s="721"/>
      <c r="J581" s="282"/>
      <c r="K581" s="282"/>
      <c r="L581" s="282"/>
      <c r="M581" s="282"/>
      <c r="N581" s="282"/>
      <c r="O581" s="15"/>
      <c r="P581" s="1"/>
      <c r="Q581" s="1"/>
    </row>
    <row r="582" spans="1:17" ht="15.75">
      <c r="A582" s="15"/>
      <c r="B582" s="282" t="s">
        <v>400</v>
      </c>
      <c r="C582" s="282"/>
      <c r="D582" s="38"/>
      <c r="E582" s="282"/>
      <c r="F582" s="282"/>
      <c r="G582" s="8623" t="s">
        <v>399</v>
      </c>
      <c r="H582" s="8624"/>
      <c r="I582" s="721"/>
      <c r="J582" s="282"/>
      <c r="K582" s="282"/>
      <c r="L582" s="282"/>
      <c r="M582" s="282"/>
      <c r="N582" s="282"/>
      <c r="O582" s="15"/>
      <c r="P582" s="1"/>
      <c r="Q582" s="1"/>
    </row>
    <row r="583" spans="1:17" ht="15.75">
      <c r="A583" s="15"/>
      <c r="B583" s="282" t="s">
        <v>401</v>
      </c>
      <c r="C583" s="282"/>
      <c r="D583" s="38"/>
      <c r="E583" s="282"/>
      <c r="F583" s="282"/>
      <c r="G583" s="346" t="s">
        <v>53</v>
      </c>
      <c r="H583" s="2379">
        <v>500</v>
      </c>
      <c r="I583" s="721"/>
      <c r="J583" s="282"/>
      <c r="K583" s="282"/>
      <c r="L583" s="282"/>
      <c r="M583" s="282"/>
      <c r="N583" s="282"/>
      <c r="O583" s="15"/>
      <c r="P583" s="1"/>
      <c r="Q583" s="1"/>
    </row>
    <row r="584" spans="1:17" ht="15.75">
      <c r="A584" s="15"/>
      <c r="B584" s="282" t="s">
        <v>402</v>
      </c>
      <c r="C584" s="282"/>
      <c r="D584" s="38"/>
      <c r="E584" s="282"/>
      <c r="F584" s="282"/>
      <c r="G584" s="342" t="s">
        <v>50</v>
      </c>
      <c r="H584" s="2377">
        <v>8</v>
      </c>
      <c r="I584" s="721"/>
      <c r="J584" s="282"/>
      <c r="K584" s="282"/>
      <c r="L584" s="282"/>
      <c r="M584" s="282"/>
      <c r="N584" s="282"/>
      <c r="O584" s="15"/>
      <c r="P584" s="1"/>
      <c r="Q584" s="1"/>
    </row>
    <row r="585" spans="1:17" ht="15.75">
      <c r="A585" s="15"/>
      <c r="B585" s="282"/>
      <c r="C585" s="282"/>
      <c r="D585" s="38"/>
      <c r="E585" s="282"/>
      <c r="F585" s="282"/>
      <c r="G585" s="329" t="s">
        <v>49</v>
      </c>
      <c r="H585" s="2375">
        <f>H583*(H584/100)</f>
        <v>40</v>
      </c>
      <c r="I585" s="721"/>
      <c r="J585" s="282"/>
      <c r="K585" s="282"/>
      <c r="L585" s="282"/>
      <c r="M585" s="282"/>
      <c r="N585" s="282"/>
      <c r="O585" s="15"/>
      <c r="P585" s="1"/>
      <c r="Q585" s="1"/>
    </row>
    <row r="586" spans="1:17" ht="15.75">
      <c r="A586" s="15"/>
      <c r="B586" s="282"/>
      <c r="C586" s="282"/>
      <c r="D586" s="38"/>
      <c r="E586" s="282"/>
      <c r="F586" s="282"/>
      <c r="G586" s="8625" t="s">
        <v>400</v>
      </c>
      <c r="H586" s="8626"/>
      <c r="I586" s="721"/>
      <c r="J586" s="282"/>
      <c r="K586" s="282"/>
      <c r="L586" s="282"/>
      <c r="M586" s="282"/>
      <c r="N586" s="282"/>
      <c r="O586" s="15"/>
      <c r="P586" s="1"/>
      <c r="Q586" s="1"/>
    </row>
    <row r="587" spans="1:17" ht="15.75">
      <c r="A587" s="15"/>
      <c r="B587" s="282"/>
      <c r="C587" s="282"/>
      <c r="D587" s="38"/>
      <c r="E587" s="282"/>
      <c r="F587" s="282"/>
      <c r="G587" s="8623" t="s">
        <v>401</v>
      </c>
      <c r="H587" s="8624"/>
      <c r="I587" s="721"/>
      <c r="J587" s="282"/>
      <c r="K587" s="282"/>
      <c r="L587" s="282"/>
      <c r="M587" s="282"/>
      <c r="N587" s="282"/>
      <c r="O587" s="15"/>
      <c r="P587" s="1"/>
      <c r="Q587" s="1"/>
    </row>
    <row r="588" spans="1:17" ht="16.5" thickBot="1">
      <c r="A588" s="15"/>
      <c r="B588" s="282"/>
      <c r="C588" s="282"/>
      <c r="D588" s="38"/>
      <c r="E588" s="282"/>
      <c r="F588" s="282"/>
      <c r="G588" s="2380">
        <f>H584/100</f>
        <v>0.08</v>
      </c>
      <c r="H588" s="340">
        <f>H583*G588</f>
        <v>40</v>
      </c>
      <c r="I588" s="721"/>
      <c r="J588" s="282"/>
      <c r="K588" s="282"/>
      <c r="L588" s="282"/>
      <c r="M588" s="282"/>
      <c r="N588" s="282"/>
      <c r="O588" s="15"/>
      <c r="P588" s="1"/>
      <c r="Q588" s="1"/>
    </row>
    <row r="589" spans="1:17" ht="15.75">
      <c r="A589" s="15"/>
      <c r="B589" s="286"/>
      <c r="C589" s="1"/>
      <c r="D589" s="1"/>
      <c r="E589" s="1"/>
      <c r="F589" s="723"/>
      <c r="G589" s="723"/>
      <c r="H589" s="14"/>
      <c r="I589" s="721"/>
      <c r="J589" s="282"/>
      <c r="K589" s="282"/>
      <c r="L589" s="282"/>
      <c r="M589" s="282"/>
      <c r="N589" s="282"/>
      <c r="O589" s="15"/>
      <c r="P589" s="1"/>
      <c r="Q589" s="1"/>
    </row>
    <row r="590" spans="1:17" ht="16.5" thickBot="1">
      <c r="A590" s="15"/>
      <c r="B590" s="286"/>
      <c r="C590" s="1"/>
      <c r="D590" s="1"/>
      <c r="E590" s="1"/>
      <c r="F590" s="723"/>
      <c r="G590" s="723"/>
      <c r="H590" s="14"/>
      <c r="I590" s="721"/>
      <c r="J590" s="282"/>
      <c r="K590" s="282"/>
      <c r="L590" s="282"/>
      <c r="M590" s="282"/>
      <c r="N590" s="282"/>
      <c r="O590" s="15"/>
      <c r="P590" s="1"/>
      <c r="Q590" s="1"/>
    </row>
    <row r="591" spans="1:17" ht="20.25">
      <c r="A591" s="15"/>
      <c r="B591" s="567"/>
      <c r="C591" s="568"/>
      <c r="D591" s="568"/>
      <c r="E591" s="568"/>
      <c r="F591" s="568"/>
      <c r="G591" s="568"/>
      <c r="H591" s="569" t="s">
        <v>1297</v>
      </c>
      <c r="I591" s="721"/>
      <c r="J591" s="282"/>
      <c r="K591" s="282"/>
      <c r="L591" s="282"/>
      <c r="M591" s="282"/>
      <c r="N591" s="282"/>
      <c r="O591" s="15"/>
      <c r="P591" s="1"/>
      <c r="Q591" s="1"/>
    </row>
    <row r="592" spans="1:17" ht="15.75">
      <c r="A592" s="15"/>
      <c r="B592" s="943" t="s">
        <v>1298</v>
      </c>
      <c r="C592" s="570"/>
      <c r="D592" s="571" t="str">
        <f>IF(B593&lt;G593,"Recette imcomplète,il manque",IF(B593&gt;G593,"Trop de produits dans le recette",IF(B593=G593,"")))</f>
        <v>Recette imcomplète,il manque</v>
      </c>
      <c r="E592" s="944">
        <f>IF(B593=G593,"",IF(B593&lt;G593,G593-B593,IF(B593&gt;G593,B593-G593)))</f>
        <v>2.9999999999999916E-2</v>
      </c>
      <c r="F592" s="572" t="s">
        <v>368</v>
      </c>
      <c r="G592" s="573" t="s">
        <v>371</v>
      </c>
      <c r="H592" s="574" t="s">
        <v>367</v>
      </c>
      <c r="I592" s="721"/>
      <c r="J592" s="282"/>
      <c r="K592" s="282"/>
      <c r="L592" s="282"/>
      <c r="M592" s="282"/>
      <c r="N592" s="282"/>
      <c r="O592" s="15"/>
      <c r="P592" s="1"/>
      <c r="Q592" s="1"/>
    </row>
    <row r="593" spans="1:17" ht="15.75">
      <c r="A593" s="15"/>
      <c r="B593" s="575">
        <f>SUM(B594:B599)</f>
        <v>0.97000000000000008</v>
      </c>
      <c r="C593" s="576"/>
      <c r="D593" s="577"/>
      <c r="E593" s="578" t="s">
        <v>1299</v>
      </c>
      <c r="F593" s="2381">
        <v>7</v>
      </c>
      <c r="G593" s="579">
        <v>1</v>
      </c>
      <c r="H593" s="2382">
        <f>SUM(H594:H599)</f>
        <v>6.9300000000000006</v>
      </c>
      <c r="I593" s="721"/>
      <c r="J593" s="282"/>
      <c r="K593" s="282"/>
      <c r="L593" s="282"/>
      <c r="M593" s="282"/>
      <c r="N593" s="282"/>
      <c r="O593" s="15"/>
      <c r="P593" s="1"/>
      <c r="Q593" s="1"/>
    </row>
    <row r="594" spans="1:17" ht="15.75">
      <c r="A594" s="15"/>
      <c r="B594" s="581">
        <v>0.12</v>
      </c>
      <c r="C594" s="582" t="s">
        <v>1264</v>
      </c>
      <c r="D594" s="582"/>
      <c r="E594" s="582"/>
      <c r="F594" s="2383">
        <f>F593*B594</f>
        <v>0.84</v>
      </c>
      <c r="G594" s="583">
        <v>0</v>
      </c>
      <c r="H594" s="2384">
        <f t="shared" ref="H594:H599" si="3">IF(G594=0,F594,IF(F594="","",F594/(100-G594)*100))</f>
        <v>0.84</v>
      </c>
      <c r="I594" s="721"/>
      <c r="J594" s="282"/>
      <c r="K594" s="282"/>
      <c r="L594" s="282"/>
      <c r="M594" s="282"/>
      <c r="N594" s="282"/>
      <c r="O594" s="15"/>
      <c r="P594" s="1"/>
      <c r="Q594" s="1"/>
    </row>
    <row r="595" spans="1:17" ht="15.75">
      <c r="A595" s="15"/>
      <c r="B595" s="581">
        <v>0.08</v>
      </c>
      <c r="C595" s="582" t="s">
        <v>1300</v>
      </c>
      <c r="D595" s="582"/>
      <c r="E595" s="582"/>
      <c r="F595" s="585">
        <f>F593*B595</f>
        <v>0.56000000000000005</v>
      </c>
      <c r="G595" s="583">
        <v>0</v>
      </c>
      <c r="H595" s="2384">
        <f t="shared" si="3"/>
        <v>0.56000000000000005</v>
      </c>
      <c r="I595" s="721"/>
      <c r="J595" s="282"/>
      <c r="K595" s="282"/>
      <c r="L595" s="282"/>
      <c r="M595" s="282"/>
      <c r="N595" s="282"/>
      <c r="O595" s="15"/>
      <c r="P595" s="1"/>
      <c r="Q595" s="1"/>
    </row>
    <row r="596" spans="1:17" ht="15.75">
      <c r="A596" s="15"/>
      <c r="B596" s="581">
        <v>0.2</v>
      </c>
      <c r="C596" s="582" t="s">
        <v>1301</v>
      </c>
      <c r="D596" s="582"/>
      <c r="E596" s="582"/>
      <c r="F596" s="585">
        <f>F593*B596</f>
        <v>1.4000000000000001</v>
      </c>
      <c r="G596" s="583">
        <v>0</v>
      </c>
      <c r="H596" s="2384">
        <f t="shared" si="3"/>
        <v>1.4000000000000001</v>
      </c>
      <c r="I596" s="721"/>
      <c r="J596" s="282"/>
      <c r="K596" s="282"/>
      <c r="L596" s="282"/>
      <c r="M596" s="282"/>
      <c r="N596" s="282"/>
      <c r="O596" s="15"/>
      <c r="P596" s="1"/>
      <c r="Q596" s="1"/>
    </row>
    <row r="597" spans="1:17" ht="15.75">
      <c r="A597" s="15"/>
      <c r="B597" s="581">
        <v>0.55000000000000004</v>
      </c>
      <c r="C597" s="582" t="s">
        <v>1278</v>
      </c>
      <c r="D597" s="582"/>
      <c r="E597" s="582"/>
      <c r="F597" s="585">
        <f>F593*B597</f>
        <v>3.8500000000000005</v>
      </c>
      <c r="G597" s="583">
        <v>0</v>
      </c>
      <c r="H597" s="2384">
        <f t="shared" si="3"/>
        <v>3.8500000000000005</v>
      </c>
      <c r="I597" s="721"/>
      <c r="J597" s="282"/>
      <c r="K597" s="282"/>
      <c r="L597" s="282"/>
      <c r="M597" s="282"/>
      <c r="N597" s="282"/>
      <c r="O597" s="15"/>
      <c r="P597" s="1"/>
      <c r="Q597" s="1"/>
    </row>
    <row r="598" spans="1:17" ht="15.75">
      <c r="A598" s="15"/>
      <c r="B598" s="581">
        <v>0.02</v>
      </c>
      <c r="C598" s="582" t="s">
        <v>1302</v>
      </c>
      <c r="D598" s="582"/>
      <c r="E598" s="582"/>
      <c r="F598" s="585">
        <f>F593*B598</f>
        <v>0.14000000000000001</v>
      </c>
      <c r="G598" s="583">
        <v>50</v>
      </c>
      <c r="H598" s="2384">
        <f t="shared" si="3"/>
        <v>0.28000000000000003</v>
      </c>
      <c r="I598" s="721"/>
      <c r="J598" s="282"/>
      <c r="K598" s="282"/>
      <c r="L598" s="282"/>
      <c r="M598" s="282"/>
      <c r="N598" s="282"/>
      <c r="O598" s="15"/>
      <c r="P598" s="1"/>
      <c r="Q598" s="1"/>
    </row>
    <row r="599" spans="1:17" ht="16.5" thickBot="1">
      <c r="A599" s="15"/>
      <c r="B599" s="586"/>
      <c r="C599" s="587"/>
      <c r="D599" s="587"/>
      <c r="E599" s="587"/>
      <c r="F599" s="588">
        <f>F593*B599</f>
        <v>0</v>
      </c>
      <c r="G599" s="589">
        <v>0</v>
      </c>
      <c r="H599" s="590">
        <f t="shared" si="3"/>
        <v>0</v>
      </c>
      <c r="I599" s="721"/>
      <c r="J599" s="282"/>
      <c r="K599" s="282"/>
      <c r="L599" s="282"/>
      <c r="M599" s="282"/>
      <c r="N599" s="282"/>
      <c r="O599" s="15"/>
      <c r="P599" s="1"/>
      <c r="Q599" s="1"/>
    </row>
    <row r="600" spans="1:17" ht="15.75">
      <c r="A600" s="15"/>
      <c r="B600" s="286"/>
      <c r="C600" s="1"/>
      <c r="D600" s="1"/>
      <c r="E600" s="1"/>
      <c r="F600" s="723"/>
      <c r="G600" s="723"/>
      <c r="H600" s="14"/>
      <c r="I600" s="721"/>
      <c r="J600" s="282"/>
      <c r="K600" s="282"/>
      <c r="L600" s="282"/>
      <c r="M600" s="282"/>
      <c r="N600" s="282"/>
      <c r="O600" s="15"/>
      <c r="P600" s="1"/>
      <c r="Q600" s="1"/>
    </row>
    <row r="601" spans="1:17">
      <c r="A601" s="525"/>
      <c r="B601" s="526"/>
      <c r="C601" s="527"/>
      <c r="D601" s="527"/>
      <c r="E601" s="527"/>
      <c r="F601" s="527"/>
      <c r="G601" s="527"/>
      <c r="H601" s="527"/>
      <c r="I601" s="527"/>
      <c r="J601" s="526"/>
      <c r="K601" s="526"/>
      <c r="L601" s="526"/>
      <c r="M601" s="525"/>
      <c r="N601" s="525"/>
      <c r="O601" s="525"/>
      <c r="P601" s="525"/>
      <c r="Q601" s="525"/>
    </row>
    <row r="602" spans="1:17" ht="15.75">
      <c r="A602" s="15"/>
      <c r="B602" s="286"/>
      <c r="C602" s="1"/>
      <c r="D602" s="1"/>
      <c r="E602" s="1"/>
      <c r="F602" s="723"/>
      <c r="G602" s="723"/>
      <c r="H602" s="14"/>
      <c r="I602" s="721"/>
      <c r="J602" s="282"/>
      <c r="K602" s="282"/>
      <c r="L602" s="282"/>
      <c r="M602" s="282"/>
      <c r="N602" s="282"/>
      <c r="O602" s="15"/>
      <c r="P602" s="1"/>
      <c r="Q602" s="1"/>
    </row>
    <row r="603" spans="1:17" ht="15.75">
      <c r="A603" s="15"/>
      <c r="B603" s="286" t="s">
        <v>377</v>
      </c>
      <c r="C603" s="1"/>
      <c r="D603" s="1"/>
      <c r="E603" s="1"/>
      <c r="F603" s="723"/>
      <c r="G603" s="723"/>
      <c r="H603" s="14"/>
      <c r="I603" s="721"/>
      <c r="J603" s="282"/>
      <c r="K603" s="282"/>
      <c r="L603" s="38"/>
      <c r="M603" s="348"/>
      <c r="N603" s="349"/>
      <c r="O603" s="15"/>
      <c r="P603" s="1"/>
      <c r="Q603" s="1"/>
    </row>
    <row r="604" spans="1:17" ht="15.75">
      <c r="A604" s="15"/>
      <c r="B604" s="8617" t="s">
        <v>379</v>
      </c>
      <c r="C604" s="8617"/>
      <c r="D604" s="8617"/>
      <c r="E604" s="8617"/>
      <c r="F604" s="8617"/>
      <c r="G604" s="8617"/>
      <c r="H604" s="14"/>
      <c r="I604" s="721"/>
      <c r="J604" s="282" t="s">
        <v>406</v>
      </c>
      <c r="K604" s="282"/>
      <c r="L604" s="38"/>
      <c r="M604" s="721"/>
      <c r="N604" s="721"/>
      <c r="O604" s="15"/>
      <c r="P604" s="1"/>
      <c r="Q604" s="1"/>
    </row>
    <row r="605" spans="1:17" ht="15.75">
      <c r="A605" s="15"/>
      <c r="B605" s="282"/>
      <c r="C605" s="1"/>
      <c r="D605" s="1"/>
      <c r="E605" s="1"/>
      <c r="F605" s="723"/>
      <c r="G605" s="723"/>
      <c r="H605" s="14"/>
      <c r="I605" s="721"/>
      <c r="J605" s="283" t="s">
        <v>405</v>
      </c>
      <c r="K605" s="282"/>
      <c r="L605" s="38"/>
      <c r="M605" s="721"/>
      <c r="N605" s="721"/>
      <c r="O605" s="15"/>
      <c r="P605" s="1"/>
      <c r="Q605" s="1"/>
    </row>
    <row r="606" spans="1:17" ht="15.75">
      <c r="A606" s="15"/>
      <c r="B606" s="282" t="s">
        <v>381</v>
      </c>
      <c r="C606" s="1"/>
      <c r="D606" s="1"/>
      <c r="E606" s="1"/>
      <c r="F606" s="723"/>
      <c r="G606" s="723"/>
      <c r="H606" s="14"/>
      <c r="I606" s="721"/>
      <c r="J606" s="282"/>
      <c r="K606" s="282"/>
      <c r="L606" s="38"/>
      <c r="M606" s="721"/>
      <c r="N606" s="721"/>
      <c r="O606" s="15"/>
      <c r="P606" s="1"/>
      <c r="Q606" s="1"/>
    </row>
    <row r="607" spans="1:17" ht="15.75">
      <c r="A607" s="15"/>
      <c r="B607" s="282" t="s">
        <v>382</v>
      </c>
      <c r="C607" s="1"/>
      <c r="D607" s="1"/>
      <c r="E607" s="1"/>
      <c r="F607" s="723"/>
      <c r="G607" s="723"/>
      <c r="H607" s="14"/>
      <c r="I607" s="721"/>
      <c r="J607" s="282" t="s">
        <v>385</v>
      </c>
      <c r="K607" s="282"/>
      <c r="L607" s="38"/>
      <c r="M607" s="721"/>
      <c r="N607" s="721"/>
      <c r="O607" s="15"/>
      <c r="P607" s="1"/>
      <c r="Q607" s="1"/>
    </row>
    <row r="608" spans="1:17" ht="15.75">
      <c r="A608" s="15"/>
      <c r="B608" s="282" t="s">
        <v>383</v>
      </c>
      <c r="C608" s="1"/>
      <c r="D608" s="1"/>
      <c r="E608" s="1"/>
      <c r="F608" s="723"/>
      <c r="G608" s="723"/>
      <c r="H608" s="14"/>
      <c r="I608" s="721"/>
      <c r="J608" s="282" t="s">
        <v>386</v>
      </c>
      <c r="K608" s="282"/>
      <c r="L608" s="38"/>
      <c r="M608" s="721"/>
      <c r="N608" s="721"/>
      <c r="O608" s="15"/>
      <c r="P608" s="1"/>
      <c r="Q608" s="1"/>
    </row>
    <row r="609" spans="1:17" ht="15.75">
      <c r="A609" s="15"/>
      <c r="B609" s="282" t="s">
        <v>384</v>
      </c>
      <c r="C609" s="1"/>
      <c r="D609" s="1"/>
      <c r="E609" s="1"/>
      <c r="F609" s="723"/>
      <c r="G609" s="723"/>
      <c r="H609" s="14"/>
      <c r="I609" s="721"/>
      <c r="J609" s="282" t="s">
        <v>387</v>
      </c>
      <c r="K609" s="282"/>
      <c r="L609" s="38"/>
      <c r="M609" s="721"/>
      <c r="N609" s="721"/>
      <c r="O609" s="15"/>
      <c r="P609" s="15"/>
      <c r="Q609" s="14"/>
    </row>
    <row r="610" spans="1:17" ht="15.75">
      <c r="A610" s="15"/>
      <c r="B610" s="8617" t="s">
        <v>380</v>
      </c>
      <c r="C610" s="8617"/>
      <c r="D610" s="8617"/>
      <c r="E610" s="8617"/>
      <c r="F610" s="723"/>
      <c r="G610" s="723"/>
      <c r="H610" s="14"/>
      <c r="I610" s="721"/>
      <c r="J610" s="282" t="s">
        <v>390</v>
      </c>
      <c r="K610" s="282"/>
      <c r="L610" s="38"/>
      <c r="M610" s="721"/>
      <c r="N610" s="721"/>
      <c r="O610" s="15"/>
      <c r="P610" s="15"/>
      <c r="Q610" s="14"/>
    </row>
    <row r="611" spans="1:17" ht="15.75">
      <c r="A611" s="15"/>
      <c r="B611" s="282"/>
      <c r="C611" s="1"/>
      <c r="D611" s="1"/>
      <c r="E611" s="1"/>
      <c r="F611" s="723"/>
      <c r="G611" s="723"/>
      <c r="H611" s="14"/>
      <c r="I611" s="721"/>
      <c r="J611" s="283" t="s">
        <v>388</v>
      </c>
      <c r="K611" s="282"/>
      <c r="L611" s="38"/>
      <c r="M611" s="721"/>
      <c r="N611" s="721"/>
      <c r="O611" s="15"/>
      <c r="P611" s="15"/>
      <c r="Q611" s="14"/>
    </row>
    <row r="612" spans="1:17" ht="15.75">
      <c r="A612" s="15"/>
      <c r="B612" s="284" t="s">
        <v>423</v>
      </c>
      <c r="C612" s="1"/>
      <c r="D612" s="1"/>
      <c r="E612" s="1"/>
      <c r="F612" s="723"/>
      <c r="G612" s="723"/>
      <c r="H612" s="14"/>
      <c r="I612" s="721"/>
      <c r="J612" s="283" t="s">
        <v>389</v>
      </c>
      <c r="K612" s="282"/>
      <c r="L612" s="38"/>
      <c r="M612" s="721"/>
      <c r="N612" s="721"/>
      <c r="O612" s="15"/>
      <c r="P612" s="15"/>
      <c r="Q612" s="14"/>
    </row>
    <row r="613" spans="1:17" ht="15.75">
      <c r="A613" s="15"/>
      <c r="B613" s="8617" t="s">
        <v>427</v>
      </c>
      <c r="C613" s="8617"/>
      <c r="D613" s="8617"/>
      <c r="E613" s="8617"/>
      <c r="F613" s="8617"/>
      <c r="G613" s="723"/>
      <c r="H613" s="14"/>
      <c r="I613" s="721"/>
      <c r="J613" s="282"/>
      <c r="K613" s="282"/>
      <c r="L613" s="38"/>
      <c r="M613" s="721"/>
      <c r="N613" s="721"/>
      <c r="O613" s="15"/>
      <c r="P613" s="15"/>
      <c r="Q613" s="14"/>
    </row>
    <row r="614" spans="1:17" ht="15.75">
      <c r="A614" s="15"/>
      <c r="B614" s="282"/>
      <c r="C614" s="1"/>
      <c r="D614" s="1"/>
      <c r="E614" s="1"/>
      <c r="F614" s="723"/>
      <c r="G614" s="723"/>
      <c r="H614" s="14"/>
      <c r="I614" s="721"/>
      <c r="J614" s="284" t="s">
        <v>433</v>
      </c>
      <c r="K614" s="282"/>
      <c r="L614" s="38"/>
      <c r="M614" s="721"/>
      <c r="N614" s="721"/>
      <c r="O614" s="15"/>
      <c r="P614" s="15"/>
      <c r="Q614" s="14"/>
    </row>
    <row r="615" spans="1:17" ht="15.75">
      <c r="A615" s="15"/>
      <c r="B615" s="282"/>
      <c r="C615" s="1"/>
      <c r="D615" s="1"/>
      <c r="E615" s="1"/>
      <c r="F615" s="723"/>
      <c r="G615" s="723"/>
      <c r="H615" s="14"/>
      <c r="I615" s="721"/>
      <c r="J615" s="283" t="s">
        <v>434</v>
      </c>
      <c r="K615" s="282"/>
      <c r="L615" s="38"/>
      <c r="M615" s="721"/>
      <c r="N615" s="721"/>
      <c r="O615" s="15"/>
      <c r="P615" s="15"/>
      <c r="Q615" s="14"/>
    </row>
    <row r="616" spans="1:17" ht="15.75">
      <c r="A616" s="15"/>
      <c r="B616" s="284" t="s">
        <v>391</v>
      </c>
      <c r="C616" s="1"/>
      <c r="D616" s="1"/>
      <c r="E616" s="1"/>
      <c r="F616" s="723"/>
      <c r="G616" s="723"/>
      <c r="H616" s="14"/>
      <c r="I616" s="721"/>
      <c r="J616" s="282"/>
      <c r="K616" s="282"/>
      <c r="L616" s="38"/>
      <c r="M616" s="721"/>
      <c r="N616" s="721"/>
      <c r="O616" s="15"/>
      <c r="P616" s="15"/>
      <c r="Q616" s="14"/>
    </row>
    <row r="617" spans="1:17" ht="15.75">
      <c r="A617" s="15"/>
      <c r="B617" s="8617" t="s">
        <v>393</v>
      </c>
      <c r="C617" s="8617"/>
      <c r="D617" s="8617"/>
      <c r="E617" s="8617"/>
      <c r="F617" s="8617"/>
      <c r="G617" s="8617"/>
      <c r="H617" s="14"/>
      <c r="I617" s="721"/>
      <c r="J617" s="282" t="s">
        <v>408</v>
      </c>
      <c r="K617" s="282"/>
      <c r="L617" s="38"/>
      <c r="M617" s="721"/>
      <c r="N617" s="721"/>
      <c r="O617" s="15"/>
      <c r="P617" s="15"/>
      <c r="Q617" s="14"/>
    </row>
    <row r="618" spans="1:17" ht="15.75">
      <c r="A618" s="15"/>
      <c r="B618" s="8617" t="s">
        <v>392</v>
      </c>
      <c r="C618" s="8617"/>
      <c r="D618" s="8617"/>
      <c r="E618" s="8617"/>
      <c r="F618" s="8617"/>
      <c r="G618" s="8617"/>
      <c r="H618" s="14"/>
      <c r="I618" s="721"/>
      <c r="J618" s="283" t="s">
        <v>407</v>
      </c>
      <c r="K618" s="282"/>
      <c r="L618" s="38"/>
      <c r="M618" s="721"/>
      <c r="N618" s="721"/>
      <c r="O618" s="15"/>
      <c r="P618" s="15"/>
      <c r="Q618" s="14"/>
    </row>
    <row r="619" spans="1:17" ht="15.75">
      <c r="A619" s="15"/>
      <c r="B619" s="282"/>
      <c r="C619" s="1"/>
      <c r="D619" s="1"/>
      <c r="E619" s="1"/>
      <c r="F619" s="723"/>
      <c r="G619" s="723"/>
      <c r="H619" s="14"/>
      <c r="I619" s="721"/>
      <c r="J619" s="282"/>
      <c r="K619" s="282"/>
      <c r="L619" s="38"/>
      <c r="M619" s="721"/>
      <c r="N619" s="721"/>
      <c r="O619" s="15"/>
      <c r="P619" s="15"/>
      <c r="Q619" s="14"/>
    </row>
    <row r="620" spans="1:17" ht="15.75">
      <c r="A620" s="15"/>
      <c r="B620" s="284" t="s">
        <v>394</v>
      </c>
      <c r="C620" s="1"/>
      <c r="D620" s="1"/>
      <c r="E620" s="1"/>
      <c r="F620" s="723"/>
      <c r="G620" s="723"/>
      <c r="H620" s="14"/>
      <c r="I620" s="721"/>
      <c r="J620" s="282" t="s">
        <v>441</v>
      </c>
      <c r="K620" s="282"/>
      <c r="L620" s="38"/>
      <c r="M620" s="721"/>
      <c r="N620" s="721"/>
      <c r="O620" s="15"/>
      <c r="P620" s="15"/>
      <c r="Q620" s="14"/>
    </row>
    <row r="621" spans="1:17" ht="15.75">
      <c r="A621" s="15"/>
      <c r="B621" s="282" t="s">
        <v>396</v>
      </c>
      <c r="C621" s="1"/>
      <c r="D621" s="1"/>
      <c r="E621" s="1"/>
      <c r="F621" s="723"/>
      <c r="G621" s="723"/>
      <c r="H621" s="14"/>
      <c r="I621" s="721"/>
      <c r="J621" s="283" t="s">
        <v>440</v>
      </c>
      <c r="K621" s="282"/>
      <c r="L621" s="38"/>
      <c r="M621" s="721"/>
      <c r="N621" s="721"/>
      <c r="O621" s="15"/>
      <c r="P621" s="15"/>
      <c r="Q621" s="14"/>
    </row>
    <row r="622" spans="1:17" ht="15.75">
      <c r="A622" s="15"/>
      <c r="B622" s="282" t="s">
        <v>397</v>
      </c>
      <c r="C622" s="1"/>
      <c r="D622" s="1"/>
      <c r="E622" s="1"/>
      <c r="F622" s="723"/>
      <c r="G622" s="723"/>
      <c r="H622" s="14"/>
      <c r="I622" s="721"/>
      <c r="J622" s="282"/>
      <c r="K622" s="282"/>
      <c r="L622" s="38"/>
      <c r="M622" s="721"/>
      <c r="N622" s="721"/>
      <c r="O622" s="15"/>
      <c r="P622" s="15"/>
      <c r="Q622" s="14"/>
    </row>
    <row r="623" spans="1:17" ht="15.75">
      <c r="A623" s="15"/>
      <c r="B623" s="282" t="s">
        <v>398</v>
      </c>
      <c r="C623" s="1"/>
      <c r="D623" s="1"/>
      <c r="E623" s="1"/>
      <c r="F623" s="723"/>
      <c r="G623" s="723"/>
      <c r="H623" s="14"/>
      <c r="I623" s="721"/>
      <c r="J623" s="285" t="s">
        <v>412</v>
      </c>
      <c r="K623" s="282"/>
      <c r="L623" s="38"/>
      <c r="M623" s="721"/>
      <c r="N623" s="721"/>
      <c r="O623" s="15"/>
      <c r="P623" s="15"/>
      <c r="Q623" s="14"/>
    </row>
    <row r="624" spans="1:17" ht="15.75">
      <c r="A624" s="15"/>
      <c r="B624" s="8617" t="s">
        <v>395</v>
      </c>
      <c r="C624" s="8617"/>
      <c r="D624" s="8617"/>
      <c r="E624" s="8617"/>
      <c r="F624" s="8617"/>
      <c r="G624" s="723"/>
      <c r="H624" s="14"/>
      <c r="I624" s="721"/>
      <c r="J624" s="283" t="s">
        <v>413</v>
      </c>
      <c r="K624" s="282"/>
      <c r="L624" s="38"/>
      <c r="M624" s="721"/>
      <c r="N624" s="721"/>
      <c r="O624" s="15"/>
      <c r="P624" s="15"/>
      <c r="Q624" s="14"/>
    </row>
    <row r="625" spans="1:17" ht="15.75">
      <c r="A625" s="15"/>
      <c r="B625" s="282"/>
      <c r="C625" s="1"/>
      <c r="D625" s="1"/>
      <c r="E625" s="1"/>
      <c r="F625" s="723"/>
      <c r="G625" s="723"/>
      <c r="H625" s="14"/>
      <c r="I625" s="721"/>
      <c r="J625" s="283" t="s">
        <v>437</v>
      </c>
      <c r="K625" s="282"/>
      <c r="L625" s="38"/>
      <c r="M625" s="721"/>
      <c r="N625" s="721"/>
      <c r="O625" s="15"/>
      <c r="P625" s="15"/>
      <c r="Q625" s="14"/>
    </row>
    <row r="626" spans="1:17" ht="15.75">
      <c r="A626" s="15"/>
      <c r="B626" s="282"/>
      <c r="C626" s="1"/>
      <c r="D626" s="1"/>
      <c r="E626" s="1"/>
      <c r="F626" s="723"/>
      <c r="G626" s="723"/>
      <c r="H626" s="14"/>
      <c r="I626" s="721"/>
      <c r="J626" s="283" t="s">
        <v>438</v>
      </c>
      <c r="K626" s="282"/>
      <c r="L626" s="38"/>
      <c r="M626" s="721"/>
      <c r="N626" s="721"/>
      <c r="O626" s="15"/>
      <c r="P626" s="15"/>
      <c r="Q626" s="14"/>
    </row>
    <row r="627" spans="1:17" ht="15.75">
      <c r="A627" s="15"/>
      <c r="B627" s="282" t="s">
        <v>404</v>
      </c>
      <c r="C627" s="1"/>
      <c r="D627" s="1"/>
      <c r="E627" s="1"/>
      <c r="F627" s="723"/>
      <c r="G627" s="723"/>
      <c r="H627" s="14"/>
      <c r="I627" s="721"/>
      <c r="J627" s="282"/>
      <c r="K627" s="282"/>
      <c r="L627" s="38"/>
      <c r="M627" s="721"/>
      <c r="N627" s="721"/>
      <c r="O627" s="15"/>
      <c r="P627" s="15"/>
      <c r="Q627" s="14"/>
    </row>
    <row r="628" spans="1:17" ht="15.75">
      <c r="A628" s="15"/>
      <c r="B628" s="8617" t="s">
        <v>403</v>
      </c>
      <c r="C628" s="8617"/>
      <c r="D628" s="8617"/>
      <c r="E628" s="8617"/>
      <c r="F628" s="723"/>
      <c r="G628" s="723"/>
      <c r="H628" s="14"/>
      <c r="I628" s="721"/>
      <c r="J628" s="284" t="s">
        <v>435</v>
      </c>
      <c r="K628" s="282"/>
      <c r="L628" s="38"/>
      <c r="M628" s="721"/>
      <c r="N628" s="721"/>
      <c r="O628" s="15"/>
      <c r="P628" s="15"/>
      <c r="Q628" s="14"/>
    </row>
    <row r="629" spans="1:17" ht="15.75">
      <c r="A629" s="15"/>
      <c r="B629" s="282"/>
      <c r="C629" s="1"/>
      <c r="D629" s="1"/>
      <c r="E629" s="1"/>
      <c r="F629" s="723"/>
      <c r="G629" s="723"/>
      <c r="H629" s="14"/>
      <c r="I629" s="721"/>
      <c r="J629" s="283" t="s">
        <v>436</v>
      </c>
      <c r="K629" s="282"/>
      <c r="L629" s="38"/>
      <c r="M629" s="721"/>
      <c r="N629" s="721"/>
      <c r="O629" s="15"/>
      <c r="P629" s="15"/>
      <c r="Q629" s="14"/>
    </row>
    <row r="630" spans="1:17" ht="15.75">
      <c r="A630" s="15"/>
      <c r="B630" s="282"/>
      <c r="C630" s="1"/>
      <c r="D630" s="1"/>
      <c r="E630" s="1"/>
      <c r="F630" s="723"/>
      <c r="G630" s="723"/>
      <c r="H630" s="14"/>
      <c r="I630" s="721"/>
      <c r="J630" s="283"/>
      <c r="K630" s="282"/>
      <c r="L630" s="38"/>
      <c r="M630" s="721"/>
      <c r="N630" s="721"/>
      <c r="O630" s="15"/>
      <c r="P630" s="15"/>
      <c r="Q630" s="14"/>
    </row>
    <row r="631" spans="1:17">
      <c r="A631" s="525"/>
      <c r="B631" s="526"/>
      <c r="C631" s="527"/>
      <c r="D631" s="527"/>
      <c r="E631" s="527"/>
      <c r="F631" s="527"/>
      <c r="G631" s="527"/>
      <c r="H631" s="527"/>
      <c r="I631" s="527"/>
      <c r="J631" s="526"/>
      <c r="K631" s="526"/>
      <c r="L631" s="526"/>
      <c r="M631" s="525"/>
      <c r="N631" s="525"/>
      <c r="O631" s="525"/>
      <c r="P631" s="525"/>
      <c r="Q631" s="525"/>
    </row>
    <row r="632" spans="1:17">
      <c r="A632" s="15"/>
      <c r="B632" s="14"/>
      <c r="C632" s="14"/>
      <c r="D632" s="14"/>
      <c r="E632" s="14"/>
      <c r="F632" s="14"/>
      <c r="G632" s="14"/>
      <c r="H632" s="14"/>
      <c r="I632" s="14"/>
      <c r="J632" s="14"/>
      <c r="K632" s="14"/>
      <c r="L632" s="14"/>
      <c r="M632" s="14"/>
      <c r="N632" s="14"/>
      <c r="O632" s="14"/>
      <c r="P632" s="14"/>
      <c r="Q632" s="14"/>
    </row>
    <row r="633" spans="1:17">
      <c r="A633" s="15"/>
      <c r="B633" s="14"/>
      <c r="C633" s="14"/>
      <c r="D633" s="14"/>
      <c r="E633" s="14"/>
      <c r="F633" s="14"/>
      <c r="G633" s="14"/>
      <c r="H633" s="14"/>
      <c r="I633" s="14"/>
      <c r="J633" s="14"/>
      <c r="K633" s="14"/>
      <c r="L633" s="14"/>
      <c r="M633" s="14"/>
      <c r="N633" s="14"/>
      <c r="O633" s="14"/>
      <c r="P633" s="14"/>
      <c r="Q633" s="14"/>
    </row>
    <row r="634" spans="1:17" ht="15.75">
      <c r="A634" s="15"/>
      <c r="B634" s="14"/>
      <c r="C634" s="14"/>
      <c r="D634" s="14"/>
      <c r="E634" s="14"/>
      <c r="F634" s="14"/>
      <c r="G634" s="82" t="str">
        <f>SUBSTITUTE(ADDRESS(1,COLUMN(),4),"1","")</f>
        <v>G</v>
      </c>
      <c r="H634" s="14" t="s">
        <v>225</v>
      </c>
      <c r="I634" s="14"/>
      <c r="J634" s="14"/>
      <c r="K634" s="14"/>
      <c r="L634" s="14"/>
      <c r="M634" s="14"/>
      <c r="N634" s="14"/>
      <c r="O634" s="14"/>
      <c r="P634" s="14"/>
      <c r="Q634" s="14"/>
    </row>
    <row r="635" spans="1:17" ht="15.75">
      <c r="A635" s="15"/>
      <c r="B635" s="14"/>
      <c r="C635" s="8618" t="s">
        <v>226</v>
      </c>
      <c r="D635" s="8619"/>
      <c r="E635" s="8619"/>
      <c r="F635" s="8619"/>
      <c r="G635" s="8619"/>
      <c r="H635" s="8619"/>
      <c r="I635" s="8619"/>
      <c r="J635" s="8619"/>
      <c r="K635" s="8619"/>
      <c r="L635" s="8620"/>
      <c r="M635" s="15"/>
      <c r="N635" s="15"/>
      <c r="O635" s="15"/>
      <c r="P635" s="15"/>
      <c r="Q635" s="15"/>
    </row>
    <row r="636" spans="1:17">
      <c r="A636" s="15"/>
      <c r="B636" s="14"/>
      <c r="C636" s="8612" t="s">
        <v>227</v>
      </c>
      <c r="D636" s="8613"/>
      <c r="E636" s="8613"/>
      <c r="F636" s="83">
        <v>1</v>
      </c>
      <c r="G636" s="84">
        <f>F636</f>
        <v>1</v>
      </c>
      <c r="H636" s="8614" t="s">
        <v>45</v>
      </c>
      <c r="I636" s="8614"/>
      <c r="J636" s="85" t="s">
        <v>228</v>
      </c>
      <c r="K636" s="8615" t="s">
        <v>46</v>
      </c>
      <c r="L636" s="8616"/>
      <c r="M636" s="15"/>
      <c r="N636" s="15"/>
      <c r="O636" s="15"/>
      <c r="P636" s="15"/>
      <c r="Q636" s="15"/>
    </row>
    <row r="637" spans="1:17">
      <c r="A637" s="15"/>
      <c r="B637" s="14"/>
      <c r="C637" s="8607" t="s">
        <v>229</v>
      </c>
      <c r="D637" s="8608"/>
      <c r="E637" s="8608"/>
      <c r="F637" s="86">
        <v>25</v>
      </c>
      <c r="G637" s="84">
        <f>G636</f>
        <v>1</v>
      </c>
      <c r="H637" s="8609">
        <f t="shared" ref="H637:H643" si="4">(G637*F637)/100</f>
        <v>0.25</v>
      </c>
      <c r="I637" s="8609"/>
      <c r="J637" s="87">
        <v>20</v>
      </c>
      <c r="K637" s="8610">
        <f t="shared" ref="K637:K643" si="5">H637/(100-J637)*100</f>
        <v>0.3125</v>
      </c>
      <c r="L637" s="8611"/>
      <c r="M637" s="15"/>
      <c r="N637" s="15"/>
      <c r="O637" s="15"/>
      <c r="P637" s="15"/>
      <c r="Q637" s="15"/>
    </row>
    <row r="638" spans="1:17">
      <c r="A638" s="15"/>
      <c r="B638" s="14"/>
      <c r="C638" s="8607" t="s">
        <v>230</v>
      </c>
      <c r="D638" s="8608"/>
      <c r="E638" s="8608"/>
      <c r="F638" s="86">
        <v>20</v>
      </c>
      <c r="G638" s="84">
        <f>G636</f>
        <v>1</v>
      </c>
      <c r="H638" s="8609">
        <f t="shared" si="4"/>
        <v>0.2</v>
      </c>
      <c r="I638" s="8609"/>
      <c r="J638" s="87">
        <v>25</v>
      </c>
      <c r="K638" s="8610">
        <f t="shared" si="5"/>
        <v>0.26666666666666672</v>
      </c>
      <c r="L638" s="8611"/>
      <c r="M638" s="15"/>
      <c r="N638" s="15"/>
      <c r="O638" s="15"/>
      <c r="P638" s="15"/>
      <c r="Q638" s="15"/>
    </row>
    <row r="639" spans="1:17">
      <c r="A639" s="15"/>
      <c r="B639" s="14"/>
      <c r="C639" s="8607" t="s">
        <v>231</v>
      </c>
      <c r="D639" s="8608"/>
      <c r="E639" s="8608"/>
      <c r="F639" s="86">
        <v>15</v>
      </c>
      <c r="G639" s="84">
        <f>G636</f>
        <v>1</v>
      </c>
      <c r="H639" s="8609">
        <f t="shared" si="4"/>
        <v>0.15</v>
      </c>
      <c r="I639" s="8609"/>
      <c r="J639" s="87">
        <v>20</v>
      </c>
      <c r="K639" s="8610">
        <f t="shared" si="5"/>
        <v>0.1875</v>
      </c>
      <c r="L639" s="8611"/>
      <c r="M639" s="15"/>
      <c r="N639" s="15"/>
      <c r="O639" s="15"/>
      <c r="P639" s="15"/>
      <c r="Q639" s="15"/>
    </row>
    <row r="640" spans="1:17">
      <c r="A640" s="15"/>
      <c r="B640" s="14"/>
      <c r="C640" s="8607" t="s">
        <v>232</v>
      </c>
      <c r="D640" s="8608"/>
      <c r="E640" s="8608"/>
      <c r="F640" s="86">
        <v>15</v>
      </c>
      <c r="G640" s="84">
        <f>G636</f>
        <v>1</v>
      </c>
      <c r="H640" s="8609">
        <f t="shared" si="4"/>
        <v>0.15</v>
      </c>
      <c r="I640" s="8609"/>
      <c r="J640" s="87">
        <v>0</v>
      </c>
      <c r="K640" s="8610">
        <f t="shared" si="5"/>
        <v>0.15</v>
      </c>
      <c r="L640" s="8611"/>
      <c r="M640" s="15"/>
      <c r="N640" s="15"/>
      <c r="O640" s="15"/>
      <c r="P640" s="15"/>
      <c r="Q640" s="15"/>
    </row>
    <row r="641" spans="1:17">
      <c r="A641" s="15"/>
      <c r="B641" s="14"/>
      <c r="C641" s="8607" t="s">
        <v>233</v>
      </c>
      <c r="D641" s="8608"/>
      <c r="E641" s="8608"/>
      <c r="F641" s="86">
        <v>10</v>
      </c>
      <c r="G641" s="84">
        <f>G636</f>
        <v>1</v>
      </c>
      <c r="H641" s="8609">
        <f t="shared" si="4"/>
        <v>0.1</v>
      </c>
      <c r="I641" s="8609"/>
      <c r="J641" s="87">
        <v>20</v>
      </c>
      <c r="K641" s="8610">
        <f t="shared" si="5"/>
        <v>0.125</v>
      </c>
      <c r="L641" s="8611"/>
      <c r="M641" s="15"/>
      <c r="N641" s="15"/>
      <c r="O641" s="15"/>
      <c r="P641" s="15"/>
      <c r="Q641" s="15"/>
    </row>
    <row r="642" spans="1:17">
      <c r="A642" s="15"/>
      <c r="B642" s="14"/>
      <c r="C642" s="8607" t="s">
        <v>234</v>
      </c>
      <c r="D642" s="8608"/>
      <c r="E642" s="8608"/>
      <c r="F642" s="86">
        <v>7.5</v>
      </c>
      <c r="G642" s="84">
        <f>G636</f>
        <v>1</v>
      </c>
      <c r="H642" s="8609">
        <f t="shared" si="4"/>
        <v>7.4999999999999997E-2</v>
      </c>
      <c r="I642" s="8609"/>
      <c r="J642" s="87">
        <v>20</v>
      </c>
      <c r="K642" s="8610">
        <f t="shared" si="5"/>
        <v>9.375E-2</v>
      </c>
      <c r="L642" s="8611"/>
      <c r="M642" s="15"/>
      <c r="N642" s="15"/>
      <c r="O642" s="15"/>
      <c r="P642" s="15"/>
      <c r="Q642" s="15"/>
    </row>
    <row r="643" spans="1:17">
      <c r="A643" s="15"/>
      <c r="B643" s="14"/>
      <c r="C643" s="8607" t="s">
        <v>235</v>
      </c>
      <c r="D643" s="8608"/>
      <c r="E643" s="8608"/>
      <c r="F643" s="86">
        <v>7.5</v>
      </c>
      <c r="G643" s="84">
        <f>G636</f>
        <v>1</v>
      </c>
      <c r="H643" s="8609">
        <f t="shared" si="4"/>
        <v>7.4999999999999997E-2</v>
      </c>
      <c r="I643" s="8609"/>
      <c r="J643" s="87">
        <v>20</v>
      </c>
      <c r="K643" s="8610">
        <f t="shared" si="5"/>
        <v>9.375E-2</v>
      </c>
      <c r="L643" s="8611"/>
      <c r="M643" s="15"/>
      <c r="N643" s="15"/>
      <c r="O643" s="15"/>
      <c r="P643" s="15"/>
      <c r="Q643" s="15"/>
    </row>
    <row r="644" spans="1:17">
      <c r="A644" s="15"/>
      <c r="B644" s="14"/>
      <c r="C644" s="8590" t="s">
        <v>20</v>
      </c>
      <c r="D644" s="8591"/>
      <c r="E644" s="8591"/>
      <c r="F644" s="88">
        <f>SUM(F637:F643)</f>
        <v>100</v>
      </c>
      <c r="G644" s="89"/>
      <c r="H644" s="90"/>
      <c r="I644" s="14"/>
      <c r="J644" s="90"/>
      <c r="K644" s="90"/>
      <c r="L644" s="2385"/>
      <c r="M644" s="15"/>
      <c r="N644" s="15"/>
      <c r="O644" s="15"/>
      <c r="P644" s="15"/>
      <c r="Q644" s="15"/>
    </row>
    <row r="645" spans="1:17">
      <c r="A645" s="15"/>
      <c r="B645" s="14"/>
      <c r="C645" s="2386"/>
      <c r="D645" s="2387"/>
      <c r="E645" s="2387"/>
      <c r="F645" s="2388"/>
      <c r="G645" s="2389"/>
      <c r="H645" s="2389"/>
      <c r="I645" s="2390"/>
      <c r="J645" s="2389"/>
      <c r="K645" s="2389"/>
      <c r="L645" s="2391"/>
      <c r="M645" s="15"/>
      <c r="N645" s="15"/>
      <c r="O645" s="15"/>
      <c r="P645" s="15"/>
      <c r="Q645" s="15"/>
    </row>
    <row r="646" spans="1:17">
      <c r="A646" s="15"/>
      <c r="B646" s="14"/>
      <c r="C646" s="14"/>
      <c r="D646" s="14"/>
      <c r="E646" s="14"/>
      <c r="F646" s="14"/>
      <c r="G646" s="14"/>
      <c r="H646" s="14"/>
      <c r="I646" s="14"/>
      <c r="J646" s="14"/>
      <c r="K646" s="14"/>
      <c r="L646" s="14"/>
      <c r="M646" s="15"/>
      <c r="N646" s="15"/>
      <c r="O646" s="15"/>
      <c r="P646" s="15"/>
      <c r="Q646" s="15"/>
    </row>
    <row r="647" spans="1:17" ht="15.75" thickBot="1">
      <c r="A647" s="15"/>
      <c r="B647" s="14"/>
      <c r="C647" s="14"/>
      <c r="D647" s="14"/>
      <c r="E647" s="14"/>
      <c r="F647" s="14"/>
      <c r="G647" s="14"/>
      <c r="H647" s="14"/>
      <c r="I647" s="14"/>
      <c r="J647" s="14"/>
      <c r="K647" s="14"/>
      <c r="L647" s="14"/>
      <c r="M647" s="15"/>
      <c r="N647" s="15"/>
      <c r="O647" s="15"/>
      <c r="P647" s="15"/>
      <c r="Q647" s="15"/>
    </row>
    <row r="648" spans="1:17" ht="18.75">
      <c r="A648" s="15"/>
      <c r="B648" s="14"/>
      <c r="C648" s="8592" t="s">
        <v>236</v>
      </c>
      <c r="D648" s="8593"/>
      <c r="E648" s="8593"/>
      <c r="F648" s="8593"/>
      <c r="G648" s="8593"/>
      <c r="H648" s="8593"/>
      <c r="I648" s="8593"/>
      <c r="J648" s="8593"/>
      <c r="K648" s="8593"/>
      <c r="L648" s="8594"/>
      <c r="M648" s="15"/>
      <c r="N648" s="15"/>
      <c r="O648" s="15"/>
      <c r="P648" s="15"/>
      <c r="Q648" s="15"/>
    </row>
    <row r="649" spans="1:17">
      <c r="A649" s="15"/>
      <c r="B649" s="14"/>
      <c r="C649" s="8595" t="s">
        <v>237</v>
      </c>
      <c r="D649" s="8596"/>
      <c r="E649" s="8596"/>
      <c r="F649" s="8596"/>
      <c r="G649" s="8596"/>
      <c r="H649" s="8596"/>
      <c r="I649" s="8596"/>
      <c r="J649" s="8596"/>
      <c r="K649" s="8596"/>
      <c r="L649" s="8597"/>
      <c r="M649" s="15"/>
      <c r="N649" s="15"/>
      <c r="O649" s="15"/>
      <c r="P649" s="15"/>
      <c r="Q649" s="15"/>
    </row>
    <row r="650" spans="1:17" ht="18">
      <c r="A650" s="15"/>
      <c r="B650" s="14"/>
      <c r="C650" s="8598" t="s">
        <v>238</v>
      </c>
      <c r="D650" s="8599"/>
      <c r="E650" s="8599"/>
      <c r="F650" s="8599"/>
      <c r="G650" s="8599"/>
      <c r="H650" s="8599"/>
      <c r="I650" s="8599"/>
      <c r="J650" s="8599"/>
      <c r="K650" s="8599"/>
      <c r="L650" s="8600"/>
      <c r="M650" s="15"/>
      <c r="N650" s="15"/>
      <c r="O650" s="15"/>
      <c r="P650" s="15"/>
      <c r="Q650" s="15"/>
    </row>
    <row r="651" spans="1:17">
      <c r="A651" s="15"/>
      <c r="B651" s="14"/>
      <c r="C651" s="8601" t="str">
        <f ca="1">CELL("nomfichier")</f>
        <v>D:\Données\1.UPRT\0-UPRT.fait\1-UPRT.FR-SITE-WEB\ff-fiches-fabrications\ff.fiches.fabrication.2023\UPRT.23.aout\[ff-20-CHARCUTERIE-michel-Mariette.BOUDIN.BLANC_-1.xlsx]Exemples Michel Mariette</v>
      </c>
      <c r="D651" s="8602"/>
      <c r="E651" s="8602"/>
      <c r="F651" s="8602"/>
      <c r="G651" s="8602"/>
      <c r="H651" s="8602"/>
      <c r="I651" s="8602"/>
      <c r="J651" s="8602"/>
      <c r="K651" s="8602"/>
      <c r="L651" s="8603"/>
      <c r="M651" s="15"/>
      <c r="N651" s="15"/>
      <c r="O651" s="15"/>
      <c r="P651" s="15"/>
      <c r="Q651" s="15"/>
    </row>
    <row r="652" spans="1:17" ht="26.25">
      <c r="A652" s="15"/>
      <c r="B652" s="14"/>
      <c r="C652" s="8604" t="s">
        <v>239</v>
      </c>
      <c r="D652" s="8605"/>
      <c r="E652" s="8605"/>
      <c r="F652" s="8605"/>
      <c r="G652" s="8605"/>
      <c r="H652" s="8605"/>
      <c r="I652" s="8605"/>
      <c r="J652" s="8605"/>
      <c r="K652" s="8605"/>
      <c r="L652" s="8606"/>
      <c r="M652" s="15"/>
      <c r="N652" s="15"/>
      <c r="O652" s="15"/>
      <c r="P652" s="15"/>
      <c r="Q652" s="15"/>
    </row>
    <row r="653" spans="1:17" ht="26.25">
      <c r="A653" s="15"/>
      <c r="B653" s="14"/>
      <c r="C653" s="94"/>
      <c r="D653" s="95"/>
      <c r="E653" s="95" t="s">
        <v>240</v>
      </c>
      <c r="F653" s="14"/>
      <c r="G653" s="96">
        <f ca="1">TODAY()</f>
        <v>46257</v>
      </c>
      <c r="H653" s="97"/>
      <c r="I653" s="98"/>
      <c r="J653" s="99">
        <f ca="1">NOW()</f>
        <v>46257.633905902781</v>
      </c>
      <c r="K653" s="99"/>
      <c r="L653" s="2392"/>
      <c r="M653" s="15"/>
      <c r="N653" s="15"/>
      <c r="O653" s="15"/>
      <c r="P653" s="15"/>
      <c r="Q653" s="15"/>
    </row>
    <row r="654" spans="1:17" ht="15.75">
      <c r="A654" s="15"/>
      <c r="B654" s="14"/>
      <c r="C654" s="8579">
        <v>1</v>
      </c>
      <c r="D654" s="101" t="s">
        <v>241</v>
      </c>
      <c r="E654" s="15"/>
      <c r="F654" s="14"/>
      <c r="G654" s="102"/>
      <c r="H654" s="102"/>
      <c r="I654" s="102"/>
      <c r="J654" s="102"/>
      <c r="K654" s="102"/>
      <c r="L654" s="2393"/>
      <c r="M654" s="15"/>
      <c r="N654" s="15"/>
      <c r="O654" s="15"/>
      <c r="P654" s="15"/>
      <c r="Q654" s="15"/>
    </row>
    <row r="655" spans="1:17">
      <c r="A655" s="15"/>
      <c r="B655" s="14"/>
      <c r="C655" s="8579"/>
      <c r="D655" s="8580" t="s">
        <v>242</v>
      </c>
      <c r="E655" s="8580"/>
      <c r="F655" s="8580"/>
      <c r="G655" s="104"/>
      <c r="H655" s="105" t="s">
        <v>214</v>
      </c>
      <c r="I655" s="106" t="s">
        <v>215</v>
      </c>
      <c r="J655" s="106" t="s">
        <v>216</v>
      </c>
      <c r="K655" s="106" t="s">
        <v>201</v>
      </c>
      <c r="L655" s="2394" t="s">
        <v>243</v>
      </c>
      <c r="M655" s="15"/>
      <c r="N655" s="15"/>
      <c r="O655" s="15"/>
      <c r="P655" s="15"/>
      <c r="Q655" s="15"/>
    </row>
    <row r="656" spans="1:17" ht="15.75">
      <c r="A656" s="15"/>
      <c r="B656" s="14"/>
      <c r="C656" s="8579"/>
      <c r="D656" s="8580" t="s">
        <v>244</v>
      </c>
      <c r="E656" s="8580"/>
      <c r="F656" s="8580"/>
      <c r="G656" s="108">
        <f>SUM(H656:L656)</f>
        <v>2170</v>
      </c>
      <c r="H656" s="109">
        <v>550</v>
      </c>
      <c r="I656" s="109">
        <v>920</v>
      </c>
      <c r="J656" s="109">
        <v>340</v>
      </c>
      <c r="K656" s="109">
        <v>150</v>
      </c>
      <c r="L656" s="110">
        <v>210</v>
      </c>
      <c r="M656" s="15"/>
      <c r="N656" s="15"/>
      <c r="O656" s="15"/>
      <c r="P656" s="15"/>
      <c r="Q656" s="15"/>
    </row>
    <row r="657" spans="1:17" ht="15.75">
      <c r="A657" s="15"/>
      <c r="B657" s="14"/>
      <c r="C657" s="111"/>
      <c r="D657" s="727"/>
      <c r="E657" s="727"/>
      <c r="F657" s="727"/>
      <c r="G657" s="108"/>
      <c r="H657" s="112"/>
      <c r="I657" s="112"/>
      <c r="J657" s="112"/>
      <c r="K657" s="112"/>
      <c r="L657" s="2395"/>
      <c r="M657" s="15"/>
      <c r="N657" s="15"/>
      <c r="O657" s="15"/>
      <c r="P657" s="15"/>
      <c r="Q657" s="15"/>
    </row>
    <row r="658" spans="1:17" ht="15.75">
      <c r="A658" s="15"/>
      <c r="B658" s="14"/>
      <c r="C658" s="8579">
        <v>2</v>
      </c>
      <c r="D658" s="101" t="s">
        <v>245</v>
      </c>
      <c r="E658" s="15"/>
      <c r="F658" s="14"/>
      <c r="G658" s="15"/>
      <c r="H658" s="15"/>
      <c r="I658" s="15"/>
      <c r="J658" s="15"/>
      <c r="K658" s="15"/>
      <c r="L658" s="2396"/>
      <c r="M658" s="15"/>
      <c r="N658" s="15"/>
      <c r="O658" s="15"/>
      <c r="P658" s="15"/>
      <c r="Q658" s="15"/>
    </row>
    <row r="659" spans="1:17">
      <c r="A659" s="15"/>
      <c r="B659" s="14"/>
      <c r="C659" s="8579"/>
      <c r="D659" s="8569" t="s">
        <v>246</v>
      </c>
      <c r="E659" s="8569"/>
      <c r="F659" s="8569"/>
      <c r="G659" s="115">
        <f>(H659*H656)+(I659*I656)+(J659*J656)+(K659*K656)+(L659*L656)</f>
        <v>1470</v>
      </c>
      <c r="H659" s="116">
        <v>0</v>
      </c>
      <c r="I659" s="116">
        <v>1</v>
      </c>
      <c r="J659" s="116">
        <v>1</v>
      </c>
      <c r="K659" s="116">
        <v>0</v>
      </c>
      <c r="L659" s="2397">
        <v>1</v>
      </c>
      <c r="M659" s="15"/>
      <c r="N659" s="15"/>
      <c r="O659" s="15"/>
      <c r="P659" s="15"/>
      <c r="Q659" s="15"/>
    </row>
    <row r="660" spans="1:17">
      <c r="A660" s="15"/>
      <c r="B660" s="14"/>
      <c r="C660" s="8579"/>
      <c r="D660" s="8569" t="s">
        <v>247</v>
      </c>
      <c r="E660" s="8569"/>
      <c r="F660" s="8569"/>
      <c r="G660" s="115">
        <f>(H660*H656)+(I660*I656)+(J660*J656)+(K660*K656)+(L660*L656)</f>
        <v>850</v>
      </c>
      <c r="H660" s="116">
        <v>1</v>
      </c>
      <c r="I660" s="116">
        <v>0</v>
      </c>
      <c r="J660" s="116">
        <v>0</v>
      </c>
      <c r="K660" s="116">
        <v>2</v>
      </c>
      <c r="L660" s="2397">
        <v>0</v>
      </c>
      <c r="M660" s="15"/>
      <c r="N660" s="15"/>
      <c r="O660" s="15"/>
      <c r="P660" s="15"/>
      <c r="Q660" s="15"/>
    </row>
    <row r="661" spans="1:17">
      <c r="A661" s="15"/>
      <c r="B661" s="14"/>
      <c r="C661" s="8579"/>
      <c r="D661" s="8569" t="s">
        <v>248</v>
      </c>
      <c r="E661" s="8569"/>
      <c r="F661" s="8569"/>
      <c r="G661" s="115">
        <f>(H661*H656)+(I661*I656)+(J661*J656)+(K661*K656)+(L661*L656)</f>
        <v>1895</v>
      </c>
      <c r="H661" s="118">
        <v>0.5</v>
      </c>
      <c r="I661" s="116">
        <v>1</v>
      </c>
      <c r="J661" s="116">
        <v>1</v>
      </c>
      <c r="K661" s="116">
        <v>1</v>
      </c>
      <c r="L661" s="2397">
        <v>1</v>
      </c>
      <c r="M661" s="15"/>
      <c r="N661" s="15"/>
      <c r="O661" s="15"/>
      <c r="P661" s="15"/>
      <c r="Q661" s="15"/>
    </row>
    <row r="662" spans="1:17">
      <c r="A662" s="15"/>
      <c r="B662" s="14"/>
      <c r="C662" s="8579"/>
      <c r="D662" s="8569" t="s">
        <v>249</v>
      </c>
      <c r="E662" s="8569"/>
      <c r="F662" s="8569"/>
      <c r="G662" s="115">
        <f>(H662*H656)+(I662*I656)+(J662*J656)+(K662*K656)+(L662*L656)</f>
        <v>1190</v>
      </c>
      <c r="H662" s="116">
        <v>0</v>
      </c>
      <c r="I662" s="116">
        <v>0</v>
      </c>
      <c r="J662" s="116">
        <v>2</v>
      </c>
      <c r="K662" s="116">
        <v>2</v>
      </c>
      <c r="L662" s="2397">
        <v>1</v>
      </c>
      <c r="M662" s="15"/>
      <c r="N662" s="15"/>
      <c r="O662" s="15"/>
      <c r="P662" s="15"/>
      <c r="Q662" s="15"/>
    </row>
    <row r="663" spans="1:17">
      <c r="A663" s="15"/>
      <c r="B663" s="14"/>
      <c r="C663" s="8579"/>
      <c r="D663" s="8569" t="s">
        <v>250</v>
      </c>
      <c r="E663" s="8569"/>
      <c r="F663" s="8569"/>
      <c r="G663" s="115">
        <f>(H663*H656)+(I663*I656)+(J663*J656)+(K663*K656)+(L663*L656)</f>
        <v>2540</v>
      </c>
      <c r="H663" s="116">
        <v>1</v>
      </c>
      <c r="I663" s="116">
        <v>2</v>
      </c>
      <c r="J663" s="116">
        <v>0</v>
      </c>
      <c r="K663" s="116">
        <v>1</v>
      </c>
      <c r="L663" s="2397">
        <v>0</v>
      </c>
      <c r="M663" s="15"/>
      <c r="N663" s="15"/>
      <c r="O663" s="15"/>
      <c r="P663" s="15"/>
      <c r="Q663" s="15"/>
    </row>
    <row r="664" spans="1:17" ht="15.75">
      <c r="A664" s="15"/>
      <c r="B664" s="14"/>
      <c r="C664" s="111"/>
      <c r="D664" s="119"/>
      <c r="E664" s="15"/>
      <c r="F664" s="14"/>
      <c r="G664" s="115"/>
      <c r="H664" s="105" t="s">
        <v>214</v>
      </c>
      <c r="I664" s="106" t="s">
        <v>215</v>
      </c>
      <c r="J664" s="106" t="s">
        <v>216</v>
      </c>
      <c r="K664" s="106" t="s">
        <v>201</v>
      </c>
      <c r="L664" s="2394" t="s">
        <v>243</v>
      </c>
      <c r="M664" s="15"/>
      <c r="N664" s="15"/>
      <c r="O664" s="15"/>
      <c r="P664" s="15"/>
      <c r="Q664" s="15"/>
    </row>
    <row r="665" spans="1:17" ht="15.75">
      <c r="A665" s="15"/>
      <c r="B665" s="14"/>
      <c r="C665" s="111"/>
      <c r="D665" s="119"/>
      <c r="E665" s="15"/>
      <c r="F665" s="14"/>
      <c r="G665" s="69" t="s">
        <v>251</v>
      </c>
      <c r="H665" s="120">
        <f>SUM(H659:H664)</f>
        <v>2.5</v>
      </c>
      <c r="I665" s="120">
        <f>SUM(I659:I664)</f>
        <v>4</v>
      </c>
      <c r="J665" s="120">
        <f>SUM(J659:J664)</f>
        <v>4</v>
      </c>
      <c r="K665" s="120">
        <f>SUM(K659:K664)</f>
        <v>6</v>
      </c>
      <c r="L665" s="2398">
        <f>SUM(L659:L664)</f>
        <v>3</v>
      </c>
      <c r="M665" s="15"/>
      <c r="N665" s="15"/>
      <c r="O665" s="15"/>
      <c r="P665" s="15"/>
      <c r="Q665" s="15"/>
    </row>
    <row r="666" spans="1:17">
      <c r="A666" s="15"/>
      <c r="B666" s="14"/>
      <c r="C666" s="122"/>
      <c r="D666" s="119"/>
      <c r="E666" s="15"/>
      <c r="F666" s="14"/>
      <c r="G666" s="725"/>
      <c r="H666" s="123"/>
      <c r="I666" s="123"/>
      <c r="J666" s="123"/>
      <c r="K666" s="123"/>
      <c r="L666" s="2399"/>
      <c r="M666" s="15"/>
      <c r="N666" s="15"/>
      <c r="O666" s="15"/>
      <c r="P666" s="15"/>
      <c r="Q666" s="15"/>
    </row>
    <row r="667" spans="1:17" ht="15.75">
      <c r="A667" s="15"/>
      <c r="B667" s="14"/>
      <c r="C667" s="726">
        <v>3</v>
      </c>
      <c r="D667" s="8569" t="s">
        <v>252</v>
      </c>
      <c r="E667" s="8569"/>
      <c r="F667" s="8569"/>
      <c r="G667" s="125">
        <f>(H667*H656)+(I667*I656)+(J667*J656)+(K667*K656)+(L667*L656)</f>
        <v>208.60000000000002</v>
      </c>
      <c r="H667" s="126">
        <v>0.06</v>
      </c>
      <c r="I667" s="126">
        <v>0.08</v>
      </c>
      <c r="J667" s="126">
        <v>0.15</v>
      </c>
      <c r="K667" s="126">
        <v>0.2</v>
      </c>
      <c r="L667" s="2400">
        <v>0.1</v>
      </c>
      <c r="M667" s="15"/>
      <c r="N667" s="15"/>
      <c r="O667" s="15"/>
      <c r="P667" s="15"/>
      <c r="Q667" s="15"/>
    </row>
    <row r="668" spans="1:17">
      <c r="A668" s="15"/>
      <c r="B668" s="14"/>
      <c r="C668" s="122"/>
      <c r="D668" s="128"/>
      <c r="E668" s="129"/>
      <c r="F668" s="130"/>
      <c r="G668" s="115"/>
      <c r="H668" s="123"/>
      <c r="I668" s="123"/>
      <c r="J668" s="123"/>
      <c r="K668" s="123"/>
      <c r="L668" s="2399"/>
      <c r="M668" s="15"/>
      <c r="N668" s="15"/>
      <c r="O668" s="15"/>
      <c r="P668" s="15"/>
      <c r="Q668" s="15"/>
    </row>
    <row r="669" spans="1:17" ht="15.75">
      <c r="A669" s="15"/>
      <c r="B669" s="14"/>
      <c r="C669" s="726">
        <v>4</v>
      </c>
      <c r="D669" s="8569" t="s">
        <v>253</v>
      </c>
      <c r="E669" s="8569"/>
      <c r="F669" s="8569"/>
      <c r="G669" s="125">
        <f>(H669*H656)+(I669*I656)+(J669*J656)+(K669*K656)+(L669*L656)</f>
        <v>213.5</v>
      </c>
      <c r="H669" s="126">
        <v>0.06</v>
      </c>
      <c r="I669" s="126">
        <v>0.1</v>
      </c>
      <c r="J669" s="126">
        <v>0.12</v>
      </c>
      <c r="K669" s="126">
        <v>0.15</v>
      </c>
      <c r="L669" s="2400">
        <v>0.12</v>
      </c>
      <c r="M669" s="15"/>
      <c r="N669" s="15"/>
      <c r="O669" s="15"/>
      <c r="P669" s="15"/>
      <c r="Q669" s="15"/>
    </row>
    <row r="670" spans="1:17">
      <c r="A670" s="15"/>
      <c r="B670" s="14"/>
      <c r="C670" s="122"/>
      <c r="D670" s="128"/>
      <c r="E670" s="129"/>
      <c r="F670" s="130"/>
      <c r="G670" s="115"/>
      <c r="H670" s="123"/>
      <c r="I670" s="123"/>
      <c r="J670" s="123"/>
      <c r="K670" s="123"/>
      <c r="L670" s="2399"/>
      <c r="M670" s="15"/>
      <c r="N670" s="15"/>
      <c r="O670" s="15"/>
      <c r="P670" s="15"/>
      <c r="Q670" s="15"/>
    </row>
    <row r="671" spans="1:17" ht="15.75">
      <c r="A671" s="15"/>
      <c r="B671" s="14"/>
      <c r="C671" s="726">
        <v>5</v>
      </c>
      <c r="D671" s="8569" t="s">
        <v>184</v>
      </c>
      <c r="E671" s="8569"/>
      <c r="F671" s="8569"/>
      <c r="G671" s="125">
        <f>(H671*H656)+(I671*I656)+(J671*J656)+(K671*K656)+(L671*L656)</f>
        <v>237.5</v>
      </c>
      <c r="H671" s="126">
        <v>0.06</v>
      </c>
      <c r="I671" s="126">
        <v>0.1</v>
      </c>
      <c r="J671" s="126">
        <v>0.15</v>
      </c>
      <c r="K671" s="126">
        <v>0.2</v>
      </c>
      <c r="L671" s="2400">
        <v>0.15</v>
      </c>
      <c r="M671" s="15"/>
      <c r="N671" s="15"/>
      <c r="O671" s="15"/>
      <c r="P671" s="15"/>
      <c r="Q671" s="15"/>
    </row>
    <row r="672" spans="1:17" ht="15.75" thickBot="1">
      <c r="A672" s="15"/>
      <c r="B672" s="14"/>
      <c r="C672" s="2401"/>
      <c r="D672" s="131"/>
      <c r="E672" s="132"/>
      <c r="F672" s="133"/>
      <c r="G672" s="134"/>
      <c r="H672" s="135"/>
      <c r="I672" s="135"/>
      <c r="J672" s="132"/>
      <c r="K672" s="132"/>
      <c r="L672" s="592"/>
      <c r="M672" s="15"/>
      <c r="N672" s="15"/>
      <c r="O672" s="15"/>
      <c r="P672" s="15"/>
      <c r="Q672" s="15"/>
    </row>
    <row r="673" spans="1:17">
      <c r="A673" s="15"/>
      <c r="B673" s="14"/>
      <c r="C673" s="14"/>
      <c r="D673" s="14"/>
      <c r="E673" s="14"/>
      <c r="F673" s="14"/>
      <c r="G673" s="14"/>
      <c r="H673" s="14"/>
      <c r="I673" s="14"/>
      <c r="J673" s="14"/>
      <c r="K673" s="14"/>
      <c r="L673" s="14"/>
      <c r="M673" s="15"/>
      <c r="N673" s="15"/>
      <c r="O673" s="15"/>
      <c r="P673" s="15"/>
      <c r="Q673" s="15"/>
    </row>
    <row r="674" spans="1:17">
      <c r="A674" s="525"/>
      <c r="B674" s="526"/>
      <c r="C674" s="527"/>
      <c r="D674" s="527"/>
      <c r="E674" s="527"/>
      <c r="F674" s="527"/>
      <c r="G674" s="527"/>
      <c r="H674" s="527"/>
      <c r="I674" s="527"/>
      <c r="J674" s="526"/>
      <c r="K674" s="526"/>
      <c r="L674" s="526"/>
      <c r="M674" s="525"/>
      <c r="N674" s="525"/>
      <c r="O674" s="525"/>
      <c r="P674" s="525"/>
      <c r="Q674" s="525"/>
    </row>
    <row r="675" spans="1:17" ht="15.75" thickBot="1">
      <c r="A675" s="15"/>
      <c r="B675" s="14"/>
      <c r="C675" s="14"/>
      <c r="D675" s="14"/>
      <c r="E675" s="14"/>
      <c r="F675" s="14"/>
      <c r="G675" s="14"/>
      <c r="H675" s="14"/>
      <c r="I675" s="14"/>
      <c r="J675" s="14"/>
      <c r="K675" s="14"/>
      <c r="L675" s="14"/>
      <c r="M675" s="15"/>
      <c r="N675" s="15"/>
      <c r="O675" s="15"/>
      <c r="P675" s="15"/>
      <c r="Q675" s="15"/>
    </row>
    <row r="676" spans="1:17" ht="18">
      <c r="A676" s="15"/>
      <c r="B676" s="14"/>
      <c r="C676" s="8570" t="s">
        <v>254</v>
      </c>
      <c r="D676" s="8571"/>
      <c r="E676" s="8571"/>
      <c r="F676" s="8571"/>
      <c r="G676" s="8571"/>
      <c r="H676" s="8571"/>
      <c r="I676" s="8571"/>
      <c r="J676" s="8571"/>
      <c r="K676" s="8571"/>
      <c r="L676" s="8572"/>
      <c r="M676" s="15"/>
      <c r="N676" s="15"/>
      <c r="O676" s="15"/>
      <c r="P676" s="15"/>
      <c r="Q676" s="15"/>
    </row>
    <row r="677" spans="1:17">
      <c r="A677" s="15"/>
      <c r="B677" s="14"/>
      <c r="C677" s="136" t="s">
        <v>255</v>
      </c>
      <c r="D677" s="137"/>
      <c r="E677" s="137"/>
      <c r="F677" s="137"/>
      <c r="G677" s="137"/>
      <c r="H677" s="137"/>
      <c r="I677" s="137"/>
      <c r="J677" s="138"/>
      <c r="K677" s="138"/>
      <c r="L677" s="2402"/>
      <c r="M677" s="15"/>
      <c r="N677" s="15"/>
      <c r="O677" s="15"/>
      <c r="P677" s="15"/>
      <c r="Q677" s="15"/>
    </row>
    <row r="678" spans="1:17">
      <c r="A678" s="15"/>
      <c r="B678" s="14"/>
      <c r="C678" s="8573" t="s">
        <v>256</v>
      </c>
      <c r="D678" s="8574"/>
      <c r="E678" s="8574"/>
      <c r="F678" s="8574"/>
      <c r="G678" s="8574"/>
      <c r="H678" s="8574"/>
      <c r="I678" s="8574"/>
      <c r="J678" s="8574"/>
      <c r="K678" s="8574"/>
      <c r="L678" s="8575"/>
      <c r="M678" s="15"/>
      <c r="N678" s="15"/>
      <c r="O678" s="15"/>
      <c r="P678" s="15"/>
      <c r="Q678" s="15"/>
    </row>
    <row r="679" spans="1:17">
      <c r="A679" s="15"/>
      <c r="B679" s="14"/>
      <c r="C679" s="8573"/>
      <c r="D679" s="8574"/>
      <c r="E679" s="8574"/>
      <c r="F679" s="8574"/>
      <c r="G679" s="8574"/>
      <c r="H679" s="8574"/>
      <c r="I679" s="8574"/>
      <c r="J679" s="8574"/>
      <c r="K679" s="8574"/>
      <c r="L679" s="8575"/>
      <c r="M679" s="15"/>
      <c r="N679" s="15"/>
      <c r="O679" s="15"/>
      <c r="P679" s="15"/>
      <c r="Q679" s="15"/>
    </row>
    <row r="680" spans="1:17">
      <c r="A680" s="15"/>
      <c r="B680" s="14"/>
      <c r="C680" s="8573"/>
      <c r="D680" s="8574"/>
      <c r="E680" s="8574"/>
      <c r="F680" s="8574"/>
      <c r="G680" s="8574"/>
      <c r="H680" s="8574"/>
      <c r="I680" s="8574"/>
      <c r="J680" s="8574"/>
      <c r="K680" s="8574"/>
      <c r="L680" s="8575"/>
      <c r="M680" s="15"/>
      <c r="N680" s="15"/>
      <c r="O680" s="15"/>
      <c r="P680" s="15"/>
      <c r="Q680" s="15"/>
    </row>
    <row r="681" spans="1:17">
      <c r="A681" s="15"/>
      <c r="B681" s="14"/>
      <c r="C681" s="8573"/>
      <c r="D681" s="8574"/>
      <c r="E681" s="8574"/>
      <c r="F681" s="8574"/>
      <c r="G681" s="8574"/>
      <c r="H681" s="8574"/>
      <c r="I681" s="8574"/>
      <c r="J681" s="8574"/>
      <c r="K681" s="8574"/>
      <c r="L681" s="8575"/>
      <c r="M681" s="15"/>
      <c r="N681" s="15"/>
      <c r="O681" s="15"/>
      <c r="P681" s="15"/>
      <c r="Q681" s="15"/>
    </row>
    <row r="682" spans="1:17">
      <c r="A682" s="15"/>
      <c r="B682" s="14"/>
      <c r="C682" s="8573" t="s">
        <v>257</v>
      </c>
      <c r="D682" s="8574"/>
      <c r="E682" s="8574"/>
      <c r="F682" s="8574"/>
      <c r="G682" s="8574"/>
      <c r="H682" s="8574"/>
      <c r="I682" s="8574"/>
      <c r="J682" s="8574"/>
      <c r="K682" s="8574"/>
      <c r="L682" s="8575"/>
      <c r="M682" s="15"/>
      <c r="N682" s="15"/>
      <c r="O682" s="15"/>
      <c r="P682" s="15"/>
      <c r="Q682" s="15"/>
    </row>
    <row r="683" spans="1:17">
      <c r="A683" s="15"/>
      <c r="B683" s="14"/>
      <c r="C683" s="8573"/>
      <c r="D683" s="8574"/>
      <c r="E683" s="8574"/>
      <c r="F683" s="8574"/>
      <c r="G683" s="8574"/>
      <c r="H683" s="8574"/>
      <c r="I683" s="8574"/>
      <c r="J683" s="8574"/>
      <c r="K683" s="8574"/>
      <c r="L683" s="8575"/>
      <c r="M683" s="15"/>
      <c r="N683" s="15"/>
      <c r="O683" s="15"/>
      <c r="P683" s="15"/>
      <c r="Q683" s="15"/>
    </row>
    <row r="684" spans="1:17">
      <c r="A684" s="15"/>
      <c r="B684" s="14"/>
      <c r="C684" s="8573"/>
      <c r="D684" s="8574"/>
      <c r="E684" s="8574"/>
      <c r="F684" s="8574"/>
      <c r="G684" s="8574"/>
      <c r="H684" s="8574"/>
      <c r="I684" s="8574"/>
      <c r="J684" s="8574"/>
      <c r="K684" s="8574"/>
      <c r="L684" s="8575"/>
      <c r="M684" s="15"/>
      <c r="N684" s="15"/>
      <c r="O684" s="15"/>
      <c r="P684" s="15"/>
      <c r="Q684" s="15"/>
    </row>
    <row r="685" spans="1:17">
      <c r="A685" s="15"/>
      <c r="B685" s="14"/>
      <c r="C685" s="8576"/>
      <c r="D685" s="8577"/>
      <c r="E685" s="8577"/>
      <c r="F685" s="8577"/>
      <c r="G685" s="8577"/>
      <c r="H685" s="8577"/>
      <c r="I685" s="8577"/>
      <c r="J685" s="8577"/>
      <c r="K685" s="8577"/>
      <c r="L685" s="8578"/>
      <c r="M685" s="15"/>
      <c r="N685" s="15"/>
      <c r="O685" s="15"/>
      <c r="P685" s="15"/>
      <c r="Q685" s="15"/>
    </row>
    <row r="686" spans="1:17">
      <c r="A686" s="15"/>
      <c r="B686" s="14"/>
      <c r="C686" s="8581" t="s">
        <v>258</v>
      </c>
      <c r="D686" s="8582"/>
      <c r="E686" s="8582"/>
      <c r="F686" s="8582"/>
      <c r="G686" s="8583" t="s">
        <v>259</v>
      </c>
      <c r="H686" s="8583"/>
      <c r="I686" s="8584">
        <v>0.09</v>
      </c>
      <c r="J686" s="8585" t="s">
        <v>260</v>
      </c>
      <c r="K686" s="8585"/>
      <c r="L686" s="8586">
        <v>0.12</v>
      </c>
      <c r="M686" s="15"/>
      <c r="N686" s="15"/>
      <c r="O686" s="15"/>
      <c r="P686" s="15"/>
      <c r="Q686" s="15"/>
    </row>
    <row r="687" spans="1:17">
      <c r="A687" s="15"/>
      <c r="B687" s="14"/>
      <c r="C687" s="8581"/>
      <c r="D687" s="8582"/>
      <c r="E687" s="8582"/>
      <c r="F687" s="8582"/>
      <c r="G687" s="8583"/>
      <c r="H687" s="8583"/>
      <c r="I687" s="8584"/>
      <c r="J687" s="8585"/>
      <c r="K687" s="8585"/>
      <c r="L687" s="8586"/>
      <c r="M687" s="15"/>
      <c r="N687" s="15"/>
      <c r="O687" s="15"/>
      <c r="P687" s="15"/>
      <c r="Q687" s="15"/>
    </row>
    <row r="688" spans="1:17" ht="18">
      <c r="A688" s="15"/>
      <c r="B688" s="14"/>
      <c r="C688" s="140"/>
      <c r="D688" s="141"/>
      <c r="E688" s="141"/>
      <c r="F688" s="141"/>
      <c r="G688" s="728"/>
      <c r="H688" s="728"/>
      <c r="I688" s="142"/>
      <c r="J688" s="729"/>
      <c r="K688" s="729"/>
      <c r="L688" s="2403"/>
      <c r="M688" s="15"/>
      <c r="N688" s="15"/>
      <c r="O688" s="15"/>
      <c r="P688" s="15"/>
      <c r="Q688" s="15"/>
    </row>
    <row r="689" spans="1:17">
      <c r="A689" s="15"/>
      <c r="B689" s="14"/>
      <c r="C689" s="8587" t="str">
        <f>IF(E689="","produit à servir","produits entiers à couper en ")</f>
        <v xml:space="preserve">produits entiers à couper en </v>
      </c>
      <c r="D689" s="8588"/>
      <c r="E689" s="8589">
        <f>IF(K696=1,"",K696)</f>
        <v>1.5</v>
      </c>
      <c r="F689" s="8550">
        <f>LARGE(F697:F701,1)</f>
        <v>3</v>
      </c>
      <c r="G689" s="8550" t="s">
        <v>261</v>
      </c>
      <c r="H689" s="8550" t="s">
        <v>70</v>
      </c>
      <c r="I689" s="8550">
        <f>LARGE(G697:G701,1)</f>
        <v>2</v>
      </c>
      <c r="J689" s="8550" t="s">
        <v>262</v>
      </c>
      <c r="K689" s="144"/>
      <c r="L689" s="2404"/>
      <c r="M689" s="15"/>
      <c r="N689" s="15"/>
      <c r="O689" s="15"/>
      <c r="P689" s="15"/>
      <c r="Q689" s="15"/>
    </row>
    <row r="690" spans="1:17">
      <c r="A690" s="15"/>
      <c r="B690" s="14"/>
      <c r="C690" s="8587"/>
      <c r="D690" s="8588"/>
      <c r="E690" s="8589"/>
      <c r="F690" s="8550"/>
      <c r="G690" s="8550"/>
      <c r="H690" s="8550"/>
      <c r="I690" s="8550"/>
      <c r="J690" s="8550"/>
      <c r="K690" s="144"/>
      <c r="L690" s="2404"/>
      <c r="M690" s="15"/>
      <c r="N690" s="15"/>
      <c r="O690" s="15"/>
      <c r="P690" s="15"/>
      <c r="Q690" s="15"/>
    </row>
    <row r="691" spans="1:17" ht="15.75">
      <c r="A691" s="15"/>
      <c r="B691" s="14"/>
      <c r="C691" s="146"/>
      <c r="D691" s="147"/>
      <c r="E691" s="148"/>
      <c r="F691" s="56"/>
      <c r="G691" s="56"/>
      <c r="H691" s="56"/>
      <c r="I691" s="56"/>
      <c r="J691" s="73"/>
      <c r="K691" s="149"/>
      <c r="L691" s="2405"/>
      <c r="M691" s="15"/>
      <c r="N691" s="15"/>
      <c r="O691" s="15"/>
      <c r="P691" s="15"/>
      <c r="Q691" s="15"/>
    </row>
    <row r="692" spans="1:17">
      <c r="A692" s="15"/>
      <c r="B692" s="14"/>
      <c r="C692" s="8564" t="str">
        <f>IF(D692="","MOINS","Servir ")</f>
        <v xml:space="preserve">Servir </v>
      </c>
      <c r="D692" s="8568">
        <f>IF(F689-1=0,"",F689-1)</f>
        <v>2</v>
      </c>
      <c r="E692" s="8566" t="str">
        <f>IF(D692="","",IF(G692=1,"produits entiers de","produits coupés en "))</f>
        <v>produits entiers de</v>
      </c>
      <c r="F692" s="8566"/>
      <c r="G692" s="8568">
        <f>IF(D692="","",I689/D692)</f>
        <v>1</v>
      </c>
      <c r="H692" s="8550" t="str">
        <f>IF(D692="","","parts")</f>
        <v>parts</v>
      </c>
      <c r="I692" s="8566" t="str">
        <f>IF(D692="","","grammage unitaire")</f>
        <v>grammage unitaire</v>
      </c>
      <c r="J692" s="8566"/>
      <c r="K692" s="8562">
        <f>IF(D692="","",I686/G692)</f>
        <v>0.09</v>
      </c>
      <c r="L692" s="8563"/>
      <c r="M692" s="15"/>
      <c r="N692" s="15"/>
      <c r="O692" s="15"/>
      <c r="P692" s="15"/>
      <c r="Q692" s="15"/>
    </row>
    <row r="693" spans="1:17">
      <c r="A693" s="15"/>
      <c r="B693" s="14"/>
      <c r="C693" s="8564"/>
      <c r="D693" s="8568"/>
      <c r="E693" s="8566"/>
      <c r="F693" s="8566"/>
      <c r="G693" s="8568"/>
      <c r="H693" s="8550"/>
      <c r="I693" s="8566"/>
      <c r="J693" s="8566"/>
      <c r="K693" s="8562"/>
      <c r="L693" s="8563"/>
      <c r="M693" s="15"/>
      <c r="N693" s="15"/>
      <c r="O693" s="15"/>
      <c r="P693" s="15"/>
      <c r="Q693" s="15"/>
    </row>
    <row r="694" spans="1:17">
      <c r="A694" s="15"/>
      <c r="B694" s="14"/>
      <c r="C694" s="8564" t="str">
        <f>IF(D692="","","plus")</f>
        <v>plus</v>
      </c>
      <c r="D694" s="8565">
        <f>IF(D692="","",F689-D692)</f>
        <v>1</v>
      </c>
      <c r="E694" s="8566" t="str">
        <f>IF(D694="","","produit coupé en ")</f>
        <v xml:space="preserve">produit coupé en </v>
      </c>
      <c r="F694" s="8566"/>
      <c r="G694" s="8565">
        <f>IF(E694="","",I689)</f>
        <v>2</v>
      </c>
      <c r="H694" s="8550" t="str">
        <f>IF(E694="","","parts")</f>
        <v>parts</v>
      </c>
      <c r="I694" s="151"/>
      <c r="J694" s="8567" t="str">
        <f>IF(D694="","moins"," de")</f>
        <v xml:space="preserve"> de</v>
      </c>
      <c r="K694" s="8562">
        <f>IF(E694="",I686-L686,I686/G694)</f>
        <v>4.4999999999999998E-2</v>
      </c>
      <c r="L694" s="8563"/>
      <c r="M694" s="15"/>
      <c r="N694" s="15"/>
      <c r="O694" s="15"/>
      <c r="P694" s="15"/>
      <c r="Q694" s="15"/>
    </row>
    <row r="695" spans="1:17">
      <c r="A695" s="15"/>
      <c r="B695" s="14"/>
      <c r="C695" s="8564"/>
      <c r="D695" s="8565"/>
      <c r="E695" s="8566"/>
      <c r="F695" s="8566"/>
      <c r="G695" s="8565"/>
      <c r="H695" s="8550"/>
      <c r="I695" s="151"/>
      <c r="J695" s="8567"/>
      <c r="K695" s="8562"/>
      <c r="L695" s="8563"/>
      <c r="M695" s="15"/>
      <c r="N695" s="15"/>
      <c r="O695" s="15"/>
      <c r="P695" s="15"/>
      <c r="Q695" s="15"/>
    </row>
    <row r="696" spans="1:17" ht="22.5">
      <c r="A696" s="15"/>
      <c r="B696" s="14"/>
      <c r="C696" s="152" t="s">
        <v>263</v>
      </c>
      <c r="D696" s="153" t="s">
        <v>264</v>
      </c>
      <c r="E696" s="153" t="s">
        <v>265</v>
      </c>
      <c r="F696" s="154" t="s">
        <v>266</v>
      </c>
      <c r="G696" s="154"/>
      <c r="H696" s="155" t="s">
        <v>267</v>
      </c>
      <c r="I696" s="156" t="s">
        <v>70</v>
      </c>
      <c r="J696" s="156"/>
      <c r="K696" s="157">
        <f>LARGE(L697:L701,1)</f>
        <v>1.5</v>
      </c>
      <c r="L696" s="2406">
        <f>SMALL(E697:E701,COUNTIF(E697:E701,0)+1)</f>
        <v>3.0000000000000027E-2</v>
      </c>
      <c r="M696" s="15"/>
      <c r="N696" s="15"/>
      <c r="O696" s="15"/>
      <c r="P696" s="15"/>
      <c r="Q696" s="15"/>
    </row>
    <row r="697" spans="1:17">
      <c r="A697" s="15"/>
      <c r="B697" s="14"/>
      <c r="C697" s="159">
        <f>L686*I697</f>
        <v>0</v>
      </c>
      <c r="D697" s="160">
        <f>I686*H697</f>
        <v>0.09</v>
      </c>
      <c r="E697" s="160">
        <f>D697-C697</f>
        <v>0.09</v>
      </c>
      <c r="F697" s="161">
        <f>IF(E697=L696,H697,0)</f>
        <v>0</v>
      </c>
      <c r="G697" s="161">
        <f>IF(F697&gt;0,I697,0)</f>
        <v>0</v>
      </c>
      <c r="H697" s="157">
        <v>1</v>
      </c>
      <c r="I697" s="162">
        <f>INT(J697)</f>
        <v>0</v>
      </c>
      <c r="J697" s="162">
        <f>D697/L686</f>
        <v>0.75</v>
      </c>
      <c r="K697" s="157">
        <f>IF(F697=0,0,F697/G697)</f>
        <v>0</v>
      </c>
      <c r="L697" s="2407">
        <f>ROUNDDOWN(K697,1)</f>
        <v>0</v>
      </c>
      <c r="M697" s="15"/>
      <c r="N697" s="15"/>
      <c r="O697" s="15"/>
      <c r="P697" s="15"/>
      <c r="Q697" s="15"/>
    </row>
    <row r="698" spans="1:17">
      <c r="A698" s="15"/>
      <c r="B698" s="14"/>
      <c r="C698" s="159">
        <f>L686*I698</f>
        <v>0.12</v>
      </c>
      <c r="D698" s="160">
        <f>I686*H698</f>
        <v>0.18</v>
      </c>
      <c r="E698" s="160">
        <f>D698-C698</f>
        <v>0.06</v>
      </c>
      <c r="F698" s="161">
        <f>IF(E698=L696,H698,0)</f>
        <v>0</v>
      </c>
      <c r="G698" s="161">
        <f>IF(F698&gt;0,I698,0)</f>
        <v>0</v>
      </c>
      <c r="H698" s="157">
        <v>2</v>
      </c>
      <c r="I698" s="162">
        <f>INT(J698)</f>
        <v>1</v>
      </c>
      <c r="J698" s="162">
        <f>D698/L686</f>
        <v>1.5</v>
      </c>
      <c r="K698" s="157">
        <f>IF(F698=0,0,F698/G698)</f>
        <v>0</v>
      </c>
      <c r="L698" s="2407">
        <f>ROUNDDOWN(K698,1)</f>
        <v>0</v>
      </c>
      <c r="M698" s="15"/>
      <c r="N698" s="15"/>
      <c r="O698" s="15"/>
      <c r="P698" s="15"/>
      <c r="Q698" s="15"/>
    </row>
    <row r="699" spans="1:17">
      <c r="A699" s="15"/>
      <c r="B699" s="14"/>
      <c r="C699" s="159">
        <f>L686*I699</f>
        <v>0.24</v>
      </c>
      <c r="D699" s="160">
        <f>I686*H699</f>
        <v>0.27</v>
      </c>
      <c r="E699" s="160">
        <f>D699-C699</f>
        <v>3.0000000000000027E-2</v>
      </c>
      <c r="F699" s="161">
        <f>IF(E699=L696,H699,0)</f>
        <v>3</v>
      </c>
      <c r="G699" s="161">
        <f>IF(F699&gt;0,I699,0)</f>
        <v>2</v>
      </c>
      <c r="H699" s="157">
        <v>3</v>
      </c>
      <c r="I699" s="162">
        <f>INT(J699)</f>
        <v>2</v>
      </c>
      <c r="J699" s="162">
        <f>D699/L686</f>
        <v>2.2500000000000004</v>
      </c>
      <c r="K699" s="157">
        <f>IF(F699=0,0,F699/G699)</f>
        <v>1.5</v>
      </c>
      <c r="L699" s="2407">
        <f>ROUNDDOWN(K699,1)</f>
        <v>1.5</v>
      </c>
      <c r="M699" s="15"/>
      <c r="N699" s="15"/>
      <c r="O699" s="15"/>
      <c r="P699" s="15"/>
      <c r="Q699" s="15"/>
    </row>
    <row r="700" spans="1:17">
      <c r="A700" s="15"/>
      <c r="B700" s="14"/>
      <c r="C700" s="159">
        <f>L686*I700</f>
        <v>0.36</v>
      </c>
      <c r="D700" s="160">
        <f>I686*H700</f>
        <v>0.36</v>
      </c>
      <c r="E700" s="160">
        <f>D700-C700</f>
        <v>0</v>
      </c>
      <c r="F700" s="161">
        <f>IF(E700=L696,H700,0)</f>
        <v>0</v>
      </c>
      <c r="G700" s="161">
        <f>IF(F700&gt;0,I700,0)</f>
        <v>0</v>
      </c>
      <c r="H700" s="157">
        <v>4</v>
      </c>
      <c r="I700" s="162">
        <f>INT(J700)</f>
        <v>3</v>
      </c>
      <c r="J700" s="162">
        <f>D700/L686</f>
        <v>3</v>
      </c>
      <c r="K700" s="157">
        <f>IF(F700=0,0,F700/G700)</f>
        <v>0</v>
      </c>
      <c r="L700" s="2407">
        <f>ROUNDDOWN(K700,1)</f>
        <v>0</v>
      </c>
      <c r="M700" s="15"/>
      <c r="N700" s="15"/>
      <c r="O700" s="15"/>
      <c r="P700" s="15"/>
      <c r="Q700" s="15"/>
    </row>
    <row r="701" spans="1:17" ht="15.75" thickBot="1">
      <c r="A701" s="15"/>
      <c r="B701" s="14"/>
      <c r="C701" s="2408">
        <f>L686*I701</f>
        <v>0.36</v>
      </c>
      <c r="D701" s="164">
        <f>I686*H701</f>
        <v>0.44999999999999996</v>
      </c>
      <c r="E701" s="164">
        <f>D701-C701</f>
        <v>8.9999999999999969E-2</v>
      </c>
      <c r="F701" s="165">
        <f>IF(E701=L696,H701,0)</f>
        <v>0</v>
      </c>
      <c r="G701" s="165">
        <f>IF(F701&gt;0,I701,0)</f>
        <v>0</v>
      </c>
      <c r="H701" s="166">
        <v>5</v>
      </c>
      <c r="I701" s="167">
        <f>INT(J701)</f>
        <v>3</v>
      </c>
      <c r="J701" s="167">
        <f>D701/L686</f>
        <v>3.7499999999999996</v>
      </c>
      <c r="K701" s="166">
        <f>IF(F701=0,0,F701/G701)</f>
        <v>0</v>
      </c>
      <c r="L701" s="594">
        <f>ROUNDDOWN(K701,1)</f>
        <v>0</v>
      </c>
      <c r="M701" s="15"/>
      <c r="N701" s="15"/>
      <c r="O701" s="15"/>
      <c r="P701" s="15"/>
      <c r="Q701" s="15"/>
    </row>
    <row r="702" spans="1:17">
      <c r="A702" s="15"/>
      <c r="B702" s="14"/>
      <c r="C702" s="14"/>
      <c r="D702" s="14"/>
      <c r="E702" s="14"/>
      <c r="F702" s="14"/>
      <c r="G702" s="14"/>
      <c r="H702" s="14"/>
      <c r="I702" s="14"/>
      <c r="J702" s="14"/>
      <c r="K702" s="14"/>
      <c r="L702" s="14"/>
      <c r="M702" s="15"/>
      <c r="N702" s="15"/>
      <c r="O702" s="15"/>
      <c r="P702" s="15"/>
      <c r="Q702" s="15"/>
    </row>
    <row r="703" spans="1:17">
      <c r="A703" s="15"/>
      <c r="B703" s="14"/>
      <c r="C703" s="14"/>
      <c r="D703" s="14"/>
      <c r="E703" s="14"/>
      <c r="F703" s="14"/>
      <c r="G703" s="14"/>
      <c r="H703" s="14"/>
      <c r="I703" s="14"/>
      <c r="J703" s="14"/>
      <c r="K703" s="14"/>
      <c r="L703" s="14"/>
      <c r="M703" s="15"/>
      <c r="N703" s="15"/>
      <c r="O703" s="15"/>
      <c r="P703" s="15"/>
      <c r="Q703" s="15"/>
    </row>
    <row r="704" spans="1:17" ht="18">
      <c r="A704" s="15"/>
      <c r="B704" s="14"/>
      <c r="C704" s="8551" t="s">
        <v>268</v>
      </c>
      <c r="D704" s="8552"/>
      <c r="E704" s="8552"/>
      <c r="F704" s="8552"/>
      <c r="G704" s="8552"/>
      <c r="H704" s="8552"/>
      <c r="I704" s="8552"/>
      <c r="J704" s="8552"/>
      <c r="K704" s="8552"/>
      <c r="L704" s="8552"/>
      <c r="M704" s="8553"/>
      <c r="N704" s="15"/>
      <c r="O704" s="15"/>
      <c r="P704" s="15"/>
      <c r="Q704" s="15"/>
    </row>
    <row r="705" spans="1:17" ht="15.75">
      <c r="A705" s="15"/>
      <c r="B705" s="14"/>
      <c r="C705" s="8554" t="s">
        <v>269</v>
      </c>
      <c r="D705" s="8555"/>
      <c r="E705" s="8555"/>
      <c r="F705" s="8555"/>
      <c r="G705" s="8555"/>
      <c r="H705" s="8555"/>
      <c r="I705" s="8555"/>
      <c r="J705" s="8555"/>
      <c r="K705" s="8555"/>
      <c r="L705" s="8555"/>
      <c r="M705" s="8556"/>
      <c r="N705" s="15"/>
      <c r="O705" s="15"/>
      <c r="P705" s="15"/>
      <c r="Q705" s="15"/>
    </row>
    <row r="706" spans="1:17" ht="15.75">
      <c r="A706" s="15"/>
      <c r="B706" s="14"/>
      <c r="C706" s="730"/>
      <c r="D706" s="168"/>
      <c r="E706" s="8557" t="s">
        <v>270</v>
      </c>
      <c r="F706" s="8557"/>
      <c r="G706" s="8557"/>
      <c r="H706" s="8557"/>
      <c r="I706" s="8557"/>
      <c r="J706" s="8557"/>
      <c r="K706" s="8557"/>
      <c r="L706" s="8557"/>
      <c r="M706" s="8558"/>
      <c r="N706" s="15"/>
      <c r="O706" s="15"/>
      <c r="P706" s="15"/>
      <c r="Q706" s="15"/>
    </row>
    <row r="707" spans="1:17">
      <c r="A707" s="15"/>
      <c r="B707" s="14"/>
      <c r="C707" s="8559" t="s">
        <v>271</v>
      </c>
      <c r="D707" s="8560"/>
      <c r="E707" s="8560"/>
      <c r="F707" s="8560"/>
      <c r="G707" s="8560"/>
      <c r="H707" s="8560"/>
      <c r="I707" s="8560"/>
      <c r="J707" s="8560"/>
      <c r="K707" s="8560"/>
      <c r="L707" s="8560"/>
      <c r="M707" s="8561"/>
      <c r="N707" s="15"/>
      <c r="O707" s="15"/>
      <c r="P707" s="15"/>
      <c r="Q707" s="15"/>
    </row>
    <row r="708" spans="1:17">
      <c r="A708" s="15"/>
      <c r="B708" s="14"/>
      <c r="C708" s="8540" t="s">
        <v>272</v>
      </c>
      <c r="D708" s="8541"/>
      <c r="E708" s="8542" t="s">
        <v>273</v>
      </c>
      <c r="F708" s="8542"/>
      <c r="G708" s="15"/>
      <c r="H708" s="14"/>
      <c r="I708" s="14"/>
      <c r="J708" s="15"/>
      <c r="K708" s="169"/>
      <c r="L708" s="15"/>
      <c r="M708" s="2409"/>
      <c r="N708" s="15"/>
      <c r="O708" s="15"/>
      <c r="P708" s="15"/>
      <c r="Q708" s="15"/>
    </row>
    <row r="709" spans="1:17">
      <c r="A709" s="15"/>
      <c r="B709" s="14"/>
      <c r="C709" s="8540"/>
      <c r="D709" s="8541"/>
      <c r="E709" s="8542"/>
      <c r="F709" s="8542"/>
      <c r="G709" s="15"/>
      <c r="H709" s="14"/>
      <c r="I709" s="14"/>
      <c r="J709" s="15"/>
      <c r="K709" s="169"/>
      <c r="L709" s="15"/>
      <c r="M709" s="2409"/>
      <c r="N709" s="15"/>
      <c r="O709" s="15"/>
      <c r="P709" s="15"/>
      <c r="Q709" s="15"/>
    </row>
    <row r="710" spans="1:17">
      <c r="A710" s="15"/>
      <c r="B710" s="14"/>
      <c r="C710" s="8526">
        <v>10</v>
      </c>
      <c r="D710" s="8527"/>
      <c r="E710" s="8527">
        <v>0.1</v>
      </c>
      <c r="F710" s="8527"/>
      <c r="G710" s="15"/>
      <c r="H710" s="14"/>
      <c r="I710" s="14"/>
      <c r="J710" s="15"/>
      <c r="K710" s="731" t="s">
        <v>274</v>
      </c>
      <c r="L710" s="170">
        <f>C710/E710</f>
        <v>100</v>
      </c>
      <c r="M710" s="2409"/>
      <c r="N710" s="15"/>
      <c r="O710" s="15"/>
      <c r="P710" s="15"/>
      <c r="Q710" s="15"/>
    </row>
    <row r="711" spans="1:17">
      <c r="A711" s="15"/>
      <c r="B711" s="14"/>
      <c r="C711" s="8526">
        <v>1</v>
      </c>
      <c r="D711" s="8527"/>
      <c r="E711" s="8527">
        <v>7.0000000000000007E-2</v>
      </c>
      <c r="F711" s="8527"/>
      <c r="G711" s="15"/>
      <c r="H711" s="14"/>
      <c r="I711" s="14"/>
      <c r="J711" s="15"/>
      <c r="K711" s="731" t="s">
        <v>274</v>
      </c>
      <c r="L711" s="170">
        <f>C711/E711</f>
        <v>14.285714285714285</v>
      </c>
      <c r="M711" s="2409"/>
      <c r="N711" s="15"/>
      <c r="O711" s="15"/>
      <c r="P711" s="15"/>
      <c r="Q711" s="15"/>
    </row>
    <row r="712" spans="1:17">
      <c r="A712" s="15"/>
      <c r="B712" s="14"/>
      <c r="C712" s="595"/>
      <c r="D712" s="171"/>
      <c r="E712" s="172"/>
      <c r="F712" s="171"/>
      <c r="G712" s="15"/>
      <c r="H712" s="14"/>
      <c r="I712" s="14"/>
      <c r="J712" s="15"/>
      <c r="K712" s="15"/>
      <c r="L712" s="15"/>
      <c r="M712" s="2409"/>
      <c r="N712" s="15"/>
      <c r="O712" s="15"/>
      <c r="P712" s="15"/>
      <c r="Q712" s="15"/>
    </row>
    <row r="713" spans="1:17" ht="15.75">
      <c r="A713" s="15"/>
      <c r="B713" s="14"/>
      <c r="C713" s="8545" t="s">
        <v>269</v>
      </c>
      <c r="D713" s="8546"/>
      <c r="E713" s="8546"/>
      <c r="F713" s="8546"/>
      <c r="G713" s="8546"/>
      <c r="H713" s="8546"/>
      <c r="I713" s="8546"/>
      <c r="J713" s="8546"/>
      <c r="K713" s="8546"/>
      <c r="L713" s="8546"/>
      <c r="M713" s="8547"/>
      <c r="N713" s="15"/>
      <c r="O713" s="15"/>
      <c r="P713" s="15"/>
      <c r="Q713" s="15"/>
    </row>
    <row r="714" spans="1:17" ht="15.75">
      <c r="A714" s="15"/>
      <c r="B714" s="14"/>
      <c r="C714" s="732"/>
      <c r="D714" s="173"/>
      <c r="E714" s="8548" t="s">
        <v>275</v>
      </c>
      <c r="F714" s="8548"/>
      <c r="G714" s="8548"/>
      <c r="H714" s="8548"/>
      <c r="I714" s="8548"/>
      <c r="J714" s="8548"/>
      <c r="K714" s="8548"/>
      <c r="L714" s="8548"/>
      <c r="M714" s="8549"/>
      <c r="N714" s="15"/>
      <c r="O714" s="15"/>
      <c r="P714" s="15"/>
      <c r="Q714" s="15"/>
    </row>
    <row r="715" spans="1:17">
      <c r="A715" s="15"/>
      <c r="B715" s="14"/>
      <c r="C715" s="8540" t="s">
        <v>272</v>
      </c>
      <c r="D715" s="8541"/>
      <c r="E715" s="8542" t="s">
        <v>276</v>
      </c>
      <c r="F715" s="8542"/>
      <c r="G715" s="8543" t="s">
        <v>277</v>
      </c>
      <c r="H715" s="8543"/>
      <c r="I715" s="8543"/>
      <c r="J715" s="174"/>
      <c r="K715" s="174"/>
      <c r="L715" s="174"/>
      <c r="M715" s="8544" t="s">
        <v>278</v>
      </c>
      <c r="N715" s="15"/>
      <c r="O715" s="15"/>
      <c r="P715" s="15"/>
      <c r="Q715" s="15"/>
    </row>
    <row r="716" spans="1:17">
      <c r="A716" s="15"/>
      <c r="B716" s="14"/>
      <c r="C716" s="8540"/>
      <c r="D716" s="8541"/>
      <c r="E716" s="8542"/>
      <c r="F716" s="8542"/>
      <c r="G716" s="8543"/>
      <c r="H716" s="8543"/>
      <c r="I716" s="8543"/>
      <c r="J716" s="174"/>
      <c r="K716" s="174"/>
      <c r="L716" s="174"/>
      <c r="M716" s="8544"/>
      <c r="N716" s="15"/>
      <c r="O716" s="15"/>
      <c r="P716" s="15"/>
      <c r="Q716" s="15"/>
    </row>
    <row r="717" spans="1:17">
      <c r="A717" s="15"/>
      <c r="B717" s="14"/>
      <c r="C717" s="8526">
        <v>0.9</v>
      </c>
      <c r="D717" s="8527"/>
      <c r="E717" s="8528">
        <v>7</v>
      </c>
      <c r="F717" s="8528"/>
      <c r="G717" s="8529" t="s">
        <v>279</v>
      </c>
      <c r="H717" s="8529"/>
      <c r="I717" s="8529"/>
      <c r="J717" s="175">
        <f>C717</f>
        <v>0.9</v>
      </c>
      <c r="K717" s="115" t="s">
        <v>70</v>
      </c>
      <c r="L717" s="176">
        <f>E717</f>
        <v>7</v>
      </c>
      <c r="M717" s="2410">
        <f>C717/E717</f>
        <v>0.12857142857142859</v>
      </c>
      <c r="N717" s="15"/>
      <c r="O717" s="15"/>
      <c r="P717" s="15"/>
      <c r="Q717" s="15"/>
    </row>
    <row r="718" spans="1:17">
      <c r="A718" s="15"/>
      <c r="B718" s="14"/>
      <c r="C718" s="8526">
        <v>3.5</v>
      </c>
      <c r="D718" s="8527"/>
      <c r="E718" s="8528">
        <v>20</v>
      </c>
      <c r="F718" s="8528"/>
      <c r="G718" s="8529" t="s">
        <v>280</v>
      </c>
      <c r="H718" s="8529"/>
      <c r="I718" s="8529"/>
      <c r="J718" s="175">
        <f>C718</f>
        <v>3.5</v>
      </c>
      <c r="K718" s="115" t="s">
        <v>70</v>
      </c>
      <c r="L718" s="176">
        <f>E718</f>
        <v>20</v>
      </c>
      <c r="M718" s="2410">
        <f>C718/E718</f>
        <v>0.17499999999999999</v>
      </c>
      <c r="N718" s="15"/>
      <c r="O718" s="15"/>
      <c r="P718" s="15"/>
      <c r="Q718" s="15"/>
    </row>
    <row r="719" spans="1:17">
      <c r="A719" s="15"/>
      <c r="B719" s="14"/>
      <c r="C719" s="2411"/>
      <c r="D719" s="2412"/>
      <c r="E719" s="2387"/>
      <c r="F719" s="2412"/>
      <c r="G719" s="2387"/>
      <c r="H719" s="2412"/>
      <c r="I719" s="2412"/>
      <c r="J719" s="2387"/>
      <c r="K719" s="2387"/>
      <c r="L719" s="2387"/>
      <c r="M719" s="2413"/>
      <c r="N719" s="15"/>
      <c r="O719" s="15"/>
      <c r="P719" s="15"/>
      <c r="Q719" s="15"/>
    </row>
    <row r="720" spans="1:17">
      <c r="A720" s="15"/>
      <c r="B720" s="14"/>
      <c r="C720" s="15"/>
      <c r="D720" s="15"/>
      <c r="E720" s="15"/>
      <c r="F720" s="15"/>
      <c r="G720" s="15"/>
      <c r="H720" s="15"/>
      <c r="I720" s="15"/>
      <c r="J720" s="15"/>
      <c r="K720" s="15"/>
      <c r="L720" s="14"/>
      <c r="M720" s="15"/>
      <c r="N720" s="15"/>
      <c r="O720" s="15"/>
      <c r="P720" s="15"/>
      <c r="Q720" s="15"/>
    </row>
    <row r="721" spans="1:17" ht="15.75" thickBot="1">
      <c r="A721" s="15"/>
      <c r="B721" s="14"/>
      <c r="C721" s="15"/>
      <c r="D721" s="15"/>
      <c r="E721" s="15"/>
      <c r="F721" s="15"/>
      <c r="G721" s="15"/>
      <c r="H721" s="15"/>
      <c r="I721" s="15"/>
      <c r="J721" s="15"/>
      <c r="K721" s="15"/>
      <c r="L721" s="14"/>
      <c r="M721" s="15"/>
      <c r="N721" s="15"/>
      <c r="O721" s="15"/>
      <c r="P721" s="15"/>
      <c r="Q721" s="15"/>
    </row>
    <row r="722" spans="1:17">
      <c r="A722" s="15"/>
      <c r="B722" s="14"/>
      <c r="C722" s="8530" t="s">
        <v>281</v>
      </c>
      <c r="D722" s="8531"/>
      <c r="E722" s="8534" t="s">
        <v>282</v>
      </c>
      <c r="F722" s="8534"/>
      <c r="G722" s="8536" t="s">
        <v>283</v>
      </c>
      <c r="H722" s="8538" t="s">
        <v>271</v>
      </c>
      <c r="I722" s="8538"/>
      <c r="J722" s="8538"/>
      <c r="K722" s="8538"/>
      <c r="L722" s="8538"/>
      <c r="M722" s="8539"/>
      <c r="N722" s="15"/>
      <c r="O722" s="15"/>
      <c r="P722" s="15"/>
      <c r="Q722" s="15"/>
    </row>
    <row r="723" spans="1:17">
      <c r="A723" s="15"/>
      <c r="B723" s="14"/>
      <c r="C723" s="8532"/>
      <c r="D723" s="8533"/>
      <c r="E723" s="8535"/>
      <c r="F723" s="8535"/>
      <c r="G723" s="8537"/>
      <c r="H723" s="178"/>
      <c r="I723" s="178"/>
      <c r="J723" s="178"/>
      <c r="K723" s="178"/>
      <c r="L723" s="178"/>
      <c r="M723" s="2414"/>
      <c r="N723" s="15"/>
      <c r="O723" s="15"/>
      <c r="P723" s="15"/>
      <c r="Q723" s="15"/>
    </row>
    <row r="724" spans="1:17">
      <c r="A724" s="15"/>
      <c r="B724" s="14"/>
      <c r="C724" s="8517">
        <v>32</v>
      </c>
      <c r="D724" s="8518"/>
      <c r="E724" s="8519">
        <v>1.45</v>
      </c>
      <c r="F724" s="8519"/>
      <c r="G724" s="8520">
        <f>C724/E724</f>
        <v>22.068965517241381</v>
      </c>
      <c r="H724" s="8521" t="s">
        <v>284</v>
      </c>
      <c r="I724" s="8521"/>
      <c r="J724" s="8521"/>
      <c r="K724" s="8521"/>
      <c r="L724" s="8521"/>
      <c r="M724" s="8522"/>
      <c r="N724" s="15"/>
      <c r="O724" s="15"/>
      <c r="P724" s="15"/>
      <c r="Q724" s="15"/>
    </row>
    <row r="725" spans="1:17">
      <c r="A725" s="15"/>
      <c r="B725" s="14"/>
      <c r="C725" s="8517"/>
      <c r="D725" s="8518"/>
      <c r="E725" s="8519"/>
      <c r="F725" s="8519"/>
      <c r="G725" s="8520"/>
      <c r="H725" s="8521"/>
      <c r="I725" s="8521"/>
      <c r="J725" s="8521"/>
      <c r="K725" s="8521"/>
      <c r="L725" s="8521"/>
      <c r="M725" s="8522"/>
      <c r="N725" s="15"/>
      <c r="O725" s="15"/>
      <c r="P725" s="15"/>
      <c r="Q725" s="15"/>
    </row>
    <row r="726" spans="1:17" ht="15.75">
      <c r="A726" s="15"/>
      <c r="B726" s="14"/>
      <c r="C726" s="8523" t="s">
        <v>285</v>
      </c>
      <c r="D726" s="8524"/>
      <c r="E726" s="8524"/>
      <c r="F726" s="8524"/>
      <c r="G726" s="8524"/>
      <c r="H726" s="8524"/>
      <c r="I726" s="8524"/>
      <c r="J726" s="8524"/>
      <c r="K726" s="8524"/>
      <c r="L726" s="8524"/>
      <c r="M726" s="8525"/>
      <c r="N726" s="15"/>
      <c r="O726" s="15"/>
      <c r="P726" s="15"/>
      <c r="Q726" s="15"/>
    </row>
    <row r="727" spans="1:17" ht="15.75">
      <c r="A727" s="15"/>
      <c r="B727" s="14"/>
      <c r="C727" s="8507">
        <v>32</v>
      </c>
      <c r="D727" s="8508"/>
      <c r="E727" s="8509">
        <v>1.2</v>
      </c>
      <c r="F727" s="8509"/>
      <c r="G727" s="733">
        <f t="shared" ref="G727:G738" si="6">C727/E727</f>
        <v>26.666666666666668</v>
      </c>
      <c r="H727" s="734" t="s">
        <v>286</v>
      </c>
      <c r="I727" s="180"/>
      <c r="J727" s="180"/>
      <c r="K727" s="180"/>
      <c r="L727" s="181"/>
      <c r="M727" s="2415"/>
      <c r="N727" s="15"/>
      <c r="O727" s="15"/>
      <c r="P727" s="15"/>
      <c r="Q727" s="15"/>
    </row>
    <row r="728" spans="1:17" ht="15.75">
      <c r="A728" s="15"/>
      <c r="B728" s="14"/>
      <c r="C728" s="8507">
        <v>12</v>
      </c>
      <c r="D728" s="8508"/>
      <c r="E728" s="8509">
        <v>1</v>
      </c>
      <c r="F728" s="8509"/>
      <c r="G728" s="733">
        <f t="shared" si="6"/>
        <v>12</v>
      </c>
      <c r="H728" s="734" t="s">
        <v>287</v>
      </c>
      <c r="I728" s="180"/>
      <c r="J728" s="180"/>
      <c r="K728" s="180"/>
      <c r="L728" s="181"/>
      <c r="M728" s="2415"/>
      <c r="N728" s="15"/>
      <c r="O728" s="15"/>
      <c r="P728" s="15"/>
      <c r="Q728" s="15"/>
    </row>
    <row r="729" spans="1:17" ht="15.75">
      <c r="A729" s="15"/>
      <c r="B729" s="14"/>
      <c r="C729" s="8507">
        <v>32</v>
      </c>
      <c r="D729" s="8508"/>
      <c r="E729" s="8509">
        <v>2</v>
      </c>
      <c r="F729" s="8509"/>
      <c r="G729" s="733">
        <f t="shared" si="6"/>
        <v>16</v>
      </c>
      <c r="H729" s="734" t="s">
        <v>288</v>
      </c>
      <c r="I729" s="180"/>
      <c r="J729" s="180"/>
      <c r="K729" s="180"/>
      <c r="L729" s="181"/>
      <c r="M729" s="2415"/>
      <c r="N729" s="15"/>
      <c r="O729" s="15"/>
      <c r="P729" s="15"/>
      <c r="Q729" s="15"/>
    </row>
    <row r="730" spans="1:17" ht="15.75">
      <c r="A730" s="15"/>
      <c r="B730" s="14"/>
      <c r="C730" s="8507">
        <v>32</v>
      </c>
      <c r="D730" s="8508"/>
      <c r="E730" s="8509">
        <v>1.2</v>
      </c>
      <c r="F730" s="8509"/>
      <c r="G730" s="733">
        <f t="shared" si="6"/>
        <v>26.666666666666668</v>
      </c>
      <c r="H730" s="734" t="s">
        <v>288</v>
      </c>
      <c r="I730" s="180"/>
      <c r="J730" s="180"/>
      <c r="K730" s="180"/>
      <c r="L730" s="181"/>
      <c r="M730" s="2415"/>
      <c r="N730" s="15"/>
      <c r="O730" s="15"/>
      <c r="P730" s="15"/>
      <c r="Q730" s="15"/>
    </row>
    <row r="731" spans="1:17" ht="15.75">
      <c r="A731" s="15"/>
      <c r="B731" s="14"/>
      <c r="C731" s="8507">
        <v>33</v>
      </c>
      <c r="D731" s="8508"/>
      <c r="E731" s="8509">
        <v>1.3</v>
      </c>
      <c r="F731" s="8509"/>
      <c r="G731" s="733">
        <f t="shared" si="6"/>
        <v>25.384615384615383</v>
      </c>
      <c r="H731" s="734" t="s">
        <v>289</v>
      </c>
      <c r="I731" s="180"/>
      <c r="J731" s="180"/>
      <c r="K731" s="180"/>
      <c r="L731" s="181"/>
      <c r="M731" s="2415"/>
      <c r="N731" s="15"/>
      <c r="O731" s="15"/>
      <c r="P731" s="15"/>
      <c r="Q731" s="15"/>
    </row>
    <row r="732" spans="1:17" ht="15.75">
      <c r="A732" s="15"/>
      <c r="B732" s="14"/>
      <c r="C732" s="8507">
        <v>33</v>
      </c>
      <c r="D732" s="8508"/>
      <c r="E732" s="8509">
        <v>1.5</v>
      </c>
      <c r="F732" s="8509"/>
      <c r="G732" s="733">
        <f t="shared" si="6"/>
        <v>22</v>
      </c>
      <c r="H732" s="734" t="s">
        <v>290</v>
      </c>
      <c r="I732" s="180"/>
      <c r="J732" s="180"/>
      <c r="K732" s="180"/>
      <c r="L732" s="181"/>
      <c r="M732" s="2415"/>
      <c r="N732" s="15"/>
      <c r="O732" s="15"/>
      <c r="P732" s="15"/>
      <c r="Q732" s="15"/>
    </row>
    <row r="733" spans="1:17" ht="15.75">
      <c r="A733" s="15"/>
      <c r="B733" s="14"/>
      <c r="C733" s="8507">
        <v>30</v>
      </c>
      <c r="D733" s="8508"/>
      <c r="E733" s="8509">
        <v>1.2</v>
      </c>
      <c r="F733" s="8509"/>
      <c r="G733" s="733">
        <f t="shared" si="6"/>
        <v>25</v>
      </c>
      <c r="H733" s="734" t="s">
        <v>291</v>
      </c>
      <c r="I733" s="180"/>
      <c r="J733" s="180"/>
      <c r="K733" s="180"/>
      <c r="L733" s="181"/>
      <c r="M733" s="2415"/>
      <c r="N733" s="15"/>
      <c r="O733" s="15"/>
      <c r="P733" s="15"/>
      <c r="Q733" s="15"/>
    </row>
    <row r="734" spans="1:17" ht="15.75">
      <c r="A734" s="15"/>
      <c r="B734" s="14"/>
      <c r="C734" s="8507">
        <v>33</v>
      </c>
      <c r="D734" s="8508"/>
      <c r="E734" s="8509">
        <v>1.6</v>
      </c>
      <c r="F734" s="8509"/>
      <c r="G734" s="733">
        <f t="shared" si="6"/>
        <v>20.625</v>
      </c>
      <c r="H734" s="734" t="s">
        <v>292</v>
      </c>
      <c r="I734" s="180"/>
      <c r="J734" s="180"/>
      <c r="K734" s="180"/>
      <c r="L734" s="181"/>
      <c r="M734" s="2415"/>
      <c r="N734" s="15"/>
      <c r="O734" s="15"/>
      <c r="P734" s="15"/>
      <c r="Q734" s="15"/>
    </row>
    <row r="735" spans="1:17" ht="15.75">
      <c r="A735" s="15"/>
      <c r="B735" s="14"/>
      <c r="C735" s="8507">
        <v>33</v>
      </c>
      <c r="D735" s="8508"/>
      <c r="E735" s="8509">
        <v>2</v>
      </c>
      <c r="F735" s="8509"/>
      <c r="G735" s="733">
        <f t="shared" si="6"/>
        <v>16.5</v>
      </c>
      <c r="H735" s="734" t="s">
        <v>293</v>
      </c>
      <c r="I735" s="180"/>
      <c r="J735" s="180"/>
      <c r="K735" s="180"/>
      <c r="L735" s="181"/>
      <c r="M735" s="2415"/>
      <c r="N735" s="15"/>
      <c r="O735" s="15"/>
      <c r="P735" s="15"/>
      <c r="Q735" s="15"/>
    </row>
    <row r="736" spans="1:17" ht="15.75">
      <c r="A736" s="15"/>
      <c r="B736" s="14"/>
      <c r="C736" s="8507">
        <v>48</v>
      </c>
      <c r="D736" s="8508"/>
      <c r="E736" s="8509">
        <v>6</v>
      </c>
      <c r="F736" s="8509"/>
      <c r="G736" s="733">
        <f t="shared" si="6"/>
        <v>8</v>
      </c>
      <c r="H736" s="734" t="s">
        <v>294</v>
      </c>
      <c r="I736" s="180"/>
      <c r="J736" s="180"/>
      <c r="K736" s="180"/>
      <c r="L736" s="181"/>
      <c r="M736" s="2415"/>
      <c r="N736" s="15"/>
      <c r="O736" s="15"/>
      <c r="P736" s="15"/>
      <c r="Q736" s="15"/>
    </row>
    <row r="737" spans="1:17" ht="15.75">
      <c r="A737" s="15"/>
      <c r="B737" s="14"/>
      <c r="C737" s="8507">
        <v>1</v>
      </c>
      <c r="D737" s="8508"/>
      <c r="E737" s="8509">
        <v>0.25</v>
      </c>
      <c r="F737" s="8509"/>
      <c r="G737" s="733">
        <f t="shared" si="6"/>
        <v>4</v>
      </c>
      <c r="H737" s="734" t="s">
        <v>295</v>
      </c>
      <c r="I737" s="180"/>
      <c r="J737" s="180"/>
      <c r="K737" s="180"/>
      <c r="L737" s="181"/>
      <c r="M737" s="2415"/>
      <c r="N737" s="15"/>
      <c r="O737" s="15"/>
      <c r="P737" s="15"/>
      <c r="Q737" s="15"/>
    </row>
    <row r="738" spans="1:17" ht="15.75">
      <c r="A738" s="15"/>
      <c r="B738" s="14"/>
      <c r="C738" s="8507">
        <v>25</v>
      </c>
      <c r="D738" s="8508"/>
      <c r="E738" s="8509">
        <v>1</v>
      </c>
      <c r="F738" s="8509"/>
      <c r="G738" s="733">
        <f t="shared" si="6"/>
        <v>25</v>
      </c>
      <c r="H738" s="734" t="s">
        <v>296</v>
      </c>
      <c r="I738" s="180"/>
      <c r="J738" s="180"/>
      <c r="K738" s="180"/>
      <c r="L738" s="181"/>
      <c r="M738" s="2415"/>
      <c r="N738" s="15"/>
      <c r="O738" s="15"/>
      <c r="P738" s="15"/>
      <c r="Q738" s="15"/>
    </row>
    <row r="739" spans="1:17" ht="15.75">
      <c r="A739" s="15"/>
      <c r="B739" s="14"/>
      <c r="C739" s="735"/>
      <c r="D739" s="736"/>
      <c r="E739" s="737"/>
      <c r="F739" s="737"/>
      <c r="G739" s="733"/>
      <c r="H739" s="734"/>
      <c r="I739" s="180"/>
      <c r="J739" s="180"/>
      <c r="K739" s="180"/>
      <c r="L739" s="181"/>
      <c r="M739" s="2415"/>
      <c r="N739" s="15"/>
      <c r="O739" s="15"/>
      <c r="P739" s="15"/>
      <c r="Q739" s="15"/>
    </row>
    <row r="740" spans="1:17" ht="15.75">
      <c r="A740" s="15"/>
      <c r="B740" s="14"/>
      <c r="C740" s="183" t="s">
        <v>297</v>
      </c>
      <c r="D740" s="736"/>
      <c r="E740" s="737"/>
      <c r="F740" s="737"/>
      <c r="G740" s="733"/>
      <c r="H740" s="734"/>
      <c r="I740" s="180"/>
      <c r="J740" s="180"/>
      <c r="K740" s="180"/>
      <c r="L740" s="181"/>
      <c r="M740" s="2415"/>
      <c r="N740" s="15"/>
      <c r="O740" s="15"/>
      <c r="P740" s="15"/>
      <c r="Q740" s="15"/>
    </row>
    <row r="741" spans="1:17">
      <c r="A741" s="15"/>
      <c r="B741" s="14"/>
      <c r="C741" s="8510" t="s">
        <v>298</v>
      </c>
      <c r="D741" s="8511"/>
      <c r="E741" s="8511"/>
      <c r="F741" s="8511"/>
      <c r="G741" s="8511"/>
      <c r="H741" s="8511"/>
      <c r="I741" s="8511"/>
      <c r="J741" s="8511"/>
      <c r="K741" s="8511"/>
      <c r="L741" s="8511"/>
      <c r="M741" s="8512"/>
      <c r="N741" s="15"/>
      <c r="O741" s="15"/>
      <c r="P741" s="15"/>
      <c r="Q741" s="15"/>
    </row>
    <row r="742" spans="1:17">
      <c r="A742" s="15"/>
      <c r="B742" s="14"/>
      <c r="C742" s="8510"/>
      <c r="D742" s="8511"/>
      <c r="E742" s="8511"/>
      <c r="F742" s="8511"/>
      <c r="G742" s="8511"/>
      <c r="H742" s="8511"/>
      <c r="I742" s="8511"/>
      <c r="J742" s="8511"/>
      <c r="K742" s="8511"/>
      <c r="L742" s="8511"/>
      <c r="M742" s="8512"/>
      <c r="N742" s="15"/>
      <c r="O742" s="15"/>
      <c r="P742" s="15"/>
      <c r="Q742" s="15"/>
    </row>
    <row r="743" spans="1:17" ht="15.75" thickBot="1">
      <c r="A743" s="15"/>
      <c r="B743" s="14"/>
      <c r="C743" s="8513"/>
      <c r="D743" s="8514"/>
      <c r="E743" s="8514"/>
      <c r="F743" s="8514"/>
      <c r="G743" s="8514"/>
      <c r="H743" s="8514"/>
      <c r="I743" s="8514"/>
      <c r="J743" s="8514"/>
      <c r="K743" s="8514"/>
      <c r="L743" s="8514"/>
      <c r="M743" s="8515"/>
      <c r="N743" s="15"/>
      <c r="O743" s="15"/>
      <c r="P743" s="15"/>
      <c r="Q743" s="15"/>
    </row>
    <row r="744" spans="1:17">
      <c r="A744" s="15"/>
      <c r="B744" s="14"/>
      <c r="C744" s="14"/>
      <c r="D744" s="14"/>
      <c r="E744" s="14"/>
      <c r="F744" s="14"/>
      <c r="G744" s="14"/>
      <c r="H744" s="14"/>
      <c r="I744" s="14"/>
      <c r="J744" s="14"/>
      <c r="K744" s="14"/>
      <c r="L744" s="14"/>
      <c r="M744" s="15"/>
      <c r="N744" s="15"/>
      <c r="O744" s="15"/>
      <c r="P744" s="15"/>
      <c r="Q744" s="15"/>
    </row>
    <row r="745" spans="1:17">
      <c r="A745" s="525"/>
      <c r="B745" s="526"/>
      <c r="C745" s="527"/>
      <c r="D745" s="527"/>
      <c r="E745" s="527"/>
      <c r="F745" s="527"/>
      <c r="G745" s="527"/>
      <c r="H745" s="527"/>
      <c r="I745" s="527"/>
      <c r="J745" s="526"/>
      <c r="K745" s="526"/>
      <c r="L745" s="526"/>
      <c r="M745" s="525"/>
      <c r="N745" s="525"/>
      <c r="O745" s="525"/>
      <c r="P745" s="525"/>
      <c r="Q745" s="525"/>
    </row>
    <row r="746" spans="1:17">
      <c r="A746" s="15"/>
      <c r="B746" s="14"/>
      <c r="C746" s="14"/>
      <c r="D746" s="14"/>
      <c r="E746" s="14"/>
      <c r="F746" s="14"/>
      <c r="G746" s="14"/>
      <c r="H746" s="14"/>
      <c r="I746" s="14"/>
      <c r="J746" s="14"/>
      <c r="K746" s="14"/>
      <c r="L746" s="14"/>
      <c r="M746" s="15"/>
      <c r="N746" s="15"/>
      <c r="O746" s="15"/>
      <c r="P746" s="15"/>
      <c r="Q746" s="15"/>
    </row>
    <row r="747" spans="1:17" ht="20.25">
      <c r="A747" s="15"/>
      <c r="B747" s="8516" t="s">
        <v>206</v>
      </c>
      <c r="C747" s="8516"/>
      <c r="D747" s="8516"/>
      <c r="E747" s="8516"/>
      <c r="F747" s="8516"/>
      <c r="G747" s="8516"/>
      <c r="H747" s="8516"/>
      <c r="I747" s="8516"/>
      <c r="J747" s="8516"/>
      <c r="K747" s="8516"/>
      <c r="L747" s="8516"/>
      <c r="M747" s="8516"/>
      <c r="N747" s="8516"/>
      <c r="O747" s="14"/>
      <c r="P747" s="14"/>
      <c r="Q747" s="14"/>
    </row>
    <row r="748" spans="1:17">
      <c r="A748" s="15"/>
      <c r="B748" s="2416"/>
      <c r="C748" s="2417"/>
      <c r="D748" s="2417"/>
      <c r="E748" s="2417"/>
      <c r="F748" s="2417"/>
      <c r="G748" s="2417"/>
      <c r="H748" s="2417"/>
      <c r="I748" s="2417"/>
      <c r="J748" s="2417"/>
      <c r="K748" s="2417"/>
      <c r="L748" s="2417"/>
      <c r="M748" s="2417"/>
      <c r="N748" s="2418"/>
      <c r="O748" s="14"/>
      <c r="P748" s="14"/>
      <c r="Q748" s="14"/>
    </row>
    <row r="749" spans="1:17" ht="18">
      <c r="A749" s="15"/>
      <c r="B749" s="8502" t="s">
        <v>207</v>
      </c>
      <c r="C749" s="8503"/>
      <c r="D749" s="8503"/>
      <c r="E749" s="8503"/>
      <c r="F749" s="8503"/>
      <c r="G749" s="8503"/>
      <c r="H749" s="8503"/>
      <c r="I749" s="8503"/>
      <c r="J749" s="8503"/>
      <c r="K749" s="8503"/>
      <c r="L749" s="8503"/>
      <c r="M749" s="8503"/>
      <c r="N749" s="8504"/>
      <c r="O749" s="14"/>
      <c r="P749" s="14"/>
      <c r="Q749" s="14"/>
    </row>
    <row r="750" spans="1:17" ht="18">
      <c r="A750" s="15"/>
      <c r="B750" s="598"/>
      <c r="C750" s="53"/>
      <c r="D750" s="53"/>
      <c r="E750" s="53"/>
      <c r="F750" s="53"/>
      <c r="G750" s="53"/>
      <c r="H750" s="53"/>
      <c r="I750" s="53"/>
      <c r="J750" s="53"/>
      <c r="K750" s="53"/>
      <c r="L750" s="53"/>
      <c r="M750" s="53"/>
      <c r="N750" s="2419"/>
      <c r="O750" s="14"/>
      <c r="P750" s="14"/>
      <c r="Q750" s="14"/>
    </row>
    <row r="751" spans="1:17" ht="15.75">
      <c r="A751" s="15"/>
      <c r="B751" s="599"/>
      <c r="C751" s="54"/>
      <c r="D751" s="54"/>
      <c r="E751" s="55" t="s">
        <v>208</v>
      </c>
      <c r="F751" s="955">
        <v>250</v>
      </c>
      <c r="G751" s="955">
        <v>620</v>
      </c>
      <c r="H751" s="955">
        <v>37</v>
      </c>
      <c r="I751" s="955">
        <v>14</v>
      </c>
      <c r="J751" s="56">
        <f>SUM(F751:I751)</f>
        <v>921</v>
      </c>
      <c r="K751" s="57" t="s">
        <v>209</v>
      </c>
      <c r="L751" s="58"/>
      <c r="M751" s="15"/>
      <c r="N751" s="2420"/>
      <c r="O751" s="14"/>
      <c r="P751" s="14"/>
      <c r="Q751" s="14"/>
    </row>
    <row r="752" spans="1:17" ht="15.75">
      <c r="A752" s="15"/>
      <c r="B752" s="599"/>
      <c r="C752" s="54"/>
      <c r="D752" s="54"/>
      <c r="E752" s="59" t="s">
        <v>210</v>
      </c>
      <c r="F752" s="957">
        <v>4.4999999999999998E-2</v>
      </c>
      <c r="G752" s="957">
        <v>7.0000000000000007E-2</v>
      </c>
      <c r="H752" s="957">
        <v>0.11</v>
      </c>
      <c r="I752" s="958">
        <v>0.13</v>
      </c>
      <c r="J752" s="15"/>
      <c r="K752" s="60" t="s">
        <v>211</v>
      </c>
      <c r="L752" s="61">
        <v>25</v>
      </c>
      <c r="M752" s="62" t="s">
        <v>212</v>
      </c>
      <c r="N752" s="2420"/>
      <c r="O752" s="14"/>
      <c r="P752" s="14"/>
      <c r="Q752" s="14"/>
    </row>
    <row r="753" spans="1:17" ht="15.75">
      <c r="A753" s="15"/>
      <c r="B753" s="599"/>
      <c r="C753" s="54"/>
      <c r="D753" s="54"/>
      <c r="E753" s="63" t="s">
        <v>213</v>
      </c>
      <c r="F753" s="64" t="s">
        <v>214</v>
      </c>
      <c r="G753" s="959" t="s">
        <v>215</v>
      </c>
      <c r="H753" s="960" t="s">
        <v>216</v>
      </c>
      <c r="I753" s="959" t="s">
        <v>201</v>
      </c>
      <c r="J753" s="8505" t="s">
        <v>217</v>
      </c>
      <c r="K753" s="8505"/>
      <c r="L753" s="8505"/>
      <c r="M753" s="15"/>
      <c r="N753" s="2420"/>
      <c r="O753" s="14"/>
      <c r="P753" s="14"/>
      <c r="Q753" s="14"/>
    </row>
    <row r="754" spans="1:17">
      <c r="A754" s="15"/>
      <c r="B754" s="599"/>
      <c r="C754" s="54"/>
      <c r="D754" s="54"/>
      <c r="E754" s="65" t="s">
        <v>218</v>
      </c>
      <c r="F754" s="2421">
        <f>F752*F751</f>
        <v>11.25</v>
      </c>
      <c r="G754" s="2421">
        <f>G752*G751</f>
        <v>43.400000000000006</v>
      </c>
      <c r="H754" s="2421">
        <f>H752*H751</f>
        <v>4.07</v>
      </c>
      <c r="I754" s="66">
        <f>I752*I751</f>
        <v>1.82</v>
      </c>
      <c r="J754" s="67">
        <f>SUM(F754:I754)</f>
        <v>60.540000000000006</v>
      </c>
      <c r="K754" s="67"/>
      <c r="L754" s="68" t="s">
        <v>219</v>
      </c>
      <c r="M754" s="15"/>
      <c r="N754" s="2409"/>
      <c r="O754" s="14"/>
      <c r="P754" s="14"/>
      <c r="Q754" s="14"/>
    </row>
    <row r="755" spans="1:17" ht="18">
      <c r="A755" s="15"/>
      <c r="B755" s="599"/>
      <c r="C755" s="54"/>
      <c r="D755" s="54"/>
      <c r="E755" s="69" t="s">
        <v>220</v>
      </c>
      <c r="F755" s="2422">
        <f>F754/(100-L752)*100</f>
        <v>15</v>
      </c>
      <c r="G755" s="2422">
        <f>G754/(100-L752)*100</f>
        <v>57.866666666666674</v>
      </c>
      <c r="H755" s="2422">
        <f>H754/(100-L752)*100</f>
        <v>5.4266666666666667</v>
      </c>
      <c r="I755" s="70">
        <f>I754/(100-L752)*100</f>
        <v>2.4266666666666667</v>
      </c>
      <c r="J755" s="71">
        <f>SUM(F755:I755)</f>
        <v>80.72</v>
      </c>
      <c r="K755" s="72"/>
      <c r="L755" s="73" t="s">
        <v>221</v>
      </c>
      <c r="M755" s="15"/>
      <c r="N755" s="2409"/>
      <c r="O755" s="14"/>
      <c r="P755" s="14"/>
      <c r="Q755" s="14"/>
    </row>
    <row r="756" spans="1:17">
      <c r="A756" s="15"/>
      <c r="B756" s="599"/>
      <c r="C756" s="54"/>
      <c r="D756" s="54"/>
      <c r="E756" s="54"/>
      <c r="F756" s="54"/>
      <c r="G756" s="54"/>
      <c r="H756" s="54"/>
      <c r="I756" s="54"/>
      <c r="J756" s="74">
        <f>J755-J754</f>
        <v>20.179999999999993</v>
      </c>
      <c r="K756" s="74"/>
      <c r="L756" s="75" t="s">
        <v>69</v>
      </c>
      <c r="M756" s="76"/>
      <c r="N756" s="2420"/>
      <c r="O756" s="14"/>
      <c r="P756" s="14"/>
      <c r="Q756" s="14"/>
    </row>
    <row r="757" spans="1:17">
      <c r="A757" s="15"/>
      <c r="B757" s="599"/>
      <c r="C757" s="54"/>
      <c r="D757" s="54"/>
      <c r="E757" s="54"/>
      <c r="F757" s="54"/>
      <c r="G757" s="54"/>
      <c r="H757" s="54"/>
      <c r="I757" s="54"/>
      <c r="J757" s="77">
        <f>(J756/J751)*1000</f>
        <v>21.910966340933761</v>
      </c>
      <c r="K757" s="74"/>
      <c r="L757" s="75" t="s">
        <v>222</v>
      </c>
      <c r="M757" s="76"/>
      <c r="N757" s="2420"/>
      <c r="O757" s="14"/>
      <c r="P757" s="14"/>
      <c r="Q757" s="14"/>
    </row>
    <row r="758" spans="1:17">
      <c r="A758" s="15"/>
      <c r="B758" s="599"/>
      <c r="C758" s="78" t="s">
        <v>212</v>
      </c>
      <c r="D758" s="79" t="s">
        <v>223</v>
      </c>
      <c r="E758" s="54"/>
      <c r="F758" s="54"/>
      <c r="G758" s="54"/>
      <c r="H758" s="54"/>
      <c r="I758" s="54"/>
      <c r="J758" s="54"/>
      <c r="K758" s="54"/>
      <c r="L758" s="54"/>
      <c r="M758" s="54"/>
      <c r="N758" s="2420"/>
      <c r="O758" s="14"/>
      <c r="P758" s="14"/>
      <c r="Q758" s="14"/>
    </row>
    <row r="759" spans="1:17">
      <c r="A759" s="15"/>
      <c r="B759" s="599"/>
      <c r="C759" s="80"/>
      <c r="D759" s="79" t="s">
        <v>224</v>
      </c>
      <c r="E759" s="54"/>
      <c r="F759" s="54"/>
      <c r="G759" s="54"/>
      <c r="H759" s="54"/>
      <c r="I759" s="54"/>
      <c r="J759" s="54"/>
      <c r="K759" s="54"/>
      <c r="L759" s="54"/>
      <c r="M759" s="54"/>
      <c r="N759" s="2420"/>
      <c r="O759" s="14"/>
      <c r="P759" s="14"/>
      <c r="Q759" s="14"/>
    </row>
    <row r="760" spans="1:17">
      <c r="A760" s="15"/>
      <c r="B760" s="2423"/>
      <c r="C760" s="2390"/>
      <c r="D760" s="2390"/>
      <c r="E760" s="2390"/>
      <c r="F760" s="2390"/>
      <c r="G760" s="2390"/>
      <c r="H760" s="2390"/>
      <c r="I760" s="2390"/>
      <c r="J760" s="2390"/>
      <c r="K760" s="2390"/>
      <c r="L760" s="2390"/>
      <c r="M760" s="2390"/>
      <c r="N760" s="2391"/>
      <c r="O760" s="14"/>
      <c r="P760" s="14"/>
      <c r="Q760" s="14"/>
    </row>
    <row r="761" spans="1:17">
      <c r="A761" s="15"/>
      <c r="B761" s="14"/>
      <c r="C761" s="14"/>
      <c r="D761" s="14"/>
      <c r="E761" s="14"/>
      <c r="F761" s="14"/>
      <c r="G761" s="14"/>
      <c r="H761" s="14"/>
      <c r="I761" s="14"/>
      <c r="J761" s="14"/>
      <c r="K761" s="14"/>
      <c r="L761" s="14"/>
      <c r="M761" s="15"/>
      <c r="N761" s="15"/>
      <c r="O761" s="15"/>
      <c r="P761" s="15"/>
      <c r="Q761" s="15"/>
    </row>
    <row r="762" spans="1:17" ht="15.75" thickBot="1">
      <c r="A762" s="15"/>
      <c r="B762" s="14"/>
      <c r="C762" s="14"/>
      <c r="D762" s="14"/>
      <c r="E762" s="14"/>
      <c r="F762" s="14"/>
      <c r="G762" s="14"/>
      <c r="H762" s="14"/>
      <c r="I762" s="14"/>
      <c r="J762" s="14"/>
      <c r="K762" s="14"/>
      <c r="L762" s="14"/>
      <c r="M762" s="15"/>
      <c r="N762" s="15"/>
      <c r="O762" s="15"/>
      <c r="P762" s="15"/>
      <c r="Q762" s="15"/>
    </row>
    <row r="763" spans="1:17">
      <c r="A763" s="8492" t="s">
        <v>67</v>
      </c>
      <c r="B763" s="8494" t="s">
        <v>299</v>
      </c>
      <c r="C763" s="8495"/>
      <c r="D763" s="8495"/>
      <c r="E763" s="8495"/>
      <c r="F763" s="8495"/>
      <c r="G763" s="8495"/>
      <c r="H763" s="8495"/>
      <c r="I763" s="8495"/>
      <c r="J763" s="8495"/>
      <c r="K763" s="8495"/>
      <c r="L763" s="8495"/>
      <c r="M763" s="8495"/>
      <c r="N763" s="8498">
        <v>1</v>
      </c>
      <c r="O763" s="15"/>
      <c r="P763" s="15"/>
      <c r="Q763" s="15"/>
    </row>
    <row r="764" spans="1:17">
      <c r="A764" s="8493"/>
      <c r="B764" s="8496"/>
      <c r="C764" s="8497"/>
      <c r="D764" s="8497"/>
      <c r="E764" s="8497"/>
      <c r="F764" s="8497"/>
      <c r="G764" s="8497"/>
      <c r="H764" s="8497"/>
      <c r="I764" s="8497"/>
      <c r="J764" s="8497"/>
      <c r="K764" s="8497"/>
      <c r="L764" s="8497"/>
      <c r="M764" s="8497"/>
      <c r="N764" s="8499"/>
      <c r="O764" s="15"/>
      <c r="P764" s="15"/>
      <c r="Q764" s="15"/>
    </row>
    <row r="765" spans="1:17" ht="20.25">
      <c r="A765" s="8476"/>
      <c r="B765" s="8477" t="s">
        <v>300</v>
      </c>
      <c r="C765" s="8478"/>
      <c r="D765" s="8478"/>
      <c r="E765" s="8478"/>
      <c r="F765" s="8478"/>
      <c r="G765" s="8478"/>
      <c r="H765" s="8478"/>
      <c r="I765" s="8478"/>
      <c r="J765" s="8478"/>
      <c r="K765" s="8478"/>
      <c r="L765" s="8478"/>
      <c r="M765" s="8478"/>
      <c r="N765" s="8479"/>
      <c r="O765" s="15"/>
      <c r="P765" s="15"/>
      <c r="Q765" s="15"/>
    </row>
    <row r="766" spans="1:17">
      <c r="A766" s="8476"/>
      <c r="B766" s="8480" t="s">
        <v>301</v>
      </c>
      <c r="C766" s="8481"/>
      <c r="D766" s="8481"/>
      <c r="E766" s="8481"/>
      <c r="F766" s="8481"/>
      <c r="G766" s="8481"/>
      <c r="H766" s="8481"/>
      <c r="I766" s="8481"/>
      <c r="J766" s="8481"/>
      <c r="K766" s="8481"/>
      <c r="L766" s="8481"/>
      <c r="M766" s="8481"/>
      <c r="N766" s="8482"/>
      <c r="O766" s="15"/>
      <c r="P766" s="15"/>
      <c r="Q766" s="15"/>
    </row>
    <row r="767" spans="1:17">
      <c r="A767" s="8476"/>
      <c r="B767" s="8480"/>
      <c r="C767" s="8481"/>
      <c r="D767" s="8481"/>
      <c r="E767" s="8481"/>
      <c r="F767" s="8481"/>
      <c r="G767" s="8481"/>
      <c r="H767" s="8481"/>
      <c r="I767" s="8481"/>
      <c r="J767" s="8481"/>
      <c r="K767" s="8481"/>
      <c r="L767" s="8481"/>
      <c r="M767" s="8481"/>
      <c r="N767" s="8482"/>
      <c r="O767" s="15"/>
      <c r="P767" s="15"/>
      <c r="Q767" s="15"/>
    </row>
    <row r="768" spans="1:17">
      <c r="A768" s="8476"/>
      <c r="B768" s="8480"/>
      <c r="C768" s="8481"/>
      <c r="D768" s="8481"/>
      <c r="E768" s="8481"/>
      <c r="F768" s="8481"/>
      <c r="G768" s="8481"/>
      <c r="H768" s="8481"/>
      <c r="I768" s="8481"/>
      <c r="J768" s="8481"/>
      <c r="K768" s="8481"/>
      <c r="L768" s="8481"/>
      <c r="M768" s="8481"/>
      <c r="N768" s="8482"/>
      <c r="O768" s="15"/>
      <c r="P768" s="15"/>
      <c r="Q768" s="15"/>
    </row>
    <row r="769" spans="1:17">
      <c r="A769" s="8476"/>
      <c r="B769" s="8480"/>
      <c r="C769" s="8481"/>
      <c r="D769" s="8481"/>
      <c r="E769" s="8481"/>
      <c r="F769" s="8481"/>
      <c r="G769" s="8481"/>
      <c r="H769" s="8481"/>
      <c r="I769" s="8481"/>
      <c r="J769" s="8481"/>
      <c r="K769" s="8481"/>
      <c r="L769" s="8481"/>
      <c r="M769" s="8481"/>
      <c r="N769" s="8482"/>
      <c r="O769" s="15"/>
      <c r="P769" s="15"/>
      <c r="Q769" s="15"/>
    </row>
    <row r="770" spans="1:17">
      <c r="A770" s="8476"/>
      <c r="B770" s="8483"/>
      <c r="C770" s="8484"/>
      <c r="D770" s="8484"/>
      <c r="E770" s="8484"/>
      <c r="F770" s="8484"/>
      <c r="G770" s="8484"/>
      <c r="H770" s="8484"/>
      <c r="I770" s="8484"/>
      <c r="J770" s="8484"/>
      <c r="K770" s="8484"/>
      <c r="L770" s="8484"/>
      <c r="M770" s="8484"/>
      <c r="N770" s="8485"/>
      <c r="O770" s="15"/>
      <c r="P770" s="15"/>
      <c r="Q770" s="15"/>
    </row>
    <row r="771" spans="1:17">
      <c r="A771" s="8476"/>
      <c r="B771" s="184"/>
      <c r="C771" s="185"/>
      <c r="D771" s="185"/>
      <c r="E771" s="185"/>
      <c r="F771" s="185"/>
      <c r="G771" s="185"/>
      <c r="H771" s="185"/>
      <c r="I771" s="185"/>
      <c r="J771" s="185"/>
      <c r="K771" s="185"/>
      <c r="L771" s="8506" t="s">
        <v>66</v>
      </c>
      <c r="M771" s="8506"/>
      <c r="N771" s="2424"/>
      <c r="O771" s="15"/>
      <c r="P771" s="15"/>
      <c r="Q771" s="15"/>
    </row>
    <row r="772" spans="1:17" ht="15.75">
      <c r="A772" s="8476"/>
      <c r="B772" s="185"/>
      <c r="C772" s="185"/>
      <c r="D772" s="185"/>
      <c r="E772" s="185"/>
      <c r="F772" s="185"/>
      <c r="G772" s="185"/>
      <c r="H772" s="185"/>
      <c r="I772" s="185"/>
      <c r="J772" s="185"/>
      <c r="K772" s="187" t="s">
        <v>302</v>
      </c>
      <c r="L772" s="8500" t="s">
        <v>57</v>
      </c>
      <c r="M772" s="8501"/>
      <c r="N772" s="2424"/>
      <c r="O772" s="15"/>
      <c r="P772" s="15"/>
      <c r="Q772" s="15"/>
    </row>
    <row r="773" spans="1:17">
      <c r="A773" s="8476"/>
      <c r="B773" s="184"/>
      <c r="C773" s="185"/>
      <c r="D773" s="185"/>
      <c r="E773" s="185"/>
      <c r="F773" s="185"/>
      <c r="G773" s="185"/>
      <c r="H773" s="185"/>
      <c r="I773" s="185"/>
      <c r="J773" s="185"/>
      <c r="K773" s="185"/>
      <c r="L773" s="185"/>
      <c r="M773" s="188"/>
      <c r="N773" s="2424"/>
      <c r="O773" s="15"/>
      <c r="P773" s="15"/>
      <c r="Q773" s="15"/>
    </row>
    <row r="774" spans="1:17" ht="18">
      <c r="A774" s="8476"/>
      <c r="B774" s="184"/>
      <c r="C774" s="185"/>
      <c r="D774" s="185"/>
      <c r="E774" s="185"/>
      <c r="F774" s="189" t="s">
        <v>242</v>
      </c>
      <c r="G774" s="190" t="s">
        <v>214</v>
      </c>
      <c r="H774" s="962" t="s">
        <v>215</v>
      </c>
      <c r="I774" s="963" t="s">
        <v>216</v>
      </c>
      <c r="J774" s="962" t="s">
        <v>201</v>
      </c>
      <c r="K774" s="962" t="s">
        <v>303</v>
      </c>
      <c r="L774" s="185"/>
      <c r="M774" s="185"/>
      <c r="N774" s="2424"/>
      <c r="O774" s="15"/>
      <c r="P774" s="15"/>
      <c r="Q774" s="15"/>
    </row>
    <row r="775" spans="1:17" ht="18.75">
      <c r="A775" s="8476"/>
      <c r="B775" s="184"/>
      <c r="C775" s="185"/>
      <c r="D775" s="185"/>
      <c r="E775" s="185"/>
      <c r="F775" s="191" t="s">
        <v>208</v>
      </c>
      <c r="G775" s="192">
        <v>50</v>
      </c>
      <c r="H775" s="192">
        <v>500</v>
      </c>
      <c r="I775" s="192">
        <v>150</v>
      </c>
      <c r="J775" s="192">
        <v>13</v>
      </c>
      <c r="K775" s="192">
        <v>13</v>
      </c>
      <c r="L775" s="56">
        <f>SUM(G775:K775)</f>
        <v>726</v>
      </c>
      <c r="M775" s="193" t="s">
        <v>209</v>
      </c>
      <c r="N775" s="2424"/>
      <c r="O775" s="15"/>
      <c r="P775" s="15"/>
      <c r="Q775" s="15"/>
    </row>
    <row r="776" spans="1:17" ht="18.75">
      <c r="A776" s="8476"/>
      <c r="B776" s="184"/>
      <c r="C776" s="185"/>
      <c r="D776" s="185"/>
      <c r="E776" s="185"/>
      <c r="F776" s="194" t="s">
        <v>304</v>
      </c>
      <c r="G776" s="2425">
        <v>0.5</v>
      </c>
      <c r="H776" s="2425">
        <v>1</v>
      </c>
      <c r="I776" s="2425">
        <v>1</v>
      </c>
      <c r="J776" s="2425">
        <v>2</v>
      </c>
      <c r="K776" s="2425">
        <v>1</v>
      </c>
      <c r="L776" s="196">
        <f>SUM(G776:K776)/COUNTIF(G776:K776,"&gt;0")</f>
        <v>1.1000000000000001</v>
      </c>
      <c r="M776" s="193" t="s">
        <v>305</v>
      </c>
      <c r="N776" s="2424"/>
      <c r="O776" s="15"/>
      <c r="P776" s="15"/>
      <c r="Q776" s="15"/>
    </row>
    <row r="777" spans="1:17" ht="18">
      <c r="A777" s="8476"/>
      <c r="B777" s="184"/>
      <c r="C777" s="185"/>
      <c r="D777" s="185"/>
      <c r="E777" s="185"/>
      <c r="F777" s="197" t="s">
        <v>306</v>
      </c>
      <c r="G777" s="2426">
        <f>G776*G775</f>
        <v>25</v>
      </c>
      <c r="H777" s="2427">
        <f>H776*H775</f>
        <v>500</v>
      </c>
      <c r="I777" s="2427">
        <f>I776*I775</f>
        <v>150</v>
      </c>
      <c r="J777" s="2427">
        <f>J776*J775</f>
        <v>26</v>
      </c>
      <c r="K777" s="2427">
        <f>K776*K775</f>
        <v>13</v>
      </c>
      <c r="L777" s="56">
        <f>SUM(G777:K777)</f>
        <v>714</v>
      </c>
      <c r="M777" s="193" t="str">
        <f>L772</f>
        <v>pommes</v>
      </c>
      <c r="N777" s="2424"/>
      <c r="O777" s="15"/>
      <c r="P777" s="15"/>
      <c r="Q777" s="15"/>
    </row>
    <row r="778" spans="1:17">
      <c r="A778" s="8476"/>
      <c r="B778" s="184"/>
      <c r="C778" s="185"/>
      <c r="D778" s="185"/>
      <c r="E778" s="185"/>
      <c r="F778" s="185"/>
      <c r="G778" s="2428" t="str">
        <f>L772</f>
        <v>pommes</v>
      </c>
      <c r="H778" s="2428" t="str">
        <f>L772</f>
        <v>pommes</v>
      </c>
      <c r="I778" s="2428" t="str">
        <f>L772</f>
        <v>pommes</v>
      </c>
      <c r="J778" s="2428" t="str">
        <f>L772</f>
        <v>pommes</v>
      </c>
      <c r="K778" s="2428" t="str">
        <f>L772</f>
        <v>pommes</v>
      </c>
      <c r="L778" s="185"/>
      <c r="M778" s="188"/>
      <c r="N778" s="2424"/>
      <c r="O778" s="15"/>
      <c r="P778" s="15"/>
      <c r="Q778" s="15"/>
    </row>
    <row r="779" spans="1:17" ht="18">
      <c r="A779" s="8476"/>
      <c r="B779" s="200"/>
      <c r="C779" s="201" t="s">
        <v>211</v>
      </c>
      <c r="D779" s="202">
        <v>10</v>
      </c>
      <c r="E779" s="203" t="s">
        <v>81</v>
      </c>
      <c r="F779" s="204"/>
      <c r="G779" s="204"/>
      <c r="H779" s="185"/>
      <c r="I779" s="185"/>
      <c r="J779" s="185"/>
      <c r="K779" s="185"/>
      <c r="L779" s="185"/>
      <c r="M779" s="188"/>
      <c r="N779" s="2424"/>
      <c r="O779" s="15"/>
      <c r="P779" s="15"/>
      <c r="Q779" s="15"/>
    </row>
    <row r="780" spans="1:17" ht="18">
      <c r="A780" s="8476"/>
      <c r="B780" s="184"/>
      <c r="C780" s="185"/>
      <c r="D780" s="185"/>
      <c r="E780" s="185"/>
      <c r="F780" s="197" t="s">
        <v>220</v>
      </c>
      <c r="G780" s="2429">
        <f>G777/(100-D779)*100</f>
        <v>27.777777777777779</v>
      </c>
      <c r="H780" s="2429">
        <f>H777/(100-D779)*100</f>
        <v>555.55555555555554</v>
      </c>
      <c r="I780" s="2429">
        <f>I777/(100-D779)*100</f>
        <v>166.66666666666669</v>
      </c>
      <c r="J780" s="2429">
        <f>J777/(100-D779)*100</f>
        <v>28.888888888888886</v>
      </c>
      <c r="K780" s="2429">
        <f>K777/(100-D779)*100</f>
        <v>14.444444444444443</v>
      </c>
      <c r="L780" s="205">
        <f>SUM(G780:K780)</f>
        <v>793.33333333333337</v>
      </c>
      <c r="M780" s="193" t="str">
        <f>L772</f>
        <v>pommes</v>
      </c>
      <c r="N780" s="2424"/>
      <c r="O780" s="15"/>
      <c r="P780" s="15"/>
      <c r="Q780" s="15"/>
    </row>
    <row r="781" spans="1:17" ht="18">
      <c r="A781" s="8476"/>
      <c r="B781" s="184"/>
      <c r="C781" s="185"/>
      <c r="D781" s="185"/>
      <c r="E781" s="185"/>
      <c r="F781" s="197"/>
      <c r="G781" s="2430" t="str">
        <f>L772</f>
        <v>pommes</v>
      </c>
      <c r="H781" s="2430" t="str">
        <f>L772</f>
        <v>pommes</v>
      </c>
      <c r="I781" s="2430" t="str">
        <f>L772</f>
        <v>pommes</v>
      </c>
      <c r="J781" s="2430" t="str">
        <f>L772</f>
        <v>pommes</v>
      </c>
      <c r="K781" s="2430" t="str">
        <f>L772</f>
        <v>pommes</v>
      </c>
      <c r="L781" s="56"/>
      <c r="M781" s="193"/>
      <c r="N781" s="2424"/>
      <c r="O781" s="15"/>
      <c r="P781" s="15"/>
      <c r="Q781" s="15"/>
    </row>
    <row r="782" spans="1:17">
      <c r="A782" s="8476"/>
      <c r="B782" s="2431"/>
      <c r="C782" s="2432"/>
      <c r="D782" s="2432"/>
      <c r="E782" s="2432"/>
      <c r="F782" s="2432"/>
      <c r="G782" s="2432"/>
      <c r="H782" s="2432"/>
      <c r="I782" s="2432"/>
      <c r="J782" s="2432"/>
      <c r="K782" s="2432"/>
      <c r="L782" s="2432"/>
      <c r="M782" s="2432"/>
      <c r="N782" s="2433"/>
      <c r="O782" s="15"/>
      <c r="P782" s="15"/>
      <c r="Q782" s="15"/>
    </row>
    <row r="783" spans="1:17" ht="18.75">
      <c r="A783" s="8476"/>
      <c r="B783" s="208" t="s">
        <v>66</v>
      </c>
      <c r="C783" s="2434" t="s">
        <v>307</v>
      </c>
      <c r="D783" s="209"/>
      <c r="E783" s="209"/>
      <c r="F783" s="209"/>
      <c r="G783" s="209"/>
      <c r="H783" s="209"/>
      <c r="I783" s="209"/>
      <c r="J783" s="209"/>
      <c r="K783" s="209"/>
      <c r="L783" s="209"/>
      <c r="M783" s="209"/>
      <c r="N783" s="2435"/>
      <c r="O783" s="15"/>
      <c r="P783" s="15"/>
      <c r="Q783" s="15"/>
    </row>
    <row r="784" spans="1:17" ht="18.75">
      <c r="A784" s="8476"/>
      <c r="B784" s="211"/>
      <c r="C784" s="8500" t="s">
        <v>308</v>
      </c>
      <c r="D784" s="8501"/>
      <c r="E784" s="2436"/>
      <c r="F784" s="8500" t="s">
        <v>43</v>
      </c>
      <c r="G784" s="8501"/>
      <c r="H784" s="2436"/>
      <c r="I784" s="8500" t="s">
        <v>309</v>
      </c>
      <c r="J784" s="8501"/>
      <c r="K784" s="2436"/>
      <c r="L784" s="8500" t="s">
        <v>310</v>
      </c>
      <c r="M784" s="8501"/>
      <c r="N784" s="2437"/>
      <c r="O784" s="15"/>
      <c r="P784" s="15"/>
      <c r="Q784" s="15"/>
    </row>
    <row r="785" spans="1:17" ht="18.75">
      <c r="A785" s="8476"/>
      <c r="B785" s="214" t="s">
        <v>81</v>
      </c>
      <c r="C785" s="2438" t="s">
        <v>311</v>
      </c>
      <c r="D785" s="2436"/>
      <c r="E785" s="2436"/>
      <c r="F785" s="2436"/>
      <c r="G785" s="2436"/>
      <c r="H785" s="2436"/>
      <c r="I785" s="2436"/>
      <c r="J785" s="2436"/>
      <c r="K785" s="2436"/>
      <c r="L785" s="2436"/>
      <c r="M785" s="2436"/>
      <c r="N785" s="2437"/>
      <c r="O785" s="15"/>
      <c r="P785" s="15"/>
      <c r="Q785" s="15"/>
    </row>
    <row r="786" spans="1:17">
      <c r="A786" s="8476"/>
      <c r="B786" s="8466" t="s">
        <v>312</v>
      </c>
      <c r="C786" s="8467"/>
      <c r="D786" s="8467"/>
      <c r="E786" s="8467"/>
      <c r="F786" s="8467"/>
      <c r="G786" s="8467"/>
      <c r="H786" s="8467"/>
      <c r="I786" s="8467"/>
      <c r="J786" s="8467"/>
      <c r="K786" s="8467"/>
      <c r="L786" s="8467"/>
      <c r="M786" s="8467"/>
      <c r="N786" s="8468"/>
      <c r="O786" s="15"/>
      <c r="P786" s="15"/>
      <c r="Q786" s="15"/>
    </row>
    <row r="787" spans="1:17">
      <c r="A787" s="8476"/>
      <c r="B787" s="8469"/>
      <c r="C787" s="8470"/>
      <c r="D787" s="8470"/>
      <c r="E787" s="8470"/>
      <c r="F787" s="8470"/>
      <c r="G787" s="8470"/>
      <c r="H787" s="8470"/>
      <c r="I787" s="8470"/>
      <c r="J787" s="8470"/>
      <c r="K787" s="8470"/>
      <c r="L787" s="8470"/>
      <c r="M787" s="8470"/>
      <c r="N787" s="8471"/>
      <c r="O787" s="15"/>
      <c r="P787" s="15"/>
      <c r="Q787" s="15"/>
    </row>
    <row r="788" spans="1:17">
      <c r="A788" s="8476"/>
      <c r="B788" s="2439" t="s">
        <v>7</v>
      </c>
      <c r="C788" s="8472" t="str">
        <f ca="1">CELL("nomfichier")</f>
        <v>D:\Données\1.UPRT\0-UPRT.fait\1-UPRT.FR-SITE-WEB\ff-fiches-fabrications\ff.fiches.fabrication.2023\UPRT.23.aout\[ff-20-CHARCUTERIE-michel-Mariette.BOUDIN.BLANC_-1.xlsx]Exemples Michel Mariette</v>
      </c>
      <c r="D788" s="8472"/>
      <c r="E788" s="8472"/>
      <c r="F788" s="8472"/>
      <c r="G788" s="8472"/>
      <c r="H788" s="8472"/>
      <c r="I788" s="8472"/>
      <c r="J788" s="8472"/>
      <c r="K788" s="8472"/>
      <c r="L788" s="8472"/>
      <c r="M788" s="8472"/>
      <c r="N788" s="8473"/>
      <c r="O788" s="15"/>
      <c r="P788" s="15"/>
      <c r="Q788" s="15"/>
    </row>
    <row r="789" spans="1:17">
      <c r="A789" s="8476"/>
      <c r="B789" s="2440" t="s">
        <v>14</v>
      </c>
      <c r="C789" s="8474" t="s">
        <v>313</v>
      </c>
      <c r="D789" s="8474"/>
      <c r="E789" s="8474"/>
      <c r="F789" s="8474"/>
      <c r="G789" s="8474"/>
      <c r="H789" s="8474"/>
      <c r="I789" s="8474"/>
      <c r="J789" s="8474"/>
      <c r="K789" s="8474"/>
      <c r="L789" s="8474"/>
      <c r="M789" s="8474"/>
      <c r="N789" s="8475"/>
      <c r="O789" s="15"/>
      <c r="P789" s="15"/>
      <c r="Q789" s="15"/>
    </row>
    <row r="790" spans="1:17" ht="15.75" thickBot="1">
      <c r="A790" s="8476"/>
      <c r="B790" s="8459" t="s">
        <v>8</v>
      </c>
      <c r="C790" s="8460"/>
      <c r="D790" s="8460"/>
      <c r="E790" s="8460"/>
      <c r="F790" s="8460"/>
      <c r="G790" s="8460"/>
      <c r="H790" s="8460"/>
      <c r="I790" s="8460"/>
      <c r="J790" s="8460"/>
      <c r="K790" s="8460"/>
      <c r="L790" s="8460"/>
      <c r="M790" s="8460"/>
      <c r="N790" s="8461"/>
      <c r="O790" s="15"/>
      <c r="P790" s="15"/>
      <c r="Q790" s="15"/>
    </row>
    <row r="791" spans="1:17" ht="39.75" customHeight="1" thickBot="1">
      <c r="A791" s="32"/>
      <c r="B791" s="32"/>
      <c r="C791" s="32"/>
      <c r="D791" s="32"/>
      <c r="E791" s="32"/>
      <c r="F791" s="32"/>
      <c r="G791" s="32"/>
      <c r="H791" s="32"/>
      <c r="I791" s="32"/>
      <c r="J791" s="32"/>
      <c r="K791" s="32"/>
      <c r="L791" s="32"/>
      <c r="M791" s="32"/>
      <c r="N791" s="32"/>
      <c r="O791" s="15"/>
      <c r="P791" s="15"/>
      <c r="Q791" s="15"/>
    </row>
    <row r="792" spans="1:17">
      <c r="A792" s="8492" t="s">
        <v>67</v>
      </c>
      <c r="B792" s="8494" t="s">
        <v>314</v>
      </c>
      <c r="C792" s="8495"/>
      <c r="D792" s="8495"/>
      <c r="E792" s="8495"/>
      <c r="F792" s="8495"/>
      <c r="G792" s="8495"/>
      <c r="H792" s="8495"/>
      <c r="I792" s="8495"/>
      <c r="J792" s="8495"/>
      <c r="K792" s="8495"/>
      <c r="L792" s="8495"/>
      <c r="M792" s="8495"/>
      <c r="N792" s="8498">
        <v>2</v>
      </c>
      <c r="O792" s="15"/>
      <c r="P792" s="15"/>
      <c r="Q792" s="15"/>
    </row>
    <row r="793" spans="1:17">
      <c r="A793" s="8493"/>
      <c r="B793" s="8496"/>
      <c r="C793" s="8497"/>
      <c r="D793" s="8497"/>
      <c r="E793" s="8497"/>
      <c r="F793" s="8497"/>
      <c r="G793" s="8497"/>
      <c r="H793" s="8497"/>
      <c r="I793" s="8497"/>
      <c r="J793" s="8497"/>
      <c r="K793" s="8497"/>
      <c r="L793" s="8497"/>
      <c r="M793" s="8497"/>
      <c r="N793" s="8499"/>
      <c r="O793" s="15"/>
      <c r="P793" s="15"/>
      <c r="Q793" s="15"/>
    </row>
    <row r="794" spans="1:17" ht="20.25">
      <c r="A794" s="8476"/>
      <c r="B794" s="8477" t="s">
        <v>300</v>
      </c>
      <c r="C794" s="8478"/>
      <c r="D794" s="8478"/>
      <c r="E794" s="8478"/>
      <c r="F794" s="8478"/>
      <c r="G794" s="8478"/>
      <c r="H794" s="8478"/>
      <c r="I794" s="8478"/>
      <c r="J794" s="8478"/>
      <c r="K794" s="8478"/>
      <c r="L794" s="8478"/>
      <c r="M794" s="8478"/>
      <c r="N794" s="8479"/>
      <c r="O794" s="15"/>
      <c r="P794" s="15"/>
      <c r="Q794" s="15"/>
    </row>
    <row r="795" spans="1:17">
      <c r="A795" s="8476"/>
      <c r="B795" s="8480" t="s">
        <v>315</v>
      </c>
      <c r="C795" s="8481"/>
      <c r="D795" s="8481"/>
      <c r="E795" s="8481"/>
      <c r="F795" s="8481"/>
      <c r="G795" s="8481"/>
      <c r="H795" s="8481"/>
      <c r="I795" s="8481"/>
      <c r="J795" s="8481"/>
      <c r="K795" s="8481"/>
      <c r="L795" s="8481"/>
      <c r="M795" s="8481"/>
      <c r="N795" s="8482"/>
      <c r="O795" s="15"/>
      <c r="P795" s="15"/>
      <c r="Q795" s="15"/>
    </row>
    <row r="796" spans="1:17">
      <c r="A796" s="8476"/>
      <c r="B796" s="8480"/>
      <c r="C796" s="8481"/>
      <c r="D796" s="8481"/>
      <c r="E796" s="8481"/>
      <c r="F796" s="8481"/>
      <c r="G796" s="8481"/>
      <c r="H796" s="8481"/>
      <c r="I796" s="8481"/>
      <c r="J796" s="8481"/>
      <c r="K796" s="8481"/>
      <c r="L796" s="8481"/>
      <c r="M796" s="8481"/>
      <c r="N796" s="8482"/>
      <c r="O796" s="15"/>
      <c r="P796" s="15"/>
      <c r="Q796" s="15"/>
    </row>
    <row r="797" spans="1:17">
      <c r="A797" s="8476"/>
      <c r="B797" s="8480"/>
      <c r="C797" s="8481"/>
      <c r="D797" s="8481"/>
      <c r="E797" s="8481"/>
      <c r="F797" s="8481"/>
      <c r="G797" s="8481"/>
      <c r="H797" s="8481"/>
      <c r="I797" s="8481"/>
      <c r="J797" s="8481"/>
      <c r="K797" s="8481"/>
      <c r="L797" s="8481"/>
      <c r="M797" s="8481"/>
      <c r="N797" s="8482"/>
      <c r="O797" s="15"/>
      <c r="P797" s="15"/>
      <c r="Q797" s="15"/>
    </row>
    <row r="798" spans="1:17">
      <c r="A798" s="8476"/>
      <c r="B798" s="8480"/>
      <c r="C798" s="8481"/>
      <c r="D798" s="8481"/>
      <c r="E798" s="8481"/>
      <c r="F798" s="8481"/>
      <c r="G798" s="8481"/>
      <c r="H798" s="8481"/>
      <c r="I798" s="8481"/>
      <c r="J798" s="8481"/>
      <c r="K798" s="8481"/>
      <c r="L798" s="8481"/>
      <c r="M798" s="8481"/>
      <c r="N798" s="8482"/>
      <c r="O798" s="15"/>
      <c r="P798" s="15"/>
      <c r="Q798" s="15"/>
    </row>
    <row r="799" spans="1:17">
      <c r="A799" s="8476"/>
      <c r="B799" s="8483"/>
      <c r="C799" s="8484"/>
      <c r="D799" s="8484"/>
      <c r="E799" s="8484"/>
      <c r="F799" s="8484"/>
      <c r="G799" s="8484"/>
      <c r="H799" s="8484"/>
      <c r="I799" s="8484"/>
      <c r="J799" s="8484"/>
      <c r="K799" s="8484"/>
      <c r="L799" s="8484"/>
      <c r="M799" s="8484"/>
      <c r="N799" s="8485"/>
      <c r="O799" s="15"/>
      <c r="P799" s="15"/>
      <c r="Q799" s="15"/>
    </row>
    <row r="800" spans="1:17">
      <c r="A800" s="8476"/>
      <c r="B800" s="218"/>
      <c r="C800" s="219"/>
      <c r="D800" s="219"/>
      <c r="E800" s="219"/>
      <c r="F800" s="219"/>
      <c r="G800" s="219"/>
      <c r="H800" s="219"/>
      <c r="I800" s="219"/>
      <c r="J800" s="219"/>
      <c r="K800" s="219"/>
      <c r="L800" s="8486" t="s">
        <v>66</v>
      </c>
      <c r="M800" s="8486"/>
      <c r="N800" s="2441"/>
      <c r="O800" s="15"/>
      <c r="P800" s="15"/>
      <c r="Q800" s="15"/>
    </row>
    <row r="801" spans="1:17" ht="18">
      <c r="A801" s="8476"/>
      <c r="B801" s="218"/>
      <c r="C801" s="219"/>
      <c r="D801" s="219"/>
      <c r="E801" s="219"/>
      <c r="F801" s="219"/>
      <c r="G801" s="219"/>
      <c r="H801" s="219"/>
      <c r="I801" s="219"/>
      <c r="J801" s="32"/>
      <c r="K801" s="197" t="s">
        <v>316</v>
      </c>
      <c r="L801" s="8487">
        <v>2.4</v>
      </c>
      <c r="M801" s="8487"/>
      <c r="N801" s="2441"/>
      <c r="O801" s="15"/>
      <c r="P801" s="15"/>
      <c r="Q801" s="15"/>
    </row>
    <row r="802" spans="1:17">
      <c r="A802" s="8476"/>
      <c r="B802" s="221"/>
      <c r="C802" s="222"/>
      <c r="D802" s="222"/>
      <c r="E802" s="222"/>
      <c r="F802" s="219"/>
      <c r="G802" s="219"/>
      <c r="H802" s="219"/>
      <c r="I802" s="219"/>
      <c r="J802" s="219"/>
      <c r="K802" s="223"/>
      <c r="L802" s="8487"/>
      <c r="M802" s="8487"/>
      <c r="N802" s="2441"/>
      <c r="O802" s="15"/>
      <c r="P802" s="15"/>
      <c r="Q802" s="15"/>
    </row>
    <row r="803" spans="1:17">
      <c r="A803" s="8476"/>
      <c r="B803" s="218"/>
      <c r="C803" s="219"/>
      <c r="D803" s="219"/>
      <c r="E803" s="219"/>
      <c r="F803" s="219"/>
      <c r="G803" s="219"/>
      <c r="H803" s="219"/>
      <c r="I803" s="219"/>
      <c r="J803" s="219"/>
      <c r="K803" s="219"/>
      <c r="L803" s="219"/>
      <c r="M803" s="219"/>
      <c r="N803" s="2441"/>
      <c r="O803" s="15"/>
      <c r="P803" s="15"/>
      <c r="Q803" s="15"/>
    </row>
    <row r="804" spans="1:17" ht="18">
      <c r="A804" s="8476"/>
      <c r="B804" s="218"/>
      <c r="C804" s="219"/>
      <c r="D804" s="219"/>
      <c r="E804" s="219"/>
      <c r="F804" s="224" t="s">
        <v>242</v>
      </c>
      <c r="G804" s="967" t="s">
        <v>214</v>
      </c>
      <c r="H804" s="967" t="s">
        <v>215</v>
      </c>
      <c r="I804" s="968" t="s">
        <v>216</v>
      </c>
      <c r="J804" s="967" t="s">
        <v>201</v>
      </c>
      <c r="K804" s="967" t="s">
        <v>303</v>
      </c>
      <c r="L804" s="219"/>
      <c r="M804" s="219"/>
      <c r="N804" s="2441"/>
      <c r="O804" s="15"/>
      <c r="P804" s="15"/>
      <c r="Q804" s="15"/>
    </row>
    <row r="805" spans="1:17" ht="18">
      <c r="A805" s="8476"/>
      <c r="B805" s="218"/>
      <c r="C805" s="219"/>
      <c r="D805" s="219"/>
      <c r="E805" s="219"/>
      <c r="F805" s="194" t="s">
        <v>317</v>
      </c>
      <c r="G805" s="2442">
        <v>0.05</v>
      </c>
      <c r="H805" s="2442">
        <v>0.08</v>
      </c>
      <c r="I805" s="2442">
        <v>0.11</v>
      </c>
      <c r="J805" s="2442">
        <v>0.125</v>
      </c>
      <c r="K805" s="2442">
        <v>7.0000000000000007E-2</v>
      </c>
      <c r="L805" s="196">
        <f>SUM(G805:K805)/COUNTIF(G805:K805,"&gt;0")</f>
        <v>8.6999999999999994E-2</v>
      </c>
      <c r="M805" s="193" t="s">
        <v>305</v>
      </c>
      <c r="N805" s="2441"/>
      <c r="O805" s="15"/>
      <c r="P805" s="15"/>
      <c r="Q805" s="15"/>
    </row>
    <row r="806" spans="1:17" ht="18.75">
      <c r="A806" s="8476"/>
      <c r="B806" s="218"/>
      <c r="C806" s="219"/>
      <c r="D806" s="219"/>
      <c r="E806" s="219"/>
      <c r="F806" s="197" t="s">
        <v>318</v>
      </c>
      <c r="G806" s="2443">
        <f>L801/G805</f>
        <v>47.999999999999993</v>
      </c>
      <c r="H806" s="2443">
        <f>L801/H805</f>
        <v>30</v>
      </c>
      <c r="I806" s="2443">
        <f>L801/I805</f>
        <v>21.818181818181817</v>
      </c>
      <c r="J806" s="2443">
        <f>L801/J805</f>
        <v>19.2</v>
      </c>
      <c r="K806" s="2443">
        <f>L801/K805</f>
        <v>34.285714285714285</v>
      </c>
      <c r="L806" s="73" t="s">
        <v>319</v>
      </c>
      <c r="M806" s="193"/>
      <c r="N806" s="2441"/>
      <c r="O806" s="15"/>
      <c r="P806" s="15"/>
      <c r="Q806" s="15"/>
    </row>
    <row r="807" spans="1:17" ht="18.75">
      <c r="A807" s="8476"/>
      <c r="B807" s="227" t="s">
        <v>66</v>
      </c>
      <c r="C807" s="228" t="s">
        <v>320</v>
      </c>
      <c r="D807" s="219"/>
      <c r="E807" s="219"/>
      <c r="F807" s="197"/>
      <c r="G807" s="2444"/>
      <c r="H807" s="2444"/>
      <c r="I807" s="2444"/>
      <c r="J807" s="2444"/>
      <c r="K807" s="2444"/>
      <c r="L807" s="73"/>
      <c r="M807" s="193"/>
      <c r="N807" s="2441"/>
      <c r="O807" s="15"/>
      <c r="P807" s="15"/>
      <c r="Q807" s="15"/>
    </row>
    <row r="808" spans="1:17">
      <c r="A808" s="8476"/>
      <c r="B808" s="8488" t="s">
        <v>321</v>
      </c>
      <c r="C808" s="8489"/>
      <c r="D808" s="8489"/>
      <c r="E808" s="8489"/>
      <c r="F808" s="8489"/>
      <c r="G808" s="8489"/>
      <c r="H808" s="8489"/>
      <c r="I808" s="8489"/>
      <c r="J808" s="8489"/>
      <c r="K808" s="8489"/>
      <c r="L808" s="8489"/>
      <c r="M808" s="8489"/>
      <c r="N808" s="8490"/>
      <c r="O808" s="15"/>
      <c r="P808" s="15"/>
      <c r="Q808" s="15"/>
    </row>
    <row r="809" spans="1:17" ht="15.75">
      <c r="A809" s="8476"/>
      <c r="B809" s="230"/>
      <c r="C809" s="231"/>
      <c r="D809" s="231"/>
      <c r="E809" s="231"/>
      <c r="F809" s="219"/>
      <c r="G809" s="219"/>
      <c r="H809" s="56"/>
      <c r="I809" s="56"/>
      <c r="J809" s="56"/>
      <c r="K809" s="56"/>
      <c r="L809" s="8491" t="s">
        <v>81</v>
      </c>
      <c r="M809" s="8491"/>
      <c r="N809" s="2441"/>
      <c r="O809" s="15"/>
      <c r="P809" s="15"/>
      <c r="Q809" s="15"/>
    </row>
    <row r="810" spans="1:17" ht="15.75">
      <c r="A810" s="8476"/>
      <c r="B810" s="230"/>
      <c r="C810" s="231"/>
      <c r="D810" s="231"/>
      <c r="E810" s="231"/>
      <c r="F810" s="219"/>
      <c r="G810" s="219"/>
      <c r="H810" s="56"/>
      <c r="I810" s="56"/>
      <c r="J810" s="56"/>
      <c r="K810" s="232" t="s">
        <v>302</v>
      </c>
      <c r="L810" s="8464" t="s">
        <v>43</v>
      </c>
      <c r="M810" s="8465"/>
      <c r="N810" s="2441"/>
      <c r="O810" s="15"/>
      <c r="P810" s="15"/>
      <c r="Q810" s="15"/>
    </row>
    <row r="811" spans="1:17" ht="18">
      <c r="A811" s="8476"/>
      <c r="B811" s="218"/>
      <c r="C811" s="219"/>
      <c r="D811" s="56"/>
      <c r="E811" s="56"/>
      <c r="F811" s="56"/>
      <c r="G811" s="56"/>
      <c r="H811" s="56"/>
      <c r="I811" s="56"/>
      <c r="J811" s="56"/>
      <c r="K811" s="56"/>
      <c r="L811" s="56"/>
      <c r="M811" s="193"/>
      <c r="N811" s="2441"/>
      <c r="O811" s="15"/>
      <c r="P811" s="15"/>
      <c r="Q811" s="15"/>
    </row>
    <row r="812" spans="1:17" ht="18.75">
      <c r="A812" s="8476"/>
      <c r="B812" s="218"/>
      <c r="C812" s="219"/>
      <c r="D812" s="219"/>
      <c r="E812" s="219"/>
      <c r="F812" s="191" t="s">
        <v>208</v>
      </c>
      <c r="G812" s="192">
        <v>50</v>
      </c>
      <c r="H812" s="192">
        <v>500</v>
      </c>
      <c r="I812" s="192">
        <v>150</v>
      </c>
      <c r="J812" s="192">
        <v>13</v>
      </c>
      <c r="K812" s="192">
        <v>13</v>
      </c>
      <c r="L812" s="56">
        <f>SUM(G812:K812)</f>
        <v>726</v>
      </c>
      <c r="M812" s="193" t="s">
        <v>209</v>
      </c>
      <c r="N812" s="2441"/>
      <c r="O812" s="15"/>
      <c r="P812" s="15"/>
      <c r="Q812" s="15"/>
    </row>
    <row r="813" spans="1:17" ht="18.75">
      <c r="A813" s="8476"/>
      <c r="B813" s="218"/>
      <c r="C813" s="219"/>
      <c r="D813" s="219"/>
      <c r="E813" s="219"/>
      <c r="F813" s="197" t="s">
        <v>322</v>
      </c>
      <c r="G813" s="2445">
        <f>G805*G812</f>
        <v>2.5</v>
      </c>
      <c r="H813" s="2445">
        <f>H805*H812</f>
        <v>40</v>
      </c>
      <c r="I813" s="2445">
        <f>I805*I812</f>
        <v>16.5</v>
      </c>
      <c r="J813" s="2445">
        <f>J805*J812</f>
        <v>1.625</v>
      </c>
      <c r="K813" s="2445">
        <f>K805*K812</f>
        <v>0.91000000000000014</v>
      </c>
      <c r="L813" s="56">
        <f>SUM(G813:K813)</f>
        <v>61.534999999999997</v>
      </c>
      <c r="M813" s="193" t="str">
        <f>L810</f>
        <v>Kg</v>
      </c>
      <c r="N813" s="2441"/>
      <c r="O813" s="15"/>
      <c r="P813" s="15"/>
      <c r="Q813" s="15"/>
    </row>
    <row r="814" spans="1:17">
      <c r="A814" s="8476"/>
      <c r="B814" s="218"/>
      <c r="C814" s="219"/>
      <c r="D814" s="219"/>
      <c r="E814" s="219"/>
      <c r="F814" s="219"/>
      <c r="G814" s="2428" t="str">
        <f>L810</f>
        <v>Kg</v>
      </c>
      <c r="H814" s="2428" t="str">
        <f>L810</f>
        <v>Kg</v>
      </c>
      <c r="I814" s="2428" t="str">
        <f>L810</f>
        <v>Kg</v>
      </c>
      <c r="J814" s="2428" t="str">
        <f>L810</f>
        <v>Kg</v>
      </c>
      <c r="K814" s="2428" t="str">
        <f>L810</f>
        <v>Kg</v>
      </c>
      <c r="L814" s="219"/>
      <c r="M814" s="233"/>
      <c r="N814" s="2441"/>
      <c r="O814" s="15"/>
      <c r="P814" s="15"/>
      <c r="Q814" s="15"/>
    </row>
    <row r="815" spans="1:17" ht="18">
      <c r="A815" s="8476"/>
      <c r="B815" s="94"/>
      <c r="C815" s="201" t="s">
        <v>211</v>
      </c>
      <c r="D815" s="202">
        <v>50</v>
      </c>
      <c r="E815" s="203" t="s">
        <v>84</v>
      </c>
      <c r="F815" s="32"/>
      <c r="G815" s="32"/>
      <c r="H815" s="219"/>
      <c r="I815" s="219"/>
      <c r="J815" s="219"/>
      <c r="K815" s="219"/>
      <c r="L815" s="219"/>
      <c r="M815" s="233"/>
      <c r="N815" s="2441"/>
      <c r="O815" s="15"/>
      <c r="P815" s="15"/>
      <c r="Q815" s="15"/>
    </row>
    <row r="816" spans="1:17" ht="18">
      <c r="A816" s="8476"/>
      <c r="B816" s="218"/>
      <c r="C816" s="219"/>
      <c r="D816" s="219"/>
      <c r="E816" s="219"/>
      <c r="F816" s="197" t="s">
        <v>220</v>
      </c>
      <c r="G816" s="2429">
        <f>G813/(100-D815)*100</f>
        <v>5</v>
      </c>
      <c r="H816" s="2429">
        <f>H813/(100-D815)*100</f>
        <v>80</v>
      </c>
      <c r="I816" s="2429">
        <f>I813/(100-D815)*100</f>
        <v>33</v>
      </c>
      <c r="J816" s="2429">
        <f>J813/(100-D815)*100</f>
        <v>3.25</v>
      </c>
      <c r="K816" s="2429">
        <f>K813/(100-D815)*100</f>
        <v>1.8200000000000005</v>
      </c>
      <c r="L816" s="56">
        <f>SUM(G816:K816)</f>
        <v>123.07000000000001</v>
      </c>
      <c r="M816" s="193" t="str">
        <f>L810</f>
        <v>Kg</v>
      </c>
      <c r="N816" s="2441"/>
      <c r="O816" s="15"/>
      <c r="P816" s="15"/>
      <c r="Q816" s="15"/>
    </row>
    <row r="817" spans="1:17" ht="18">
      <c r="A817" s="8476"/>
      <c r="B817" s="218"/>
      <c r="C817" s="219"/>
      <c r="D817" s="219"/>
      <c r="E817" s="219"/>
      <c r="F817" s="197"/>
      <c r="G817" s="2430" t="str">
        <f>L810</f>
        <v>Kg</v>
      </c>
      <c r="H817" s="2430" t="str">
        <f>L810</f>
        <v>Kg</v>
      </c>
      <c r="I817" s="2430" t="str">
        <f>L810</f>
        <v>Kg</v>
      </c>
      <c r="J817" s="2430" t="str">
        <f>L810</f>
        <v>Kg</v>
      </c>
      <c r="K817" s="2430" t="str">
        <f>L810</f>
        <v>Kg</v>
      </c>
      <c r="L817" s="56"/>
      <c r="M817" s="193"/>
      <c r="N817" s="2441"/>
      <c r="O817" s="15"/>
      <c r="P817" s="15"/>
      <c r="Q817" s="15"/>
    </row>
    <row r="818" spans="1:17" ht="15.75">
      <c r="A818" s="8476"/>
      <c r="B818" s="2446" t="s">
        <v>84</v>
      </c>
      <c r="C818" s="2438" t="s">
        <v>311</v>
      </c>
      <c r="D818" s="2447"/>
      <c r="E818" s="2447"/>
      <c r="F818" s="2447"/>
      <c r="G818" s="2447"/>
      <c r="H818" s="2447"/>
      <c r="I818" s="2447"/>
      <c r="J818" s="2447"/>
      <c r="K818" s="2447"/>
      <c r="L818" s="2447"/>
      <c r="M818" s="2447"/>
      <c r="N818" s="2448"/>
      <c r="O818" s="15"/>
      <c r="P818" s="15"/>
      <c r="Q818" s="15"/>
    </row>
    <row r="819" spans="1:17" ht="18.75">
      <c r="A819" s="8476"/>
      <c r="B819" s="235" t="s">
        <v>81</v>
      </c>
      <c r="C819" s="2449" t="s">
        <v>307</v>
      </c>
      <c r="D819" s="209"/>
      <c r="E819" s="209"/>
      <c r="F819" s="209"/>
      <c r="G819" s="209"/>
      <c r="H819" s="209"/>
      <c r="I819" s="209"/>
      <c r="J819" s="209"/>
      <c r="K819" s="209"/>
      <c r="L819" s="209"/>
      <c r="M819" s="209"/>
      <c r="N819" s="2435"/>
      <c r="O819" s="15"/>
      <c r="P819" s="15"/>
      <c r="Q819" s="15"/>
    </row>
    <row r="820" spans="1:17" ht="18.75">
      <c r="A820" s="8476"/>
      <c r="B820" s="211"/>
      <c r="C820" s="8464" t="s">
        <v>43</v>
      </c>
      <c r="D820" s="8465"/>
      <c r="E820" s="2436"/>
      <c r="F820" s="8464" t="s">
        <v>309</v>
      </c>
      <c r="G820" s="8465"/>
      <c r="H820" s="2436"/>
      <c r="I820" s="8464" t="s">
        <v>310</v>
      </c>
      <c r="J820" s="8465"/>
      <c r="K820" s="2436"/>
      <c r="L820" s="8464" t="s">
        <v>308</v>
      </c>
      <c r="M820" s="8465"/>
      <c r="N820" s="2437"/>
      <c r="O820" s="15"/>
      <c r="P820" s="15"/>
      <c r="Q820" s="15"/>
    </row>
    <row r="821" spans="1:17" ht="18.75">
      <c r="A821" s="8476"/>
      <c r="B821" s="211"/>
      <c r="C821" s="2436"/>
      <c r="D821" s="2436"/>
      <c r="E821" s="2436"/>
      <c r="F821" s="2436"/>
      <c r="G821" s="2436"/>
      <c r="H821" s="2436"/>
      <c r="I821" s="2436"/>
      <c r="J821" s="2436"/>
      <c r="K821" s="2436"/>
      <c r="L821" s="2436"/>
      <c r="M821" s="2436"/>
      <c r="N821" s="2437"/>
      <c r="O821" s="15"/>
      <c r="P821" s="15"/>
      <c r="Q821" s="15"/>
    </row>
    <row r="822" spans="1:17">
      <c r="A822" s="8476"/>
      <c r="B822" s="8466" t="s">
        <v>312</v>
      </c>
      <c r="C822" s="8467"/>
      <c r="D822" s="8467"/>
      <c r="E822" s="8467"/>
      <c r="F822" s="8467"/>
      <c r="G822" s="8467"/>
      <c r="H822" s="8467"/>
      <c r="I822" s="8467"/>
      <c r="J822" s="8467"/>
      <c r="K822" s="8467"/>
      <c r="L822" s="8467"/>
      <c r="M822" s="8467"/>
      <c r="N822" s="8468"/>
      <c r="O822" s="15"/>
      <c r="P822" s="15"/>
      <c r="Q822" s="15"/>
    </row>
    <row r="823" spans="1:17">
      <c r="A823" s="8476"/>
      <c r="B823" s="8469"/>
      <c r="C823" s="8470"/>
      <c r="D823" s="8470"/>
      <c r="E823" s="8470"/>
      <c r="F823" s="8470"/>
      <c r="G823" s="8470"/>
      <c r="H823" s="8470"/>
      <c r="I823" s="8470"/>
      <c r="J823" s="8470"/>
      <c r="K823" s="8470"/>
      <c r="L823" s="8470"/>
      <c r="M823" s="8470"/>
      <c r="N823" s="8471"/>
      <c r="O823" s="15"/>
      <c r="P823" s="15"/>
      <c r="Q823" s="15"/>
    </row>
    <row r="824" spans="1:17">
      <c r="A824" s="8476"/>
      <c r="B824" s="2439" t="s">
        <v>7</v>
      </c>
      <c r="C824" s="8472" t="str">
        <f ca="1">CELL("nomfichier")</f>
        <v>D:\Données\1.UPRT\0-UPRT.fait\1-UPRT.FR-SITE-WEB\ff-fiches-fabrications\ff.fiches.fabrication.2023\UPRT.23.aout\[ff-20-CHARCUTERIE-michel-Mariette.BOUDIN.BLANC_-1.xlsx]Exemples Michel Mariette</v>
      </c>
      <c r="D824" s="8472"/>
      <c r="E824" s="8472"/>
      <c r="F824" s="8472"/>
      <c r="G824" s="8472"/>
      <c r="H824" s="8472"/>
      <c r="I824" s="8472"/>
      <c r="J824" s="8472"/>
      <c r="K824" s="8472"/>
      <c r="L824" s="8472"/>
      <c r="M824" s="8472"/>
      <c r="N824" s="8473"/>
      <c r="O824" s="15"/>
      <c r="P824" s="15"/>
      <c r="Q824" s="15"/>
    </row>
    <row r="825" spans="1:17">
      <c r="A825" s="8476"/>
      <c r="B825" s="2440" t="s">
        <v>14</v>
      </c>
      <c r="C825" s="8474" t="s">
        <v>313</v>
      </c>
      <c r="D825" s="8474"/>
      <c r="E825" s="8474"/>
      <c r="F825" s="8474"/>
      <c r="G825" s="8474"/>
      <c r="H825" s="8474"/>
      <c r="I825" s="8474"/>
      <c r="J825" s="8474"/>
      <c r="K825" s="8474"/>
      <c r="L825" s="8474"/>
      <c r="M825" s="8474"/>
      <c r="N825" s="8475"/>
      <c r="O825" s="15"/>
      <c r="P825" s="15"/>
      <c r="Q825" s="15"/>
    </row>
    <row r="826" spans="1:17" ht="15.75" thickBot="1">
      <c r="A826" s="8476"/>
      <c r="B826" s="8459" t="s">
        <v>8</v>
      </c>
      <c r="C826" s="8460"/>
      <c r="D826" s="8460"/>
      <c r="E826" s="8460"/>
      <c r="F826" s="8460"/>
      <c r="G826" s="8460"/>
      <c r="H826" s="8460"/>
      <c r="I826" s="8460"/>
      <c r="J826" s="8460"/>
      <c r="K826" s="8460"/>
      <c r="L826" s="8460"/>
      <c r="M826" s="8460"/>
      <c r="N826" s="8461"/>
      <c r="O826" s="15"/>
      <c r="P826" s="15"/>
      <c r="Q826" s="15"/>
    </row>
    <row r="827" spans="1:17">
      <c r="A827" s="15"/>
      <c r="B827" s="14"/>
      <c r="C827" s="14"/>
      <c r="D827" s="14"/>
      <c r="E827" s="14"/>
      <c r="F827" s="14"/>
      <c r="G827" s="14"/>
      <c r="H827" s="14"/>
      <c r="I827" s="14"/>
      <c r="J827" s="14"/>
      <c r="K827" s="14"/>
      <c r="L827" s="14"/>
      <c r="M827" s="15"/>
      <c r="N827" s="15"/>
      <c r="O827" s="15"/>
      <c r="P827" s="15"/>
      <c r="Q827" s="15"/>
    </row>
    <row r="828" spans="1:17">
      <c r="A828" s="15"/>
      <c r="B828" s="14"/>
      <c r="C828" s="14"/>
      <c r="D828" s="14"/>
      <c r="E828" s="14"/>
      <c r="F828" s="14"/>
      <c r="G828" s="14"/>
      <c r="H828" s="14"/>
      <c r="I828" s="14"/>
      <c r="J828" s="14"/>
      <c r="K828" s="14"/>
      <c r="L828" s="14"/>
      <c r="M828" s="15"/>
      <c r="N828" s="15"/>
      <c r="O828" s="15"/>
      <c r="P828" s="15"/>
      <c r="Q828" s="15"/>
    </row>
    <row r="829" spans="1:17">
      <c r="A829" s="15"/>
      <c r="B829" s="14"/>
      <c r="C829" s="15"/>
      <c r="D829" s="15"/>
      <c r="E829" s="15"/>
      <c r="F829" s="15"/>
      <c r="G829" s="15"/>
      <c r="H829" s="15"/>
      <c r="I829" s="15"/>
      <c r="J829" s="15"/>
      <c r="K829" s="15"/>
      <c r="L829" s="15"/>
      <c r="M829" s="15"/>
      <c r="N829" s="15"/>
      <c r="O829" s="15"/>
      <c r="P829" s="15"/>
      <c r="Q829" s="15"/>
    </row>
    <row r="830" spans="1:17" ht="15" customHeight="1">
      <c r="A830" s="8462" t="s">
        <v>1303</v>
      </c>
      <c r="B830" s="8463"/>
      <c r="C830" s="8463"/>
      <c r="D830" s="8463"/>
      <c r="E830" s="8463"/>
      <c r="F830" s="8463"/>
      <c r="G830" s="8463"/>
      <c r="H830" s="8463"/>
      <c r="I830" s="8463"/>
      <c r="J830" s="8463"/>
      <c r="K830" s="8463"/>
      <c r="L830" s="8463"/>
      <c r="M830" s="8463"/>
      <c r="N830" s="8463"/>
      <c r="O830" s="8463"/>
      <c r="P830" s="8463"/>
      <c r="Q830" s="8463"/>
    </row>
    <row r="831" spans="1:17" ht="15.75" customHeight="1">
      <c r="A831" s="8462"/>
      <c r="B831" s="8463"/>
      <c r="C831" s="8463"/>
      <c r="D831" s="8463"/>
      <c r="E831" s="8463"/>
      <c r="F831" s="8463"/>
      <c r="G831" s="8463"/>
      <c r="H831" s="8463"/>
      <c r="I831" s="8463"/>
      <c r="J831" s="8463"/>
      <c r="K831" s="8463"/>
      <c r="L831" s="8463"/>
      <c r="M831" s="8463"/>
      <c r="N831" s="8463"/>
      <c r="O831" s="8463"/>
      <c r="P831" s="8463"/>
      <c r="Q831" s="8463"/>
    </row>
    <row r="832" spans="1:17" ht="20.100000000000001" customHeight="1">
      <c r="A832" s="15"/>
      <c r="B832" s="15"/>
      <c r="C832" s="15"/>
      <c r="D832" s="15"/>
      <c r="E832" s="15"/>
      <c r="F832" s="15"/>
      <c r="G832" s="15"/>
      <c r="H832" s="15"/>
      <c r="I832" s="15"/>
      <c r="J832" s="15"/>
      <c r="K832" s="15"/>
      <c r="L832" s="15"/>
      <c r="M832" s="15"/>
      <c r="N832" s="15"/>
      <c r="O832" s="15"/>
      <c r="P832" s="15"/>
      <c r="Q832" s="15"/>
    </row>
    <row r="833" spans="1:17" ht="20.100000000000001" customHeight="1">
      <c r="A833" s="15"/>
      <c r="B833" s="15"/>
      <c r="C833" s="15"/>
      <c r="D833" s="15"/>
      <c r="E833" s="260" t="s">
        <v>328</v>
      </c>
      <c r="F833" s="260"/>
      <c r="G833" s="260"/>
      <c r="H833" s="15"/>
      <c r="I833" s="15"/>
      <c r="J833" s="15"/>
      <c r="K833" s="15"/>
      <c r="L833" s="15"/>
      <c r="M833" s="15"/>
      <c r="N833" s="15"/>
      <c r="O833" s="15"/>
      <c r="P833" s="15"/>
      <c r="Q833" s="15"/>
    </row>
    <row r="834" spans="1:17" ht="20.100000000000001" customHeight="1">
      <c r="A834" s="15"/>
      <c r="B834" s="15"/>
      <c r="C834" s="15"/>
      <c r="D834" s="15"/>
      <c r="E834" s="260"/>
      <c r="F834" s="260" t="s">
        <v>329</v>
      </c>
      <c r="G834" s="260"/>
      <c r="H834" s="15"/>
      <c r="I834" s="15"/>
      <c r="J834" s="15"/>
      <c r="K834" s="15"/>
      <c r="L834" s="15"/>
      <c r="M834" s="15"/>
      <c r="N834" s="15"/>
      <c r="O834" s="15"/>
      <c r="P834" s="15"/>
      <c r="Q834" s="15"/>
    </row>
    <row r="835" spans="1:17" ht="20.100000000000001" customHeight="1">
      <c r="A835" s="15"/>
      <c r="B835" s="15"/>
      <c r="C835" s="15"/>
      <c r="D835" s="15"/>
      <c r="E835" s="260"/>
      <c r="F835" s="260" t="s">
        <v>330</v>
      </c>
      <c r="G835" s="260"/>
      <c r="H835" s="15"/>
      <c r="I835" s="15"/>
      <c r="J835" s="15"/>
      <c r="K835" s="15"/>
      <c r="L835" s="15"/>
      <c r="M835" s="15"/>
      <c r="N835" s="15"/>
      <c r="O835" s="15"/>
      <c r="P835" s="15"/>
      <c r="Q835" s="15"/>
    </row>
    <row r="836" spans="1:17" ht="20.100000000000001" customHeight="1">
      <c r="A836" s="15"/>
      <c r="B836" s="15"/>
      <c r="C836" s="15"/>
      <c r="D836" s="15"/>
      <c r="E836" s="260"/>
      <c r="F836" s="260" t="s">
        <v>331</v>
      </c>
      <c r="G836" s="260"/>
      <c r="H836" s="15"/>
      <c r="I836" s="15"/>
      <c r="J836" s="15"/>
      <c r="K836" s="15"/>
      <c r="L836" s="15"/>
      <c r="M836" s="15"/>
      <c r="N836" s="15"/>
      <c r="O836" s="15"/>
      <c r="P836" s="15"/>
      <c r="Q836" s="15"/>
    </row>
    <row r="837" spans="1:17" ht="20.100000000000001" customHeight="1">
      <c r="A837" s="15"/>
      <c r="B837" s="15"/>
      <c r="C837" s="15"/>
      <c r="D837" s="15"/>
      <c r="E837" s="15"/>
      <c r="F837" s="260" t="s">
        <v>332</v>
      </c>
      <c r="G837" s="15"/>
      <c r="H837" s="15"/>
      <c r="I837" s="15"/>
      <c r="J837" s="15"/>
      <c r="K837" s="15"/>
      <c r="L837" s="15"/>
      <c r="M837" s="15"/>
      <c r="N837" s="15"/>
      <c r="O837" s="15"/>
      <c r="P837" s="15"/>
      <c r="Q837" s="15"/>
    </row>
    <row r="838" spans="1:17" ht="20.100000000000001" customHeight="1">
      <c r="A838" s="15"/>
      <c r="B838" s="15"/>
      <c r="C838" s="15"/>
      <c r="D838" s="15"/>
      <c r="E838" s="260" t="s">
        <v>333</v>
      </c>
      <c r="F838" s="15"/>
      <c r="G838" s="15"/>
      <c r="H838" s="15"/>
      <c r="I838" s="15"/>
      <c r="J838" s="15"/>
      <c r="K838" s="15"/>
      <c r="L838" s="15"/>
      <c r="M838" s="15"/>
      <c r="N838" s="15"/>
      <c r="O838" s="15"/>
      <c r="P838" s="15"/>
      <c r="Q838" s="15"/>
    </row>
    <row r="839" spans="1:17" ht="20.100000000000001" customHeight="1">
      <c r="A839" s="15"/>
      <c r="B839" s="15"/>
      <c r="C839" s="15"/>
      <c r="D839" s="15"/>
      <c r="E839" s="15"/>
      <c r="F839" s="15"/>
      <c r="G839" s="15"/>
      <c r="H839" s="15"/>
      <c r="I839" s="15"/>
      <c r="J839" s="15"/>
      <c r="K839" s="15"/>
      <c r="L839" s="15"/>
      <c r="M839" s="15"/>
      <c r="N839" s="15"/>
      <c r="O839" s="15"/>
      <c r="P839" s="15"/>
      <c r="Q839" s="15"/>
    </row>
    <row r="840" spans="1:17" ht="20.100000000000001" customHeight="1">
      <c r="A840" s="15"/>
      <c r="B840" s="15"/>
      <c r="C840" s="15"/>
      <c r="D840" s="15"/>
      <c r="E840" s="15"/>
      <c r="F840" s="15"/>
      <c r="G840" s="15"/>
      <c r="H840" s="15"/>
      <c r="I840" s="15"/>
      <c r="J840" s="15"/>
      <c r="K840" s="15"/>
      <c r="L840" s="15"/>
      <c r="M840" s="15"/>
      <c r="N840" s="15"/>
      <c r="O840" s="15"/>
      <c r="P840" s="15"/>
      <c r="Q840" s="15"/>
    </row>
    <row r="841" spans="1:17" ht="20.100000000000001" customHeight="1">
      <c r="A841" s="15"/>
      <c r="B841" s="15"/>
      <c r="C841" s="15"/>
      <c r="D841" s="15"/>
      <c r="E841" s="15"/>
      <c r="F841" s="15"/>
      <c r="G841" s="15"/>
      <c r="H841" s="15"/>
      <c r="I841" s="15"/>
      <c r="J841" s="15"/>
      <c r="K841" s="15"/>
      <c r="L841" s="15"/>
      <c r="M841" s="15"/>
      <c r="N841" s="15"/>
      <c r="O841" s="15"/>
      <c r="P841" s="15"/>
      <c r="Q841" s="15"/>
    </row>
    <row r="842" spans="1:17" ht="20.100000000000001" customHeight="1">
      <c r="A842" s="15"/>
      <c r="B842" s="15"/>
      <c r="C842" s="15"/>
      <c r="D842" s="15"/>
      <c r="E842" s="15"/>
      <c r="F842" s="15"/>
      <c r="G842" s="15"/>
      <c r="H842" s="15"/>
      <c r="I842" s="15"/>
      <c r="J842" s="15"/>
      <c r="K842" s="15"/>
      <c r="L842" s="15"/>
      <c r="M842" s="15"/>
      <c r="N842" s="15"/>
      <c r="O842" s="15"/>
      <c r="P842" s="15"/>
      <c r="Q842" s="15"/>
    </row>
    <row r="843" spans="1:17" ht="20.100000000000001" customHeight="1">
      <c r="A843" s="15"/>
      <c r="B843" s="15"/>
      <c r="C843" s="261" t="s">
        <v>334</v>
      </c>
      <c r="D843" s="261"/>
      <c r="E843" s="261"/>
      <c r="F843" s="261"/>
      <c r="G843" s="261"/>
      <c r="H843" s="261"/>
      <c r="I843" s="261" t="s">
        <v>335</v>
      </c>
      <c r="J843" s="15"/>
      <c r="K843" s="15"/>
      <c r="L843" s="15"/>
      <c r="M843" s="15"/>
      <c r="N843" s="15"/>
      <c r="O843" s="15"/>
      <c r="P843" s="15"/>
      <c r="Q843" s="15"/>
    </row>
    <row r="844" spans="1:17" ht="20.100000000000001" customHeight="1">
      <c r="A844" s="15"/>
      <c r="B844" s="15"/>
      <c r="C844" s="15"/>
      <c r="D844" s="15"/>
      <c r="E844" s="15"/>
      <c r="F844" s="15"/>
      <c r="G844" s="15"/>
      <c r="H844" s="15"/>
      <c r="I844" s="15"/>
      <c r="J844" s="15"/>
      <c r="K844" s="15"/>
      <c r="L844" s="15"/>
      <c r="M844" s="15"/>
      <c r="N844" s="15"/>
      <c r="O844" s="15"/>
      <c r="P844" s="15"/>
      <c r="Q844" s="15"/>
    </row>
    <row r="845" spans="1:17" ht="20.100000000000001" customHeight="1">
      <c r="A845" s="15"/>
      <c r="B845" s="15"/>
      <c r="C845" s="15"/>
      <c r="D845" s="261" t="s">
        <v>336</v>
      </c>
      <c r="E845" s="15"/>
      <c r="F845" s="15"/>
      <c r="G845" s="15"/>
      <c r="H845" s="15"/>
      <c r="I845" s="261"/>
      <c r="J845" s="15"/>
      <c r="K845" s="15"/>
      <c r="L845" s="15"/>
      <c r="M845" s="15"/>
      <c r="N845" s="15"/>
      <c r="O845" s="15"/>
      <c r="P845" s="15"/>
      <c r="Q845" s="15"/>
    </row>
    <row r="846" spans="1:17" ht="20.100000000000001" customHeight="1">
      <c r="A846" s="15"/>
      <c r="B846" s="15"/>
      <c r="C846" s="15"/>
      <c r="D846" s="261" t="s">
        <v>337</v>
      </c>
      <c r="E846" s="15"/>
      <c r="F846" s="15"/>
      <c r="G846" s="15"/>
      <c r="H846" s="262" t="s">
        <v>338</v>
      </c>
      <c r="I846" s="261"/>
      <c r="J846" s="15"/>
      <c r="K846" s="15"/>
      <c r="L846" s="15"/>
      <c r="M846" s="15"/>
      <c r="N846" s="15"/>
      <c r="O846" s="15"/>
      <c r="P846" s="15"/>
      <c r="Q846" s="15"/>
    </row>
    <row r="847" spans="1:17" ht="20.100000000000001" customHeight="1">
      <c r="A847" s="15"/>
      <c r="B847" s="15"/>
      <c r="C847" s="15"/>
      <c r="D847" s="261" t="s">
        <v>339</v>
      </c>
      <c r="E847" s="15"/>
      <c r="F847" s="15"/>
      <c r="G847" s="15"/>
      <c r="H847" s="263"/>
      <c r="I847" s="263" t="s">
        <v>340</v>
      </c>
      <c r="J847" s="15"/>
      <c r="K847" s="15"/>
      <c r="L847" s="15"/>
      <c r="M847" s="15"/>
      <c r="N847" s="15"/>
      <c r="O847" s="15"/>
      <c r="P847" s="15"/>
      <c r="Q847" s="15"/>
    </row>
    <row r="848" spans="1:17" ht="20.100000000000001" customHeight="1">
      <c r="A848" s="15"/>
      <c r="B848" s="15"/>
      <c r="C848" s="15"/>
      <c r="D848" s="261" t="s">
        <v>338</v>
      </c>
      <c r="E848" s="15"/>
      <c r="F848" s="15"/>
      <c r="G848" s="15"/>
      <c r="H848" s="263"/>
      <c r="I848" s="263" t="s">
        <v>341</v>
      </c>
      <c r="J848" s="15"/>
      <c r="K848" s="15"/>
      <c r="L848" s="15"/>
      <c r="M848" s="15"/>
      <c r="N848" s="15"/>
      <c r="O848" s="15"/>
      <c r="P848" s="15"/>
      <c r="Q848" s="15"/>
    </row>
    <row r="849" spans="1:17" ht="20.100000000000001" customHeight="1">
      <c r="A849" s="15"/>
      <c r="B849" s="15"/>
      <c r="C849" s="15"/>
      <c r="D849" s="261" t="s">
        <v>342</v>
      </c>
      <c r="E849" s="15"/>
      <c r="F849" s="15"/>
      <c r="G849" s="15"/>
      <c r="H849" s="262" t="s">
        <v>343</v>
      </c>
      <c r="I849" s="15"/>
      <c r="J849" s="15"/>
      <c r="K849" s="15"/>
      <c r="L849" s="15"/>
      <c r="M849" s="15"/>
      <c r="N849" s="15"/>
      <c r="O849" s="15"/>
      <c r="P849" s="15"/>
      <c r="Q849" s="15"/>
    </row>
    <row r="850" spans="1:17" ht="20.100000000000001" customHeight="1">
      <c r="A850" s="15"/>
      <c r="B850" s="15"/>
      <c r="C850" s="15"/>
      <c r="D850" s="261" t="s">
        <v>344</v>
      </c>
      <c r="E850" s="15"/>
      <c r="F850" s="15"/>
      <c r="G850" s="15"/>
      <c r="H850" s="263"/>
      <c r="I850" s="263" t="s">
        <v>345</v>
      </c>
      <c r="J850" s="15"/>
      <c r="K850" s="15"/>
      <c r="L850" s="261"/>
      <c r="M850" s="15"/>
      <c r="N850" s="15"/>
      <c r="O850" s="15"/>
      <c r="P850" s="15"/>
      <c r="Q850" s="15"/>
    </row>
    <row r="851" spans="1:17" ht="20.100000000000001" customHeight="1">
      <c r="A851" s="15"/>
      <c r="B851" s="15"/>
      <c r="C851" s="15"/>
      <c r="D851" s="15"/>
      <c r="E851" s="15"/>
      <c r="F851" s="15"/>
      <c r="G851" s="15"/>
      <c r="H851" s="262" t="s">
        <v>346</v>
      </c>
      <c r="I851" s="261"/>
      <c r="J851" s="261"/>
      <c r="K851" s="15"/>
      <c r="L851" s="261"/>
      <c r="M851" s="15"/>
      <c r="N851" s="15"/>
      <c r="O851" s="15"/>
      <c r="P851" s="15"/>
      <c r="Q851" s="15"/>
    </row>
    <row r="852" spans="1:17" ht="20.100000000000001" customHeight="1">
      <c r="A852" s="15"/>
      <c r="B852" s="15"/>
      <c r="C852" s="15"/>
      <c r="D852" s="261" t="s">
        <v>347</v>
      </c>
      <c r="E852" s="15"/>
      <c r="F852" s="15"/>
      <c r="G852" s="15"/>
      <c r="H852" s="263"/>
      <c r="I852" s="263" t="s">
        <v>348</v>
      </c>
      <c r="J852" s="263"/>
      <c r="K852" s="15"/>
      <c r="L852" s="261"/>
      <c r="M852" s="15"/>
      <c r="N852" s="15"/>
      <c r="O852" s="15"/>
      <c r="P852" s="15"/>
      <c r="Q852" s="15"/>
    </row>
    <row r="853" spans="1:17" ht="20.100000000000001" customHeight="1">
      <c r="A853" s="15"/>
      <c r="B853" s="15"/>
      <c r="C853" s="15"/>
      <c r="D853" s="261" t="s">
        <v>337</v>
      </c>
      <c r="E853" s="15"/>
      <c r="F853" s="15"/>
      <c r="G853" s="15"/>
      <c r="H853" s="262" t="s">
        <v>349</v>
      </c>
      <c r="I853" s="261"/>
      <c r="J853" s="15"/>
      <c r="K853" s="15"/>
      <c r="L853" s="261"/>
      <c r="M853" s="15"/>
      <c r="N853" s="15"/>
      <c r="O853" s="15"/>
      <c r="P853" s="15"/>
      <c r="Q853" s="15"/>
    </row>
    <row r="854" spans="1:17" ht="20.100000000000001" customHeight="1">
      <c r="A854" s="15"/>
      <c r="B854" s="15"/>
      <c r="C854" s="15"/>
      <c r="D854" s="261" t="s">
        <v>339</v>
      </c>
      <c r="E854" s="15"/>
      <c r="F854" s="15"/>
      <c r="G854" s="15"/>
      <c r="H854" s="263"/>
      <c r="I854" s="263" t="s">
        <v>350</v>
      </c>
      <c r="J854" s="15"/>
      <c r="K854" s="15"/>
      <c r="L854" s="261"/>
      <c r="M854" s="15"/>
      <c r="N854" s="15"/>
      <c r="O854" s="15"/>
      <c r="P854" s="15"/>
      <c r="Q854" s="15"/>
    </row>
    <row r="855" spans="1:17" ht="20.100000000000001" customHeight="1">
      <c r="A855" s="15"/>
      <c r="B855" s="15"/>
      <c r="C855" s="15"/>
      <c r="D855" s="261" t="s">
        <v>338</v>
      </c>
      <c r="E855" s="15"/>
      <c r="F855" s="15"/>
      <c r="G855" s="15"/>
      <c r="H855" s="262" t="s">
        <v>351</v>
      </c>
      <c r="I855" s="261"/>
      <c r="J855" s="15"/>
      <c r="K855" s="15"/>
      <c r="L855" s="261"/>
      <c r="M855" s="15"/>
      <c r="N855" s="15"/>
      <c r="O855" s="15"/>
      <c r="P855" s="15"/>
      <c r="Q855" s="15"/>
    </row>
    <row r="856" spans="1:17" ht="20.100000000000001" customHeight="1">
      <c r="A856" s="15"/>
      <c r="B856" s="15"/>
      <c r="C856" s="15"/>
      <c r="D856" s="261" t="s">
        <v>342</v>
      </c>
      <c r="E856" s="15"/>
      <c r="F856" s="15"/>
      <c r="G856" s="15"/>
      <c r="H856" s="263"/>
      <c r="I856" s="263" t="s">
        <v>352</v>
      </c>
      <c r="J856" s="15"/>
      <c r="K856" s="15"/>
      <c r="L856" s="261"/>
      <c r="M856" s="15"/>
      <c r="N856" s="15"/>
      <c r="O856" s="15"/>
      <c r="P856" s="15"/>
      <c r="Q856" s="15"/>
    </row>
    <row r="857" spans="1:17" ht="20.100000000000001" customHeight="1">
      <c r="A857" s="15"/>
      <c r="B857" s="15"/>
      <c r="C857" s="15"/>
      <c r="D857" s="261" t="s">
        <v>344</v>
      </c>
      <c r="E857" s="15"/>
      <c r="F857" s="15"/>
      <c r="G857" s="15"/>
      <c r="H857" s="262" t="s">
        <v>353</v>
      </c>
      <c r="I857" s="261"/>
      <c r="J857" s="15"/>
      <c r="K857" s="15"/>
      <c r="L857" s="15"/>
      <c r="M857" s="15"/>
      <c r="N857" s="15"/>
      <c r="O857" s="15"/>
      <c r="P857" s="15"/>
      <c r="Q857" s="15"/>
    </row>
    <row r="858" spans="1:17" ht="20.100000000000001" customHeight="1">
      <c r="A858" s="15"/>
      <c r="B858" s="15"/>
      <c r="C858" s="15"/>
      <c r="D858" s="261"/>
      <c r="E858" s="15"/>
      <c r="F858" s="15"/>
      <c r="G858" s="15"/>
      <c r="H858" s="263"/>
      <c r="I858" s="263" t="s">
        <v>354</v>
      </c>
      <c r="J858" s="15"/>
      <c r="K858" s="15"/>
      <c r="L858" s="261"/>
      <c r="M858" s="15"/>
      <c r="N858" s="15"/>
      <c r="O858" s="15"/>
      <c r="P858" s="15"/>
      <c r="Q858" s="15"/>
    </row>
    <row r="859" spans="1:17" ht="20.100000000000001" customHeight="1">
      <c r="A859" s="15"/>
      <c r="B859" s="15"/>
      <c r="C859" s="15"/>
      <c r="D859" s="261" t="s">
        <v>355</v>
      </c>
      <c r="E859" s="15"/>
      <c r="F859" s="15"/>
      <c r="G859" s="15"/>
      <c r="H859" s="263"/>
      <c r="I859" s="263" t="s">
        <v>356</v>
      </c>
      <c r="J859" s="15"/>
      <c r="K859" s="15"/>
      <c r="L859" s="15"/>
      <c r="M859" s="15"/>
      <c r="N859" s="15"/>
      <c r="O859" s="15"/>
      <c r="P859" s="15"/>
      <c r="Q859" s="15"/>
    </row>
    <row r="860" spans="1:17" ht="20.100000000000001" customHeight="1">
      <c r="A860" s="15"/>
      <c r="B860" s="15"/>
      <c r="C860" s="15"/>
      <c r="D860" s="261" t="s">
        <v>337</v>
      </c>
      <c r="E860" s="15"/>
      <c r="F860" s="15"/>
      <c r="G860" s="15"/>
      <c r="H860" s="263"/>
      <c r="I860" s="263" t="s">
        <v>357</v>
      </c>
      <c r="J860" s="15"/>
      <c r="K860" s="15"/>
      <c r="L860" s="15"/>
      <c r="M860" s="15"/>
      <c r="N860" s="15"/>
      <c r="O860" s="15"/>
      <c r="P860" s="15"/>
      <c r="Q860" s="15"/>
    </row>
    <row r="861" spans="1:17" ht="20.100000000000001" customHeight="1">
      <c r="A861" s="15"/>
      <c r="B861" s="15"/>
      <c r="C861" s="15"/>
      <c r="D861" s="261" t="s">
        <v>339</v>
      </c>
      <c r="E861" s="15"/>
      <c r="F861" s="15"/>
      <c r="G861" s="15"/>
      <c r="H861" s="263"/>
      <c r="I861" s="263" t="s">
        <v>358</v>
      </c>
      <c r="J861" s="15"/>
      <c r="K861" s="15"/>
      <c r="L861" s="15"/>
      <c r="M861" s="15"/>
      <c r="N861" s="15"/>
      <c r="O861" s="15"/>
      <c r="P861" s="15"/>
      <c r="Q861" s="15"/>
    </row>
    <row r="862" spans="1:17" ht="20.100000000000001" customHeight="1">
      <c r="A862" s="15"/>
      <c r="B862" s="15"/>
      <c r="C862" s="15"/>
      <c r="D862" s="261" t="s">
        <v>338</v>
      </c>
      <c r="E862" s="15"/>
      <c r="F862" s="15"/>
      <c r="G862" s="15"/>
      <c r="H862" s="15"/>
      <c r="I862" s="15"/>
      <c r="J862" s="15"/>
      <c r="K862" s="15"/>
      <c r="L862" s="15"/>
      <c r="M862" s="15"/>
      <c r="N862" s="15"/>
      <c r="O862" s="15"/>
      <c r="P862" s="15"/>
      <c r="Q862" s="15"/>
    </row>
    <row r="863" spans="1:17" ht="20.100000000000001" customHeight="1">
      <c r="A863" s="15"/>
      <c r="B863" s="15"/>
      <c r="C863" s="15"/>
      <c r="D863" s="264" t="s">
        <v>359</v>
      </c>
      <c r="E863" s="264"/>
      <c r="F863" s="15"/>
      <c r="G863" s="15"/>
      <c r="H863" s="15"/>
      <c r="I863" s="15"/>
      <c r="J863" s="15"/>
      <c r="K863" s="15"/>
      <c r="L863" s="15"/>
      <c r="M863" s="15"/>
      <c r="N863" s="15"/>
      <c r="O863" s="15"/>
      <c r="P863" s="15"/>
      <c r="Q863" s="15"/>
    </row>
    <row r="864" spans="1:17" ht="20.100000000000001" customHeight="1">
      <c r="A864" s="15"/>
      <c r="B864" s="15"/>
      <c r="C864" s="15"/>
      <c r="D864" s="261" t="s">
        <v>342</v>
      </c>
      <c r="E864" s="15"/>
      <c r="F864" s="15"/>
      <c r="G864" s="15"/>
      <c r="H864" s="15"/>
      <c r="I864" s="15"/>
      <c r="J864" s="15"/>
      <c r="K864" s="15"/>
      <c r="L864" s="15"/>
      <c r="M864" s="15"/>
      <c r="N864" s="15"/>
      <c r="O864" s="15"/>
      <c r="P864" s="15"/>
      <c r="Q864" s="15"/>
    </row>
    <row r="865" spans="1:17" ht="20.100000000000001" customHeight="1">
      <c r="A865" s="15"/>
      <c r="B865" s="15"/>
      <c r="C865" s="15"/>
      <c r="D865" s="261" t="s">
        <v>344</v>
      </c>
      <c r="E865" s="15"/>
      <c r="F865" s="15"/>
      <c r="G865" s="15"/>
      <c r="H865" s="15"/>
      <c r="I865" s="15"/>
      <c r="J865" s="15"/>
      <c r="K865" s="15"/>
      <c r="L865" s="15"/>
      <c r="M865" s="15"/>
      <c r="N865" s="15"/>
      <c r="O865" s="15"/>
      <c r="P865" s="15"/>
      <c r="Q865" s="15"/>
    </row>
    <row r="866" spans="1:17" ht="20.100000000000001" customHeight="1">
      <c r="A866" s="15"/>
      <c r="B866" s="15"/>
      <c r="C866" s="15"/>
      <c r="D866" s="261"/>
      <c r="E866" s="15"/>
      <c r="F866" s="15"/>
      <c r="G866" s="15"/>
      <c r="H866" s="15"/>
      <c r="I866" s="15"/>
      <c r="J866" s="15"/>
      <c r="K866" s="15"/>
      <c r="L866" s="15"/>
      <c r="M866" s="15"/>
      <c r="N866" s="15"/>
      <c r="O866" s="15"/>
      <c r="P866" s="15"/>
      <c r="Q866" s="15"/>
    </row>
    <row r="867" spans="1:17" ht="20.100000000000001" customHeight="1">
      <c r="A867" s="15"/>
      <c r="B867" s="15"/>
      <c r="C867" s="15"/>
      <c r="D867" s="261" t="s">
        <v>360</v>
      </c>
      <c r="E867" s="15"/>
      <c r="F867" s="15"/>
      <c r="G867" s="15"/>
      <c r="H867" s="15"/>
      <c r="I867" s="15"/>
      <c r="J867" s="15"/>
      <c r="K867" s="15"/>
      <c r="L867" s="15"/>
      <c r="M867" s="15"/>
      <c r="N867" s="15"/>
      <c r="O867" s="15"/>
      <c r="P867" s="15"/>
      <c r="Q867" s="15"/>
    </row>
    <row r="868" spans="1:17" ht="20.100000000000001" customHeight="1">
      <c r="A868" s="15"/>
      <c r="B868" s="15"/>
      <c r="C868" s="15"/>
      <c r="D868" s="261" t="s">
        <v>337</v>
      </c>
      <c r="E868" s="15"/>
      <c r="F868" s="15"/>
      <c r="G868" s="15"/>
      <c r="H868" s="15"/>
      <c r="I868" s="15"/>
      <c r="J868" s="15"/>
      <c r="K868" s="15"/>
      <c r="L868" s="15"/>
      <c r="M868" s="15"/>
      <c r="N868" s="15"/>
      <c r="O868" s="15"/>
      <c r="P868" s="15"/>
      <c r="Q868" s="15"/>
    </row>
    <row r="869" spans="1:17" ht="20.100000000000001" customHeight="1">
      <c r="A869" s="15"/>
      <c r="B869" s="15"/>
      <c r="C869" s="15"/>
      <c r="D869" s="261" t="s">
        <v>339</v>
      </c>
      <c r="E869" s="15"/>
      <c r="F869" s="15"/>
      <c r="G869" s="15"/>
      <c r="H869" s="15"/>
      <c r="I869" s="15"/>
      <c r="J869" s="15"/>
      <c r="K869" s="15"/>
      <c r="L869" s="15"/>
      <c r="M869" s="15"/>
      <c r="N869" s="15"/>
      <c r="O869" s="15"/>
      <c r="P869" s="15"/>
      <c r="Q869" s="15"/>
    </row>
    <row r="870" spans="1:17" ht="20.100000000000001" customHeight="1">
      <c r="A870" s="15"/>
      <c r="B870" s="15"/>
      <c r="C870" s="15"/>
      <c r="D870" s="261" t="s">
        <v>338</v>
      </c>
      <c r="E870" s="15"/>
      <c r="F870" s="15"/>
      <c r="G870" s="15"/>
      <c r="H870" s="15"/>
      <c r="I870" s="15"/>
      <c r="J870" s="15"/>
      <c r="K870" s="15"/>
      <c r="L870" s="15"/>
      <c r="M870" s="15"/>
      <c r="N870" s="15"/>
      <c r="O870" s="15"/>
      <c r="P870" s="15"/>
      <c r="Q870" s="15"/>
    </row>
    <row r="871" spans="1:17" ht="20.100000000000001" customHeight="1">
      <c r="A871" s="15"/>
      <c r="B871" s="15"/>
      <c r="C871" s="15"/>
      <c r="D871" s="261" t="s">
        <v>342</v>
      </c>
      <c r="E871" s="15"/>
      <c r="F871" s="15"/>
      <c r="G871" s="15"/>
      <c r="H871" s="15"/>
      <c r="I871" s="15"/>
      <c r="J871" s="15"/>
      <c r="K871" s="15"/>
      <c r="L871" s="15"/>
      <c r="M871" s="15"/>
      <c r="N871" s="15"/>
      <c r="O871" s="15"/>
      <c r="P871" s="15"/>
      <c r="Q871" s="15"/>
    </row>
    <row r="872" spans="1:17" ht="20.100000000000001" customHeight="1">
      <c r="A872" s="15"/>
      <c r="B872" s="15"/>
      <c r="C872" s="15"/>
      <c r="D872" s="261" t="s">
        <v>344</v>
      </c>
      <c r="E872" s="15"/>
      <c r="F872" s="15"/>
      <c r="G872" s="15"/>
      <c r="H872" s="15"/>
      <c r="I872" s="15"/>
      <c r="J872" s="15"/>
      <c r="K872" s="15"/>
      <c r="L872" s="15"/>
      <c r="M872" s="15"/>
      <c r="N872" s="15"/>
      <c r="O872" s="15"/>
      <c r="P872" s="15"/>
      <c r="Q872" s="15"/>
    </row>
    <row r="873" spans="1:17" ht="20.100000000000001" customHeight="1">
      <c r="A873" s="15"/>
      <c r="B873" s="15"/>
      <c r="C873" s="15"/>
      <c r="D873" s="261"/>
      <c r="E873" s="15"/>
      <c r="F873" s="15"/>
      <c r="G873" s="15"/>
      <c r="H873" s="15"/>
      <c r="I873" s="15"/>
      <c r="J873" s="15"/>
      <c r="K873" s="15"/>
      <c r="L873" s="15"/>
      <c r="M873" s="15"/>
      <c r="N873" s="15"/>
      <c r="O873" s="15"/>
      <c r="P873" s="15"/>
      <c r="Q873" s="15"/>
    </row>
    <row r="874" spans="1:17" s="32" customFormat="1">
      <c r="A874" s="219"/>
      <c r="B874" s="278"/>
      <c r="C874" s="278"/>
      <c r="D874" s="278"/>
      <c r="E874" s="278"/>
      <c r="F874" s="278"/>
      <c r="G874" s="278"/>
      <c r="H874" s="278"/>
      <c r="I874" s="278"/>
      <c r="J874" s="278"/>
      <c r="K874" s="278"/>
      <c r="L874" s="278"/>
      <c r="M874" s="278"/>
      <c r="N874" s="278"/>
      <c r="O874" s="278"/>
      <c r="P874" s="278"/>
      <c r="Q874" s="278"/>
    </row>
    <row r="875" spans="1:17" s="32" customFormat="1" ht="18">
      <c r="A875" s="15"/>
      <c r="B875" s="14"/>
      <c r="C875" s="604" t="s">
        <v>1129</v>
      </c>
      <c r="D875" s="14"/>
      <c r="E875" s="14"/>
      <c r="F875" s="14"/>
      <c r="G875" s="14"/>
      <c r="H875" s="14"/>
      <c r="I875" s="14"/>
      <c r="J875" s="14"/>
      <c r="K875" s="14"/>
      <c r="L875" s="14"/>
      <c r="M875" s="14"/>
      <c r="N875" s="14"/>
      <c r="O875" s="14"/>
      <c r="P875" s="14"/>
      <c r="Q875" s="14"/>
    </row>
    <row r="876" spans="1:17" s="32" customFormat="1">
      <c r="A876" s="15"/>
      <c r="B876" s="14"/>
      <c r="C876" s="14"/>
      <c r="D876" s="14"/>
      <c r="E876" s="14"/>
      <c r="F876" s="14"/>
      <c r="G876" s="14"/>
      <c r="H876" s="14"/>
      <c r="I876" s="14"/>
      <c r="J876" s="14"/>
      <c r="K876" s="14"/>
      <c r="L876" s="14"/>
      <c r="M876" s="15"/>
      <c r="N876" s="15"/>
      <c r="O876" s="15"/>
      <c r="P876" s="15"/>
      <c r="Q876" s="15"/>
    </row>
    <row r="877" spans="1:17" ht="18">
      <c r="A877" s="1"/>
      <c r="B877" s="1"/>
      <c r="C877" s="604" t="s">
        <v>1130</v>
      </c>
      <c r="D877" s="1"/>
      <c r="E877" s="1"/>
      <c r="F877" s="1"/>
      <c r="G877" s="1"/>
      <c r="H877" s="1"/>
      <c r="I877" s="1"/>
      <c r="J877" s="1"/>
      <c r="K877" s="1"/>
      <c r="L877" s="1"/>
      <c r="M877" s="1"/>
      <c r="N877" s="1"/>
      <c r="O877" s="1"/>
      <c r="P877" s="1"/>
      <c r="Q877" s="1"/>
    </row>
    <row r="878" spans="1:17">
      <c r="A878" s="1"/>
      <c r="B878" s="1"/>
      <c r="C878" s="1"/>
      <c r="D878" s="1"/>
      <c r="E878" s="1"/>
      <c r="F878" s="1"/>
      <c r="G878" s="1"/>
      <c r="H878" s="1"/>
      <c r="I878" s="1"/>
      <c r="J878" s="1"/>
      <c r="K878" s="1"/>
      <c r="L878" s="1"/>
      <c r="M878" s="1"/>
      <c r="N878" s="1"/>
      <c r="O878" s="1"/>
      <c r="P878" s="1"/>
      <c r="Q878" s="1"/>
    </row>
    <row r="879" spans="1:17">
      <c r="A879" s="525"/>
      <c r="B879" s="526"/>
      <c r="C879" s="527"/>
      <c r="D879" s="527"/>
      <c r="E879" s="527"/>
      <c r="F879" s="527"/>
      <c r="G879" s="527"/>
      <c r="H879" s="527"/>
      <c r="I879" s="527"/>
      <c r="J879" s="526"/>
      <c r="K879" s="526"/>
      <c r="L879" s="526"/>
      <c r="M879" s="525"/>
      <c r="N879" s="525"/>
      <c r="O879" s="525"/>
      <c r="P879" s="525"/>
      <c r="Q879" s="525"/>
    </row>
    <row r="881" spans="1:17" ht="20.100000000000001" customHeight="1">
      <c r="A881" s="15"/>
      <c r="B881" s="15"/>
      <c r="M881" s="15"/>
      <c r="N881" s="15"/>
      <c r="O881" s="15"/>
      <c r="P881" s="15"/>
      <c r="Q881" s="15"/>
    </row>
    <row r="882" spans="1:17" ht="20.100000000000001" customHeight="1">
      <c r="A882" s="15"/>
      <c r="B882" s="15"/>
      <c r="M882" s="15"/>
      <c r="N882" s="15"/>
      <c r="O882" s="15"/>
      <c r="P882" s="15"/>
      <c r="Q882" s="15"/>
    </row>
    <row r="883" spans="1:17" ht="20.100000000000001" customHeight="1">
      <c r="A883" s="15"/>
      <c r="B883" s="15"/>
      <c r="M883" s="15"/>
      <c r="N883" s="15"/>
      <c r="O883" s="15"/>
      <c r="P883" s="15"/>
      <c r="Q883" s="15"/>
    </row>
    <row r="884" spans="1:17" ht="20.100000000000001" customHeight="1">
      <c r="A884" s="15"/>
      <c r="B884" s="15"/>
      <c r="M884" s="15"/>
      <c r="N884" s="15"/>
      <c r="O884" s="15"/>
      <c r="P884" s="15"/>
      <c r="Q884" s="15"/>
    </row>
    <row r="885" spans="1:17" ht="20.100000000000001" customHeight="1">
      <c r="A885" s="15"/>
      <c r="B885" s="15"/>
      <c r="M885" s="15"/>
      <c r="N885" s="15"/>
      <c r="O885" s="15"/>
      <c r="P885" s="15"/>
      <c r="Q885" s="15"/>
    </row>
    <row r="886" spans="1:17" ht="20.100000000000001" customHeight="1">
      <c r="A886" s="15"/>
      <c r="B886" s="15"/>
      <c r="M886" s="15"/>
      <c r="N886" s="15"/>
      <c r="O886" s="15"/>
      <c r="P886" s="15"/>
      <c r="Q886" s="15"/>
    </row>
    <row r="887" spans="1:17" ht="20.100000000000001" customHeight="1">
      <c r="A887" s="15"/>
      <c r="B887" s="15"/>
      <c r="M887" s="15"/>
      <c r="N887" s="15"/>
      <c r="O887" s="15"/>
      <c r="P887" s="15"/>
      <c r="Q887" s="15"/>
    </row>
    <row r="888" spans="1:17" ht="20.100000000000001" customHeight="1">
      <c r="A888" s="15"/>
      <c r="B888" s="15"/>
      <c r="M888" s="15"/>
      <c r="N888" s="15"/>
      <c r="O888" s="15"/>
      <c r="P888" s="15"/>
      <c r="Q888" s="15"/>
    </row>
    <row r="889" spans="1:17" ht="20.100000000000001" customHeight="1">
      <c r="A889" s="15"/>
      <c r="B889" s="15"/>
      <c r="M889" s="15"/>
      <c r="N889" s="15"/>
      <c r="O889" s="15"/>
      <c r="P889" s="15"/>
      <c r="Q889" s="15"/>
    </row>
    <row r="890" spans="1:17" ht="20.100000000000001" customHeight="1">
      <c r="A890" s="15"/>
      <c r="B890" s="15"/>
      <c r="M890" s="15"/>
      <c r="N890" s="15"/>
      <c r="O890" s="15"/>
      <c r="P890" s="15"/>
      <c r="Q890" s="15"/>
    </row>
    <row r="891" spans="1:17">
      <c r="A891" s="15"/>
      <c r="B891" s="14"/>
      <c r="M891" s="15"/>
      <c r="N891" s="15"/>
      <c r="O891" s="15"/>
      <c r="P891" s="15"/>
      <c r="Q891" s="15"/>
    </row>
    <row r="892" spans="1:17">
      <c r="A892" s="15"/>
      <c r="B892" s="14"/>
      <c r="M892" s="15"/>
      <c r="N892" s="15"/>
      <c r="O892" s="15"/>
      <c r="P892" s="15"/>
      <c r="Q892" s="15"/>
    </row>
    <row r="893" spans="1:17">
      <c r="A893" s="15"/>
      <c r="B893" s="14"/>
      <c r="M893" s="15"/>
      <c r="N893" s="15"/>
      <c r="O893" s="15"/>
      <c r="P893" s="15"/>
      <c r="Q893" s="15"/>
    </row>
    <row r="894" spans="1:17">
      <c r="A894" s="15"/>
      <c r="B894" s="14"/>
      <c r="M894" s="15"/>
      <c r="N894" s="15"/>
      <c r="O894" s="15"/>
      <c r="P894" s="15"/>
      <c r="Q894" s="15"/>
    </row>
  </sheetData>
  <mergeCells count="589">
    <mergeCell ref="B2:Q2"/>
    <mergeCell ref="B3:Q3"/>
    <mergeCell ref="B4:Q4"/>
    <mergeCell ref="B5:Q5"/>
    <mergeCell ref="C6:Q6"/>
    <mergeCell ref="B8:Q10"/>
    <mergeCell ref="C66:F66"/>
    <mergeCell ref="C68:D68"/>
    <mergeCell ref="M68:P68"/>
    <mergeCell ref="M69:P72"/>
    <mergeCell ref="C70:E70"/>
    <mergeCell ref="C72:E72"/>
    <mergeCell ref="B12:Q12"/>
    <mergeCell ref="M44:P49"/>
    <mergeCell ref="M51:P54"/>
    <mergeCell ref="M59:P62"/>
    <mergeCell ref="C61:H61"/>
    <mergeCell ref="M63:P65"/>
    <mergeCell ref="C64:J64"/>
    <mergeCell ref="C107:K107"/>
    <mergeCell ref="C108:K108"/>
    <mergeCell ref="C109:K109"/>
    <mergeCell ref="C110:K110"/>
    <mergeCell ref="B111:B113"/>
    <mergeCell ref="C111:K113"/>
    <mergeCell ref="M73:P75"/>
    <mergeCell ref="C74:E74"/>
    <mergeCell ref="C76:F76"/>
    <mergeCell ref="M76:P78"/>
    <mergeCell ref="B86:L86"/>
    <mergeCell ref="E88:L92"/>
    <mergeCell ref="C129:F129"/>
    <mergeCell ref="C132:I132"/>
    <mergeCell ref="C134:D134"/>
    <mergeCell ref="C137:F137"/>
    <mergeCell ref="C140:F140"/>
    <mergeCell ref="C143:D143"/>
    <mergeCell ref="B114:B116"/>
    <mergeCell ref="C114:K116"/>
    <mergeCell ref="B117:B121"/>
    <mergeCell ref="C117:K121"/>
    <mergeCell ref="C125:H125"/>
    <mergeCell ref="C127:F127"/>
    <mergeCell ref="B219:Q219"/>
    <mergeCell ref="B220:Q221"/>
    <mergeCell ref="B222:Q222"/>
    <mergeCell ref="B223:E223"/>
    <mergeCell ref="G223:I223"/>
    <mergeCell ref="K223:M223"/>
    <mergeCell ref="O223:P223"/>
    <mergeCell ref="C145:F145"/>
    <mergeCell ref="C148:G148"/>
    <mergeCell ref="C152:H152"/>
    <mergeCell ref="C154:F154"/>
    <mergeCell ref="C156:F156"/>
    <mergeCell ref="C158:F158"/>
    <mergeCell ref="B226:E226"/>
    <mergeCell ref="G226:I226"/>
    <mergeCell ref="K226:M227"/>
    <mergeCell ref="O226:P226"/>
    <mergeCell ref="B227:E227"/>
    <mergeCell ref="G227:I227"/>
    <mergeCell ref="O227:P227"/>
    <mergeCell ref="B224:E224"/>
    <mergeCell ref="G224:I224"/>
    <mergeCell ref="K224:M224"/>
    <mergeCell ref="O224:P224"/>
    <mergeCell ref="B225:E225"/>
    <mergeCell ref="G225:I225"/>
    <mergeCell ref="K225:M225"/>
    <mergeCell ref="O225:P225"/>
    <mergeCell ref="B230:E230"/>
    <mergeCell ref="G230:I230"/>
    <mergeCell ref="K230:M230"/>
    <mergeCell ref="O230:P230"/>
    <mergeCell ref="B231:E231"/>
    <mergeCell ref="G231:I231"/>
    <mergeCell ref="K231:M231"/>
    <mergeCell ref="O231:P231"/>
    <mergeCell ref="B228:E228"/>
    <mergeCell ref="G228:I228"/>
    <mergeCell ref="K228:M228"/>
    <mergeCell ref="O228:P228"/>
    <mergeCell ref="B229:E229"/>
    <mergeCell ref="G229:I229"/>
    <mergeCell ref="K229:M229"/>
    <mergeCell ref="O229:P229"/>
    <mergeCell ref="B236:E236"/>
    <mergeCell ref="G236:I236"/>
    <mergeCell ref="K236:M236"/>
    <mergeCell ref="O236:Q236"/>
    <mergeCell ref="B239:D239"/>
    <mergeCell ref="B243:G244"/>
    <mergeCell ref="I243:O243"/>
    <mergeCell ref="B232:E232"/>
    <mergeCell ref="G232:I232"/>
    <mergeCell ref="K232:M232"/>
    <mergeCell ref="O232:P232"/>
    <mergeCell ref="O233:P233"/>
    <mergeCell ref="G235:I235"/>
    <mergeCell ref="A244:A268"/>
    <mergeCell ref="B251:G251"/>
    <mergeCell ref="I255:O255"/>
    <mergeCell ref="I256:I259"/>
    <mergeCell ref="J256:J259"/>
    <mergeCell ref="K256:L257"/>
    <mergeCell ref="M256:M257"/>
    <mergeCell ref="N256:N257"/>
    <mergeCell ref="O256:O257"/>
    <mergeCell ref="F257:G257"/>
    <mergeCell ref="I262:O263"/>
    <mergeCell ref="B263:B264"/>
    <mergeCell ref="C263:C264"/>
    <mergeCell ref="E263:E264"/>
    <mergeCell ref="F263:F264"/>
    <mergeCell ref="B265:G265"/>
    <mergeCell ref="I265:N266"/>
    <mergeCell ref="F258:G258"/>
    <mergeCell ref="K258:L259"/>
    <mergeCell ref="M258:M259"/>
    <mergeCell ref="N258:N259"/>
    <mergeCell ref="O258:O259"/>
    <mergeCell ref="B260:B261"/>
    <mergeCell ref="C260:C261"/>
    <mergeCell ref="E260:E261"/>
    <mergeCell ref="F260:F261"/>
    <mergeCell ref="I261:O261"/>
    <mergeCell ref="B267:G268"/>
    <mergeCell ref="I267:N268"/>
    <mergeCell ref="I269:I270"/>
    <mergeCell ref="J269:J270"/>
    <mergeCell ref="K269:K270"/>
    <mergeCell ref="L269:L270"/>
    <mergeCell ref="M269:M270"/>
    <mergeCell ref="N269:N270"/>
    <mergeCell ref="B270:G270"/>
    <mergeCell ref="A271:A289"/>
    <mergeCell ref="B271:G272"/>
    <mergeCell ref="I271:I272"/>
    <mergeCell ref="J271:J272"/>
    <mergeCell ref="K271:K272"/>
    <mergeCell ref="L271:L272"/>
    <mergeCell ref="I277:I278"/>
    <mergeCell ref="J277:J278"/>
    <mergeCell ref="K277:K278"/>
    <mergeCell ref="L277:L278"/>
    <mergeCell ref="M271:M272"/>
    <mergeCell ref="N271:N272"/>
    <mergeCell ref="B273:G275"/>
    <mergeCell ref="I273:N274"/>
    <mergeCell ref="I275:I276"/>
    <mergeCell ref="J275:J276"/>
    <mergeCell ref="K275:K276"/>
    <mergeCell ref="L275:L276"/>
    <mergeCell ref="M275:M276"/>
    <mergeCell ref="N275:N276"/>
    <mergeCell ref="M277:M278"/>
    <mergeCell ref="N277:N278"/>
    <mergeCell ref="I281:N282"/>
    <mergeCell ref="I284:M286"/>
    <mergeCell ref="B287:F289"/>
    <mergeCell ref="I287:I288"/>
    <mergeCell ref="J287:J288"/>
    <mergeCell ref="K287:K288"/>
    <mergeCell ref="L287:L288"/>
    <mergeCell ref="M287:M288"/>
    <mergeCell ref="I289:I290"/>
    <mergeCell ref="J289:J290"/>
    <mergeCell ref="K289:K290"/>
    <mergeCell ref="L289:L290"/>
    <mergeCell ref="M289:M290"/>
    <mergeCell ref="B291:G292"/>
    <mergeCell ref="I291:I292"/>
    <mergeCell ref="J291:J292"/>
    <mergeCell ref="K291:K292"/>
    <mergeCell ref="L291:L292"/>
    <mergeCell ref="M291:M292"/>
    <mergeCell ref="B293:B294"/>
    <mergeCell ref="C293:C294"/>
    <mergeCell ref="D293:D294"/>
    <mergeCell ref="E293:E294"/>
    <mergeCell ref="F293:G294"/>
    <mergeCell ref="I293:I294"/>
    <mergeCell ref="J293:J294"/>
    <mergeCell ref="K293:K294"/>
    <mergeCell ref="L293:L294"/>
    <mergeCell ref="M295:M296"/>
    <mergeCell ref="B297:G297"/>
    <mergeCell ref="I297:I298"/>
    <mergeCell ref="J297:J298"/>
    <mergeCell ref="K297:K298"/>
    <mergeCell ref="L297:L298"/>
    <mergeCell ref="M297:M298"/>
    <mergeCell ref="M293:M294"/>
    <mergeCell ref="B295:B296"/>
    <mergeCell ref="C295:C296"/>
    <mergeCell ref="D295:D296"/>
    <mergeCell ref="E295:E296"/>
    <mergeCell ref="F295:G296"/>
    <mergeCell ref="I295:I296"/>
    <mergeCell ref="J295:J296"/>
    <mergeCell ref="K295:K296"/>
    <mergeCell ref="L295:L296"/>
    <mergeCell ref="B307:B308"/>
    <mergeCell ref="C307:D308"/>
    <mergeCell ref="E307:F308"/>
    <mergeCell ref="G307:H308"/>
    <mergeCell ref="I307:J308"/>
    <mergeCell ref="K307:K308"/>
    <mergeCell ref="I299:M299"/>
    <mergeCell ref="I300:M301"/>
    <mergeCell ref="B303:K304"/>
    <mergeCell ref="B305:K305"/>
    <mergeCell ref="C306:D306"/>
    <mergeCell ref="E306:F306"/>
    <mergeCell ref="G306:H306"/>
    <mergeCell ref="I306:J306"/>
    <mergeCell ref="B313:K313"/>
    <mergeCell ref="C314:K314"/>
    <mergeCell ref="B315:B316"/>
    <mergeCell ref="C315:K316"/>
    <mergeCell ref="B317:K317"/>
    <mergeCell ref="B318:E318"/>
    <mergeCell ref="B310:K310"/>
    <mergeCell ref="B311:B312"/>
    <mergeCell ref="C311:D312"/>
    <mergeCell ref="E311:F312"/>
    <mergeCell ref="G311:H312"/>
    <mergeCell ref="I311:J312"/>
    <mergeCell ref="K311:K312"/>
    <mergeCell ref="B321:K322"/>
    <mergeCell ref="B324:N326"/>
    <mergeCell ref="C327:M327"/>
    <mergeCell ref="C328:M328"/>
    <mergeCell ref="C329:M330"/>
    <mergeCell ref="D331:M331"/>
    <mergeCell ref="B319:C319"/>
    <mergeCell ref="E319:F319"/>
    <mergeCell ref="H319:I319"/>
    <mergeCell ref="B320:C320"/>
    <mergeCell ref="E320:F320"/>
    <mergeCell ref="H320:I320"/>
    <mergeCell ref="I332:I334"/>
    <mergeCell ref="L332:L334"/>
    <mergeCell ref="M332:M334"/>
    <mergeCell ref="C336:C337"/>
    <mergeCell ref="D336:D337"/>
    <mergeCell ref="E336:E337"/>
    <mergeCell ref="F336:F337"/>
    <mergeCell ref="G336:G337"/>
    <mergeCell ref="H336:H337"/>
    <mergeCell ref="I336:I337"/>
    <mergeCell ref="C332:C334"/>
    <mergeCell ref="D332:D334"/>
    <mergeCell ref="E332:E334"/>
    <mergeCell ref="F332:F334"/>
    <mergeCell ref="G332:G334"/>
    <mergeCell ref="H332:H334"/>
    <mergeCell ref="L336:L337"/>
    <mergeCell ref="M336:M337"/>
    <mergeCell ref="D341:M341"/>
    <mergeCell ref="C342:L342"/>
    <mergeCell ref="C343:C344"/>
    <mergeCell ref="D343:D344"/>
    <mergeCell ref="E343:E344"/>
    <mergeCell ref="F343:F344"/>
    <mergeCell ref="G343:G344"/>
    <mergeCell ref="H343:H344"/>
    <mergeCell ref="D355:M355"/>
    <mergeCell ref="C356:M358"/>
    <mergeCell ref="C364:M365"/>
    <mergeCell ref="C371:M372"/>
    <mergeCell ref="B374:J374"/>
    <mergeCell ref="B375:J375"/>
    <mergeCell ref="I343:I344"/>
    <mergeCell ref="L343:L344"/>
    <mergeCell ref="M343:M344"/>
    <mergeCell ref="D345:I345"/>
    <mergeCell ref="J350:K351"/>
    <mergeCell ref="L350:M351"/>
    <mergeCell ref="B376:J377"/>
    <mergeCell ref="B380:J381"/>
    <mergeCell ref="B382:J383"/>
    <mergeCell ref="B384:C385"/>
    <mergeCell ref="D384:D385"/>
    <mergeCell ref="E384:E385"/>
    <mergeCell ref="F384:F385"/>
    <mergeCell ref="G384:G385"/>
    <mergeCell ref="H384:H385"/>
    <mergeCell ref="I384:I385"/>
    <mergeCell ref="B411:C411"/>
    <mergeCell ref="F411:G411"/>
    <mergeCell ref="I411:J411"/>
    <mergeCell ref="M411:N411"/>
    <mergeCell ref="B412:B416"/>
    <mergeCell ref="C412:C416"/>
    <mergeCell ref="I412:I416"/>
    <mergeCell ref="J412:J416"/>
    <mergeCell ref="J384:J385"/>
    <mergeCell ref="B390:J392"/>
    <mergeCell ref="B393:J394"/>
    <mergeCell ref="B402:J403"/>
    <mergeCell ref="B410:G410"/>
    <mergeCell ref="I410:N410"/>
    <mergeCell ref="K431:N431"/>
    <mergeCell ref="K434:M434"/>
    <mergeCell ref="B443:G444"/>
    <mergeCell ref="I443:J444"/>
    <mergeCell ref="K443:L444"/>
    <mergeCell ref="M443:M444"/>
    <mergeCell ref="N443:N444"/>
    <mergeCell ref="F421:I422"/>
    <mergeCell ref="K421:N422"/>
    <mergeCell ref="K423:N423"/>
    <mergeCell ref="F424:I424"/>
    <mergeCell ref="K424:N424"/>
    <mergeCell ref="K425:K426"/>
    <mergeCell ref="L425:L426"/>
    <mergeCell ref="M425:M426"/>
    <mergeCell ref="N425:N426"/>
    <mergeCell ref="B445:G446"/>
    <mergeCell ref="I445:J445"/>
    <mergeCell ref="I446:J446"/>
    <mergeCell ref="C447:G447"/>
    <mergeCell ref="I447:J447"/>
    <mergeCell ref="C448:G448"/>
    <mergeCell ref="I448:J448"/>
    <mergeCell ref="F430:I430"/>
    <mergeCell ref="F431:I431"/>
    <mergeCell ref="B454:B455"/>
    <mergeCell ref="C454:G455"/>
    <mergeCell ref="B456:B457"/>
    <mergeCell ref="C456:G457"/>
    <mergeCell ref="B460:C461"/>
    <mergeCell ref="D460:D461"/>
    <mergeCell ref="E460:E461"/>
    <mergeCell ref="C449:G449"/>
    <mergeCell ref="I449:J449"/>
    <mergeCell ref="C450:G450"/>
    <mergeCell ref="C451:G451"/>
    <mergeCell ref="C452:G452"/>
    <mergeCell ref="C453:G453"/>
    <mergeCell ref="N461:N462"/>
    <mergeCell ref="B462:B463"/>
    <mergeCell ref="C462:C463"/>
    <mergeCell ref="D462:D463"/>
    <mergeCell ref="E462:E463"/>
    <mergeCell ref="H463:H464"/>
    <mergeCell ref="I463:I464"/>
    <mergeCell ref="J463:J464"/>
    <mergeCell ref="K463:K464"/>
    <mergeCell ref="L463:L464"/>
    <mergeCell ref="H461:H462"/>
    <mergeCell ref="I461:I462"/>
    <mergeCell ref="J461:J462"/>
    <mergeCell ref="K461:K462"/>
    <mergeCell ref="L461:L462"/>
    <mergeCell ref="M461:M462"/>
    <mergeCell ref="M463:M464"/>
    <mergeCell ref="N463:N464"/>
    <mergeCell ref="B465:B466"/>
    <mergeCell ref="C465:C466"/>
    <mergeCell ref="D465:D466"/>
    <mergeCell ref="E465:E466"/>
    <mergeCell ref="H465:N465"/>
    <mergeCell ref="H466:H467"/>
    <mergeCell ref="I466:I467"/>
    <mergeCell ref="J466:J467"/>
    <mergeCell ref="K466:K467"/>
    <mergeCell ref="L466:L467"/>
    <mergeCell ref="M466:M467"/>
    <mergeCell ref="N466:N467"/>
    <mergeCell ref="B467:B468"/>
    <mergeCell ref="C467:C468"/>
    <mergeCell ref="D467:D468"/>
    <mergeCell ref="E467:E468"/>
    <mergeCell ref="H468:N468"/>
    <mergeCell ref="B469:E469"/>
    <mergeCell ref="B471:Q472"/>
    <mergeCell ref="B474:N474"/>
    <mergeCell ref="A475:A498"/>
    <mergeCell ref="B475:N476"/>
    <mergeCell ref="B477:N478"/>
    <mergeCell ref="C488:M488"/>
    <mergeCell ref="H489:M489"/>
    <mergeCell ref="D490:E490"/>
    <mergeCell ref="B497:N498"/>
    <mergeCell ref="B531:J531"/>
    <mergeCell ref="B544:G544"/>
    <mergeCell ref="I544:N544"/>
    <mergeCell ref="J552:N552"/>
    <mergeCell ref="M562:N562"/>
    <mergeCell ref="G563:H564"/>
    <mergeCell ref="M563:N563"/>
    <mergeCell ref="B500:N500"/>
    <mergeCell ref="A501:A517"/>
    <mergeCell ref="B501:N502"/>
    <mergeCell ref="B503:N504"/>
    <mergeCell ref="B505:N505"/>
    <mergeCell ref="B507:C507"/>
    <mergeCell ref="G507:H507"/>
    <mergeCell ref="K507:L507"/>
    <mergeCell ref="B516:N517"/>
    <mergeCell ref="G581:H581"/>
    <mergeCell ref="G582:H582"/>
    <mergeCell ref="G586:H586"/>
    <mergeCell ref="G587:H587"/>
    <mergeCell ref="B604:G604"/>
    <mergeCell ref="B610:E610"/>
    <mergeCell ref="M569:N569"/>
    <mergeCell ref="G570:H571"/>
    <mergeCell ref="M570:N570"/>
    <mergeCell ref="M572:N572"/>
    <mergeCell ref="M577:N577"/>
    <mergeCell ref="G579:H580"/>
    <mergeCell ref="C636:E636"/>
    <mergeCell ref="H636:I636"/>
    <mergeCell ref="K636:L636"/>
    <mergeCell ref="C637:E637"/>
    <mergeCell ref="H637:I637"/>
    <mergeCell ref="K637:L637"/>
    <mergeCell ref="B613:F613"/>
    <mergeCell ref="B617:G617"/>
    <mergeCell ref="B618:G618"/>
    <mergeCell ref="B624:F624"/>
    <mergeCell ref="B628:E628"/>
    <mergeCell ref="C635:L635"/>
    <mergeCell ref="C640:E640"/>
    <mergeCell ref="H640:I640"/>
    <mergeCell ref="K640:L640"/>
    <mergeCell ref="C641:E641"/>
    <mergeCell ref="H641:I641"/>
    <mergeCell ref="K641:L641"/>
    <mergeCell ref="C638:E638"/>
    <mergeCell ref="H638:I638"/>
    <mergeCell ref="K638:L638"/>
    <mergeCell ref="C639:E639"/>
    <mergeCell ref="H639:I639"/>
    <mergeCell ref="K639:L639"/>
    <mergeCell ref="C644:E644"/>
    <mergeCell ref="C648:L648"/>
    <mergeCell ref="C649:L649"/>
    <mergeCell ref="C650:L650"/>
    <mergeCell ref="C651:L651"/>
    <mergeCell ref="C652:L652"/>
    <mergeCell ref="C642:E642"/>
    <mergeCell ref="H642:I642"/>
    <mergeCell ref="K642:L642"/>
    <mergeCell ref="C643:E643"/>
    <mergeCell ref="H643:I643"/>
    <mergeCell ref="K643:L643"/>
    <mergeCell ref="D667:F667"/>
    <mergeCell ref="D669:F669"/>
    <mergeCell ref="D671:F671"/>
    <mergeCell ref="C676:L676"/>
    <mergeCell ref="C678:L681"/>
    <mergeCell ref="C682:L685"/>
    <mergeCell ref="I689:I690"/>
    <mergeCell ref="J689:J690"/>
    <mergeCell ref="C654:C656"/>
    <mergeCell ref="D655:F655"/>
    <mergeCell ref="D656:F656"/>
    <mergeCell ref="C658:C663"/>
    <mergeCell ref="D659:F659"/>
    <mergeCell ref="D660:F660"/>
    <mergeCell ref="D661:F661"/>
    <mergeCell ref="D662:F662"/>
    <mergeCell ref="D663:F663"/>
    <mergeCell ref="C686:F687"/>
    <mergeCell ref="G686:H687"/>
    <mergeCell ref="I686:I687"/>
    <mergeCell ref="J686:K687"/>
    <mergeCell ref="L686:L687"/>
    <mergeCell ref="C689:D690"/>
    <mergeCell ref="E689:E690"/>
    <mergeCell ref="F689:F690"/>
    <mergeCell ref="G689:G690"/>
    <mergeCell ref="H689:H690"/>
    <mergeCell ref="C704:M704"/>
    <mergeCell ref="C705:M705"/>
    <mergeCell ref="E706:M706"/>
    <mergeCell ref="C707:M707"/>
    <mergeCell ref="C708:D709"/>
    <mergeCell ref="E708:F709"/>
    <mergeCell ref="K692:L693"/>
    <mergeCell ref="C694:C695"/>
    <mergeCell ref="D694:D695"/>
    <mergeCell ref="E694:F695"/>
    <mergeCell ref="G694:G695"/>
    <mergeCell ref="H694:H695"/>
    <mergeCell ref="J694:J695"/>
    <mergeCell ref="K694:L695"/>
    <mergeCell ref="C692:C693"/>
    <mergeCell ref="D692:D693"/>
    <mergeCell ref="E692:F693"/>
    <mergeCell ref="G692:G693"/>
    <mergeCell ref="H692:H693"/>
    <mergeCell ref="I692:J693"/>
    <mergeCell ref="C715:D716"/>
    <mergeCell ref="E715:F716"/>
    <mergeCell ref="G715:I716"/>
    <mergeCell ref="M715:M716"/>
    <mergeCell ref="C717:D717"/>
    <mergeCell ref="E717:F717"/>
    <mergeCell ref="G717:I717"/>
    <mergeCell ref="C710:D710"/>
    <mergeCell ref="E710:F710"/>
    <mergeCell ref="C711:D711"/>
    <mergeCell ref="E711:F711"/>
    <mergeCell ref="C713:M713"/>
    <mergeCell ref="E714:M714"/>
    <mergeCell ref="C724:D725"/>
    <mergeCell ref="E724:F725"/>
    <mergeCell ref="G724:G725"/>
    <mergeCell ref="H724:M725"/>
    <mergeCell ref="C726:M726"/>
    <mergeCell ref="C727:D727"/>
    <mergeCell ref="E727:F727"/>
    <mergeCell ref="C718:D718"/>
    <mergeCell ref="E718:F718"/>
    <mergeCell ref="G718:I718"/>
    <mergeCell ref="C722:D723"/>
    <mergeCell ref="E722:F723"/>
    <mergeCell ref="G722:G723"/>
    <mergeCell ref="H722:M722"/>
    <mergeCell ref="C731:D731"/>
    <mergeCell ref="E731:F731"/>
    <mergeCell ref="C732:D732"/>
    <mergeCell ref="E732:F732"/>
    <mergeCell ref="C733:D733"/>
    <mergeCell ref="E733:F733"/>
    <mergeCell ref="C728:D728"/>
    <mergeCell ref="E728:F728"/>
    <mergeCell ref="C729:D729"/>
    <mergeCell ref="E729:F729"/>
    <mergeCell ref="C730:D730"/>
    <mergeCell ref="E730:F730"/>
    <mergeCell ref="C737:D737"/>
    <mergeCell ref="E737:F737"/>
    <mergeCell ref="C738:D738"/>
    <mergeCell ref="E738:F738"/>
    <mergeCell ref="C741:M743"/>
    <mergeCell ref="B747:N747"/>
    <mergeCell ref="C734:D734"/>
    <mergeCell ref="E734:F734"/>
    <mergeCell ref="C735:D735"/>
    <mergeCell ref="E735:F735"/>
    <mergeCell ref="C736:D736"/>
    <mergeCell ref="E736:F736"/>
    <mergeCell ref="B749:N749"/>
    <mergeCell ref="J753:L753"/>
    <mergeCell ref="A763:A764"/>
    <mergeCell ref="B763:M764"/>
    <mergeCell ref="N763:N764"/>
    <mergeCell ref="A765:A790"/>
    <mergeCell ref="B765:N765"/>
    <mergeCell ref="B766:N769"/>
    <mergeCell ref="B770:N770"/>
    <mergeCell ref="L771:M771"/>
    <mergeCell ref="C788:N788"/>
    <mergeCell ref="C789:N789"/>
    <mergeCell ref="B790:N790"/>
    <mergeCell ref="A792:A793"/>
    <mergeCell ref="B792:M793"/>
    <mergeCell ref="N792:N793"/>
    <mergeCell ref="L772:M772"/>
    <mergeCell ref="C784:D784"/>
    <mergeCell ref="F784:G784"/>
    <mergeCell ref="I784:J784"/>
    <mergeCell ref="L784:M784"/>
    <mergeCell ref="B786:N787"/>
    <mergeCell ref="B826:N826"/>
    <mergeCell ref="A830:Q831"/>
    <mergeCell ref="F820:G820"/>
    <mergeCell ref="I820:J820"/>
    <mergeCell ref="L820:M820"/>
    <mergeCell ref="B822:N823"/>
    <mergeCell ref="C824:N824"/>
    <mergeCell ref="C825:N825"/>
    <mergeCell ref="A794:A826"/>
    <mergeCell ref="B794:N794"/>
    <mergeCell ref="B795:N798"/>
    <mergeCell ref="B799:N799"/>
    <mergeCell ref="L800:M800"/>
    <mergeCell ref="L801:M802"/>
    <mergeCell ref="B808:N808"/>
    <mergeCell ref="L809:M809"/>
    <mergeCell ref="L810:M810"/>
    <mergeCell ref="C820:D820"/>
  </mergeCells>
  <conditionalFormatting sqref="A243">
    <cfRule type="expression" dxfId="26" priority="3" stopIfTrue="1">
      <formula>OR(ROW()=CELL("ligne"),COLUMN()=CELL("colonne"))</formula>
    </cfRule>
  </conditionalFormatting>
  <conditionalFormatting sqref="A270">
    <cfRule type="expression" dxfId="25" priority="2" stopIfTrue="1">
      <formula>OR(ROW()=CELL("ligne"),COLUMN()=CELL("colonne"))</formula>
    </cfRule>
  </conditionalFormatting>
  <conditionalFormatting sqref="C307">
    <cfRule type="cellIs" dxfId="24" priority="1" operator="greaterThan">
      <formula>1</formula>
    </cfRule>
  </conditionalFormatting>
  <hyperlinks>
    <hyperlink ref="C434" r:id="rId1" xr:uid="{0F48F507-943F-4308-98E7-7CC9A0A59692}"/>
    <hyperlink ref="C438" r:id="rId2" xr:uid="{0A93C7E6-E895-4245-81FF-0095FB9BFF3A}"/>
    <hyperlink ref="C59" r:id="rId3" xr:uid="{594B7735-3953-4BCB-B9C3-EC82CD3F16C2}"/>
    <hyperlink ref="C61" r:id="rId4" xr:uid="{6675D2A0-21C6-4837-8B2C-A07EB12835A2}"/>
    <hyperlink ref="B604" r:id="rId5" xr:uid="{F829F82A-384D-4C99-94E7-7EC5F83160A5}"/>
    <hyperlink ref="B610" r:id="rId6" xr:uid="{90374B28-7183-4D96-A05F-0C6FE25A643D}"/>
    <hyperlink ref="B618" r:id="rId7" xr:uid="{D750B7BC-DF24-4344-A9F6-3AF581C47511}"/>
    <hyperlink ref="B617" r:id="rId8" xr:uid="{F302E2DD-D955-43C6-BEC8-7004C87A044C}"/>
    <hyperlink ref="B624" r:id="rId9" xr:uid="{AE2D1CE4-68E5-471E-8AE1-F4CDC2CDF5D7}"/>
    <hyperlink ref="B628" r:id="rId10" xr:uid="{04F68153-A443-400F-BAAE-47A585BF3E4A}"/>
    <hyperlink ref="B613" r:id="rId11" xr:uid="{BD294882-C373-4DA1-A58D-42E9997A578E}"/>
    <hyperlink ref="J611" r:id="rId12" xr:uid="{F2539097-F597-4863-9817-77EC9566AAEA}"/>
    <hyperlink ref="J612" r:id="rId13" xr:uid="{FD610BB3-D6BA-487A-AEE8-8F72874CDE59}"/>
    <hyperlink ref="J605" r:id="rId14" xr:uid="{55A0953E-EE59-4060-8F52-A0AA44FB4C7E}"/>
    <hyperlink ref="J618" r:id="rId15" xr:uid="{757EFC64-EEBF-40B2-B1E5-4766D7371115}"/>
    <hyperlink ref="J624" r:id="rId16" xr:uid="{A2BE862B-65F0-431B-BF96-7BC8D990511E}"/>
    <hyperlink ref="J615" r:id="rId17" xr:uid="{28E9FB59-DB94-4D4D-AC16-34984BC9BBAC}"/>
    <hyperlink ref="J629" r:id="rId18" xr:uid="{AFC78F3E-5D2B-4D0D-8FD8-8965559699CE}"/>
    <hyperlink ref="J625" r:id="rId19" xr:uid="{9ADB511A-6B64-41A6-B2B3-D9CC6B83E4C1}"/>
    <hyperlink ref="J626" r:id="rId20" xr:uid="{7D510A87-DBCA-4654-AEC9-379F967EF47E}"/>
    <hyperlink ref="J621" r:id="rId21" xr:uid="{FF9BEB3E-EB03-4374-823E-D9531940054F}"/>
    <hyperlink ref="J552" r:id="rId22" xr:uid="{DFE8E5F9-D586-4EB9-9107-8E6CD213A98D}"/>
    <hyperlink ref="K554" r:id="rId23" xr:uid="{1150180D-FBBE-407B-90BE-F7BA8242DD22}"/>
    <hyperlink ref="K556" r:id="rId24" xr:uid="{3DAB8569-01B6-46FE-8BEA-60895A8E265D}"/>
    <hyperlink ref="K557" r:id="rId25" xr:uid="{A4DDD297-1BA6-4D0F-A341-10768569736B}"/>
    <hyperlink ref="K553" r:id="rId26" xr:uid="{49837EEC-D804-4673-B3E5-B97BDE3BE64A}"/>
    <hyperlink ref="K558" r:id="rId27" xr:uid="{16CA2217-42DD-4DBA-8AAD-C61AF9AFC7AC}"/>
    <hyperlink ref="K559" r:id="rId28" xr:uid="{306FD9D2-D001-467A-AB35-CBDDEA39161E}"/>
    <hyperlink ref="K555" r:id="rId29" xr:uid="{E79C618C-68EB-4950-9B8C-B60D324605B7}"/>
    <hyperlink ref="C152" r:id="rId30" xr:uid="{99428306-6E9E-4628-9386-6CCD936DB419}"/>
    <hyperlink ref="C154" r:id="rId31" xr:uid="{501FC37A-BFB8-4A12-9D47-AA73900B5D50}"/>
    <hyperlink ref="C156" r:id="rId32" xr:uid="{91765A83-1458-4EE6-98FF-85B6E93948B5}"/>
    <hyperlink ref="B556" r:id="rId33" xr:uid="{43AE8C08-AE05-408B-84D7-CABD8AABE728}"/>
    <hyperlink ref="B557" r:id="rId34" xr:uid="{2D6A7AFF-4F1A-4C32-A14C-314EBA1BFB5F}"/>
    <hyperlink ref="B560" r:id="rId35" xr:uid="{7E27360F-8F64-405B-B510-7262B8566396}"/>
    <hyperlink ref="C179" r:id="rId36" display="http://www.mdf-xlpages.com/modules/publisher/item.php?itemid=167" xr:uid="{5322C87B-4F33-4EB8-974A-FADAFC1C6396}"/>
    <hyperlink ref="C180" r:id="rId37" display="http://www.mdf-xlpages.com/modules/publisher/item.php?itemid=149" xr:uid="{2B550451-72A9-4E3A-B9F4-887B523BA5BE}"/>
    <hyperlink ref="C181" r:id="rId38" display="http://www.mdf-xlpages.com/modules/publisher/item.php?itemid=152" xr:uid="{84A6897D-6B25-4029-984E-E4CF939AB82C}"/>
    <hyperlink ref="C182" r:id="rId39" display="http://www.mdf-xlpages.com/modules/publisher/item.php?itemid=153" xr:uid="{13CF3F8A-7324-4D4C-8B32-B04F4D0914C6}"/>
    <hyperlink ref="C184" r:id="rId40" display="http://www.mdf-xlpages.com/modules/publisher/item.php?itemid=134" xr:uid="{7DD0C5EA-9887-485D-9E05-37FF669B5505}"/>
    <hyperlink ref="C185" r:id="rId41" display="http://www.mdf-xlpages.com/modules/publisher/item.php?itemid=105" xr:uid="{C8B7C35F-DB7E-4925-9C87-384EC7CDCCA9}"/>
    <hyperlink ref="C186" r:id="rId42" display="http://www.mdf-xlpages.com/modules/publisher/item.php?itemid=91" xr:uid="{865E7310-4242-43AC-B867-3FD36E4E0BD2}"/>
    <hyperlink ref="C187" r:id="rId43" display="http://www.mdf-xlpages.com/modules/publisher/item.php?itemid=99" xr:uid="{26220FC3-7A78-4C1F-8B3D-F66757D939F1}"/>
    <hyperlink ref="C188" r:id="rId44" display="http://www.mdf-xlpages.com/modules/publisher/item.php?itemid=98" xr:uid="{1F38D96E-7ED1-4774-BE42-A11ABAEE2881}"/>
    <hyperlink ref="C189" r:id="rId45" display="http://www.mdf-xlpages.com/modules/publisher/item.php?itemid=86" xr:uid="{C3CF6C03-50EE-4108-BDF1-59379926185C}"/>
    <hyperlink ref="C190" r:id="rId46" display="http://www.mdf-xlpages.com/modules/publisher/item.php?itemid=97" xr:uid="{FBA5579A-ACB4-4692-8A4E-6B464C09026E}"/>
    <hyperlink ref="C191" r:id="rId47" display="http://www.mdf-xlpages.com/modules/publisher/item.php?itemid=93" xr:uid="{34E2471E-BACA-4F68-BE9F-4BEC38A4E0D1}"/>
    <hyperlink ref="C192" r:id="rId48" display="http://www.mdf-xlpages.com/modules/publisher/item.php?itemid=84" xr:uid="{25F801A8-3847-4125-9B51-CA45805BED44}"/>
    <hyperlink ref="C193" r:id="rId49" display="http://www.mdf-xlpages.com/modules/publisher/item.php?itemid=94" xr:uid="{8CA5A973-3596-4C52-B10A-502192524E5C}"/>
    <hyperlink ref="C194" r:id="rId50" display="http://www.mdf-xlpages.com/modules/publisher/item.php?itemid=83" xr:uid="{D6FB6926-512E-4FD7-95CF-5ECD8F8184C8}"/>
    <hyperlink ref="C195" r:id="rId51" display="http://www.mdf-xlpages.com/modules/publisher/item.php?itemid=87" xr:uid="{D29D8236-BDD3-4503-AF73-BCC684FFF6CF}"/>
    <hyperlink ref="C196" r:id="rId52" display="http://www.mdf-xlpages.com/modules/publisher/item.php?itemid=85" xr:uid="{1478B5C8-8414-4E63-BFDE-642ADA2574B5}"/>
    <hyperlink ref="C197" r:id="rId53" display="http://www.mdf-xlpages.com/modules/publisher/item.php?itemid=81" xr:uid="{797BAB7C-D72B-42DE-90BE-9A18CF19BEC4}"/>
    <hyperlink ref="C198" r:id="rId54" display="http://www.mdf-xlpages.com/modules/publisher/item.php?itemid=82" xr:uid="{F1F7996A-B740-4E15-95AC-F9D49BF52A69}"/>
    <hyperlink ref="C199" r:id="rId55" display="http://www.mdf-xlpages.com/modules/publisher/item.php?itemid=90" xr:uid="{DE2F274A-733B-428D-8737-ABFC88D60FF2}"/>
    <hyperlink ref="C200" r:id="rId56" display="http://www.mdf-xlpages.com/modules/publisher/item.php?itemid=76" xr:uid="{CB5CF9C9-43E1-4ED7-AF81-60877AA65B55}"/>
    <hyperlink ref="C201" r:id="rId57" display="http://www.mdf-xlpages.com/modules/publisher/item.php?itemid=64" xr:uid="{26895098-5EC0-448E-AA86-0A93E9C10F09}"/>
    <hyperlink ref="C202" r:id="rId58" display="http://www.mdf-xlpages.com/modules/publisher/item.php?itemid=63" xr:uid="{B759A883-8643-432E-B63F-60D185320CE7}"/>
    <hyperlink ref="C203" r:id="rId59" display="http://www.mdf-xlpages.com/modules/publisher/item.php?itemid=62" xr:uid="{9EB28512-477D-4A08-9969-F9E0A245BA30}"/>
    <hyperlink ref="C204" r:id="rId60" display="http://www.mdf-xlpages.com/modules/publisher/item.php?itemid=25" xr:uid="{D137074A-53D3-40CA-ACEE-5B4FF658E494}"/>
    <hyperlink ref="D176" r:id="rId61" xr:uid="{294A32DF-CDAC-4DAB-AC2E-F4DC3A0732A2}"/>
    <hyperlink ref="C158" r:id="rId62" xr:uid="{AA74131B-D89D-49A8-99EE-C204C17397EF}"/>
    <hyperlink ref="C64" r:id="rId63" xr:uid="{F42C50D1-21D9-4E01-ACF9-FB1432D4A26C}"/>
    <hyperlink ref="C66" r:id="rId64" display="http://www.uprt.fr/mesimages/fichiers-uprt/ff-fiches-fabrication/ff-fiches-fabrication-maj-02-2015/ff-documents-divers-maj-02-2015/ff-fiches-apprentis-Patissiers-07-03-2016.xlsx" xr:uid="{C587DE1F-7BE6-47D6-8121-DF10CC5C68D7}"/>
    <hyperlink ref="C68" r:id="rId65" display="http://www.uprt.fr/mesimages/fichiers-uprt/ff-fiches-fabrication/ff-fiches-fabrication-maj-02-2015/ff-documents-divers-maj-02-2015/ff-Croquis.xlsx" xr:uid="{44ED1826-12CC-486A-B75A-5281E6E6D096}"/>
    <hyperlink ref="C70" r:id="rId66" display="http://www.uprt.fr/mesimages/fichiers-uprt/ff-fiches-fabrication/ff-fiches-fabrication-maj-02-2015/ff-documents-divers-maj-02-2015/ff-qualiterecettes2007.xls" xr:uid="{CE6FF66F-0776-45E8-90D1-98A22B16DC27}"/>
    <hyperlink ref="C72" r:id="rId67" display="http://www.uprt.fr/mesimages/fichiers-uprt/ff-fiches-fabrication/ff-fiches-fabrication-maj-02-2015/ff-documents-divers-maj-02-2015/ff-tableau-cuisson.pdf" xr:uid="{5C349CF0-A16A-4C26-B44A-E00523A8BBF6}"/>
    <hyperlink ref="C76" r:id="rId68" xr:uid="{68800BF4-6A96-4B46-9CED-5A8F432B82BE}"/>
    <hyperlink ref="K431" r:id="rId69" xr:uid="{21392E22-1F0A-4C59-BAAD-4CD33B58C283}"/>
    <hyperlink ref="F431" r:id="rId70" xr:uid="{C0CCD8CB-56E0-470F-9F3A-A9D4BDC96877}"/>
    <hyperlink ref="C132" r:id="rId71" xr:uid="{6B984DA1-363E-4E7C-8EFE-B47C9CB4322C}"/>
    <hyperlink ref="C134" r:id="rId72" xr:uid="{0D94ADC2-0603-4624-A3F8-23F815A55414}"/>
    <hyperlink ref="C137" r:id="rId73" xr:uid="{570A6D28-493D-44A7-96EA-3C6204122DDB}"/>
    <hyperlink ref="C140" r:id="rId74" tooltip="Télécharger" display="http://joseph.larmarange.net/IMG/pdf/memo_caracteres_speciaux_windows.pdf" xr:uid="{B9CA8CE2-FC90-4A15-BBCE-AABCE5F280C1}"/>
    <hyperlink ref="C143" r:id="rId75" xr:uid="{3A28B6A2-F582-4D47-9093-C1B71FC535F3}"/>
    <hyperlink ref="C148" r:id="rId76" xr:uid="{2FAA9866-4EDE-4F6F-8669-5C41E03CBF8E}"/>
    <hyperlink ref="C6" r:id="rId77" xr:uid="{C18764F6-BADD-49D7-8E77-814ABCEC9A2F}"/>
    <hyperlink ref="C127" r:id="rId78" xr:uid="{EE70D2FE-D253-4A05-AD8B-968DA22670D7}"/>
    <hyperlink ref="C129:F129" r:id="rId79" display="visualiseur d'Emoji et de symboles" xr:uid="{03A3DCD3-201C-4A09-8E7F-06D2C8945D82}"/>
    <hyperlink ref="C145" r:id="rId80" xr:uid="{6B00BF0D-39CD-4DFD-8659-0ECA15E91ECA}"/>
    <hyperlink ref="C125:H125" r:id="rId81" display="caractères  Alphanumériques cerclés" xr:uid="{474F5D9E-B114-4E1A-977C-51B5A3BF0CCC}"/>
    <hyperlink ref="C74" r:id="rId82" display="http://www.uprt.fr/mesimages/fichiers-uprt/pt-procedures-techniques/PT-bonnes-pratiques.doc" xr:uid="{A37E49C1-E6FA-4558-A8D2-4F9D4D8EDF3B}"/>
    <hyperlink ref="H490" r:id="rId83" display="http://www.google.fr/url?sa=t&amp;rct=j&amp;q=&amp;esrc=s&amp;source=web&amp;cd=6&amp;ved=0CF4QFjAF&amp;url=http%3A%2F%2Fwww.salondublogculinaire.com%2Ft111382_feuilles-de-gelatine.htm&amp;ei=8ImkUqfoKqeS0AW9sICACQ&amp;usg=AFQjCNEc6KKZUXYcSTgjAvrRt2f6csBBuQ&amp;sig2=nBOHIqhSlud28pCjSyBh9g&amp;cad=rja" xr:uid="{1748D6E0-D0B2-4DD0-90A4-3D7DFB4E2F88}"/>
    <hyperlink ref="H491" r:id="rId84" xr:uid="{F921DF48-29C3-48AE-A842-C2EB58388707}"/>
    <hyperlink ref="H492" r:id="rId85" xr:uid="{91424822-855B-41CE-8391-DE7895803F2E}"/>
    <hyperlink ref="H493" r:id="rId86" display="http://www.google.fr/url?sa=t&amp;rct=j&amp;q=&amp;esrc=s&amp;source=web&amp;cd=19&amp;ved=0CH0QFjAIOAo&amp;url=http%3A%2F%2Fwww.meilleurduchef.com%2Fcgi%2Fmdc%2Fl%2Ffr%2Frecette%2Fglacage-chocolat.html&amp;ei=qIqkUsLvBoO70QXB3IHICQ&amp;usg=AFQjCNEHNXUk5FtDq9jxg3vDAHRvvwqMHw&amp;sig2=gyPSYHO8vFYAfCmt_wkJrA&amp;cad=rja" xr:uid="{840C57E5-083F-410F-A16F-D5ACCC4A8B10}"/>
    <hyperlink ref="E515" r:id="rId87" display="http://www.google.fr/url?sa=t&amp;rct=j&amp;q=&amp;esrc=s&amp;source=web&amp;cd=15&amp;ved=0CGsQFjAEOAo&amp;url=http%3A%2F%2Fwww.lesoeufs.ca%2Foeufs101%2Fvoir%2F4%2Fintroduction-aux-oeufs&amp;ei=nISkUs3NCsjb0QXW8YD4CA&amp;usg=AFQjCNEzfLq8I4YY66TSMIK8fPhtE2eduw&amp;sig2=-EnHtzmGG8LO5qkFSlMiQA&amp;bvm=bv.57752919,d.d2k&amp;cad=rja" xr:uid="{75A4113E-B741-4D8E-B103-04A4DC800F75}"/>
    <hyperlink ref="B223" r:id="rId88" xr:uid="{98AB6EE0-7BCB-495F-9F86-8ED173961B11}"/>
    <hyperlink ref="B228" r:id="rId89" location="6" display="http://matoumatheux.ac-rennes.fr/num/numeration/doigt.htm - 6" xr:uid="{69BF08E6-5648-4250-B110-ECFFC2BA9CE2}"/>
    <hyperlink ref="B229" r:id="rId90" location="6" display="http://matoumatheux.ac-rennes.fr/num/probleme/classer.htm - 6" xr:uid="{BC6AD73E-21EF-4952-82E7-5AE5CBC4A86E}"/>
    <hyperlink ref="B230" r:id="rId91" location="6" display="http://matoumatheux.ac-rennes.fr/num/probleme/seringue.htm - 6" xr:uid="{2FDEA83A-03BC-4F05-AE78-6D7E404C4704}"/>
    <hyperlink ref="B231" r:id="rId92" location="6" display="http://matoumatheux.ac-rennes.fr/num/probleme/etiquettes.htm - 6" xr:uid="{374F24F4-650A-4475-9086-895F856D83EE}"/>
    <hyperlink ref="G223" r:id="rId93" location="6" display="http://matoumatheux.ac-rennes.fr/num/fractions/6/menthe1.htm - 6" xr:uid="{1A2A68E3-07D6-40C0-B6B4-EAF1F9A841CF}"/>
    <hyperlink ref="G225" r:id="rId94" location="6" display="http://matoumatheux.ac-rennes.fr/num/fractions/6/cocktail2.htm - 6" xr:uid="{316EF379-FFFC-47FA-A118-DCDAECF5EC12}"/>
    <hyperlink ref="G224" r:id="rId95" location="6" display="http://matoumatheux.ac-rennes.fr/num/fractions/6/cocktail1.htm - 6" xr:uid="{88E96FD8-53BF-4523-A857-C2CD4FF465A2}"/>
    <hyperlink ref="G226" r:id="rId96" location="6" display="http://matoumatheux.ac-rennes.fr/num/fractions/6/cocktail3.htm - 6" xr:uid="{54869392-AFBA-4121-A575-93FB5A47AF37}"/>
    <hyperlink ref="G227" r:id="rId97" location="6" display="http://matoumatheux.ac-rennes.fr/num/fractions/6/cocktail4.htm - 6" xr:uid="{8A1A7842-29CD-43BD-A9A0-6E41776357BC}"/>
    <hyperlink ref="G229" r:id="rId98" location="6" display="http://matoumatheux.ac-rennes.fr/num/fractions/6/fractionsM.htm - 6" xr:uid="{5E85CC8C-4B34-4F4D-A1E1-48F2D2FD2E25}"/>
    <hyperlink ref="G230" r:id="rId99" location="6" display="http://matoumatheux.ac-rennes.fr/num/fractions/6/fractionsM2.htm - 6" xr:uid="{DB3BABE9-2C68-4356-8E11-111763D8B095}"/>
    <hyperlink ref="G228" r:id="rId100" location="6" display="http://matoumatheux.ac-rennes.fr/num/fractions/6/menthe.htm - 6" xr:uid="{6412520C-EE6D-4D05-A12A-368189505194}"/>
    <hyperlink ref="G231" r:id="rId101" location="6" display="http://matoumatheux.ac-rennes.fr/num/fractions/6/poisson.htm - 6" xr:uid="{2EE1D511-285B-4CA0-8FD8-7AD37323D097}"/>
    <hyperlink ref="G232" r:id="rId102" location="6" display="http://matoumatheux.ac-rennes.fr/num/proportionnalite/6/creme.htm - 6" xr:uid="{494B54EB-963F-4D39-A4AB-1AAAF5986BA6}"/>
    <hyperlink ref="K223" r:id="rId103" location="6" display="http://matoumatheux.ac-rennes.fr/num/proportionnalite/6/gateauriz.htm - 6" xr:uid="{C012E66E-82E8-429E-A86B-C76C4B7977EF}"/>
    <hyperlink ref="K224" r:id="rId104" location="6" display="http://matoumatheux.ac-rennes.fr/num/proportionnalite/6/far.htm - 6" xr:uid="{A7931EC8-4F15-4E03-9839-14C2D908F535}"/>
    <hyperlink ref="K225" r:id="rId105" location="6" display="http://matoumatheux.ac-rennes.fr/num/proportionnalite/6/boulangerie.htm - 6" xr:uid="{A4F52815-B8A8-4C75-AF88-59B6F215E0FF}"/>
    <hyperlink ref="B232" r:id="rId106" location="6" display="http://matoumatheux.ac-rennes.fr/geom/unite/mesureur.htm - 6" xr:uid="{C7714B86-29DC-44EE-83B2-81F370D8610F}"/>
    <hyperlink ref="K228" r:id="rId107" location="6" display="http://matoumatheux.ac-rennes.fr/cours/mesures/convlong.htm - 6" xr:uid="{C5C43985-80E7-4FDE-97D1-29198B7A4E5C}"/>
    <hyperlink ref="K229" r:id="rId108" location="6" display="http://matoumatheux.ac-rennes.fr/cours/mesures/convmasse.htm - 6" xr:uid="{1F42DA5C-A620-4135-BEB9-EA77319E57A9}"/>
    <hyperlink ref="K230" r:id="rId109" location="6" display="http://matoumatheux.ac-rennes.fr/geom/cercle/Bebert11.htm - 6" xr:uid="{1F0FFE0D-0F24-4804-9B8B-017AC64412A2}"/>
    <hyperlink ref="K231" r:id="rId110" location="6" display="http://matoumatheux.ac-rennes.fr/geom/cercle/Bebert21.htm - 6" xr:uid="{B5697E1A-24A2-46C8-BC59-2C051F81D52E}"/>
    <hyperlink ref="K232" r:id="rId111" location="6" display="http://matoumatheux.ac-rennes.fr/geom/cercle/chien.htm - 6" xr:uid="{2B5D5AC6-848A-4F01-96D9-ED7FFE43E239}"/>
    <hyperlink ref="O223" r:id="rId112" location="6" display="http://matoumatheux.ac-rennes.fr/geom/solides/6/ruban.htm - 6" xr:uid="{7E144B34-73FD-467F-B801-D291320CD51F}"/>
    <hyperlink ref="O224" r:id="rId113" location="5" display="http://matoumatheux.ac-rennes.fr/geom/cercle/5/aire.htm - 5" xr:uid="{73333ADD-0F1D-469F-A905-FA772C724B61}"/>
    <hyperlink ref="O225" r:id="rId114" location="5" display="http://matoumatheux.ac-rennes.fr/geom/cercle/5/rayon.htm - 5" xr:uid="{5B91EF7F-13C3-495B-97E9-8E892152B3E9}"/>
    <hyperlink ref="O226" r:id="rId115" location="5" display="http://matoumatheux.ac-rennes.fr/geom/cercle/5/couronne.htm - 5" xr:uid="{E4E1AFB1-A78C-4824-A6E9-FD6EEE90F222}"/>
    <hyperlink ref="O227" r:id="rId116" location="5" display="http://matoumatheux.ac-rennes.fr/geom/solides/5/airecylindre.htm - 5" xr:uid="{5834CA9C-934C-4AE6-8081-411504FB473A}"/>
    <hyperlink ref="O228" r:id="rId117" location="5" display="http://matoumatheux.ac-rennes.fr/geom/solides/5/volcylindre.htm - 5" xr:uid="{6F7FA84B-5BB6-43AF-8470-1F7D7959953C}"/>
    <hyperlink ref="O230" r:id="rId118" location="4" display="http://matoumatheux.ac-rennes.fr/num/puissances/gateau.htm - 4" xr:uid="{7DFB271B-3B86-4F8E-9813-0A5E3F100EE2}"/>
    <hyperlink ref="O229" r:id="rId119" location="4" display="http://matoumatheux.ac-rennes.fr/cours/volume/cylindre.htm - 4" xr:uid="{5F648752-34A3-4284-9503-46E2A7C92B52}"/>
    <hyperlink ref="O231" r:id="rId120" location="4" display="http://matoumatheux.ac-rennes.fr/cours/aire/airerect.htm - 4" xr:uid="{95E358F4-65FB-436D-A397-C73F250F58CB}"/>
    <hyperlink ref="O232" r:id="rId121" location="3" display="http://matoumatheux.ac-rennes.fr/num/diviseur/probleme1.htm - 3" xr:uid="{1B596B6F-7512-4C7A-A8C3-348457078783}"/>
    <hyperlink ref="O233" r:id="rId122" location="3" display="http://matoumatheux.ac-rennes.fr/num/courbe/casserole.htm - 3" xr:uid="{D16C14EE-407C-480B-96B7-DA06DB35AEC7}"/>
    <hyperlink ref="B236" r:id="rId123" xr:uid="{4AD85157-AB9E-475B-A028-2763136A7D72}"/>
    <hyperlink ref="G236" r:id="rId124" xr:uid="{464E19A2-A55F-4B4A-A207-201D4F1E9016}"/>
    <hyperlink ref="K236" r:id="rId125" xr:uid="{98AC5F31-7478-4360-A535-453961301E93}"/>
    <hyperlink ref="O236" r:id="rId126" location="q=RECETTES+PATISSERIE" xr:uid="{71AA21F3-93BE-40CE-8448-CCD560311AA9}"/>
    <hyperlink ref="E239" r:id="rId127" xr:uid="{569F3023-521F-4348-B137-D2BFD8179066}"/>
    <hyperlink ref="G239" r:id="rId128" xr:uid="{7592FF3C-C5F3-4798-9FB7-5F0E45CA5740}"/>
    <hyperlink ref="J239" r:id="rId129" xr:uid="{7E0F19C7-0E6F-43E8-B024-C00DE4C71B08}"/>
    <hyperlink ref="M239" r:id="rId130" xr:uid="{532B8B97-8381-4DDD-ACD8-A47C550C6A15}"/>
    <hyperlink ref="J280" r:id="rId131" xr:uid="{373C6CAB-AF93-44BE-A044-3917D41A4F26}"/>
    <hyperlink ref="B404" r:id="rId132" xr:uid="{6DB767C5-3231-4BF6-AF25-014FE2C5BE6A}"/>
    <hyperlink ref="D369" r:id="rId133" xr:uid="{CA161F1D-1A66-4EBF-85CC-E72E0563D1AB}"/>
  </hyperlinks>
  <pageMargins left="0.7" right="0.7" top="0.75" bottom="0.75" header="0.3" footer="0.3"/>
  <pageSetup paperSize="9" orientation="portrait" r:id="rId134"/>
  <drawing r:id="rId1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1A8AD-639B-4085-9861-C7004641C1AE}">
  <dimension ref="A1:AR81"/>
  <sheetViews>
    <sheetView zoomScale="75" zoomScaleNormal="75" workbookViewId="0">
      <selection activeCell="V17" sqref="V17"/>
    </sheetView>
  </sheetViews>
  <sheetFormatPr baseColWidth="10" defaultRowHeight="12.75"/>
  <cols>
    <col min="1" max="2" width="11.42578125" style="311"/>
    <col min="3" max="3" width="16" style="311" customWidth="1"/>
    <col min="4" max="18" width="11.42578125" style="311"/>
    <col min="19" max="19" width="16" style="311" customWidth="1"/>
    <col min="20" max="20" width="12.140625" style="311" customWidth="1"/>
    <col min="21" max="21" width="15.28515625" style="311" customWidth="1"/>
    <col min="22" max="22" width="11.42578125" style="311"/>
    <col min="23" max="23" width="14.140625" style="311" customWidth="1"/>
    <col min="24" max="16384" width="11.42578125" style="311"/>
  </cols>
  <sheetData>
    <row r="1" spans="1:29" ht="30" customHeight="1">
      <c r="A1" s="309"/>
      <c r="B1" s="309"/>
      <c r="C1" s="309"/>
      <c r="D1" s="309"/>
      <c r="E1" s="309"/>
      <c r="F1" s="309"/>
      <c r="G1" s="309"/>
      <c r="H1" s="309"/>
      <c r="I1" s="309"/>
      <c r="J1" s="309"/>
      <c r="K1" s="309"/>
      <c r="L1" s="310"/>
      <c r="M1" s="310"/>
      <c r="N1" s="310"/>
      <c r="O1" s="310"/>
      <c r="P1" s="310"/>
      <c r="Q1" s="1521"/>
      <c r="R1" s="1521"/>
      <c r="S1" s="1521"/>
      <c r="T1" s="1521"/>
      <c r="U1" s="1521"/>
      <c r="V1" s="1521"/>
      <c r="W1" s="1521"/>
      <c r="X1" s="1521"/>
      <c r="Y1" s="1521"/>
      <c r="Z1" s="1521"/>
      <c r="AA1" s="1521"/>
      <c r="AB1" s="1521"/>
      <c r="AC1" s="1521"/>
    </row>
    <row r="2" spans="1:29" ht="30" customHeight="1">
      <c r="A2" s="309"/>
      <c r="B2" s="312" t="s">
        <v>2390</v>
      </c>
      <c r="C2" s="309"/>
      <c r="D2" s="309"/>
      <c r="E2" s="309"/>
      <c r="F2" s="309"/>
      <c r="G2" s="309"/>
      <c r="H2" s="309"/>
      <c r="I2" s="310"/>
      <c r="J2" s="309"/>
      <c r="K2" s="309"/>
      <c r="L2" s="310"/>
      <c r="M2" s="310"/>
      <c r="N2" s="310"/>
      <c r="O2" s="310"/>
      <c r="P2" s="310"/>
      <c r="Q2" s="1521"/>
      <c r="R2" s="1521"/>
      <c r="S2" s="1521"/>
      <c r="T2" s="1521"/>
      <c r="U2" s="1883" t="s">
        <v>15710</v>
      </c>
      <c r="V2" s="1521"/>
      <c r="W2" s="1521"/>
      <c r="X2" s="1521"/>
      <c r="Y2" s="1521"/>
      <c r="Z2" s="1521"/>
      <c r="AA2" s="1521"/>
      <c r="AB2" s="1521"/>
      <c r="AC2" s="1521"/>
    </row>
    <row r="3" spans="1:29" ht="30" customHeight="1">
      <c r="A3" s="309"/>
      <c r="B3" s="313" t="s">
        <v>2387</v>
      </c>
      <c r="C3" s="314"/>
      <c r="D3" s="309"/>
      <c r="E3" s="309"/>
      <c r="F3" s="309"/>
      <c r="G3" s="309"/>
      <c r="H3" s="309"/>
      <c r="I3" s="310"/>
      <c r="J3" s="309"/>
      <c r="K3" s="309"/>
      <c r="L3" s="310"/>
      <c r="M3" s="310"/>
      <c r="N3" s="310"/>
      <c r="O3" s="310"/>
      <c r="P3" s="310"/>
      <c r="Q3" s="1521"/>
      <c r="R3" s="1521"/>
      <c r="S3" s="1521"/>
      <c r="T3" s="1521"/>
      <c r="U3" s="1883" t="s">
        <v>2548</v>
      </c>
      <c r="V3" s="1521"/>
      <c r="W3" s="1521"/>
      <c r="X3" s="1521"/>
      <c r="Y3" s="1521"/>
      <c r="Z3" s="1521"/>
      <c r="AA3" s="1521"/>
      <c r="AB3" s="1521"/>
      <c r="AC3" s="1521"/>
    </row>
    <row r="4" spans="1:29" ht="30" customHeight="1">
      <c r="A4" s="309"/>
      <c r="B4" s="313" t="s">
        <v>2388</v>
      </c>
      <c r="C4" s="314"/>
      <c r="D4" s="309"/>
      <c r="E4" s="309"/>
      <c r="F4" s="309"/>
      <c r="G4" s="309"/>
      <c r="H4" s="309"/>
      <c r="I4" s="310"/>
      <c r="J4" s="309"/>
      <c r="K4" s="309"/>
      <c r="L4" s="310"/>
      <c r="M4" s="310"/>
      <c r="N4" s="310"/>
      <c r="O4" s="310"/>
      <c r="P4" s="310"/>
      <c r="Q4" s="1521"/>
      <c r="R4" s="1521"/>
      <c r="S4" s="1521"/>
      <c r="T4" s="1521"/>
      <c r="U4" s="1521"/>
      <c r="V4" s="1521"/>
      <c r="W4" s="1521"/>
      <c r="X4" s="1521"/>
      <c r="Y4" s="1521"/>
      <c r="Z4" s="1521"/>
      <c r="AA4" s="1521"/>
      <c r="AB4" s="1521"/>
      <c r="AC4" s="1521"/>
    </row>
    <row r="5" spans="1:29" ht="30" customHeight="1">
      <c r="A5" s="309"/>
      <c r="B5" s="313" t="s">
        <v>2389</v>
      </c>
      <c r="C5" s="314"/>
      <c r="D5" s="309"/>
      <c r="E5" s="309"/>
      <c r="F5" s="309"/>
      <c r="G5" s="309"/>
      <c r="H5" s="309"/>
      <c r="I5" s="310"/>
      <c r="J5" s="309"/>
      <c r="K5" s="309"/>
      <c r="L5" s="310"/>
      <c r="M5" s="310"/>
      <c r="N5" s="310"/>
      <c r="O5" s="310"/>
      <c r="P5" s="310"/>
      <c r="Q5" s="1521"/>
      <c r="R5" s="1521"/>
      <c r="S5" s="1521"/>
      <c r="T5" s="1521"/>
      <c r="U5" s="2144" t="str">
        <f ca="1">"Page "&amp;_xlfn.SHEET()&amp;" sur "&amp;_xlfn.SHEETS()</f>
        <v>Page 3 sur 41</v>
      </c>
      <c r="V5" s="2144"/>
      <c r="W5" s="1521"/>
      <c r="X5" s="1521"/>
      <c r="Y5" s="1521"/>
      <c r="Z5" s="1521"/>
      <c r="AA5" s="1521"/>
      <c r="AB5" s="1521"/>
      <c r="AC5" s="1521"/>
    </row>
    <row r="6" spans="1:29" ht="30" customHeight="1">
      <c r="A6" s="309"/>
      <c r="B6" s="313" t="s">
        <v>505</v>
      </c>
      <c r="C6" s="309"/>
      <c r="D6" s="309"/>
      <c r="E6" s="309"/>
      <c r="F6" s="309"/>
      <c r="G6" s="309"/>
      <c r="H6" s="309"/>
      <c r="I6" s="310"/>
      <c r="J6" s="309"/>
      <c r="K6" s="309"/>
      <c r="L6" s="310"/>
      <c r="M6" s="310"/>
      <c r="N6" s="310"/>
      <c r="O6" s="310"/>
      <c r="P6" s="310"/>
      <c r="Q6" s="1521"/>
      <c r="R6" s="1521"/>
      <c r="S6" s="1521"/>
      <c r="T6" s="1521"/>
      <c r="U6" s="1521"/>
      <c r="V6" s="1521"/>
      <c r="W6" s="1521"/>
      <c r="X6" s="1521"/>
      <c r="Y6" s="1521"/>
      <c r="Z6" s="1521"/>
      <c r="AA6" s="1521"/>
      <c r="AB6" s="1521"/>
      <c r="AC6" s="1521"/>
    </row>
    <row r="7" spans="1:29" ht="30" customHeight="1">
      <c r="A7" s="309"/>
      <c r="B7" s="313"/>
      <c r="C7" s="309"/>
      <c r="D7" s="309"/>
      <c r="E7" s="309"/>
      <c r="F7" s="309"/>
      <c r="G7" s="309"/>
      <c r="H7" s="309"/>
      <c r="I7" s="310"/>
      <c r="J7" s="309"/>
      <c r="K7" s="309"/>
      <c r="L7" s="310"/>
      <c r="M7" s="310"/>
      <c r="N7" s="310"/>
      <c r="O7" s="310"/>
      <c r="P7" s="310"/>
      <c r="Q7" s="1521"/>
      <c r="R7" s="1521"/>
      <c r="S7" s="1521"/>
      <c r="T7" s="1521"/>
      <c r="U7" s="1521"/>
      <c r="V7" s="1521"/>
      <c r="W7" s="1521"/>
      <c r="X7" s="1521"/>
      <c r="Y7" s="1521"/>
      <c r="Z7" s="1521"/>
      <c r="AA7" s="1521"/>
      <c r="AB7" s="1521"/>
      <c r="AC7" s="1521"/>
    </row>
    <row r="8" spans="1:29" ht="30" customHeight="1" thickBot="1">
      <c r="A8" s="309"/>
      <c r="B8" s="7753" t="s">
        <v>2523</v>
      </c>
      <c r="C8" s="7753"/>
      <c r="D8" s="7753"/>
      <c r="E8" s="7753"/>
      <c r="F8" s="7753"/>
      <c r="G8" s="7753"/>
      <c r="H8" s="7753"/>
      <c r="I8" s="7753"/>
      <c r="J8" s="7753"/>
      <c r="K8" s="7753"/>
      <c r="L8" s="7753"/>
      <c r="M8" s="7753"/>
      <c r="N8" s="7753"/>
      <c r="O8" s="7753"/>
      <c r="P8" s="7753"/>
      <c r="Q8" s="1521"/>
      <c r="R8" s="7760" t="s">
        <v>7</v>
      </c>
      <c r="S8" s="7758" t="str">
        <f ca="1">CELL("nomfichier")</f>
        <v>D:\Données\1.UPRT\0-UPRT.fait\1-UPRT.FR-SITE-WEB\ff-fiches-fabrications\ff.fiches.fabrication.2023\UPRT.23.aout\[ff-20-CHARCUTERIE-michel-Mariette.BOUDIN.BLANC_-1.xlsx]Exemples Michel Mariette</v>
      </c>
      <c r="T8" s="7758"/>
      <c r="U8" s="7758"/>
      <c r="V8" s="7758"/>
      <c r="W8" s="7758"/>
      <c r="X8" s="7758"/>
      <c r="Y8" s="7758"/>
      <c r="Z8" s="7758"/>
      <c r="AA8" s="7758"/>
      <c r="AB8" s="7758"/>
      <c r="AC8" s="7758"/>
    </row>
    <row r="9" spans="1:29" ht="30" customHeight="1" thickBot="1">
      <c r="A9" s="309"/>
      <c r="B9" s="1783" t="s">
        <v>2546</v>
      </c>
      <c r="C9" s="1784"/>
      <c r="D9" s="1784"/>
      <c r="E9" s="1784"/>
      <c r="F9" s="1784"/>
      <c r="G9" s="1784"/>
      <c r="H9" s="1784"/>
      <c r="I9" s="1784"/>
      <c r="J9" s="1784"/>
      <c r="K9" s="1784"/>
      <c r="L9" s="1784"/>
      <c r="M9" s="1784"/>
      <c r="N9" s="1784"/>
      <c r="O9" s="1784"/>
      <c r="P9" s="1784"/>
      <c r="Q9" s="1521"/>
      <c r="R9" s="7760"/>
      <c r="S9" s="7758"/>
      <c r="T9" s="7758"/>
      <c r="U9" s="7758"/>
      <c r="V9" s="7758"/>
      <c r="W9" s="7758"/>
      <c r="X9" s="7758"/>
      <c r="Y9" s="7758"/>
      <c r="Z9" s="7758"/>
      <c r="AA9" s="7758"/>
      <c r="AB9" s="7758"/>
      <c r="AC9" s="7758"/>
    </row>
    <row r="10" spans="1:29" ht="30" customHeight="1">
      <c r="A10" s="309"/>
      <c r="B10" s="1780" t="s">
        <v>2469</v>
      </c>
      <c r="C10" s="1781"/>
      <c r="D10" s="1781"/>
      <c r="E10" s="1781"/>
      <c r="F10" s="1781"/>
      <c r="G10" s="1781"/>
      <c r="H10" s="1781"/>
      <c r="I10" s="1782"/>
      <c r="J10" s="1781"/>
      <c r="K10" s="1781"/>
      <c r="L10" s="1782"/>
      <c r="M10" s="1782"/>
      <c r="N10" s="1782"/>
      <c r="O10" s="1782"/>
      <c r="P10" s="1782"/>
      <c r="Q10" s="1521"/>
      <c r="R10" s="7761"/>
      <c r="S10" s="7759"/>
      <c r="T10" s="7759"/>
      <c r="U10" s="7759"/>
      <c r="V10" s="7759"/>
      <c r="W10" s="7759"/>
      <c r="X10" s="7759"/>
      <c r="Y10" s="7759"/>
      <c r="Z10" s="7759"/>
      <c r="AA10" s="7759"/>
      <c r="AB10" s="7759"/>
      <c r="AC10" s="7759"/>
    </row>
    <row r="11" spans="1:29" ht="30" customHeight="1">
      <c r="A11" s="309"/>
      <c r="B11" s="1780" t="s">
        <v>2524</v>
      </c>
      <c r="C11" s="1781"/>
      <c r="D11" s="1781"/>
      <c r="E11" s="1781"/>
      <c r="F11" s="1781"/>
      <c r="G11" s="1781"/>
      <c r="H11" s="1781"/>
      <c r="I11" s="1782"/>
      <c r="J11" s="1781"/>
      <c r="K11" s="1781"/>
      <c r="L11" s="1782"/>
      <c r="M11" s="1782"/>
      <c r="N11" s="1782"/>
      <c r="O11" s="1782"/>
      <c r="P11" s="1782"/>
      <c r="Q11" s="1521"/>
      <c r="R11" s="1521"/>
      <c r="S11" s="1521"/>
      <c r="T11" s="1521"/>
      <c r="U11" s="1521"/>
      <c r="V11" s="1521"/>
      <c r="W11" s="1521"/>
      <c r="X11" s="1521"/>
      <c r="Y11" s="1521"/>
      <c r="Z11" s="1521"/>
      <c r="AA11" s="1521"/>
      <c r="AB11" s="1521"/>
      <c r="AC11" s="1521"/>
    </row>
    <row r="12" spans="1:29" ht="30" customHeight="1">
      <c r="A12" s="309"/>
      <c r="B12" s="1780" t="s">
        <v>2527</v>
      </c>
      <c r="C12" s="1781"/>
      <c r="D12" s="1781"/>
      <c r="E12" s="1781"/>
      <c r="F12" s="1781"/>
      <c r="G12" s="1781"/>
      <c r="H12" s="1781"/>
      <c r="I12" s="1782"/>
      <c r="J12" s="1781"/>
      <c r="K12" s="1781"/>
      <c r="L12" s="1782"/>
      <c r="M12" s="1782"/>
      <c r="N12" s="1782"/>
      <c r="O12" s="1782"/>
      <c r="P12" s="1782"/>
      <c r="Q12" s="1521"/>
      <c r="R12" s="1521"/>
      <c r="S12" s="1521"/>
      <c r="T12" s="1521"/>
      <c r="U12" s="1521"/>
      <c r="V12" s="1521"/>
      <c r="W12" s="1521"/>
      <c r="X12" s="1521"/>
      <c r="Y12" s="1521"/>
      <c r="Z12" s="1521"/>
      <c r="AA12" s="1521"/>
      <c r="AB12" s="1521"/>
      <c r="AC12" s="1521"/>
    </row>
    <row r="13" spans="1:29" ht="30" customHeight="1">
      <c r="A13" s="309"/>
      <c r="B13" s="1780" t="s">
        <v>2528</v>
      </c>
      <c r="C13" s="1781"/>
      <c r="D13" s="1781"/>
      <c r="E13" s="1781"/>
      <c r="F13" s="1781"/>
      <c r="G13" s="1781"/>
      <c r="H13" s="1781"/>
      <c r="I13" s="1782"/>
      <c r="J13" s="1781"/>
      <c r="K13" s="1781"/>
      <c r="L13" s="1782"/>
      <c r="M13" s="1782"/>
      <c r="N13" s="1782"/>
      <c r="O13" s="1782"/>
      <c r="P13" s="1782"/>
      <c r="Q13" s="1521"/>
      <c r="R13" s="1521"/>
      <c r="S13" s="312" t="s">
        <v>16245</v>
      </c>
      <c r="T13" s="1521"/>
      <c r="U13" s="1521"/>
      <c r="V13" s="1521"/>
      <c r="W13" s="1521"/>
      <c r="X13" s="1521"/>
      <c r="Y13" s="1521"/>
      <c r="Z13" s="1521"/>
      <c r="AA13" s="1521"/>
      <c r="AB13" s="1521"/>
      <c r="AC13" s="1521"/>
    </row>
    <row r="14" spans="1:29" ht="30" customHeight="1">
      <c r="A14" s="309"/>
      <c r="B14" s="1780" t="s">
        <v>2529</v>
      </c>
      <c r="C14" s="1781"/>
      <c r="D14" s="1781"/>
      <c r="E14" s="1781"/>
      <c r="F14" s="1781"/>
      <c r="G14" s="1781"/>
      <c r="H14" s="1781"/>
      <c r="I14" s="1782"/>
      <c r="J14" s="1781"/>
      <c r="K14" s="1781"/>
      <c r="L14" s="1782"/>
      <c r="M14" s="1782"/>
      <c r="N14" s="1782"/>
      <c r="O14" s="1782"/>
      <c r="P14" s="1782"/>
      <c r="Q14" s="1521"/>
      <c r="R14" s="1521"/>
      <c r="S14" s="1521"/>
      <c r="T14" s="1521"/>
      <c r="U14" s="1521"/>
      <c r="V14" s="1521"/>
      <c r="W14" s="1521"/>
      <c r="X14" s="1521"/>
      <c r="Y14" s="1521"/>
      <c r="Z14" s="1521"/>
      <c r="AA14" s="1521"/>
      <c r="AB14" s="1521"/>
      <c r="AC14" s="1521"/>
    </row>
    <row r="15" spans="1:29" ht="30" customHeight="1">
      <c r="A15" s="309"/>
      <c r="B15" s="1780" t="s">
        <v>2530</v>
      </c>
      <c r="C15" s="1781"/>
      <c r="D15" s="1781"/>
      <c r="E15" s="1781"/>
      <c r="F15" s="1781"/>
      <c r="G15" s="1781"/>
      <c r="H15" s="1781"/>
      <c r="I15" s="1782"/>
      <c r="J15" s="1781"/>
      <c r="K15" s="1781"/>
      <c r="L15" s="1782"/>
      <c r="M15" s="1782"/>
      <c r="N15" s="1782"/>
      <c r="O15" s="1782"/>
      <c r="P15" s="1782"/>
      <c r="Q15" s="1521"/>
      <c r="R15" s="1521"/>
      <c r="S15" s="1521"/>
      <c r="T15" s="1521"/>
      <c r="U15" s="1521"/>
      <c r="V15" s="1521"/>
      <c r="W15" s="1521"/>
      <c r="X15" s="1521"/>
      <c r="Y15" s="1521"/>
      <c r="Z15" s="1521"/>
      <c r="AA15" s="1521"/>
      <c r="AB15" s="1521"/>
      <c r="AC15" s="1521"/>
    </row>
    <row r="16" spans="1:29" ht="30" customHeight="1">
      <c r="A16" s="309"/>
      <c r="B16" s="1780" t="s">
        <v>2531</v>
      </c>
      <c r="C16" s="1781"/>
      <c r="D16" s="1781"/>
      <c r="E16" s="1781"/>
      <c r="F16" s="1781"/>
      <c r="G16" s="1781"/>
      <c r="H16" s="1781"/>
      <c r="I16" s="1782"/>
      <c r="J16" s="1781"/>
      <c r="K16" s="1781"/>
      <c r="L16" s="1782"/>
      <c r="M16" s="1782"/>
      <c r="N16" s="1782"/>
      <c r="O16" s="1782"/>
      <c r="P16" s="1782"/>
      <c r="Q16" s="1521"/>
      <c r="R16" s="1521"/>
      <c r="S16" s="1521"/>
      <c r="T16" s="1521"/>
      <c r="U16" s="1521"/>
      <c r="V16" s="1521"/>
      <c r="W16" s="1521"/>
      <c r="X16" s="1521"/>
      <c r="Y16" s="1521"/>
      <c r="Z16" s="1521"/>
      <c r="AA16" s="1521"/>
      <c r="AB16" s="1521"/>
      <c r="AC16" s="1521"/>
    </row>
    <row r="17" spans="1:29" ht="30" customHeight="1">
      <c r="A17" s="309"/>
      <c r="B17" s="1780" t="s">
        <v>2532</v>
      </c>
      <c r="C17" s="1781"/>
      <c r="D17" s="1781"/>
      <c r="E17" s="1781"/>
      <c r="F17" s="1781"/>
      <c r="G17" s="1781"/>
      <c r="H17" s="1781"/>
      <c r="I17" s="1782"/>
      <c r="J17" s="1781"/>
      <c r="K17" s="1781"/>
      <c r="L17" s="1782"/>
      <c r="M17" s="1782"/>
      <c r="N17" s="1782"/>
      <c r="O17" s="1782"/>
      <c r="P17" s="1782"/>
      <c r="Q17" s="1521"/>
      <c r="R17" s="1521"/>
      <c r="S17" s="1521"/>
      <c r="T17" s="1521"/>
      <c r="U17" s="1521"/>
      <c r="V17" s="1521"/>
      <c r="W17" s="1521"/>
      <c r="X17" s="1521"/>
      <c r="Y17" s="1521"/>
      <c r="Z17" s="1521"/>
      <c r="AA17" s="1521"/>
      <c r="AB17" s="1521"/>
      <c r="AC17" s="1521"/>
    </row>
    <row r="18" spans="1:29" ht="30" customHeight="1">
      <c r="A18" s="309"/>
      <c r="B18" s="1780" t="s">
        <v>2533</v>
      </c>
      <c r="C18" s="1781"/>
      <c r="D18" s="1781"/>
      <c r="E18" s="1781"/>
      <c r="F18" s="1781"/>
      <c r="G18" s="1781"/>
      <c r="H18" s="1781"/>
      <c r="I18" s="1782"/>
      <c r="J18" s="1781"/>
      <c r="K18" s="1781"/>
      <c r="L18" s="1782"/>
      <c r="M18" s="1782"/>
      <c r="N18" s="1782"/>
      <c r="O18" s="1782"/>
      <c r="P18" s="1782"/>
      <c r="Q18" s="1521"/>
      <c r="R18" s="1521"/>
      <c r="S18" s="1521"/>
      <c r="T18" s="1521"/>
      <c r="U18" s="1521"/>
      <c r="V18" s="1521"/>
      <c r="W18" s="1521"/>
      <c r="X18" s="1521"/>
      <c r="Y18" s="1521"/>
      <c r="Z18" s="1521"/>
      <c r="AA18" s="1521"/>
      <c r="AB18" s="1521"/>
      <c r="AC18" s="1521"/>
    </row>
    <row r="19" spans="1:29" ht="30" customHeight="1">
      <c r="A19" s="309"/>
      <c r="B19" s="1780" t="s">
        <v>2534</v>
      </c>
      <c r="C19" s="1781"/>
      <c r="D19" s="1781"/>
      <c r="E19" s="1781"/>
      <c r="F19" s="1781"/>
      <c r="G19" s="1781"/>
      <c r="H19" s="1781"/>
      <c r="I19" s="1782"/>
      <c r="J19" s="1781"/>
      <c r="K19" s="1781"/>
      <c r="L19" s="1782"/>
      <c r="M19" s="1782"/>
      <c r="N19" s="1782"/>
      <c r="O19" s="1782"/>
      <c r="P19" s="1782"/>
      <c r="Q19" s="1521"/>
      <c r="R19" s="1521"/>
      <c r="S19" s="1521"/>
      <c r="T19" s="1521"/>
      <c r="U19" s="1521"/>
      <c r="V19" s="1521"/>
      <c r="W19" s="1521"/>
      <c r="X19" s="1521"/>
      <c r="Y19" s="1521"/>
      <c r="Z19" s="1521"/>
      <c r="AA19" s="1521"/>
      <c r="AB19" s="1521"/>
      <c r="AC19" s="1521"/>
    </row>
    <row r="20" spans="1:29" ht="30" customHeight="1">
      <c r="A20" s="309"/>
      <c r="B20" s="1780" t="s">
        <v>2535</v>
      </c>
      <c r="C20" s="1781"/>
      <c r="D20" s="1781"/>
      <c r="E20" s="1781"/>
      <c r="F20" s="1781"/>
      <c r="G20" s="1781"/>
      <c r="H20" s="1781"/>
      <c r="I20" s="1782"/>
      <c r="J20" s="1781"/>
      <c r="K20" s="1781"/>
      <c r="L20" s="1782"/>
      <c r="M20" s="1782"/>
      <c r="N20" s="1782"/>
      <c r="O20" s="1782"/>
      <c r="P20" s="1782"/>
      <c r="Q20" s="1521"/>
      <c r="R20" s="1521"/>
      <c r="S20" s="1521"/>
      <c r="T20" s="1521"/>
      <c r="U20" s="1521"/>
      <c r="V20" s="1521"/>
      <c r="W20" s="1521"/>
      <c r="X20" s="1521"/>
      <c r="Y20" s="1521"/>
      <c r="Z20" s="1521"/>
      <c r="AA20" s="1521"/>
      <c r="AB20" s="1521"/>
      <c r="AC20" s="1521"/>
    </row>
    <row r="21" spans="1:29" ht="30" customHeight="1">
      <c r="A21" s="309"/>
      <c r="B21" s="1780" t="s">
        <v>7184</v>
      </c>
      <c r="C21" s="1781"/>
      <c r="D21" s="1781"/>
      <c r="E21" s="1781"/>
      <c r="F21" s="1781"/>
      <c r="G21" s="1781"/>
      <c r="H21" s="1781"/>
      <c r="I21" s="1782"/>
      <c r="J21" s="1781"/>
      <c r="K21" s="1781"/>
      <c r="L21" s="1782"/>
      <c r="M21" s="1782"/>
      <c r="N21" s="1782"/>
      <c r="O21" s="1782"/>
      <c r="P21" s="1782"/>
      <c r="Q21" s="1521"/>
      <c r="R21" s="1521"/>
      <c r="S21" s="1521"/>
      <c r="T21" s="1521"/>
      <c r="U21" s="1521"/>
      <c r="V21" s="1521"/>
      <c r="W21" s="1521"/>
      <c r="X21" s="1521"/>
      <c r="Y21" s="1521"/>
      <c r="Z21" s="1521"/>
      <c r="AA21" s="1521"/>
      <c r="AB21" s="1521"/>
      <c r="AC21" s="1521"/>
    </row>
    <row r="22" spans="1:29" ht="30" customHeight="1">
      <c r="A22" s="309"/>
      <c r="B22" s="1780" t="s">
        <v>2536</v>
      </c>
      <c r="C22" s="1781"/>
      <c r="D22" s="1781"/>
      <c r="E22" s="1781"/>
      <c r="F22" s="1781"/>
      <c r="G22" s="1781"/>
      <c r="H22" s="1781"/>
      <c r="I22" s="1782"/>
      <c r="J22" s="1781"/>
      <c r="K22" s="1781"/>
      <c r="L22" s="1782"/>
      <c r="M22" s="1782"/>
      <c r="N22" s="1782"/>
      <c r="O22" s="1782"/>
      <c r="P22" s="1782"/>
      <c r="Q22" s="1521"/>
      <c r="R22" s="1521"/>
      <c r="S22" s="1521"/>
      <c r="T22" s="1521"/>
      <c r="U22" s="1521"/>
      <c r="V22" s="1521"/>
      <c r="W22" s="1521"/>
      <c r="X22" s="1521"/>
      <c r="Y22" s="1521"/>
      <c r="Z22" s="1521"/>
      <c r="AA22" s="1521"/>
      <c r="AB22" s="1521"/>
      <c r="AC22" s="1521"/>
    </row>
    <row r="23" spans="1:29" ht="30" customHeight="1">
      <c r="A23" s="309"/>
      <c r="B23" s="1780" t="s">
        <v>2537</v>
      </c>
      <c r="C23" s="1781"/>
      <c r="D23" s="1781"/>
      <c r="E23" s="1781"/>
      <c r="F23" s="1781"/>
      <c r="G23" s="1781"/>
      <c r="H23" s="1781"/>
      <c r="I23" s="1782"/>
      <c r="J23" s="1781"/>
      <c r="K23" s="1781"/>
      <c r="L23" s="1782"/>
      <c r="M23" s="1782"/>
      <c r="N23" s="1782"/>
      <c r="O23" s="1782"/>
      <c r="P23" s="1782"/>
      <c r="Q23" s="1521"/>
      <c r="R23" s="1521"/>
      <c r="S23" s="1521"/>
      <c r="T23" s="1521"/>
      <c r="U23" s="1521"/>
      <c r="V23" s="1521"/>
      <c r="W23" s="1521"/>
      <c r="X23" s="1521"/>
      <c r="Y23" s="1521"/>
      <c r="Z23" s="1521"/>
      <c r="AA23" s="1521"/>
      <c r="AB23" s="1521"/>
      <c r="AC23" s="1521"/>
    </row>
    <row r="24" spans="1:29" ht="30" customHeight="1">
      <c r="A24" s="309"/>
      <c r="B24" s="1780" t="s">
        <v>2538</v>
      </c>
      <c r="C24" s="1781"/>
      <c r="D24" s="1781"/>
      <c r="E24" s="1781"/>
      <c r="F24" s="1781"/>
      <c r="G24" s="1781"/>
      <c r="H24" s="1781"/>
      <c r="I24" s="1782"/>
      <c r="J24" s="1781"/>
      <c r="K24" s="1781"/>
      <c r="L24" s="1782"/>
      <c r="M24" s="1782"/>
      <c r="N24" s="1782"/>
      <c r="O24" s="1782"/>
      <c r="P24" s="1782"/>
      <c r="Q24" s="1521"/>
      <c r="R24" s="1521"/>
      <c r="S24" s="1521"/>
      <c r="T24" s="1521"/>
      <c r="U24" s="1521"/>
      <c r="V24" s="1521"/>
      <c r="W24" s="1521"/>
      <c r="X24" s="1521"/>
      <c r="Y24" s="1521"/>
      <c r="Z24" s="1521"/>
      <c r="AA24" s="1521"/>
      <c r="AB24" s="1521"/>
      <c r="AC24" s="1521"/>
    </row>
    <row r="25" spans="1:29" ht="30" customHeight="1">
      <c r="A25" s="309"/>
      <c r="B25" s="1780" t="s">
        <v>2539</v>
      </c>
      <c r="C25" s="1781"/>
      <c r="D25" s="1781"/>
      <c r="E25" s="1781"/>
      <c r="F25" s="1781"/>
      <c r="G25" s="1781"/>
      <c r="H25" s="1781"/>
      <c r="I25" s="1782"/>
      <c r="J25" s="1781"/>
      <c r="K25" s="1781"/>
      <c r="L25" s="1782"/>
      <c r="M25" s="1782"/>
      <c r="N25" s="1782"/>
      <c r="O25" s="1782"/>
      <c r="P25" s="1782"/>
      <c r="Q25" s="1521"/>
      <c r="R25" s="1521"/>
      <c r="S25" s="1521"/>
      <c r="T25" s="1521"/>
      <c r="U25" s="1521"/>
      <c r="V25" s="1521"/>
      <c r="W25" s="1521"/>
      <c r="X25" s="1521"/>
      <c r="Y25" s="1521"/>
      <c r="Z25" s="1521"/>
      <c r="AA25" s="1521"/>
      <c r="AB25" s="1521"/>
      <c r="AC25" s="1521"/>
    </row>
    <row r="26" spans="1:29" ht="30" customHeight="1">
      <c r="A26" s="309"/>
      <c r="B26" s="1780" t="s">
        <v>2540</v>
      </c>
      <c r="C26" s="1781"/>
      <c r="D26" s="1781"/>
      <c r="E26" s="1781"/>
      <c r="F26" s="1781"/>
      <c r="G26" s="1781"/>
      <c r="H26" s="1781"/>
      <c r="I26" s="1782"/>
      <c r="J26" s="1781"/>
      <c r="K26" s="1781"/>
      <c r="L26" s="1782"/>
      <c r="M26" s="1782"/>
      <c r="N26" s="1782"/>
      <c r="O26" s="1782"/>
      <c r="P26" s="1782"/>
      <c r="Q26" s="1521"/>
      <c r="R26" s="1521"/>
      <c r="S26" s="1521"/>
      <c r="T26" s="1521"/>
      <c r="U26" s="1521"/>
      <c r="V26" s="1521"/>
      <c r="W26" s="1521"/>
      <c r="X26" s="1521"/>
      <c r="Y26" s="1521"/>
      <c r="Z26" s="1521"/>
      <c r="AA26" s="1521"/>
      <c r="AB26" s="1521"/>
      <c r="AC26" s="1521"/>
    </row>
    <row r="27" spans="1:29" ht="30" customHeight="1">
      <c r="A27" s="309"/>
      <c r="B27" s="1780" t="s">
        <v>1747</v>
      </c>
      <c r="C27" s="1781"/>
      <c r="D27" s="1781"/>
      <c r="E27" s="1781"/>
      <c r="F27" s="1781"/>
      <c r="G27" s="1781"/>
      <c r="H27" s="1781"/>
      <c r="I27" s="1782"/>
      <c r="J27" s="1781"/>
      <c r="K27" s="1781"/>
      <c r="L27" s="1782"/>
      <c r="M27" s="1782"/>
      <c r="N27" s="1782"/>
      <c r="O27" s="1782"/>
      <c r="P27" s="1782"/>
      <c r="Q27" s="1521"/>
      <c r="R27" s="1521"/>
      <c r="S27" s="1521"/>
      <c r="T27" s="1521"/>
      <c r="U27" s="1521"/>
      <c r="V27" s="1521"/>
      <c r="W27" s="1521"/>
      <c r="X27" s="1521"/>
      <c r="Y27" s="1521"/>
      <c r="Z27" s="1521"/>
      <c r="AA27" s="1521"/>
      <c r="AB27" s="1521"/>
      <c r="AC27" s="1521"/>
    </row>
    <row r="28" spans="1:29" ht="30" customHeight="1">
      <c r="A28" s="309"/>
      <c r="B28" s="1780" t="s">
        <v>2541</v>
      </c>
      <c r="C28" s="1781"/>
      <c r="D28" s="1781"/>
      <c r="E28" s="1781"/>
      <c r="F28" s="1781"/>
      <c r="G28" s="1781"/>
      <c r="H28" s="1781"/>
      <c r="I28" s="1782"/>
      <c r="J28" s="1781"/>
      <c r="K28" s="1781"/>
      <c r="L28" s="1782"/>
      <c r="M28" s="1782"/>
      <c r="N28" s="1782"/>
      <c r="O28" s="1782"/>
      <c r="P28" s="1782"/>
      <c r="Q28" s="1521"/>
      <c r="R28" s="1521"/>
      <c r="S28" s="1521"/>
      <c r="T28" s="1521"/>
      <c r="U28" s="1521"/>
      <c r="V28" s="1521"/>
      <c r="W28" s="1521"/>
      <c r="X28" s="1521"/>
      <c r="Y28" s="1521"/>
      <c r="Z28" s="1521"/>
      <c r="AA28" s="1521"/>
      <c r="AB28" s="1521"/>
      <c r="AC28" s="1521"/>
    </row>
    <row r="29" spans="1:29" ht="30" customHeight="1">
      <c r="A29" s="309"/>
      <c r="B29" s="1780" t="s">
        <v>2542</v>
      </c>
      <c r="C29" s="1781"/>
      <c r="D29" s="1781"/>
      <c r="E29" s="1781"/>
      <c r="F29" s="1781"/>
      <c r="G29" s="1781"/>
      <c r="H29" s="1781"/>
      <c r="I29" s="1782"/>
      <c r="J29" s="1781"/>
      <c r="K29" s="1781"/>
      <c r="L29" s="1782"/>
      <c r="M29" s="1782"/>
      <c r="N29" s="1782"/>
      <c r="O29" s="1782"/>
      <c r="P29" s="1782"/>
      <c r="Q29" s="1521"/>
      <c r="R29" s="1521"/>
      <c r="S29" s="1521"/>
      <c r="T29" s="1521"/>
      <c r="U29" s="1521"/>
      <c r="V29" s="1521"/>
      <c r="W29" s="1521"/>
      <c r="X29" s="1521"/>
      <c r="Y29" s="1521"/>
      <c r="Z29" s="1521"/>
      <c r="AA29" s="1521"/>
      <c r="AB29" s="1521"/>
      <c r="AC29" s="1521"/>
    </row>
    <row r="30" spans="1:29" ht="30" customHeight="1">
      <c r="A30" s="309"/>
      <c r="B30" s="1780" t="s">
        <v>2543</v>
      </c>
      <c r="C30" s="1781"/>
      <c r="D30" s="1781"/>
      <c r="E30" s="1781"/>
      <c r="F30" s="1781"/>
      <c r="G30" s="1781"/>
      <c r="H30" s="1781"/>
      <c r="I30" s="1782"/>
      <c r="J30" s="1781"/>
      <c r="K30" s="1781"/>
      <c r="L30" s="1782"/>
      <c r="M30" s="1782"/>
      <c r="N30" s="1782"/>
      <c r="O30" s="1782"/>
      <c r="P30" s="1782"/>
      <c r="Q30" s="1521"/>
      <c r="R30" s="1521"/>
      <c r="S30" s="1521"/>
      <c r="T30" s="1521"/>
      <c r="U30" s="1521"/>
      <c r="V30" s="1521"/>
      <c r="W30" s="1521"/>
      <c r="X30" s="1521"/>
      <c r="Y30" s="1521"/>
      <c r="Z30" s="1521"/>
      <c r="AA30" s="1521"/>
      <c r="AB30" s="1521"/>
      <c r="AC30" s="1521"/>
    </row>
    <row r="31" spans="1:29" ht="30" customHeight="1">
      <c r="A31" s="309"/>
      <c r="B31" s="1780" t="s">
        <v>2544</v>
      </c>
      <c r="C31" s="1781"/>
      <c r="D31" s="1781"/>
      <c r="E31" s="1781"/>
      <c r="F31" s="1781"/>
      <c r="G31" s="1781"/>
      <c r="H31" s="1781"/>
      <c r="I31" s="1782"/>
      <c r="J31" s="1781"/>
      <c r="K31" s="1781"/>
      <c r="L31" s="1782"/>
      <c r="M31" s="1782"/>
      <c r="N31" s="1782"/>
      <c r="O31" s="1782"/>
      <c r="P31" s="1782"/>
      <c r="Q31" s="1521"/>
      <c r="R31" s="1521"/>
      <c r="S31" s="1521"/>
      <c r="T31" s="1521"/>
      <c r="U31" s="1521"/>
      <c r="V31" s="1521"/>
      <c r="W31" s="1521"/>
      <c r="X31" s="1521"/>
      <c r="Y31" s="1521"/>
      <c r="Z31" s="1521"/>
      <c r="AA31" s="1521"/>
      <c r="AB31" s="1521"/>
      <c r="AC31" s="1521"/>
    </row>
    <row r="32" spans="1:29" ht="30" customHeight="1">
      <c r="A32" s="309"/>
      <c r="B32" s="1780" t="s">
        <v>2545</v>
      </c>
      <c r="C32" s="1781"/>
      <c r="D32" s="1781"/>
      <c r="E32" s="1781"/>
      <c r="F32" s="1781"/>
      <c r="G32" s="1781"/>
      <c r="H32" s="1781"/>
      <c r="I32" s="1782"/>
      <c r="J32" s="1781"/>
      <c r="K32" s="1781"/>
      <c r="L32" s="1782"/>
      <c r="M32" s="1782"/>
      <c r="N32" s="1782"/>
      <c r="O32" s="1782"/>
      <c r="P32" s="1782"/>
      <c r="Q32" s="1521"/>
      <c r="R32" s="1521"/>
      <c r="S32" s="1521"/>
      <c r="T32" s="1521"/>
      <c r="U32" s="1521"/>
      <c r="V32" s="1521"/>
      <c r="W32" s="1521"/>
      <c r="X32" s="1521"/>
      <c r="Y32" s="1521"/>
      <c r="Z32" s="1521"/>
      <c r="AA32" s="1521"/>
      <c r="AB32" s="1521"/>
      <c r="AC32" s="1521"/>
    </row>
    <row r="33" spans="1:44" ht="30" customHeight="1">
      <c r="A33" s="309"/>
      <c r="B33" s="1780" t="s">
        <v>2525</v>
      </c>
      <c r="C33" s="1781"/>
      <c r="D33" s="1781"/>
      <c r="E33" s="1781"/>
      <c r="F33" s="1781"/>
      <c r="G33" s="1781"/>
      <c r="H33" s="1781"/>
      <c r="I33" s="1782"/>
      <c r="J33" s="1781"/>
      <c r="K33" s="1781"/>
      <c r="L33" s="1782"/>
      <c r="M33" s="1782"/>
      <c r="N33" s="1782"/>
      <c r="O33" s="1782"/>
      <c r="P33" s="1782"/>
      <c r="Q33" s="1521"/>
      <c r="R33" s="1521"/>
      <c r="S33" s="1521"/>
      <c r="T33" s="1521"/>
      <c r="U33" s="1521"/>
      <c r="V33" s="1521"/>
      <c r="W33" s="1521"/>
      <c r="X33" s="1521"/>
      <c r="Y33" s="1521"/>
      <c r="Z33" s="1521"/>
      <c r="AA33" s="1521"/>
      <c r="AB33" s="1521"/>
      <c r="AC33" s="1521"/>
    </row>
    <row r="34" spans="1:44" ht="30" customHeight="1">
      <c r="A34" s="309"/>
      <c r="B34" s="1780" t="s">
        <v>2526</v>
      </c>
      <c r="C34" s="1781"/>
      <c r="D34" s="1781"/>
      <c r="E34" s="1781"/>
      <c r="F34" s="1781"/>
      <c r="G34" s="1781"/>
      <c r="H34" s="1781"/>
      <c r="I34" s="1782"/>
      <c r="J34" s="1781"/>
      <c r="K34" s="1781"/>
      <c r="L34" s="1782"/>
      <c r="M34" s="1782"/>
      <c r="N34" s="1782"/>
      <c r="O34" s="1782"/>
      <c r="P34" s="1782"/>
      <c r="Q34" s="1521"/>
      <c r="R34" s="1521"/>
      <c r="S34" s="1521"/>
      <c r="T34" s="1521"/>
      <c r="U34" s="1521"/>
      <c r="V34" s="1521"/>
      <c r="W34" s="1521"/>
      <c r="X34" s="1521"/>
      <c r="Y34" s="1521"/>
      <c r="Z34" s="1521"/>
      <c r="AA34" s="1521"/>
      <c r="AB34" s="1521"/>
      <c r="AC34" s="1521"/>
    </row>
    <row r="35" spans="1:44" ht="30" customHeight="1">
      <c r="A35" s="309"/>
      <c r="B35" s="1780"/>
      <c r="C35" s="1781"/>
      <c r="D35" s="1781"/>
      <c r="E35" s="1781"/>
      <c r="F35" s="1781"/>
      <c r="G35" s="1781"/>
      <c r="H35" s="1781"/>
      <c r="I35" s="1782"/>
      <c r="J35" s="1781"/>
      <c r="K35" s="1781"/>
      <c r="L35" s="1782"/>
      <c r="M35" s="1782"/>
      <c r="N35" s="1782"/>
      <c r="O35" s="1782"/>
      <c r="P35" s="1782"/>
      <c r="Q35" s="1521"/>
      <c r="R35" s="1521"/>
      <c r="S35" s="1521"/>
      <c r="T35" s="1521"/>
      <c r="U35" s="1521"/>
      <c r="V35" s="1521"/>
      <c r="W35" s="1521"/>
      <c r="X35" s="1521"/>
      <c r="Y35" s="1521"/>
      <c r="Z35" s="1521"/>
      <c r="AA35" s="1521"/>
      <c r="AB35" s="1521"/>
      <c r="AC35" s="1521"/>
    </row>
    <row r="36" spans="1:44" ht="30" customHeight="1" thickBot="1">
      <c r="A36" s="309"/>
      <c r="B36" s="313"/>
      <c r="C36" s="309"/>
      <c r="D36" s="309"/>
      <c r="E36" s="309"/>
      <c r="F36" s="309"/>
      <c r="G36" s="309"/>
      <c r="H36" s="309"/>
      <c r="I36" s="310"/>
      <c r="J36" s="309"/>
      <c r="K36" s="309"/>
      <c r="L36" s="310"/>
      <c r="M36" s="310"/>
      <c r="N36" s="310"/>
      <c r="O36" s="310"/>
      <c r="P36" s="310"/>
      <c r="Q36" s="1521"/>
      <c r="R36" s="1521"/>
      <c r="S36" s="1521"/>
      <c r="T36" s="1521"/>
      <c r="U36" s="1521"/>
      <c r="V36" s="1521"/>
      <c r="W36" s="1521"/>
      <c r="X36" s="1521"/>
      <c r="Y36" s="1521"/>
      <c r="Z36" s="1521"/>
      <c r="AA36" s="1521"/>
      <c r="AB36" s="1521"/>
      <c r="AC36" s="1521"/>
    </row>
    <row r="37" spans="1:44" ht="30" customHeight="1" thickTop="1" thickBot="1">
      <c r="A37" s="1522" t="s">
        <v>1283</v>
      </c>
      <c r="B37" s="7754" t="s">
        <v>1280</v>
      </c>
      <c r="C37" s="7755"/>
      <c r="D37" s="7755"/>
      <c r="E37" s="7755"/>
      <c r="F37" s="7755"/>
      <c r="G37" s="7756"/>
      <c r="H37" s="309"/>
      <c r="I37" s="310"/>
      <c r="J37" s="309"/>
      <c r="K37" s="309"/>
      <c r="L37" s="310"/>
      <c r="M37" s="310"/>
      <c r="N37" s="310"/>
      <c r="O37" s="310"/>
      <c r="P37" s="310"/>
      <c r="Q37" s="1521"/>
      <c r="R37" s="1521"/>
      <c r="S37" s="1521"/>
      <c r="T37" s="1521"/>
      <c r="U37" s="1521"/>
      <c r="V37" s="1521"/>
      <c r="W37" s="1521"/>
      <c r="X37" s="1521"/>
      <c r="Y37" s="1521"/>
      <c r="Z37" s="1521"/>
      <c r="AA37" s="1521"/>
      <c r="AB37" s="1521"/>
      <c r="AC37" s="1521"/>
    </row>
    <row r="38" spans="1:44" ht="30" customHeight="1">
      <c r="A38" s="309"/>
      <c r="B38" s="309"/>
      <c r="C38" s="309"/>
      <c r="D38" s="309"/>
      <c r="E38" s="309"/>
      <c r="F38" s="309"/>
      <c r="G38" s="309"/>
      <c r="H38" s="309"/>
      <c r="I38" s="309"/>
      <c r="J38" s="309"/>
      <c r="K38" s="309"/>
      <c r="L38" s="310"/>
      <c r="M38" s="310"/>
      <c r="N38" s="310"/>
      <c r="O38" s="310"/>
      <c r="P38" s="310"/>
      <c r="Q38" s="1521"/>
      <c r="R38" s="1521"/>
      <c r="S38" s="1521"/>
      <c r="T38" s="1521"/>
      <c r="U38" s="1521"/>
      <c r="V38" s="1521"/>
      <c r="W38" s="1521"/>
      <c r="X38" s="1521"/>
      <c r="Y38" s="1521"/>
      <c r="Z38" s="1521"/>
      <c r="AA38" s="1521"/>
      <c r="AB38" s="1521"/>
      <c r="AC38" s="1521"/>
    </row>
    <row r="39" spans="1:44" s="361" customFormat="1" ht="40.5" customHeight="1">
      <c r="A39" s="309"/>
      <c r="B39" s="1523" t="s">
        <v>2315</v>
      </c>
      <c r="C39" s="309"/>
      <c r="D39" s="309"/>
      <c r="E39" s="309"/>
      <c r="F39" s="309"/>
      <c r="G39" s="309"/>
      <c r="H39" s="309"/>
      <c r="I39" s="310"/>
      <c r="J39" s="309"/>
      <c r="K39" s="309"/>
      <c r="L39" s="310"/>
      <c r="M39" s="310"/>
      <c r="N39" s="310"/>
      <c r="O39" s="310"/>
      <c r="P39" s="310"/>
      <c r="Q39" s="1523" t="s">
        <v>2316</v>
      </c>
      <c r="R39" s="1521"/>
      <c r="S39" s="1521"/>
      <c r="T39" s="1521"/>
      <c r="U39" s="1521"/>
      <c r="V39" s="1521"/>
      <c r="W39" s="1521"/>
      <c r="X39" s="1521"/>
      <c r="Y39" s="1521"/>
      <c r="Z39" s="1521"/>
      <c r="AA39" s="1521"/>
      <c r="AB39" s="1521"/>
      <c r="AC39" s="1521"/>
      <c r="AD39" s="311"/>
      <c r="AE39" s="311"/>
      <c r="AF39" s="311"/>
      <c r="AG39" s="311"/>
      <c r="AH39" s="311"/>
      <c r="AI39" s="311"/>
      <c r="AJ39" s="311"/>
      <c r="AK39" s="311"/>
      <c r="AL39" s="311"/>
      <c r="AM39" s="311"/>
      <c r="AN39" s="311"/>
      <c r="AO39" s="311"/>
      <c r="AP39" s="311"/>
      <c r="AQ39" s="311"/>
      <c r="AR39" s="311"/>
    </row>
    <row r="40" spans="1:44" s="361" customFormat="1" ht="40.5" customHeight="1">
      <c r="A40" s="309"/>
      <c r="B40" s="315"/>
      <c r="C40" s="1524" t="s">
        <v>2317</v>
      </c>
      <c r="D40" s="309"/>
      <c r="E40" s="1525" t="s">
        <v>2318</v>
      </c>
      <c r="F40" s="310"/>
      <c r="G40" s="1526" t="s">
        <v>2319</v>
      </c>
      <c r="H40" s="309"/>
      <c r="I40" s="310"/>
      <c r="J40" s="313" t="s">
        <v>2320</v>
      </c>
      <c r="K40" s="309"/>
      <c r="L40" s="310"/>
      <c r="M40" s="310"/>
      <c r="N40" s="310"/>
      <c r="O40" s="310"/>
      <c r="P40" s="310"/>
      <c r="Q40" s="1527" t="s">
        <v>2321</v>
      </c>
      <c r="R40" s="1528"/>
      <c r="S40" s="1529">
        <v>15.5</v>
      </c>
      <c r="T40" s="1521"/>
      <c r="U40" s="1530">
        <v>15.5</v>
      </c>
      <c r="V40" s="1521"/>
      <c r="W40" s="1531">
        <v>15.5</v>
      </c>
      <c r="X40" s="1521"/>
      <c r="Y40" s="1521"/>
      <c r="Z40" s="1521"/>
      <c r="AA40" s="1521"/>
      <c r="AB40" s="1521"/>
      <c r="AC40" s="1521"/>
      <c r="AD40" s="311"/>
      <c r="AE40" s="311"/>
      <c r="AF40" s="311"/>
      <c r="AG40" s="311"/>
      <c r="AH40" s="311"/>
      <c r="AI40" s="311"/>
      <c r="AJ40" s="311"/>
      <c r="AK40" s="311"/>
      <c r="AL40" s="311"/>
      <c r="AM40" s="311"/>
      <c r="AN40" s="311"/>
      <c r="AO40" s="311"/>
      <c r="AP40" s="311"/>
      <c r="AQ40" s="311"/>
      <c r="AR40" s="311"/>
    </row>
    <row r="41" spans="1:44" s="361" customFormat="1" ht="40.5" customHeight="1">
      <c r="A41" s="309"/>
      <c r="B41" s="315"/>
      <c r="C41" s="1524" t="s">
        <v>2322</v>
      </c>
      <c r="D41" s="309"/>
      <c r="E41" s="1525" t="s">
        <v>2323</v>
      </c>
      <c r="F41" s="310"/>
      <c r="G41" s="1526" t="s">
        <v>2324</v>
      </c>
      <c r="H41" s="309"/>
      <c r="I41" s="310"/>
      <c r="J41" s="313" t="s">
        <v>2325</v>
      </c>
      <c r="K41" s="309"/>
      <c r="L41" s="310"/>
      <c r="M41" s="310"/>
      <c r="N41" s="310"/>
      <c r="O41" s="310"/>
      <c r="P41" s="310"/>
      <c r="Q41" s="1532" t="s">
        <v>2326</v>
      </c>
      <c r="R41" s="1528"/>
      <c r="S41" s="1525" t="s">
        <v>2327</v>
      </c>
      <c r="T41" s="1521"/>
      <c r="U41" s="1533" t="s">
        <v>2328</v>
      </c>
      <c r="V41" s="1521"/>
      <c r="W41" s="1525" t="s">
        <v>2329</v>
      </c>
      <c r="X41" s="1521"/>
      <c r="Y41" s="1521"/>
      <c r="Z41" s="1521"/>
      <c r="AA41" s="1521"/>
      <c r="AB41" s="1521"/>
      <c r="AC41" s="1521"/>
      <c r="AD41" s="311"/>
      <c r="AE41" s="311"/>
      <c r="AF41" s="311"/>
      <c r="AG41" s="311"/>
      <c r="AH41" s="311"/>
      <c r="AI41" s="311"/>
      <c r="AJ41" s="311"/>
      <c r="AK41" s="311"/>
      <c r="AL41" s="311"/>
      <c r="AM41" s="311"/>
      <c r="AN41" s="311"/>
      <c r="AO41" s="311"/>
      <c r="AP41" s="311"/>
      <c r="AQ41" s="311"/>
      <c r="AR41" s="311"/>
    </row>
    <row r="42" spans="1:44" s="361" customFormat="1" ht="40.5" customHeight="1">
      <c r="A42" s="309"/>
      <c r="B42" s="315"/>
      <c r="C42" s="309"/>
      <c r="D42" s="309"/>
      <c r="E42" s="309"/>
      <c r="F42" s="309"/>
      <c r="G42" s="309"/>
      <c r="H42" s="309"/>
      <c r="I42" s="310"/>
      <c r="J42" s="309"/>
      <c r="K42" s="309"/>
      <c r="L42" s="310"/>
      <c r="M42" s="310"/>
      <c r="N42" s="310"/>
      <c r="O42" s="310"/>
      <c r="P42" s="310"/>
      <c r="Q42" s="1521"/>
      <c r="R42" s="1521"/>
      <c r="S42" s="1521"/>
      <c r="T42" s="1521"/>
      <c r="U42" s="1521"/>
      <c r="V42" s="1521"/>
      <c r="W42" s="1521"/>
      <c r="X42" s="1521"/>
      <c r="Y42" s="1521"/>
      <c r="Z42" s="1521"/>
      <c r="AA42" s="1521"/>
      <c r="AB42" s="1521"/>
      <c r="AC42" s="1521"/>
      <c r="AD42" s="311"/>
      <c r="AE42" s="311"/>
      <c r="AF42" s="311"/>
      <c r="AG42" s="311"/>
      <c r="AH42" s="311"/>
      <c r="AI42" s="311"/>
      <c r="AJ42" s="311"/>
      <c r="AK42" s="311"/>
      <c r="AL42" s="311"/>
      <c r="AM42" s="311"/>
      <c r="AN42" s="311"/>
      <c r="AO42" s="311"/>
      <c r="AP42" s="311"/>
      <c r="AQ42" s="311"/>
      <c r="AR42" s="311"/>
    </row>
    <row r="43" spans="1:44" s="361" customFormat="1" ht="40.5" customHeight="1">
      <c r="A43" s="309"/>
      <c r="B43" s="1523" t="s">
        <v>2330</v>
      </c>
      <c r="C43" s="309"/>
      <c r="D43" s="309"/>
      <c r="E43" s="309"/>
      <c r="F43" s="309"/>
      <c r="G43" s="309"/>
      <c r="H43" s="309"/>
      <c r="I43" s="310"/>
      <c r="J43" s="309"/>
      <c r="K43" s="309"/>
      <c r="L43" s="310"/>
      <c r="M43" s="310"/>
      <c r="N43" s="310"/>
      <c r="O43" s="310"/>
      <c r="P43" s="310"/>
      <c r="Q43" s="1521"/>
      <c r="R43" s="1521"/>
      <c r="S43" s="1521"/>
      <c r="T43" s="1521"/>
      <c r="U43" s="1521"/>
      <c r="V43" s="1521"/>
      <c r="W43" s="1521"/>
      <c r="X43" s="1521"/>
      <c r="Y43" s="1521"/>
      <c r="Z43" s="1521"/>
      <c r="AA43" s="1521"/>
      <c r="AB43" s="1521"/>
      <c r="AC43" s="1521"/>
      <c r="AD43" s="311"/>
      <c r="AE43" s="311"/>
      <c r="AF43" s="311"/>
      <c r="AG43" s="311"/>
      <c r="AH43" s="311"/>
      <c r="AI43" s="311"/>
      <c r="AJ43" s="311"/>
      <c r="AK43" s="311"/>
      <c r="AL43" s="311"/>
      <c r="AM43" s="311"/>
      <c r="AN43" s="311"/>
      <c r="AO43" s="311"/>
      <c r="AP43" s="311"/>
      <c r="AQ43" s="311"/>
      <c r="AR43" s="311"/>
    </row>
    <row r="44" spans="1:44" s="361" customFormat="1" ht="40.5" customHeight="1">
      <c r="A44" s="309"/>
      <c r="B44" s="315"/>
      <c r="C44" s="1534" t="s">
        <v>2331</v>
      </c>
      <c r="D44" s="309"/>
      <c r="E44" s="309"/>
      <c r="F44" s="309"/>
      <c r="G44" s="309"/>
      <c r="H44" s="1535" t="s">
        <v>2332</v>
      </c>
      <c r="I44" s="1535"/>
      <c r="J44" s="309"/>
      <c r="K44" s="309"/>
      <c r="L44" s="310"/>
      <c r="M44" s="310"/>
      <c r="N44" s="310"/>
      <c r="O44" s="310"/>
      <c r="P44" s="1536" t="s">
        <v>2333</v>
      </c>
      <c r="Q44" s="1536"/>
      <c r="R44" s="1521"/>
      <c r="S44" s="1521"/>
      <c r="T44" s="1521"/>
      <c r="U44" s="1521"/>
      <c r="V44" s="1537" t="s">
        <v>2334</v>
      </c>
      <c r="W44" s="1537"/>
      <c r="X44" s="1521"/>
      <c r="Y44" s="1521"/>
      <c r="Z44" s="1521"/>
      <c r="AA44" s="1521"/>
      <c r="AB44" s="1521"/>
      <c r="AC44" s="1521"/>
      <c r="AD44" s="311"/>
      <c r="AE44" s="311"/>
      <c r="AF44" s="311"/>
      <c r="AG44" s="311"/>
      <c r="AH44" s="311"/>
      <c r="AI44" s="311"/>
      <c r="AJ44" s="311"/>
      <c r="AK44" s="311"/>
      <c r="AL44" s="311"/>
      <c r="AM44" s="311"/>
      <c r="AN44" s="311"/>
      <c r="AO44" s="311"/>
      <c r="AP44" s="311"/>
      <c r="AQ44" s="311"/>
      <c r="AR44" s="311"/>
    </row>
    <row r="45" spans="1:44" s="361" customFormat="1" ht="40.5" customHeight="1">
      <c r="A45" s="309"/>
      <c r="B45" s="315"/>
      <c r="C45" s="1538" t="s">
        <v>2335</v>
      </c>
      <c r="D45" s="309"/>
      <c r="E45" s="309"/>
      <c r="F45" s="309"/>
      <c r="G45" s="309"/>
      <c r="H45" s="1539" t="s">
        <v>2336</v>
      </c>
      <c r="I45" s="1539"/>
      <c r="J45" s="309"/>
      <c r="K45" s="309"/>
      <c r="L45" s="310"/>
      <c r="M45" s="310"/>
      <c r="N45" s="310"/>
      <c r="O45" s="310"/>
      <c r="P45" s="1540" t="s">
        <v>2337</v>
      </c>
      <c r="Q45" s="1540"/>
      <c r="R45" s="1521"/>
      <c r="S45" s="1521"/>
      <c r="T45" s="1521"/>
      <c r="U45" s="1521"/>
      <c r="V45" s="1541" t="s">
        <v>2338</v>
      </c>
      <c r="W45" s="1541"/>
      <c r="X45" s="1521"/>
      <c r="Y45" s="1521"/>
      <c r="Z45" s="1521"/>
      <c r="AA45" s="1521"/>
      <c r="AB45" s="1521"/>
      <c r="AC45" s="1521"/>
      <c r="AD45" s="311"/>
      <c r="AE45" s="311"/>
      <c r="AF45" s="311"/>
      <c r="AG45" s="311"/>
      <c r="AH45" s="311"/>
      <c r="AI45" s="311"/>
      <c r="AJ45" s="311"/>
      <c r="AK45" s="311"/>
      <c r="AL45" s="311"/>
      <c r="AM45" s="311"/>
      <c r="AN45" s="311"/>
      <c r="AO45" s="311"/>
      <c r="AP45" s="311"/>
      <c r="AQ45" s="311"/>
      <c r="AR45" s="311"/>
    </row>
    <row r="46" spans="1:44" s="361" customFormat="1" ht="40.5" customHeight="1">
      <c r="A46" s="309"/>
      <c r="B46" s="315"/>
      <c r="C46" s="1542" t="s">
        <v>2339</v>
      </c>
      <c r="D46" s="309"/>
      <c r="E46" s="309"/>
      <c r="F46" s="309"/>
      <c r="G46" s="309"/>
      <c r="H46" s="309"/>
      <c r="I46" s="310"/>
      <c r="J46" s="309"/>
      <c r="K46" s="309"/>
      <c r="L46" s="310"/>
      <c r="M46" s="310"/>
      <c r="N46" s="310"/>
      <c r="O46" s="310"/>
      <c r="P46" s="310"/>
      <c r="Q46" s="1521"/>
      <c r="R46" s="1521"/>
      <c r="S46" s="1521"/>
      <c r="T46" s="1521"/>
      <c r="U46" s="1521"/>
      <c r="V46" s="1521"/>
      <c r="W46" s="1521"/>
      <c r="X46" s="1521"/>
      <c r="Y46" s="1521"/>
      <c r="Z46" s="1521"/>
      <c r="AA46" s="1521"/>
      <c r="AB46" s="1521"/>
      <c r="AC46" s="1521"/>
      <c r="AD46" s="311"/>
      <c r="AE46" s="311"/>
      <c r="AF46" s="311"/>
      <c r="AG46" s="311"/>
      <c r="AH46" s="311"/>
      <c r="AI46" s="311"/>
      <c r="AJ46" s="311"/>
      <c r="AK46" s="311"/>
      <c r="AL46" s="311"/>
      <c r="AM46" s="311"/>
      <c r="AN46" s="311"/>
      <c r="AO46" s="311"/>
      <c r="AP46" s="311"/>
      <c r="AQ46" s="311"/>
      <c r="AR46" s="311"/>
    </row>
    <row r="47" spans="1:44" s="1546" customFormat="1" ht="40.5" customHeight="1">
      <c r="A47" s="1543"/>
      <c r="B47" s="1523" t="s">
        <v>2340</v>
      </c>
      <c r="C47" s="1543"/>
      <c r="D47" s="1543"/>
      <c r="E47" s="1543"/>
      <c r="F47" s="1543"/>
      <c r="G47" s="1543"/>
      <c r="H47" s="1543"/>
      <c r="I47" s="310"/>
      <c r="J47" s="1543"/>
      <c r="K47" s="1543"/>
      <c r="L47" s="310"/>
      <c r="M47" s="310"/>
      <c r="N47" s="310"/>
      <c r="O47" s="310"/>
      <c r="P47" s="310"/>
      <c r="Q47" s="1544"/>
      <c r="R47" s="1544"/>
      <c r="S47" s="1544"/>
      <c r="T47" s="1544"/>
      <c r="U47" s="1544"/>
      <c r="V47" s="1544"/>
      <c r="W47" s="1544"/>
      <c r="X47" s="1544"/>
      <c r="Y47" s="1544"/>
      <c r="Z47" s="1544"/>
      <c r="AA47" s="1544"/>
      <c r="AB47" s="1544"/>
      <c r="AC47" s="1544"/>
      <c r="AD47" s="311"/>
      <c r="AE47" s="311"/>
      <c r="AF47" s="311"/>
      <c r="AG47" s="311"/>
    </row>
    <row r="48" spans="1:44" s="1546" customFormat="1" ht="40.5" customHeight="1">
      <c r="A48" s="1543"/>
      <c r="B48" s="1547"/>
      <c r="C48" s="1548" t="s">
        <v>66</v>
      </c>
      <c r="D48" s="1549" t="s">
        <v>81</v>
      </c>
      <c r="E48" s="1550" t="s">
        <v>84</v>
      </c>
      <c r="F48" s="1551" t="s">
        <v>85</v>
      </c>
      <c r="G48" s="1552" t="s">
        <v>87</v>
      </c>
      <c r="H48" s="1553" t="s">
        <v>6</v>
      </c>
      <c r="I48" s="1554" t="s">
        <v>89</v>
      </c>
      <c r="J48" s="1555" t="s">
        <v>90</v>
      </c>
      <c r="K48" s="1556" t="s">
        <v>92</v>
      </c>
      <c r="L48" s="1557" t="s">
        <v>94</v>
      </c>
      <c r="M48" s="1558" t="s">
        <v>96</v>
      </c>
      <c r="N48" s="1559" t="s">
        <v>97</v>
      </c>
      <c r="O48" s="1560" t="s">
        <v>99</v>
      </c>
      <c r="P48" s="1551" t="s">
        <v>101</v>
      </c>
      <c r="Q48" s="1561" t="s">
        <v>103</v>
      </c>
      <c r="R48" s="1562" t="s">
        <v>105</v>
      </c>
      <c r="S48" s="1563" t="s">
        <v>107</v>
      </c>
      <c r="T48" s="1564" t="s">
        <v>108</v>
      </c>
      <c r="U48" s="1565" t="s">
        <v>109</v>
      </c>
      <c r="V48" s="1550" t="s">
        <v>110</v>
      </c>
      <c r="W48" s="1544"/>
      <c r="X48" s="1544"/>
      <c r="Y48" s="1544"/>
      <c r="Z48" s="1544"/>
      <c r="AA48" s="1544"/>
      <c r="AB48" s="1544"/>
      <c r="AC48" s="1544"/>
      <c r="AD48" s="311"/>
      <c r="AE48" s="311"/>
      <c r="AF48" s="311"/>
      <c r="AG48" s="311"/>
    </row>
    <row r="49" spans="1:33" s="1546" customFormat="1" ht="40.5" customHeight="1">
      <c r="A49" s="1543"/>
      <c r="B49" s="1547"/>
      <c r="C49" s="1543"/>
      <c r="D49" s="1543"/>
      <c r="E49" s="1543"/>
      <c r="F49" s="1543"/>
      <c r="G49" s="1543"/>
      <c r="H49" s="1543"/>
      <c r="I49" s="310"/>
      <c r="J49" s="1543"/>
      <c r="K49" s="1543"/>
      <c r="L49" s="310"/>
      <c r="M49" s="310"/>
      <c r="N49" s="310"/>
      <c r="O49" s="310"/>
      <c r="P49" s="310"/>
      <c r="Q49" s="1544"/>
      <c r="R49" s="1544"/>
      <c r="S49" s="1544"/>
      <c r="T49" s="1544"/>
      <c r="U49" s="1544"/>
      <c r="V49" s="1544"/>
      <c r="W49" s="1544"/>
      <c r="X49" s="1544"/>
      <c r="Y49" s="1544"/>
      <c r="Z49" s="1544"/>
      <c r="AA49" s="1544"/>
      <c r="AB49" s="1544"/>
      <c r="AC49" s="1544"/>
      <c r="AD49" s="311"/>
      <c r="AE49" s="311"/>
      <c r="AF49" s="311"/>
      <c r="AG49" s="311"/>
    </row>
    <row r="50" spans="1:33" s="1546" customFormat="1" ht="40.5" customHeight="1">
      <c r="A50" s="1543"/>
      <c r="B50" s="1547"/>
      <c r="C50" s="1566" t="s">
        <v>66</v>
      </c>
      <c r="D50" s="1566" t="s">
        <v>81</v>
      </c>
      <c r="E50" s="1566" t="s">
        <v>84</v>
      </c>
      <c r="F50" s="1566" t="s">
        <v>85</v>
      </c>
      <c r="G50" s="1566" t="s">
        <v>87</v>
      </c>
      <c r="H50" s="1566" t="s">
        <v>6</v>
      </c>
      <c r="I50" s="1566" t="s">
        <v>89</v>
      </c>
      <c r="J50" s="1566" t="s">
        <v>90</v>
      </c>
      <c r="K50" s="1566" t="s">
        <v>92</v>
      </c>
      <c r="L50" s="1566" t="s">
        <v>94</v>
      </c>
      <c r="M50" s="1566" t="s">
        <v>96</v>
      </c>
      <c r="N50" s="1566" t="s">
        <v>97</v>
      </c>
      <c r="O50" s="1566" t="s">
        <v>99</v>
      </c>
      <c r="P50" s="1566" t="s">
        <v>101</v>
      </c>
      <c r="Q50" s="1566" t="s">
        <v>103</v>
      </c>
      <c r="R50" s="1566" t="s">
        <v>105</v>
      </c>
      <c r="S50" s="1566" t="s">
        <v>107</v>
      </c>
      <c r="T50" s="1566" t="s">
        <v>108</v>
      </c>
      <c r="U50" s="1566" t="s">
        <v>109</v>
      </c>
      <c r="V50" s="1566" t="s">
        <v>110</v>
      </c>
      <c r="W50" s="1544"/>
      <c r="X50" s="1544"/>
      <c r="Y50" s="1544"/>
      <c r="Z50" s="1544"/>
      <c r="AA50" s="1544"/>
      <c r="AB50" s="1544"/>
      <c r="AC50" s="1544"/>
      <c r="AD50" s="311"/>
      <c r="AE50" s="311"/>
      <c r="AF50" s="311"/>
      <c r="AG50" s="311"/>
    </row>
    <row r="51" spans="1:33" s="1546" customFormat="1" ht="40.5" customHeight="1">
      <c r="A51" s="1543"/>
      <c r="B51" s="1547"/>
      <c r="C51" s="1543"/>
      <c r="D51" s="1543"/>
      <c r="E51" s="1543"/>
      <c r="F51" s="1543"/>
      <c r="G51" s="1543"/>
      <c r="H51" s="1543"/>
      <c r="I51" s="310"/>
      <c r="J51" s="1543"/>
      <c r="K51" s="1543"/>
      <c r="L51" s="310"/>
      <c r="M51" s="310"/>
      <c r="N51" s="310"/>
      <c r="O51" s="310"/>
      <c r="P51" s="310"/>
      <c r="Q51" s="1544"/>
      <c r="R51" s="1544"/>
      <c r="S51" s="1544"/>
      <c r="T51" s="1544"/>
      <c r="U51" s="1544"/>
      <c r="V51" s="1544"/>
      <c r="W51" s="1544"/>
      <c r="X51" s="1544"/>
      <c r="Y51" s="1544"/>
      <c r="Z51" s="1544"/>
      <c r="AA51" s="1544"/>
      <c r="AB51" s="1544"/>
      <c r="AC51" s="1544"/>
      <c r="AD51" s="311"/>
      <c r="AE51" s="311"/>
      <c r="AF51" s="311"/>
      <c r="AG51" s="311"/>
    </row>
    <row r="52" spans="1:33" s="1546" customFormat="1" ht="40.5" customHeight="1">
      <c r="A52" s="1543"/>
      <c r="B52" s="1547"/>
      <c r="C52" s="1567">
        <v>1</v>
      </c>
      <c r="D52" s="1567" t="s">
        <v>2341</v>
      </c>
      <c r="E52" s="1567" t="s">
        <v>2342</v>
      </c>
      <c r="F52" s="1567" t="s">
        <v>2343</v>
      </c>
      <c r="G52" s="1567" t="s">
        <v>2344</v>
      </c>
      <c r="H52" s="1567" t="s">
        <v>2345</v>
      </c>
      <c r="I52" s="1567" t="s">
        <v>2346</v>
      </c>
      <c r="J52" s="1567" t="s">
        <v>2347</v>
      </c>
      <c r="K52" s="1567" t="s">
        <v>2348</v>
      </c>
      <c r="L52" s="1567" t="s">
        <v>2349</v>
      </c>
      <c r="M52" s="1567" t="s">
        <v>2350</v>
      </c>
      <c r="N52" s="1567" t="s">
        <v>2351</v>
      </c>
      <c r="O52" s="1567" t="s">
        <v>2352</v>
      </c>
      <c r="P52" s="1567" t="s">
        <v>2353</v>
      </c>
      <c r="Q52" s="1567" t="s">
        <v>2354</v>
      </c>
      <c r="R52" s="1567" t="s">
        <v>2355</v>
      </c>
      <c r="S52" s="1567" t="s">
        <v>2356</v>
      </c>
      <c r="T52" s="1567" t="s">
        <v>2357</v>
      </c>
      <c r="U52" s="1567" t="s">
        <v>2358</v>
      </c>
      <c r="V52" s="1567" t="s">
        <v>2359</v>
      </c>
      <c r="W52" s="1544"/>
      <c r="X52" s="1544"/>
      <c r="Y52" s="1544"/>
      <c r="Z52" s="1544"/>
      <c r="AA52" s="1544"/>
      <c r="AB52" s="1544"/>
      <c r="AC52" s="1544"/>
      <c r="AD52" s="311"/>
      <c r="AE52" s="311"/>
      <c r="AF52" s="311"/>
      <c r="AG52" s="311"/>
    </row>
    <row r="53" spans="1:33" s="1546" customFormat="1" ht="40.5" customHeight="1">
      <c r="A53" s="1543"/>
      <c r="B53" s="1547"/>
      <c r="C53" s="1543"/>
      <c r="D53" s="1543"/>
      <c r="E53" s="1543"/>
      <c r="F53" s="1543"/>
      <c r="G53" s="1543"/>
      <c r="H53" s="1543"/>
      <c r="I53" s="310"/>
      <c r="J53" s="1543"/>
      <c r="K53" s="1543"/>
      <c r="L53" s="310"/>
      <c r="M53" s="310"/>
      <c r="N53" s="310"/>
      <c r="O53" s="310"/>
      <c r="P53" s="310"/>
      <c r="Q53" s="1544"/>
      <c r="R53" s="1544"/>
      <c r="S53" s="1544"/>
      <c r="T53" s="1544"/>
      <c r="U53" s="1544"/>
      <c r="V53" s="1544"/>
      <c r="W53" s="1544"/>
      <c r="X53" s="1544"/>
      <c r="Y53" s="1544"/>
      <c r="Z53" s="1544"/>
      <c r="AA53" s="1544"/>
      <c r="AB53" s="1544"/>
      <c r="AC53" s="1544"/>
      <c r="AD53" s="311"/>
      <c r="AE53" s="311"/>
      <c r="AF53" s="311"/>
      <c r="AG53" s="311"/>
    </row>
    <row r="54" spans="1:33" s="1546" customFormat="1" ht="40.5" customHeight="1">
      <c r="A54" s="1543"/>
      <c r="B54" s="1547"/>
      <c r="C54" s="1568">
        <v>1</v>
      </c>
      <c r="D54" s="1569">
        <v>2</v>
      </c>
      <c r="E54" s="1568">
        <v>3</v>
      </c>
      <c r="F54" s="1569">
        <v>4</v>
      </c>
      <c r="G54" s="1568">
        <v>5</v>
      </c>
      <c r="H54" s="1569">
        <v>6</v>
      </c>
      <c r="I54" s="1568">
        <v>7</v>
      </c>
      <c r="J54" s="1569">
        <v>8</v>
      </c>
      <c r="K54" s="1568">
        <v>9</v>
      </c>
      <c r="L54" s="1569">
        <v>10</v>
      </c>
      <c r="M54" s="1568">
        <v>11</v>
      </c>
      <c r="N54" s="1569">
        <v>12</v>
      </c>
      <c r="O54" s="1568">
        <v>13</v>
      </c>
      <c r="P54" s="1569">
        <v>14</v>
      </c>
      <c r="Q54" s="1568">
        <v>15</v>
      </c>
      <c r="R54" s="1569">
        <v>16</v>
      </c>
      <c r="S54" s="1568">
        <v>17</v>
      </c>
      <c r="T54" s="1569">
        <v>18</v>
      </c>
      <c r="U54" s="1568">
        <v>19</v>
      </c>
      <c r="V54" s="1569">
        <v>20</v>
      </c>
      <c r="W54" s="1544"/>
      <c r="X54" s="1544"/>
      <c r="Y54" s="1544"/>
      <c r="Z54" s="1544"/>
      <c r="AA54" s="1544"/>
      <c r="AB54" s="1544"/>
      <c r="AC54" s="1544"/>
      <c r="AD54" s="311"/>
      <c r="AE54" s="311"/>
      <c r="AF54" s="311"/>
      <c r="AG54" s="311"/>
    </row>
    <row r="55" spans="1:33" s="1546" customFormat="1" ht="40.5" customHeight="1">
      <c r="A55" s="1543"/>
      <c r="B55" s="1547"/>
      <c r="C55" s="1543"/>
      <c r="D55" s="1543"/>
      <c r="E55" s="1543"/>
      <c r="F55" s="1543"/>
      <c r="G55" s="1543"/>
      <c r="H55" s="1543"/>
      <c r="I55" s="310"/>
      <c r="J55" s="1543"/>
      <c r="K55" s="1543"/>
      <c r="L55" s="310"/>
      <c r="M55" s="310"/>
      <c r="N55" s="310"/>
      <c r="O55" s="310"/>
      <c r="P55" s="310"/>
      <c r="Q55" s="1544"/>
      <c r="R55" s="1544"/>
      <c r="S55" s="1544"/>
      <c r="T55" s="1544"/>
      <c r="U55" s="1544"/>
      <c r="V55" s="1544"/>
      <c r="W55" s="1544"/>
      <c r="X55" s="1544"/>
      <c r="Y55" s="1544"/>
      <c r="Z55" s="1544"/>
      <c r="AA55" s="1544"/>
      <c r="AB55" s="1544"/>
      <c r="AC55" s="1544"/>
      <c r="AD55" s="311"/>
      <c r="AE55" s="311"/>
      <c r="AF55" s="311"/>
      <c r="AG55" s="311"/>
    </row>
    <row r="56" spans="1:33" s="1546" customFormat="1" ht="40.5" customHeight="1">
      <c r="A56" s="1543"/>
      <c r="B56" s="1547"/>
      <c r="C56" s="1917" t="s">
        <v>2657</v>
      </c>
      <c r="D56" s="1918"/>
      <c r="E56" s="1918"/>
      <c r="F56" s="1918"/>
      <c r="G56" s="310"/>
      <c r="H56" s="310"/>
      <c r="I56" s="310"/>
      <c r="J56" s="310"/>
      <c r="K56" s="310"/>
      <c r="L56" s="1919" t="s">
        <v>2658</v>
      </c>
      <c r="M56" s="310"/>
      <c r="N56" s="310"/>
      <c r="O56" s="310"/>
      <c r="P56" s="310"/>
      <c r="Q56" s="1544"/>
      <c r="R56" s="1920"/>
      <c r="S56" s="1544"/>
      <c r="T56" s="1544"/>
      <c r="U56" s="1544"/>
      <c r="V56" s="1544"/>
      <c r="W56" s="1544"/>
      <c r="X56" s="1544"/>
      <c r="Y56" s="1544"/>
      <c r="Z56" s="1544"/>
      <c r="AA56" s="1544"/>
      <c r="AB56" s="1544"/>
      <c r="AC56" s="1544"/>
      <c r="AD56" s="311"/>
      <c r="AE56" s="311"/>
      <c r="AF56" s="311"/>
      <c r="AG56" s="311"/>
    </row>
    <row r="57" spans="1:33" s="1546" customFormat="1" ht="40.5" customHeight="1">
      <c r="A57" s="1543"/>
      <c r="B57" s="1547"/>
      <c r="C57" s="1922" t="s">
        <v>2659</v>
      </c>
      <c r="D57" s="1918"/>
      <c r="E57" s="1918"/>
      <c r="F57" s="1918"/>
      <c r="G57" s="1920"/>
      <c r="H57" s="1923"/>
      <c r="I57" s="1918"/>
      <c r="J57" s="1918"/>
      <c r="K57" s="1543"/>
      <c r="L57" s="310"/>
      <c r="M57" s="310"/>
      <c r="N57" s="310"/>
      <c r="O57" s="310"/>
      <c r="P57" s="310"/>
      <c r="Q57" s="1544"/>
      <c r="R57" s="1544"/>
      <c r="S57" s="1544"/>
      <c r="T57" s="1544"/>
      <c r="U57" s="1544"/>
      <c r="V57" s="1544"/>
      <c r="W57" s="1544"/>
      <c r="X57" s="1544"/>
      <c r="Y57" s="1544"/>
      <c r="Z57" s="1544"/>
      <c r="AA57" s="1544"/>
      <c r="AB57" s="1544"/>
      <c r="AC57" s="1544"/>
      <c r="AD57" s="311"/>
      <c r="AE57" s="311"/>
      <c r="AF57" s="311"/>
      <c r="AG57" s="311"/>
    </row>
    <row r="58" spans="1:33" s="1546" customFormat="1" ht="40.5" customHeight="1">
      <c r="A58" s="1543"/>
      <c r="B58" s="1547"/>
      <c r="C58" s="1924" t="s">
        <v>2660</v>
      </c>
      <c r="D58" s="1918"/>
      <c r="E58" s="1918"/>
      <c r="F58" s="1918"/>
      <c r="G58" s="1920"/>
      <c r="H58" s="1923"/>
      <c r="I58" s="1918"/>
      <c r="J58" s="1918"/>
      <c r="K58" s="1543"/>
      <c r="L58" s="310"/>
      <c r="M58" s="310"/>
      <c r="N58" s="310"/>
      <c r="O58" s="310"/>
      <c r="P58" s="310"/>
      <c r="Q58" s="1544"/>
      <c r="R58" s="1544"/>
      <c r="S58" s="1544"/>
      <c r="T58" s="1544"/>
      <c r="U58" s="1544"/>
      <c r="V58" s="1544"/>
      <c r="W58" s="1544"/>
      <c r="X58" s="1544"/>
      <c r="Y58" s="1544"/>
      <c r="Z58" s="1544"/>
      <c r="AA58" s="1544"/>
      <c r="AB58" s="1544"/>
      <c r="AC58" s="1544"/>
      <c r="AD58" s="311"/>
      <c r="AE58" s="311"/>
      <c r="AF58" s="311"/>
      <c r="AG58" s="311"/>
    </row>
    <row r="59" spans="1:33" s="1546" customFormat="1" ht="40.5" customHeight="1">
      <c r="A59" s="1543"/>
      <c r="B59" s="1547"/>
      <c r="C59" s="1543"/>
      <c r="D59" s="1543"/>
      <c r="E59" s="1543"/>
      <c r="F59" s="1543"/>
      <c r="G59" s="1543"/>
      <c r="H59" s="1543"/>
      <c r="I59" s="310"/>
      <c r="J59" s="1543"/>
      <c r="K59" s="1543"/>
      <c r="L59" s="310"/>
      <c r="M59" s="310"/>
      <c r="N59" s="310"/>
      <c r="O59" s="310"/>
      <c r="P59" s="310"/>
      <c r="Q59" s="1544"/>
      <c r="R59" s="1544"/>
      <c r="S59" s="1544"/>
      <c r="T59" s="1544"/>
      <c r="U59" s="1544"/>
      <c r="V59" s="1544"/>
      <c r="W59" s="1544"/>
      <c r="X59" s="1544"/>
      <c r="Y59" s="1544"/>
      <c r="Z59" s="1544"/>
      <c r="AA59" s="1544"/>
      <c r="AB59" s="1544"/>
      <c r="AC59" s="1544"/>
      <c r="AD59" s="311"/>
      <c r="AE59" s="311"/>
      <c r="AF59" s="311"/>
      <c r="AG59" s="311"/>
    </row>
    <row r="60" spans="1:33" s="1546" customFormat="1" ht="40.5" customHeight="1">
      <c r="A60" s="1543"/>
      <c r="B60" s="1523" t="s">
        <v>2360</v>
      </c>
      <c r="C60" s="1543"/>
      <c r="D60" s="1543"/>
      <c r="E60" s="1543"/>
      <c r="F60" s="1543"/>
      <c r="G60" s="1543"/>
      <c r="H60" s="1543"/>
      <c r="I60" s="310"/>
      <c r="J60" s="1543"/>
      <c r="K60" s="1543"/>
      <c r="L60" s="310"/>
      <c r="M60" s="310"/>
      <c r="N60" s="310"/>
      <c r="O60" s="310"/>
      <c r="P60" s="310"/>
      <c r="Q60" s="1544"/>
      <c r="R60" s="1523"/>
      <c r="S60" s="1523"/>
      <c r="T60" s="1544"/>
      <c r="U60" s="1544"/>
      <c r="V60" s="1544"/>
      <c r="W60" s="1544"/>
      <c r="X60" s="1544"/>
      <c r="Y60" s="1544"/>
      <c r="Z60" s="1544"/>
      <c r="AA60" s="1544"/>
      <c r="AB60" s="1544"/>
      <c r="AC60" s="1544"/>
      <c r="AD60" s="311"/>
      <c r="AE60" s="311"/>
      <c r="AF60" s="311"/>
      <c r="AG60" s="311"/>
    </row>
    <row r="61" spans="1:33" s="1546" customFormat="1" ht="40.5" customHeight="1">
      <c r="A61" s="1543"/>
      <c r="B61" s="1570" t="s">
        <v>1211</v>
      </c>
      <c r="C61" s="1570" t="s">
        <v>1224</v>
      </c>
      <c r="D61" s="1570" t="s">
        <v>1206</v>
      </c>
      <c r="E61" s="1570" t="s">
        <v>2361</v>
      </c>
      <c r="F61" s="1570" t="s">
        <v>19</v>
      </c>
      <c r="G61" s="1570" t="s">
        <v>1202</v>
      </c>
      <c r="H61" s="1570" t="s">
        <v>212</v>
      </c>
      <c r="I61" s="1570" t="s">
        <v>2362</v>
      </c>
      <c r="J61" s="1570" t="s">
        <v>2363</v>
      </c>
      <c r="K61" s="1570" t="s">
        <v>2364</v>
      </c>
      <c r="L61" s="1570" t="s">
        <v>2365</v>
      </c>
      <c r="M61" s="1570" t="s">
        <v>2366</v>
      </c>
      <c r="N61" s="1570" t="s">
        <v>2367</v>
      </c>
      <c r="O61" s="1570" t="s">
        <v>2368</v>
      </c>
      <c r="P61" s="1570" t="s">
        <v>2369</v>
      </c>
      <c r="Q61" s="1570" t="s">
        <v>2370</v>
      </c>
      <c r="R61" s="1570" t="s">
        <v>2371</v>
      </c>
      <c r="S61" s="1570" t="s">
        <v>2372</v>
      </c>
      <c r="T61" s="1570" t="s">
        <v>2373</v>
      </c>
      <c r="U61" s="1570" t="s">
        <v>2374</v>
      </c>
      <c r="V61" s="1570"/>
      <c r="W61" s="1570"/>
      <c r="X61" s="1570"/>
      <c r="Y61" s="1570"/>
      <c r="Z61" s="1570"/>
      <c r="AA61" s="1570"/>
      <c r="AB61" s="1544"/>
      <c r="AC61" s="1544"/>
      <c r="AD61" s="311"/>
      <c r="AE61" s="311"/>
      <c r="AF61" s="311"/>
      <c r="AG61" s="311"/>
    </row>
    <row r="62" spans="1:33" s="1546" customFormat="1" ht="40.5" customHeight="1">
      <c r="A62" s="1543"/>
      <c r="B62" s="1523"/>
      <c r="C62" s="1543"/>
      <c r="D62" s="1543"/>
      <c r="E62" s="1543"/>
      <c r="F62" s="1543"/>
      <c r="G62" s="1543"/>
      <c r="H62" s="1543"/>
      <c r="I62" s="310"/>
      <c r="J62" s="1543"/>
      <c r="K62" s="1543"/>
      <c r="L62" s="310"/>
      <c r="M62" s="310"/>
      <c r="N62" s="310"/>
      <c r="O62" s="310"/>
      <c r="P62" s="310"/>
      <c r="Q62" s="1544"/>
      <c r="R62" s="1523"/>
      <c r="S62" s="1977"/>
      <c r="T62" s="1570"/>
      <c r="U62" s="1570"/>
      <c r="V62" s="1570"/>
      <c r="W62" s="1570"/>
      <c r="X62" s="1570"/>
      <c r="Y62" s="1570"/>
      <c r="Z62" s="1570"/>
      <c r="AA62" s="1570"/>
      <c r="AB62" s="1544"/>
      <c r="AC62" s="1544"/>
      <c r="AD62" s="311"/>
      <c r="AE62" s="311"/>
      <c r="AF62" s="311"/>
      <c r="AG62" s="311"/>
    </row>
    <row r="63" spans="1:33" s="1546" customFormat="1" ht="40.5" customHeight="1">
      <c r="A63" s="1543"/>
      <c r="B63" s="1547"/>
      <c r="C63" s="1571" t="s">
        <v>1151</v>
      </c>
      <c r="D63" s="1572"/>
      <c r="E63" s="1544"/>
      <c r="F63" s="1573" t="s">
        <v>2376</v>
      </c>
      <c r="G63" s="1574"/>
      <c r="H63" s="1574"/>
      <c r="I63" s="1574"/>
      <c r="J63" s="1574"/>
      <c r="K63" s="1574"/>
      <c r="L63" s="1574"/>
      <c r="M63" s="1544"/>
      <c r="N63" s="1544"/>
      <c r="O63" s="310"/>
      <c r="P63" s="310"/>
      <c r="Q63" s="1544"/>
      <c r="R63" s="1544"/>
      <c r="S63" s="1977"/>
      <c r="T63" s="1570"/>
      <c r="U63" s="1570"/>
      <c r="V63" s="1570"/>
      <c r="W63" s="1570"/>
      <c r="X63" s="1570"/>
      <c r="Y63" s="1570"/>
      <c r="Z63" s="1570"/>
      <c r="AA63" s="1570"/>
      <c r="AB63" s="1544"/>
      <c r="AC63" s="1544"/>
      <c r="AD63" s="311"/>
      <c r="AE63" s="311"/>
      <c r="AF63" s="311"/>
      <c r="AG63" s="311"/>
    </row>
    <row r="64" spans="1:33" s="1546" customFormat="1" ht="40.5" customHeight="1">
      <c r="A64" s="1543"/>
      <c r="B64" s="1547"/>
      <c r="C64" s="1575">
        <v>3</v>
      </c>
      <c r="D64" s="1572"/>
      <c r="E64" s="1543"/>
      <c r="F64" s="1543"/>
      <c r="G64" s="1543"/>
      <c r="H64" s="310"/>
      <c r="I64" s="310"/>
      <c r="J64" s="310"/>
      <c r="K64" s="310"/>
      <c r="L64" s="310"/>
      <c r="M64" s="310"/>
      <c r="N64" s="310"/>
      <c r="O64" s="310"/>
      <c r="P64" s="310"/>
      <c r="Q64" s="1544"/>
      <c r="R64" s="1544"/>
      <c r="S64" s="1977"/>
      <c r="T64" s="1570"/>
      <c r="U64" s="1570"/>
      <c r="V64" s="1570"/>
      <c r="W64" s="1570"/>
      <c r="X64" s="1570"/>
      <c r="Y64" s="1570"/>
      <c r="Z64" s="1570"/>
      <c r="AA64" s="1570"/>
      <c r="AB64" s="1544"/>
      <c r="AC64" s="1544"/>
      <c r="AD64" s="311"/>
      <c r="AE64" s="311"/>
      <c r="AF64" s="311"/>
      <c r="AG64" s="311"/>
    </row>
    <row r="65" spans="1:44" s="1546" customFormat="1" ht="40.5" customHeight="1">
      <c r="A65" s="1543"/>
      <c r="B65" s="1547"/>
      <c r="C65" s="1543"/>
      <c r="D65" s="1543"/>
      <c r="E65" s="1543"/>
      <c r="F65" s="1543"/>
      <c r="G65" s="1543"/>
      <c r="H65" s="1579" t="s">
        <v>2377</v>
      </c>
      <c r="I65" s="1580"/>
      <c r="J65" s="1580"/>
      <c r="K65" s="1543"/>
      <c r="L65" s="310"/>
      <c r="M65" s="310"/>
      <c r="N65" s="1581" t="s">
        <v>1170</v>
      </c>
      <c r="O65" s="1582" t="s">
        <v>1171</v>
      </c>
      <c r="P65" s="1583" t="s">
        <v>1177</v>
      </c>
      <c r="Q65" s="1544"/>
      <c r="R65" s="1544"/>
      <c r="S65" s="1977"/>
      <c r="T65" s="1570"/>
      <c r="U65" s="1570"/>
      <c r="V65" s="1570"/>
      <c r="W65" s="1570"/>
      <c r="X65" s="1570"/>
      <c r="Y65" s="1570"/>
      <c r="Z65" s="1570"/>
      <c r="AA65" s="1570"/>
      <c r="AB65" s="1544"/>
      <c r="AC65" s="1544"/>
      <c r="AD65" s="311"/>
      <c r="AE65" s="311"/>
      <c r="AF65" s="311"/>
      <c r="AG65" s="311"/>
    </row>
    <row r="66" spans="1:44" s="1546" customFormat="1" ht="40.5" customHeight="1">
      <c r="A66" s="1543"/>
      <c r="B66" s="1547"/>
      <c r="C66" s="1584" t="s">
        <v>1158</v>
      </c>
      <c r="D66" s="1543"/>
      <c r="E66" s="1585"/>
      <c r="F66" s="1543"/>
      <c r="G66" s="1543"/>
      <c r="H66" s="1586" t="s">
        <v>1162</v>
      </c>
      <c r="I66" s="1586" t="s">
        <v>1163</v>
      </c>
      <c r="J66" s="1586" t="s">
        <v>1166</v>
      </c>
      <c r="K66" s="1570" t="s">
        <v>2378</v>
      </c>
      <c r="L66" s="1544"/>
      <c r="M66" s="1544"/>
      <c r="N66" s="1584" t="s">
        <v>2379</v>
      </c>
      <c r="O66" s="1544"/>
      <c r="P66" s="1544"/>
      <c r="Q66" s="1544"/>
      <c r="R66" s="1544"/>
      <c r="S66" s="1977"/>
      <c r="T66" s="1570"/>
      <c r="U66" s="1570"/>
      <c r="V66" s="1570"/>
      <c r="W66" s="1570"/>
      <c r="X66" s="1570"/>
      <c r="Y66" s="1570"/>
      <c r="Z66" s="1570"/>
      <c r="AA66" s="1570"/>
      <c r="AB66" s="1544"/>
      <c r="AC66" s="1544"/>
      <c r="AD66" s="311"/>
      <c r="AE66" s="311"/>
      <c r="AF66" s="311"/>
      <c r="AG66" s="311"/>
    </row>
    <row r="67" spans="1:44" s="1546" customFormat="1" ht="40.5" customHeight="1">
      <c r="A67" s="1543"/>
      <c r="B67" s="1547"/>
      <c r="C67" s="1584" t="s">
        <v>1155</v>
      </c>
      <c r="D67" s="1543"/>
      <c r="E67" s="1585"/>
      <c r="F67" s="1543"/>
      <c r="G67" s="1543"/>
      <c r="H67" s="1586" t="s">
        <v>1164</v>
      </c>
      <c r="I67" s="1586" t="s">
        <v>1165</v>
      </c>
      <c r="J67" s="1586" t="s">
        <v>1167</v>
      </c>
      <c r="K67" s="1570" t="s">
        <v>2381</v>
      </c>
      <c r="L67" s="310"/>
      <c r="M67" s="310"/>
      <c r="N67" s="1581" t="s">
        <v>1173</v>
      </c>
      <c r="O67" s="1582" t="s">
        <v>1174</v>
      </c>
      <c r="P67" s="1582" t="s">
        <v>1178</v>
      </c>
      <c r="Q67" s="1544"/>
      <c r="R67" s="1544"/>
      <c r="S67" s="1977"/>
      <c r="T67" s="1570"/>
      <c r="U67" s="1570"/>
      <c r="V67" s="1570"/>
      <c r="W67" s="1570"/>
      <c r="X67" s="1570"/>
      <c r="Y67" s="1570"/>
      <c r="Z67" s="1570"/>
      <c r="AA67" s="1570"/>
      <c r="AB67" s="1544"/>
      <c r="AC67" s="1544"/>
      <c r="AD67" s="311"/>
      <c r="AE67" s="311"/>
      <c r="AF67" s="311"/>
      <c r="AG67" s="311"/>
    </row>
    <row r="68" spans="1:44" s="1546" customFormat="1" ht="40.5" customHeight="1">
      <c r="A68" s="1543"/>
      <c r="B68" s="1547"/>
      <c r="C68" s="1584"/>
      <c r="D68" s="1543"/>
      <c r="E68" s="1584"/>
      <c r="F68" s="1589"/>
      <c r="G68" s="1584"/>
      <c r="H68" s="1584"/>
      <c r="I68" s="1543"/>
      <c r="J68" s="1543"/>
      <c r="K68" s="1543"/>
      <c r="L68" s="1543"/>
      <c r="M68" s="1543"/>
      <c r="N68" s="1543"/>
      <c r="O68" s="1543"/>
      <c r="P68" s="1544"/>
      <c r="Q68" s="1544"/>
      <c r="R68" s="1544"/>
      <c r="S68" s="1977"/>
      <c r="T68" s="1570"/>
      <c r="U68" s="1570"/>
      <c r="V68" s="1570"/>
      <c r="W68" s="1570"/>
      <c r="X68" s="1570"/>
      <c r="Y68" s="1570"/>
      <c r="Z68" s="1570"/>
      <c r="AA68" s="1570"/>
      <c r="AB68" s="1544"/>
      <c r="AC68" s="1544"/>
      <c r="AD68" s="311"/>
      <c r="AE68" s="311"/>
      <c r="AF68" s="311"/>
      <c r="AG68" s="311"/>
    </row>
    <row r="69" spans="1:44" s="1545" customFormat="1" ht="44.25" customHeight="1">
      <c r="A69" s="1930"/>
      <c r="B69" s="1931"/>
      <c r="C69" s="1932"/>
      <c r="D69" s="1933"/>
      <c r="E69" s="1933"/>
      <c r="F69" s="1934"/>
      <c r="G69" s="1934"/>
      <c r="H69" s="1934"/>
      <c r="I69" s="1934"/>
      <c r="J69" s="1935"/>
      <c r="K69" s="1932"/>
      <c r="L69" s="1932"/>
      <c r="M69" s="1932"/>
      <c r="N69" s="1932"/>
      <c r="O69" s="1932"/>
      <c r="P69" s="1932"/>
      <c r="Q69" s="1932"/>
      <c r="R69" s="1932"/>
      <c r="S69" s="1932"/>
      <c r="T69" s="1932"/>
      <c r="U69" s="1932"/>
      <c r="V69" s="1932"/>
      <c r="W69" s="1932"/>
      <c r="X69" s="1932"/>
      <c r="Y69" s="1932"/>
      <c r="Z69" s="1932"/>
      <c r="AA69" s="1932"/>
      <c r="AB69" s="1932"/>
      <c r="AC69" s="1932"/>
      <c r="AD69" s="311"/>
      <c r="AE69" s="311"/>
      <c r="AF69" s="311"/>
      <c r="AG69" s="311"/>
    </row>
    <row r="70" spans="1:44" s="1546" customFormat="1" ht="39.950000000000003" customHeight="1">
      <c r="A70" s="1543"/>
      <c r="B70" s="1971"/>
      <c r="C70" s="1593"/>
      <c r="D70" s="1596"/>
      <c r="E70" s="1596"/>
      <c r="F70" s="1596"/>
      <c r="G70" s="1596"/>
      <c r="H70" s="1596"/>
      <c r="I70" s="1596"/>
      <c r="J70" s="1596"/>
      <c r="K70" s="1596"/>
      <c r="L70" s="1936"/>
      <c r="M70" s="1936"/>
      <c r="N70" s="1936"/>
      <c r="O70" s="1936"/>
      <c r="P70" s="1936"/>
      <c r="Q70" s="1544"/>
      <c r="R70" s="1544"/>
      <c r="S70" s="1544"/>
      <c r="T70" s="1544"/>
      <c r="U70" s="1544"/>
      <c r="V70" s="1544"/>
      <c r="W70" s="1544"/>
      <c r="X70" s="1544"/>
      <c r="Y70" s="1544"/>
      <c r="Z70" s="1544"/>
      <c r="AA70" s="1544"/>
      <c r="AB70" s="1544"/>
      <c r="AC70" s="1544"/>
      <c r="AD70" s="311"/>
      <c r="AE70" s="311"/>
      <c r="AF70" s="311"/>
      <c r="AG70" s="311"/>
    </row>
    <row r="71" spans="1:44" s="1545" customFormat="1" ht="39.950000000000003" customHeight="1">
      <c r="A71" s="1543"/>
      <c r="B71" s="1971"/>
      <c r="C71" s="1970" t="s">
        <v>1283</v>
      </c>
      <c r="D71" s="2052" t="s">
        <v>75</v>
      </c>
      <c r="E71" s="2052"/>
      <c r="F71" s="2052"/>
      <c r="G71" s="2052"/>
      <c r="H71" s="2052"/>
      <c r="I71" s="2052"/>
      <c r="J71" s="2052"/>
      <c r="K71" s="2052"/>
      <c r="L71" s="2052"/>
      <c r="M71" s="2052"/>
      <c r="N71" s="1544"/>
      <c r="O71" s="1544"/>
      <c r="P71" s="1544"/>
      <c r="Q71" s="1544"/>
      <c r="R71" s="1544"/>
      <c r="S71" s="1544"/>
      <c r="T71" s="1544"/>
      <c r="U71" s="1544"/>
      <c r="V71" s="1544"/>
      <c r="W71" s="1544"/>
      <c r="X71" s="1544"/>
      <c r="Y71" s="1544"/>
      <c r="Z71" s="1544"/>
      <c r="AA71" s="1544"/>
      <c r="AB71" s="1544"/>
      <c r="AC71" s="1544"/>
      <c r="AD71" s="311"/>
      <c r="AE71" s="311"/>
      <c r="AF71" s="311"/>
      <c r="AG71" s="311"/>
    </row>
    <row r="72" spans="1:44" s="1545" customFormat="1" ht="39.950000000000003" customHeight="1">
      <c r="A72" s="1543"/>
      <c r="B72" s="1971"/>
      <c r="C72" s="2044" t="s">
        <v>2721</v>
      </c>
      <c r="D72" s="2044"/>
      <c r="E72" s="1544"/>
      <c r="F72" s="1544"/>
      <c r="G72" s="1544"/>
      <c r="H72" s="1544"/>
      <c r="I72" s="1544"/>
      <c r="J72" s="1544"/>
      <c r="K72" s="1544"/>
      <c r="L72" s="1544"/>
      <c r="M72" s="1544"/>
      <c r="N72" s="1544"/>
      <c r="O72" s="1544"/>
      <c r="P72" s="1544"/>
      <c r="Q72" s="1544"/>
      <c r="R72" s="1544"/>
      <c r="S72" s="1544"/>
      <c r="T72" s="1544"/>
      <c r="U72" s="1544"/>
      <c r="V72" s="1544"/>
      <c r="W72" s="1544"/>
      <c r="X72" s="1544"/>
      <c r="Y72" s="1544"/>
      <c r="Z72" s="1544"/>
      <c r="AA72" s="1544"/>
      <c r="AB72" s="1544"/>
      <c r="AC72" s="1544"/>
      <c r="AD72" s="311"/>
      <c r="AE72" s="311"/>
      <c r="AF72" s="311"/>
      <c r="AG72" s="311"/>
    </row>
    <row r="73" spans="1:44" s="1545" customFormat="1" ht="39.950000000000003" customHeight="1">
      <c r="A73" s="1543"/>
      <c r="B73" s="1972" t="s">
        <v>506</v>
      </c>
      <c r="C73" s="1543"/>
      <c r="D73" s="1543"/>
      <c r="E73" s="1543"/>
      <c r="F73" s="1543"/>
      <c r="G73" s="1543"/>
      <c r="H73" s="1543"/>
      <c r="I73" s="1543"/>
      <c r="J73" s="1543"/>
      <c r="K73" s="1543"/>
      <c r="L73" s="1543"/>
      <c r="M73" s="1543"/>
      <c r="N73" s="1543"/>
      <c r="O73" s="1543"/>
      <c r="P73" s="1543"/>
      <c r="Q73" s="1543"/>
      <c r="R73" s="1543"/>
      <c r="S73" s="1544"/>
      <c r="T73" s="1544"/>
      <c r="U73" s="1544"/>
      <c r="V73" s="1544"/>
      <c r="W73" s="1544"/>
      <c r="X73" s="1544"/>
      <c r="Y73" s="1544"/>
      <c r="Z73" s="1544"/>
      <c r="AA73" s="1544"/>
      <c r="AB73" s="1544"/>
      <c r="AC73" s="1544"/>
      <c r="AD73" s="311"/>
      <c r="AE73" s="311"/>
      <c r="AF73" s="311"/>
      <c r="AG73" s="311"/>
    </row>
    <row r="74" spans="1:44" s="1545" customFormat="1" ht="39.950000000000003" customHeight="1">
      <c r="A74" s="1543"/>
      <c r="B74" s="1973" t="s">
        <v>507</v>
      </c>
      <c r="C74" s="1543"/>
      <c r="D74" s="1543"/>
      <c r="E74" s="1543"/>
      <c r="F74" s="1543"/>
      <c r="G74" s="1543"/>
      <c r="H74" s="1543"/>
      <c r="I74" s="1543"/>
      <c r="J74" s="1543"/>
      <c r="K74" s="1543"/>
      <c r="L74" s="1543"/>
      <c r="M74" s="1543"/>
      <c r="N74" s="1543"/>
      <c r="O74" s="1543"/>
      <c r="P74" s="1543"/>
      <c r="Q74" s="1543"/>
      <c r="R74" s="1543"/>
      <c r="S74" s="1544"/>
      <c r="T74" s="1544"/>
      <c r="U74" s="1544"/>
      <c r="V74" s="1544"/>
      <c r="W74" s="1544"/>
      <c r="X74" s="1544"/>
      <c r="Y74" s="1544"/>
      <c r="Z74" s="1544"/>
      <c r="AA74" s="1544"/>
      <c r="AB74" s="1544"/>
      <c r="AC74" s="1544"/>
      <c r="AD74" s="311"/>
      <c r="AE74" s="311"/>
      <c r="AF74" s="311"/>
      <c r="AG74" s="311"/>
    </row>
    <row r="75" spans="1:44" s="1546" customFormat="1" ht="39.950000000000003" customHeight="1">
      <c r="A75" s="1543"/>
      <c r="B75" s="1974" t="s">
        <v>2314</v>
      </c>
      <c r="C75" s="1975"/>
      <c r="D75" s="1543"/>
      <c r="E75" s="1543"/>
      <c r="F75" s="1543"/>
      <c r="G75" s="1543"/>
      <c r="H75" s="1543"/>
      <c r="I75" s="1936"/>
      <c r="J75" s="1543"/>
      <c r="K75" s="1543"/>
      <c r="L75" s="1936"/>
      <c r="M75" s="1936"/>
      <c r="N75" s="1936"/>
      <c r="O75" s="1936"/>
      <c r="P75" s="1936"/>
      <c r="Q75" s="1544"/>
      <c r="R75" s="1544"/>
      <c r="S75" s="1544"/>
      <c r="T75" s="1544"/>
      <c r="U75" s="1544"/>
      <c r="V75" s="1544"/>
      <c r="W75" s="1950"/>
      <c r="X75" s="1544"/>
      <c r="Y75" s="1976"/>
      <c r="Z75" s="1544"/>
      <c r="AA75" s="1544"/>
      <c r="AB75" s="1544"/>
      <c r="AC75" s="1544"/>
      <c r="AD75" s="311"/>
      <c r="AE75" s="311"/>
      <c r="AF75" s="311"/>
      <c r="AG75" s="311"/>
      <c r="AH75" s="1545"/>
      <c r="AI75" s="1545"/>
      <c r="AJ75" s="1545"/>
      <c r="AK75" s="1545"/>
      <c r="AL75" s="1545"/>
      <c r="AM75" s="1545"/>
      <c r="AN75" s="1545"/>
      <c r="AO75" s="1545"/>
      <c r="AP75" s="1545"/>
      <c r="AQ75" s="1545"/>
      <c r="AR75" s="1545"/>
    </row>
    <row r="76" spans="1:44" s="1546" customFormat="1" ht="39.950000000000003" customHeight="1">
      <c r="A76" s="1543"/>
      <c r="B76" s="1547"/>
      <c r="C76" s="1543"/>
      <c r="D76" s="1543"/>
      <c r="E76" s="1543"/>
      <c r="F76" s="1543"/>
      <c r="G76" s="1543"/>
      <c r="H76" s="1543"/>
      <c r="I76" s="1936"/>
      <c r="J76" s="1543"/>
      <c r="K76" s="1543"/>
      <c r="L76" s="1936"/>
      <c r="M76" s="1936"/>
      <c r="N76" s="1936"/>
      <c r="O76" s="1936"/>
      <c r="P76" s="1936"/>
      <c r="Q76" s="1544"/>
      <c r="R76" s="1544"/>
      <c r="S76" s="1544"/>
      <c r="T76" s="1544"/>
      <c r="U76" s="1544"/>
      <c r="V76" s="1544"/>
      <c r="W76" s="1544"/>
      <c r="X76" s="1544"/>
      <c r="Y76" s="1544"/>
      <c r="Z76" s="1544"/>
      <c r="AA76" s="1544"/>
      <c r="AB76" s="1544"/>
      <c r="AC76" s="1544"/>
      <c r="AD76" s="311"/>
      <c r="AE76" s="311"/>
      <c r="AF76" s="311"/>
      <c r="AG76" s="311"/>
      <c r="AH76" s="1545"/>
      <c r="AI76" s="1545"/>
      <c r="AJ76" s="1545"/>
      <c r="AK76" s="1545"/>
      <c r="AL76" s="1545"/>
      <c r="AM76" s="1545"/>
      <c r="AN76" s="1545"/>
      <c r="AO76" s="1545"/>
      <c r="AP76" s="1545"/>
      <c r="AQ76" s="1545"/>
      <c r="AR76" s="1545"/>
    </row>
    <row r="77" spans="1:44" s="1546" customFormat="1" ht="39.950000000000003" customHeight="1">
      <c r="A77" s="1543"/>
      <c r="B77" s="1523" t="s">
        <v>2383</v>
      </c>
      <c r="C77" s="1593"/>
      <c r="D77" s="1593"/>
      <c r="E77" s="1593"/>
      <c r="F77" s="1593"/>
      <c r="G77" s="1593"/>
      <c r="H77" s="1594"/>
      <c r="I77" s="1594"/>
      <c r="J77" s="1594"/>
      <c r="K77" s="1594"/>
      <c r="L77" s="1968"/>
      <c r="M77" s="1968"/>
      <c r="N77" s="1969"/>
      <c r="O77" s="1969"/>
      <c r="P77" s="1969"/>
      <c r="Q77" s="1544"/>
      <c r="R77" s="1544"/>
      <c r="S77" s="1544"/>
      <c r="T77" s="1544"/>
      <c r="U77" s="1544"/>
      <c r="V77" s="1544"/>
      <c r="W77" s="1544"/>
      <c r="X77" s="1544"/>
      <c r="Y77" s="1544"/>
      <c r="Z77" s="1544"/>
      <c r="AA77" s="1544"/>
      <c r="AB77" s="1544"/>
      <c r="AC77" s="1544"/>
      <c r="AD77" s="311"/>
      <c r="AE77" s="311"/>
      <c r="AF77" s="311"/>
      <c r="AG77" s="311"/>
    </row>
    <row r="78" spans="1:44" s="1546" customFormat="1" ht="39.950000000000003" customHeight="1">
      <c r="A78" s="1543"/>
      <c r="B78" s="1593" t="s">
        <v>2384</v>
      </c>
      <c r="C78" s="1593"/>
      <c r="D78" s="1593"/>
      <c r="E78" s="1593"/>
      <c r="F78" s="1593"/>
      <c r="G78" s="1593"/>
      <c r="H78" s="1593"/>
      <c r="I78" s="1593"/>
      <c r="J78" s="1593"/>
      <c r="K78" s="1593"/>
      <c r="L78" s="1936"/>
      <c r="M78" s="1936"/>
      <c r="N78" s="1936"/>
      <c r="O78" s="1936"/>
      <c r="P78" s="1936"/>
      <c r="Q78" s="1544"/>
      <c r="R78" s="1544"/>
      <c r="S78" s="1544"/>
      <c r="T78" s="1544"/>
      <c r="U78" s="1544"/>
      <c r="V78" s="1544"/>
      <c r="W78" s="1544"/>
      <c r="X78" s="1544"/>
      <c r="Y78" s="1544"/>
      <c r="Z78" s="1544"/>
      <c r="AA78" s="1544"/>
      <c r="AB78" s="1544"/>
      <c r="AC78" s="1544"/>
      <c r="AD78" s="311"/>
      <c r="AE78" s="311"/>
      <c r="AF78" s="311"/>
      <c r="AG78" s="311"/>
    </row>
    <row r="79" spans="1:44" s="1546" customFormat="1" ht="39.950000000000003" customHeight="1">
      <c r="A79" s="1970" t="s">
        <v>1283</v>
      </c>
      <c r="B79" s="1593"/>
      <c r="C79" s="7757" t="s">
        <v>2385</v>
      </c>
      <c r="D79" s="7757"/>
      <c r="E79" s="7757"/>
      <c r="F79" s="7757"/>
      <c r="G79" s="7757"/>
      <c r="H79" s="7757"/>
      <c r="I79" s="7757"/>
      <c r="J79" s="7757"/>
      <c r="K79" s="7757"/>
      <c r="L79" s="1936"/>
      <c r="M79" s="1936"/>
      <c r="N79" s="1936"/>
      <c r="O79" s="1936"/>
      <c r="P79" s="1936"/>
      <c r="Q79" s="1544"/>
      <c r="R79" s="1544"/>
      <c r="S79" s="1544"/>
      <c r="T79" s="1544"/>
      <c r="U79" s="1544"/>
      <c r="V79" s="1544"/>
      <c r="W79" s="1544"/>
      <c r="X79" s="1544"/>
      <c r="Y79" s="1544"/>
      <c r="Z79" s="1544"/>
      <c r="AA79" s="1544"/>
      <c r="AB79" s="1544"/>
      <c r="AC79" s="1544"/>
      <c r="AD79" s="311"/>
      <c r="AE79" s="311"/>
      <c r="AF79" s="311"/>
      <c r="AG79" s="311"/>
    </row>
    <row r="80" spans="1:44" s="1546" customFormat="1" ht="39.950000000000003" customHeight="1">
      <c r="A80" s="1970" t="s">
        <v>2717</v>
      </c>
      <c r="B80" s="7757" t="s">
        <v>2386</v>
      </c>
      <c r="C80" s="7757"/>
      <c r="D80" s="7757"/>
      <c r="E80" s="7757"/>
      <c r="F80" s="7757"/>
      <c r="G80" s="7757"/>
      <c r="H80" s="7757"/>
      <c r="I80" s="7757"/>
      <c r="J80" s="7757"/>
      <c r="K80" s="7757"/>
      <c r="L80" s="7757"/>
      <c r="M80" s="7757"/>
      <c r="N80" s="7757"/>
      <c r="O80" s="7757"/>
      <c r="P80" s="7757"/>
      <c r="Q80" s="7757"/>
      <c r="R80" s="7757"/>
      <c r="S80" s="7757"/>
      <c r="T80" s="7757"/>
      <c r="U80" s="7757"/>
      <c r="V80" s="7757"/>
      <c r="W80" s="1544"/>
      <c r="X80" s="1544"/>
      <c r="Y80" s="1544"/>
      <c r="Z80" s="1544"/>
      <c r="AA80" s="1544"/>
      <c r="AB80" s="1544"/>
      <c r="AC80" s="1544"/>
      <c r="AD80" s="311"/>
      <c r="AE80" s="311"/>
      <c r="AF80" s="311"/>
      <c r="AG80" s="311"/>
    </row>
    <row r="81" spans="1:44" s="1546" customFormat="1" ht="39.950000000000003" customHeight="1">
      <c r="A81" s="1543"/>
      <c r="B81" s="1547"/>
      <c r="C81" s="1543"/>
      <c r="D81" s="1543"/>
      <c r="E81" s="1543"/>
      <c r="F81" s="1543"/>
      <c r="G81" s="1543"/>
      <c r="H81" s="1543"/>
      <c r="I81" s="1936"/>
      <c r="J81" s="1543"/>
      <c r="K81" s="1543"/>
      <c r="L81" s="1936"/>
      <c r="M81" s="1936"/>
      <c r="N81" s="1936"/>
      <c r="O81" s="1936"/>
      <c r="P81" s="1936"/>
      <c r="Q81" s="1544"/>
      <c r="R81" s="1544"/>
      <c r="S81" s="1544"/>
      <c r="T81" s="1544"/>
      <c r="U81" s="1544"/>
      <c r="V81" s="1544"/>
      <c r="W81" s="1544"/>
      <c r="X81" s="1544"/>
      <c r="Y81" s="1544"/>
      <c r="Z81" s="1544"/>
      <c r="AA81" s="1544"/>
      <c r="AB81" s="1544"/>
      <c r="AC81" s="1544"/>
      <c r="AD81" s="311"/>
      <c r="AE81" s="311"/>
      <c r="AF81" s="311"/>
      <c r="AG81" s="311"/>
      <c r="AH81" s="1545"/>
      <c r="AI81" s="1545"/>
      <c r="AJ81" s="1545"/>
      <c r="AK81" s="1545"/>
      <c r="AL81" s="1545"/>
      <c r="AM81" s="1545"/>
      <c r="AN81" s="1545"/>
      <c r="AO81" s="1545"/>
      <c r="AP81" s="1545"/>
      <c r="AQ81" s="1545"/>
      <c r="AR81" s="1545"/>
    </row>
  </sheetData>
  <mergeCells count="6">
    <mergeCell ref="B8:P8"/>
    <mergeCell ref="B37:G37"/>
    <mergeCell ref="C79:K79"/>
    <mergeCell ref="B80:V80"/>
    <mergeCell ref="S8:AC10"/>
    <mergeCell ref="R8:R10"/>
  </mergeCells>
  <hyperlinks>
    <hyperlink ref="B37" r:id="rId1" xr:uid="{E9C7D278-B32B-4B7C-8503-17B862A32B93}"/>
    <hyperlink ref="C79" r:id="rId2" display="http://www.excel-downloads.com/forum/111720-space.html" xr:uid="{ED2C4B50-4A50-4E2C-B947-256C0E1483F8}"/>
    <hyperlink ref="B80" r:id="rId3" xr:uid="{2123A845-4B7A-4A8A-9330-1638BFA92369}"/>
    <hyperlink ref="B71" r:id="rId4" display="Les unités pifométriques" xr:uid="{4D1227E2-B989-4F6C-BDFA-234E8E6DBEEF}"/>
    <hyperlink ref="D71" r:id="rId5" xr:uid="{4006B7B6-30AA-480C-A9DC-1C056A3B506A}"/>
  </hyperlinks>
  <pageMargins left="0.7" right="0.7" top="0.75" bottom="0.75" header="0.3" footer="0.3"/>
  <drawing r:id="rId6"/>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17AD8-AEAC-48F1-AD5D-7AADB895628C}">
  <dimension ref="A1:AH471"/>
  <sheetViews>
    <sheetView workbookViewId="0">
      <selection activeCell="AH16" sqref="AH16"/>
    </sheetView>
  </sheetViews>
  <sheetFormatPr baseColWidth="10" defaultRowHeight="15"/>
  <cols>
    <col min="2" max="2" width="4.7109375" style="3027" customWidth="1"/>
    <col min="3" max="3" width="60.5703125" style="3027" customWidth="1"/>
    <col min="4" max="5" width="50.7109375" style="3027" customWidth="1"/>
    <col min="6" max="6" width="7.5703125" customWidth="1"/>
    <col min="7" max="7" width="11.42578125" style="3027"/>
    <col min="8" max="8" width="105.85546875" customWidth="1"/>
    <col min="9" max="9" width="66.28515625" customWidth="1"/>
    <col min="10" max="10" width="80.7109375" customWidth="1"/>
    <col min="12" max="12" width="10.7109375" customWidth="1"/>
    <col min="13" max="15" width="67.7109375" customWidth="1"/>
    <col min="16" max="16" width="84" customWidth="1"/>
    <col min="17" max="17" width="5" customWidth="1"/>
    <col min="18" max="18" width="11.5703125" style="2976" customWidth="1"/>
    <col min="19" max="21" width="99.7109375" style="2976" customWidth="1"/>
    <col min="23" max="23" width="10.7109375" customWidth="1"/>
    <col min="24" max="26" width="30.7109375" customWidth="1"/>
    <col min="27" max="29" width="50.7109375" customWidth="1"/>
    <col min="30" max="30" width="30.7109375" customWidth="1"/>
    <col min="34" max="34" width="80.85546875" customWidth="1"/>
  </cols>
  <sheetData>
    <row r="1" spans="1:34" ht="15.75" thickTop="1">
      <c r="A1" s="2732" t="str">
        <f>ADDRESS(ROW(),COLUMN(),4)</f>
        <v>A1</v>
      </c>
      <c r="B1" s="2952" t="str">
        <f t="shared" ref="B1:J1" si="0">SUBSTITUTE(ADDRESS(1,COLUMN(),4),"1","")</f>
        <v>B</v>
      </c>
      <c r="C1" s="2952" t="str">
        <f t="shared" si="0"/>
        <v>C</v>
      </c>
      <c r="D1" s="2952" t="str">
        <f t="shared" si="0"/>
        <v>D</v>
      </c>
      <c r="E1" s="2952" t="str">
        <f t="shared" si="0"/>
        <v>E</v>
      </c>
      <c r="G1" s="2952" t="str">
        <f t="shared" si="0"/>
        <v>G</v>
      </c>
      <c r="H1" s="2952" t="str">
        <f t="shared" si="0"/>
        <v>H</v>
      </c>
      <c r="I1" s="2952" t="str">
        <f t="shared" si="0"/>
        <v>I</v>
      </c>
      <c r="J1" s="2952" t="str">
        <f t="shared" si="0"/>
        <v>J</v>
      </c>
      <c r="L1" s="2952" t="str">
        <f t="shared" ref="L1:P1" si="1">SUBSTITUTE(ADDRESS(1,COLUMN(),4),"1","")</f>
        <v>L</v>
      </c>
      <c r="M1" s="2952" t="str">
        <f t="shared" si="1"/>
        <v>M</v>
      </c>
      <c r="N1" s="2952" t="str">
        <f t="shared" si="1"/>
        <v>N</v>
      </c>
      <c r="O1" s="2952" t="str">
        <f t="shared" si="1"/>
        <v>O</v>
      </c>
      <c r="P1" s="2952" t="str">
        <f t="shared" si="1"/>
        <v>P</v>
      </c>
      <c r="Q1" s="1"/>
      <c r="R1" s="2952" t="str">
        <f t="shared" ref="R1:U1" si="2">SUBSTITUTE(ADDRESS(1,COLUMN(),4),"1","")</f>
        <v>R</v>
      </c>
      <c r="S1" s="2952" t="str">
        <f t="shared" si="2"/>
        <v>S</v>
      </c>
      <c r="T1" s="2952" t="str">
        <f t="shared" si="2"/>
        <v>T</v>
      </c>
      <c r="U1" s="2952" t="str">
        <f t="shared" si="2"/>
        <v>U</v>
      </c>
      <c r="W1" s="2952" t="str">
        <f t="shared" ref="W1:AD1" si="3">SUBSTITUTE(ADDRESS(1,COLUMN(),4),"1","")</f>
        <v>W</v>
      </c>
      <c r="X1" s="2952" t="str">
        <f t="shared" si="3"/>
        <v>X</v>
      </c>
      <c r="Y1" s="2952" t="str">
        <f t="shared" si="3"/>
        <v>Y</v>
      </c>
      <c r="Z1" s="2952" t="str">
        <f t="shared" si="3"/>
        <v>Z</v>
      </c>
      <c r="AA1" s="2952" t="str">
        <f t="shared" si="3"/>
        <v>AA</v>
      </c>
      <c r="AB1" s="2952" t="str">
        <f t="shared" si="3"/>
        <v>AB</v>
      </c>
      <c r="AC1" s="2952" t="str">
        <f t="shared" si="3"/>
        <v>AC</v>
      </c>
      <c r="AD1" s="2952" t="str">
        <f t="shared" si="3"/>
        <v>AD</v>
      </c>
      <c r="AF1" s="2730">
        <v>1</v>
      </c>
      <c r="AG1" s="2953" t="str">
        <f>SUBSTITUTE(ADDRESS(1,COLUMN(),4),"1","")</f>
        <v>AG</v>
      </c>
      <c r="AH1" s="2954" t="str">
        <f>SUBSTITUTE(ADDRESS(1,COLUMN(),4),"1","")</f>
        <v>AH</v>
      </c>
    </row>
    <row r="2" spans="1:34">
      <c r="B2" s="2727">
        <f t="shared" ref="B2:J2" ca="1" si="4">CELL("largeur",B2)</f>
        <v>4</v>
      </c>
      <c r="C2" s="2727">
        <f t="shared" ca="1" si="4"/>
        <v>60</v>
      </c>
      <c r="D2" s="2727">
        <f t="shared" ca="1" si="4"/>
        <v>50</v>
      </c>
      <c r="E2" s="2727">
        <f t="shared" ca="1" si="4"/>
        <v>50</v>
      </c>
      <c r="G2" s="2727">
        <f t="shared" ca="1" si="4"/>
        <v>11</v>
      </c>
      <c r="H2" s="2727">
        <f t="shared" ca="1" si="4"/>
        <v>105</v>
      </c>
      <c r="I2" s="2727">
        <f t="shared" ca="1" si="4"/>
        <v>66</v>
      </c>
      <c r="J2" s="2727">
        <f t="shared" ca="1" si="4"/>
        <v>80</v>
      </c>
      <c r="L2" s="2727">
        <f t="shared" ref="L2:P2" ca="1" si="5">CELL("largeur",L2)</f>
        <v>10</v>
      </c>
      <c r="M2" s="2727">
        <f t="shared" ca="1" si="5"/>
        <v>67</v>
      </c>
      <c r="N2" s="2727">
        <f t="shared" ca="1" si="5"/>
        <v>67</v>
      </c>
      <c r="O2" s="2727">
        <f t="shared" ca="1" si="5"/>
        <v>67</v>
      </c>
      <c r="P2" s="2727">
        <f t="shared" ca="1" si="5"/>
        <v>83</v>
      </c>
      <c r="Q2" s="1"/>
      <c r="R2" s="2727">
        <f t="shared" ref="R2:U2" ca="1" si="6">CELL("largeur",R2)</f>
        <v>11</v>
      </c>
      <c r="S2" s="2727">
        <f t="shared" ca="1" si="6"/>
        <v>99</v>
      </c>
      <c r="T2" s="2727">
        <f t="shared" ca="1" si="6"/>
        <v>99</v>
      </c>
      <c r="U2" s="2727">
        <f t="shared" ca="1" si="6"/>
        <v>99</v>
      </c>
      <c r="W2" s="2727">
        <f t="shared" ref="W2:AD2" ca="1" si="7">CELL("largeur",W2)</f>
        <v>10</v>
      </c>
      <c r="X2" s="2727">
        <f t="shared" ca="1" si="7"/>
        <v>30</v>
      </c>
      <c r="Y2" s="2727">
        <f t="shared" ca="1" si="7"/>
        <v>30</v>
      </c>
      <c r="Z2" s="2727">
        <f t="shared" ca="1" si="7"/>
        <v>30</v>
      </c>
      <c r="AA2" s="2727">
        <f t="shared" ca="1" si="7"/>
        <v>50</v>
      </c>
      <c r="AB2" s="2727">
        <f t="shared" ca="1" si="7"/>
        <v>50</v>
      </c>
      <c r="AC2" s="2727">
        <f t="shared" ca="1" si="7"/>
        <v>50</v>
      </c>
      <c r="AD2" s="2727">
        <f t="shared" ca="1" si="7"/>
        <v>30</v>
      </c>
      <c r="AF2" s="2730">
        <v>1</v>
      </c>
      <c r="AG2" s="2955" t="s">
        <v>7185</v>
      </c>
      <c r="AH2" s="2956"/>
    </row>
    <row r="3" spans="1:34" ht="16.5" thickBot="1">
      <c r="B3" s="2957">
        <v>4</v>
      </c>
      <c r="C3" s="2957">
        <v>50</v>
      </c>
      <c r="D3" s="2957">
        <v>50</v>
      </c>
      <c r="E3" s="2957">
        <v>50</v>
      </c>
      <c r="G3" s="2957">
        <v>11</v>
      </c>
      <c r="H3" s="2957">
        <v>82</v>
      </c>
      <c r="I3" s="2957">
        <v>66</v>
      </c>
      <c r="J3" s="2957">
        <v>80</v>
      </c>
      <c r="L3" s="2957">
        <v>10</v>
      </c>
      <c r="M3" s="2957">
        <v>67</v>
      </c>
      <c r="N3" s="2957">
        <v>67</v>
      </c>
      <c r="O3" s="2957">
        <v>67</v>
      </c>
      <c r="P3" s="2957">
        <v>83</v>
      </c>
      <c r="Q3" s="1"/>
      <c r="R3" s="2957">
        <v>11</v>
      </c>
      <c r="S3" s="2957">
        <v>99</v>
      </c>
      <c r="T3" s="2957">
        <v>99</v>
      </c>
      <c r="U3" s="2957">
        <v>99</v>
      </c>
      <c r="W3" s="2957">
        <v>10</v>
      </c>
      <c r="X3" s="2957">
        <v>30</v>
      </c>
      <c r="Y3" s="2957">
        <v>30</v>
      </c>
      <c r="Z3" s="2957">
        <v>30</v>
      </c>
      <c r="AA3" s="2957">
        <v>50</v>
      </c>
      <c r="AB3" s="2957">
        <v>50</v>
      </c>
      <c r="AC3" s="2957">
        <v>50</v>
      </c>
      <c r="AD3" s="2957">
        <v>30</v>
      </c>
      <c r="AF3" s="2730">
        <v>1</v>
      </c>
      <c r="AG3" s="2958">
        <f ca="1">COUNTA(A1:AF468) + COUNTBLANK(A1:AF468)</f>
        <v>14976</v>
      </c>
      <c r="AH3" s="2959" t="str">
        <f>"cellules entre -cells -celdas  "&amp;" " &amp;A1&amp;" et  "&amp;AF469</f>
        <v>cellules entre -cells -celdas   A1 et  AF469</v>
      </c>
    </row>
    <row r="4" spans="1:34" ht="15" customHeight="1">
      <c r="B4" s="9141" t="s">
        <v>7186</v>
      </c>
      <c r="C4" s="9141"/>
      <c r="D4" s="9141"/>
      <c r="E4" s="9141"/>
      <c r="F4" s="1"/>
      <c r="G4" s="9141" t="s">
        <v>7187</v>
      </c>
      <c r="H4" s="9141"/>
      <c r="I4" s="9141"/>
      <c r="J4" s="9141"/>
      <c r="L4" s="2960"/>
      <c r="M4" s="2960"/>
      <c r="N4" s="2960"/>
      <c r="O4" s="2960"/>
      <c r="P4" s="2960"/>
      <c r="Q4" s="1"/>
      <c r="R4" s="9143" t="s">
        <v>7188</v>
      </c>
      <c r="S4" s="9143"/>
      <c r="T4" s="9143"/>
      <c r="U4" s="9143"/>
      <c r="W4" s="9145" t="s">
        <v>7189</v>
      </c>
      <c r="X4" s="9145"/>
      <c r="Y4" s="9145"/>
      <c r="Z4" s="9145"/>
      <c r="AA4" s="9145"/>
      <c r="AB4" s="9145"/>
      <c r="AC4" s="9145"/>
      <c r="AD4" s="9145"/>
      <c r="AF4" s="2730">
        <v>1</v>
      </c>
      <c r="AG4" s="2958">
        <f ca="1">COUNTA(A1:AF468)</f>
        <v>5483</v>
      </c>
      <c r="AH4" s="2959" t="s">
        <v>7190</v>
      </c>
    </row>
    <row r="5" spans="1:34" ht="15" customHeight="1">
      <c r="B5" s="9142"/>
      <c r="C5" s="9142"/>
      <c r="D5" s="9142"/>
      <c r="E5" s="9142"/>
      <c r="F5" s="1"/>
      <c r="G5" s="9142"/>
      <c r="H5" s="9142"/>
      <c r="I5" s="9142"/>
      <c r="J5" s="9142"/>
      <c r="L5" s="2960"/>
      <c r="M5" s="2960"/>
      <c r="N5" s="2960"/>
      <c r="O5" s="2960"/>
      <c r="P5" s="2960"/>
      <c r="Q5" s="1"/>
      <c r="R5" s="9144"/>
      <c r="S5" s="9144"/>
      <c r="T5" s="9144"/>
      <c r="U5" s="9144"/>
      <c r="W5" s="9146"/>
      <c r="X5" s="9146"/>
      <c r="Y5" s="9146"/>
      <c r="Z5" s="9146"/>
      <c r="AA5" s="9146"/>
      <c r="AB5" s="9146"/>
      <c r="AC5" s="9146"/>
      <c r="AD5" s="9146"/>
      <c r="AF5" s="2730">
        <v>1</v>
      </c>
      <c r="AG5" s="2958">
        <f ca="1">COUNTBLANK(A1:AF468)</f>
        <v>9493</v>
      </c>
      <c r="AH5" s="2959" t="s">
        <v>7191</v>
      </c>
    </row>
    <row r="6" spans="1:34" ht="21" customHeight="1">
      <c r="B6" s="2961" t="s">
        <v>7192</v>
      </c>
      <c r="C6" s="2962"/>
      <c r="D6" s="2963"/>
      <c r="E6" s="2963"/>
      <c r="G6" s="2964"/>
      <c r="H6" s="1"/>
      <c r="I6" s="1"/>
      <c r="J6" s="1"/>
      <c r="L6" s="2965"/>
      <c r="M6" s="2965"/>
      <c r="N6" s="2965"/>
      <c r="O6" s="2965"/>
      <c r="P6" s="2965"/>
      <c r="Q6" s="2965"/>
      <c r="R6" s="2965"/>
      <c r="S6" s="2965"/>
      <c r="T6" s="2965"/>
      <c r="U6" s="2965"/>
      <c r="W6" s="9147" t="s">
        <v>7193</v>
      </c>
      <c r="X6" s="9147"/>
      <c r="Y6" s="9147"/>
      <c r="Z6" s="9147"/>
      <c r="AA6" s="9147"/>
      <c r="AB6" s="9147"/>
      <c r="AC6" s="9147"/>
      <c r="AD6" s="9147"/>
      <c r="AF6" s="2730">
        <v>1</v>
      </c>
      <c r="AG6" s="2958">
        <f>SUM(AF1:AF467)+2</f>
        <v>469</v>
      </c>
      <c r="AH6" s="2959" t="s">
        <v>7194</v>
      </c>
    </row>
    <row r="7" spans="1:34" ht="30" customHeight="1">
      <c r="B7" s="2961" t="s">
        <v>7195</v>
      </c>
      <c r="C7" s="2962"/>
      <c r="D7" s="2963"/>
      <c r="E7" s="2963"/>
      <c r="F7" s="1"/>
      <c r="G7" s="2964"/>
      <c r="H7" s="1"/>
      <c r="I7" s="2966" t="s">
        <v>7196</v>
      </c>
      <c r="J7" s="2967" t="str">
        <f>AF469</f>
        <v>AF469</v>
      </c>
      <c r="L7" s="1"/>
      <c r="M7" s="1"/>
      <c r="N7" s="1"/>
      <c r="O7" s="1"/>
      <c r="P7" s="1"/>
      <c r="Q7" s="1"/>
      <c r="R7" s="2965"/>
      <c r="S7" s="2965"/>
      <c r="T7" s="2965"/>
      <c r="U7" s="2965"/>
      <c r="W7" s="9147"/>
      <c r="X7" s="9147"/>
      <c r="Y7" s="9147"/>
      <c r="Z7" s="9147"/>
      <c r="AA7" s="9147"/>
      <c r="AB7" s="9147"/>
      <c r="AC7" s="9147"/>
      <c r="AD7" s="9147"/>
      <c r="AF7" s="2730">
        <v>1</v>
      </c>
      <c r="AG7" s="2958">
        <f>SUM(A469:AE469)+1</f>
        <v>27</v>
      </c>
      <c r="AH7" s="2959" t="s">
        <v>7197</v>
      </c>
    </row>
    <row r="8" spans="1:34" ht="30" customHeight="1">
      <c r="B8" s="2961" t="s">
        <v>7198</v>
      </c>
      <c r="C8" s="2962"/>
      <c r="D8" s="2963"/>
      <c r="E8" s="2963"/>
      <c r="F8" s="1"/>
      <c r="G8" s="2963"/>
      <c r="H8" s="9129" t="s">
        <v>7199</v>
      </c>
      <c r="I8" s="9129"/>
      <c r="J8" s="9129"/>
      <c r="L8" s="1"/>
      <c r="M8" s="1"/>
      <c r="N8" s="1"/>
      <c r="O8" s="1"/>
      <c r="P8" s="1"/>
      <c r="Q8" s="1"/>
      <c r="R8" s="2968" t="s">
        <v>7200</v>
      </c>
      <c r="S8" s="2969" t="s">
        <v>7201</v>
      </c>
      <c r="T8" s="2965"/>
      <c r="U8" s="2965"/>
      <c r="W8" s="2970"/>
      <c r="X8" s="1"/>
      <c r="Y8" s="1"/>
      <c r="Z8" s="1"/>
      <c r="AA8" s="1"/>
      <c r="AB8" s="1"/>
      <c r="AC8" s="1"/>
      <c r="AD8" s="1"/>
      <c r="AF8" s="2730">
        <v>1</v>
      </c>
    </row>
    <row r="9" spans="1:34" ht="30" customHeight="1">
      <c r="B9" s="2971"/>
      <c r="C9" s="2972"/>
      <c r="D9" s="2971"/>
      <c r="E9" s="2971"/>
      <c r="F9" s="1"/>
      <c r="G9" s="2963"/>
      <c r="H9" s="2963"/>
      <c r="I9" s="2963"/>
      <c r="J9" s="2963"/>
      <c r="L9" s="1"/>
      <c r="M9" s="2973" t="s">
        <v>7202</v>
      </c>
      <c r="N9" s="2973" t="s">
        <v>7203</v>
      </c>
      <c r="O9" s="2973" t="s">
        <v>7204</v>
      </c>
      <c r="P9" s="2974" t="s">
        <v>7205</v>
      </c>
      <c r="Q9" s="2975"/>
      <c r="S9" s="2973" t="s">
        <v>7202</v>
      </c>
      <c r="T9" s="2973" t="s">
        <v>7203</v>
      </c>
      <c r="U9" s="2973" t="s">
        <v>7204</v>
      </c>
      <c r="W9" s="2977"/>
      <c r="X9" s="2978" t="s">
        <v>7202</v>
      </c>
      <c r="Y9" s="2978" t="s">
        <v>7203</v>
      </c>
      <c r="Z9" s="2978" t="s">
        <v>7204</v>
      </c>
      <c r="AA9" s="9132" t="s">
        <v>7205</v>
      </c>
      <c r="AB9" s="9133"/>
      <c r="AC9" s="9133"/>
      <c r="AD9" s="2978" t="s">
        <v>7202</v>
      </c>
      <c r="AF9" s="2730">
        <v>1</v>
      </c>
    </row>
    <row r="10" spans="1:34" ht="30" customHeight="1">
      <c r="B10" s="2971"/>
      <c r="C10" s="2979" t="s">
        <v>7206</v>
      </c>
      <c r="D10" s="2980"/>
      <c r="E10" s="2981"/>
      <c r="F10" s="1"/>
      <c r="G10" s="2982"/>
      <c r="H10" s="9134" t="s">
        <v>7207</v>
      </c>
      <c r="I10" s="9134"/>
      <c r="J10" s="9134"/>
      <c r="L10" s="2983">
        <v>1</v>
      </c>
      <c r="M10" s="2984" t="s">
        <v>7208</v>
      </c>
      <c r="N10" s="716" t="s">
        <v>7209</v>
      </c>
      <c r="O10" s="716" t="s">
        <v>7210</v>
      </c>
      <c r="P10" s="716"/>
      <c r="Q10" s="2975"/>
      <c r="S10" s="2985"/>
      <c r="T10" s="2986"/>
      <c r="U10" s="2987"/>
      <c r="W10" s="2977"/>
      <c r="X10" s="2988"/>
      <c r="Y10" s="2988"/>
      <c r="Z10" s="2988"/>
      <c r="AA10" s="2988"/>
      <c r="AB10" s="2988"/>
      <c r="AC10" s="2988"/>
      <c r="AD10" s="2989"/>
      <c r="AF10" s="2730">
        <v>1</v>
      </c>
    </row>
    <row r="11" spans="1:34" ht="30" customHeight="1">
      <c r="B11" s="2990">
        <v>1</v>
      </c>
      <c r="C11" s="2991" t="s">
        <v>7211</v>
      </c>
      <c r="D11" s="2992" t="s">
        <v>7212</v>
      </c>
      <c r="E11" s="2993" t="s">
        <v>7213</v>
      </c>
      <c r="F11" s="1"/>
      <c r="G11" s="2982"/>
      <c r="H11" s="2994"/>
      <c r="I11" s="2994"/>
      <c r="J11" s="2994"/>
      <c r="L11" s="2983">
        <f t="shared" ref="L11:L40" si="8">L10+1</f>
        <v>2</v>
      </c>
      <c r="M11" s="2984" t="s">
        <v>7214</v>
      </c>
      <c r="N11" s="716" t="s">
        <v>7215</v>
      </c>
      <c r="O11" s="716" t="s">
        <v>7216</v>
      </c>
      <c r="P11" s="2975" t="s">
        <v>7217</v>
      </c>
      <c r="Q11" s="2975"/>
      <c r="R11" s="2965"/>
      <c r="S11" s="2995" t="s">
        <v>337</v>
      </c>
      <c r="T11" s="2996"/>
      <c r="U11" s="2997"/>
      <c r="W11" s="2998"/>
      <c r="X11" s="2999" t="s">
        <v>337</v>
      </c>
      <c r="Y11" s="3000"/>
      <c r="Z11" s="3000"/>
      <c r="AA11" s="3000"/>
      <c r="AB11" s="2988"/>
      <c r="AC11" s="2988"/>
      <c r="AD11" s="2999" t="s">
        <v>337</v>
      </c>
      <c r="AF11" s="2730">
        <v>1</v>
      </c>
    </row>
    <row r="12" spans="1:34" ht="30" customHeight="1">
      <c r="B12" s="2990">
        <v>2</v>
      </c>
      <c r="C12" s="2991" t="s">
        <v>7218</v>
      </c>
      <c r="D12" s="2992" t="s">
        <v>7219</v>
      </c>
      <c r="E12" s="2993" t="s">
        <v>7220</v>
      </c>
      <c r="F12" s="1"/>
      <c r="G12" s="2980" t="s">
        <v>66</v>
      </c>
      <c r="H12" s="2979" t="s">
        <v>2794</v>
      </c>
      <c r="I12" s="3001" t="s">
        <v>7221</v>
      </c>
      <c r="J12" s="2979" t="s">
        <v>7222</v>
      </c>
      <c r="L12" s="2983">
        <f t="shared" si="8"/>
        <v>3</v>
      </c>
      <c r="M12" s="2984" t="s">
        <v>7223</v>
      </c>
      <c r="N12" s="716" t="s">
        <v>7224</v>
      </c>
      <c r="O12" s="716" t="s">
        <v>7225</v>
      </c>
      <c r="P12" s="2975" t="s">
        <v>7226</v>
      </c>
      <c r="Q12" s="2975"/>
      <c r="R12" s="3002">
        <v>1</v>
      </c>
      <c r="S12" s="3003" t="s">
        <v>7227</v>
      </c>
      <c r="T12" s="3004" t="s">
        <v>7228</v>
      </c>
      <c r="U12" s="3005" t="s">
        <v>7229</v>
      </c>
      <c r="W12" s="2998">
        <v>1</v>
      </c>
      <c r="X12" s="3006" t="s">
        <v>2058</v>
      </c>
      <c r="Y12" s="3007" t="s">
        <v>7230</v>
      </c>
      <c r="Z12" s="3007" t="s">
        <v>7231</v>
      </c>
      <c r="AA12" s="3007" t="s">
        <v>7232</v>
      </c>
      <c r="AB12" s="3007" t="s">
        <v>7233</v>
      </c>
      <c r="AC12" s="3007" t="s">
        <v>7234</v>
      </c>
      <c r="AD12" s="3006" t="s">
        <v>2058</v>
      </c>
      <c r="AF12" s="2730">
        <v>1</v>
      </c>
    </row>
    <row r="13" spans="1:34" ht="30" customHeight="1">
      <c r="B13" s="2990">
        <v>3</v>
      </c>
      <c r="C13" s="2991" t="s">
        <v>7235</v>
      </c>
      <c r="D13" s="2992" t="s">
        <v>7236</v>
      </c>
      <c r="E13" s="2993" t="s">
        <v>7237</v>
      </c>
      <c r="F13" s="1"/>
      <c r="G13" s="3008">
        <v>1</v>
      </c>
      <c r="H13" s="2991" t="s">
        <v>2794</v>
      </c>
      <c r="I13" s="3009" t="s">
        <v>7238</v>
      </c>
      <c r="J13" s="3010" t="s">
        <v>7239</v>
      </c>
      <c r="L13" s="2983">
        <f t="shared" si="8"/>
        <v>4</v>
      </c>
      <c r="M13" s="2984" t="s">
        <v>7240</v>
      </c>
      <c r="N13" s="716" t="s">
        <v>7241</v>
      </c>
      <c r="O13" s="716" t="s">
        <v>7242</v>
      </c>
      <c r="P13" s="2975" t="s">
        <v>7243</v>
      </c>
      <c r="Q13" s="2975"/>
      <c r="R13" s="3002">
        <f>R12+1</f>
        <v>2</v>
      </c>
      <c r="S13" s="3003" t="s">
        <v>7244</v>
      </c>
      <c r="T13" s="3004" t="s">
        <v>7245</v>
      </c>
      <c r="U13" s="3005" t="s">
        <v>7246</v>
      </c>
      <c r="W13" s="2998">
        <f>W12+1</f>
        <v>2</v>
      </c>
      <c r="X13" s="3006" t="s">
        <v>7247</v>
      </c>
      <c r="Y13" s="3007" t="s">
        <v>7248</v>
      </c>
      <c r="Z13" s="3007" t="s">
        <v>7249</v>
      </c>
      <c r="AA13" s="3007" t="s">
        <v>7250</v>
      </c>
      <c r="AB13" s="3007" t="s">
        <v>7251</v>
      </c>
      <c r="AC13" s="3007" t="s">
        <v>7252</v>
      </c>
      <c r="AD13" s="3006" t="s">
        <v>7247</v>
      </c>
      <c r="AF13" s="2730">
        <v>1</v>
      </c>
    </row>
    <row r="14" spans="1:34" ht="30" customHeight="1">
      <c r="B14" s="2990">
        <v>4</v>
      </c>
      <c r="C14" s="2991" t="s">
        <v>7253</v>
      </c>
      <c r="D14" s="2992" t="s">
        <v>7254</v>
      </c>
      <c r="E14" s="2993" t="s">
        <v>7255</v>
      </c>
      <c r="F14" s="1"/>
      <c r="G14" s="3008">
        <v>2</v>
      </c>
      <c r="H14" s="2991" t="s">
        <v>2905</v>
      </c>
      <c r="I14" s="3009" t="s">
        <v>7256</v>
      </c>
      <c r="J14" s="3010" t="s">
        <v>7257</v>
      </c>
      <c r="L14" s="2983">
        <f t="shared" si="8"/>
        <v>5</v>
      </c>
      <c r="M14" s="2984" t="s">
        <v>7258</v>
      </c>
      <c r="N14" s="716" t="s">
        <v>7259</v>
      </c>
      <c r="O14" s="2975" t="s">
        <v>7260</v>
      </c>
      <c r="P14" s="2975" t="s">
        <v>7261</v>
      </c>
      <c r="Q14" s="2975"/>
      <c r="R14" s="3002">
        <f t="shared" ref="R14:R18" si="9">R13+1</f>
        <v>3</v>
      </c>
      <c r="S14" s="3003" t="s">
        <v>7262</v>
      </c>
      <c r="T14" s="3004" t="s">
        <v>7263</v>
      </c>
      <c r="U14" s="3005" t="s">
        <v>7264</v>
      </c>
      <c r="W14" s="2998">
        <f t="shared" ref="W14:W40" si="10">W13+1</f>
        <v>3</v>
      </c>
      <c r="X14" s="3006" t="s">
        <v>2069</v>
      </c>
      <c r="Y14" s="3007" t="s">
        <v>7265</v>
      </c>
      <c r="Z14" s="3011" t="s">
        <v>7266</v>
      </c>
      <c r="AA14" s="3007" t="s">
        <v>7267</v>
      </c>
      <c r="AB14" s="3007" t="s">
        <v>7268</v>
      </c>
      <c r="AC14" s="3007" t="s">
        <v>7269</v>
      </c>
      <c r="AD14" s="3006" t="s">
        <v>2069</v>
      </c>
      <c r="AF14" s="2730">
        <v>1</v>
      </c>
    </row>
    <row r="15" spans="1:34" ht="30" customHeight="1">
      <c r="B15" s="2990">
        <v>5</v>
      </c>
      <c r="C15" s="2991" t="s">
        <v>7270</v>
      </c>
      <c r="D15" s="2992" t="s">
        <v>7271</v>
      </c>
      <c r="E15" s="2993" t="s">
        <v>7272</v>
      </c>
      <c r="F15" s="1"/>
      <c r="G15" s="3008">
        <v>3</v>
      </c>
      <c r="H15" s="2991" t="s">
        <v>2799</v>
      </c>
      <c r="I15" s="3009" t="s">
        <v>7273</v>
      </c>
      <c r="J15" s="3010" t="s">
        <v>7274</v>
      </c>
      <c r="L15" s="2983">
        <f t="shared" si="8"/>
        <v>6</v>
      </c>
      <c r="M15" s="2984" t="s">
        <v>7275</v>
      </c>
      <c r="N15" s="716" t="s">
        <v>7276</v>
      </c>
      <c r="O15" s="716" t="s">
        <v>7277</v>
      </c>
      <c r="P15" s="2975" t="s">
        <v>7278</v>
      </c>
      <c r="Q15" s="2975"/>
      <c r="R15" s="3002">
        <f t="shared" si="9"/>
        <v>4</v>
      </c>
      <c r="S15" s="3003" t="s">
        <v>7279</v>
      </c>
      <c r="T15" s="3004" t="s">
        <v>7280</v>
      </c>
      <c r="U15" s="3005" t="s">
        <v>7281</v>
      </c>
      <c r="W15" s="2998">
        <f t="shared" si="10"/>
        <v>4</v>
      </c>
      <c r="X15" s="3006" t="s">
        <v>2065</v>
      </c>
      <c r="Y15" s="3007" t="s">
        <v>7282</v>
      </c>
      <c r="Z15" s="3007" t="s">
        <v>7283</v>
      </c>
      <c r="AA15" s="3007" t="s">
        <v>7284</v>
      </c>
      <c r="AB15" s="3007" t="s">
        <v>7285</v>
      </c>
      <c r="AC15" s="3007" t="s">
        <v>7286</v>
      </c>
      <c r="AD15" s="3006" t="s">
        <v>2065</v>
      </c>
      <c r="AF15" s="2730">
        <v>1</v>
      </c>
    </row>
    <row r="16" spans="1:34" ht="30" customHeight="1">
      <c r="B16" s="2990">
        <v>6</v>
      </c>
      <c r="C16" s="2991" t="s">
        <v>7287</v>
      </c>
      <c r="D16" s="2992" t="s">
        <v>7288</v>
      </c>
      <c r="E16" s="2993" t="s">
        <v>7289</v>
      </c>
      <c r="F16" s="1"/>
      <c r="G16" s="3008">
        <v>4</v>
      </c>
      <c r="H16" s="2991" t="s">
        <v>2802</v>
      </c>
      <c r="I16" s="3009" t="s">
        <v>7290</v>
      </c>
      <c r="J16" s="3010" t="s">
        <v>7291</v>
      </c>
      <c r="L16" s="2983">
        <f t="shared" si="8"/>
        <v>7</v>
      </c>
      <c r="M16" s="2984" t="s">
        <v>7292</v>
      </c>
      <c r="N16" s="716" t="s">
        <v>7293</v>
      </c>
      <c r="O16" s="716" t="s">
        <v>7294</v>
      </c>
      <c r="P16" s="2975" t="s">
        <v>7226</v>
      </c>
      <c r="Q16" s="2975"/>
      <c r="R16" s="3002">
        <f t="shared" si="9"/>
        <v>5</v>
      </c>
      <c r="S16" s="3003" t="s">
        <v>7295</v>
      </c>
      <c r="T16" s="3004" t="s">
        <v>7296</v>
      </c>
      <c r="U16" s="3005" t="s">
        <v>7297</v>
      </c>
      <c r="W16" s="2998">
        <f t="shared" si="10"/>
        <v>5</v>
      </c>
      <c r="X16" s="3006" t="s">
        <v>7298</v>
      </c>
      <c r="Y16" s="3007" t="s">
        <v>7299</v>
      </c>
      <c r="Z16" s="3007" t="s">
        <v>7300</v>
      </c>
      <c r="AA16" s="3007" t="s">
        <v>7301</v>
      </c>
      <c r="AB16" s="3007" t="s">
        <v>7302</v>
      </c>
      <c r="AC16" s="3007" t="s">
        <v>7303</v>
      </c>
      <c r="AD16" s="3006" t="s">
        <v>7298</v>
      </c>
      <c r="AF16" s="2730">
        <v>1</v>
      </c>
    </row>
    <row r="17" spans="2:32" ht="30" customHeight="1">
      <c r="B17" s="2990">
        <v>7</v>
      </c>
      <c r="C17" s="2991" t="s">
        <v>7304</v>
      </c>
      <c r="D17" s="2992" t="s">
        <v>7305</v>
      </c>
      <c r="E17" s="2993" t="s">
        <v>7306</v>
      </c>
      <c r="F17" s="1"/>
      <c r="G17" s="3008">
        <v>5</v>
      </c>
      <c r="H17" s="3012" t="s">
        <v>2805</v>
      </c>
      <c r="I17" s="3009" t="s">
        <v>7307</v>
      </c>
      <c r="J17" s="3010" t="s">
        <v>7308</v>
      </c>
      <c r="L17" s="2983">
        <f t="shared" si="8"/>
        <v>8</v>
      </c>
      <c r="M17" s="2984" t="s">
        <v>7309</v>
      </c>
      <c r="N17" s="716" t="s">
        <v>7310</v>
      </c>
      <c r="O17" s="716" t="s">
        <v>7311</v>
      </c>
      <c r="P17" s="2975" t="s">
        <v>7243</v>
      </c>
      <c r="Q17" s="2975"/>
      <c r="R17" s="3002">
        <f t="shared" si="9"/>
        <v>6</v>
      </c>
      <c r="S17" s="3003" t="s">
        <v>7312</v>
      </c>
      <c r="T17" s="3004" t="s">
        <v>7313</v>
      </c>
      <c r="U17" s="3005" t="s">
        <v>7314</v>
      </c>
      <c r="W17" s="2998">
        <f t="shared" si="10"/>
        <v>6</v>
      </c>
      <c r="X17" s="3006" t="s">
        <v>7315</v>
      </c>
      <c r="Y17" s="3007" t="s">
        <v>7316</v>
      </c>
      <c r="Z17" s="3007" t="s">
        <v>7317</v>
      </c>
      <c r="AA17" s="3007" t="s">
        <v>7318</v>
      </c>
      <c r="AB17" s="3007" t="s">
        <v>7319</v>
      </c>
      <c r="AC17" s="3007" t="s">
        <v>7320</v>
      </c>
      <c r="AD17" s="3006" t="s">
        <v>7315</v>
      </c>
      <c r="AF17" s="2730">
        <v>1</v>
      </c>
    </row>
    <row r="18" spans="2:32" ht="30" customHeight="1">
      <c r="B18" s="2990">
        <v>8</v>
      </c>
      <c r="C18" s="3013" t="s">
        <v>7321</v>
      </c>
      <c r="D18" s="2992" t="s">
        <v>7322</v>
      </c>
      <c r="E18" s="2993" t="s">
        <v>7323</v>
      </c>
      <c r="F18" s="1"/>
      <c r="G18" s="3012"/>
      <c r="H18" s="2267"/>
      <c r="I18" s="3014"/>
      <c r="J18" s="2893"/>
      <c r="L18" s="2983">
        <f t="shared" si="8"/>
        <v>9</v>
      </c>
      <c r="M18" s="2984" t="s">
        <v>7324</v>
      </c>
      <c r="N18" s="716" t="s">
        <v>7325</v>
      </c>
      <c r="O18" s="716" t="s">
        <v>7326</v>
      </c>
      <c r="P18" s="2975" t="s">
        <v>7327</v>
      </c>
      <c r="Q18" s="2975"/>
      <c r="R18" s="3002">
        <f t="shared" si="9"/>
        <v>7</v>
      </c>
      <c r="S18" s="3003" t="s">
        <v>7328</v>
      </c>
      <c r="T18" s="3004" t="s">
        <v>7329</v>
      </c>
      <c r="U18" s="3005" t="s">
        <v>7330</v>
      </c>
      <c r="W18" s="2998">
        <f t="shared" si="10"/>
        <v>7</v>
      </c>
      <c r="X18" s="3006" t="s">
        <v>2076</v>
      </c>
      <c r="Y18" s="3007" t="s">
        <v>7331</v>
      </c>
      <c r="Z18" s="3007" t="s">
        <v>7332</v>
      </c>
      <c r="AA18" s="3007" t="s">
        <v>7333</v>
      </c>
      <c r="AB18" s="3007" t="s">
        <v>7334</v>
      </c>
      <c r="AC18" s="3007" t="s">
        <v>7335</v>
      </c>
      <c r="AD18" s="3006" t="s">
        <v>2076</v>
      </c>
      <c r="AF18" s="2730">
        <v>1</v>
      </c>
    </row>
    <row r="19" spans="2:32" ht="30" customHeight="1">
      <c r="B19" s="2990">
        <v>9</v>
      </c>
      <c r="C19" s="2991" t="s">
        <v>7336</v>
      </c>
      <c r="D19" s="2992" t="s">
        <v>7337</v>
      </c>
      <c r="E19" s="2993" t="s">
        <v>7338</v>
      </c>
      <c r="F19" s="1"/>
      <c r="G19" s="2980" t="s">
        <v>81</v>
      </c>
      <c r="H19" s="2979" t="s">
        <v>2812</v>
      </c>
      <c r="I19" s="3001" t="s">
        <v>7339</v>
      </c>
      <c r="J19" s="2979" t="s">
        <v>7340</v>
      </c>
      <c r="L19" s="2983">
        <f t="shared" si="8"/>
        <v>10</v>
      </c>
      <c r="M19" s="2984" t="s">
        <v>7341</v>
      </c>
      <c r="N19" s="716" t="s">
        <v>7342</v>
      </c>
      <c r="O19" s="2975" t="s">
        <v>7343</v>
      </c>
      <c r="P19" s="2975" t="s">
        <v>7344</v>
      </c>
      <c r="Q19" s="2975"/>
      <c r="R19" s="3002"/>
      <c r="S19" s="2995" t="s">
        <v>339</v>
      </c>
      <c r="T19" s="2996"/>
      <c r="U19" s="2997"/>
      <c r="W19" s="2998">
        <f t="shared" si="10"/>
        <v>8</v>
      </c>
      <c r="X19" s="3006" t="s">
        <v>2090</v>
      </c>
      <c r="Y19" s="3007" t="s">
        <v>7345</v>
      </c>
      <c r="Z19" s="3007" t="s">
        <v>7346</v>
      </c>
      <c r="AA19" s="3007" t="s">
        <v>7347</v>
      </c>
      <c r="AB19" s="3007" t="s">
        <v>7348</v>
      </c>
      <c r="AC19" s="3007" t="s">
        <v>7349</v>
      </c>
      <c r="AD19" s="3006" t="s">
        <v>2090</v>
      </c>
      <c r="AF19" s="2730">
        <v>1</v>
      </c>
    </row>
    <row r="20" spans="2:32" ht="30" customHeight="1">
      <c r="B20" s="2990">
        <v>10</v>
      </c>
      <c r="C20" s="2991" t="s">
        <v>7350</v>
      </c>
      <c r="D20" s="2992" t="s">
        <v>7351</v>
      </c>
      <c r="E20" s="2993" t="s">
        <v>7352</v>
      </c>
      <c r="F20" s="1"/>
      <c r="G20" s="3008">
        <v>1</v>
      </c>
      <c r="H20" s="3015" t="s">
        <v>7353</v>
      </c>
      <c r="I20" s="3009" t="s">
        <v>7354</v>
      </c>
      <c r="J20" s="3010" t="s">
        <v>7355</v>
      </c>
      <c r="L20" s="2983">
        <f t="shared" si="8"/>
        <v>11</v>
      </c>
      <c r="M20" s="2984" t="s">
        <v>7356</v>
      </c>
      <c r="N20" s="716" t="s">
        <v>7357</v>
      </c>
      <c r="O20" s="716" t="s">
        <v>7358</v>
      </c>
      <c r="P20" s="2975" t="s">
        <v>7359</v>
      </c>
      <c r="Q20" s="2975"/>
      <c r="R20" s="3002">
        <v>1</v>
      </c>
      <c r="S20" s="3003" t="s">
        <v>7360</v>
      </c>
      <c r="T20" s="3004" t="s">
        <v>7361</v>
      </c>
      <c r="U20" s="3005" t="s">
        <v>7362</v>
      </c>
      <c r="W20" s="2998">
        <f t="shared" si="10"/>
        <v>9</v>
      </c>
      <c r="X20" s="3006" t="s">
        <v>7363</v>
      </c>
      <c r="Y20" s="3007" t="s">
        <v>7364</v>
      </c>
      <c r="Z20" s="3011" t="s">
        <v>7365</v>
      </c>
      <c r="AA20" s="3007" t="s">
        <v>7366</v>
      </c>
      <c r="AB20" s="3007" t="s">
        <v>7367</v>
      </c>
      <c r="AC20" s="3007" t="s">
        <v>7368</v>
      </c>
      <c r="AD20" s="3006" t="s">
        <v>7363</v>
      </c>
      <c r="AF20" s="2730">
        <v>1</v>
      </c>
    </row>
    <row r="21" spans="2:32" ht="30" customHeight="1">
      <c r="B21" s="2990">
        <v>11</v>
      </c>
      <c r="C21" s="2991" t="s">
        <v>7369</v>
      </c>
      <c r="D21" s="2992" t="s">
        <v>7370</v>
      </c>
      <c r="E21" s="2993" t="s">
        <v>7371</v>
      </c>
      <c r="F21" s="1"/>
      <c r="G21" s="3008">
        <v>2</v>
      </c>
      <c r="H21" s="3015" t="s">
        <v>7372</v>
      </c>
      <c r="I21" s="3009" t="s">
        <v>7373</v>
      </c>
      <c r="J21" s="3010" t="s">
        <v>7374</v>
      </c>
      <c r="L21" s="2983">
        <f t="shared" si="8"/>
        <v>12</v>
      </c>
      <c r="M21" s="2984" t="s">
        <v>7375</v>
      </c>
      <c r="N21" s="716" t="s">
        <v>7376</v>
      </c>
      <c r="O21" s="2975" t="s">
        <v>7377</v>
      </c>
      <c r="P21" s="2975" t="s">
        <v>7378</v>
      </c>
      <c r="Q21" s="2975"/>
      <c r="R21" s="3002">
        <f>R20+1</f>
        <v>2</v>
      </c>
      <c r="S21" s="2993" t="s">
        <v>7379</v>
      </c>
      <c r="T21" s="3004" t="s">
        <v>7380</v>
      </c>
      <c r="U21" s="3005" t="s">
        <v>7381</v>
      </c>
      <c r="W21" s="2998">
        <f t="shared" si="10"/>
        <v>10</v>
      </c>
      <c r="X21" s="3006" t="s">
        <v>7382</v>
      </c>
      <c r="Y21" s="3007" t="s">
        <v>7383</v>
      </c>
      <c r="Z21" s="3011" t="s">
        <v>7384</v>
      </c>
      <c r="AA21" s="3007" t="s">
        <v>7385</v>
      </c>
      <c r="AB21" s="3007" t="s">
        <v>7386</v>
      </c>
      <c r="AC21" s="3007" t="s">
        <v>7387</v>
      </c>
      <c r="AD21" s="3006" t="s">
        <v>7382</v>
      </c>
      <c r="AF21" s="2730">
        <v>1</v>
      </c>
    </row>
    <row r="22" spans="2:32" ht="30" customHeight="1">
      <c r="B22" s="2990">
        <v>12</v>
      </c>
      <c r="C22" s="2991" t="s">
        <v>7388</v>
      </c>
      <c r="D22" s="2992" t="s">
        <v>7389</v>
      </c>
      <c r="E22" s="2993" t="s">
        <v>7390</v>
      </c>
      <c r="F22" s="1"/>
      <c r="G22" s="3008">
        <v>3</v>
      </c>
      <c r="H22" s="3015" t="s">
        <v>7391</v>
      </c>
      <c r="I22" s="3009" t="s">
        <v>7392</v>
      </c>
      <c r="J22" s="3010" t="s">
        <v>7393</v>
      </c>
      <c r="L22" s="2983">
        <f t="shared" si="8"/>
        <v>13</v>
      </c>
      <c r="M22" s="2984" t="s">
        <v>7356</v>
      </c>
      <c r="N22" s="716" t="s">
        <v>7357</v>
      </c>
      <c r="O22" s="2975" t="s">
        <v>7358</v>
      </c>
      <c r="P22" s="2975" t="s">
        <v>7359</v>
      </c>
      <c r="Q22" s="2975"/>
      <c r="R22" s="3002">
        <f t="shared" ref="R22:R30" si="11">R21+1</f>
        <v>3</v>
      </c>
      <c r="S22" s="2993" t="s">
        <v>7394</v>
      </c>
      <c r="T22" s="3004" t="s">
        <v>7395</v>
      </c>
      <c r="U22" s="3005" t="s">
        <v>7396</v>
      </c>
      <c r="W22" s="2998">
        <f t="shared" si="10"/>
        <v>11</v>
      </c>
      <c r="X22" s="3006" t="s">
        <v>2101</v>
      </c>
      <c r="Y22" s="3007" t="s">
        <v>7397</v>
      </c>
      <c r="Z22" s="3007" t="s">
        <v>7398</v>
      </c>
      <c r="AA22" s="3007" t="s">
        <v>7399</v>
      </c>
      <c r="AB22" s="3007" t="s">
        <v>7400</v>
      </c>
      <c r="AC22" s="3007" t="s">
        <v>7401</v>
      </c>
      <c r="AD22" s="3006" t="s">
        <v>2101</v>
      </c>
      <c r="AF22" s="2730">
        <v>1</v>
      </c>
    </row>
    <row r="23" spans="2:32" ht="30" customHeight="1">
      <c r="B23" s="2990">
        <v>13</v>
      </c>
      <c r="C23" s="2991" t="s">
        <v>7402</v>
      </c>
      <c r="D23" s="2992" t="s">
        <v>7403</v>
      </c>
      <c r="E23" s="2993" t="s">
        <v>7404</v>
      </c>
      <c r="F23" s="1"/>
      <c r="G23" s="3008">
        <v>4</v>
      </c>
      <c r="H23" s="3015" t="s">
        <v>7405</v>
      </c>
      <c r="I23" s="3009" t="s">
        <v>7406</v>
      </c>
      <c r="J23" s="3010" t="s">
        <v>7407</v>
      </c>
      <c r="L23" s="2983">
        <f t="shared" si="8"/>
        <v>14</v>
      </c>
      <c r="M23" s="2984" t="s">
        <v>7408</v>
      </c>
      <c r="N23" s="716" t="s">
        <v>7409</v>
      </c>
      <c r="O23" s="2975" t="s">
        <v>7410</v>
      </c>
      <c r="P23" s="2975" t="s">
        <v>7411</v>
      </c>
      <c r="Q23" s="2975"/>
      <c r="R23" s="3002">
        <f t="shared" si="11"/>
        <v>4</v>
      </c>
      <c r="S23" s="3003" t="s">
        <v>7412</v>
      </c>
      <c r="T23" s="3004" t="s">
        <v>7413</v>
      </c>
      <c r="U23" s="3005" t="s">
        <v>7414</v>
      </c>
      <c r="W23" s="2998">
        <f t="shared" si="10"/>
        <v>12</v>
      </c>
      <c r="X23" s="3006" t="s">
        <v>2112</v>
      </c>
      <c r="Y23" s="3007" t="s">
        <v>7415</v>
      </c>
      <c r="Z23" s="3007" t="s">
        <v>7416</v>
      </c>
      <c r="AA23" s="3007" t="s">
        <v>7417</v>
      </c>
      <c r="AB23" s="3007" t="s">
        <v>7418</v>
      </c>
      <c r="AC23" s="3007" t="s">
        <v>7419</v>
      </c>
      <c r="AD23" s="3006" t="s">
        <v>2112</v>
      </c>
      <c r="AF23" s="2730">
        <v>1</v>
      </c>
    </row>
    <row r="24" spans="2:32" ht="30" customHeight="1">
      <c r="B24" s="2990">
        <v>14</v>
      </c>
      <c r="C24" s="2991" t="s">
        <v>7420</v>
      </c>
      <c r="D24" s="2992" t="s">
        <v>7421</v>
      </c>
      <c r="E24" s="2993" t="s">
        <v>7422</v>
      </c>
      <c r="F24" s="1"/>
      <c r="G24" s="3008">
        <v>5</v>
      </c>
      <c r="H24" s="3015" t="s">
        <v>7423</v>
      </c>
      <c r="I24" s="3009" t="s">
        <v>7424</v>
      </c>
      <c r="J24" s="3010" t="s">
        <v>7425</v>
      </c>
      <c r="L24" s="2983">
        <f t="shared" si="8"/>
        <v>15</v>
      </c>
      <c r="M24" s="2984" t="s">
        <v>7408</v>
      </c>
      <c r="N24" s="716" t="s">
        <v>7409</v>
      </c>
      <c r="O24" s="2975" t="s">
        <v>7410</v>
      </c>
      <c r="P24" s="2975" t="s">
        <v>7411</v>
      </c>
      <c r="Q24" s="2975"/>
      <c r="R24" s="3002">
        <f t="shared" si="11"/>
        <v>5</v>
      </c>
      <c r="S24" s="3003" t="s">
        <v>7426</v>
      </c>
      <c r="T24" s="3004" t="s">
        <v>7427</v>
      </c>
      <c r="U24" s="3005" t="s">
        <v>7428</v>
      </c>
      <c r="W24" s="2998">
        <f t="shared" si="10"/>
        <v>13</v>
      </c>
      <c r="X24" s="3006" t="s">
        <v>2800</v>
      </c>
      <c r="Y24" s="3007" t="s">
        <v>7429</v>
      </c>
      <c r="Z24" s="3011" t="s">
        <v>7430</v>
      </c>
      <c r="AA24" s="3007" t="s">
        <v>7431</v>
      </c>
      <c r="AB24" s="3007" t="s">
        <v>7432</v>
      </c>
      <c r="AC24" s="3007" t="s">
        <v>7433</v>
      </c>
      <c r="AD24" s="3006" t="s">
        <v>2800</v>
      </c>
      <c r="AF24" s="2730">
        <v>1</v>
      </c>
    </row>
    <row r="25" spans="2:32" ht="30" customHeight="1">
      <c r="B25" s="3016">
        <v>15</v>
      </c>
      <c r="C25" s="3017" t="s">
        <v>7434</v>
      </c>
      <c r="D25" s="3018" t="s">
        <v>7435</v>
      </c>
      <c r="E25" s="3019" t="s">
        <v>7436</v>
      </c>
      <c r="F25" s="1"/>
      <c r="G25" s="3008">
        <v>6</v>
      </c>
      <c r="H25" s="3015" t="s">
        <v>7437</v>
      </c>
      <c r="I25" s="3009" t="s">
        <v>7438</v>
      </c>
      <c r="J25" s="3010" t="s">
        <v>7439</v>
      </c>
      <c r="L25" s="2983">
        <f t="shared" si="8"/>
        <v>16</v>
      </c>
      <c r="M25" s="2984" t="s">
        <v>7440</v>
      </c>
      <c r="N25" s="716" t="s">
        <v>7441</v>
      </c>
      <c r="O25" s="2975" t="s">
        <v>7442</v>
      </c>
      <c r="P25" s="2975" t="s">
        <v>7443</v>
      </c>
      <c r="Q25" s="2975"/>
      <c r="R25" s="3002">
        <f t="shared" si="11"/>
        <v>6</v>
      </c>
      <c r="S25" s="3003" t="s">
        <v>7444</v>
      </c>
      <c r="T25" s="3004" t="s">
        <v>7445</v>
      </c>
      <c r="U25" s="3005" t="s">
        <v>7446</v>
      </c>
      <c r="W25" s="2998">
        <f t="shared" si="10"/>
        <v>14</v>
      </c>
      <c r="X25" s="3006" t="s">
        <v>2123</v>
      </c>
      <c r="Y25" s="3007" t="s">
        <v>7447</v>
      </c>
      <c r="Z25" s="3007" t="s">
        <v>7448</v>
      </c>
      <c r="AA25" s="3007" t="s">
        <v>7449</v>
      </c>
      <c r="AB25" s="3007" t="s">
        <v>7450</v>
      </c>
      <c r="AC25" s="3007" t="s">
        <v>7451</v>
      </c>
      <c r="AD25" s="3006" t="s">
        <v>2123</v>
      </c>
      <c r="AF25" s="2730">
        <v>1</v>
      </c>
    </row>
    <row r="26" spans="2:32" ht="30" customHeight="1">
      <c r="B26" s="3008"/>
      <c r="C26" s="3020" t="str">
        <f>IF(ISNUMBER(IFERROR(VALUE("0,5"),"")),"On this computer, type a COMMA as the decimal separator",IF(ISNUMBER(IFERROR(VALUE("0.5"),"")),"On this computer, type a POINT as the decimal separator","Unable to determine the decimal separator"))</f>
        <v>On this computer, type a POINT as the decimal separator</v>
      </c>
      <c r="D26" s="3021"/>
      <c r="E26" s="3021" t="str">
        <f>IF(ISNUMBER(IFERROR(VALUE("0,5"),""))," En este ordenador, escriba una COMA como separador decimal",IF(ISNUMBER(IFERROR(VALUE("0.5"),"")),"En este ordenador, escriba un PUNTO como separador decimal","No es posible determinar el separador decimal"))</f>
        <v>En este ordenador, escriba un PUNTO como separador decimal</v>
      </c>
      <c r="F26" s="1"/>
      <c r="G26" s="3008">
        <v>7</v>
      </c>
      <c r="H26" s="3015" t="s">
        <v>7452</v>
      </c>
      <c r="I26" s="3009" t="s">
        <v>7453</v>
      </c>
      <c r="J26" s="3010" t="s">
        <v>7454</v>
      </c>
      <c r="L26" s="2983">
        <f t="shared" si="8"/>
        <v>17</v>
      </c>
      <c r="M26" s="2984" t="s">
        <v>7455</v>
      </c>
      <c r="N26" s="716" t="s">
        <v>7456</v>
      </c>
      <c r="O26" s="2975" t="s">
        <v>7457</v>
      </c>
      <c r="P26" s="2975" t="s">
        <v>7458</v>
      </c>
      <c r="Q26" s="2975"/>
      <c r="R26" s="3002">
        <f t="shared" si="11"/>
        <v>7</v>
      </c>
      <c r="S26" s="3003" t="s">
        <v>7459</v>
      </c>
      <c r="T26" s="3004" t="s">
        <v>7460</v>
      </c>
      <c r="U26" s="3005" t="s">
        <v>7461</v>
      </c>
      <c r="W26" s="2998">
        <f t="shared" si="10"/>
        <v>15</v>
      </c>
      <c r="X26" s="3006" t="s">
        <v>2155</v>
      </c>
      <c r="Y26" s="3007" t="s">
        <v>7462</v>
      </c>
      <c r="Z26" s="3007" t="s">
        <v>7463</v>
      </c>
      <c r="AA26" s="3007" t="s">
        <v>7464</v>
      </c>
      <c r="AB26" s="3007" t="s">
        <v>7465</v>
      </c>
      <c r="AC26" s="3007" t="s">
        <v>7466</v>
      </c>
      <c r="AD26" s="3006" t="s">
        <v>2155</v>
      </c>
      <c r="AF26" s="2730">
        <v>1</v>
      </c>
    </row>
    <row r="27" spans="2:32" ht="30" customHeight="1">
      <c r="B27" s="3022" t="str">
        <f>IF(ISNUMBER(IFERROR(VALUE("0,5"),"")),"sur cet ordi.saisissez une VIRGULE comme séparateur décimal",IF(ISNUMBER(IFERROR(VALUE("0.5"),"")),"sur cet ordi.saisissez un POINT comme séparateur décimal","Impossible de déterminer le séparateur décimal"))</f>
        <v>sur cet ordi.saisissez un POINT comme séparateur décimal</v>
      </c>
      <c r="C27" s="2991"/>
      <c r="D27" s="3023"/>
      <c r="E27" s="3023"/>
      <c r="F27" s="1"/>
      <c r="G27" s="3008">
        <v>8</v>
      </c>
      <c r="H27" s="3015" t="s">
        <v>7467</v>
      </c>
      <c r="I27" s="3009" t="s">
        <v>7468</v>
      </c>
      <c r="J27" s="3010" t="s">
        <v>7469</v>
      </c>
      <c r="L27" s="2983">
        <f t="shared" si="8"/>
        <v>18</v>
      </c>
      <c r="M27" s="2984" t="s">
        <v>7470</v>
      </c>
      <c r="N27" s="716" t="s">
        <v>7471</v>
      </c>
      <c r="O27" s="2975" t="s">
        <v>7472</v>
      </c>
      <c r="P27" s="2975" t="s">
        <v>7473</v>
      </c>
      <c r="Q27" s="2975"/>
      <c r="R27" s="3002">
        <f t="shared" si="11"/>
        <v>8</v>
      </c>
      <c r="S27" s="3003" t="s">
        <v>7474</v>
      </c>
      <c r="T27" s="3004" t="s">
        <v>7475</v>
      </c>
      <c r="U27" s="3005" t="s">
        <v>7476</v>
      </c>
      <c r="W27" s="2998">
        <f t="shared" si="10"/>
        <v>16</v>
      </c>
      <c r="X27" s="3006" t="s">
        <v>2081</v>
      </c>
      <c r="Y27" s="3007" t="s">
        <v>7477</v>
      </c>
      <c r="Z27" s="3011" t="s">
        <v>7478</v>
      </c>
      <c r="AA27" s="3007" t="s">
        <v>7479</v>
      </c>
      <c r="AB27" s="3007" t="s">
        <v>7480</v>
      </c>
      <c r="AC27" s="3007" t="s">
        <v>7481</v>
      </c>
      <c r="AD27" s="3006" t="s">
        <v>2081</v>
      </c>
      <c r="AF27" s="2730">
        <v>1</v>
      </c>
    </row>
    <row r="28" spans="2:32" ht="30" customHeight="1">
      <c r="B28" s="3008"/>
      <c r="C28" s="3024"/>
      <c r="D28" s="3025" t="s">
        <v>2784</v>
      </c>
      <c r="E28" s="3026"/>
      <c r="F28" s="1"/>
      <c r="G28" s="3012"/>
      <c r="H28" s="2267"/>
      <c r="I28" s="3014"/>
      <c r="J28" s="2893"/>
      <c r="L28" s="2983">
        <f t="shared" si="8"/>
        <v>19</v>
      </c>
      <c r="M28" s="2984" t="s">
        <v>7482</v>
      </c>
      <c r="N28" s="716" t="s">
        <v>7483</v>
      </c>
      <c r="O28" s="2975" t="s">
        <v>7484</v>
      </c>
      <c r="P28" s="2975" t="s">
        <v>7443</v>
      </c>
      <c r="Q28" s="2975"/>
      <c r="R28" s="3002">
        <f t="shared" si="11"/>
        <v>9</v>
      </c>
      <c r="S28" s="3003" t="s">
        <v>7485</v>
      </c>
      <c r="T28" s="3004" t="s">
        <v>7486</v>
      </c>
      <c r="U28" s="3005" t="s">
        <v>7487</v>
      </c>
      <c r="W28" s="2998">
        <f t="shared" si="10"/>
        <v>17</v>
      </c>
      <c r="X28" s="3006" t="s">
        <v>7488</v>
      </c>
      <c r="Y28" s="3007" t="s">
        <v>7489</v>
      </c>
      <c r="Z28" s="3011" t="s">
        <v>7490</v>
      </c>
      <c r="AA28" s="3007" t="s">
        <v>7491</v>
      </c>
      <c r="AB28" s="3007" t="s">
        <v>7492</v>
      </c>
      <c r="AC28" s="3007" t="s">
        <v>7493</v>
      </c>
      <c r="AD28" s="3006" t="s">
        <v>7488</v>
      </c>
      <c r="AF28" s="2730">
        <v>1</v>
      </c>
    </row>
    <row r="29" spans="2:32" ht="30" customHeight="1">
      <c r="B29" s="3008"/>
      <c r="C29" s="3024"/>
      <c r="D29" s="3025" t="s">
        <v>62</v>
      </c>
      <c r="E29" s="3026"/>
      <c r="F29" s="1"/>
      <c r="G29" s="2980" t="s">
        <v>84</v>
      </c>
      <c r="H29" s="2979" t="s">
        <v>2845</v>
      </c>
      <c r="I29" s="3001" t="s">
        <v>7494</v>
      </c>
      <c r="J29" s="2979" t="s">
        <v>7495</v>
      </c>
      <c r="L29" s="2983">
        <f t="shared" si="8"/>
        <v>20</v>
      </c>
      <c r="M29" s="2984" t="s">
        <v>7496</v>
      </c>
      <c r="N29" s="716" t="s">
        <v>7497</v>
      </c>
      <c r="O29" s="2975" t="s">
        <v>7498</v>
      </c>
      <c r="P29" s="2975" t="s">
        <v>7458</v>
      </c>
      <c r="Q29" s="2975"/>
      <c r="R29" s="3002">
        <f t="shared" si="11"/>
        <v>10</v>
      </c>
      <c r="S29" s="3003" t="s">
        <v>7499</v>
      </c>
      <c r="T29" s="3004" t="s">
        <v>7500</v>
      </c>
      <c r="U29" s="3005" t="s">
        <v>7501</v>
      </c>
      <c r="W29" s="2998">
        <f t="shared" si="10"/>
        <v>18</v>
      </c>
      <c r="X29" s="3006" t="s">
        <v>2094</v>
      </c>
      <c r="Y29" s="3007" t="s">
        <v>7502</v>
      </c>
      <c r="Z29" s="3007" t="s">
        <v>7503</v>
      </c>
      <c r="AA29" s="3007" t="s">
        <v>7504</v>
      </c>
      <c r="AB29" s="3007" t="s">
        <v>7505</v>
      </c>
      <c r="AC29" s="3007" t="s">
        <v>7506</v>
      </c>
      <c r="AD29" s="3006" t="s">
        <v>2094</v>
      </c>
      <c r="AF29" s="2730">
        <v>1</v>
      </c>
    </row>
    <row r="30" spans="2:32" ht="30" customHeight="1">
      <c r="B30" s="3008"/>
      <c r="E30" s="3028"/>
      <c r="F30" s="1"/>
      <c r="G30" s="3008">
        <v>1</v>
      </c>
      <c r="H30" s="3015" t="s">
        <v>7507</v>
      </c>
      <c r="I30" s="3009" t="s">
        <v>7508</v>
      </c>
      <c r="J30" s="3010" t="s">
        <v>7509</v>
      </c>
      <c r="L30" s="2983">
        <f t="shared" si="8"/>
        <v>21</v>
      </c>
      <c r="M30" s="2984" t="s">
        <v>7510</v>
      </c>
      <c r="N30" s="716" t="s">
        <v>7511</v>
      </c>
      <c r="O30" s="2975" t="s">
        <v>7512</v>
      </c>
      <c r="P30" s="2975" t="s">
        <v>7443</v>
      </c>
      <c r="Q30" s="2975"/>
      <c r="R30" s="3002">
        <f t="shared" si="11"/>
        <v>11</v>
      </c>
      <c r="S30" s="3003" t="s">
        <v>7513</v>
      </c>
      <c r="T30" s="3004" t="s">
        <v>7514</v>
      </c>
      <c r="U30" s="3005" t="s">
        <v>7515</v>
      </c>
      <c r="W30" s="2998">
        <f t="shared" si="10"/>
        <v>19</v>
      </c>
      <c r="X30" s="3006" t="s">
        <v>7516</v>
      </c>
      <c r="Y30" s="3007" t="s">
        <v>7517</v>
      </c>
      <c r="Z30" s="3007" t="s">
        <v>7518</v>
      </c>
      <c r="AA30" s="3007" t="s">
        <v>7519</v>
      </c>
      <c r="AB30" s="3007" t="s">
        <v>7520</v>
      </c>
      <c r="AC30" s="3007" t="s">
        <v>7521</v>
      </c>
      <c r="AD30" s="3006" t="s">
        <v>7516</v>
      </c>
      <c r="AF30" s="2730">
        <v>1</v>
      </c>
    </row>
    <row r="31" spans="2:32" ht="30" customHeight="1">
      <c r="B31" s="3008"/>
      <c r="C31" s="3029"/>
      <c r="D31" s="3028"/>
      <c r="E31" s="3028"/>
      <c r="F31" s="1"/>
      <c r="G31" s="3008">
        <v>2</v>
      </c>
      <c r="H31" s="3015" t="s">
        <v>7522</v>
      </c>
      <c r="I31" s="3009" t="s">
        <v>7523</v>
      </c>
      <c r="J31" s="3010" t="s">
        <v>7524</v>
      </c>
      <c r="L31" s="2983">
        <f t="shared" si="8"/>
        <v>22</v>
      </c>
      <c r="M31" s="2984" t="s">
        <v>7525</v>
      </c>
      <c r="N31" s="716" t="s">
        <v>7526</v>
      </c>
      <c r="O31" s="2975" t="s">
        <v>7527</v>
      </c>
      <c r="P31" s="2975" t="s">
        <v>7528</v>
      </c>
      <c r="Q31" s="2975"/>
      <c r="R31" s="3002"/>
      <c r="S31" s="2995" t="s">
        <v>338</v>
      </c>
      <c r="T31" s="2996"/>
      <c r="U31" s="2997"/>
      <c r="W31" s="2998">
        <f t="shared" si="10"/>
        <v>20</v>
      </c>
      <c r="X31" s="3006" t="s">
        <v>7529</v>
      </c>
      <c r="Y31" s="3007" t="s">
        <v>7530</v>
      </c>
      <c r="Z31" s="3011" t="s">
        <v>7531</v>
      </c>
      <c r="AA31" s="3007" t="s">
        <v>7532</v>
      </c>
      <c r="AB31" s="3007" t="s">
        <v>7533</v>
      </c>
      <c r="AC31" s="3007" t="s">
        <v>7534</v>
      </c>
      <c r="AD31" s="3006" t="s">
        <v>7529</v>
      </c>
      <c r="AF31" s="2730">
        <v>1</v>
      </c>
    </row>
    <row r="32" spans="2:32" ht="30" customHeight="1">
      <c r="B32" s="2991"/>
      <c r="C32" s="3030" t="s">
        <v>2863</v>
      </c>
      <c r="D32" s="3031" t="s">
        <v>7535</v>
      </c>
      <c r="E32" s="3032" t="s">
        <v>7536</v>
      </c>
      <c r="F32" s="1"/>
      <c r="G32" s="3033"/>
      <c r="H32" s="9135" t="s">
        <v>7537</v>
      </c>
      <c r="I32" s="9136" t="s">
        <v>7538</v>
      </c>
      <c r="J32" s="9137" t="s">
        <v>7539</v>
      </c>
      <c r="L32" s="2983">
        <f t="shared" si="8"/>
        <v>23</v>
      </c>
      <c r="M32" s="2984" t="s">
        <v>7540</v>
      </c>
      <c r="N32" s="716" t="s">
        <v>7541</v>
      </c>
      <c r="O32" s="2975" t="s">
        <v>7542</v>
      </c>
      <c r="P32" s="2975" t="s">
        <v>7543</v>
      </c>
      <c r="Q32" s="2975"/>
      <c r="R32" s="3002">
        <v>1</v>
      </c>
      <c r="S32" s="3003" t="s">
        <v>7544</v>
      </c>
      <c r="T32" s="3004" t="s">
        <v>7545</v>
      </c>
      <c r="U32" s="3005" t="s">
        <v>7546</v>
      </c>
      <c r="W32" s="2998">
        <f t="shared" si="10"/>
        <v>21</v>
      </c>
      <c r="X32" s="3006" t="s">
        <v>7547</v>
      </c>
      <c r="Y32" s="3007" t="s">
        <v>7548</v>
      </c>
      <c r="Z32" s="3007" t="s">
        <v>7549</v>
      </c>
      <c r="AA32" s="3007" t="s">
        <v>7550</v>
      </c>
      <c r="AB32" s="3007" t="s">
        <v>7551</v>
      </c>
      <c r="AC32" s="3007" t="s">
        <v>7552</v>
      </c>
      <c r="AD32" s="3006" t="s">
        <v>7547</v>
      </c>
      <c r="AF32" s="2730">
        <v>1</v>
      </c>
    </row>
    <row r="33" spans="2:32" ht="30" customHeight="1">
      <c r="B33" s="3034"/>
      <c r="C33" s="3035" t="s">
        <v>7553</v>
      </c>
      <c r="D33" s="3036" t="s">
        <v>7554</v>
      </c>
      <c r="E33" s="3037" t="s">
        <v>7555</v>
      </c>
      <c r="F33" s="1"/>
      <c r="G33" s="3033"/>
      <c r="H33" s="9135"/>
      <c r="I33" s="9136"/>
      <c r="J33" s="9137"/>
      <c r="L33" s="2983">
        <f t="shared" si="8"/>
        <v>24</v>
      </c>
      <c r="M33" s="2984" t="s">
        <v>7556</v>
      </c>
      <c r="N33" s="716" t="s">
        <v>7557</v>
      </c>
      <c r="O33" s="2975" t="s">
        <v>7558</v>
      </c>
      <c r="P33" s="2975" t="s">
        <v>7559</v>
      </c>
      <c r="Q33" s="2975"/>
      <c r="R33" s="3002">
        <f>R32+1</f>
        <v>2</v>
      </c>
      <c r="S33" s="3003" t="s">
        <v>7560</v>
      </c>
      <c r="T33" s="3004" t="s">
        <v>7561</v>
      </c>
      <c r="U33" s="3005" t="s">
        <v>7562</v>
      </c>
      <c r="W33" s="2998">
        <f t="shared" si="10"/>
        <v>22</v>
      </c>
      <c r="X33" s="3006" t="s">
        <v>7563</v>
      </c>
      <c r="Y33" s="3007" t="s">
        <v>7564</v>
      </c>
      <c r="Z33" s="3007" t="s">
        <v>7565</v>
      </c>
      <c r="AA33" s="3007" t="s">
        <v>7566</v>
      </c>
      <c r="AB33" s="3007" t="s">
        <v>7567</v>
      </c>
      <c r="AC33" s="3007" t="s">
        <v>7568</v>
      </c>
      <c r="AD33" s="3006" t="s">
        <v>7563</v>
      </c>
      <c r="AF33" s="2730">
        <v>1</v>
      </c>
    </row>
    <row r="34" spans="2:32" ht="30" customHeight="1">
      <c r="B34" s="3008">
        <v>1</v>
      </c>
      <c r="C34" s="2991" t="s">
        <v>2963</v>
      </c>
      <c r="D34" s="2992" t="s">
        <v>7569</v>
      </c>
      <c r="E34" s="2993" t="s">
        <v>7570</v>
      </c>
      <c r="F34" s="1"/>
      <c r="G34" s="2980" t="s">
        <v>85</v>
      </c>
      <c r="H34" s="2979" t="s">
        <v>2865</v>
      </c>
      <c r="I34" s="3001" t="s">
        <v>7571</v>
      </c>
      <c r="J34" s="2979" t="s">
        <v>7572</v>
      </c>
      <c r="L34" s="2983">
        <f t="shared" si="8"/>
        <v>25</v>
      </c>
      <c r="M34" s="2984" t="s">
        <v>7573</v>
      </c>
      <c r="N34" s="716" t="s">
        <v>7574</v>
      </c>
      <c r="O34" s="2975" t="s">
        <v>7575</v>
      </c>
      <c r="P34" s="2975" t="s">
        <v>7576</v>
      </c>
      <c r="Q34" s="2975"/>
      <c r="R34" s="3002">
        <f t="shared" ref="R34:R45" si="12">R33+1</f>
        <v>3</v>
      </c>
      <c r="S34" s="3003" t="s">
        <v>7577</v>
      </c>
      <c r="T34" s="3004" t="s">
        <v>7578</v>
      </c>
      <c r="U34" s="3005" t="s">
        <v>7579</v>
      </c>
      <c r="W34" s="2998">
        <f t="shared" si="10"/>
        <v>23</v>
      </c>
      <c r="X34" s="3006" t="s">
        <v>7580</v>
      </c>
      <c r="Y34" s="3007" t="s">
        <v>7581</v>
      </c>
      <c r="Z34" s="3007" t="s">
        <v>7582</v>
      </c>
      <c r="AA34" s="3007" t="s">
        <v>7583</v>
      </c>
      <c r="AB34" s="3007" t="s">
        <v>7584</v>
      </c>
      <c r="AC34" s="3007" t="s">
        <v>7585</v>
      </c>
      <c r="AD34" s="3006" t="s">
        <v>7580</v>
      </c>
      <c r="AF34" s="2730">
        <v>1</v>
      </c>
    </row>
    <row r="35" spans="2:32" ht="30" customHeight="1">
      <c r="B35" s="3008">
        <v>2</v>
      </c>
      <c r="C35" s="2991" t="s">
        <v>2868</v>
      </c>
      <c r="D35" s="2992" t="s">
        <v>7586</v>
      </c>
      <c r="E35" s="2993" t="s">
        <v>7587</v>
      </c>
      <c r="F35" s="1"/>
      <c r="G35" s="3008">
        <v>1</v>
      </c>
      <c r="H35" s="2991" t="s">
        <v>7588</v>
      </c>
      <c r="I35" s="3009" t="s">
        <v>7589</v>
      </c>
      <c r="J35" s="3010" t="s">
        <v>7590</v>
      </c>
      <c r="L35" s="2983">
        <f t="shared" si="8"/>
        <v>26</v>
      </c>
      <c r="M35" s="2984" t="s">
        <v>7591</v>
      </c>
      <c r="N35" s="716" t="s">
        <v>7592</v>
      </c>
      <c r="O35" s="2975" t="s">
        <v>7593</v>
      </c>
      <c r="P35" s="2975" t="s">
        <v>7594</v>
      </c>
      <c r="Q35" s="2975"/>
      <c r="R35" s="3002">
        <f t="shared" si="12"/>
        <v>4</v>
      </c>
      <c r="S35" s="3003" t="s">
        <v>7595</v>
      </c>
      <c r="T35" s="3004" t="s">
        <v>7596</v>
      </c>
      <c r="U35" s="3005" t="s">
        <v>7597</v>
      </c>
      <c r="W35" s="2998">
        <f t="shared" si="10"/>
        <v>24</v>
      </c>
      <c r="X35" s="3006" t="s">
        <v>7598</v>
      </c>
      <c r="Y35" s="3007" t="s">
        <v>7599</v>
      </c>
      <c r="Z35" s="3007" t="s">
        <v>7600</v>
      </c>
      <c r="AA35" s="3007" t="s">
        <v>7601</v>
      </c>
      <c r="AB35" s="3007" t="s">
        <v>7602</v>
      </c>
      <c r="AC35" s="3007" t="s">
        <v>7603</v>
      </c>
      <c r="AD35" s="3006" t="s">
        <v>7598</v>
      </c>
      <c r="AF35" s="2730">
        <v>1</v>
      </c>
    </row>
    <row r="36" spans="2:32" ht="30" customHeight="1">
      <c r="B36" s="3008">
        <v>3</v>
      </c>
      <c r="C36" s="2991" t="s">
        <v>2871</v>
      </c>
      <c r="D36" s="2992" t="s">
        <v>7604</v>
      </c>
      <c r="E36" s="2993" t="s">
        <v>7605</v>
      </c>
      <c r="F36" s="1"/>
      <c r="G36" s="3008">
        <v>2</v>
      </c>
      <c r="H36" s="2991" t="s">
        <v>2872</v>
      </c>
      <c r="I36" s="3009" t="s">
        <v>7606</v>
      </c>
      <c r="J36" s="3010" t="s">
        <v>7607</v>
      </c>
      <c r="L36" s="2983">
        <f t="shared" si="8"/>
        <v>27</v>
      </c>
      <c r="M36" s="2984" t="s">
        <v>7608</v>
      </c>
      <c r="N36" s="716" t="s">
        <v>7609</v>
      </c>
      <c r="O36" s="2975" t="s">
        <v>7610</v>
      </c>
      <c r="P36" s="2975" t="s">
        <v>7611</v>
      </c>
      <c r="Q36" s="2975"/>
      <c r="R36" s="3002">
        <f t="shared" si="12"/>
        <v>5</v>
      </c>
      <c r="S36" s="3003" t="s">
        <v>7612</v>
      </c>
      <c r="T36" s="3004" t="s">
        <v>7613</v>
      </c>
      <c r="U36" s="3005" t="s">
        <v>7614</v>
      </c>
      <c r="W36" s="2998">
        <f t="shared" si="10"/>
        <v>25</v>
      </c>
      <c r="X36" s="3006" t="s">
        <v>7615</v>
      </c>
      <c r="Y36" s="3007" t="s">
        <v>7616</v>
      </c>
      <c r="Z36" s="3007" t="s">
        <v>7617</v>
      </c>
      <c r="AA36" s="3007" t="s">
        <v>7618</v>
      </c>
      <c r="AB36" s="3007" t="s">
        <v>7619</v>
      </c>
      <c r="AC36" s="3007" t="s">
        <v>7620</v>
      </c>
      <c r="AD36" s="3006" t="s">
        <v>7615</v>
      </c>
      <c r="AF36" s="2730">
        <v>1</v>
      </c>
    </row>
    <row r="37" spans="2:32" ht="30" customHeight="1">
      <c r="B37" s="3008">
        <v>4</v>
      </c>
      <c r="C37" s="2991" t="s">
        <v>7621</v>
      </c>
      <c r="D37" s="2992" t="s">
        <v>7622</v>
      </c>
      <c r="E37" s="2993" t="s">
        <v>7623</v>
      </c>
      <c r="F37" s="1"/>
      <c r="G37" s="3038"/>
      <c r="H37" s="9138" t="s">
        <v>7624</v>
      </c>
      <c r="I37" s="9139" t="s">
        <v>7625</v>
      </c>
      <c r="J37" s="9140" t="s">
        <v>7626</v>
      </c>
      <c r="L37" s="2983">
        <f t="shared" si="8"/>
        <v>28</v>
      </c>
      <c r="M37" s="2984" t="s">
        <v>7627</v>
      </c>
      <c r="N37" s="716" t="s">
        <v>7628</v>
      </c>
      <c r="O37" s="2975" t="s">
        <v>7629</v>
      </c>
      <c r="P37" s="2975" t="s">
        <v>7630</v>
      </c>
      <c r="Q37" s="2975"/>
      <c r="R37" s="3002">
        <f t="shared" si="12"/>
        <v>6</v>
      </c>
      <c r="S37" s="3003" t="s">
        <v>7631</v>
      </c>
      <c r="T37" s="3004" t="s">
        <v>7632</v>
      </c>
      <c r="U37" s="3005" t="s">
        <v>7633</v>
      </c>
      <c r="W37" s="2998">
        <f t="shared" si="10"/>
        <v>26</v>
      </c>
      <c r="X37" s="3006" t="s">
        <v>2814</v>
      </c>
      <c r="Y37" s="3007" t="s">
        <v>7634</v>
      </c>
      <c r="Z37" s="3011" t="s">
        <v>7635</v>
      </c>
      <c r="AA37" s="3007" t="s">
        <v>7636</v>
      </c>
      <c r="AB37" s="3007" t="s">
        <v>7637</v>
      </c>
      <c r="AC37" s="3007" t="s">
        <v>7638</v>
      </c>
      <c r="AD37" s="3006" t="s">
        <v>2814</v>
      </c>
      <c r="AF37" s="2730">
        <v>1</v>
      </c>
    </row>
    <row r="38" spans="2:32" ht="30" customHeight="1">
      <c r="B38" s="3008">
        <v>5</v>
      </c>
      <c r="C38" s="2991" t="s">
        <v>7639</v>
      </c>
      <c r="D38" s="2992" t="s">
        <v>7640</v>
      </c>
      <c r="E38" s="2993" t="s">
        <v>7641</v>
      </c>
      <c r="F38" s="1"/>
      <c r="G38" s="3038"/>
      <c r="H38" s="9138"/>
      <c r="I38" s="9139"/>
      <c r="J38" s="9140"/>
      <c r="L38" s="2983">
        <f t="shared" si="8"/>
        <v>29</v>
      </c>
      <c r="M38" s="2984" t="s">
        <v>7642</v>
      </c>
      <c r="N38" s="716" t="s">
        <v>7643</v>
      </c>
      <c r="O38" s="2975" t="s">
        <v>7644</v>
      </c>
      <c r="P38" s="2975" t="s">
        <v>7645</v>
      </c>
      <c r="Q38" s="2975"/>
      <c r="R38" s="3002">
        <f t="shared" si="12"/>
        <v>7</v>
      </c>
      <c r="S38" s="3003" t="s">
        <v>7646</v>
      </c>
      <c r="T38" s="3004" t="s">
        <v>7647</v>
      </c>
      <c r="U38" s="3005" t="s">
        <v>7648</v>
      </c>
      <c r="W38" s="2998">
        <f t="shared" si="10"/>
        <v>27</v>
      </c>
      <c r="X38" s="3006" t="s">
        <v>7649</v>
      </c>
      <c r="Y38" s="3007" t="s">
        <v>7650</v>
      </c>
      <c r="Z38" s="3007" t="s">
        <v>7651</v>
      </c>
      <c r="AA38" s="3007" t="s">
        <v>7652</v>
      </c>
      <c r="AB38" s="3007" t="s">
        <v>7653</v>
      </c>
      <c r="AC38" s="3007" t="s">
        <v>7654</v>
      </c>
      <c r="AD38" s="3006" t="s">
        <v>7649</v>
      </c>
      <c r="AF38" s="2730">
        <v>1</v>
      </c>
    </row>
    <row r="39" spans="2:32" ht="30" customHeight="1">
      <c r="B39" s="3008">
        <v>6</v>
      </c>
      <c r="C39" s="2991" t="s">
        <v>7655</v>
      </c>
      <c r="D39" s="2992" t="s">
        <v>7656</v>
      </c>
      <c r="E39" s="2993" t="s">
        <v>7657</v>
      </c>
      <c r="F39" s="1"/>
      <c r="G39" s="3008">
        <v>3</v>
      </c>
      <c r="H39" s="2991" t="s">
        <v>7658</v>
      </c>
      <c r="I39" s="3009" t="s">
        <v>7659</v>
      </c>
      <c r="J39" s="3010" t="s">
        <v>7660</v>
      </c>
      <c r="L39" s="2983">
        <f t="shared" si="8"/>
        <v>30</v>
      </c>
      <c r="M39" s="2984" t="s">
        <v>7661</v>
      </c>
      <c r="N39" s="716" t="s">
        <v>7662</v>
      </c>
      <c r="O39" s="2975" t="s">
        <v>7663</v>
      </c>
      <c r="P39" s="2975" t="s">
        <v>7594</v>
      </c>
      <c r="Q39" s="2840"/>
      <c r="R39" s="3002">
        <f t="shared" si="12"/>
        <v>8</v>
      </c>
      <c r="S39" s="3003" t="s">
        <v>7664</v>
      </c>
      <c r="T39" s="3004" t="s">
        <v>7665</v>
      </c>
      <c r="U39" s="3005" t="s">
        <v>7666</v>
      </c>
      <c r="W39" s="2998">
        <f t="shared" si="10"/>
        <v>28</v>
      </c>
      <c r="X39" s="3006" t="s">
        <v>7667</v>
      </c>
      <c r="Y39" s="3007" t="s">
        <v>7668</v>
      </c>
      <c r="Z39" s="3011" t="s">
        <v>7669</v>
      </c>
      <c r="AA39" s="3007" t="s">
        <v>7670</v>
      </c>
      <c r="AB39" s="3007" t="s">
        <v>7671</v>
      </c>
      <c r="AC39" s="3007" t="s">
        <v>7672</v>
      </c>
      <c r="AD39" s="3006" t="s">
        <v>7667</v>
      </c>
      <c r="AF39" s="2730">
        <v>1</v>
      </c>
    </row>
    <row r="40" spans="2:32" ht="30" customHeight="1">
      <c r="B40" s="3008">
        <v>7</v>
      </c>
      <c r="C40" s="2991" t="s">
        <v>2802</v>
      </c>
      <c r="D40" s="2992" t="s">
        <v>7673</v>
      </c>
      <c r="E40" s="2993" t="s">
        <v>7674</v>
      </c>
      <c r="F40" s="1"/>
      <c r="G40" s="3008">
        <v>4</v>
      </c>
      <c r="H40" s="2991" t="s">
        <v>7675</v>
      </c>
      <c r="I40" s="3009" t="s">
        <v>7676</v>
      </c>
      <c r="J40" s="3010" t="s">
        <v>7677</v>
      </c>
      <c r="L40" s="2983">
        <f t="shared" si="8"/>
        <v>31</v>
      </c>
      <c r="M40" s="2984" t="s">
        <v>7678</v>
      </c>
      <c r="N40" s="716" t="s">
        <v>7679</v>
      </c>
      <c r="O40" s="2975" t="s">
        <v>7680</v>
      </c>
      <c r="P40" s="2975" t="s">
        <v>7611</v>
      </c>
      <c r="Q40" s="2840"/>
      <c r="R40" s="3002">
        <f t="shared" si="12"/>
        <v>9</v>
      </c>
      <c r="S40" s="3003" t="s">
        <v>7681</v>
      </c>
      <c r="T40" s="3004" t="s">
        <v>7682</v>
      </c>
      <c r="U40" s="3005" t="s">
        <v>7683</v>
      </c>
      <c r="W40" s="2998">
        <f t="shared" si="10"/>
        <v>29</v>
      </c>
      <c r="X40" s="3006" t="s">
        <v>7684</v>
      </c>
      <c r="Y40" s="3007" t="s">
        <v>7685</v>
      </c>
      <c r="Z40" s="3011" t="s">
        <v>7686</v>
      </c>
      <c r="AA40" s="3007" t="s">
        <v>7687</v>
      </c>
      <c r="AB40" s="3007" t="s">
        <v>7688</v>
      </c>
      <c r="AC40" s="3007" t="s">
        <v>7689</v>
      </c>
      <c r="AD40" s="3006" t="s">
        <v>7684</v>
      </c>
      <c r="AF40" s="2730">
        <v>1</v>
      </c>
    </row>
    <row r="41" spans="2:32" ht="30" customHeight="1">
      <c r="B41" s="3008">
        <v>8</v>
      </c>
      <c r="C41" s="2991" t="s">
        <v>2879</v>
      </c>
      <c r="D41" s="2992" t="s">
        <v>7690</v>
      </c>
      <c r="E41" s="2993" t="s">
        <v>7691</v>
      </c>
      <c r="F41" s="1"/>
      <c r="G41" s="3008">
        <v>5</v>
      </c>
      <c r="H41" s="2991" t="s">
        <v>7692</v>
      </c>
      <c r="I41" s="3009" t="s">
        <v>7693</v>
      </c>
      <c r="J41" s="3010" t="s">
        <v>7694</v>
      </c>
      <c r="L41" s="2983"/>
      <c r="M41" s="2984"/>
      <c r="N41" s="716"/>
      <c r="O41" s="2975"/>
      <c r="P41" s="2975"/>
      <c r="Q41" s="2840"/>
      <c r="R41" s="3002">
        <f t="shared" si="12"/>
        <v>10</v>
      </c>
      <c r="S41" s="3003" t="s">
        <v>7695</v>
      </c>
      <c r="T41" s="3004" t="s">
        <v>7696</v>
      </c>
      <c r="U41" s="3005" t="s">
        <v>7697</v>
      </c>
      <c r="W41" s="2977"/>
      <c r="X41" s="2999" t="s">
        <v>339</v>
      </c>
      <c r="Y41" s="3000"/>
      <c r="Z41" s="3000"/>
      <c r="AA41" s="3000"/>
      <c r="AB41" s="2988"/>
      <c r="AC41" s="2988"/>
      <c r="AD41" s="2999" t="s">
        <v>339</v>
      </c>
      <c r="AF41" s="2730">
        <v>1</v>
      </c>
    </row>
    <row r="42" spans="2:32" ht="30" customHeight="1">
      <c r="B42" s="3008">
        <v>9</v>
      </c>
      <c r="C42" s="2991" t="s">
        <v>2905</v>
      </c>
      <c r="D42" s="2992" t="s">
        <v>7698</v>
      </c>
      <c r="E42" s="2993" t="s">
        <v>7699</v>
      </c>
      <c r="F42" s="1"/>
      <c r="G42" s="3008">
        <v>6</v>
      </c>
      <c r="H42" s="2991" t="s">
        <v>7700</v>
      </c>
      <c r="I42" s="3009" t="s">
        <v>7701</v>
      </c>
      <c r="J42" s="3010" t="s">
        <v>7702</v>
      </c>
      <c r="L42" s="2983">
        <v>1</v>
      </c>
      <c r="M42" s="3039" t="s">
        <v>7703</v>
      </c>
      <c r="N42" s="3040" t="s">
        <v>7704</v>
      </c>
      <c r="O42" s="3040" t="s">
        <v>7705</v>
      </c>
      <c r="P42" s="2975"/>
      <c r="Q42" s="2840"/>
      <c r="R42" s="3002">
        <f t="shared" si="12"/>
        <v>11</v>
      </c>
      <c r="S42" s="3003" t="s">
        <v>7706</v>
      </c>
      <c r="T42" s="3004" t="s">
        <v>7707</v>
      </c>
      <c r="U42" s="3005" t="s">
        <v>7708</v>
      </c>
      <c r="W42" s="2998">
        <v>1</v>
      </c>
      <c r="X42" s="3006" t="s">
        <v>7709</v>
      </c>
      <c r="Y42" s="3007" t="s">
        <v>7710</v>
      </c>
      <c r="Z42" s="3011" t="s">
        <v>7711</v>
      </c>
      <c r="AA42" s="3007" t="s">
        <v>7712</v>
      </c>
      <c r="AB42" s="3007" t="s">
        <v>7713</v>
      </c>
      <c r="AC42" s="3007" t="s">
        <v>7714</v>
      </c>
      <c r="AD42" s="3006" t="s">
        <v>7709</v>
      </c>
      <c r="AF42" s="2730">
        <v>1</v>
      </c>
    </row>
    <row r="43" spans="2:32" ht="30" customHeight="1">
      <c r="B43" s="3008"/>
      <c r="D43" s="3041"/>
      <c r="E43" s="3042"/>
      <c r="F43" s="1"/>
      <c r="G43" s="3008"/>
      <c r="H43" s="3012" t="s">
        <v>7715</v>
      </c>
      <c r="I43" s="3043" t="s">
        <v>7716</v>
      </c>
      <c r="J43" s="3044" t="s">
        <v>7717</v>
      </c>
      <c r="L43" s="2983">
        <f t="shared" ref="L43:L72" si="13">L42+1</f>
        <v>2</v>
      </c>
      <c r="M43" s="3039" t="s">
        <v>7718</v>
      </c>
      <c r="N43" s="3040" t="s">
        <v>7719</v>
      </c>
      <c r="O43" s="3040" t="s">
        <v>7720</v>
      </c>
      <c r="P43" s="2975"/>
      <c r="Q43" s="2840"/>
      <c r="R43" s="3002">
        <f t="shared" si="12"/>
        <v>12</v>
      </c>
      <c r="S43" s="3003" t="s">
        <v>7721</v>
      </c>
      <c r="T43" s="3004" t="s">
        <v>7722</v>
      </c>
      <c r="U43" s="3005" t="s">
        <v>7723</v>
      </c>
      <c r="W43" s="2998">
        <f>W42+1</f>
        <v>2</v>
      </c>
      <c r="X43" s="3006" t="s">
        <v>7724</v>
      </c>
      <c r="Y43" s="3007" t="s">
        <v>7725</v>
      </c>
      <c r="Z43" s="3011" t="s">
        <v>7726</v>
      </c>
      <c r="AA43" s="3007" t="s">
        <v>7727</v>
      </c>
      <c r="AB43" s="3007" t="s">
        <v>7728</v>
      </c>
      <c r="AC43" s="3007" t="s">
        <v>7729</v>
      </c>
      <c r="AD43" s="3006" t="s">
        <v>7724</v>
      </c>
      <c r="AF43" s="2730">
        <v>1</v>
      </c>
    </row>
    <row r="44" spans="2:32" ht="30" customHeight="1">
      <c r="B44" s="3034">
        <v>1</v>
      </c>
      <c r="C44" s="3035" t="s">
        <v>2812</v>
      </c>
      <c r="D44" s="3036" t="s">
        <v>7339</v>
      </c>
      <c r="E44" s="3037" t="s">
        <v>7340</v>
      </c>
      <c r="F44" s="1"/>
      <c r="G44" s="3008">
        <v>7</v>
      </c>
      <c r="H44" s="2991" t="s">
        <v>7730</v>
      </c>
      <c r="I44" s="3009" t="s">
        <v>7731</v>
      </c>
      <c r="J44" s="3010" t="s">
        <v>7732</v>
      </c>
      <c r="L44" s="2983">
        <f t="shared" si="13"/>
        <v>3</v>
      </c>
      <c r="M44" s="3039" t="s">
        <v>7733</v>
      </c>
      <c r="N44" s="3040" t="s">
        <v>7734</v>
      </c>
      <c r="O44" s="3040" t="s">
        <v>7735</v>
      </c>
      <c r="P44" s="2975"/>
      <c r="Q44" s="2840"/>
      <c r="R44" s="3002">
        <f t="shared" si="12"/>
        <v>13</v>
      </c>
      <c r="S44" s="3003" t="s">
        <v>7736</v>
      </c>
      <c r="T44" s="3004" t="s">
        <v>7737</v>
      </c>
      <c r="U44" s="3005" t="s">
        <v>7738</v>
      </c>
      <c r="W44" s="2998">
        <f t="shared" ref="W44:W58" si="14">W43+1</f>
        <v>3</v>
      </c>
      <c r="X44" s="3006" t="s">
        <v>2115</v>
      </c>
      <c r="Y44" s="3007" t="s">
        <v>7739</v>
      </c>
      <c r="Z44" s="3011" t="s">
        <v>7740</v>
      </c>
      <c r="AA44" s="3007" t="s">
        <v>7741</v>
      </c>
      <c r="AB44" s="3007" t="s">
        <v>7742</v>
      </c>
      <c r="AC44" s="3007" t="s">
        <v>7743</v>
      </c>
      <c r="AD44" s="3006" t="s">
        <v>2115</v>
      </c>
      <c r="AF44" s="2730">
        <v>1</v>
      </c>
    </row>
    <row r="45" spans="2:32" ht="30" customHeight="1">
      <c r="B45" s="3008">
        <v>2</v>
      </c>
      <c r="C45" s="2991" t="s">
        <v>7744</v>
      </c>
      <c r="D45" s="2992" t="s">
        <v>7745</v>
      </c>
      <c r="E45" s="2993" t="s">
        <v>7746</v>
      </c>
      <c r="F45" s="1"/>
      <c r="G45" s="3008">
        <v>8</v>
      </c>
      <c r="H45" s="2991" t="s">
        <v>7747</v>
      </c>
      <c r="I45" s="3009" t="s">
        <v>7748</v>
      </c>
      <c r="J45" s="3010" t="s">
        <v>7749</v>
      </c>
      <c r="L45" s="2983">
        <f t="shared" si="13"/>
        <v>4</v>
      </c>
      <c r="M45" s="3039" t="s">
        <v>7750</v>
      </c>
      <c r="N45" s="3040" t="s">
        <v>7751</v>
      </c>
      <c r="O45" s="3040" t="s">
        <v>7752</v>
      </c>
      <c r="P45" s="2975"/>
      <c r="Q45" s="2840"/>
      <c r="R45" s="3002">
        <f t="shared" si="12"/>
        <v>14</v>
      </c>
      <c r="S45" s="3003" t="s">
        <v>7753</v>
      </c>
      <c r="T45" s="3004" t="s">
        <v>7754</v>
      </c>
      <c r="U45" s="3005" t="s">
        <v>7755</v>
      </c>
      <c r="W45" s="2998">
        <f t="shared" si="14"/>
        <v>4</v>
      </c>
      <c r="X45" s="3006" t="s">
        <v>2143</v>
      </c>
      <c r="Y45" s="3007" t="s">
        <v>7756</v>
      </c>
      <c r="Z45" s="3011" t="s">
        <v>7757</v>
      </c>
      <c r="AA45" s="3007" t="s">
        <v>7758</v>
      </c>
      <c r="AB45" s="3007" t="s">
        <v>7759</v>
      </c>
      <c r="AC45" s="3007" t="s">
        <v>7760</v>
      </c>
      <c r="AD45" s="3006" t="s">
        <v>2143</v>
      </c>
      <c r="AF45" s="2730">
        <v>1</v>
      </c>
    </row>
    <row r="46" spans="2:32" ht="30" customHeight="1">
      <c r="B46" s="3008">
        <v>3</v>
      </c>
      <c r="C46" s="2991" t="s">
        <v>2928</v>
      </c>
      <c r="D46" s="2992" t="s">
        <v>7761</v>
      </c>
      <c r="E46" s="2993" t="s">
        <v>7762</v>
      </c>
      <c r="F46" s="1"/>
      <c r="G46" s="3038"/>
      <c r="H46" s="9130" t="s">
        <v>7763</v>
      </c>
      <c r="I46" s="9131" t="s">
        <v>7764</v>
      </c>
      <c r="J46" s="9130" t="s">
        <v>7765</v>
      </c>
      <c r="L46" s="2983">
        <f t="shared" si="13"/>
        <v>5</v>
      </c>
      <c r="M46" s="3039" t="s">
        <v>7766</v>
      </c>
      <c r="N46" s="3040" t="s">
        <v>7767</v>
      </c>
      <c r="O46" s="3040" t="s">
        <v>7768</v>
      </c>
      <c r="P46" s="2975"/>
      <c r="Q46" s="2840"/>
      <c r="R46" s="3002"/>
      <c r="S46" s="2995" t="s">
        <v>342</v>
      </c>
      <c r="T46" s="2996"/>
      <c r="U46" s="2997"/>
      <c r="W46" s="2998">
        <f t="shared" si="14"/>
        <v>5</v>
      </c>
      <c r="X46" s="3006" t="s">
        <v>2126</v>
      </c>
      <c r="Y46" s="3007" t="s">
        <v>7769</v>
      </c>
      <c r="Z46" s="3011" t="s">
        <v>7770</v>
      </c>
      <c r="AA46" s="3007" t="s">
        <v>7771</v>
      </c>
      <c r="AB46" s="3007" t="s">
        <v>7772</v>
      </c>
      <c r="AC46" s="3007" t="s">
        <v>7773</v>
      </c>
      <c r="AD46" s="3006" t="s">
        <v>2126</v>
      </c>
      <c r="AF46" s="2730">
        <v>1</v>
      </c>
    </row>
    <row r="47" spans="2:32" ht="30" customHeight="1">
      <c r="B47" s="3008">
        <v>4</v>
      </c>
      <c r="C47" s="2991" t="s">
        <v>7774</v>
      </c>
      <c r="D47" s="2992" t="s">
        <v>7775</v>
      </c>
      <c r="E47" s="2993" t="s">
        <v>7776</v>
      </c>
      <c r="F47" s="1"/>
      <c r="G47" s="3038"/>
      <c r="H47" s="9130"/>
      <c r="I47" s="9131"/>
      <c r="J47" s="9130"/>
      <c r="L47" s="2983">
        <f t="shared" si="13"/>
        <v>6</v>
      </c>
      <c r="M47" s="3039" t="s">
        <v>7777</v>
      </c>
      <c r="N47" s="3040" t="s">
        <v>7778</v>
      </c>
      <c r="O47" s="3040" t="s">
        <v>7779</v>
      </c>
      <c r="P47" s="2975"/>
      <c r="Q47" s="2840"/>
      <c r="R47" s="3002">
        <v>1</v>
      </c>
      <c r="S47" s="3003" t="s">
        <v>7780</v>
      </c>
      <c r="T47" s="3004" t="s">
        <v>7781</v>
      </c>
      <c r="U47" s="3005" t="s">
        <v>7782</v>
      </c>
      <c r="W47" s="2998">
        <f t="shared" si="14"/>
        <v>6</v>
      </c>
      <c r="X47" s="3006" t="s">
        <v>2136</v>
      </c>
      <c r="Y47" s="3007" t="s">
        <v>7783</v>
      </c>
      <c r="Z47" s="3011" t="s">
        <v>7784</v>
      </c>
      <c r="AA47" s="3007" t="s">
        <v>7785</v>
      </c>
      <c r="AB47" s="3007" t="s">
        <v>7786</v>
      </c>
      <c r="AC47" s="3007" t="s">
        <v>7787</v>
      </c>
      <c r="AD47" s="3006" t="s">
        <v>2136</v>
      </c>
      <c r="AF47" s="2730">
        <v>1</v>
      </c>
    </row>
    <row r="48" spans="2:32" ht="30" customHeight="1">
      <c r="B48" s="3008">
        <v>5</v>
      </c>
      <c r="C48" s="2991" t="s">
        <v>2888</v>
      </c>
      <c r="D48" s="2992" t="s">
        <v>7788</v>
      </c>
      <c r="E48" s="2993" t="s">
        <v>7789</v>
      </c>
      <c r="F48" s="1"/>
      <c r="G48" s="2991"/>
      <c r="H48" s="2991" t="s">
        <v>7790</v>
      </c>
      <c r="I48" s="3009" t="s">
        <v>7791</v>
      </c>
      <c r="J48" s="3010" t="s">
        <v>7792</v>
      </c>
      <c r="L48" s="2983">
        <f t="shared" si="13"/>
        <v>7</v>
      </c>
      <c r="M48" s="3039" t="s">
        <v>7793</v>
      </c>
      <c r="N48" s="3040" t="s">
        <v>7794</v>
      </c>
      <c r="O48" s="3040" t="s">
        <v>7795</v>
      </c>
      <c r="P48" s="2975"/>
      <c r="Q48" s="2840"/>
      <c r="R48" s="3002">
        <f>R47+1</f>
        <v>2</v>
      </c>
      <c r="S48" s="3003" t="s">
        <v>7796</v>
      </c>
      <c r="T48" s="3004" t="s">
        <v>7797</v>
      </c>
      <c r="U48" s="3005" t="s">
        <v>7798</v>
      </c>
      <c r="W48" s="2998">
        <f t="shared" si="14"/>
        <v>7</v>
      </c>
      <c r="X48" s="3006" t="s">
        <v>2145</v>
      </c>
      <c r="Y48" s="3007" t="s">
        <v>7799</v>
      </c>
      <c r="Z48" s="3011" t="s">
        <v>7800</v>
      </c>
      <c r="AA48" s="3007" t="s">
        <v>7801</v>
      </c>
      <c r="AB48" s="3007" t="s">
        <v>7802</v>
      </c>
      <c r="AC48" s="3007" t="s">
        <v>7803</v>
      </c>
      <c r="AD48" s="3006" t="s">
        <v>2145</v>
      </c>
      <c r="AF48" s="2730">
        <v>1</v>
      </c>
    </row>
    <row r="49" spans="2:32" ht="30" customHeight="1">
      <c r="B49" s="3008">
        <v>6</v>
      </c>
      <c r="C49" s="2991" t="s">
        <v>2791</v>
      </c>
      <c r="D49" s="2992" t="s">
        <v>7804</v>
      </c>
      <c r="E49" s="2993" t="s">
        <v>7805</v>
      </c>
      <c r="F49" s="1"/>
      <c r="G49" s="3008">
        <v>9</v>
      </c>
      <c r="H49" s="2991" t="s">
        <v>2913</v>
      </c>
      <c r="I49" s="3009" t="s">
        <v>7806</v>
      </c>
      <c r="J49" s="3010" t="s">
        <v>7807</v>
      </c>
      <c r="L49" s="2983">
        <f t="shared" si="13"/>
        <v>8</v>
      </c>
      <c r="M49" s="3039" t="s">
        <v>7808</v>
      </c>
      <c r="N49" s="3040" t="s">
        <v>7809</v>
      </c>
      <c r="O49" s="3040" t="s">
        <v>7810</v>
      </c>
      <c r="P49" s="2975"/>
      <c r="Q49" s="2840"/>
      <c r="R49" s="3002">
        <f t="shared" ref="R49:R51" si="15">R48+1</f>
        <v>3</v>
      </c>
      <c r="S49" s="3003" t="s">
        <v>7811</v>
      </c>
      <c r="T49" s="3004" t="s">
        <v>7812</v>
      </c>
      <c r="U49" s="3005" t="s">
        <v>7813</v>
      </c>
      <c r="W49" s="2998">
        <f t="shared" si="14"/>
        <v>8</v>
      </c>
      <c r="X49" s="3006" t="s">
        <v>7814</v>
      </c>
      <c r="Y49" s="3007" t="s">
        <v>7815</v>
      </c>
      <c r="Z49" s="3011" t="s">
        <v>7816</v>
      </c>
      <c r="AA49" s="3007" t="s">
        <v>7817</v>
      </c>
      <c r="AB49" s="3007" t="s">
        <v>7818</v>
      </c>
      <c r="AC49" s="3007" t="s">
        <v>7819</v>
      </c>
      <c r="AD49" s="3006" t="s">
        <v>7814</v>
      </c>
      <c r="AF49" s="2730">
        <v>1</v>
      </c>
    </row>
    <row r="50" spans="2:32" ht="30" customHeight="1">
      <c r="B50" s="3008">
        <v>7</v>
      </c>
      <c r="C50" s="2991" t="s">
        <v>2896</v>
      </c>
      <c r="D50" s="2992" t="s">
        <v>7820</v>
      </c>
      <c r="E50" s="2993" t="s">
        <v>7821</v>
      </c>
      <c r="F50" s="1"/>
      <c r="G50" s="3008">
        <v>10</v>
      </c>
      <c r="H50" s="2991" t="s">
        <v>7822</v>
      </c>
      <c r="I50" s="3009" t="s">
        <v>7823</v>
      </c>
      <c r="J50" s="3010" t="s">
        <v>7824</v>
      </c>
      <c r="L50" s="2983">
        <f t="shared" si="13"/>
        <v>9</v>
      </c>
      <c r="M50" s="3039" t="s">
        <v>7825</v>
      </c>
      <c r="N50" s="3040" t="s">
        <v>7826</v>
      </c>
      <c r="O50" s="3040" t="s">
        <v>7827</v>
      </c>
      <c r="P50" s="2975"/>
      <c r="Q50" s="2840"/>
      <c r="R50" s="3002">
        <f t="shared" si="15"/>
        <v>4</v>
      </c>
      <c r="S50" s="3003" t="s">
        <v>7828</v>
      </c>
      <c r="T50" s="3004" t="s">
        <v>7829</v>
      </c>
      <c r="U50" s="3005" t="s">
        <v>7830</v>
      </c>
      <c r="W50" s="2998">
        <f t="shared" si="14"/>
        <v>9</v>
      </c>
      <c r="X50" s="3006" t="s">
        <v>7831</v>
      </c>
      <c r="Y50" s="3007" t="s">
        <v>7832</v>
      </c>
      <c r="Z50" s="3011" t="s">
        <v>7833</v>
      </c>
      <c r="AA50" s="3007" t="s">
        <v>7834</v>
      </c>
      <c r="AB50" s="3007" t="s">
        <v>7835</v>
      </c>
      <c r="AC50" s="3007" t="s">
        <v>7836</v>
      </c>
      <c r="AD50" s="3006" t="s">
        <v>7831</v>
      </c>
      <c r="AF50" s="2730">
        <v>1</v>
      </c>
    </row>
    <row r="51" spans="2:32" ht="30" customHeight="1">
      <c r="B51" s="3008">
        <v>8</v>
      </c>
      <c r="C51" s="2991" t="s">
        <v>7837</v>
      </c>
      <c r="D51" s="2992" t="s">
        <v>7838</v>
      </c>
      <c r="E51" s="2993" t="s">
        <v>7839</v>
      </c>
      <c r="F51" s="1"/>
      <c r="G51" s="3008">
        <v>11</v>
      </c>
      <c r="H51" s="2991" t="s">
        <v>7840</v>
      </c>
      <c r="I51" s="3009" t="s">
        <v>7841</v>
      </c>
      <c r="J51" s="3010" t="s">
        <v>7842</v>
      </c>
      <c r="L51" s="2983">
        <f t="shared" si="13"/>
        <v>10</v>
      </c>
      <c r="M51" s="3039" t="s">
        <v>7843</v>
      </c>
      <c r="N51" s="3040" t="s">
        <v>7844</v>
      </c>
      <c r="O51" s="3040" t="s">
        <v>7845</v>
      </c>
      <c r="P51" s="2975"/>
      <c r="Q51" s="2840"/>
      <c r="R51" s="3002">
        <f t="shared" si="15"/>
        <v>5</v>
      </c>
      <c r="S51" s="3003" t="s">
        <v>7846</v>
      </c>
      <c r="T51" s="3004" t="s">
        <v>7847</v>
      </c>
      <c r="U51" s="3005" t="s">
        <v>7848</v>
      </c>
      <c r="W51" s="2998">
        <f t="shared" si="14"/>
        <v>10</v>
      </c>
      <c r="X51" s="3006" t="s">
        <v>7849</v>
      </c>
      <c r="Y51" s="3007" t="s">
        <v>7850</v>
      </c>
      <c r="Z51" s="3011" t="s">
        <v>7851</v>
      </c>
      <c r="AA51" s="3007" t="s">
        <v>7852</v>
      </c>
      <c r="AB51" s="3007" t="s">
        <v>7853</v>
      </c>
      <c r="AC51" s="3007" t="s">
        <v>7854</v>
      </c>
      <c r="AD51" s="3006" t="s">
        <v>7849</v>
      </c>
      <c r="AF51" s="2730">
        <v>1</v>
      </c>
    </row>
    <row r="52" spans="2:32" ht="30" customHeight="1">
      <c r="B52" s="3008">
        <v>9</v>
      </c>
      <c r="C52" s="2991" t="s">
        <v>7855</v>
      </c>
      <c r="D52" s="2992" t="s">
        <v>7856</v>
      </c>
      <c r="E52" s="2993" t="s">
        <v>7857</v>
      </c>
      <c r="F52" s="1"/>
      <c r="G52" s="3008">
        <v>12</v>
      </c>
      <c r="H52" s="2991" t="s">
        <v>2916</v>
      </c>
      <c r="I52" s="3014" t="s">
        <v>7858</v>
      </c>
      <c r="J52" s="2893" t="s">
        <v>7859</v>
      </c>
      <c r="L52" s="2983">
        <f t="shared" si="13"/>
        <v>11</v>
      </c>
      <c r="M52" s="3039" t="s">
        <v>7860</v>
      </c>
      <c r="N52" s="3040" t="s">
        <v>7861</v>
      </c>
      <c r="O52" s="3040" t="s">
        <v>7862</v>
      </c>
      <c r="P52" s="2975"/>
      <c r="Q52" s="2840"/>
      <c r="R52" s="3002"/>
      <c r="S52" s="2995" t="s">
        <v>651</v>
      </c>
      <c r="T52" s="2996"/>
      <c r="U52" s="2997"/>
      <c r="W52" s="2998">
        <f t="shared" si="14"/>
        <v>11</v>
      </c>
      <c r="X52" s="3006" t="s">
        <v>7863</v>
      </c>
      <c r="Y52" s="3007" t="s">
        <v>7864</v>
      </c>
      <c r="Z52" s="3011" t="s">
        <v>7865</v>
      </c>
      <c r="AA52" s="3007" t="s">
        <v>7866</v>
      </c>
      <c r="AB52" s="3007" t="s">
        <v>7867</v>
      </c>
      <c r="AC52" s="3007" t="s">
        <v>7868</v>
      </c>
      <c r="AD52" s="3006" t="s">
        <v>7863</v>
      </c>
      <c r="AF52" s="2730">
        <v>1</v>
      </c>
    </row>
    <row r="53" spans="2:32" ht="30" customHeight="1">
      <c r="B53" s="3008">
        <v>10</v>
      </c>
      <c r="C53" s="2991" t="s">
        <v>2902</v>
      </c>
      <c r="D53" s="2992" t="s">
        <v>7869</v>
      </c>
      <c r="E53" s="2993" t="s">
        <v>7870</v>
      </c>
      <c r="F53" s="1"/>
      <c r="G53" s="2991"/>
      <c r="H53" s="2267"/>
      <c r="I53" s="3014"/>
      <c r="J53" s="2893"/>
      <c r="L53" s="2983">
        <f t="shared" si="13"/>
        <v>12</v>
      </c>
      <c r="M53" s="3039" t="s">
        <v>7871</v>
      </c>
      <c r="N53" s="3040" t="s">
        <v>7872</v>
      </c>
      <c r="O53" s="3040" t="s">
        <v>7873</v>
      </c>
      <c r="P53" s="2975"/>
      <c r="Q53" s="2840"/>
      <c r="R53" s="3002">
        <v>1</v>
      </c>
      <c r="S53" s="3003" t="s">
        <v>7874</v>
      </c>
      <c r="T53" s="3004" t="s">
        <v>7875</v>
      </c>
      <c r="U53" s="3005" t="s">
        <v>7876</v>
      </c>
      <c r="W53" s="2998">
        <f t="shared" si="14"/>
        <v>12</v>
      </c>
      <c r="X53" s="3006" t="s">
        <v>2152</v>
      </c>
      <c r="Y53" s="3007" t="s">
        <v>7877</v>
      </c>
      <c r="Z53" s="3011" t="s">
        <v>7878</v>
      </c>
      <c r="AA53" s="3007" t="s">
        <v>7879</v>
      </c>
      <c r="AB53" s="3007" t="s">
        <v>7880</v>
      </c>
      <c r="AC53" s="3007" t="s">
        <v>7881</v>
      </c>
      <c r="AD53" s="3006" t="s">
        <v>2152</v>
      </c>
      <c r="AF53" s="2730">
        <v>1</v>
      </c>
    </row>
    <row r="54" spans="2:32" ht="30" customHeight="1">
      <c r="B54" s="3008"/>
      <c r="D54" s="3041"/>
      <c r="E54" s="3042"/>
      <c r="F54" s="1"/>
      <c r="G54" s="2980" t="s">
        <v>87</v>
      </c>
      <c r="H54" s="2979" t="s">
        <v>2918</v>
      </c>
      <c r="I54" s="3001" t="s">
        <v>7882</v>
      </c>
      <c r="J54" s="2979" t="s">
        <v>7883</v>
      </c>
      <c r="L54" s="2983">
        <f t="shared" si="13"/>
        <v>13</v>
      </c>
      <c r="M54" s="3039" t="s">
        <v>7860</v>
      </c>
      <c r="N54" s="3040" t="s">
        <v>7861</v>
      </c>
      <c r="O54" s="3040" t="s">
        <v>7862</v>
      </c>
      <c r="P54" s="2975"/>
      <c r="Q54" s="2840"/>
      <c r="R54" s="3002">
        <f>R53+1</f>
        <v>2</v>
      </c>
      <c r="S54" s="3003" t="s">
        <v>7884</v>
      </c>
      <c r="T54" s="3004" t="s">
        <v>7885</v>
      </c>
      <c r="U54" s="3005" t="s">
        <v>7886</v>
      </c>
      <c r="W54" s="2998">
        <f t="shared" si="14"/>
        <v>13</v>
      </c>
      <c r="X54" s="3006" t="s">
        <v>2160</v>
      </c>
      <c r="Y54" s="3007" t="s">
        <v>7887</v>
      </c>
      <c r="Z54" s="3011" t="s">
        <v>7888</v>
      </c>
      <c r="AA54" s="3007" t="s">
        <v>7889</v>
      </c>
      <c r="AB54" s="3007" t="s">
        <v>7890</v>
      </c>
      <c r="AC54" s="3007" t="s">
        <v>7891</v>
      </c>
      <c r="AD54" s="3006" t="s">
        <v>2160</v>
      </c>
      <c r="AF54" s="2730">
        <v>1</v>
      </c>
    </row>
    <row r="55" spans="2:32" ht="30" customHeight="1">
      <c r="B55" s="3045"/>
      <c r="C55" s="3035" t="s">
        <v>7892</v>
      </c>
      <c r="D55" s="3036" t="s">
        <v>7339</v>
      </c>
      <c r="E55" s="3037" t="s">
        <v>7340</v>
      </c>
      <c r="F55" s="1"/>
      <c r="G55" s="3008">
        <v>1</v>
      </c>
      <c r="H55" s="2991" t="s">
        <v>7893</v>
      </c>
      <c r="I55" s="3009" t="s">
        <v>7894</v>
      </c>
      <c r="J55" s="3010" t="s">
        <v>7895</v>
      </c>
      <c r="L55" s="2983">
        <f t="shared" si="13"/>
        <v>14</v>
      </c>
      <c r="M55" s="3039" t="s">
        <v>7896</v>
      </c>
      <c r="N55" s="3040" t="s">
        <v>7897</v>
      </c>
      <c r="O55" s="3040" t="s">
        <v>7898</v>
      </c>
      <c r="P55" s="2975"/>
      <c r="Q55" s="2840"/>
      <c r="R55" s="3002">
        <f t="shared" ref="R55:R56" si="16">R54+1</f>
        <v>3</v>
      </c>
      <c r="S55" s="3003" t="s">
        <v>7899</v>
      </c>
      <c r="T55" s="3004" t="s">
        <v>7900</v>
      </c>
      <c r="U55" s="3005" t="s">
        <v>7901</v>
      </c>
      <c r="W55" s="2998">
        <f t="shared" si="14"/>
        <v>14</v>
      </c>
      <c r="X55" s="3006" t="s">
        <v>7902</v>
      </c>
      <c r="Y55" s="3007" t="s">
        <v>7903</v>
      </c>
      <c r="Z55" s="3011" t="s">
        <v>7904</v>
      </c>
      <c r="AA55" s="3007" t="s">
        <v>7905</v>
      </c>
      <c r="AB55" s="3007" t="s">
        <v>7906</v>
      </c>
      <c r="AC55" s="3007" t="s">
        <v>7907</v>
      </c>
      <c r="AD55" s="3006" t="s">
        <v>7902</v>
      </c>
      <c r="AF55" s="2730">
        <v>1</v>
      </c>
    </row>
    <row r="56" spans="2:32" ht="30" customHeight="1">
      <c r="B56" s="3008">
        <v>1</v>
      </c>
      <c r="C56" s="2991" t="s">
        <v>2910</v>
      </c>
      <c r="D56" s="2992" t="s">
        <v>7908</v>
      </c>
      <c r="E56" s="2993" t="s">
        <v>7909</v>
      </c>
      <c r="F56" s="1"/>
      <c r="G56" s="3008">
        <v>2</v>
      </c>
      <c r="H56" s="2991" t="s">
        <v>7910</v>
      </c>
      <c r="I56" s="3009" t="s">
        <v>7911</v>
      </c>
      <c r="J56" s="3010" t="s">
        <v>7912</v>
      </c>
      <c r="L56" s="2983">
        <f t="shared" si="13"/>
        <v>15</v>
      </c>
      <c r="M56" s="3039" t="s">
        <v>7913</v>
      </c>
      <c r="N56" s="3040" t="s">
        <v>7897</v>
      </c>
      <c r="O56" s="3040" t="s">
        <v>7898</v>
      </c>
      <c r="P56" s="2975"/>
      <c r="Q56" s="2840"/>
      <c r="R56" s="3002">
        <f t="shared" si="16"/>
        <v>4</v>
      </c>
      <c r="S56" s="3003" t="s">
        <v>7914</v>
      </c>
      <c r="T56" s="3004" t="s">
        <v>7915</v>
      </c>
      <c r="U56" s="3005" t="s">
        <v>7916</v>
      </c>
      <c r="W56" s="2998">
        <f t="shared" si="14"/>
        <v>15</v>
      </c>
      <c r="X56" s="3006" t="s">
        <v>2169</v>
      </c>
      <c r="Y56" s="3007" t="s">
        <v>7917</v>
      </c>
      <c r="Z56" s="3011" t="s">
        <v>7918</v>
      </c>
      <c r="AA56" s="3007" t="s">
        <v>7919</v>
      </c>
      <c r="AB56" s="3007" t="s">
        <v>7920</v>
      </c>
      <c r="AC56" s="3007" t="s">
        <v>7921</v>
      </c>
      <c r="AD56" s="3006" t="s">
        <v>2169</v>
      </c>
      <c r="AF56" s="2730">
        <v>1</v>
      </c>
    </row>
    <row r="57" spans="2:32" ht="30" customHeight="1">
      <c r="B57" s="3008">
        <v>2</v>
      </c>
      <c r="C57" s="2991" t="s">
        <v>7922</v>
      </c>
      <c r="D57" s="2992" t="s">
        <v>7923</v>
      </c>
      <c r="E57" s="2993" t="s">
        <v>7924</v>
      </c>
      <c r="F57" s="1"/>
      <c r="G57" s="3008">
        <v>3</v>
      </c>
      <c r="H57" s="2991" t="s">
        <v>7925</v>
      </c>
      <c r="I57" s="3009" t="s">
        <v>7926</v>
      </c>
      <c r="J57" s="3010" t="s">
        <v>7927</v>
      </c>
      <c r="L57" s="2983">
        <f t="shared" si="13"/>
        <v>16</v>
      </c>
      <c r="M57" s="3039" t="s">
        <v>7928</v>
      </c>
      <c r="N57" s="3040" t="s">
        <v>7929</v>
      </c>
      <c r="O57" s="3040" t="s">
        <v>7930</v>
      </c>
      <c r="P57" s="2975"/>
      <c r="Q57" s="2840"/>
      <c r="R57" s="3002"/>
      <c r="S57" s="2995" t="s">
        <v>343</v>
      </c>
      <c r="T57" s="2996"/>
      <c r="U57" s="2997"/>
      <c r="W57" s="2998">
        <f t="shared" si="14"/>
        <v>16</v>
      </c>
      <c r="X57" s="3006" t="s">
        <v>2243</v>
      </c>
      <c r="Y57" s="3007" t="s">
        <v>7931</v>
      </c>
      <c r="Z57" s="3011" t="s">
        <v>7932</v>
      </c>
      <c r="AA57" s="3007" t="s">
        <v>7933</v>
      </c>
      <c r="AB57" s="3007" t="s">
        <v>7934</v>
      </c>
      <c r="AC57" s="3007" t="s">
        <v>7935</v>
      </c>
      <c r="AD57" s="3006" t="s">
        <v>2243</v>
      </c>
      <c r="AF57" s="2730">
        <v>1</v>
      </c>
    </row>
    <row r="58" spans="2:32" ht="30" customHeight="1">
      <c r="B58" s="3008">
        <v>3</v>
      </c>
      <c r="C58" s="2991" t="s">
        <v>2893</v>
      </c>
      <c r="D58" s="2992" t="s">
        <v>7936</v>
      </c>
      <c r="E58" s="2993" t="s">
        <v>7909</v>
      </c>
      <c r="F58" s="1"/>
      <c r="G58" s="3008">
        <v>4</v>
      </c>
      <c r="H58" s="2991" t="s">
        <v>2921</v>
      </c>
      <c r="I58" s="3009" t="s">
        <v>7937</v>
      </c>
      <c r="J58" s="3010" t="s">
        <v>7938</v>
      </c>
      <c r="L58" s="2983">
        <f t="shared" si="13"/>
        <v>17</v>
      </c>
      <c r="M58" s="3039" t="s">
        <v>7939</v>
      </c>
      <c r="N58" s="3040" t="s">
        <v>7940</v>
      </c>
      <c r="O58" s="3040" t="s">
        <v>7941</v>
      </c>
      <c r="P58" s="2975"/>
      <c r="Q58" s="2840"/>
      <c r="R58" s="3002">
        <v>1</v>
      </c>
      <c r="S58" s="3003" t="s">
        <v>7942</v>
      </c>
      <c r="T58" s="3004" t="s">
        <v>7943</v>
      </c>
      <c r="U58" s="3005" t="s">
        <v>7944</v>
      </c>
      <c r="W58" s="2998">
        <f t="shared" si="14"/>
        <v>17</v>
      </c>
      <c r="X58" s="3006" t="s">
        <v>2248</v>
      </c>
      <c r="Y58" s="3007" t="s">
        <v>7945</v>
      </c>
      <c r="Z58" s="3011" t="s">
        <v>7946</v>
      </c>
      <c r="AA58" s="3007" t="s">
        <v>7947</v>
      </c>
      <c r="AB58" s="3007" t="s">
        <v>7948</v>
      </c>
      <c r="AC58" s="3007" t="s">
        <v>7949</v>
      </c>
      <c r="AD58" s="3006" t="s">
        <v>2248</v>
      </c>
      <c r="AF58" s="2730">
        <v>1</v>
      </c>
    </row>
    <row r="59" spans="2:32" ht="30" customHeight="1">
      <c r="B59" s="3008"/>
      <c r="D59" s="3041"/>
      <c r="E59" s="3042"/>
      <c r="F59" s="1"/>
      <c r="G59" s="3008">
        <v>5</v>
      </c>
      <c r="H59" s="2991" t="s">
        <v>7950</v>
      </c>
      <c r="I59" s="3009" t="s">
        <v>7951</v>
      </c>
      <c r="J59" s="3010" t="s">
        <v>7952</v>
      </c>
      <c r="L59" s="2983">
        <f t="shared" si="13"/>
        <v>18</v>
      </c>
      <c r="M59" s="3039" t="s">
        <v>7953</v>
      </c>
      <c r="N59" s="3040" t="s">
        <v>7954</v>
      </c>
      <c r="O59" s="3040" t="s">
        <v>7955</v>
      </c>
      <c r="P59" s="2975"/>
      <c r="Q59" s="2840"/>
      <c r="R59" s="3002">
        <f>R58+1</f>
        <v>2</v>
      </c>
      <c r="S59" s="3003" t="s">
        <v>7956</v>
      </c>
      <c r="T59" s="3004" t="s">
        <v>7957</v>
      </c>
      <c r="U59" s="3005" t="s">
        <v>7958</v>
      </c>
      <c r="W59" s="2977"/>
      <c r="X59" s="2999" t="s">
        <v>338</v>
      </c>
      <c r="Y59" s="3000"/>
      <c r="Z59" s="3000"/>
      <c r="AA59" s="3000"/>
      <c r="AB59" s="2988"/>
      <c r="AC59" s="2988"/>
      <c r="AD59" s="2999" t="s">
        <v>338</v>
      </c>
      <c r="AF59" s="2730">
        <v>1</v>
      </c>
    </row>
    <row r="60" spans="2:32" ht="30" customHeight="1">
      <c r="B60" s="3045"/>
      <c r="C60" s="3035" t="s">
        <v>7959</v>
      </c>
      <c r="D60" s="3036" t="s">
        <v>7960</v>
      </c>
      <c r="E60" s="3037" t="s">
        <v>7961</v>
      </c>
      <c r="F60" s="1"/>
      <c r="G60" s="2991"/>
      <c r="H60" s="2829"/>
      <c r="I60" s="3046"/>
      <c r="J60" s="3047"/>
      <c r="L60" s="2983">
        <f t="shared" si="13"/>
        <v>19</v>
      </c>
      <c r="M60" s="3039" t="s">
        <v>7962</v>
      </c>
      <c r="N60" s="3040" t="s">
        <v>7963</v>
      </c>
      <c r="O60" s="3040" t="s">
        <v>7964</v>
      </c>
      <c r="P60" s="2975"/>
      <c r="Q60" s="2840"/>
      <c r="R60" s="3002">
        <f t="shared" ref="R60:R64" si="17">R59+1</f>
        <v>3</v>
      </c>
      <c r="S60" s="3003" t="s">
        <v>7965</v>
      </c>
      <c r="T60" s="3004" t="s">
        <v>7966</v>
      </c>
      <c r="U60" s="3005" t="s">
        <v>7967</v>
      </c>
      <c r="W60" s="2998">
        <v>1</v>
      </c>
      <c r="X60" s="3006" t="s">
        <v>7968</v>
      </c>
      <c r="Y60" s="3007" t="s">
        <v>7969</v>
      </c>
      <c r="Z60" s="3007" t="s">
        <v>7970</v>
      </c>
      <c r="AA60" s="3007" t="s">
        <v>7971</v>
      </c>
      <c r="AB60" s="3007" t="s">
        <v>7972</v>
      </c>
      <c r="AC60" s="3007" t="s">
        <v>7973</v>
      </c>
      <c r="AD60" s="3006" t="s">
        <v>7968</v>
      </c>
      <c r="AF60" s="2730">
        <v>1</v>
      </c>
    </row>
    <row r="61" spans="2:32" ht="30" customHeight="1">
      <c r="B61" s="3008">
        <v>1</v>
      </c>
      <c r="C61" s="2991" t="s">
        <v>2944</v>
      </c>
      <c r="D61" s="2992" t="s">
        <v>7974</v>
      </c>
      <c r="E61" s="2993" t="s">
        <v>7975</v>
      </c>
      <c r="F61" s="1"/>
      <c r="G61" s="2980" t="s">
        <v>6</v>
      </c>
      <c r="H61" s="2979" t="s">
        <v>2275</v>
      </c>
      <c r="I61" s="3001" t="s">
        <v>7976</v>
      </c>
      <c r="J61" s="2979" t="s">
        <v>7977</v>
      </c>
      <c r="L61" s="2983">
        <f t="shared" si="13"/>
        <v>20</v>
      </c>
      <c r="M61" s="3039" t="s">
        <v>7978</v>
      </c>
      <c r="N61" s="3040" t="s">
        <v>7979</v>
      </c>
      <c r="O61" s="3040" t="s">
        <v>7980</v>
      </c>
      <c r="P61" s="2975"/>
      <c r="Q61" s="2840"/>
      <c r="R61" s="3002">
        <f t="shared" si="17"/>
        <v>4</v>
      </c>
      <c r="S61" s="3003" t="s">
        <v>7981</v>
      </c>
      <c r="T61" s="3004" t="s">
        <v>7982</v>
      </c>
      <c r="U61" s="3005" t="s">
        <v>7983</v>
      </c>
      <c r="W61" s="2998">
        <f>W60+1</f>
        <v>2</v>
      </c>
      <c r="X61" s="3006" t="s">
        <v>2183</v>
      </c>
      <c r="Y61" s="3007" t="s">
        <v>7984</v>
      </c>
      <c r="Z61" s="3007" t="s">
        <v>7985</v>
      </c>
      <c r="AA61" s="3007" t="s">
        <v>7986</v>
      </c>
      <c r="AB61" s="3007" t="s">
        <v>7987</v>
      </c>
      <c r="AC61" s="3007" t="s">
        <v>7988</v>
      </c>
      <c r="AD61" s="3006" t="s">
        <v>2183</v>
      </c>
      <c r="AF61" s="2730">
        <v>1</v>
      </c>
    </row>
    <row r="62" spans="2:32" ht="30" customHeight="1">
      <c r="B62" s="3008">
        <v>2</v>
      </c>
      <c r="C62" s="2991" t="s">
        <v>2945</v>
      </c>
      <c r="D62" s="2992" t="s">
        <v>7989</v>
      </c>
      <c r="E62" s="2993" t="s">
        <v>7990</v>
      </c>
      <c r="F62" s="1"/>
      <c r="G62" s="3008">
        <v>1</v>
      </c>
      <c r="H62" s="2991" t="s">
        <v>7991</v>
      </c>
      <c r="I62" s="3009" t="s">
        <v>7992</v>
      </c>
      <c r="J62" s="3010" t="s">
        <v>7993</v>
      </c>
      <c r="L62" s="2983">
        <f t="shared" si="13"/>
        <v>21</v>
      </c>
      <c r="M62" s="3039" t="s">
        <v>7994</v>
      </c>
      <c r="N62" s="3040" t="s">
        <v>7995</v>
      </c>
      <c r="O62" s="3040" t="s">
        <v>7996</v>
      </c>
      <c r="P62" s="2975"/>
      <c r="Q62" s="2840"/>
      <c r="R62" s="3002">
        <f t="shared" si="17"/>
        <v>5</v>
      </c>
      <c r="S62" s="3003" t="s">
        <v>7997</v>
      </c>
      <c r="T62" s="3004" t="s">
        <v>7998</v>
      </c>
      <c r="U62" s="3005" t="s">
        <v>7999</v>
      </c>
      <c r="W62" s="2998">
        <f t="shared" ref="W62:W103" si="18">W61+1</f>
        <v>3</v>
      </c>
      <c r="X62" s="3006" t="s">
        <v>2190</v>
      </c>
      <c r="Y62" s="3007" t="s">
        <v>8000</v>
      </c>
      <c r="Z62" s="3007" t="s">
        <v>8001</v>
      </c>
      <c r="AA62" s="3007" t="s">
        <v>8002</v>
      </c>
      <c r="AB62" s="3007" t="s">
        <v>8003</v>
      </c>
      <c r="AC62" s="3007" t="s">
        <v>8004</v>
      </c>
      <c r="AD62" s="3006" t="s">
        <v>2190</v>
      </c>
      <c r="AF62" s="2730">
        <v>1</v>
      </c>
    </row>
    <row r="63" spans="2:32" ht="30" customHeight="1">
      <c r="B63" s="3008">
        <v>3</v>
      </c>
      <c r="C63" s="2991" t="s">
        <v>8005</v>
      </c>
      <c r="D63" s="2992" t="s">
        <v>8006</v>
      </c>
      <c r="E63" s="2993" t="s">
        <v>8007</v>
      </c>
      <c r="F63" s="1"/>
      <c r="G63" s="3008">
        <v>2</v>
      </c>
      <c r="H63" s="2991" t="s">
        <v>8008</v>
      </c>
      <c r="I63" s="3009" t="s">
        <v>8009</v>
      </c>
      <c r="J63" s="3010" t="s">
        <v>8010</v>
      </c>
      <c r="L63" s="2983">
        <f t="shared" si="13"/>
        <v>22</v>
      </c>
      <c r="M63" s="3039" t="s">
        <v>8011</v>
      </c>
      <c r="N63" s="3040" t="s">
        <v>8012</v>
      </c>
      <c r="O63" s="3040" t="s">
        <v>8013</v>
      </c>
      <c r="P63" s="2975"/>
      <c r="Q63" s="2840"/>
      <c r="R63" s="3002">
        <f t="shared" si="17"/>
        <v>6</v>
      </c>
      <c r="S63" s="3003" t="s">
        <v>8014</v>
      </c>
      <c r="T63" s="3004" t="s">
        <v>8015</v>
      </c>
      <c r="U63" s="3005" t="s">
        <v>8016</v>
      </c>
      <c r="W63" s="2998">
        <f t="shared" si="18"/>
        <v>4</v>
      </c>
      <c r="X63" s="3006" t="s">
        <v>2268</v>
      </c>
      <c r="Y63" s="3007" t="s">
        <v>8017</v>
      </c>
      <c r="Z63" s="3007" t="s">
        <v>8018</v>
      </c>
      <c r="AA63" s="3007" t="s">
        <v>8019</v>
      </c>
      <c r="AB63" s="3007" t="s">
        <v>8020</v>
      </c>
      <c r="AC63" s="3007" t="s">
        <v>8021</v>
      </c>
      <c r="AD63" s="3006" t="s">
        <v>2268</v>
      </c>
      <c r="AF63" s="2730">
        <v>1</v>
      </c>
    </row>
    <row r="64" spans="2:32" ht="30" customHeight="1">
      <c r="B64" s="3008">
        <v>4</v>
      </c>
      <c r="C64" s="2991" t="s">
        <v>2946</v>
      </c>
      <c r="D64" s="2992" t="s">
        <v>8022</v>
      </c>
      <c r="E64" s="2993" t="s">
        <v>8023</v>
      </c>
      <c r="F64" s="1"/>
      <c r="G64" s="3008">
        <v>3</v>
      </c>
      <c r="H64" s="2991" t="s">
        <v>2925</v>
      </c>
      <c r="I64" s="3009" t="s">
        <v>8024</v>
      </c>
      <c r="J64" s="3010" t="s">
        <v>8025</v>
      </c>
      <c r="L64" s="2983">
        <f t="shared" si="13"/>
        <v>23</v>
      </c>
      <c r="M64" s="3039" t="s">
        <v>8026</v>
      </c>
      <c r="N64" s="3040" t="s">
        <v>8027</v>
      </c>
      <c r="O64" s="3040" t="s">
        <v>8028</v>
      </c>
      <c r="P64" s="2975"/>
      <c r="Q64" s="2840"/>
      <c r="R64" s="3002">
        <f t="shared" si="17"/>
        <v>7</v>
      </c>
      <c r="S64" s="3003" t="s">
        <v>8029</v>
      </c>
      <c r="T64" s="3004" t="s">
        <v>8030</v>
      </c>
      <c r="U64" s="3005" t="s">
        <v>8031</v>
      </c>
      <c r="W64" s="2998">
        <f t="shared" si="18"/>
        <v>5</v>
      </c>
      <c r="X64" s="3006" t="s">
        <v>2856</v>
      </c>
      <c r="Y64" s="3007" t="s">
        <v>8032</v>
      </c>
      <c r="Z64" s="3007" t="s">
        <v>8033</v>
      </c>
      <c r="AA64" s="3007" t="s">
        <v>8034</v>
      </c>
      <c r="AB64" s="3007" t="s">
        <v>8035</v>
      </c>
      <c r="AC64" s="3007" t="s">
        <v>8036</v>
      </c>
      <c r="AD64" s="3006" t="s">
        <v>2856</v>
      </c>
      <c r="AF64" s="2730">
        <v>1</v>
      </c>
    </row>
    <row r="65" spans="2:32" ht="30" customHeight="1">
      <c r="B65" s="3008">
        <v>5</v>
      </c>
      <c r="C65" s="2991" t="s">
        <v>8037</v>
      </c>
      <c r="D65" s="2992" t="s">
        <v>8038</v>
      </c>
      <c r="E65" s="2993" t="s">
        <v>8039</v>
      </c>
      <c r="F65" s="1"/>
      <c r="G65" s="9122">
        <v>4</v>
      </c>
      <c r="H65" s="9123" t="s">
        <v>8040</v>
      </c>
      <c r="I65" s="9124" t="s">
        <v>8041</v>
      </c>
      <c r="J65" s="9125" t="s">
        <v>8042</v>
      </c>
      <c r="L65" s="2983">
        <f t="shared" si="13"/>
        <v>24</v>
      </c>
      <c r="M65" s="3039" t="s">
        <v>8043</v>
      </c>
      <c r="N65" s="3040" t="s">
        <v>8044</v>
      </c>
      <c r="O65" s="3040" t="s">
        <v>8045</v>
      </c>
      <c r="P65" s="2975"/>
      <c r="Q65" s="2840"/>
      <c r="R65" s="3002"/>
      <c r="S65" s="2995" t="s">
        <v>515</v>
      </c>
      <c r="T65" s="2996"/>
      <c r="U65" s="2997"/>
      <c r="W65" s="2998">
        <f t="shared" si="18"/>
        <v>6</v>
      </c>
      <c r="X65" s="3006" t="s">
        <v>8046</v>
      </c>
      <c r="Y65" s="3007" t="s">
        <v>8047</v>
      </c>
      <c r="Z65" s="3007" t="s">
        <v>8048</v>
      </c>
      <c r="AA65" s="3007" t="s">
        <v>8049</v>
      </c>
      <c r="AB65" s="3007" t="s">
        <v>8050</v>
      </c>
      <c r="AC65" s="3007" t="s">
        <v>8051</v>
      </c>
      <c r="AD65" s="3006" t="s">
        <v>8046</v>
      </c>
      <c r="AF65" s="2730">
        <v>1</v>
      </c>
    </row>
    <row r="66" spans="2:32" ht="30" customHeight="1">
      <c r="B66" s="3008">
        <v>6</v>
      </c>
      <c r="C66" s="2991" t="s">
        <v>2947</v>
      </c>
      <c r="D66" s="2992" t="s">
        <v>8052</v>
      </c>
      <c r="E66" s="2993" t="s">
        <v>8053</v>
      </c>
      <c r="F66" s="1"/>
      <c r="G66" s="9122"/>
      <c r="H66" s="9123"/>
      <c r="I66" s="9124"/>
      <c r="J66" s="9125"/>
      <c r="L66" s="2983">
        <f t="shared" si="13"/>
        <v>25</v>
      </c>
      <c r="M66" s="3039" t="s">
        <v>8054</v>
      </c>
      <c r="N66" s="3040" t="s">
        <v>8055</v>
      </c>
      <c r="O66" s="3040" t="s">
        <v>8056</v>
      </c>
      <c r="P66" s="2975"/>
      <c r="Q66" s="2840"/>
      <c r="R66" s="3002">
        <v>1</v>
      </c>
      <c r="S66" s="3003" t="s">
        <v>8057</v>
      </c>
      <c r="T66" s="3004" t="s">
        <v>8058</v>
      </c>
      <c r="U66" s="3005" t="s">
        <v>8059</v>
      </c>
      <c r="W66" s="2998">
        <f t="shared" si="18"/>
        <v>7</v>
      </c>
      <c r="X66" s="3006" t="s">
        <v>8060</v>
      </c>
      <c r="Y66" s="3007" t="s">
        <v>8061</v>
      </c>
      <c r="Z66" s="3007" t="s">
        <v>8062</v>
      </c>
      <c r="AA66" s="3007" t="s">
        <v>8063</v>
      </c>
      <c r="AB66" s="3007" t="s">
        <v>8064</v>
      </c>
      <c r="AC66" s="3007" t="s">
        <v>8065</v>
      </c>
      <c r="AD66" s="3006" t="s">
        <v>8060</v>
      </c>
      <c r="AF66" s="2730">
        <v>1</v>
      </c>
    </row>
    <row r="67" spans="2:32" ht="30" customHeight="1">
      <c r="B67" s="3008">
        <v>7</v>
      </c>
      <c r="C67" s="2991" t="s">
        <v>8066</v>
      </c>
      <c r="D67" s="2992" t="s">
        <v>8022</v>
      </c>
      <c r="E67" s="2993" t="s">
        <v>8023</v>
      </c>
      <c r="F67" s="1"/>
      <c r="G67" s="2980" t="s">
        <v>89</v>
      </c>
      <c r="H67" s="2979" t="s">
        <v>2930</v>
      </c>
      <c r="I67" s="3001" t="s">
        <v>8067</v>
      </c>
      <c r="J67" s="2979" t="s">
        <v>8068</v>
      </c>
      <c r="L67" s="2983">
        <f t="shared" si="13"/>
        <v>26</v>
      </c>
      <c r="M67" s="3039" t="s">
        <v>8069</v>
      </c>
      <c r="N67" s="3040" t="s">
        <v>8070</v>
      </c>
      <c r="O67" s="3040" t="s">
        <v>8071</v>
      </c>
      <c r="P67" s="2975"/>
      <c r="Q67" s="2840"/>
      <c r="R67" s="3002">
        <f>R66+1</f>
        <v>2</v>
      </c>
      <c r="S67" s="3003" t="s">
        <v>8072</v>
      </c>
      <c r="T67" s="3004" t="s">
        <v>8073</v>
      </c>
      <c r="U67" s="3005" t="s">
        <v>8074</v>
      </c>
      <c r="W67" s="2998">
        <f t="shared" si="18"/>
        <v>8</v>
      </c>
      <c r="X67" s="3006" t="s">
        <v>8075</v>
      </c>
      <c r="Y67" s="3007" t="s">
        <v>8076</v>
      </c>
      <c r="Z67" s="3007" t="s">
        <v>8077</v>
      </c>
      <c r="AA67" s="3007" t="s">
        <v>8078</v>
      </c>
      <c r="AB67" s="3007" t="s">
        <v>8079</v>
      </c>
      <c r="AC67" s="3007" t="s">
        <v>8080</v>
      </c>
      <c r="AD67" s="3006" t="s">
        <v>8075</v>
      </c>
      <c r="AF67" s="2730">
        <v>1</v>
      </c>
    </row>
    <row r="68" spans="2:32" ht="30" customHeight="1">
      <c r="B68" s="3008">
        <v>8</v>
      </c>
      <c r="C68" s="2991" t="s">
        <v>8081</v>
      </c>
      <c r="D68" s="2992" t="s">
        <v>8082</v>
      </c>
      <c r="E68" s="2993" t="s">
        <v>8083</v>
      </c>
      <c r="F68" s="1"/>
      <c r="G68" s="3008">
        <v>1</v>
      </c>
      <c r="H68" s="2991" t="s">
        <v>2932</v>
      </c>
      <c r="I68" s="3009" t="s">
        <v>8084</v>
      </c>
      <c r="J68" s="3010" t="s">
        <v>8085</v>
      </c>
      <c r="L68" s="2983">
        <f t="shared" si="13"/>
        <v>27</v>
      </c>
      <c r="M68" s="3039" t="s">
        <v>8086</v>
      </c>
      <c r="N68" s="3040" t="s">
        <v>8087</v>
      </c>
      <c r="O68" s="3040" t="s">
        <v>8088</v>
      </c>
      <c r="P68" s="2975"/>
      <c r="Q68" s="2840"/>
      <c r="R68" s="3002">
        <f t="shared" ref="R68:R71" si="19">R67+1</f>
        <v>3</v>
      </c>
      <c r="S68" s="3003" t="s">
        <v>8089</v>
      </c>
      <c r="T68" s="3004" t="s">
        <v>8090</v>
      </c>
      <c r="U68" s="3005" t="s">
        <v>8091</v>
      </c>
      <c r="W68" s="2998">
        <f t="shared" si="18"/>
        <v>9</v>
      </c>
      <c r="X68" s="3006" t="s">
        <v>8092</v>
      </c>
      <c r="Y68" s="3007" t="s">
        <v>8093</v>
      </c>
      <c r="Z68" s="3007" t="s">
        <v>8094</v>
      </c>
      <c r="AA68" s="3007" t="s">
        <v>8095</v>
      </c>
      <c r="AB68" s="3007" t="s">
        <v>8096</v>
      </c>
      <c r="AC68" s="3007" t="s">
        <v>8097</v>
      </c>
      <c r="AD68" s="3006" t="s">
        <v>8092</v>
      </c>
      <c r="AF68" s="2730">
        <v>1</v>
      </c>
    </row>
    <row r="69" spans="2:32" ht="30" customHeight="1">
      <c r="B69" s="3008">
        <v>9</v>
      </c>
      <c r="C69" s="2991" t="s">
        <v>2948</v>
      </c>
      <c r="D69" s="2992" t="s">
        <v>8098</v>
      </c>
      <c r="E69" s="2993" t="s">
        <v>8099</v>
      </c>
      <c r="F69" s="1"/>
      <c r="G69" s="3012"/>
      <c r="H69" s="2829"/>
      <c r="I69" s="3046"/>
      <c r="J69" s="3047"/>
      <c r="L69" s="2983">
        <f t="shared" si="13"/>
        <v>28</v>
      </c>
      <c r="M69" s="3039" t="s">
        <v>8100</v>
      </c>
      <c r="N69" s="3040" t="s">
        <v>8101</v>
      </c>
      <c r="O69" s="3040" t="s">
        <v>8102</v>
      </c>
      <c r="P69" s="2975"/>
      <c r="Q69" s="2840"/>
      <c r="R69" s="3002">
        <f t="shared" si="19"/>
        <v>4</v>
      </c>
      <c r="S69" s="3003" t="s">
        <v>8103</v>
      </c>
      <c r="T69" s="3004" t="s">
        <v>8104</v>
      </c>
      <c r="U69" s="3005" t="s">
        <v>8105</v>
      </c>
      <c r="W69" s="2998">
        <f t="shared" si="18"/>
        <v>10</v>
      </c>
      <c r="X69" s="3006" t="s">
        <v>8106</v>
      </c>
      <c r="Y69" s="3007" t="s">
        <v>8107</v>
      </c>
      <c r="Z69" s="3007" t="s">
        <v>8108</v>
      </c>
      <c r="AA69" s="3007" t="s">
        <v>8109</v>
      </c>
      <c r="AB69" s="3007" t="s">
        <v>8110</v>
      </c>
      <c r="AC69" s="3007" t="s">
        <v>8111</v>
      </c>
      <c r="AD69" s="3006" t="s">
        <v>8106</v>
      </c>
      <c r="AF69" s="2730">
        <v>1</v>
      </c>
    </row>
    <row r="70" spans="2:32" ht="30" customHeight="1">
      <c r="B70" s="3008">
        <v>10</v>
      </c>
      <c r="C70" s="2991" t="s">
        <v>8112</v>
      </c>
      <c r="D70" s="2992" t="s">
        <v>8113</v>
      </c>
      <c r="E70" s="2993" t="s">
        <v>8114</v>
      </c>
      <c r="F70" s="1"/>
      <c r="G70" s="3048" t="s">
        <v>2935</v>
      </c>
      <c r="H70" s="3049" t="s">
        <v>2936</v>
      </c>
      <c r="I70" s="3050" t="s">
        <v>8115</v>
      </c>
      <c r="J70" s="3049" t="s">
        <v>8116</v>
      </c>
      <c r="L70" s="2983">
        <f t="shared" si="13"/>
        <v>29</v>
      </c>
      <c r="M70" s="3039" t="s">
        <v>8117</v>
      </c>
      <c r="N70" s="3040" t="s">
        <v>8118</v>
      </c>
      <c r="O70" s="3040" t="s">
        <v>8119</v>
      </c>
      <c r="P70" s="2975"/>
      <c r="Q70" s="2840"/>
      <c r="R70" s="3002">
        <f t="shared" si="19"/>
        <v>5</v>
      </c>
      <c r="S70" s="3003" t="s">
        <v>8120</v>
      </c>
      <c r="T70" s="3004" t="s">
        <v>8121</v>
      </c>
      <c r="U70" s="3005" t="s">
        <v>8122</v>
      </c>
      <c r="W70" s="2998">
        <f t="shared" si="18"/>
        <v>11</v>
      </c>
      <c r="X70" s="3006" t="s">
        <v>8123</v>
      </c>
      <c r="Y70" s="3007" t="s">
        <v>8124</v>
      </c>
      <c r="Z70" s="3007" t="s">
        <v>8125</v>
      </c>
      <c r="AA70" s="3007" t="s">
        <v>8126</v>
      </c>
      <c r="AB70" s="3007" t="s">
        <v>8127</v>
      </c>
      <c r="AC70" s="3007" t="s">
        <v>8128</v>
      </c>
      <c r="AD70" s="3006" t="s">
        <v>8123</v>
      </c>
      <c r="AF70" s="2730">
        <v>1</v>
      </c>
    </row>
    <row r="71" spans="2:32" ht="30" customHeight="1">
      <c r="B71" s="3008">
        <v>11</v>
      </c>
      <c r="C71" s="2991" t="s">
        <v>8129</v>
      </c>
      <c r="D71" s="2992" t="s">
        <v>8130</v>
      </c>
      <c r="E71" s="2993" t="s">
        <v>8131</v>
      </c>
      <c r="F71" s="1"/>
      <c r="G71" s="3051" t="s">
        <v>2937</v>
      </c>
      <c r="H71" s="3052" t="s">
        <v>8132</v>
      </c>
      <c r="I71" s="3053" t="s">
        <v>8133</v>
      </c>
      <c r="J71" s="3054" t="s">
        <v>8134</v>
      </c>
      <c r="L71" s="2983">
        <f t="shared" si="13"/>
        <v>30</v>
      </c>
      <c r="M71" s="3039" t="s">
        <v>8135</v>
      </c>
      <c r="N71" s="3040" t="s">
        <v>8136</v>
      </c>
      <c r="O71" s="3040" t="s">
        <v>8137</v>
      </c>
      <c r="P71" s="2975"/>
      <c r="Q71" s="2840"/>
      <c r="R71" s="3002">
        <f t="shared" si="19"/>
        <v>6</v>
      </c>
      <c r="S71" s="3003" t="s">
        <v>8138</v>
      </c>
      <c r="T71" s="3004" t="s">
        <v>8139</v>
      </c>
      <c r="U71" s="3005" t="s">
        <v>8140</v>
      </c>
      <c r="W71" s="2998">
        <f t="shared" si="18"/>
        <v>12</v>
      </c>
      <c r="X71" s="3006" t="s">
        <v>8141</v>
      </c>
      <c r="Y71" s="3007" t="s">
        <v>8142</v>
      </c>
      <c r="Z71" s="3007" t="s">
        <v>8143</v>
      </c>
      <c r="AA71" s="3007" t="s">
        <v>8144</v>
      </c>
      <c r="AB71" s="3007" t="s">
        <v>8145</v>
      </c>
      <c r="AC71" s="3007" t="s">
        <v>8146</v>
      </c>
      <c r="AD71" s="3006" t="s">
        <v>8141</v>
      </c>
      <c r="AF71" s="2730">
        <v>1</v>
      </c>
    </row>
    <row r="72" spans="2:32" ht="30" customHeight="1">
      <c r="B72" s="3008">
        <v>12</v>
      </c>
      <c r="C72" s="2991" t="s">
        <v>8147</v>
      </c>
      <c r="D72" s="2992" t="s">
        <v>8148</v>
      </c>
      <c r="E72" s="2993" t="s">
        <v>8149</v>
      </c>
      <c r="F72" s="1"/>
      <c r="G72" s="3051" t="s">
        <v>2940</v>
      </c>
      <c r="H72" s="3052" t="s">
        <v>8150</v>
      </c>
      <c r="I72" s="3053" t="s">
        <v>8151</v>
      </c>
      <c r="J72" s="3054" t="s">
        <v>8152</v>
      </c>
      <c r="L72" s="2983">
        <f t="shared" si="13"/>
        <v>31</v>
      </c>
      <c r="M72" s="3039" t="s">
        <v>8153</v>
      </c>
      <c r="N72" s="3040" t="s">
        <v>8154</v>
      </c>
      <c r="O72" s="3040" t="s">
        <v>8155</v>
      </c>
      <c r="P72" s="2975"/>
      <c r="Q72" s="2840"/>
      <c r="R72" s="3002"/>
      <c r="S72" s="2995" t="s">
        <v>34</v>
      </c>
      <c r="T72" s="2996"/>
      <c r="U72" s="2997"/>
      <c r="W72" s="2998">
        <f t="shared" si="18"/>
        <v>13</v>
      </c>
      <c r="X72" s="3006" t="s">
        <v>8156</v>
      </c>
      <c r="Y72" s="3007" t="s">
        <v>8157</v>
      </c>
      <c r="Z72" s="3007" t="s">
        <v>8158</v>
      </c>
      <c r="AA72" s="3007" t="s">
        <v>8159</v>
      </c>
      <c r="AB72" s="3007" t="s">
        <v>8160</v>
      </c>
      <c r="AC72" s="3007" t="s">
        <v>8161</v>
      </c>
      <c r="AD72" s="3006" t="s">
        <v>8156</v>
      </c>
      <c r="AF72" s="2730">
        <v>1</v>
      </c>
    </row>
    <row r="73" spans="2:32" ht="30" customHeight="1">
      <c r="B73" s="3008">
        <v>13</v>
      </c>
      <c r="C73" s="2991" t="s">
        <v>8162</v>
      </c>
      <c r="D73" s="2992" t="s">
        <v>8163</v>
      </c>
      <c r="E73" s="2993" t="s">
        <v>8164</v>
      </c>
      <c r="F73" s="1"/>
      <c r="G73" s="9126" t="s">
        <v>2942</v>
      </c>
      <c r="H73" s="9121" t="s">
        <v>8165</v>
      </c>
      <c r="I73" s="9127" t="s">
        <v>8166</v>
      </c>
      <c r="J73" s="9128" t="s">
        <v>8167</v>
      </c>
      <c r="L73" s="2983"/>
      <c r="M73" s="2984"/>
      <c r="N73" s="716"/>
      <c r="O73" s="2975"/>
      <c r="P73" s="2975"/>
      <c r="Q73" s="2840"/>
      <c r="R73" s="3002">
        <v>1</v>
      </c>
      <c r="S73" s="3003" t="s">
        <v>8168</v>
      </c>
      <c r="T73" s="3004" t="s">
        <v>8169</v>
      </c>
      <c r="U73" s="3005" t="s">
        <v>8170</v>
      </c>
      <c r="W73" s="2998">
        <f t="shared" si="18"/>
        <v>14</v>
      </c>
      <c r="X73" s="3006" t="s">
        <v>8171</v>
      </c>
      <c r="Y73" s="3007" t="s">
        <v>8172</v>
      </c>
      <c r="Z73" s="3007" t="s">
        <v>8173</v>
      </c>
      <c r="AA73" s="3007" t="s">
        <v>8174</v>
      </c>
      <c r="AB73" s="3007" t="s">
        <v>8175</v>
      </c>
      <c r="AC73" s="3007" t="s">
        <v>8176</v>
      </c>
      <c r="AD73" s="3006" t="s">
        <v>8171</v>
      </c>
      <c r="AF73" s="2730">
        <v>1</v>
      </c>
    </row>
    <row r="74" spans="2:32" ht="30" customHeight="1">
      <c r="B74" s="3008">
        <v>14</v>
      </c>
      <c r="C74" s="2991" t="s">
        <v>8177</v>
      </c>
      <c r="D74" s="2992" t="s">
        <v>8178</v>
      </c>
      <c r="E74" s="2993" t="s">
        <v>8179</v>
      </c>
      <c r="F74" s="1"/>
      <c r="G74" s="9126"/>
      <c r="H74" s="9121"/>
      <c r="I74" s="9127"/>
      <c r="J74" s="9128"/>
      <c r="L74" s="2983"/>
      <c r="M74" s="2984"/>
      <c r="N74" s="716"/>
      <c r="O74" s="2975"/>
      <c r="P74" s="2975"/>
      <c r="Q74" s="2840"/>
      <c r="R74" s="3002">
        <f>R73+1</f>
        <v>2</v>
      </c>
      <c r="S74" s="3003" t="s">
        <v>8180</v>
      </c>
      <c r="T74" s="3004" t="s">
        <v>8181</v>
      </c>
      <c r="U74" s="3005" t="s">
        <v>8182</v>
      </c>
      <c r="W74" s="2998">
        <f t="shared" si="18"/>
        <v>15</v>
      </c>
      <c r="X74" s="3006" t="s">
        <v>2200</v>
      </c>
      <c r="Y74" s="3007" t="s">
        <v>8183</v>
      </c>
      <c r="Z74" s="3007" t="s">
        <v>8184</v>
      </c>
      <c r="AA74" s="3007" t="s">
        <v>8185</v>
      </c>
      <c r="AB74" s="3007" t="s">
        <v>8186</v>
      </c>
      <c r="AC74" s="3007" t="s">
        <v>8187</v>
      </c>
      <c r="AD74" s="3006" t="s">
        <v>2200</v>
      </c>
      <c r="AF74" s="2730">
        <v>1</v>
      </c>
    </row>
    <row r="75" spans="2:32" ht="30" customHeight="1">
      <c r="B75" s="3008">
        <v>15</v>
      </c>
      <c r="C75" s="2991" t="s">
        <v>2953</v>
      </c>
      <c r="D75" s="2992" t="s">
        <v>8188</v>
      </c>
      <c r="E75" s="2993" t="s">
        <v>8189</v>
      </c>
      <c r="F75" s="1"/>
      <c r="G75" s="3052"/>
      <c r="H75" s="3052" t="s">
        <v>8190</v>
      </c>
      <c r="I75" s="3053" t="s">
        <v>8191</v>
      </c>
      <c r="J75" s="3054" t="s">
        <v>8192</v>
      </c>
      <c r="L75" s="2983"/>
      <c r="M75" s="2984"/>
      <c r="N75" s="716"/>
      <c r="O75" s="2975"/>
      <c r="P75" s="2975"/>
      <c r="Q75" s="2840"/>
      <c r="R75" s="3002"/>
      <c r="S75" s="2995" t="s">
        <v>537</v>
      </c>
      <c r="T75" s="2996"/>
      <c r="U75" s="2997"/>
      <c r="W75" s="2998">
        <f t="shared" si="18"/>
        <v>16</v>
      </c>
      <c r="X75" s="3006" t="s">
        <v>2158</v>
      </c>
      <c r="Y75" s="3007" t="s">
        <v>8193</v>
      </c>
      <c r="Z75" s="3007" t="s">
        <v>8194</v>
      </c>
      <c r="AA75" s="3007" t="s">
        <v>8195</v>
      </c>
      <c r="AB75" s="3007" t="s">
        <v>8196</v>
      </c>
      <c r="AC75" s="3007" t="s">
        <v>8197</v>
      </c>
      <c r="AD75" s="3006" t="s">
        <v>2158</v>
      </c>
      <c r="AF75" s="2730">
        <v>1</v>
      </c>
    </row>
    <row r="76" spans="2:32" ht="30" customHeight="1">
      <c r="B76" s="3008">
        <v>16</v>
      </c>
      <c r="C76" s="2991" t="s">
        <v>2954</v>
      </c>
      <c r="D76" s="2992" t="s">
        <v>8198</v>
      </c>
      <c r="E76" s="2993" t="s">
        <v>8199</v>
      </c>
      <c r="F76" s="1"/>
      <c r="G76" s="3052"/>
      <c r="H76" s="9121" t="s">
        <v>8200</v>
      </c>
      <c r="I76" s="3053" t="s">
        <v>8201</v>
      </c>
      <c r="J76" s="3054" t="s">
        <v>8202</v>
      </c>
      <c r="L76" s="2983"/>
      <c r="M76" s="2984"/>
      <c r="N76" s="716"/>
      <c r="O76" s="2975"/>
      <c r="P76" s="2975"/>
      <c r="Q76" s="2840"/>
      <c r="R76" s="3002">
        <v>1</v>
      </c>
      <c r="S76" s="3003" t="s">
        <v>8203</v>
      </c>
      <c r="T76" s="3004" t="s">
        <v>8204</v>
      </c>
      <c r="U76" s="3005" t="s">
        <v>8205</v>
      </c>
      <c r="W76" s="2998">
        <f t="shared" si="18"/>
        <v>17</v>
      </c>
      <c r="X76" s="3006" t="s">
        <v>2208</v>
      </c>
      <c r="Y76" s="3007" t="s">
        <v>8206</v>
      </c>
      <c r="Z76" s="3007" t="s">
        <v>8207</v>
      </c>
      <c r="AA76" s="3007" t="s">
        <v>8208</v>
      </c>
      <c r="AB76" s="3007" t="s">
        <v>8209</v>
      </c>
      <c r="AC76" s="3007" t="s">
        <v>8210</v>
      </c>
      <c r="AD76" s="3006" t="s">
        <v>2208</v>
      </c>
      <c r="AF76" s="2730">
        <v>1</v>
      </c>
    </row>
    <row r="77" spans="2:32" ht="30" customHeight="1">
      <c r="B77" s="3008">
        <v>17</v>
      </c>
      <c r="C77" s="2991" t="s">
        <v>2955</v>
      </c>
      <c r="D77" s="2992" t="s">
        <v>8211</v>
      </c>
      <c r="E77" s="2993" t="s">
        <v>8212</v>
      </c>
      <c r="F77" s="1"/>
      <c r="G77" s="3052"/>
      <c r="H77" s="9121"/>
      <c r="I77" s="3055"/>
      <c r="J77" s="3055"/>
      <c r="L77" s="2983"/>
      <c r="M77" s="2984"/>
      <c r="N77" s="716"/>
      <c r="O77" s="2975"/>
      <c r="P77" s="2975"/>
      <c r="Q77" s="2840"/>
      <c r="R77" s="3002">
        <f>R76+1</f>
        <v>2</v>
      </c>
      <c r="S77" s="3003" t="s">
        <v>8213</v>
      </c>
      <c r="T77" s="3004" t="s">
        <v>8214</v>
      </c>
      <c r="U77" s="3005" t="s">
        <v>8215</v>
      </c>
      <c r="W77" s="2998">
        <f t="shared" si="18"/>
        <v>18</v>
      </c>
      <c r="X77" s="3006" t="s">
        <v>2215</v>
      </c>
      <c r="Y77" s="3007" t="s">
        <v>8216</v>
      </c>
      <c r="Z77" s="3007" t="s">
        <v>8217</v>
      </c>
      <c r="AA77" s="3007" t="s">
        <v>8218</v>
      </c>
      <c r="AB77" s="3007" t="s">
        <v>8219</v>
      </c>
      <c r="AC77" s="3007" t="s">
        <v>8220</v>
      </c>
      <c r="AD77" s="3006" t="s">
        <v>2215</v>
      </c>
      <c r="AF77" s="2730">
        <v>1</v>
      </c>
    </row>
    <row r="78" spans="2:32" ht="30" customHeight="1">
      <c r="B78" s="3008">
        <v>18</v>
      </c>
      <c r="C78" s="2991" t="s">
        <v>8221</v>
      </c>
      <c r="D78" s="2992" t="s">
        <v>8222</v>
      </c>
      <c r="E78" s="2993" t="s">
        <v>8223</v>
      </c>
      <c r="F78" s="3056"/>
      <c r="G78" s="3057" t="s">
        <v>7100</v>
      </c>
      <c r="H78" s="2725" t="s">
        <v>8224</v>
      </c>
      <c r="I78" s="3010"/>
      <c r="J78" s="3010"/>
      <c r="L78" s="2983"/>
      <c r="M78" s="2984"/>
      <c r="N78" s="716"/>
      <c r="O78" s="2975"/>
      <c r="P78" s="2975"/>
      <c r="Q78" s="2840"/>
      <c r="R78" s="3002">
        <f t="shared" ref="R78:R80" si="20">R77+1</f>
        <v>3</v>
      </c>
      <c r="S78" s="3003" t="s">
        <v>8225</v>
      </c>
      <c r="T78" s="3004" t="s">
        <v>8226</v>
      </c>
      <c r="U78" s="3005" t="s">
        <v>8227</v>
      </c>
      <c r="W78" s="2998">
        <f t="shared" si="18"/>
        <v>19</v>
      </c>
      <c r="X78" s="3006" t="s">
        <v>2286</v>
      </c>
      <c r="Y78" s="3007" t="s">
        <v>8228</v>
      </c>
      <c r="Z78" s="3007" t="s">
        <v>8229</v>
      </c>
      <c r="AA78" s="3007" t="s">
        <v>8230</v>
      </c>
      <c r="AB78" s="3007" t="s">
        <v>8231</v>
      </c>
      <c r="AC78" s="3007" t="s">
        <v>8232</v>
      </c>
      <c r="AD78" s="3006" t="s">
        <v>2286</v>
      </c>
      <c r="AF78" s="2730">
        <v>1</v>
      </c>
    </row>
    <row r="79" spans="2:32" ht="30" customHeight="1">
      <c r="B79" s="3008"/>
      <c r="D79" s="3041"/>
      <c r="E79" s="3042"/>
      <c r="F79" s="1"/>
      <c r="G79" s="3008"/>
      <c r="H79" s="2991"/>
      <c r="I79" s="3010"/>
      <c r="J79" s="3010"/>
      <c r="L79" s="2983"/>
      <c r="M79" s="2984"/>
      <c r="N79" s="716"/>
      <c r="O79" s="2975"/>
      <c r="P79" s="2975"/>
      <c r="Q79" s="2840"/>
      <c r="R79" s="3002">
        <f t="shared" si="20"/>
        <v>4</v>
      </c>
      <c r="S79" s="3003" t="s">
        <v>8233</v>
      </c>
      <c r="T79" s="3004" t="s">
        <v>8234</v>
      </c>
      <c r="U79" s="3005" t="s">
        <v>8235</v>
      </c>
      <c r="W79" s="2998">
        <f t="shared" si="18"/>
        <v>20</v>
      </c>
      <c r="X79" s="3006" t="s">
        <v>2221</v>
      </c>
      <c r="Y79" s="3007" t="s">
        <v>8236</v>
      </c>
      <c r="Z79" s="3007" t="s">
        <v>8237</v>
      </c>
      <c r="AA79" s="3007" t="s">
        <v>8238</v>
      </c>
      <c r="AB79" s="3007" t="s">
        <v>8239</v>
      </c>
      <c r="AC79" s="3007" t="s">
        <v>8240</v>
      </c>
      <c r="AD79" s="3006" t="s">
        <v>2221</v>
      </c>
      <c r="AF79" s="2730">
        <v>1</v>
      </c>
    </row>
    <row r="80" spans="2:32" ht="30" customHeight="1">
      <c r="B80" s="3045"/>
      <c r="C80" s="3035" t="s">
        <v>8241</v>
      </c>
      <c r="D80" s="3036"/>
      <c r="E80" s="3037"/>
      <c r="F80" s="1"/>
      <c r="G80" s="3008"/>
      <c r="H80" s="2991"/>
      <c r="I80" s="3010"/>
      <c r="J80" s="3010"/>
      <c r="L80" s="2983"/>
      <c r="M80" s="2984"/>
      <c r="N80" s="716"/>
      <c r="O80" s="2975"/>
      <c r="P80" s="2975"/>
      <c r="Q80" s="2840"/>
      <c r="R80" s="3002">
        <f t="shared" si="20"/>
        <v>5</v>
      </c>
      <c r="S80" s="3003" t="s">
        <v>8242</v>
      </c>
      <c r="T80" s="3004" t="s">
        <v>8243</v>
      </c>
      <c r="U80" s="3005" t="s">
        <v>8244</v>
      </c>
      <c r="W80" s="2998">
        <f t="shared" si="18"/>
        <v>21</v>
      </c>
      <c r="X80" s="3006" t="s">
        <v>2226</v>
      </c>
      <c r="Y80" s="3007" t="s">
        <v>8245</v>
      </c>
      <c r="Z80" s="3007" t="s">
        <v>8246</v>
      </c>
      <c r="AA80" s="3007" t="s">
        <v>8247</v>
      </c>
      <c r="AB80" s="3007" t="s">
        <v>8248</v>
      </c>
      <c r="AC80" s="3007" t="s">
        <v>8249</v>
      </c>
      <c r="AD80" s="3006" t="s">
        <v>2226</v>
      </c>
      <c r="AF80" s="2730">
        <v>1</v>
      </c>
    </row>
    <row r="81" spans="2:32" ht="30" customHeight="1">
      <c r="B81" s="3008">
        <v>1</v>
      </c>
      <c r="C81" s="2991" t="s">
        <v>8250</v>
      </c>
      <c r="D81" s="2992" t="s">
        <v>8251</v>
      </c>
      <c r="E81" s="2993" t="s">
        <v>8252</v>
      </c>
      <c r="F81" s="1"/>
      <c r="G81" s="3008"/>
      <c r="H81" s="2991"/>
      <c r="I81" s="3010"/>
      <c r="J81" s="3010"/>
      <c r="L81" s="2983"/>
      <c r="M81" s="2984"/>
      <c r="N81" s="716"/>
      <c r="O81" s="2975"/>
      <c r="P81" s="2975"/>
      <c r="Q81" s="2840"/>
      <c r="R81" s="3002"/>
      <c r="S81" s="2995" t="s">
        <v>575</v>
      </c>
      <c r="T81" s="2996"/>
      <c r="U81" s="2997"/>
      <c r="W81" s="2998">
        <f t="shared" si="18"/>
        <v>22</v>
      </c>
      <c r="X81" s="3006" t="s">
        <v>2229</v>
      </c>
      <c r="Y81" s="3007" t="s">
        <v>8253</v>
      </c>
      <c r="Z81" s="3007" t="s">
        <v>8254</v>
      </c>
      <c r="AA81" s="3007" t="s">
        <v>8255</v>
      </c>
      <c r="AB81" s="3007" t="s">
        <v>8256</v>
      </c>
      <c r="AC81" s="3007" t="s">
        <v>8257</v>
      </c>
      <c r="AD81" s="3006" t="s">
        <v>2229</v>
      </c>
      <c r="AF81" s="2730">
        <v>1</v>
      </c>
    </row>
    <row r="82" spans="2:32" ht="30" customHeight="1">
      <c r="B82" s="3008">
        <v>2</v>
      </c>
      <c r="C82" s="2991" t="s">
        <v>8258</v>
      </c>
      <c r="D82" s="2992" t="s">
        <v>8259</v>
      </c>
      <c r="E82" s="2993" t="s">
        <v>8260</v>
      </c>
      <c r="F82" s="1"/>
      <c r="G82" s="3008"/>
      <c r="H82" s="2991"/>
      <c r="I82" s="3010"/>
      <c r="J82" s="3010"/>
      <c r="L82" s="2983"/>
      <c r="M82" s="2984"/>
      <c r="N82" s="716"/>
      <c r="O82" s="2975"/>
      <c r="P82" s="2975"/>
      <c r="Q82" s="2840"/>
      <c r="R82" s="3002">
        <v>1</v>
      </c>
      <c r="S82" s="3003" t="s">
        <v>8261</v>
      </c>
      <c r="T82" s="3004" t="s">
        <v>8262</v>
      </c>
      <c r="U82" s="3005" t="s">
        <v>8263</v>
      </c>
      <c r="W82" s="2998">
        <f t="shared" si="18"/>
        <v>23</v>
      </c>
      <c r="X82" s="3006" t="s">
        <v>2233</v>
      </c>
      <c r="Y82" s="3007" t="s">
        <v>8264</v>
      </c>
      <c r="Z82" s="3007" t="s">
        <v>8265</v>
      </c>
      <c r="AA82" s="3007" t="s">
        <v>8266</v>
      </c>
      <c r="AB82" s="3007" t="s">
        <v>8267</v>
      </c>
      <c r="AC82" s="3007" t="s">
        <v>8268</v>
      </c>
      <c r="AD82" s="3006" t="s">
        <v>2233</v>
      </c>
      <c r="AF82" s="2730">
        <v>1</v>
      </c>
    </row>
    <row r="83" spans="2:32" ht="30" customHeight="1">
      <c r="B83" s="3008">
        <v>3</v>
      </c>
      <c r="C83" s="2991" t="s">
        <v>8269</v>
      </c>
      <c r="D83" s="2992" t="s">
        <v>8270</v>
      </c>
      <c r="E83" s="2993" t="s">
        <v>8271</v>
      </c>
      <c r="F83" s="1"/>
      <c r="G83" s="3008"/>
      <c r="H83" s="2991"/>
      <c r="I83" s="3010"/>
      <c r="J83" s="3010"/>
      <c r="L83" s="2983"/>
      <c r="M83" s="2984"/>
      <c r="N83" s="716"/>
      <c r="O83" s="2975"/>
      <c r="P83" s="2975"/>
      <c r="Q83" s="2840"/>
      <c r="R83" s="3002"/>
      <c r="S83" s="2995" t="s">
        <v>620</v>
      </c>
      <c r="T83" s="2996"/>
      <c r="U83" s="2997"/>
      <c r="W83" s="2998">
        <f t="shared" si="18"/>
        <v>24</v>
      </c>
      <c r="X83" s="3006" t="s">
        <v>2296</v>
      </c>
      <c r="Y83" s="3007" t="s">
        <v>8272</v>
      </c>
      <c r="Z83" s="3007" t="s">
        <v>8273</v>
      </c>
      <c r="AA83" s="3007" t="s">
        <v>8274</v>
      </c>
      <c r="AB83" s="3007" t="s">
        <v>8275</v>
      </c>
      <c r="AC83" s="3007" t="s">
        <v>8276</v>
      </c>
      <c r="AD83" s="3006" t="s">
        <v>2296</v>
      </c>
      <c r="AF83" s="2730">
        <v>1</v>
      </c>
    </row>
    <row r="84" spans="2:32" ht="30" customHeight="1">
      <c r="B84" s="3008">
        <v>4</v>
      </c>
      <c r="C84" s="2991" t="s">
        <v>2926</v>
      </c>
      <c r="D84" s="2992" t="s">
        <v>8277</v>
      </c>
      <c r="E84" s="2993" t="s">
        <v>8278</v>
      </c>
      <c r="F84" s="1"/>
      <c r="G84" s="3008"/>
      <c r="H84" s="2991"/>
      <c r="I84" s="3010"/>
      <c r="J84" s="3010"/>
      <c r="L84" s="2983"/>
      <c r="M84" s="2984"/>
      <c r="N84" s="716"/>
      <c r="O84" s="2975"/>
      <c r="P84" s="2975"/>
      <c r="Q84" s="2840"/>
      <c r="R84" s="3002">
        <v>1</v>
      </c>
      <c r="S84" s="3003" t="s">
        <v>8279</v>
      </c>
      <c r="T84" s="3004" t="s">
        <v>8280</v>
      </c>
      <c r="U84" s="3005" t="s">
        <v>8281</v>
      </c>
      <c r="W84" s="2998">
        <f t="shared" si="18"/>
        <v>25</v>
      </c>
      <c r="X84" s="3006" t="s">
        <v>2240</v>
      </c>
      <c r="Y84" s="3007" t="s">
        <v>8282</v>
      </c>
      <c r="Z84" s="3007" t="s">
        <v>8283</v>
      </c>
      <c r="AA84" s="3007" t="s">
        <v>8284</v>
      </c>
      <c r="AB84" s="3007" t="s">
        <v>8285</v>
      </c>
      <c r="AC84" s="3007" t="s">
        <v>8286</v>
      </c>
      <c r="AD84" s="3006" t="s">
        <v>2240</v>
      </c>
      <c r="AF84" s="2730">
        <v>1</v>
      </c>
    </row>
    <row r="85" spans="2:32" ht="30" customHeight="1">
      <c r="B85" s="3008">
        <v>5</v>
      </c>
      <c r="C85" s="2991" t="s">
        <v>2927</v>
      </c>
      <c r="D85" s="2992" t="s">
        <v>8287</v>
      </c>
      <c r="E85" s="2993" t="s">
        <v>8288</v>
      </c>
      <c r="F85" s="1"/>
      <c r="G85" s="3008"/>
      <c r="H85" s="2991"/>
      <c r="I85" s="3010"/>
      <c r="J85" s="3010"/>
      <c r="L85" s="2983"/>
      <c r="M85" s="2984"/>
      <c r="N85" s="716"/>
      <c r="O85" s="2975"/>
      <c r="P85" s="2975"/>
      <c r="Q85" s="2840"/>
      <c r="R85" s="3002">
        <f>R84+1</f>
        <v>2</v>
      </c>
      <c r="S85" s="3003" t="s">
        <v>8289</v>
      </c>
      <c r="T85" s="3004" t="s">
        <v>8290</v>
      </c>
      <c r="U85" s="3005" t="s">
        <v>8291</v>
      </c>
      <c r="W85" s="2998">
        <f t="shared" si="18"/>
        <v>26</v>
      </c>
      <c r="X85" s="3006" t="s">
        <v>2245</v>
      </c>
      <c r="Y85" s="3007" t="s">
        <v>8292</v>
      </c>
      <c r="Z85" s="3007" t="s">
        <v>8293</v>
      </c>
      <c r="AA85" s="3007" t="s">
        <v>8294</v>
      </c>
      <c r="AB85" s="3007" t="s">
        <v>8295</v>
      </c>
      <c r="AC85" s="3007" t="s">
        <v>8296</v>
      </c>
      <c r="AD85" s="3006" t="s">
        <v>2245</v>
      </c>
      <c r="AF85" s="2730">
        <v>1</v>
      </c>
    </row>
    <row r="86" spans="2:32" ht="30" customHeight="1">
      <c r="B86" s="3008">
        <v>6</v>
      </c>
      <c r="C86" s="2991" t="s">
        <v>8297</v>
      </c>
      <c r="D86" s="2992" t="s">
        <v>8298</v>
      </c>
      <c r="E86" s="2993" t="s">
        <v>8299</v>
      </c>
      <c r="F86" s="1"/>
      <c r="G86" s="3008"/>
      <c r="H86" s="2991"/>
      <c r="I86" s="3010"/>
      <c r="J86" s="3010"/>
      <c r="L86" s="2983"/>
      <c r="M86" s="2984"/>
      <c r="N86" s="716"/>
      <c r="O86" s="2975"/>
      <c r="P86" s="2975"/>
      <c r="Q86" s="2840"/>
      <c r="R86" s="3002">
        <f t="shared" ref="R86:R92" si="21">R85+1</f>
        <v>3</v>
      </c>
      <c r="S86" s="3003" t="s">
        <v>8300</v>
      </c>
      <c r="T86" s="3004" t="s">
        <v>8301</v>
      </c>
      <c r="U86" s="3005" t="s">
        <v>8302</v>
      </c>
      <c r="W86" s="2998">
        <f t="shared" si="18"/>
        <v>27</v>
      </c>
      <c r="X86" s="3006" t="s">
        <v>2250</v>
      </c>
      <c r="Y86" s="3007" t="s">
        <v>8303</v>
      </c>
      <c r="Z86" s="3011" t="s">
        <v>8304</v>
      </c>
      <c r="AA86" s="3007" t="s">
        <v>8305</v>
      </c>
      <c r="AB86" s="3007" t="s">
        <v>8306</v>
      </c>
      <c r="AC86" s="3007" t="s">
        <v>8307</v>
      </c>
      <c r="AD86" s="3006" t="s">
        <v>2250</v>
      </c>
      <c r="AF86" s="2730">
        <v>1</v>
      </c>
    </row>
    <row r="87" spans="2:32" ht="30" customHeight="1">
      <c r="B87" s="3008">
        <v>7</v>
      </c>
      <c r="C87" s="2991" t="s">
        <v>2956</v>
      </c>
      <c r="D87" s="2992" t="s">
        <v>8308</v>
      </c>
      <c r="E87" s="2993" t="s">
        <v>8309</v>
      </c>
      <c r="F87" s="1"/>
      <c r="G87" s="3008"/>
      <c r="H87" s="2991"/>
      <c r="I87" s="3010"/>
      <c r="J87" s="3010"/>
      <c r="L87" s="2983"/>
      <c r="M87" s="2984"/>
      <c r="N87" s="716"/>
      <c r="O87" s="2975"/>
      <c r="P87" s="2975"/>
      <c r="Q87" s="2840"/>
      <c r="R87" s="3002">
        <f t="shared" si="21"/>
        <v>4</v>
      </c>
      <c r="S87" s="3003" t="s">
        <v>8310</v>
      </c>
      <c r="T87" s="3004" t="s">
        <v>8311</v>
      </c>
      <c r="U87" s="3005" t="s">
        <v>8312</v>
      </c>
      <c r="W87" s="2998">
        <f t="shared" si="18"/>
        <v>28</v>
      </c>
      <c r="X87" s="3006" t="s">
        <v>2254</v>
      </c>
      <c r="Y87" s="3007" t="s">
        <v>8313</v>
      </c>
      <c r="Z87" s="3007" t="s">
        <v>8314</v>
      </c>
      <c r="AA87" s="3007" t="s">
        <v>8315</v>
      </c>
      <c r="AB87" s="3007" t="s">
        <v>8316</v>
      </c>
      <c r="AC87" s="3007" t="s">
        <v>8317</v>
      </c>
      <c r="AD87" s="3006" t="s">
        <v>2254</v>
      </c>
      <c r="AF87" s="2730">
        <v>1</v>
      </c>
    </row>
    <row r="88" spans="2:32" ht="30" customHeight="1">
      <c r="B88" s="3008">
        <v>8</v>
      </c>
      <c r="C88" s="2991" t="s">
        <v>2949</v>
      </c>
      <c r="D88" s="2992" t="s">
        <v>8318</v>
      </c>
      <c r="E88" s="2993" t="s">
        <v>8319</v>
      </c>
      <c r="F88" s="1"/>
      <c r="I88" s="3010"/>
      <c r="J88" s="3010"/>
      <c r="L88" s="2983"/>
      <c r="M88" s="2984"/>
      <c r="N88" s="716"/>
      <c r="O88" s="2975"/>
      <c r="P88" s="2975"/>
      <c r="Q88" s="2840"/>
      <c r="R88" s="3002">
        <f t="shared" si="21"/>
        <v>5</v>
      </c>
      <c r="S88" s="3003" t="s">
        <v>8320</v>
      </c>
      <c r="T88" s="3004" t="s">
        <v>8321</v>
      </c>
      <c r="U88" s="3005" t="s">
        <v>8322</v>
      </c>
      <c r="W88" s="2998">
        <f t="shared" si="18"/>
        <v>29</v>
      </c>
      <c r="X88" s="3006" t="s">
        <v>2166</v>
      </c>
      <c r="Y88" s="3007" t="s">
        <v>8323</v>
      </c>
      <c r="Z88" s="3007" t="s">
        <v>8324</v>
      </c>
      <c r="AA88" s="3007" t="s">
        <v>8325</v>
      </c>
      <c r="AB88" s="3007" t="s">
        <v>8326</v>
      </c>
      <c r="AC88" s="3007" t="s">
        <v>8327</v>
      </c>
      <c r="AD88" s="3006" t="s">
        <v>2166</v>
      </c>
      <c r="AF88" s="2730">
        <v>1</v>
      </c>
    </row>
    <row r="89" spans="2:32" ht="30" customHeight="1">
      <c r="B89" s="3008">
        <v>9</v>
      </c>
      <c r="C89" s="2991" t="s">
        <v>2929</v>
      </c>
      <c r="D89" s="2992" t="s">
        <v>8328</v>
      </c>
      <c r="E89" s="2993" t="s">
        <v>8329</v>
      </c>
      <c r="F89" s="1"/>
      <c r="G89" s="3008"/>
      <c r="H89" s="2991"/>
      <c r="I89" s="3010"/>
      <c r="J89" s="3010"/>
      <c r="L89" s="2983"/>
      <c r="M89" s="2984"/>
      <c r="N89" s="716"/>
      <c r="O89" s="2975"/>
      <c r="P89" s="2975"/>
      <c r="Q89" s="2840"/>
      <c r="R89" s="3002">
        <f t="shared" si="21"/>
        <v>6</v>
      </c>
      <c r="S89" s="3003" t="s">
        <v>8330</v>
      </c>
      <c r="T89" s="3004" t="s">
        <v>8331</v>
      </c>
      <c r="U89" s="3005" t="s">
        <v>8332</v>
      </c>
      <c r="W89" s="2998">
        <f t="shared" si="18"/>
        <v>30</v>
      </c>
      <c r="X89" s="3006" t="s">
        <v>2259</v>
      </c>
      <c r="Y89" s="3007" t="s">
        <v>8333</v>
      </c>
      <c r="Z89" s="3007" t="s">
        <v>8334</v>
      </c>
      <c r="AA89" s="3007" t="s">
        <v>8335</v>
      </c>
      <c r="AB89" s="3007" t="s">
        <v>8336</v>
      </c>
      <c r="AC89" s="3007" t="s">
        <v>8337</v>
      </c>
      <c r="AD89" s="3006" t="s">
        <v>2259</v>
      </c>
      <c r="AF89" s="2730">
        <v>1</v>
      </c>
    </row>
    <row r="90" spans="2:32" ht="30" customHeight="1">
      <c r="B90" s="3008">
        <v>10</v>
      </c>
      <c r="C90" s="2991" t="s">
        <v>2931</v>
      </c>
      <c r="D90" s="2992" t="s">
        <v>8338</v>
      </c>
      <c r="E90" s="2993" t="s">
        <v>8339</v>
      </c>
      <c r="F90" s="1"/>
      <c r="G90" s="3008"/>
      <c r="H90" s="2991"/>
      <c r="I90" s="3010"/>
      <c r="J90" s="3010"/>
      <c r="L90" s="2983"/>
      <c r="M90" s="2984"/>
      <c r="N90" s="716"/>
      <c r="O90" s="2975"/>
      <c r="P90" s="2975"/>
      <c r="Q90" s="2840"/>
      <c r="R90" s="3002">
        <f t="shared" si="21"/>
        <v>7</v>
      </c>
      <c r="S90" s="3003" t="s">
        <v>8340</v>
      </c>
      <c r="T90" s="3004" t="s">
        <v>8341</v>
      </c>
      <c r="U90" s="3005" t="s">
        <v>8342</v>
      </c>
      <c r="W90" s="2998">
        <f t="shared" si="18"/>
        <v>31</v>
      </c>
      <c r="X90" s="3006" t="s">
        <v>2176</v>
      </c>
      <c r="Y90" s="3007" t="s">
        <v>8343</v>
      </c>
      <c r="Z90" s="3007" t="s">
        <v>8344</v>
      </c>
      <c r="AA90" s="3007" t="s">
        <v>8345</v>
      </c>
      <c r="AB90" s="3007" t="s">
        <v>8346</v>
      </c>
      <c r="AC90" s="3007" t="s">
        <v>8347</v>
      </c>
      <c r="AD90" s="3006" t="s">
        <v>2176</v>
      </c>
      <c r="AF90" s="2730">
        <v>1</v>
      </c>
    </row>
    <row r="91" spans="2:32" ht="30" customHeight="1">
      <c r="B91" s="3008">
        <v>11</v>
      </c>
      <c r="C91" s="2991" t="s">
        <v>8348</v>
      </c>
      <c r="D91" s="2992" t="s">
        <v>8349</v>
      </c>
      <c r="E91" s="2993" t="s">
        <v>8350</v>
      </c>
      <c r="F91" s="1"/>
      <c r="G91" s="3008"/>
      <c r="H91" s="2991"/>
      <c r="I91" s="3010"/>
      <c r="J91" s="3010"/>
      <c r="L91" s="2983"/>
      <c r="M91" s="2984"/>
      <c r="N91" s="716"/>
      <c r="O91" s="2975"/>
      <c r="P91" s="2975"/>
      <c r="Q91" s="2840"/>
      <c r="R91" s="3002">
        <f t="shared" si="21"/>
        <v>8</v>
      </c>
      <c r="S91" s="3003" t="s">
        <v>8351</v>
      </c>
      <c r="T91" s="3004" t="s">
        <v>8352</v>
      </c>
      <c r="U91" s="3005" t="s">
        <v>8353</v>
      </c>
      <c r="W91" s="2998">
        <f t="shared" si="18"/>
        <v>32</v>
      </c>
      <c r="X91" s="3006" t="s">
        <v>2263</v>
      </c>
      <c r="Y91" s="3007" t="s">
        <v>8354</v>
      </c>
      <c r="Z91" s="3007" t="s">
        <v>8355</v>
      </c>
      <c r="AA91" s="3007" t="s">
        <v>8356</v>
      </c>
      <c r="AB91" s="3007" t="s">
        <v>8357</v>
      </c>
      <c r="AC91" s="3007" t="s">
        <v>8358</v>
      </c>
      <c r="AD91" s="3006" t="s">
        <v>2263</v>
      </c>
      <c r="AF91" s="2730">
        <v>1</v>
      </c>
    </row>
    <row r="92" spans="2:32" ht="30" customHeight="1">
      <c r="B92" s="3008">
        <v>12</v>
      </c>
      <c r="C92" s="2991" t="s">
        <v>2950</v>
      </c>
      <c r="D92" s="2992" t="s">
        <v>8359</v>
      </c>
      <c r="E92" s="2993" t="s">
        <v>8360</v>
      </c>
      <c r="F92" s="1"/>
      <c r="G92" s="3008"/>
      <c r="H92" s="2991"/>
      <c r="I92" s="3010"/>
      <c r="J92" s="3010"/>
      <c r="L92" s="2983"/>
      <c r="M92" s="2984"/>
      <c r="N92" s="716"/>
      <c r="O92" s="2975"/>
      <c r="P92" s="2975"/>
      <c r="Q92" s="2840"/>
      <c r="R92" s="3002">
        <f t="shared" si="21"/>
        <v>9</v>
      </c>
      <c r="S92" s="3003" t="s">
        <v>8361</v>
      </c>
      <c r="T92" s="3004" t="s">
        <v>8362</v>
      </c>
      <c r="U92" s="3005" t="s">
        <v>8363</v>
      </c>
      <c r="W92" s="2998">
        <f t="shared" si="18"/>
        <v>33</v>
      </c>
      <c r="X92" s="3006" t="s">
        <v>2266</v>
      </c>
      <c r="Y92" s="3007" t="s">
        <v>8364</v>
      </c>
      <c r="Z92" s="3007" t="s">
        <v>8365</v>
      </c>
      <c r="AA92" s="3007" t="s">
        <v>8366</v>
      </c>
      <c r="AB92" s="3007" t="s">
        <v>8367</v>
      </c>
      <c r="AC92" s="3007" t="s">
        <v>8368</v>
      </c>
      <c r="AD92" s="3006" t="s">
        <v>2266</v>
      </c>
      <c r="AF92" s="2730">
        <v>1</v>
      </c>
    </row>
    <row r="93" spans="2:32" ht="30" customHeight="1">
      <c r="B93" s="3008">
        <v>13</v>
      </c>
      <c r="C93" s="2991" t="s">
        <v>2951</v>
      </c>
      <c r="D93" s="2992" t="s">
        <v>8369</v>
      </c>
      <c r="E93" s="2993" t="s">
        <v>8370</v>
      </c>
      <c r="F93" s="1"/>
      <c r="G93" s="3008"/>
      <c r="H93" s="2991"/>
      <c r="I93" s="3010"/>
      <c r="J93" s="3010"/>
      <c r="L93" s="2983"/>
      <c r="M93" s="2984"/>
      <c r="N93" s="716"/>
      <c r="O93" s="2975"/>
      <c r="P93" s="2975"/>
      <c r="Q93" s="2840"/>
      <c r="R93" s="3002"/>
      <c r="S93" s="2995" t="s">
        <v>516</v>
      </c>
      <c r="T93" s="2996"/>
      <c r="U93" s="2997"/>
      <c r="W93" s="2998">
        <f t="shared" si="18"/>
        <v>34</v>
      </c>
      <c r="X93" s="3006" t="s">
        <v>2273</v>
      </c>
      <c r="Y93" s="3007" t="s">
        <v>8371</v>
      </c>
      <c r="Z93" s="3007" t="s">
        <v>8372</v>
      </c>
      <c r="AA93" s="3007" t="s">
        <v>8373</v>
      </c>
      <c r="AB93" s="3007" t="s">
        <v>8374</v>
      </c>
      <c r="AC93" s="3007" t="s">
        <v>8375</v>
      </c>
      <c r="AD93" s="3006" t="s">
        <v>2273</v>
      </c>
      <c r="AF93" s="2730">
        <v>1</v>
      </c>
    </row>
    <row r="94" spans="2:32" ht="30" customHeight="1">
      <c r="B94" s="3008">
        <v>14</v>
      </c>
      <c r="C94" s="2991" t="s">
        <v>2933</v>
      </c>
      <c r="D94" s="2992" t="s">
        <v>8376</v>
      </c>
      <c r="E94" s="2993" t="s">
        <v>8377</v>
      </c>
      <c r="F94" s="1"/>
      <c r="G94" s="3008"/>
      <c r="H94" s="2991"/>
      <c r="I94" s="3010"/>
      <c r="J94" s="3010"/>
      <c r="L94" s="2983"/>
      <c r="M94" s="2984"/>
      <c r="N94" s="716"/>
      <c r="O94" s="2975"/>
      <c r="P94" s="2975"/>
      <c r="Q94" s="2840"/>
      <c r="R94" s="3002">
        <v>1</v>
      </c>
      <c r="S94" s="3003" t="s">
        <v>8378</v>
      </c>
      <c r="T94" s="3004" t="s">
        <v>8379</v>
      </c>
      <c r="U94" s="3005" t="s">
        <v>8380</v>
      </c>
      <c r="W94" s="2998">
        <f t="shared" si="18"/>
        <v>35</v>
      </c>
      <c r="X94" s="3006" t="s">
        <v>2853</v>
      </c>
      <c r="Y94" s="3007" t="s">
        <v>8381</v>
      </c>
      <c r="Z94" s="3011" t="s">
        <v>8382</v>
      </c>
      <c r="AA94" s="3007" t="s">
        <v>8383</v>
      </c>
      <c r="AB94" s="3007" t="s">
        <v>8384</v>
      </c>
      <c r="AC94" s="3007" t="s">
        <v>8385</v>
      </c>
      <c r="AD94" s="3006" t="s">
        <v>2853</v>
      </c>
      <c r="AF94" s="2730">
        <v>1</v>
      </c>
    </row>
    <row r="95" spans="2:32" ht="30" customHeight="1">
      <c r="B95" s="3008">
        <v>15</v>
      </c>
      <c r="C95" s="2991" t="s">
        <v>2952</v>
      </c>
      <c r="D95" s="2992" t="s">
        <v>8386</v>
      </c>
      <c r="E95" s="2993" t="s">
        <v>8387</v>
      </c>
      <c r="F95" s="1"/>
      <c r="G95" s="3008"/>
      <c r="H95" s="2991"/>
      <c r="I95" s="3010"/>
      <c r="J95" s="3010"/>
      <c r="L95" s="2983"/>
      <c r="M95" s="2984"/>
      <c r="N95" s="716"/>
      <c r="O95" s="2975"/>
      <c r="P95" s="2975"/>
      <c r="Q95" s="2840"/>
      <c r="R95" s="3002">
        <f>R94+1</f>
        <v>2</v>
      </c>
      <c r="S95" s="3003" t="s">
        <v>8388</v>
      </c>
      <c r="T95" s="3004" t="s">
        <v>8389</v>
      </c>
      <c r="U95" s="3005" t="s">
        <v>8390</v>
      </c>
      <c r="W95" s="2998">
        <f t="shared" si="18"/>
        <v>36</v>
      </c>
      <c r="X95" s="3006" t="s">
        <v>2305</v>
      </c>
      <c r="Y95" s="3007" t="s">
        <v>8391</v>
      </c>
      <c r="Z95" s="3007" t="s">
        <v>8392</v>
      </c>
      <c r="AA95" s="3007" t="s">
        <v>8393</v>
      </c>
      <c r="AB95" s="3007" t="s">
        <v>8394</v>
      </c>
      <c r="AC95" s="3007" t="s">
        <v>8395</v>
      </c>
      <c r="AD95" s="3006" t="s">
        <v>2305</v>
      </c>
      <c r="AF95" s="2730">
        <v>1</v>
      </c>
    </row>
    <row r="96" spans="2:32" ht="30" customHeight="1">
      <c r="B96" s="3008">
        <v>16</v>
      </c>
      <c r="C96" s="2991" t="s">
        <v>2934</v>
      </c>
      <c r="D96" s="2992" t="s">
        <v>8396</v>
      </c>
      <c r="E96" s="2993" t="s">
        <v>8397</v>
      </c>
      <c r="F96" s="1"/>
      <c r="G96" s="3008"/>
      <c r="H96" s="2991"/>
      <c r="I96" s="3010"/>
      <c r="J96" s="3010"/>
      <c r="L96" s="2983"/>
      <c r="M96" s="2984"/>
      <c r="N96" s="716"/>
      <c r="O96" s="2975"/>
      <c r="P96" s="2975"/>
      <c r="Q96" s="2840"/>
      <c r="R96" s="3002">
        <f t="shared" ref="R96:R97" si="22">R95+1</f>
        <v>3</v>
      </c>
      <c r="S96" s="3003" t="s">
        <v>8398</v>
      </c>
      <c r="T96" s="3004" t="s">
        <v>8399</v>
      </c>
      <c r="U96" s="3005" t="s">
        <v>8400</v>
      </c>
      <c r="W96" s="2998">
        <f t="shared" si="18"/>
        <v>37</v>
      </c>
      <c r="X96" s="3006" t="s">
        <v>2278</v>
      </c>
      <c r="Y96" s="3007" t="s">
        <v>8401</v>
      </c>
      <c r="Z96" s="3007" t="s">
        <v>8402</v>
      </c>
      <c r="AA96" s="3007" t="s">
        <v>8403</v>
      </c>
      <c r="AB96" s="3007" t="s">
        <v>8404</v>
      </c>
      <c r="AC96" s="3007" t="s">
        <v>8405</v>
      </c>
      <c r="AD96" s="3006" t="s">
        <v>2278</v>
      </c>
      <c r="AF96" s="2730">
        <v>1</v>
      </c>
    </row>
    <row r="97" spans="2:32" ht="30" customHeight="1">
      <c r="B97" s="3008">
        <v>17</v>
      </c>
      <c r="C97" s="2991" t="s">
        <v>8406</v>
      </c>
      <c r="D97" s="2992" t="s">
        <v>8407</v>
      </c>
      <c r="E97" s="2993" t="s">
        <v>8408</v>
      </c>
      <c r="F97" s="1"/>
      <c r="G97" s="3008"/>
      <c r="H97" s="2991"/>
      <c r="I97" s="3010"/>
      <c r="J97" s="3010"/>
      <c r="L97" s="2983"/>
      <c r="M97" s="2984"/>
      <c r="N97" s="716"/>
      <c r="O97" s="2975"/>
      <c r="P97" s="2975"/>
      <c r="Q97" s="2840"/>
      <c r="R97" s="3002">
        <f t="shared" si="22"/>
        <v>4</v>
      </c>
      <c r="S97" s="3003" t="s">
        <v>8409</v>
      </c>
      <c r="T97" s="3004" t="s">
        <v>8410</v>
      </c>
      <c r="U97" s="3005" t="s">
        <v>8411</v>
      </c>
      <c r="W97" s="2998">
        <f t="shared" si="18"/>
        <v>38</v>
      </c>
      <c r="X97" s="3006" t="s">
        <v>2857</v>
      </c>
      <c r="Y97" s="3007" t="s">
        <v>8412</v>
      </c>
      <c r="Z97" s="3011" t="s">
        <v>8413</v>
      </c>
      <c r="AA97" s="3007" t="s">
        <v>8414</v>
      </c>
      <c r="AB97" s="3007" t="s">
        <v>8415</v>
      </c>
      <c r="AC97" s="3007" t="s">
        <v>8416</v>
      </c>
      <c r="AD97" s="3006" t="s">
        <v>2857</v>
      </c>
      <c r="AF97" s="2730">
        <v>1</v>
      </c>
    </row>
    <row r="98" spans="2:32" ht="30" customHeight="1">
      <c r="B98" s="3008">
        <v>18</v>
      </c>
      <c r="C98" s="2991" t="s">
        <v>2959</v>
      </c>
      <c r="D98" s="2992" t="s">
        <v>8417</v>
      </c>
      <c r="E98" s="2993" t="s">
        <v>8418</v>
      </c>
      <c r="F98" s="1"/>
      <c r="G98" s="3008"/>
      <c r="H98" s="2991"/>
      <c r="I98" s="3010"/>
      <c r="J98" s="3010"/>
      <c r="L98" s="2983"/>
      <c r="M98" s="2984"/>
      <c r="N98" s="716"/>
      <c r="O98" s="2975"/>
      <c r="P98" s="2975"/>
      <c r="Q98" s="2840"/>
      <c r="R98" s="3002"/>
      <c r="S98" s="2995" t="s">
        <v>353</v>
      </c>
      <c r="T98" s="2996"/>
      <c r="U98" s="2997"/>
      <c r="W98" s="2998">
        <f t="shared" si="18"/>
        <v>39</v>
      </c>
      <c r="X98" s="3006" t="s">
        <v>2281</v>
      </c>
      <c r="Y98" s="3007" t="s">
        <v>8419</v>
      </c>
      <c r="Z98" s="3007" t="s">
        <v>8420</v>
      </c>
      <c r="AA98" s="3007" t="s">
        <v>8421</v>
      </c>
      <c r="AB98" s="3007" t="s">
        <v>8422</v>
      </c>
      <c r="AC98" s="3007" t="s">
        <v>8423</v>
      </c>
      <c r="AD98" s="3006" t="s">
        <v>2281</v>
      </c>
      <c r="AF98" s="2730">
        <v>1</v>
      </c>
    </row>
    <row r="99" spans="2:32" ht="30" customHeight="1">
      <c r="B99" s="3008">
        <v>19</v>
      </c>
      <c r="C99" s="2991" t="s">
        <v>2938</v>
      </c>
      <c r="D99" s="2992" t="s">
        <v>8424</v>
      </c>
      <c r="E99" s="2993" t="s">
        <v>8425</v>
      </c>
      <c r="F99" s="1"/>
      <c r="G99" s="3008"/>
      <c r="H99" s="2991"/>
      <c r="I99" s="3010"/>
      <c r="J99" s="3010"/>
      <c r="L99" s="2983"/>
      <c r="M99" s="2984"/>
      <c r="N99" s="716"/>
      <c r="O99" s="2975"/>
      <c r="P99" s="2975"/>
      <c r="Q99" s="2840"/>
      <c r="R99" s="3002">
        <v>1</v>
      </c>
      <c r="S99" s="3003" t="s">
        <v>8426</v>
      </c>
      <c r="T99" s="3004" t="s">
        <v>8427</v>
      </c>
      <c r="U99" s="3005" t="s">
        <v>8428</v>
      </c>
      <c r="W99" s="2998">
        <f t="shared" si="18"/>
        <v>40</v>
      </c>
      <c r="X99" s="3006" t="s">
        <v>8429</v>
      </c>
      <c r="Y99" s="3007" t="s">
        <v>8430</v>
      </c>
      <c r="Z99" s="3007" t="s">
        <v>8431</v>
      </c>
      <c r="AA99" s="3007" t="s">
        <v>8432</v>
      </c>
      <c r="AB99" s="3007" t="s">
        <v>8433</v>
      </c>
      <c r="AC99" s="3007" t="s">
        <v>8434</v>
      </c>
      <c r="AD99" s="3006" t="s">
        <v>8429</v>
      </c>
      <c r="AF99" s="2730">
        <v>1</v>
      </c>
    </row>
    <row r="100" spans="2:32" ht="30" customHeight="1">
      <c r="B100" s="3008">
        <v>20</v>
      </c>
      <c r="C100" s="2991" t="s">
        <v>2920</v>
      </c>
      <c r="D100" s="2992" t="s">
        <v>8435</v>
      </c>
      <c r="E100" s="2993" t="s">
        <v>8436</v>
      </c>
      <c r="F100" s="1"/>
      <c r="G100" s="3008"/>
      <c r="H100" s="2991"/>
      <c r="I100" s="3010"/>
      <c r="J100" s="3010"/>
      <c r="L100" s="2983"/>
      <c r="M100" s="2984"/>
      <c r="N100" s="716"/>
      <c r="O100" s="2975"/>
      <c r="P100" s="2975"/>
      <c r="Q100" s="2840"/>
      <c r="R100" s="3002"/>
      <c r="S100" s="2995" t="s">
        <v>595</v>
      </c>
      <c r="T100" s="2996"/>
      <c r="U100" s="2997"/>
      <c r="W100" s="2998">
        <f t="shared" si="18"/>
        <v>41</v>
      </c>
      <c r="X100" s="3006" t="s">
        <v>2284</v>
      </c>
      <c r="Y100" s="3007" t="s">
        <v>8437</v>
      </c>
      <c r="Z100" s="3007" t="s">
        <v>8438</v>
      </c>
      <c r="AA100" s="3007" t="s">
        <v>8439</v>
      </c>
      <c r="AB100" s="3007" t="s">
        <v>8440</v>
      </c>
      <c r="AC100" s="3007" t="s">
        <v>8441</v>
      </c>
      <c r="AD100" s="3006" t="s">
        <v>2284</v>
      </c>
      <c r="AF100" s="2730">
        <v>1</v>
      </c>
    </row>
    <row r="101" spans="2:32" ht="30" customHeight="1">
      <c r="B101" s="3008">
        <v>21</v>
      </c>
      <c r="C101" s="2991" t="s">
        <v>2941</v>
      </c>
      <c r="D101" s="2992" t="s">
        <v>8442</v>
      </c>
      <c r="E101" s="2993" t="s">
        <v>8443</v>
      </c>
      <c r="F101" s="1"/>
      <c r="G101" s="3008"/>
      <c r="H101" s="2991"/>
      <c r="I101" s="3010"/>
      <c r="J101" s="3010"/>
      <c r="L101" s="2983"/>
      <c r="M101" s="2984"/>
      <c r="N101" s="716"/>
      <c r="O101" s="2975"/>
      <c r="P101" s="2975"/>
      <c r="Q101" s="2840"/>
      <c r="R101" s="3002">
        <v>1</v>
      </c>
      <c r="S101" s="3003" t="s">
        <v>8444</v>
      </c>
      <c r="T101" s="3004" t="s">
        <v>8445</v>
      </c>
      <c r="U101" s="3005" t="s">
        <v>8446</v>
      </c>
      <c r="W101" s="2998">
        <f t="shared" si="18"/>
        <v>42</v>
      </c>
      <c r="X101" s="3006" t="s">
        <v>8447</v>
      </c>
      <c r="Y101" s="3007" t="s">
        <v>8448</v>
      </c>
      <c r="Z101" s="3007" t="s">
        <v>8449</v>
      </c>
      <c r="AA101" s="3007" t="s">
        <v>8450</v>
      </c>
      <c r="AB101" s="3007" t="s">
        <v>8451</v>
      </c>
      <c r="AC101" s="3007" t="s">
        <v>8452</v>
      </c>
      <c r="AD101" s="3006" t="s">
        <v>8447</v>
      </c>
      <c r="AF101" s="2730">
        <v>1</v>
      </c>
    </row>
    <row r="102" spans="2:32" ht="30" customHeight="1">
      <c r="B102" s="3008">
        <v>22</v>
      </c>
      <c r="C102" s="2991" t="s">
        <v>2943</v>
      </c>
      <c r="D102" s="2992" t="s">
        <v>8453</v>
      </c>
      <c r="E102" s="2993" t="s">
        <v>8454</v>
      </c>
      <c r="F102" s="1"/>
      <c r="G102" s="3008"/>
      <c r="H102" s="2991"/>
      <c r="I102" s="3010"/>
      <c r="J102" s="3010"/>
      <c r="L102" s="2983"/>
      <c r="M102" s="2984"/>
      <c r="N102" s="716"/>
      <c r="O102" s="2975"/>
      <c r="P102" s="2975"/>
      <c r="Q102" s="2840"/>
      <c r="R102" s="3002">
        <f>R101+1</f>
        <v>2</v>
      </c>
      <c r="S102" s="3003" t="s">
        <v>8455</v>
      </c>
      <c r="T102" s="3004" t="s">
        <v>8456</v>
      </c>
      <c r="U102" s="3005" t="s">
        <v>8457</v>
      </c>
      <c r="W102" s="2998">
        <f t="shared" si="18"/>
        <v>43</v>
      </c>
      <c r="X102" s="3006" t="s">
        <v>8458</v>
      </c>
      <c r="Y102" s="3007" t="s">
        <v>8459</v>
      </c>
      <c r="Z102" s="3007" t="s">
        <v>8460</v>
      </c>
      <c r="AA102" s="3007" t="s">
        <v>8461</v>
      </c>
      <c r="AB102" s="3007" t="s">
        <v>8462</v>
      </c>
      <c r="AC102" s="3007" t="s">
        <v>8463</v>
      </c>
      <c r="AD102" s="3006" t="s">
        <v>8458</v>
      </c>
      <c r="AF102" s="2730">
        <v>1</v>
      </c>
    </row>
    <row r="103" spans="2:32" ht="30" customHeight="1">
      <c r="B103" s="3008">
        <v>23</v>
      </c>
      <c r="C103" s="2991" t="s">
        <v>8464</v>
      </c>
      <c r="D103" s="2992" t="s">
        <v>8465</v>
      </c>
      <c r="E103" s="2993" t="s">
        <v>8466</v>
      </c>
      <c r="F103" s="1"/>
      <c r="G103" s="3008"/>
      <c r="H103" s="2991"/>
      <c r="I103" s="3010"/>
      <c r="J103" s="3010"/>
      <c r="L103" s="2983"/>
      <c r="M103" s="2984"/>
      <c r="N103" s="716"/>
      <c r="O103" s="2975"/>
      <c r="P103" s="2975"/>
      <c r="Q103" s="2840"/>
      <c r="R103" s="3002">
        <f>R102+1</f>
        <v>3</v>
      </c>
      <c r="S103" s="3003" t="s">
        <v>8467</v>
      </c>
      <c r="T103" s="3004" t="s">
        <v>8468</v>
      </c>
      <c r="U103" s="3005" t="s">
        <v>8469</v>
      </c>
      <c r="W103" s="2998">
        <f t="shared" si="18"/>
        <v>44</v>
      </c>
      <c r="X103" s="3006" t="s">
        <v>2311</v>
      </c>
      <c r="Y103" s="3007" t="s">
        <v>8470</v>
      </c>
      <c r="Z103" s="3007" t="s">
        <v>8471</v>
      </c>
      <c r="AA103" s="3007" t="s">
        <v>8472</v>
      </c>
      <c r="AB103" s="3007" t="s">
        <v>8473</v>
      </c>
      <c r="AC103" s="3007" t="s">
        <v>8474</v>
      </c>
      <c r="AD103" s="3006" t="s">
        <v>2311</v>
      </c>
      <c r="AF103" s="2730">
        <v>1</v>
      </c>
    </row>
    <row r="104" spans="2:32" ht="30" customHeight="1">
      <c r="B104" s="3008"/>
      <c r="D104" s="3041"/>
      <c r="E104" s="3042"/>
      <c r="F104" s="1"/>
      <c r="G104" s="3008"/>
      <c r="H104" s="2991"/>
      <c r="I104" s="3010"/>
      <c r="J104" s="3010"/>
      <c r="L104" s="2983"/>
      <c r="M104" s="2984"/>
      <c r="N104" s="716"/>
      <c r="O104" s="2975"/>
      <c r="P104" s="2975"/>
      <c r="Q104" s="2840"/>
      <c r="R104" s="3002"/>
      <c r="S104" s="2995" t="s">
        <v>633</v>
      </c>
      <c r="T104" s="2996"/>
      <c r="U104" s="2997"/>
      <c r="W104" s="2998"/>
      <c r="AF104" s="2730">
        <v>1</v>
      </c>
    </row>
    <row r="105" spans="2:32" ht="30" customHeight="1">
      <c r="B105" s="3045"/>
      <c r="C105" s="3035" t="s">
        <v>8475</v>
      </c>
      <c r="D105" s="3036"/>
      <c r="E105" s="3037"/>
      <c r="F105" s="1"/>
      <c r="G105" s="3008"/>
      <c r="H105" s="2991"/>
      <c r="I105" s="3010"/>
      <c r="J105" s="3010"/>
      <c r="L105" s="2983"/>
      <c r="M105" s="2984"/>
      <c r="N105" s="716"/>
      <c r="O105" s="2975"/>
      <c r="P105" s="2975"/>
      <c r="Q105" s="2840"/>
      <c r="R105" s="3002">
        <v>1</v>
      </c>
      <c r="S105" s="3003" t="s">
        <v>8476</v>
      </c>
      <c r="T105" s="3004" t="s">
        <v>8477</v>
      </c>
      <c r="U105" s="3005" t="s">
        <v>8478</v>
      </c>
      <c r="W105" s="2998"/>
      <c r="X105" s="2999" t="s">
        <v>342</v>
      </c>
      <c r="Y105" s="3000"/>
      <c r="Z105" s="3000"/>
      <c r="AA105" s="3058"/>
      <c r="AB105" s="2988"/>
      <c r="AC105" s="2988"/>
      <c r="AD105" s="2999" t="s">
        <v>342</v>
      </c>
      <c r="AF105" s="2730">
        <v>1</v>
      </c>
    </row>
    <row r="106" spans="2:32" ht="30" customHeight="1">
      <c r="B106" s="3008">
        <v>1</v>
      </c>
      <c r="C106" s="2991" t="s">
        <v>2917</v>
      </c>
      <c r="D106" s="2992" t="s">
        <v>8479</v>
      </c>
      <c r="E106" s="2993" t="s">
        <v>8480</v>
      </c>
      <c r="F106" s="1"/>
      <c r="G106" s="3008"/>
      <c r="H106" s="2991"/>
      <c r="I106" s="3010"/>
      <c r="J106" s="3010"/>
      <c r="L106" s="2983"/>
      <c r="M106" s="2984"/>
      <c r="N106" s="716"/>
      <c r="O106" s="2975"/>
      <c r="P106" s="2975"/>
      <c r="Q106" s="2840"/>
      <c r="R106" s="3002"/>
      <c r="S106" s="2995" t="s">
        <v>1173</v>
      </c>
      <c r="T106" s="2996"/>
      <c r="U106" s="2997"/>
      <c r="W106" s="2998">
        <v>1</v>
      </c>
      <c r="X106" s="3006" t="s">
        <v>2061</v>
      </c>
      <c r="Y106" s="3007" t="s">
        <v>8481</v>
      </c>
      <c r="Z106" s="3007" t="s">
        <v>8482</v>
      </c>
      <c r="AA106" s="3007" t="s">
        <v>8483</v>
      </c>
      <c r="AB106" s="3007" t="s">
        <v>8484</v>
      </c>
      <c r="AC106" s="3007" t="s">
        <v>8485</v>
      </c>
      <c r="AD106" s="3006" t="s">
        <v>2061</v>
      </c>
      <c r="AF106" s="2730">
        <v>1</v>
      </c>
    </row>
    <row r="107" spans="2:32" ht="30" customHeight="1">
      <c r="B107" s="3008">
        <v>2</v>
      </c>
      <c r="C107" s="2991" t="s">
        <v>8486</v>
      </c>
      <c r="D107" s="2992" t="s">
        <v>8487</v>
      </c>
      <c r="E107" s="2993" t="s">
        <v>8488</v>
      </c>
      <c r="F107" s="1"/>
      <c r="G107" s="3008"/>
      <c r="H107" s="2991"/>
      <c r="I107" s="3010"/>
      <c r="J107" s="3010"/>
      <c r="L107" s="2983"/>
      <c r="M107" s="2984"/>
      <c r="N107" s="716"/>
      <c r="O107" s="2975"/>
      <c r="P107" s="2975"/>
      <c r="Q107" s="2840"/>
      <c r="R107" s="3002">
        <v>1</v>
      </c>
      <c r="S107" s="3003" t="s">
        <v>8489</v>
      </c>
      <c r="T107" s="3004" t="s">
        <v>8490</v>
      </c>
      <c r="U107" s="3005" t="s">
        <v>8491</v>
      </c>
      <c r="W107" s="2998">
        <f>W106+1</f>
        <v>2</v>
      </c>
      <c r="X107" s="3006" t="s">
        <v>8492</v>
      </c>
      <c r="Y107" s="3007" t="s">
        <v>8493</v>
      </c>
      <c r="Z107" s="3011" t="s">
        <v>8494</v>
      </c>
      <c r="AA107" s="3007" t="s">
        <v>8495</v>
      </c>
      <c r="AB107" s="3007" t="s">
        <v>8496</v>
      </c>
      <c r="AC107" s="3007" t="s">
        <v>8497</v>
      </c>
      <c r="AD107" s="3006" t="s">
        <v>8492</v>
      </c>
      <c r="AF107" s="2730">
        <v>1</v>
      </c>
    </row>
    <row r="108" spans="2:32" ht="30" customHeight="1">
      <c r="B108" s="3008">
        <v>3</v>
      </c>
      <c r="C108" s="2991" t="s">
        <v>2919</v>
      </c>
      <c r="D108" s="2992" t="s">
        <v>8498</v>
      </c>
      <c r="E108" s="2993" t="s">
        <v>8499</v>
      </c>
      <c r="F108" s="1"/>
      <c r="G108" s="3008"/>
      <c r="H108" s="2991"/>
      <c r="I108" s="3010"/>
      <c r="J108" s="3010"/>
      <c r="L108" s="2983"/>
      <c r="M108" s="2984"/>
      <c r="N108" s="716"/>
      <c r="O108" s="2975"/>
      <c r="P108" s="2975"/>
      <c r="Q108" s="2840"/>
      <c r="R108" s="3002">
        <f>R107+1</f>
        <v>2</v>
      </c>
      <c r="S108" s="3003" t="s">
        <v>8500</v>
      </c>
      <c r="T108" s="3004" t="s">
        <v>8501</v>
      </c>
      <c r="U108" s="3005" t="s">
        <v>8502</v>
      </c>
      <c r="W108" s="2998">
        <f t="shared" ref="W108:W155" si="23">W107+1</f>
        <v>3</v>
      </c>
      <c r="X108" s="3006" t="s">
        <v>8503</v>
      </c>
      <c r="Y108" s="3007" t="s">
        <v>8504</v>
      </c>
      <c r="Z108" s="3011" t="s">
        <v>8505</v>
      </c>
      <c r="AA108" s="3007" t="s">
        <v>8506</v>
      </c>
      <c r="AB108" s="3007" t="s">
        <v>8507</v>
      </c>
      <c r="AC108" s="3007" t="s">
        <v>8508</v>
      </c>
      <c r="AD108" s="3006" t="s">
        <v>8503</v>
      </c>
      <c r="AF108" s="2730">
        <v>1</v>
      </c>
    </row>
    <row r="109" spans="2:32" ht="30" customHeight="1">
      <c r="B109" s="3008">
        <v>4</v>
      </c>
      <c r="C109" s="2991" t="s">
        <v>8509</v>
      </c>
      <c r="D109" s="2992" t="s">
        <v>8510</v>
      </c>
      <c r="E109" s="2993" t="s">
        <v>8511</v>
      </c>
      <c r="F109" s="1"/>
      <c r="G109" s="3008"/>
      <c r="H109" s="2991"/>
      <c r="I109" s="3010"/>
      <c r="J109" s="3010"/>
      <c r="L109" s="2983"/>
      <c r="M109" s="2984"/>
      <c r="N109" s="716"/>
      <c r="O109" s="2975"/>
      <c r="P109" s="2975"/>
      <c r="Q109" s="2840"/>
      <c r="R109" s="3002"/>
      <c r="S109" s="3059"/>
      <c r="T109" s="3059"/>
      <c r="U109" s="3059"/>
      <c r="W109" s="2998">
        <f t="shared" si="23"/>
        <v>4</v>
      </c>
      <c r="X109" s="3006" t="s">
        <v>8512</v>
      </c>
      <c r="Y109" s="3007" t="s">
        <v>8513</v>
      </c>
      <c r="Z109" s="3011" t="s">
        <v>8514</v>
      </c>
      <c r="AA109" s="3007" t="s">
        <v>8515</v>
      </c>
      <c r="AB109" s="3007" t="s">
        <v>8516</v>
      </c>
      <c r="AC109" s="3007" t="s">
        <v>8517</v>
      </c>
      <c r="AD109" s="3006" t="s">
        <v>8512</v>
      </c>
      <c r="AF109" s="2730">
        <v>1</v>
      </c>
    </row>
    <row r="110" spans="2:32" ht="30" customHeight="1">
      <c r="B110" s="3008">
        <v>5</v>
      </c>
      <c r="C110" s="2991" t="s">
        <v>8518</v>
      </c>
      <c r="D110" s="2992" t="s">
        <v>8519</v>
      </c>
      <c r="E110" s="2993" t="s">
        <v>8520</v>
      </c>
      <c r="F110" s="1"/>
      <c r="G110" s="3008"/>
      <c r="H110" s="2991"/>
      <c r="I110" s="3010"/>
      <c r="J110" s="3010"/>
      <c r="L110" s="2983"/>
      <c r="M110" s="2984"/>
      <c r="N110" s="716"/>
      <c r="O110" s="2975"/>
      <c r="P110" s="2975"/>
      <c r="Q110" s="2840"/>
      <c r="R110" s="2968" t="s">
        <v>2686</v>
      </c>
      <c r="S110" s="3060" t="s">
        <v>2961</v>
      </c>
      <c r="T110" s="3004"/>
      <c r="U110" s="3004"/>
      <c r="W110" s="2998">
        <f t="shared" si="23"/>
        <v>5</v>
      </c>
      <c r="X110" s="3006" t="s">
        <v>2071</v>
      </c>
      <c r="Y110" s="3007" t="s">
        <v>8521</v>
      </c>
      <c r="Z110" s="3007" t="s">
        <v>8522</v>
      </c>
      <c r="AA110" s="3007" t="s">
        <v>8523</v>
      </c>
      <c r="AB110" s="3007" t="s">
        <v>8524</v>
      </c>
      <c r="AC110" s="3007" t="s">
        <v>8525</v>
      </c>
      <c r="AD110" s="3006" t="s">
        <v>2071</v>
      </c>
      <c r="AF110" s="2730">
        <v>1</v>
      </c>
    </row>
    <row r="111" spans="2:32" ht="30" customHeight="1">
      <c r="B111" s="3008">
        <v>6</v>
      </c>
      <c r="C111" s="2991" t="s">
        <v>2822</v>
      </c>
      <c r="D111" s="2992" t="s">
        <v>8526</v>
      </c>
      <c r="E111" s="2993" t="s">
        <v>8527</v>
      </c>
      <c r="F111" s="1"/>
      <c r="G111" s="3008"/>
      <c r="H111" s="2991"/>
      <c r="I111" s="3010"/>
      <c r="J111" s="3010"/>
      <c r="L111" s="2983"/>
      <c r="M111" s="2984"/>
      <c r="N111" s="716"/>
      <c r="O111" s="2975"/>
      <c r="P111" s="2975"/>
      <c r="Q111" s="2840"/>
      <c r="R111" s="2968" t="s">
        <v>2686</v>
      </c>
      <c r="S111" s="3060" t="s">
        <v>2964</v>
      </c>
      <c r="T111" s="2965"/>
      <c r="U111" s="2965"/>
      <c r="W111" s="2998">
        <f t="shared" si="23"/>
        <v>6</v>
      </c>
      <c r="X111" s="3006" t="s">
        <v>8528</v>
      </c>
      <c r="Y111" s="3007" t="s">
        <v>8529</v>
      </c>
      <c r="Z111" s="3011" t="s">
        <v>8530</v>
      </c>
      <c r="AA111" s="3007" t="s">
        <v>8531</v>
      </c>
      <c r="AB111" s="3007" t="s">
        <v>8532</v>
      </c>
      <c r="AC111" s="3007" t="s">
        <v>8533</v>
      </c>
      <c r="AD111" s="3006" t="s">
        <v>8528</v>
      </c>
      <c r="AF111" s="2730">
        <v>1</v>
      </c>
    </row>
    <row r="112" spans="2:32" ht="30" customHeight="1">
      <c r="B112" s="3008">
        <v>7</v>
      </c>
      <c r="C112" s="2991" t="s">
        <v>8534</v>
      </c>
      <c r="D112" s="2992" t="s">
        <v>8535</v>
      </c>
      <c r="E112" s="2993" t="s">
        <v>8536</v>
      </c>
      <c r="F112" s="1"/>
      <c r="G112" s="3008"/>
      <c r="H112" s="2991"/>
      <c r="I112" s="3010"/>
      <c r="J112" s="3010"/>
      <c r="L112" s="2983"/>
      <c r="M112" s="2984"/>
      <c r="N112" s="716"/>
      <c r="O112" s="2975"/>
      <c r="P112" s="2975"/>
      <c r="Q112" s="2840"/>
      <c r="R112" s="2968" t="s">
        <v>2686</v>
      </c>
      <c r="S112" s="3060" t="s">
        <v>2967</v>
      </c>
      <c r="T112" s="3060"/>
      <c r="U112" s="3060"/>
      <c r="W112" s="2998">
        <f t="shared" si="23"/>
        <v>7</v>
      </c>
      <c r="X112" s="3006" t="s">
        <v>2085</v>
      </c>
      <c r="Y112" s="3007" t="s">
        <v>8537</v>
      </c>
      <c r="Z112" s="3011" t="s">
        <v>8538</v>
      </c>
      <c r="AA112" s="3007" t="s">
        <v>8539</v>
      </c>
      <c r="AB112" s="3007" t="s">
        <v>8540</v>
      </c>
      <c r="AC112" s="3007" t="s">
        <v>8541</v>
      </c>
      <c r="AD112" s="3006" t="s">
        <v>2085</v>
      </c>
      <c r="AF112" s="2730">
        <v>1</v>
      </c>
    </row>
    <row r="113" spans="2:32" ht="30" customHeight="1">
      <c r="B113" s="3008">
        <v>8</v>
      </c>
      <c r="C113" s="2991" t="s">
        <v>8542</v>
      </c>
      <c r="D113" s="2992" t="s">
        <v>8543</v>
      </c>
      <c r="E113" s="2993" t="s">
        <v>8544</v>
      </c>
      <c r="F113" s="1"/>
      <c r="G113" s="3008"/>
      <c r="H113" s="2991"/>
      <c r="I113" s="3010"/>
      <c r="J113" s="3010"/>
      <c r="L113" s="2983"/>
      <c r="M113" s="2984"/>
      <c r="N113" s="716"/>
      <c r="O113" s="2975"/>
      <c r="P113" s="2975"/>
      <c r="Q113" s="2840"/>
      <c r="R113" s="2998"/>
      <c r="S113" s="3061"/>
      <c r="T113" s="3060"/>
      <c r="U113" s="3060"/>
      <c r="W113" s="2998">
        <f t="shared" si="23"/>
        <v>8</v>
      </c>
      <c r="X113" s="3006" t="s">
        <v>8545</v>
      </c>
      <c r="Y113" s="3007" t="s">
        <v>8546</v>
      </c>
      <c r="Z113" s="3011" t="s">
        <v>8547</v>
      </c>
      <c r="AA113" s="3007" t="s">
        <v>8548</v>
      </c>
      <c r="AB113" s="3007" t="s">
        <v>8549</v>
      </c>
      <c r="AC113" s="3007" t="s">
        <v>8550</v>
      </c>
      <c r="AD113" s="3006" t="s">
        <v>8545</v>
      </c>
      <c r="AF113" s="2730">
        <v>1</v>
      </c>
    </row>
    <row r="114" spans="2:32" ht="30" customHeight="1">
      <c r="B114" s="3008">
        <v>9</v>
      </c>
      <c r="C114" s="2991" t="s">
        <v>8551</v>
      </c>
      <c r="D114" s="2992" t="s">
        <v>8552</v>
      </c>
      <c r="E114" s="2993" t="s">
        <v>8553</v>
      </c>
      <c r="F114" s="1"/>
      <c r="G114" s="3008"/>
      <c r="H114" s="2991"/>
      <c r="I114" s="3010"/>
      <c r="J114" s="3010"/>
      <c r="L114" s="2983"/>
      <c r="M114" s="2984"/>
      <c r="N114" s="716"/>
      <c r="O114" s="2975"/>
      <c r="P114" s="2975"/>
      <c r="Q114" s="2840"/>
      <c r="R114" s="2998"/>
      <c r="S114" s="3061"/>
      <c r="T114" s="3060"/>
      <c r="U114" s="3060"/>
      <c r="W114" s="2998">
        <f t="shared" si="23"/>
        <v>9</v>
      </c>
      <c r="X114" s="3006" t="s">
        <v>8554</v>
      </c>
      <c r="Y114" s="3007" t="s">
        <v>8555</v>
      </c>
      <c r="Z114" s="3007" t="s">
        <v>8556</v>
      </c>
      <c r="AA114" s="3007" t="s">
        <v>8557</v>
      </c>
      <c r="AB114" s="3007" t="s">
        <v>8558</v>
      </c>
      <c r="AC114" s="3007" t="s">
        <v>8559</v>
      </c>
      <c r="AD114" s="3006" t="s">
        <v>8554</v>
      </c>
      <c r="AF114" s="2730">
        <v>1</v>
      </c>
    </row>
    <row r="115" spans="2:32" ht="30" customHeight="1">
      <c r="B115" s="3008">
        <v>10</v>
      </c>
      <c r="C115" s="2991" t="s">
        <v>8560</v>
      </c>
      <c r="D115" s="2992" t="s">
        <v>8561</v>
      </c>
      <c r="E115" s="2993" t="s">
        <v>8562</v>
      </c>
      <c r="F115" s="1"/>
      <c r="G115" s="3008"/>
      <c r="H115" s="2991"/>
      <c r="I115" s="3010"/>
      <c r="J115" s="3010"/>
      <c r="L115" s="2983"/>
      <c r="M115" s="2984"/>
      <c r="N115" s="716"/>
      <c r="O115" s="2975"/>
      <c r="P115" s="2975"/>
      <c r="Q115" s="2840"/>
      <c r="R115" s="2998"/>
      <c r="S115" s="3061"/>
      <c r="T115" s="2965"/>
      <c r="U115" s="2965"/>
      <c r="W115" s="2998">
        <f t="shared" si="23"/>
        <v>10</v>
      </c>
      <c r="X115" s="3006" t="s">
        <v>8563</v>
      </c>
      <c r="Y115" s="3007" t="s">
        <v>8564</v>
      </c>
      <c r="Z115" s="3011" t="s">
        <v>8565</v>
      </c>
      <c r="AA115" s="3007" t="s">
        <v>8566</v>
      </c>
      <c r="AB115" s="3007" t="s">
        <v>8567</v>
      </c>
      <c r="AC115" s="3007" t="s">
        <v>8568</v>
      </c>
      <c r="AD115" s="3006" t="s">
        <v>8563</v>
      </c>
      <c r="AF115" s="2730">
        <v>1</v>
      </c>
    </row>
    <row r="116" spans="2:32" ht="30" customHeight="1">
      <c r="B116" s="3008">
        <v>11</v>
      </c>
      <c r="C116" s="2991" t="s">
        <v>2922</v>
      </c>
      <c r="D116" s="2992" t="s">
        <v>8569</v>
      </c>
      <c r="E116" s="2993" t="s">
        <v>8570</v>
      </c>
      <c r="F116" s="1"/>
      <c r="G116" s="3008"/>
      <c r="H116" s="2991"/>
      <c r="I116" s="3010"/>
      <c r="J116" s="3010"/>
      <c r="L116" s="2983"/>
      <c r="M116" s="2984"/>
      <c r="N116" s="716"/>
      <c r="O116" s="2975"/>
      <c r="P116" s="2975"/>
      <c r="Q116" s="2840"/>
      <c r="R116" s="2998"/>
      <c r="S116" s="3061"/>
      <c r="T116" s="3060"/>
      <c r="U116" s="3060"/>
      <c r="W116" s="2998">
        <f t="shared" si="23"/>
        <v>11</v>
      </c>
      <c r="X116" s="3006" t="s">
        <v>2097</v>
      </c>
      <c r="Y116" s="3007" t="s">
        <v>8571</v>
      </c>
      <c r="Z116" s="3007" t="s">
        <v>8572</v>
      </c>
      <c r="AA116" s="3007" t="s">
        <v>8573</v>
      </c>
      <c r="AB116" s="3007" t="s">
        <v>8574</v>
      </c>
      <c r="AC116" s="3007" t="s">
        <v>8575</v>
      </c>
      <c r="AD116" s="3006" t="s">
        <v>2097</v>
      </c>
      <c r="AF116" s="2730">
        <v>1</v>
      </c>
    </row>
    <row r="117" spans="2:32" ht="30" customHeight="1">
      <c r="B117" s="3008">
        <v>12</v>
      </c>
      <c r="C117" s="2991" t="s">
        <v>2923</v>
      </c>
      <c r="D117" s="2992" t="s">
        <v>8576</v>
      </c>
      <c r="E117" s="2993" t="s">
        <v>8577</v>
      </c>
      <c r="F117" s="1"/>
      <c r="G117" s="3008"/>
      <c r="H117" s="2991"/>
      <c r="I117" s="3010"/>
      <c r="J117" s="3010"/>
      <c r="L117" s="2983"/>
      <c r="M117" s="2984"/>
      <c r="N117" s="716"/>
      <c r="O117" s="2975"/>
      <c r="P117" s="2975"/>
      <c r="Q117" s="2840"/>
      <c r="R117" s="2998"/>
      <c r="S117" s="3061"/>
      <c r="W117" s="2998">
        <f t="shared" si="23"/>
        <v>12</v>
      </c>
      <c r="X117" s="3006" t="s">
        <v>2107</v>
      </c>
      <c r="Y117" s="3007" t="s">
        <v>8578</v>
      </c>
      <c r="Z117" s="3011" t="s">
        <v>8579</v>
      </c>
      <c r="AA117" s="3007" t="s">
        <v>8580</v>
      </c>
      <c r="AB117" s="3007" t="s">
        <v>8581</v>
      </c>
      <c r="AC117" s="3007" t="s">
        <v>8582</v>
      </c>
      <c r="AD117" s="3006" t="s">
        <v>2107</v>
      </c>
      <c r="AF117" s="2730">
        <v>1</v>
      </c>
    </row>
    <row r="118" spans="2:32" ht="30" customHeight="1">
      <c r="B118" s="3008"/>
      <c r="D118" s="3041"/>
      <c r="E118" s="3042"/>
      <c r="F118" s="1"/>
      <c r="G118" s="3008"/>
      <c r="H118" s="2991"/>
      <c r="I118" s="3010"/>
      <c r="J118" s="3010"/>
      <c r="L118" s="2983"/>
      <c r="M118" s="2984"/>
      <c r="N118" s="716"/>
      <c r="O118" s="2975"/>
      <c r="P118" s="2975"/>
      <c r="Q118" s="2840"/>
      <c r="R118" s="2998"/>
      <c r="S118" s="3061"/>
      <c r="T118" s="3060"/>
      <c r="U118" s="3060"/>
      <c r="W118" s="2998">
        <f t="shared" si="23"/>
        <v>13</v>
      </c>
      <c r="X118" s="3006" t="s">
        <v>8583</v>
      </c>
      <c r="Y118" s="3007" t="s">
        <v>8584</v>
      </c>
      <c r="Z118" s="3011" t="s">
        <v>8585</v>
      </c>
      <c r="AA118" s="3007" t="s">
        <v>8586</v>
      </c>
      <c r="AB118" s="3007" t="s">
        <v>8587</v>
      </c>
      <c r="AC118" s="3007" t="s">
        <v>8588</v>
      </c>
      <c r="AD118" s="3006" t="s">
        <v>8583</v>
      </c>
      <c r="AF118" s="2730">
        <v>1</v>
      </c>
    </row>
    <row r="119" spans="2:32" ht="30" customHeight="1">
      <c r="B119" s="3045"/>
      <c r="C119" s="3035" t="s">
        <v>8589</v>
      </c>
      <c r="D119" s="3036" t="s">
        <v>8590</v>
      </c>
      <c r="E119" s="3037" t="s">
        <v>8591</v>
      </c>
      <c r="F119" s="1"/>
      <c r="G119" s="3008"/>
      <c r="H119" s="2991"/>
      <c r="I119" s="3010"/>
      <c r="J119" s="3010"/>
      <c r="L119" s="2983"/>
      <c r="M119" s="2984"/>
      <c r="N119" s="716"/>
      <c r="O119" s="2975"/>
      <c r="P119" s="2975"/>
      <c r="Q119" s="2840"/>
      <c r="R119" s="2998"/>
      <c r="S119" s="3061"/>
      <c r="W119" s="2998">
        <f t="shared" si="23"/>
        <v>14</v>
      </c>
      <c r="X119" s="3006" t="s">
        <v>8592</v>
      </c>
      <c r="Y119" s="3007" t="s">
        <v>8593</v>
      </c>
      <c r="Z119" s="3007" t="s">
        <v>8594</v>
      </c>
      <c r="AA119" s="3007" t="s">
        <v>8595</v>
      </c>
      <c r="AB119" s="3007" t="s">
        <v>8596</v>
      </c>
      <c r="AC119" s="3007" t="s">
        <v>8597</v>
      </c>
      <c r="AD119" s="3006" t="s">
        <v>8592</v>
      </c>
      <c r="AF119" s="2730">
        <v>1</v>
      </c>
    </row>
    <row r="120" spans="2:32" ht="30" customHeight="1">
      <c r="B120" s="3008">
        <v>1</v>
      </c>
      <c r="C120" s="2991" t="s">
        <v>2957</v>
      </c>
      <c r="D120" s="2992" t="s">
        <v>8598</v>
      </c>
      <c r="E120" s="2993" t="s">
        <v>8599</v>
      </c>
      <c r="F120" s="1"/>
      <c r="G120" s="3008"/>
      <c r="H120" s="2991"/>
      <c r="I120" s="3010"/>
      <c r="J120" s="3010"/>
      <c r="L120" s="2983"/>
      <c r="M120" s="2984"/>
      <c r="N120" s="716"/>
      <c r="O120" s="2975"/>
      <c r="P120" s="2975"/>
      <c r="Q120" s="2840"/>
      <c r="R120" s="2998"/>
      <c r="S120" s="3061"/>
      <c r="T120" s="3004"/>
      <c r="U120" s="3004"/>
      <c r="W120" s="2998">
        <f t="shared" si="23"/>
        <v>15</v>
      </c>
      <c r="X120" s="3006" t="s">
        <v>8600</v>
      </c>
      <c r="Y120" s="3007" t="s">
        <v>8601</v>
      </c>
      <c r="Z120" s="3011" t="s">
        <v>8602</v>
      </c>
      <c r="AA120" s="3007" t="s">
        <v>8603</v>
      </c>
      <c r="AB120" s="3007" t="s">
        <v>8604</v>
      </c>
      <c r="AC120" s="3007" t="s">
        <v>8605</v>
      </c>
      <c r="AD120" s="3006" t="s">
        <v>8600</v>
      </c>
      <c r="AF120" s="2730">
        <v>1</v>
      </c>
    </row>
    <row r="121" spans="2:32" ht="30" customHeight="1">
      <c r="B121" s="3008">
        <v>2</v>
      </c>
      <c r="C121" s="2991" t="s">
        <v>2958</v>
      </c>
      <c r="D121" s="2992" t="s">
        <v>8606</v>
      </c>
      <c r="E121" s="2993" t="s">
        <v>8607</v>
      </c>
      <c r="F121" s="1"/>
      <c r="G121" s="3008"/>
      <c r="H121" s="2991"/>
      <c r="I121" s="3010"/>
      <c r="J121" s="3010"/>
      <c r="L121" s="2983"/>
      <c r="M121" s="2984"/>
      <c r="N121" s="716"/>
      <c r="O121" s="2975"/>
      <c r="P121" s="2975"/>
      <c r="Q121" s="2840"/>
      <c r="R121" s="2998"/>
      <c r="S121" s="3061"/>
      <c r="T121" s="3004"/>
      <c r="U121" s="3004"/>
      <c r="W121" s="2998">
        <f t="shared" si="23"/>
        <v>16</v>
      </c>
      <c r="X121" s="3006" t="s">
        <v>8608</v>
      </c>
      <c r="Y121" s="3007" t="s">
        <v>8609</v>
      </c>
      <c r="Z121" s="3011" t="s">
        <v>8610</v>
      </c>
      <c r="AA121" s="3007" t="s">
        <v>8611</v>
      </c>
      <c r="AB121" s="3007" t="s">
        <v>8612</v>
      </c>
      <c r="AC121" s="3007" t="s">
        <v>8613</v>
      </c>
      <c r="AD121" s="3006" t="s">
        <v>8608</v>
      </c>
      <c r="AF121" s="2730">
        <v>1</v>
      </c>
    </row>
    <row r="122" spans="2:32" ht="30" customHeight="1">
      <c r="B122" s="3008">
        <v>3</v>
      </c>
      <c r="C122" s="2991" t="s">
        <v>2960</v>
      </c>
      <c r="D122" s="2992" t="s">
        <v>8614</v>
      </c>
      <c r="E122" s="2993" t="s">
        <v>8615</v>
      </c>
      <c r="F122" s="1"/>
      <c r="G122" s="3008"/>
      <c r="H122" s="2991"/>
      <c r="I122" s="3010"/>
      <c r="J122" s="3010"/>
      <c r="L122" s="2983"/>
      <c r="M122" s="2984"/>
      <c r="N122" s="716"/>
      <c r="O122" s="2975"/>
      <c r="P122" s="2975"/>
      <c r="Q122" s="2840"/>
      <c r="R122" s="2998"/>
      <c r="S122" s="3061"/>
      <c r="T122" s="3004"/>
      <c r="U122" s="3004"/>
      <c r="W122" s="2998">
        <f t="shared" si="23"/>
        <v>17</v>
      </c>
      <c r="X122" s="3006" t="s">
        <v>2138</v>
      </c>
      <c r="Y122" s="3007" t="s">
        <v>8616</v>
      </c>
      <c r="Z122" s="3011" t="s">
        <v>8617</v>
      </c>
      <c r="AA122" s="3007" t="s">
        <v>8618</v>
      </c>
      <c r="AB122" s="3007" t="s">
        <v>8619</v>
      </c>
      <c r="AC122" s="3007" t="s">
        <v>8620</v>
      </c>
      <c r="AD122" s="3006" t="s">
        <v>2138</v>
      </c>
      <c r="AF122" s="2730">
        <v>1</v>
      </c>
    </row>
    <row r="123" spans="2:32" ht="30" customHeight="1">
      <c r="B123" s="3008">
        <v>4</v>
      </c>
      <c r="C123" s="2991" t="s">
        <v>2939</v>
      </c>
      <c r="D123" s="2992" t="s">
        <v>8621</v>
      </c>
      <c r="E123" s="2993" t="s">
        <v>8622</v>
      </c>
      <c r="F123" s="1"/>
      <c r="G123" s="3008"/>
      <c r="H123" s="2991"/>
      <c r="I123" s="3010"/>
      <c r="J123" s="3010"/>
      <c r="L123" s="2983"/>
      <c r="M123" s="2984"/>
      <c r="N123" s="716"/>
      <c r="O123" s="2975"/>
      <c r="P123" s="2975"/>
      <c r="Q123" s="2840"/>
      <c r="R123" s="2998"/>
      <c r="S123" s="3061"/>
      <c r="T123" s="3004"/>
      <c r="U123" s="3004"/>
      <c r="W123" s="2998">
        <f t="shared" si="23"/>
        <v>18</v>
      </c>
      <c r="X123" s="3006" t="s">
        <v>2148</v>
      </c>
      <c r="Y123" s="3007" t="s">
        <v>8623</v>
      </c>
      <c r="Z123" s="3011" t="s">
        <v>8624</v>
      </c>
      <c r="AA123" s="3007" t="s">
        <v>8625</v>
      </c>
      <c r="AB123" s="3007" t="s">
        <v>8626</v>
      </c>
      <c r="AC123" s="3007" t="s">
        <v>8627</v>
      </c>
      <c r="AD123" s="3006" t="s">
        <v>2148</v>
      </c>
      <c r="AF123" s="2730">
        <v>1</v>
      </c>
    </row>
    <row r="124" spans="2:32" ht="30" customHeight="1">
      <c r="B124" s="3008">
        <v>5</v>
      </c>
      <c r="C124" s="2991" t="s">
        <v>2962</v>
      </c>
      <c r="D124" s="2992" t="s">
        <v>8628</v>
      </c>
      <c r="E124" s="2993" t="s">
        <v>8629</v>
      </c>
      <c r="F124" s="1"/>
      <c r="G124" s="3008"/>
      <c r="H124" s="2991"/>
      <c r="I124" s="3010"/>
      <c r="J124" s="3010"/>
      <c r="L124" s="2983"/>
      <c r="M124" s="2984"/>
      <c r="N124" s="716"/>
      <c r="O124" s="2975"/>
      <c r="P124" s="2975"/>
      <c r="Q124" s="2840"/>
      <c r="R124" s="2998"/>
      <c r="S124" s="3061"/>
      <c r="T124" s="3004"/>
      <c r="U124" s="3004"/>
      <c r="W124" s="2998">
        <f t="shared" si="23"/>
        <v>19</v>
      </c>
      <c r="X124" s="3006" t="s">
        <v>2156</v>
      </c>
      <c r="Y124" s="3007" t="s">
        <v>8630</v>
      </c>
      <c r="Z124" s="3011" t="s">
        <v>8631</v>
      </c>
      <c r="AA124" s="3007" t="s">
        <v>8632</v>
      </c>
      <c r="AB124" s="3007" t="s">
        <v>8633</v>
      </c>
      <c r="AC124" s="3007" t="s">
        <v>8634</v>
      </c>
      <c r="AD124" s="3006" t="s">
        <v>2156</v>
      </c>
      <c r="AF124" s="2730">
        <v>1</v>
      </c>
    </row>
    <row r="125" spans="2:32" ht="30" customHeight="1">
      <c r="B125" s="3008">
        <v>6</v>
      </c>
      <c r="C125" s="2991" t="s">
        <v>2924</v>
      </c>
      <c r="D125" s="2992" t="s">
        <v>8635</v>
      </c>
      <c r="E125" s="2993" t="s">
        <v>8636</v>
      </c>
      <c r="F125" s="1"/>
      <c r="G125" s="3008"/>
      <c r="H125" s="2991"/>
      <c r="I125" s="3010"/>
      <c r="J125" s="3010"/>
      <c r="L125" s="2983"/>
      <c r="M125" s="2984"/>
      <c r="N125" s="716"/>
      <c r="O125" s="2975"/>
      <c r="P125" s="2975"/>
      <c r="Q125" s="2840"/>
      <c r="R125" s="2998"/>
      <c r="S125" s="3061"/>
      <c r="T125" s="3004"/>
      <c r="U125" s="3004"/>
      <c r="W125" s="2998">
        <f t="shared" si="23"/>
        <v>20</v>
      </c>
      <c r="X125" s="3006" t="s">
        <v>2162</v>
      </c>
      <c r="Y125" s="3007" t="s">
        <v>8637</v>
      </c>
      <c r="Z125" s="3011" t="s">
        <v>8638</v>
      </c>
      <c r="AA125" s="3007" t="s">
        <v>8639</v>
      </c>
      <c r="AB125" s="3007" t="s">
        <v>8640</v>
      </c>
      <c r="AC125" s="3007" t="s">
        <v>8641</v>
      </c>
      <c r="AD125" s="3006" t="s">
        <v>2162</v>
      </c>
      <c r="AF125" s="2730">
        <v>1</v>
      </c>
    </row>
    <row r="126" spans="2:32" ht="30" customHeight="1">
      <c r="B126" s="3062"/>
      <c r="D126" s="3041"/>
      <c r="E126" s="3042"/>
      <c r="F126" s="1"/>
      <c r="G126" s="3008"/>
      <c r="H126" s="2991"/>
      <c r="I126" s="3010"/>
      <c r="J126" s="3010"/>
      <c r="L126" s="2983"/>
      <c r="M126" s="2984"/>
      <c r="N126" s="716"/>
      <c r="O126" s="2975"/>
      <c r="P126" s="2975"/>
      <c r="Q126" s="2840"/>
      <c r="R126" s="2998"/>
      <c r="S126" s="3061"/>
      <c r="T126" s="3004"/>
      <c r="U126" s="3004"/>
      <c r="W126" s="2998">
        <f t="shared" si="23"/>
        <v>21</v>
      </c>
      <c r="X126" s="3006" t="s">
        <v>2171</v>
      </c>
      <c r="Y126" s="3007" t="s">
        <v>8642</v>
      </c>
      <c r="Z126" s="3011" t="s">
        <v>8643</v>
      </c>
      <c r="AA126" s="3007" t="s">
        <v>8644</v>
      </c>
      <c r="AB126" s="3007" t="s">
        <v>8645</v>
      </c>
      <c r="AC126" s="3007" t="s">
        <v>8646</v>
      </c>
      <c r="AD126" s="3006" t="s">
        <v>2171</v>
      </c>
      <c r="AF126" s="2730">
        <v>1</v>
      </c>
    </row>
    <row r="127" spans="2:32" ht="30" customHeight="1">
      <c r="B127" s="3045"/>
      <c r="C127" s="3035" t="s">
        <v>8647</v>
      </c>
      <c r="D127" s="3036" t="s">
        <v>8648</v>
      </c>
      <c r="E127" s="3037" t="s">
        <v>8649</v>
      </c>
      <c r="F127" s="1"/>
      <c r="G127" s="3008"/>
      <c r="H127" s="2991"/>
      <c r="I127" s="3010"/>
      <c r="J127" s="3010"/>
      <c r="L127" s="2983"/>
      <c r="M127" s="2984"/>
      <c r="N127" s="716"/>
      <c r="O127" s="2975"/>
      <c r="P127" s="2975"/>
      <c r="Q127" s="2840"/>
      <c r="R127" s="2998"/>
      <c r="S127" s="3061"/>
      <c r="T127" s="3004"/>
      <c r="U127" s="3004"/>
      <c r="W127" s="2998">
        <f t="shared" si="23"/>
        <v>22</v>
      </c>
      <c r="X127" s="3006" t="s">
        <v>2178</v>
      </c>
      <c r="Y127" s="3007" t="s">
        <v>8650</v>
      </c>
      <c r="Z127" s="3011" t="s">
        <v>8651</v>
      </c>
      <c r="AA127" s="3007" t="s">
        <v>8652</v>
      </c>
      <c r="AB127" s="3007" t="s">
        <v>8653</v>
      </c>
      <c r="AC127" s="3007" t="s">
        <v>8654</v>
      </c>
      <c r="AD127" s="3006" t="s">
        <v>2178</v>
      </c>
      <c r="AF127" s="2730">
        <v>1</v>
      </c>
    </row>
    <row r="128" spans="2:32" ht="30" customHeight="1">
      <c r="B128" s="3008">
        <v>1</v>
      </c>
      <c r="C128" s="2991" t="s">
        <v>2965</v>
      </c>
      <c r="D128" s="2992" t="s">
        <v>8655</v>
      </c>
      <c r="E128" s="2993" t="s">
        <v>8656</v>
      </c>
      <c r="F128" s="1"/>
      <c r="G128" s="3008"/>
      <c r="H128" s="2991"/>
      <c r="I128" s="3010"/>
      <c r="J128" s="3010"/>
      <c r="L128" s="2983"/>
      <c r="M128" s="2984"/>
      <c r="N128" s="716"/>
      <c r="O128" s="2975"/>
      <c r="P128" s="2975"/>
      <c r="Q128" s="2840"/>
      <c r="R128" s="2998"/>
      <c r="S128" s="3061"/>
      <c r="T128" s="3004"/>
      <c r="U128" s="3004"/>
      <c r="W128" s="2998">
        <f t="shared" si="23"/>
        <v>23</v>
      </c>
      <c r="X128" s="3006" t="s">
        <v>2185</v>
      </c>
      <c r="Y128" s="3007" t="s">
        <v>8657</v>
      </c>
      <c r="Z128" s="3011" t="s">
        <v>8658</v>
      </c>
      <c r="AA128" s="3007" t="s">
        <v>8659</v>
      </c>
      <c r="AB128" s="3007" t="s">
        <v>8660</v>
      </c>
      <c r="AC128" s="3007" t="s">
        <v>8661</v>
      </c>
      <c r="AD128" s="3006" t="s">
        <v>2185</v>
      </c>
      <c r="AF128" s="2730">
        <v>1</v>
      </c>
    </row>
    <row r="129" spans="2:32" ht="30" customHeight="1">
      <c r="B129" s="3008">
        <v>2</v>
      </c>
      <c r="C129" s="2991" t="s">
        <v>8662</v>
      </c>
      <c r="D129" s="2992" t="s">
        <v>8663</v>
      </c>
      <c r="E129" s="2993" t="s">
        <v>8664</v>
      </c>
      <c r="F129" s="1"/>
      <c r="G129" s="3008"/>
      <c r="H129" s="2991"/>
      <c r="I129" s="3010"/>
      <c r="J129" s="3010"/>
      <c r="L129" s="2983"/>
      <c r="M129" s="2984"/>
      <c r="N129" s="716"/>
      <c r="O129" s="2975"/>
      <c r="P129" s="2975"/>
      <c r="Q129" s="2840"/>
      <c r="R129" s="2998"/>
      <c r="S129" s="3061"/>
      <c r="T129" s="3004"/>
      <c r="U129" s="3004"/>
      <c r="W129" s="2998">
        <f t="shared" si="23"/>
        <v>24</v>
      </c>
      <c r="X129" s="3006" t="s">
        <v>2193</v>
      </c>
      <c r="Y129" s="3007" t="s">
        <v>8665</v>
      </c>
      <c r="Z129" s="3011" t="s">
        <v>8666</v>
      </c>
      <c r="AA129" s="3007" t="s">
        <v>8667</v>
      </c>
      <c r="AB129" s="3007" t="s">
        <v>8668</v>
      </c>
      <c r="AC129" s="3007" t="s">
        <v>8669</v>
      </c>
      <c r="AD129" s="3006" t="s">
        <v>2193</v>
      </c>
      <c r="AF129" s="2730">
        <v>1</v>
      </c>
    </row>
    <row r="130" spans="2:32" ht="30" customHeight="1">
      <c r="B130" s="3008">
        <v>3</v>
      </c>
      <c r="C130" s="2991" t="s">
        <v>8670</v>
      </c>
      <c r="D130" s="2992" t="s">
        <v>8671</v>
      </c>
      <c r="E130" s="2993" t="s">
        <v>8672</v>
      </c>
      <c r="F130" s="1"/>
      <c r="G130" s="3008"/>
      <c r="H130" s="2991"/>
      <c r="I130" s="3010"/>
      <c r="J130" s="3010"/>
      <c r="L130" s="2983"/>
      <c r="M130" s="2984"/>
      <c r="N130" s="716"/>
      <c r="O130" s="2975"/>
      <c r="P130" s="2975"/>
      <c r="Q130" s="2840"/>
      <c r="R130" s="2998"/>
      <c r="S130" s="3061"/>
      <c r="T130" s="3004"/>
      <c r="U130" s="3004"/>
      <c r="W130" s="2998">
        <f t="shared" si="23"/>
        <v>25</v>
      </c>
      <c r="X130" s="3006" t="s">
        <v>2203</v>
      </c>
      <c r="Y130" s="3007" t="s">
        <v>8673</v>
      </c>
      <c r="Z130" s="3011" t="s">
        <v>8674</v>
      </c>
      <c r="AA130" s="3007" t="s">
        <v>8675</v>
      </c>
      <c r="AB130" s="3007" t="s">
        <v>8676</v>
      </c>
      <c r="AC130" s="3007" t="s">
        <v>8677</v>
      </c>
      <c r="AD130" s="3006" t="s">
        <v>2203</v>
      </c>
      <c r="AF130" s="2730">
        <v>1</v>
      </c>
    </row>
    <row r="131" spans="2:32" ht="30" customHeight="1">
      <c r="B131" s="3008">
        <v>4</v>
      </c>
      <c r="C131" s="2991" t="s">
        <v>2966</v>
      </c>
      <c r="D131" s="2992" t="s">
        <v>8678</v>
      </c>
      <c r="E131" s="2993" t="s">
        <v>8679</v>
      </c>
      <c r="F131" s="1"/>
      <c r="G131" s="3008"/>
      <c r="H131" s="2991"/>
      <c r="I131" s="3010"/>
      <c r="J131" s="3010"/>
      <c r="L131" s="2983"/>
      <c r="M131" s="2984"/>
      <c r="N131" s="716"/>
      <c r="O131" s="2975"/>
      <c r="P131" s="2975"/>
      <c r="Q131" s="2840"/>
      <c r="R131" s="2998"/>
      <c r="S131" s="3061"/>
      <c r="T131" s="3004"/>
      <c r="U131" s="3004"/>
      <c r="W131" s="2998">
        <f t="shared" si="23"/>
        <v>26</v>
      </c>
      <c r="X131" s="3006" t="s">
        <v>2210</v>
      </c>
      <c r="Y131" s="3007" t="s">
        <v>8680</v>
      </c>
      <c r="Z131" s="3011" t="s">
        <v>8681</v>
      </c>
      <c r="AA131" s="3007" t="s">
        <v>8682</v>
      </c>
      <c r="AB131" s="3007" t="s">
        <v>8683</v>
      </c>
      <c r="AC131" s="3007" t="s">
        <v>8684</v>
      </c>
      <c r="AD131" s="3006" t="s">
        <v>2210</v>
      </c>
      <c r="AF131" s="2730">
        <v>1</v>
      </c>
    </row>
    <row r="132" spans="2:32" ht="30" customHeight="1">
      <c r="B132" s="3008">
        <v>5</v>
      </c>
      <c r="C132" s="2991" t="s">
        <v>2968</v>
      </c>
      <c r="D132" s="2992" t="s">
        <v>8163</v>
      </c>
      <c r="E132" s="2993" t="s">
        <v>8685</v>
      </c>
      <c r="F132" s="1"/>
      <c r="G132" s="3008"/>
      <c r="H132" s="2991"/>
      <c r="I132" s="3010"/>
      <c r="J132" s="3010"/>
      <c r="L132" s="2983"/>
      <c r="M132" s="2984"/>
      <c r="N132" s="716"/>
      <c r="O132" s="2975"/>
      <c r="P132" s="2975"/>
      <c r="Q132" s="2840"/>
      <c r="R132" s="2998"/>
      <c r="S132" s="3061"/>
      <c r="T132" s="3004"/>
      <c r="U132" s="3004"/>
      <c r="W132" s="2998">
        <f t="shared" si="23"/>
        <v>27</v>
      </c>
      <c r="X132" s="3006" t="s">
        <v>2059</v>
      </c>
      <c r="Y132" s="3007" t="s">
        <v>8686</v>
      </c>
      <c r="Z132" s="3011" t="s">
        <v>8687</v>
      </c>
      <c r="AA132" s="3007" t="s">
        <v>8688</v>
      </c>
      <c r="AB132" s="3007" t="s">
        <v>8689</v>
      </c>
      <c r="AC132" s="3007" t="s">
        <v>8690</v>
      </c>
      <c r="AD132" s="3006" t="s">
        <v>2059</v>
      </c>
      <c r="AF132" s="2730">
        <v>1</v>
      </c>
    </row>
    <row r="133" spans="2:32" ht="30" customHeight="1">
      <c r="B133" s="3008">
        <v>6</v>
      </c>
      <c r="C133" s="2991" t="s">
        <v>2969</v>
      </c>
      <c r="D133" s="2992" t="s">
        <v>8691</v>
      </c>
      <c r="E133" s="2993" t="s">
        <v>8685</v>
      </c>
      <c r="F133" s="1"/>
      <c r="G133" s="3008"/>
      <c r="H133" s="2991"/>
      <c r="I133" s="3010"/>
      <c r="J133" s="3010"/>
      <c r="L133" s="2983"/>
      <c r="M133" s="2984"/>
      <c r="N133" s="716"/>
      <c r="O133" s="2975"/>
      <c r="P133" s="2975"/>
      <c r="Q133" s="2840"/>
      <c r="R133" s="2998"/>
      <c r="S133" s="3061"/>
      <c r="T133" s="3004"/>
      <c r="U133" s="3004"/>
      <c r="W133" s="2998">
        <f t="shared" si="23"/>
        <v>28</v>
      </c>
      <c r="X133" s="3006" t="s">
        <v>8692</v>
      </c>
      <c r="Y133" s="3007" t="s">
        <v>8693</v>
      </c>
      <c r="Z133" s="3011" t="s">
        <v>8694</v>
      </c>
      <c r="AA133" s="3007" t="s">
        <v>8695</v>
      </c>
      <c r="AB133" s="3007" t="s">
        <v>8696</v>
      </c>
      <c r="AC133" s="3007" t="s">
        <v>8697</v>
      </c>
      <c r="AD133" s="3006" t="s">
        <v>8692</v>
      </c>
      <c r="AF133" s="2730">
        <v>1</v>
      </c>
    </row>
    <row r="134" spans="2:32" ht="30" customHeight="1">
      <c r="B134" s="3008">
        <v>7</v>
      </c>
      <c r="C134" s="2991" t="s">
        <v>2970</v>
      </c>
      <c r="D134" s="2992" t="s">
        <v>8698</v>
      </c>
      <c r="E134" s="2993" t="s">
        <v>8699</v>
      </c>
      <c r="F134" s="1"/>
      <c r="G134" s="3008"/>
      <c r="H134" s="2991"/>
      <c r="I134" s="3010"/>
      <c r="J134" s="3010"/>
      <c r="L134" s="2983"/>
      <c r="M134" s="2984"/>
      <c r="N134" s="716"/>
      <c r="O134" s="2975"/>
      <c r="P134" s="2975"/>
      <c r="Q134" s="2840"/>
      <c r="R134" s="2998"/>
      <c r="S134" s="3061"/>
      <c r="T134" s="3004"/>
      <c r="U134" s="3004"/>
      <c r="W134" s="2998">
        <f t="shared" si="23"/>
        <v>29</v>
      </c>
      <c r="X134" s="3006" t="s">
        <v>8700</v>
      </c>
      <c r="Y134" s="3007" t="s">
        <v>8701</v>
      </c>
      <c r="Z134" s="3011" t="s">
        <v>8702</v>
      </c>
      <c r="AA134" s="3007" t="s">
        <v>8703</v>
      </c>
      <c r="AB134" s="3007" t="s">
        <v>8704</v>
      </c>
      <c r="AC134" s="3007" t="s">
        <v>8705</v>
      </c>
      <c r="AD134" s="3006" t="s">
        <v>8700</v>
      </c>
      <c r="AF134" s="2730">
        <v>1</v>
      </c>
    </row>
    <row r="135" spans="2:32" ht="30" customHeight="1">
      <c r="B135" s="3008"/>
      <c r="D135" s="3041"/>
      <c r="E135" s="3042"/>
      <c r="F135" s="1"/>
      <c r="G135" s="3008"/>
      <c r="H135" s="2991"/>
      <c r="I135" s="3010"/>
      <c r="J135" s="3010"/>
      <c r="L135" s="2983"/>
      <c r="M135" s="2984"/>
      <c r="N135" s="716"/>
      <c r="O135" s="2975"/>
      <c r="P135" s="2975"/>
      <c r="Q135" s="2840"/>
      <c r="R135" s="2998"/>
      <c r="S135" s="3061"/>
      <c r="T135" s="3004"/>
      <c r="U135" s="3004"/>
      <c r="W135" s="2998">
        <f t="shared" si="23"/>
        <v>30</v>
      </c>
      <c r="X135" s="3006" t="s">
        <v>8706</v>
      </c>
      <c r="Y135" s="3007" t="s">
        <v>8707</v>
      </c>
      <c r="Z135" s="3011" t="s">
        <v>8708</v>
      </c>
      <c r="AA135" s="3007" t="s">
        <v>8709</v>
      </c>
      <c r="AB135" s="3007" t="s">
        <v>8710</v>
      </c>
      <c r="AC135" s="3007" t="s">
        <v>8711</v>
      </c>
      <c r="AD135" s="3006" t="s">
        <v>8706</v>
      </c>
      <c r="AF135" s="2730">
        <v>1</v>
      </c>
    </row>
    <row r="136" spans="2:32" ht="30" customHeight="1">
      <c r="B136" s="3045"/>
      <c r="C136" s="3035" t="s">
        <v>8712</v>
      </c>
      <c r="D136" s="3036" t="s">
        <v>8712</v>
      </c>
      <c r="E136" s="3037" t="s">
        <v>8713</v>
      </c>
      <c r="F136" s="1"/>
      <c r="G136" s="3008"/>
      <c r="H136" s="2991"/>
      <c r="I136" s="3010"/>
      <c r="J136" s="3010"/>
      <c r="L136" s="2983"/>
      <c r="M136" s="2984"/>
      <c r="N136" s="716"/>
      <c r="O136" s="2975"/>
      <c r="P136" s="2975"/>
      <c r="Q136" s="2840"/>
      <c r="R136" s="2998"/>
      <c r="S136" s="3061"/>
      <c r="T136" s="3004"/>
      <c r="U136" s="3004"/>
      <c r="W136" s="2998">
        <f t="shared" si="23"/>
        <v>31</v>
      </c>
      <c r="X136" s="3006" t="s">
        <v>8714</v>
      </c>
      <c r="Y136" s="3007" t="s">
        <v>8715</v>
      </c>
      <c r="Z136" s="3011" t="s">
        <v>8716</v>
      </c>
      <c r="AA136" s="3007" t="s">
        <v>8717</v>
      </c>
      <c r="AB136" s="3007" t="s">
        <v>8718</v>
      </c>
      <c r="AC136" s="3007" t="s">
        <v>8719</v>
      </c>
      <c r="AD136" s="3006" t="s">
        <v>8714</v>
      </c>
      <c r="AF136" s="2730">
        <v>1</v>
      </c>
    </row>
    <row r="137" spans="2:32" ht="30" customHeight="1">
      <c r="B137" s="3008">
        <v>1</v>
      </c>
      <c r="C137" s="2991" t="s">
        <v>2971</v>
      </c>
      <c r="D137" s="2992" t="s">
        <v>8720</v>
      </c>
      <c r="E137" s="2993" t="s">
        <v>8721</v>
      </c>
      <c r="F137" s="1"/>
      <c r="G137" s="3008"/>
      <c r="H137" s="2991"/>
      <c r="I137" s="3010"/>
      <c r="J137" s="3010"/>
      <c r="L137" s="2983"/>
      <c r="M137" s="2984"/>
      <c r="N137" s="716"/>
      <c r="O137" s="2975"/>
      <c r="P137" s="2975"/>
      <c r="Q137" s="2840"/>
      <c r="R137" s="2998"/>
      <c r="S137" s="3061"/>
      <c r="T137" s="3004"/>
      <c r="U137" s="3004"/>
      <c r="W137" s="2998">
        <f t="shared" si="23"/>
        <v>32</v>
      </c>
      <c r="X137" s="3006" t="s">
        <v>8722</v>
      </c>
      <c r="Y137" s="3007" t="s">
        <v>8723</v>
      </c>
      <c r="Z137" s="3011" t="s">
        <v>8724</v>
      </c>
      <c r="AA137" s="3007" t="s">
        <v>8725</v>
      </c>
      <c r="AB137" s="3007" t="s">
        <v>8726</v>
      </c>
      <c r="AC137" s="3007" t="s">
        <v>8727</v>
      </c>
      <c r="AD137" s="3006" t="s">
        <v>8722</v>
      </c>
      <c r="AF137" s="2730">
        <v>1</v>
      </c>
    </row>
    <row r="138" spans="2:32" ht="30" customHeight="1">
      <c r="B138" s="3008"/>
      <c r="C138" s="2991"/>
      <c r="D138" s="2992"/>
      <c r="E138" s="2993"/>
      <c r="F138" s="1"/>
      <c r="G138" s="3008"/>
      <c r="H138" s="2991"/>
      <c r="I138" s="3010"/>
      <c r="J138" s="3010"/>
      <c r="L138" s="2983"/>
      <c r="M138" s="2984"/>
      <c r="N138" s="716"/>
      <c r="O138" s="2975"/>
      <c r="P138" s="2975"/>
      <c r="Q138" s="2840"/>
      <c r="R138" s="2998"/>
      <c r="S138" s="3061"/>
      <c r="T138" s="3004"/>
      <c r="U138" s="3004"/>
      <c r="W138" s="2998">
        <f t="shared" si="23"/>
        <v>33</v>
      </c>
      <c r="X138" s="3006" t="s">
        <v>8728</v>
      </c>
      <c r="Y138" s="3007" t="s">
        <v>8729</v>
      </c>
      <c r="Z138" s="3011" t="s">
        <v>8730</v>
      </c>
      <c r="AA138" s="3007" t="s">
        <v>8731</v>
      </c>
      <c r="AB138" s="3007" t="s">
        <v>8732</v>
      </c>
      <c r="AC138" s="3007" t="s">
        <v>8733</v>
      </c>
      <c r="AD138" s="3006" t="s">
        <v>8728</v>
      </c>
      <c r="AF138" s="2730">
        <v>1</v>
      </c>
    </row>
    <row r="139" spans="2:32" ht="30" customHeight="1">
      <c r="B139" s="3045"/>
      <c r="C139" s="3035" t="s">
        <v>8734</v>
      </c>
      <c r="D139" s="3036" t="s">
        <v>8735</v>
      </c>
      <c r="E139" s="3037" t="s">
        <v>8736</v>
      </c>
      <c r="F139" s="1"/>
      <c r="G139" s="3008"/>
      <c r="H139" s="2991"/>
      <c r="I139" s="3010"/>
      <c r="J139" s="3010"/>
      <c r="L139" s="2983"/>
      <c r="M139" s="2984"/>
      <c r="N139" s="716"/>
      <c r="O139" s="2975"/>
      <c r="P139" s="2975"/>
      <c r="Q139" s="2840"/>
      <c r="R139" s="2998"/>
      <c r="S139" s="3061"/>
      <c r="T139" s="3004"/>
      <c r="U139" s="3004"/>
      <c r="W139" s="2998">
        <f t="shared" si="23"/>
        <v>34</v>
      </c>
      <c r="X139" s="3006" t="s">
        <v>2082</v>
      </c>
      <c r="Y139" s="3007" t="s">
        <v>8737</v>
      </c>
      <c r="Z139" s="3011" t="s">
        <v>8738</v>
      </c>
      <c r="AA139" s="3007" t="s">
        <v>8739</v>
      </c>
      <c r="AB139" s="3007" t="s">
        <v>8740</v>
      </c>
      <c r="AC139" s="3007" t="s">
        <v>8741</v>
      </c>
      <c r="AD139" s="3006" t="s">
        <v>2082</v>
      </c>
      <c r="AF139" s="2730">
        <v>1</v>
      </c>
    </row>
    <row r="140" spans="2:32" ht="30" customHeight="1">
      <c r="B140" s="3063"/>
      <c r="C140" s="2876"/>
      <c r="D140" s="2975"/>
      <c r="E140" s="3064"/>
      <c r="F140" s="1"/>
      <c r="G140" s="3008"/>
      <c r="H140" s="2991"/>
      <c r="I140" s="3010"/>
      <c r="J140" s="3010"/>
      <c r="L140" s="2983"/>
      <c r="M140" s="2984"/>
      <c r="N140" s="716"/>
      <c r="O140" s="2975"/>
      <c r="P140" s="2975"/>
      <c r="Q140" s="2840"/>
      <c r="R140" s="2998"/>
      <c r="S140" s="3061"/>
      <c r="T140" s="3004"/>
      <c r="U140" s="3004"/>
      <c r="W140" s="2998">
        <f t="shared" si="23"/>
        <v>35</v>
      </c>
      <c r="X140" s="3006" t="s">
        <v>2095</v>
      </c>
      <c r="Y140" s="3007" t="s">
        <v>8742</v>
      </c>
      <c r="Z140" s="3011" t="s">
        <v>8743</v>
      </c>
      <c r="AA140" s="3007" t="s">
        <v>8744</v>
      </c>
      <c r="AB140" s="3007" t="s">
        <v>8745</v>
      </c>
      <c r="AC140" s="3007" t="s">
        <v>8746</v>
      </c>
      <c r="AD140" s="3006" t="s">
        <v>2095</v>
      </c>
      <c r="AF140" s="2730">
        <v>1</v>
      </c>
    </row>
    <row r="141" spans="2:32" ht="30" customHeight="1">
      <c r="B141" s="3065">
        <v>1</v>
      </c>
      <c r="C141" s="2876" t="s">
        <v>8747</v>
      </c>
      <c r="D141" s="2975"/>
      <c r="E141" s="3064"/>
      <c r="F141" s="1"/>
      <c r="G141" s="3008"/>
      <c r="H141" s="2991"/>
      <c r="I141" s="3010"/>
      <c r="J141" s="3010"/>
      <c r="L141" s="2983"/>
      <c r="M141" s="2984"/>
      <c r="N141" s="716"/>
      <c r="O141" s="2975"/>
      <c r="P141" s="2975"/>
      <c r="Q141" s="2840"/>
      <c r="R141" s="2998"/>
      <c r="S141" s="3061"/>
      <c r="T141" s="3004"/>
      <c r="U141" s="3004"/>
      <c r="W141" s="2998">
        <f t="shared" si="23"/>
        <v>36</v>
      </c>
      <c r="X141" s="3006" t="s">
        <v>2866</v>
      </c>
      <c r="Y141" s="3007" t="s">
        <v>8748</v>
      </c>
      <c r="Z141" s="3011" t="s">
        <v>8749</v>
      </c>
      <c r="AA141" s="3007" t="s">
        <v>8750</v>
      </c>
      <c r="AB141" s="3007" t="s">
        <v>8751</v>
      </c>
      <c r="AC141" s="3007" t="s">
        <v>8752</v>
      </c>
      <c r="AD141" s="3006" t="s">
        <v>2866</v>
      </c>
      <c r="AF141" s="2730">
        <v>1</v>
      </c>
    </row>
    <row r="142" spans="2:32" ht="30" customHeight="1">
      <c r="B142" s="3065">
        <v>2</v>
      </c>
      <c r="C142" s="2876" t="s">
        <v>8753</v>
      </c>
      <c r="D142" s="2975"/>
      <c r="E142" s="3064"/>
      <c r="F142" s="1"/>
      <c r="G142" s="3008"/>
      <c r="H142" s="2991"/>
      <c r="I142" s="3010"/>
      <c r="J142" s="3010"/>
      <c r="L142" s="2983"/>
      <c r="M142" s="2984"/>
      <c r="N142" s="716"/>
      <c r="O142" s="2975"/>
      <c r="P142" s="2975"/>
      <c r="Q142" s="2840"/>
      <c r="R142" s="2998"/>
      <c r="S142" s="3061"/>
      <c r="T142" s="3004"/>
      <c r="U142" s="3004"/>
      <c r="W142" s="2998">
        <f t="shared" si="23"/>
        <v>37</v>
      </c>
      <c r="X142" s="3006" t="s">
        <v>8754</v>
      </c>
      <c r="Y142" s="3007" t="s">
        <v>8755</v>
      </c>
      <c r="Z142" s="3011" t="s">
        <v>8756</v>
      </c>
      <c r="AA142" s="3007" t="s">
        <v>8757</v>
      </c>
      <c r="AB142" s="3007" t="s">
        <v>8758</v>
      </c>
      <c r="AC142" s="3007" t="s">
        <v>8759</v>
      </c>
      <c r="AD142" s="3006" t="s">
        <v>8754</v>
      </c>
      <c r="AF142" s="2730">
        <v>1</v>
      </c>
    </row>
    <row r="143" spans="2:32" ht="30" customHeight="1">
      <c r="B143" s="3065">
        <v>3</v>
      </c>
      <c r="C143" s="2876" t="s">
        <v>8760</v>
      </c>
      <c r="D143" s="2975"/>
      <c r="E143" s="3064"/>
      <c r="F143" s="1"/>
      <c r="G143" s="3008"/>
      <c r="H143" s="2991"/>
      <c r="I143" s="3010"/>
      <c r="J143" s="3010"/>
      <c r="L143" s="2983"/>
      <c r="M143" s="2984"/>
      <c r="N143" s="716"/>
      <c r="O143" s="2975"/>
      <c r="P143" s="2975"/>
      <c r="Q143" s="2840"/>
      <c r="R143" s="2998"/>
      <c r="S143" s="3061"/>
      <c r="T143" s="3004"/>
      <c r="U143" s="3004"/>
      <c r="W143" s="2998">
        <f t="shared" si="23"/>
        <v>38</v>
      </c>
      <c r="X143" s="3006" t="s">
        <v>8761</v>
      </c>
      <c r="Y143" s="3007" t="s">
        <v>8762</v>
      </c>
      <c r="Z143" s="3011" t="s">
        <v>8763</v>
      </c>
      <c r="AA143" s="3007" t="s">
        <v>8764</v>
      </c>
      <c r="AB143" s="3007" t="s">
        <v>8765</v>
      </c>
      <c r="AC143" s="3007" t="s">
        <v>8766</v>
      </c>
      <c r="AD143" s="3006" t="s">
        <v>8761</v>
      </c>
      <c r="AF143" s="2730">
        <v>1</v>
      </c>
    </row>
    <row r="144" spans="2:32" ht="30" customHeight="1">
      <c r="B144" s="3065">
        <v>4</v>
      </c>
      <c r="C144" s="2876" t="s">
        <v>8767</v>
      </c>
      <c r="D144" s="2975"/>
      <c r="E144" s="3064"/>
      <c r="F144" s="1"/>
      <c r="G144" s="3008"/>
      <c r="H144" s="2991"/>
      <c r="I144" s="3010"/>
      <c r="J144" s="3010"/>
      <c r="L144" s="2983"/>
      <c r="M144" s="2984"/>
      <c r="N144" s="716"/>
      <c r="O144" s="2975"/>
      <c r="P144" s="2975"/>
      <c r="Q144" s="2840"/>
      <c r="R144" s="2998"/>
      <c r="S144" s="3061"/>
      <c r="T144" s="3004"/>
      <c r="U144" s="3004"/>
      <c r="W144" s="2998">
        <f t="shared" si="23"/>
        <v>39</v>
      </c>
      <c r="X144" s="3006" t="s">
        <v>8768</v>
      </c>
      <c r="Y144" s="3007" t="s">
        <v>8769</v>
      </c>
      <c r="Z144" s="3011" t="s">
        <v>8770</v>
      </c>
      <c r="AA144" s="3007" t="s">
        <v>8771</v>
      </c>
      <c r="AB144" s="3007" t="s">
        <v>8772</v>
      </c>
      <c r="AC144" s="3007" t="s">
        <v>8773</v>
      </c>
      <c r="AD144" s="3006" t="s">
        <v>8768</v>
      </c>
      <c r="AF144" s="2730">
        <v>1</v>
      </c>
    </row>
    <row r="145" spans="2:32" ht="30" customHeight="1">
      <c r="B145" s="3065">
        <v>5</v>
      </c>
      <c r="C145" s="2876" t="s">
        <v>8774</v>
      </c>
      <c r="D145" s="2975"/>
      <c r="E145" s="3064"/>
      <c r="F145" s="1"/>
      <c r="G145" s="3008"/>
      <c r="H145" s="2991"/>
      <c r="I145" s="3010"/>
      <c r="J145" s="3010"/>
      <c r="L145" s="2983"/>
      <c r="M145" s="2984"/>
      <c r="N145" s="716"/>
      <c r="O145" s="2975"/>
      <c r="P145" s="2975"/>
      <c r="Q145" s="2840"/>
      <c r="R145" s="2998"/>
      <c r="S145" s="3061"/>
      <c r="T145" s="3004"/>
      <c r="U145" s="3004"/>
      <c r="W145" s="2998">
        <f t="shared" si="23"/>
        <v>40</v>
      </c>
      <c r="X145" s="3006" t="s">
        <v>8775</v>
      </c>
      <c r="Y145" s="3007" t="s">
        <v>8776</v>
      </c>
      <c r="Z145" s="3011" t="s">
        <v>8777</v>
      </c>
      <c r="AA145" s="3007" t="s">
        <v>8778</v>
      </c>
      <c r="AB145" s="3007" t="s">
        <v>8779</v>
      </c>
      <c r="AC145" s="3007" t="s">
        <v>8780</v>
      </c>
      <c r="AD145" s="3006" t="s">
        <v>8775</v>
      </c>
      <c r="AF145" s="2730">
        <v>1</v>
      </c>
    </row>
    <row r="146" spans="2:32" ht="30" customHeight="1">
      <c r="B146" s="3065">
        <v>6</v>
      </c>
      <c r="C146" s="2876" t="s">
        <v>8781</v>
      </c>
      <c r="D146" s="2975"/>
      <c r="E146" s="3064"/>
      <c r="F146" s="1"/>
      <c r="G146" s="3008"/>
      <c r="H146" s="2991"/>
      <c r="I146" s="3010"/>
      <c r="J146" s="3010"/>
      <c r="L146" s="2983"/>
      <c r="M146" s="2984"/>
      <c r="N146" s="716"/>
      <c r="O146" s="2975"/>
      <c r="P146" s="2975"/>
      <c r="Q146" s="2840"/>
      <c r="R146" s="2998"/>
      <c r="S146" s="3061"/>
      <c r="T146" s="3004"/>
      <c r="U146" s="3004"/>
      <c r="W146" s="2998">
        <f t="shared" si="23"/>
        <v>41</v>
      </c>
      <c r="X146" s="3006" t="s">
        <v>2236</v>
      </c>
      <c r="Y146" s="3007" t="s">
        <v>8782</v>
      </c>
      <c r="Z146" s="3011" t="s">
        <v>8783</v>
      </c>
      <c r="AA146" s="3007" t="s">
        <v>8784</v>
      </c>
      <c r="AB146" s="3007" t="s">
        <v>8785</v>
      </c>
      <c r="AC146" s="3007" t="s">
        <v>8786</v>
      </c>
      <c r="AD146" s="3006" t="s">
        <v>2236</v>
      </c>
      <c r="AF146" s="2730">
        <v>1</v>
      </c>
    </row>
    <row r="147" spans="2:32" ht="30" customHeight="1">
      <c r="B147" s="3066">
        <v>7</v>
      </c>
      <c r="C147" s="3067" t="s">
        <v>8787</v>
      </c>
      <c r="D147" s="3068"/>
      <c r="E147" s="3069"/>
      <c r="F147" s="1"/>
      <c r="G147" s="3008"/>
      <c r="H147" s="2991"/>
      <c r="I147" s="3010"/>
      <c r="J147" s="3010"/>
      <c r="L147" s="2983"/>
      <c r="M147" s="2984"/>
      <c r="N147" s="716"/>
      <c r="O147" s="2975"/>
      <c r="P147" s="2975"/>
      <c r="Q147" s="2840"/>
      <c r="R147" s="2998"/>
      <c r="S147" s="3061"/>
      <c r="T147" s="3004"/>
      <c r="U147" s="3004"/>
      <c r="W147" s="2998">
        <f t="shared" si="23"/>
        <v>42</v>
      </c>
      <c r="X147" s="3006" t="s">
        <v>2104</v>
      </c>
      <c r="Y147" s="3007" t="s">
        <v>8788</v>
      </c>
      <c r="Z147" s="3011" t="s">
        <v>8789</v>
      </c>
      <c r="AA147" s="3007" t="s">
        <v>8790</v>
      </c>
      <c r="AB147" s="3007" t="s">
        <v>8791</v>
      </c>
      <c r="AC147" s="3007" t="s">
        <v>8792</v>
      </c>
      <c r="AD147" s="3006" t="s">
        <v>2104</v>
      </c>
      <c r="AF147" s="2730">
        <v>1</v>
      </c>
    </row>
    <row r="148" spans="2:32" ht="30" customHeight="1">
      <c r="B148" s="3065"/>
      <c r="C148" s="2876"/>
      <c r="D148" s="2975"/>
      <c r="E148" s="3064"/>
      <c r="F148" s="1"/>
      <c r="G148" s="3008"/>
      <c r="H148" s="2991"/>
      <c r="I148" s="3010"/>
      <c r="J148" s="3010"/>
      <c r="L148" s="2983"/>
      <c r="M148" s="2984"/>
      <c r="N148" s="716"/>
      <c r="O148" s="2975"/>
      <c r="P148" s="2975"/>
      <c r="Q148" s="2840"/>
      <c r="R148" s="2998"/>
      <c r="S148" s="3061"/>
      <c r="T148" s="3004"/>
      <c r="U148" s="3004"/>
      <c r="W148" s="2998">
        <f t="shared" si="23"/>
        <v>43</v>
      </c>
      <c r="X148" s="3006" t="s">
        <v>2249</v>
      </c>
      <c r="Y148" s="3007" t="s">
        <v>8793</v>
      </c>
      <c r="Z148" s="3011" t="s">
        <v>8794</v>
      </c>
      <c r="AA148" s="3007" t="s">
        <v>8795</v>
      </c>
      <c r="AB148" s="3007" t="s">
        <v>8796</v>
      </c>
      <c r="AC148" s="3007" t="s">
        <v>8797</v>
      </c>
      <c r="AD148" s="3006" t="s">
        <v>2249</v>
      </c>
      <c r="AF148" s="2730">
        <v>1</v>
      </c>
    </row>
    <row r="149" spans="2:32" ht="30" customHeight="1">
      <c r="B149" s="3070"/>
      <c r="C149" s="2979" t="s">
        <v>8798</v>
      </c>
      <c r="D149" s="3071" t="s">
        <v>8799</v>
      </c>
      <c r="E149" s="3072" t="s">
        <v>8800</v>
      </c>
      <c r="F149" s="1"/>
      <c r="G149" s="3008"/>
      <c r="H149" s="2991"/>
      <c r="I149" s="3010"/>
      <c r="J149" s="3010"/>
      <c r="L149" s="2983"/>
      <c r="M149" s="2984"/>
      <c r="N149" s="716"/>
      <c r="O149" s="2975"/>
      <c r="P149" s="2975"/>
      <c r="Q149" s="2840"/>
      <c r="R149" s="2998"/>
      <c r="S149" s="3061"/>
      <c r="T149" s="3004"/>
      <c r="U149" s="3004"/>
      <c r="W149" s="2998">
        <f t="shared" si="23"/>
        <v>44</v>
      </c>
      <c r="X149" s="3006" t="s">
        <v>2206</v>
      </c>
      <c r="Y149" s="3007" t="s">
        <v>8801</v>
      </c>
      <c r="Z149" s="3011" t="s">
        <v>8802</v>
      </c>
      <c r="AA149" s="3007" t="s">
        <v>8803</v>
      </c>
      <c r="AB149" s="3007" t="s">
        <v>8804</v>
      </c>
      <c r="AC149" s="3007" t="s">
        <v>8805</v>
      </c>
      <c r="AD149" s="3006" t="s">
        <v>2206</v>
      </c>
      <c r="AF149" s="2730">
        <v>1</v>
      </c>
    </row>
    <row r="150" spans="2:32" ht="30" customHeight="1">
      <c r="B150" s="3065"/>
      <c r="C150" s="2876"/>
      <c r="D150" s="2975"/>
      <c r="E150" s="3064"/>
      <c r="F150" s="1"/>
      <c r="G150" s="3008"/>
      <c r="H150" s="2991"/>
      <c r="I150" s="3010"/>
      <c r="J150" s="3010"/>
      <c r="L150" s="2983"/>
      <c r="M150" s="2984"/>
      <c r="N150" s="716"/>
      <c r="O150" s="2975"/>
      <c r="P150" s="2975"/>
      <c r="Q150" s="2840"/>
      <c r="R150" s="2998"/>
      <c r="S150" s="3061"/>
      <c r="T150" s="3004"/>
      <c r="U150" s="3004"/>
      <c r="W150" s="2998">
        <f t="shared" si="23"/>
        <v>45</v>
      </c>
      <c r="X150" s="3006" t="s">
        <v>8806</v>
      </c>
      <c r="Y150" s="3007" t="s">
        <v>8807</v>
      </c>
      <c r="Z150" s="3011" t="s">
        <v>8808</v>
      </c>
      <c r="AA150" s="3007" t="s">
        <v>8809</v>
      </c>
      <c r="AB150" s="3007" t="s">
        <v>8810</v>
      </c>
      <c r="AC150" s="3007" t="s">
        <v>8811</v>
      </c>
      <c r="AD150" s="3006" t="s">
        <v>8806</v>
      </c>
      <c r="AF150" s="2730">
        <v>1</v>
      </c>
    </row>
    <row r="151" spans="2:32" ht="30" customHeight="1">
      <c r="B151" s="3065">
        <v>1</v>
      </c>
      <c r="C151" s="2876" t="s">
        <v>8812</v>
      </c>
      <c r="D151" s="2975"/>
      <c r="E151" s="3064"/>
      <c r="F151" s="1"/>
      <c r="G151" s="3008"/>
      <c r="H151" s="2991"/>
      <c r="I151" s="3010"/>
      <c r="J151" s="3010"/>
      <c r="L151" s="2983"/>
      <c r="M151" s="2984"/>
      <c r="N151" s="716"/>
      <c r="O151" s="2975"/>
      <c r="P151" s="2975"/>
      <c r="Q151" s="2840"/>
      <c r="R151" s="2998"/>
      <c r="S151" s="3061"/>
      <c r="T151" s="3004"/>
      <c r="U151" s="3004"/>
      <c r="W151" s="2998">
        <f t="shared" si="23"/>
        <v>46</v>
      </c>
      <c r="X151" s="3006" t="s">
        <v>2213</v>
      </c>
      <c r="Y151" s="3007" t="s">
        <v>8813</v>
      </c>
      <c r="Z151" s="3011" t="s">
        <v>8814</v>
      </c>
      <c r="AA151" s="3007" t="s">
        <v>8815</v>
      </c>
      <c r="AB151" s="3007" t="s">
        <v>8816</v>
      </c>
      <c r="AC151" s="3007" t="s">
        <v>8817</v>
      </c>
      <c r="AD151" s="3006" t="s">
        <v>2213</v>
      </c>
      <c r="AF151" s="2730">
        <v>1</v>
      </c>
    </row>
    <row r="152" spans="2:32" ht="30" customHeight="1">
      <c r="B152" s="3065">
        <v>2</v>
      </c>
      <c r="C152" s="2876" t="s">
        <v>8818</v>
      </c>
      <c r="D152" s="2975"/>
      <c r="E152" s="3064"/>
      <c r="F152" s="1"/>
      <c r="G152" s="3008"/>
      <c r="H152" s="2991"/>
      <c r="I152" s="3010"/>
      <c r="J152" s="3010"/>
      <c r="L152" s="2983"/>
      <c r="M152" s="2984"/>
      <c r="N152" s="716"/>
      <c r="O152" s="2975"/>
      <c r="P152" s="2975"/>
      <c r="Q152" s="2840"/>
      <c r="R152" s="2998"/>
      <c r="S152" s="3061"/>
      <c r="T152" s="3004"/>
      <c r="U152" s="3004"/>
      <c r="W152" s="2998">
        <f t="shared" si="23"/>
        <v>47</v>
      </c>
      <c r="X152" s="3006" t="s">
        <v>2117</v>
      </c>
      <c r="Y152" s="3007" t="s">
        <v>8819</v>
      </c>
      <c r="Z152" s="3011" t="s">
        <v>8820</v>
      </c>
      <c r="AA152" s="3007" t="s">
        <v>8821</v>
      </c>
      <c r="AB152" s="3007" t="s">
        <v>8822</v>
      </c>
      <c r="AC152" s="3007" t="s">
        <v>8823</v>
      </c>
      <c r="AD152" s="3006" t="s">
        <v>2117</v>
      </c>
      <c r="AF152" s="2730">
        <v>1</v>
      </c>
    </row>
    <row r="153" spans="2:32" ht="30" customHeight="1">
      <c r="B153" s="3065">
        <v>3</v>
      </c>
      <c r="C153" s="2876" t="s">
        <v>8824</v>
      </c>
      <c r="D153" s="2975"/>
      <c r="E153" s="3064"/>
      <c r="F153" s="1"/>
      <c r="G153" s="3008"/>
      <c r="H153" s="2991"/>
      <c r="I153" s="3010"/>
      <c r="J153" s="3010"/>
      <c r="L153" s="2983"/>
      <c r="M153" s="2984"/>
      <c r="N153" s="716"/>
      <c r="O153" s="2975"/>
      <c r="P153" s="2975"/>
      <c r="Q153" s="2840"/>
      <c r="R153" s="2998"/>
      <c r="S153" s="3061"/>
      <c r="T153" s="3004"/>
      <c r="U153" s="3004"/>
      <c r="W153" s="2998">
        <f t="shared" si="23"/>
        <v>48</v>
      </c>
      <c r="X153" s="3006" t="s">
        <v>2264</v>
      </c>
      <c r="Y153" s="3007" t="s">
        <v>8825</v>
      </c>
      <c r="Z153" s="3011" t="s">
        <v>8826</v>
      </c>
      <c r="AA153" s="3007" t="s">
        <v>8827</v>
      </c>
      <c r="AB153" s="3007" t="s">
        <v>8828</v>
      </c>
      <c r="AC153" s="3007" t="s">
        <v>8829</v>
      </c>
      <c r="AD153" s="3006" t="s">
        <v>2264</v>
      </c>
      <c r="AF153" s="2730">
        <v>1</v>
      </c>
    </row>
    <row r="154" spans="2:32" ht="30" customHeight="1">
      <c r="B154" s="3065">
        <v>4</v>
      </c>
      <c r="C154" s="2876" t="s">
        <v>8830</v>
      </c>
      <c r="D154" s="2975"/>
      <c r="E154" s="3064"/>
      <c r="F154" s="1"/>
      <c r="G154" s="3008"/>
      <c r="H154" s="2991"/>
      <c r="I154" s="3010"/>
      <c r="J154" s="3010"/>
      <c r="L154" s="2983"/>
      <c r="M154" s="2984"/>
      <c r="N154" s="716"/>
      <c r="O154" s="2975"/>
      <c r="P154" s="2975"/>
      <c r="Q154" s="2840"/>
      <c r="R154" s="2998"/>
      <c r="S154" s="3061"/>
      <c r="T154" s="3004"/>
      <c r="U154" s="3004"/>
      <c r="W154" s="2998">
        <f t="shared" si="23"/>
        <v>49</v>
      </c>
      <c r="X154" s="3006" t="s">
        <v>2128</v>
      </c>
      <c r="Y154" s="3007" t="s">
        <v>8831</v>
      </c>
      <c r="Z154" s="3011" t="s">
        <v>8832</v>
      </c>
      <c r="AA154" s="3007" t="s">
        <v>8833</v>
      </c>
      <c r="AB154" s="3007" t="s">
        <v>8834</v>
      </c>
      <c r="AC154" s="3007" t="s">
        <v>8835</v>
      </c>
      <c r="AD154" s="3006" t="s">
        <v>2128</v>
      </c>
      <c r="AF154" s="2730">
        <v>1</v>
      </c>
    </row>
    <row r="155" spans="2:32" ht="30" customHeight="1">
      <c r="B155" s="3065">
        <v>5</v>
      </c>
      <c r="C155" s="2876" t="s">
        <v>8836</v>
      </c>
      <c r="D155" s="2975"/>
      <c r="E155" s="3064"/>
      <c r="F155" s="1"/>
      <c r="G155" s="3008"/>
      <c r="H155" s="2991"/>
      <c r="I155" s="3010"/>
      <c r="J155" s="3010"/>
      <c r="L155" s="2983"/>
      <c r="M155" s="2984"/>
      <c r="N155" s="716"/>
      <c r="O155" s="2975"/>
      <c r="P155" s="2975"/>
      <c r="Q155" s="2840"/>
      <c r="R155" s="2998"/>
      <c r="S155" s="3061"/>
      <c r="T155" s="3004"/>
      <c r="U155" s="3004"/>
      <c r="W155" s="2998">
        <f t="shared" si="23"/>
        <v>50</v>
      </c>
      <c r="X155" s="3006" t="s">
        <v>8837</v>
      </c>
      <c r="Y155" s="3007" t="s">
        <v>8838</v>
      </c>
      <c r="Z155" s="3011" t="s">
        <v>8839</v>
      </c>
      <c r="AA155" s="3007" t="s">
        <v>8840</v>
      </c>
      <c r="AB155" s="3007" t="s">
        <v>8841</v>
      </c>
      <c r="AC155" s="3007" t="s">
        <v>8842</v>
      </c>
      <c r="AD155" s="3006" t="s">
        <v>8837</v>
      </c>
      <c r="AF155" s="2730">
        <v>1</v>
      </c>
    </row>
    <row r="156" spans="2:32" ht="30" customHeight="1">
      <c r="B156" s="3065">
        <v>6</v>
      </c>
      <c r="C156" s="2876" t="s">
        <v>8843</v>
      </c>
      <c r="D156" s="2975"/>
      <c r="E156" s="3064"/>
      <c r="F156" s="1"/>
      <c r="G156" s="3008"/>
      <c r="H156" s="2991"/>
      <c r="I156" s="3010"/>
      <c r="J156" s="3010"/>
      <c r="L156" s="2983"/>
      <c r="M156" s="2984"/>
      <c r="N156" s="716"/>
      <c r="O156" s="2975"/>
      <c r="P156" s="2975"/>
      <c r="Q156" s="2840"/>
      <c r="R156" s="2998"/>
      <c r="S156" s="3061"/>
      <c r="T156" s="3004"/>
      <c r="U156" s="3004"/>
      <c r="W156" s="2977"/>
      <c r="X156" s="2999" t="s">
        <v>651</v>
      </c>
      <c r="Y156" s="3000"/>
      <c r="Z156" s="3000"/>
      <c r="AA156" s="3000"/>
      <c r="AB156" s="2988"/>
      <c r="AC156" s="2988"/>
      <c r="AD156" s="2999" t="s">
        <v>651</v>
      </c>
      <c r="AF156" s="2730">
        <v>1</v>
      </c>
    </row>
    <row r="157" spans="2:32" ht="30" customHeight="1">
      <c r="B157" s="3065">
        <v>7</v>
      </c>
      <c r="C157" s="2876" t="s">
        <v>8844</v>
      </c>
      <c r="D157" s="2975"/>
      <c r="E157" s="3064"/>
      <c r="F157" s="1"/>
      <c r="G157" s="3008"/>
      <c r="H157" s="2991"/>
      <c r="I157" s="3010"/>
      <c r="J157" s="3010"/>
      <c r="L157" s="2983"/>
      <c r="M157" s="2984"/>
      <c r="N157" s="716"/>
      <c r="O157" s="2975"/>
      <c r="P157" s="2975"/>
      <c r="Q157" s="2840"/>
      <c r="R157" s="2998"/>
      <c r="S157" s="3061"/>
      <c r="T157" s="3004"/>
      <c r="U157" s="3004"/>
      <c r="W157" s="2998">
        <v>1</v>
      </c>
      <c r="X157" s="3006" t="s">
        <v>8845</v>
      </c>
      <c r="Y157" s="3007" t="s">
        <v>8846</v>
      </c>
      <c r="Z157" s="3007" t="s">
        <v>8847</v>
      </c>
      <c r="AA157" s="3007" t="s">
        <v>8848</v>
      </c>
      <c r="AB157" s="3007" t="s">
        <v>8849</v>
      </c>
      <c r="AC157" s="3007" t="s">
        <v>8850</v>
      </c>
      <c r="AD157" s="3006" t="s">
        <v>8845</v>
      </c>
      <c r="AF157" s="2730">
        <v>1</v>
      </c>
    </row>
    <row r="158" spans="2:32" ht="30" customHeight="1">
      <c r="B158" s="3065">
        <v>8</v>
      </c>
      <c r="C158" s="2876" t="s">
        <v>8851</v>
      </c>
      <c r="D158" s="2975"/>
      <c r="E158" s="3064"/>
      <c r="F158" s="1"/>
      <c r="G158" s="3008"/>
      <c r="H158" s="2991"/>
      <c r="I158" s="3010"/>
      <c r="J158" s="3010"/>
      <c r="L158" s="2983"/>
      <c r="M158" s="2984"/>
      <c r="N158" s="716"/>
      <c r="O158" s="2975"/>
      <c r="P158" s="2975"/>
      <c r="Q158" s="2840"/>
      <c r="R158" s="2998"/>
      <c r="S158" s="3061"/>
      <c r="T158" s="3004"/>
      <c r="U158" s="3004"/>
      <c r="W158" s="2998">
        <f>W157+1</f>
        <v>2</v>
      </c>
      <c r="X158" s="3006" t="s">
        <v>8852</v>
      </c>
      <c r="Y158" s="3007" t="s">
        <v>8853</v>
      </c>
      <c r="Z158" s="3007" t="s">
        <v>8854</v>
      </c>
      <c r="AA158" s="3007" t="s">
        <v>8855</v>
      </c>
      <c r="AB158" s="3007" t="s">
        <v>8856</v>
      </c>
      <c r="AC158" s="3007" t="s">
        <v>8857</v>
      </c>
      <c r="AD158" s="3006" t="s">
        <v>8852</v>
      </c>
      <c r="AF158" s="2730">
        <v>1</v>
      </c>
    </row>
    <row r="159" spans="2:32" ht="30" customHeight="1">
      <c r="B159" s="3065">
        <v>9</v>
      </c>
      <c r="C159" s="2876" t="s">
        <v>8858</v>
      </c>
      <c r="D159" s="2975"/>
      <c r="E159" s="3064"/>
      <c r="F159" s="1"/>
      <c r="G159" s="3008"/>
      <c r="H159" s="2991"/>
      <c r="I159" s="3010"/>
      <c r="J159" s="3010"/>
      <c r="L159" s="2983"/>
      <c r="M159" s="2984"/>
      <c r="N159" s="716"/>
      <c r="O159" s="2975"/>
      <c r="P159" s="2975"/>
      <c r="Q159" s="2840"/>
      <c r="R159" s="2998"/>
      <c r="S159" s="3061"/>
      <c r="T159" s="3004"/>
      <c r="U159" s="3004"/>
      <c r="W159" s="2998">
        <f t="shared" ref="W159:W191" si="24">W158+1</f>
        <v>3</v>
      </c>
      <c r="X159" s="3006" t="s">
        <v>8859</v>
      </c>
      <c r="Y159" s="3007" t="s">
        <v>8860</v>
      </c>
      <c r="Z159" s="3007" t="s">
        <v>8861</v>
      </c>
      <c r="AA159" s="3007" t="s">
        <v>8862</v>
      </c>
      <c r="AB159" s="3007" t="s">
        <v>8863</v>
      </c>
      <c r="AC159" s="3007" t="s">
        <v>8864</v>
      </c>
      <c r="AD159" s="3006" t="s">
        <v>8859</v>
      </c>
      <c r="AF159" s="2730">
        <v>1</v>
      </c>
    </row>
    <row r="160" spans="2:32" ht="30" customHeight="1">
      <c r="B160" s="3065">
        <v>10</v>
      </c>
      <c r="C160" s="2876" t="s">
        <v>8865</v>
      </c>
      <c r="D160" s="2975"/>
      <c r="E160" s="3064"/>
      <c r="F160" s="1"/>
      <c r="G160" s="3008"/>
      <c r="H160" s="2991"/>
      <c r="I160" s="3010"/>
      <c r="J160" s="3010"/>
      <c r="L160" s="2983"/>
      <c r="M160" s="2984"/>
      <c r="N160" s="716"/>
      <c r="O160" s="2975"/>
      <c r="P160" s="2975"/>
      <c r="Q160" s="2840"/>
      <c r="R160" s="2998"/>
      <c r="S160" s="3061"/>
      <c r="T160" s="3004"/>
      <c r="U160" s="3004"/>
      <c r="W160" s="2998">
        <f t="shared" si="24"/>
        <v>4</v>
      </c>
      <c r="X160" s="3006" t="s">
        <v>8866</v>
      </c>
      <c r="Y160" s="3007" t="s">
        <v>8867</v>
      </c>
      <c r="Z160" s="3007" t="s">
        <v>8868</v>
      </c>
      <c r="AA160" s="3007" t="s">
        <v>8869</v>
      </c>
      <c r="AB160" s="3007" t="s">
        <v>8870</v>
      </c>
      <c r="AC160" s="3007" t="s">
        <v>8871</v>
      </c>
      <c r="AD160" s="3006" t="s">
        <v>8866</v>
      </c>
      <c r="AF160" s="2730">
        <v>1</v>
      </c>
    </row>
    <row r="161" spans="2:32" ht="30" customHeight="1">
      <c r="B161" s="3065">
        <v>11</v>
      </c>
      <c r="C161" s="2876" t="s">
        <v>8872</v>
      </c>
      <c r="D161" s="2975"/>
      <c r="E161" s="3064"/>
      <c r="F161" s="1"/>
      <c r="G161" s="3008"/>
      <c r="H161" s="2991"/>
      <c r="I161" s="3010"/>
      <c r="J161" s="3010"/>
      <c r="L161" s="2983"/>
      <c r="M161" s="2984"/>
      <c r="N161" s="716"/>
      <c r="O161" s="2975"/>
      <c r="P161" s="2975"/>
      <c r="Q161" s="2840"/>
      <c r="R161" s="2998"/>
      <c r="S161" s="3061"/>
      <c r="T161" s="3004"/>
      <c r="U161" s="3004"/>
      <c r="W161" s="2998">
        <f t="shared" si="24"/>
        <v>5</v>
      </c>
      <c r="X161" s="3006" t="s">
        <v>8873</v>
      </c>
      <c r="Y161" s="3007" t="s">
        <v>8874</v>
      </c>
      <c r="Z161" s="3007" t="s">
        <v>8875</v>
      </c>
      <c r="AA161" s="3007" t="s">
        <v>8876</v>
      </c>
      <c r="AB161" s="3007" t="s">
        <v>8877</v>
      </c>
      <c r="AC161" s="3007" t="s">
        <v>8878</v>
      </c>
      <c r="AD161" s="3006" t="s">
        <v>8873</v>
      </c>
      <c r="AF161" s="2730">
        <v>1</v>
      </c>
    </row>
    <row r="162" spans="2:32" ht="30" customHeight="1">
      <c r="B162" s="3065">
        <v>12</v>
      </c>
      <c r="C162" s="2876" t="s">
        <v>8879</v>
      </c>
      <c r="D162" s="2975"/>
      <c r="E162" s="3064"/>
      <c r="F162" s="1"/>
      <c r="G162" s="3008"/>
      <c r="H162" s="2991"/>
      <c r="I162" s="3010"/>
      <c r="J162" s="3010"/>
      <c r="L162" s="2983"/>
      <c r="M162" s="2984"/>
      <c r="N162" s="716"/>
      <c r="O162" s="2975"/>
      <c r="P162" s="2975"/>
      <c r="Q162" s="2840"/>
      <c r="R162" s="2998"/>
      <c r="S162" s="3061"/>
      <c r="T162" s="3004"/>
      <c r="U162" s="3004"/>
      <c r="W162" s="2998">
        <f t="shared" si="24"/>
        <v>6</v>
      </c>
      <c r="X162" s="3006" t="s">
        <v>8880</v>
      </c>
      <c r="Y162" s="3007" t="s">
        <v>8881</v>
      </c>
      <c r="Z162" s="3007" t="s">
        <v>8882</v>
      </c>
      <c r="AA162" s="3007" t="s">
        <v>8883</v>
      </c>
      <c r="AB162" s="3007" t="s">
        <v>8884</v>
      </c>
      <c r="AC162" s="3007" t="s">
        <v>8885</v>
      </c>
      <c r="AD162" s="3006" t="s">
        <v>8880</v>
      </c>
      <c r="AF162" s="2730">
        <v>1</v>
      </c>
    </row>
    <row r="163" spans="2:32" ht="30" customHeight="1">
      <c r="B163" s="3065"/>
      <c r="C163" s="2876"/>
      <c r="D163" s="2975"/>
      <c r="E163" s="3064"/>
      <c r="F163" s="1"/>
      <c r="G163" s="3008"/>
      <c r="H163" s="2991"/>
      <c r="I163" s="3010"/>
      <c r="J163" s="3010"/>
      <c r="L163" s="2983"/>
      <c r="M163" s="2984"/>
      <c r="N163" s="716"/>
      <c r="O163" s="2975"/>
      <c r="P163" s="2975"/>
      <c r="Q163" s="2840"/>
      <c r="R163" s="2998"/>
      <c r="S163" s="3061"/>
      <c r="T163" s="3004"/>
      <c r="U163" s="3004"/>
      <c r="W163" s="2998">
        <f t="shared" si="24"/>
        <v>7</v>
      </c>
      <c r="X163" s="3006" t="s">
        <v>8886</v>
      </c>
      <c r="Y163" s="3007" t="s">
        <v>8887</v>
      </c>
      <c r="Z163" s="3007" t="s">
        <v>8888</v>
      </c>
      <c r="AA163" s="3007" t="s">
        <v>8889</v>
      </c>
      <c r="AB163" s="3007" t="s">
        <v>8890</v>
      </c>
      <c r="AC163" s="3007" t="s">
        <v>8891</v>
      </c>
      <c r="AD163" s="3006" t="s">
        <v>8886</v>
      </c>
      <c r="AF163" s="2730">
        <v>1</v>
      </c>
    </row>
    <row r="164" spans="2:32" ht="30" customHeight="1">
      <c r="B164" s="3070"/>
      <c r="C164" s="2979" t="s">
        <v>8892</v>
      </c>
      <c r="D164" s="3071" t="s">
        <v>8893</v>
      </c>
      <c r="E164" s="3072" t="s">
        <v>8894</v>
      </c>
      <c r="F164" s="1"/>
      <c r="G164" s="3008"/>
      <c r="H164" s="2991"/>
      <c r="I164" s="3010"/>
      <c r="J164" s="3010"/>
      <c r="L164" s="2983"/>
      <c r="M164" s="2984"/>
      <c r="N164" s="716"/>
      <c r="O164" s="2975"/>
      <c r="P164" s="2975"/>
      <c r="Q164" s="2840"/>
      <c r="R164" s="2998"/>
      <c r="S164" s="3061"/>
      <c r="T164" s="3004"/>
      <c r="U164" s="3004"/>
      <c r="W164" s="2998">
        <f t="shared" si="24"/>
        <v>8</v>
      </c>
      <c r="X164" s="3006" t="s">
        <v>8895</v>
      </c>
      <c r="Y164" s="3007" t="s">
        <v>8896</v>
      </c>
      <c r="Z164" s="3007" t="s">
        <v>8897</v>
      </c>
      <c r="AA164" s="3007" t="s">
        <v>8898</v>
      </c>
      <c r="AB164" s="3007" t="s">
        <v>8899</v>
      </c>
      <c r="AC164" s="3007" t="s">
        <v>8900</v>
      </c>
      <c r="AD164" s="3006" t="s">
        <v>8895</v>
      </c>
      <c r="AF164" s="2730">
        <v>1</v>
      </c>
    </row>
    <row r="165" spans="2:32" ht="30" customHeight="1">
      <c r="B165" s="3065"/>
      <c r="C165" s="2876"/>
      <c r="D165" s="2975"/>
      <c r="E165" s="3064"/>
      <c r="F165" s="1"/>
      <c r="G165" s="3008"/>
      <c r="H165" s="2991"/>
      <c r="I165" s="3010"/>
      <c r="J165" s="3010"/>
      <c r="L165" s="2983"/>
      <c r="M165" s="2984"/>
      <c r="N165" s="716"/>
      <c r="O165" s="2975"/>
      <c r="P165" s="2975"/>
      <c r="Q165" s="2840"/>
      <c r="R165" s="2998"/>
      <c r="S165" s="3061"/>
      <c r="T165" s="3004"/>
      <c r="U165" s="3004"/>
      <c r="W165" s="2998">
        <f t="shared" si="24"/>
        <v>9</v>
      </c>
      <c r="X165" s="3006" t="s">
        <v>2191</v>
      </c>
      <c r="Y165" s="3007" t="s">
        <v>8901</v>
      </c>
      <c r="Z165" s="3007" t="s">
        <v>8902</v>
      </c>
      <c r="AA165" s="3007" t="s">
        <v>8903</v>
      </c>
      <c r="AB165" s="3007" t="s">
        <v>8904</v>
      </c>
      <c r="AC165" s="3007" t="s">
        <v>8905</v>
      </c>
      <c r="AD165" s="3006" t="s">
        <v>2191</v>
      </c>
      <c r="AF165" s="2730">
        <v>1</v>
      </c>
    </row>
    <row r="166" spans="2:32" ht="30" customHeight="1">
      <c r="B166" s="3065">
        <v>1</v>
      </c>
      <c r="C166" s="2876" t="s">
        <v>8906</v>
      </c>
      <c r="D166" s="2975"/>
      <c r="E166" s="3064"/>
      <c r="F166" s="1"/>
      <c r="G166" s="3008"/>
      <c r="H166" s="2991"/>
      <c r="I166" s="3010"/>
      <c r="J166" s="3010"/>
      <c r="L166" s="2983"/>
      <c r="M166" s="2984"/>
      <c r="N166" s="716"/>
      <c r="O166" s="2975"/>
      <c r="P166" s="2975"/>
      <c r="Q166" s="2840"/>
      <c r="R166" s="2998"/>
      <c r="S166" s="3061"/>
      <c r="T166" s="3004"/>
      <c r="U166" s="3004"/>
      <c r="W166" s="2998">
        <f t="shared" si="24"/>
        <v>10</v>
      </c>
      <c r="X166" s="3006" t="s">
        <v>2202</v>
      </c>
      <c r="Y166" s="3007" t="s">
        <v>8907</v>
      </c>
      <c r="Z166" s="3007" t="s">
        <v>8908</v>
      </c>
      <c r="AA166" s="3007" t="s">
        <v>8909</v>
      </c>
      <c r="AB166" s="3007" t="s">
        <v>8910</v>
      </c>
      <c r="AC166" s="3007" t="s">
        <v>8911</v>
      </c>
      <c r="AD166" s="3006" t="s">
        <v>2202</v>
      </c>
      <c r="AF166" s="2730">
        <v>1</v>
      </c>
    </row>
    <row r="167" spans="2:32" ht="30" customHeight="1">
      <c r="B167" s="3065">
        <v>2</v>
      </c>
      <c r="C167" s="2876" t="s">
        <v>8912</v>
      </c>
      <c r="D167" s="2975"/>
      <c r="E167" s="3064"/>
      <c r="F167" s="1"/>
      <c r="G167" s="3008"/>
      <c r="H167" s="2991"/>
      <c r="I167" s="3010"/>
      <c r="J167" s="3010"/>
      <c r="L167" s="2983"/>
      <c r="M167" s="2984"/>
      <c r="N167" s="716"/>
      <c r="O167" s="2975"/>
      <c r="P167" s="2975"/>
      <c r="Q167" s="2840"/>
      <c r="R167" s="2998"/>
      <c r="S167" s="3061"/>
      <c r="T167" s="3004"/>
      <c r="U167" s="3004"/>
      <c r="W167" s="2998">
        <f t="shared" si="24"/>
        <v>11</v>
      </c>
      <c r="X167" s="3006" t="s">
        <v>8913</v>
      </c>
      <c r="Y167" s="3007" t="s">
        <v>8914</v>
      </c>
      <c r="Z167" s="3011" t="s">
        <v>8915</v>
      </c>
      <c r="AA167" s="3007" t="s">
        <v>8916</v>
      </c>
      <c r="AB167" s="3007" t="s">
        <v>8917</v>
      </c>
      <c r="AC167" s="3007" t="s">
        <v>8918</v>
      </c>
      <c r="AD167" s="3006" t="s">
        <v>8913</v>
      </c>
      <c r="AF167" s="2730">
        <v>1</v>
      </c>
    </row>
    <row r="168" spans="2:32" ht="30" customHeight="1">
      <c r="B168" s="3065">
        <v>3</v>
      </c>
      <c r="C168" s="2876" t="s">
        <v>8919</v>
      </c>
      <c r="D168" s="2975"/>
      <c r="E168" s="3064"/>
      <c r="F168" s="1"/>
      <c r="G168" s="3008"/>
      <c r="H168" s="2991"/>
      <c r="I168" s="3010"/>
      <c r="J168" s="3010"/>
      <c r="L168" s="2983"/>
      <c r="M168" s="2984"/>
      <c r="N168" s="716"/>
      <c r="O168" s="2975"/>
      <c r="P168" s="2975"/>
      <c r="Q168" s="2840"/>
      <c r="R168" s="2998"/>
      <c r="S168" s="3061"/>
      <c r="T168" s="3004"/>
      <c r="U168" s="3004"/>
      <c r="W168" s="2998">
        <f t="shared" si="24"/>
        <v>12</v>
      </c>
      <c r="X168" s="3006" t="s">
        <v>8920</v>
      </c>
      <c r="Y168" s="3007" t="s">
        <v>8921</v>
      </c>
      <c r="Z168" s="3011" t="s">
        <v>8922</v>
      </c>
      <c r="AA168" s="3007" t="s">
        <v>8923</v>
      </c>
      <c r="AB168" s="3007" t="s">
        <v>8924</v>
      </c>
      <c r="AC168" s="3007" t="s">
        <v>8925</v>
      </c>
      <c r="AD168" s="3006" t="s">
        <v>8920</v>
      </c>
      <c r="AF168" s="2730">
        <v>1</v>
      </c>
    </row>
    <row r="169" spans="2:32" ht="30" customHeight="1">
      <c r="B169" s="3065">
        <v>4</v>
      </c>
      <c r="C169" s="2876" t="s">
        <v>8926</v>
      </c>
      <c r="D169" s="2975"/>
      <c r="E169" s="3064"/>
      <c r="F169" s="1"/>
      <c r="G169" s="3008"/>
      <c r="H169" s="2991"/>
      <c r="I169" s="3010"/>
      <c r="J169" s="3010"/>
      <c r="L169" s="2983"/>
      <c r="M169" s="2984"/>
      <c r="N169" s="716"/>
      <c r="O169" s="2975"/>
      <c r="P169" s="2975"/>
      <c r="Q169" s="2840"/>
      <c r="R169" s="2998"/>
      <c r="S169" s="3061"/>
      <c r="T169" s="3004"/>
      <c r="U169" s="3004"/>
      <c r="W169" s="2998">
        <f t="shared" si="24"/>
        <v>13</v>
      </c>
      <c r="X169" s="3006" t="s">
        <v>8927</v>
      </c>
      <c r="Y169" s="3007" t="s">
        <v>8928</v>
      </c>
      <c r="Z169" s="3011" t="s">
        <v>8929</v>
      </c>
      <c r="AA169" s="3007" t="s">
        <v>8930</v>
      </c>
      <c r="AB169" s="3007" t="s">
        <v>8931</v>
      </c>
      <c r="AC169" s="3007" t="s">
        <v>8932</v>
      </c>
      <c r="AD169" s="3006" t="s">
        <v>8927</v>
      </c>
      <c r="AF169" s="2730">
        <v>1</v>
      </c>
    </row>
    <row r="170" spans="2:32" ht="30" customHeight="1">
      <c r="B170" s="3065">
        <v>5</v>
      </c>
      <c r="C170" s="2876" t="s">
        <v>8933</v>
      </c>
      <c r="D170" s="2975"/>
      <c r="E170" s="3064"/>
      <c r="F170" s="1"/>
      <c r="G170" s="3008"/>
      <c r="H170" s="2991"/>
      <c r="I170" s="3010"/>
      <c r="J170" s="3010"/>
      <c r="L170" s="2983"/>
      <c r="M170" s="2984"/>
      <c r="N170" s="716"/>
      <c r="O170" s="2975"/>
      <c r="P170" s="2975"/>
      <c r="Q170" s="2840"/>
      <c r="R170" s="2998"/>
      <c r="S170" s="3061"/>
      <c r="T170" s="3004"/>
      <c r="U170" s="3004"/>
      <c r="W170" s="2998">
        <f t="shared" si="24"/>
        <v>14</v>
      </c>
      <c r="X170" s="3006" t="s">
        <v>8934</v>
      </c>
      <c r="Y170" s="3007" t="s">
        <v>8935</v>
      </c>
      <c r="Z170" s="3011" t="s">
        <v>8936</v>
      </c>
      <c r="AA170" s="3007" t="s">
        <v>8937</v>
      </c>
      <c r="AB170" s="3007" t="s">
        <v>8938</v>
      </c>
      <c r="AC170" s="3007" t="s">
        <v>8939</v>
      </c>
      <c r="AD170" s="3006" t="s">
        <v>8934</v>
      </c>
      <c r="AF170" s="2730">
        <v>1</v>
      </c>
    </row>
    <row r="171" spans="2:32" ht="30" customHeight="1">
      <c r="B171" s="3065">
        <v>6</v>
      </c>
      <c r="C171" s="2876" t="s">
        <v>8940</v>
      </c>
      <c r="D171" s="2975"/>
      <c r="E171" s="3064"/>
      <c r="F171" s="1"/>
      <c r="G171" s="3008"/>
      <c r="H171" s="2991"/>
      <c r="I171" s="3010"/>
      <c r="J171" s="3010"/>
      <c r="L171" s="2983"/>
      <c r="M171" s="2984"/>
      <c r="N171" s="716"/>
      <c r="O171" s="2975"/>
      <c r="P171" s="2975"/>
      <c r="Q171" s="2840"/>
      <c r="R171" s="2998"/>
      <c r="S171" s="3061"/>
      <c r="T171" s="3004"/>
      <c r="U171" s="3004"/>
      <c r="W171" s="2998">
        <f t="shared" si="24"/>
        <v>15</v>
      </c>
      <c r="X171" s="3006" t="s">
        <v>8941</v>
      </c>
      <c r="Y171" s="3007" t="s">
        <v>8942</v>
      </c>
      <c r="Z171" s="3007" t="s">
        <v>8943</v>
      </c>
      <c r="AA171" s="3007" t="s">
        <v>8944</v>
      </c>
      <c r="AB171" s="3007" t="s">
        <v>8945</v>
      </c>
      <c r="AC171" s="3007" t="s">
        <v>8946</v>
      </c>
      <c r="AD171" s="3006" t="s">
        <v>8941</v>
      </c>
      <c r="AF171" s="2730">
        <v>1</v>
      </c>
    </row>
    <row r="172" spans="2:32" ht="30" customHeight="1">
      <c r="B172" s="3065"/>
      <c r="C172" s="2876"/>
      <c r="D172" s="2975"/>
      <c r="E172" s="3064"/>
      <c r="F172" s="1"/>
      <c r="G172" s="3008"/>
      <c r="H172" s="2991"/>
      <c r="I172" s="3010"/>
      <c r="J172" s="3010"/>
      <c r="L172" s="2983"/>
      <c r="M172" s="2984"/>
      <c r="N172" s="716"/>
      <c r="O172" s="2975"/>
      <c r="P172" s="2975"/>
      <c r="Q172" s="2840"/>
      <c r="R172" s="2998"/>
      <c r="S172" s="3061"/>
      <c r="T172" s="3004"/>
      <c r="U172" s="3004"/>
      <c r="W172" s="2998">
        <f t="shared" si="24"/>
        <v>16</v>
      </c>
      <c r="X172" s="3006" t="s">
        <v>8947</v>
      </c>
      <c r="Y172" s="3007" t="s">
        <v>8948</v>
      </c>
      <c r="Z172" s="3011" t="s">
        <v>8949</v>
      </c>
      <c r="AA172" s="3007" t="s">
        <v>8950</v>
      </c>
      <c r="AB172" s="3007" t="s">
        <v>8951</v>
      </c>
      <c r="AC172" s="3007" t="s">
        <v>8952</v>
      </c>
      <c r="AD172" s="3006" t="s">
        <v>8947</v>
      </c>
      <c r="AF172" s="2730">
        <v>1</v>
      </c>
    </row>
    <row r="173" spans="2:32" ht="30" customHeight="1">
      <c r="B173" s="3070"/>
      <c r="C173" s="2979" t="s">
        <v>8953</v>
      </c>
      <c r="D173" s="3071" t="s">
        <v>8954</v>
      </c>
      <c r="E173" s="3072" t="s">
        <v>8955</v>
      </c>
      <c r="F173" s="1"/>
      <c r="G173" s="3008"/>
      <c r="H173" s="2991"/>
      <c r="I173" s="3010"/>
      <c r="J173" s="3010"/>
      <c r="L173" s="2983"/>
      <c r="M173" s="2984"/>
      <c r="N173" s="716"/>
      <c r="O173" s="2975"/>
      <c r="P173" s="2975"/>
      <c r="Q173" s="2840"/>
      <c r="R173" s="2998"/>
      <c r="S173" s="3061"/>
      <c r="T173" s="3004"/>
      <c r="U173" s="3004"/>
      <c r="W173" s="2998">
        <f t="shared" si="24"/>
        <v>17</v>
      </c>
      <c r="X173" s="3006" t="s">
        <v>8956</v>
      </c>
      <c r="Y173" s="3007" t="s">
        <v>8957</v>
      </c>
      <c r="Z173" s="3011" t="s">
        <v>8958</v>
      </c>
      <c r="AA173" s="3007" t="s">
        <v>8959</v>
      </c>
      <c r="AB173" s="3007" t="s">
        <v>8960</v>
      </c>
      <c r="AC173" s="3007" t="s">
        <v>8961</v>
      </c>
      <c r="AD173" s="3006" t="s">
        <v>8956</v>
      </c>
      <c r="AF173" s="2730">
        <v>1</v>
      </c>
    </row>
    <row r="174" spans="2:32" ht="30" customHeight="1">
      <c r="B174" s="3065"/>
      <c r="C174" s="2876"/>
      <c r="D174" s="2975"/>
      <c r="E174" s="3064"/>
      <c r="F174" s="1"/>
      <c r="G174" s="3008"/>
      <c r="H174" s="2991"/>
      <c r="I174" s="3010"/>
      <c r="J174" s="3010"/>
      <c r="L174" s="2983"/>
      <c r="M174" s="2984"/>
      <c r="N174" s="716"/>
      <c r="O174" s="2975"/>
      <c r="P174" s="2975"/>
      <c r="Q174" s="2840"/>
      <c r="R174" s="2998"/>
      <c r="S174" s="3061"/>
      <c r="T174" s="3004"/>
      <c r="U174" s="3004"/>
      <c r="W174" s="2998">
        <f t="shared" si="24"/>
        <v>18</v>
      </c>
      <c r="X174" s="3006" t="s">
        <v>2884</v>
      </c>
      <c r="Y174" s="3007" t="s">
        <v>8962</v>
      </c>
      <c r="Z174" s="3011" t="s">
        <v>8963</v>
      </c>
      <c r="AA174" s="3007" t="s">
        <v>8964</v>
      </c>
      <c r="AB174" s="3007" t="s">
        <v>8965</v>
      </c>
      <c r="AC174" s="3007" t="s">
        <v>8966</v>
      </c>
      <c r="AD174" s="3006" t="s">
        <v>2884</v>
      </c>
      <c r="AF174" s="2730">
        <v>1</v>
      </c>
    </row>
    <row r="175" spans="2:32" ht="30" customHeight="1">
      <c r="B175" s="3065">
        <v>1</v>
      </c>
      <c r="C175" s="2876" t="s">
        <v>8967</v>
      </c>
      <c r="D175" s="2975"/>
      <c r="E175" s="3064"/>
      <c r="F175" s="1"/>
      <c r="G175" s="3008"/>
      <c r="H175" s="2991"/>
      <c r="I175" s="3010"/>
      <c r="J175" s="3010"/>
      <c r="L175" s="2983"/>
      <c r="M175" s="2984"/>
      <c r="N175" s="716"/>
      <c r="O175" s="2975"/>
      <c r="P175" s="2975"/>
      <c r="Q175" s="2840"/>
      <c r="R175" s="2998"/>
      <c r="S175" s="3061"/>
      <c r="T175" s="3004"/>
      <c r="U175" s="3004"/>
      <c r="W175" s="2998">
        <f t="shared" si="24"/>
        <v>19</v>
      </c>
      <c r="X175" s="3006" t="s">
        <v>2897</v>
      </c>
      <c r="Y175" s="3007" t="s">
        <v>8968</v>
      </c>
      <c r="Z175" s="3007" t="s">
        <v>8969</v>
      </c>
      <c r="AA175" s="3007" t="s">
        <v>8970</v>
      </c>
      <c r="AB175" s="3007" t="s">
        <v>8971</v>
      </c>
      <c r="AC175" s="3007" t="s">
        <v>8972</v>
      </c>
      <c r="AD175" s="3006" t="s">
        <v>2897</v>
      </c>
      <c r="AF175" s="2730">
        <v>1</v>
      </c>
    </row>
    <row r="176" spans="2:32" ht="30" customHeight="1">
      <c r="B176" s="3065">
        <v>2</v>
      </c>
      <c r="C176" s="2876" t="s">
        <v>8973</v>
      </c>
      <c r="D176" s="2975"/>
      <c r="E176" s="3064"/>
      <c r="F176" s="1"/>
      <c r="G176" s="3008"/>
      <c r="H176" s="2991"/>
      <c r="I176" s="3010"/>
      <c r="J176" s="3010"/>
      <c r="L176" s="2983"/>
      <c r="M176" s="2984"/>
      <c r="N176" s="716"/>
      <c r="O176" s="2975"/>
      <c r="P176" s="2975"/>
      <c r="Q176" s="2840"/>
      <c r="R176" s="2998"/>
      <c r="S176" s="3061"/>
      <c r="T176" s="3004"/>
      <c r="U176" s="3004"/>
      <c r="W176" s="2998">
        <f t="shared" si="24"/>
        <v>20</v>
      </c>
      <c r="X176" s="3006" t="s">
        <v>2078</v>
      </c>
      <c r="Y176" s="3007" t="s">
        <v>8974</v>
      </c>
      <c r="Z176" s="3011" t="s">
        <v>8975</v>
      </c>
      <c r="AA176" s="3007" t="s">
        <v>8976</v>
      </c>
      <c r="AB176" s="3007" t="s">
        <v>8977</v>
      </c>
      <c r="AC176" s="3007" t="s">
        <v>8978</v>
      </c>
      <c r="AD176" s="3006" t="s">
        <v>2078</v>
      </c>
      <c r="AF176" s="2730">
        <v>1</v>
      </c>
    </row>
    <row r="177" spans="2:32" ht="30" customHeight="1">
      <c r="B177" s="3065">
        <v>3</v>
      </c>
      <c r="C177" s="2876" t="s">
        <v>8979</v>
      </c>
      <c r="D177" s="2975"/>
      <c r="E177" s="3064"/>
      <c r="F177" s="1"/>
      <c r="G177" s="3008"/>
      <c r="H177" s="2991"/>
      <c r="I177" s="3010"/>
      <c r="J177" s="3010"/>
      <c r="L177" s="2983"/>
      <c r="M177" s="2984"/>
      <c r="N177" s="716"/>
      <c r="O177" s="2975"/>
      <c r="P177" s="2975"/>
      <c r="Q177" s="2840"/>
      <c r="R177" s="2998"/>
      <c r="S177" s="3061"/>
      <c r="T177" s="3004"/>
      <c r="U177" s="3004"/>
      <c r="W177" s="2998">
        <f t="shared" si="24"/>
        <v>21</v>
      </c>
      <c r="X177" s="3006" t="s">
        <v>2235</v>
      </c>
      <c r="Y177" s="3007" t="s">
        <v>8980</v>
      </c>
      <c r="Z177" s="3011" t="s">
        <v>8981</v>
      </c>
      <c r="AA177" s="3007" t="s">
        <v>8982</v>
      </c>
      <c r="AB177" s="3007" t="s">
        <v>8983</v>
      </c>
      <c r="AC177" s="3007" t="s">
        <v>8984</v>
      </c>
      <c r="AD177" s="3006" t="s">
        <v>2235</v>
      </c>
      <c r="AF177" s="2730">
        <v>1</v>
      </c>
    </row>
    <row r="178" spans="2:32" ht="30" customHeight="1">
      <c r="B178" s="3065">
        <v>4</v>
      </c>
      <c r="C178" s="2876" t="s">
        <v>8985</v>
      </c>
      <c r="D178" s="2975"/>
      <c r="E178" s="3073"/>
      <c r="F178" s="1"/>
      <c r="G178" s="3008"/>
      <c r="H178" s="2991"/>
      <c r="I178" s="3010"/>
      <c r="J178" s="3010"/>
      <c r="L178" s="2983"/>
      <c r="M178" s="2984"/>
      <c r="N178" s="716"/>
      <c r="O178" s="2975"/>
      <c r="P178" s="2975"/>
      <c r="Q178" s="2840"/>
      <c r="R178" s="2998"/>
      <c r="S178" s="3061"/>
      <c r="T178" s="3004"/>
      <c r="U178" s="3004"/>
      <c r="W178" s="2998">
        <f t="shared" si="24"/>
        <v>22</v>
      </c>
      <c r="X178" s="3006" t="s">
        <v>8986</v>
      </c>
      <c r="Y178" s="3007" t="s">
        <v>8987</v>
      </c>
      <c r="Z178" s="3007" t="s">
        <v>8988</v>
      </c>
      <c r="AA178" s="3007" t="s">
        <v>8989</v>
      </c>
      <c r="AB178" s="3007" t="s">
        <v>8990</v>
      </c>
      <c r="AC178" s="3007" t="s">
        <v>8991</v>
      </c>
      <c r="AD178" s="3006" t="s">
        <v>8986</v>
      </c>
      <c r="AF178" s="2730">
        <v>1</v>
      </c>
    </row>
    <row r="179" spans="2:32" ht="30" customHeight="1">
      <c r="B179" s="3065"/>
      <c r="C179" s="2876"/>
      <c r="D179" s="2975"/>
      <c r="E179" s="3073"/>
      <c r="F179" s="1"/>
      <c r="G179" s="3008"/>
      <c r="H179" s="2991"/>
      <c r="I179" s="3010"/>
      <c r="J179" s="3010"/>
      <c r="L179" s="2983"/>
      <c r="M179" s="2984"/>
      <c r="N179" s="716"/>
      <c r="O179" s="2975"/>
      <c r="P179" s="2975"/>
      <c r="Q179" s="2840"/>
      <c r="R179" s="2998"/>
      <c r="S179" s="3061"/>
      <c r="T179" s="3004"/>
      <c r="U179" s="3004"/>
      <c r="W179" s="2998">
        <f t="shared" si="24"/>
        <v>23</v>
      </c>
      <c r="X179" s="3006" t="s">
        <v>8992</v>
      </c>
      <c r="Y179" s="3007" t="s">
        <v>8993</v>
      </c>
      <c r="Z179" s="3007" t="s">
        <v>8994</v>
      </c>
      <c r="AA179" s="3007" t="s">
        <v>8995</v>
      </c>
      <c r="AB179" s="3007" t="s">
        <v>8996</v>
      </c>
      <c r="AC179" s="3007" t="s">
        <v>8997</v>
      </c>
      <c r="AD179" s="3006" t="s">
        <v>8992</v>
      </c>
      <c r="AF179" s="2730">
        <v>1</v>
      </c>
    </row>
    <row r="180" spans="2:32" ht="30" customHeight="1">
      <c r="B180" s="3074"/>
      <c r="C180" s="3035" t="s">
        <v>8998</v>
      </c>
      <c r="D180" s="3036" t="s">
        <v>8999</v>
      </c>
      <c r="E180" s="3036" t="s">
        <v>9000</v>
      </c>
      <c r="F180" s="3075"/>
      <c r="G180" s="3076"/>
      <c r="H180" s="3077"/>
      <c r="I180" s="3010"/>
      <c r="J180" s="3010"/>
      <c r="L180" s="2983"/>
      <c r="M180" s="2984"/>
      <c r="N180" s="716"/>
      <c r="O180" s="2975"/>
      <c r="P180" s="2975"/>
      <c r="Q180" s="2840"/>
      <c r="R180" s="2998"/>
      <c r="S180" s="3061"/>
      <c r="T180" s="3004"/>
      <c r="U180" s="3004"/>
      <c r="W180" s="2998">
        <f t="shared" si="24"/>
        <v>24</v>
      </c>
      <c r="X180" s="3006" t="s">
        <v>9001</v>
      </c>
      <c r="Y180" s="3007" t="s">
        <v>9002</v>
      </c>
      <c r="Z180" s="3011" t="s">
        <v>9003</v>
      </c>
      <c r="AA180" s="3007" t="s">
        <v>9004</v>
      </c>
      <c r="AB180" s="3007" t="s">
        <v>9005</v>
      </c>
      <c r="AC180" s="3007" t="s">
        <v>9006</v>
      </c>
      <c r="AD180" s="3006" t="s">
        <v>9001</v>
      </c>
      <c r="AF180" s="2730">
        <v>1</v>
      </c>
    </row>
    <row r="181" spans="2:32" ht="30" customHeight="1">
      <c r="B181" s="3065"/>
      <c r="C181" s="2876"/>
      <c r="D181" s="2975"/>
      <c r="E181" s="3078"/>
      <c r="F181" s="1"/>
      <c r="G181" s="3008"/>
      <c r="H181" s="3079"/>
      <c r="I181" s="3010"/>
      <c r="J181" s="3010"/>
      <c r="L181" s="2983"/>
      <c r="M181" s="2984"/>
      <c r="N181" s="716"/>
      <c r="O181" s="2975"/>
      <c r="P181" s="2975"/>
      <c r="Q181" s="2840"/>
      <c r="R181" s="2998"/>
      <c r="S181" s="3061"/>
      <c r="T181" s="3004"/>
      <c r="U181" s="3004"/>
      <c r="W181" s="2998">
        <f t="shared" si="24"/>
        <v>25</v>
      </c>
      <c r="X181" s="3006" t="s">
        <v>2247</v>
      </c>
      <c r="Y181" s="3007" t="s">
        <v>9007</v>
      </c>
      <c r="Z181" s="3007" t="s">
        <v>9008</v>
      </c>
      <c r="AA181" s="3007" t="s">
        <v>9009</v>
      </c>
      <c r="AB181" s="3007" t="s">
        <v>9010</v>
      </c>
      <c r="AC181" s="3007" t="s">
        <v>9011</v>
      </c>
      <c r="AD181" s="3006" t="s">
        <v>2247</v>
      </c>
      <c r="AF181" s="2730">
        <v>1</v>
      </c>
    </row>
    <row r="182" spans="2:32" ht="30" customHeight="1">
      <c r="B182" s="3065">
        <v>1</v>
      </c>
      <c r="C182" s="2876" t="s">
        <v>9012</v>
      </c>
      <c r="D182" s="2975"/>
      <c r="E182" s="3078"/>
      <c r="F182" s="1"/>
      <c r="G182" s="3008"/>
      <c r="H182" s="3079"/>
      <c r="I182" s="3010"/>
      <c r="J182" s="3010"/>
      <c r="L182" s="2983"/>
      <c r="M182" s="2984"/>
      <c r="N182" s="716"/>
      <c r="O182" s="2975"/>
      <c r="P182" s="2975"/>
      <c r="Q182" s="2840"/>
      <c r="R182" s="2998"/>
      <c r="S182" s="3061"/>
      <c r="T182" s="3004"/>
      <c r="U182" s="3004"/>
      <c r="W182" s="2998">
        <f t="shared" si="24"/>
        <v>26</v>
      </c>
      <c r="X182" s="3006" t="s">
        <v>9013</v>
      </c>
      <c r="Y182" s="3007" t="s">
        <v>9014</v>
      </c>
      <c r="Z182" s="3011" t="s">
        <v>9015</v>
      </c>
      <c r="AA182" s="3007" t="s">
        <v>9016</v>
      </c>
      <c r="AB182" s="3007" t="s">
        <v>9017</v>
      </c>
      <c r="AC182" s="3007" t="s">
        <v>9018</v>
      </c>
      <c r="AD182" s="3006" t="s">
        <v>9013</v>
      </c>
      <c r="AF182" s="2730">
        <v>1</v>
      </c>
    </row>
    <row r="183" spans="2:32" ht="30" customHeight="1">
      <c r="B183" s="3065">
        <v>2</v>
      </c>
      <c r="C183" s="2876" t="s">
        <v>9019</v>
      </c>
      <c r="D183" s="2975"/>
      <c r="E183" s="3078"/>
      <c r="F183" s="1"/>
      <c r="G183" s="3008"/>
      <c r="H183" s="3079"/>
      <c r="I183" s="3010"/>
      <c r="J183" s="3010"/>
      <c r="L183" s="2983"/>
      <c r="M183" s="2984"/>
      <c r="N183" s="716"/>
      <c r="O183" s="2975"/>
      <c r="P183" s="2975"/>
      <c r="Q183" s="2840"/>
      <c r="R183" s="2998"/>
      <c r="S183" s="3061"/>
      <c r="T183" s="3004"/>
      <c r="U183" s="3004"/>
      <c r="W183" s="2998">
        <f t="shared" si="24"/>
        <v>27</v>
      </c>
      <c r="X183" s="3006" t="s">
        <v>9020</v>
      </c>
      <c r="Y183" s="3007" t="s">
        <v>9021</v>
      </c>
      <c r="Z183" s="3007" t="s">
        <v>9022</v>
      </c>
      <c r="AA183" s="3007" t="s">
        <v>9023</v>
      </c>
      <c r="AB183" s="3007" t="s">
        <v>9024</v>
      </c>
      <c r="AC183" s="3007" t="s">
        <v>9025</v>
      </c>
      <c r="AD183" s="3006" t="s">
        <v>9020</v>
      </c>
      <c r="AF183" s="2730">
        <v>1</v>
      </c>
    </row>
    <row r="184" spans="2:32" ht="30" customHeight="1">
      <c r="B184" s="3065">
        <v>3</v>
      </c>
      <c r="C184" s="2876" t="s">
        <v>9026</v>
      </c>
      <c r="D184" s="2975"/>
      <c r="E184" s="3078"/>
      <c r="F184" s="1"/>
      <c r="G184" s="3008"/>
      <c r="H184" s="3079"/>
      <c r="I184" s="3010"/>
      <c r="J184" s="3010"/>
      <c r="L184" s="2983"/>
      <c r="M184" s="2984"/>
      <c r="N184" s="716"/>
      <c r="O184" s="2975"/>
      <c r="P184" s="2975"/>
      <c r="Q184" s="2840"/>
      <c r="R184" s="2998"/>
      <c r="S184" s="3061"/>
      <c r="T184" s="3004"/>
      <c r="U184" s="3004"/>
      <c r="W184" s="2998">
        <f t="shared" si="24"/>
        <v>28</v>
      </c>
      <c r="X184" s="3006" t="s">
        <v>9027</v>
      </c>
      <c r="Y184" s="3007" t="s">
        <v>9028</v>
      </c>
      <c r="Z184" s="3007" t="s">
        <v>9029</v>
      </c>
      <c r="AA184" s="3007" t="s">
        <v>9030</v>
      </c>
      <c r="AB184" s="3007" t="s">
        <v>9031</v>
      </c>
      <c r="AC184" s="3007" t="s">
        <v>9032</v>
      </c>
      <c r="AD184" s="3006" t="s">
        <v>9027</v>
      </c>
      <c r="AF184" s="2730">
        <v>1</v>
      </c>
    </row>
    <row r="185" spans="2:32" ht="30" customHeight="1">
      <c r="B185" s="3065">
        <v>4</v>
      </c>
      <c r="C185" s="2876" t="s">
        <v>9033</v>
      </c>
      <c r="D185" s="2975"/>
      <c r="E185" s="2975"/>
      <c r="F185" s="1"/>
      <c r="G185" s="3008"/>
      <c r="H185" s="3079"/>
      <c r="I185" s="3010"/>
      <c r="J185" s="3010"/>
      <c r="L185" s="2983"/>
      <c r="M185" s="2984"/>
      <c r="N185" s="716"/>
      <c r="O185" s="2975"/>
      <c r="P185" s="2975"/>
      <c r="Q185" s="2840"/>
      <c r="R185" s="2998"/>
      <c r="S185" s="3061"/>
      <c r="T185" s="3004"/>
      <c r="U185" s="3004"/>
      <c r="W185" s="2998">
        <f t="shared" si="24"/>
        <v>29</v>
      </c>
      <c r="X185" s="3006" t="s">
        <v>9034</v>
      </c>
      <c r="Y185" s="3007" t="s">
        <v>9035</v>
      </c>
      <c r="Z185" s="3011" t="s">
        <v>9036</v>
      </c>
      <c r="AA185" s="3007" t="s">
        <v>9037</v>
      </c>
      <c r="AB185" s="3007" t="s">
        <v>9038</v>
      </c>
      <c r="AC185" s="3007" t="s">
        <v>9039</v>
      </c>
      <c r="AD185" s="3006" t="s">
        <v>9034</v>
      </c>
      <c r="AF185" s="2730">
        <v>1</v>
      </c>
    </row>
    <row r="186" spans="2:32" ht="30" customHeight="1">
      <c r="B186" s="3065">
        <v>5</v>
      </c>
      <c r="C186" s="2876" t="s">
        <v>9040</v>
      </c>
      <c r="D186" s="2975"/>
      <c r="E186" s="2975"/>
      <c r="F186" s="1"/>
      <c r="G186" s="3008"/>
      <c r="H186" s="3079"/>
      <c r="I186" s="3010"/>
      <c r="J186" s="3010"/>
      <c r="L186" s="2983"/>
      <c r="M186" s="2984"/>
      <c r="N186" s="716"/>
      <c r="O186" s="2975"/>
      <c r="P186" s="2975"/>
      <c r="Q186" s="2840"/>
      <c r="R186" s="2998"/>
      <c r="S186" s="3061"/>
      <c r="T186" s="3004"/>
      <c r="U186" s="3004"/>
      <c r="W186" s="2998">
        <f t="shared" si="24"/>
        <v>30</v>
      </c>
      <c r="X186" s="3006" t="s">
        <v>9041</v>
      </c>
      <c r="Y186" s="3007" t="s">
        <v>9042</v>
      </c>
      <c r="Z186" s="3011" t="s">
        <v>9043</v>
      </c>
      <c r="AA186" s="3007" t="s">
        <v>9044</v>
      </c>
      <c r="AB186" s="3007" t="s">
        <v>9045</v>
      </c>
      <c r="AC186" s="3007" t="s">
        <v>9046</v>
      </c>
      <c r="AD186" s="3006" t="s">
        <v>9041</v>
      </c>
      <c r="AF186" s="2730">
        <v>1</v>
      </c>
    </row>
    <row r="187" spans="2:32" ht="30" customHeight="1">
      <c r="B187" s="3066">
        <v>6</v>
      </c>
      <c r="C187" s="3067" t="s">
        <v>9047</v>
      </c>
      <c r="D187" s="3068"/>
      <c r="E187" s="3080"/>
      <c r="F187" s="2806"/>
      <c r="G187" s="3081"/>
      <c r="H187" s="3082"/>
      <c r="I187" s="3010"/>
      <c r="J187" s="3010"/>
      <c r="L187" s="2983"/>
      <c r="M187" s="2984"/>
      <c r="N187" s="716"/>
      <c r="O187" s="2975"/>
      <c r="P187" s="2975"/>
      <c r="Q187" s="2840"/>
      <c r="R187" s="2998"/>
      <c r="S187" s="3061"/>
      <c r="T187" s="3004"/>
      <c r="U187" s="3004"/>
      <c r="W187" s="2998">
        <f t="shared" si="24"/>
        <v>31</v>
      </c>
      <c r="X187" s="3006" t="s">
        <v>9048</v>
      </c>
      <c r="Y187" s="3007" t="s">
        <v>9049</v>
      </c>
      <c r="Z187" s="3011" t="s">
        <v>9050</v>
      </c>
      <c r="AA187" s="3007" t="s">
        <v>9051</v>
      </c>
      <c r="AB187" s="3007" t="s">
        <v>9052</v>
      </c>
      <c r="AC187" s="3007" t="s">
        <v>9053</v>
      </c>
      <c r="AD187" s="3006" t="s">
        <v>9048</v>
      </c>
      <c r="AF187" s="2730">
        <v>1</v>
      </c>
    </row>
    <row r="188" spans="2:32" ht="30" customHeight="1">
      <c r="B188" s="3008"/>
      <c r="C188" s="2876"/>
      <c r="D188" s="2975"/>
      <c r="E188" s="3078"/>
      <c r="F188" s="1"/>
      <c r="G188" s="3008"/>
      <c r="H188" s="2991"/>
      <c r="I188" s="3010"/>
      <c r="J188" s="3010"/>
      <c r="L188" s="2983"/>
      <c r="M188" s="2984"/>
      <c r="N188" s="716"/>
      <c r="O188" s="2975"/>
      <c r="P188" s="2975"/>
      <c r="Q188" s="2840"/>
      <c r="R188" s="2998"/>
      <c r="S188" s="3061"/>
      <c r="T188" s="3004"/>
      <c r="U188" s="3004"/>
      <c r="W188" s="2998">
        <f t="shared" si="24"/>
        <v>32</v>
      </c>
      <c r="X188" s="3006" t="s">
        <v>9054</v>
      </c>
      <c r="Y188" s="3007" t="s">
        <v>9055</v>
      </c>
      <c r="Z188" s="3011" t="s">
        <v>9056</v>
      </c>
      <c r="AA188" s="3007" t="s">
        <v>9057</v>
      </c>
      <c r="AB188" s="3007" t="s">
        <v>9058</v>
      </c>
      <c r="AC188" s="3007" t="s">
        <v>9059</v>
      </c>
      <c r="AD188" s="3006" t="s">
        <v>9054</v>
      </c>
      <c r="AF188" s="2730">
        <v>1</v>
      </c>
    </row>
    <row r="189" spans="2:32" ht="30" customHeight="1">
      <c r="B189" s="3074"/>
      <c r="C189" s="3035" t="s">
        <v>9060</v>
      </c>
      <c r="D189" s="3036" t="s">
        <v>9061</v>
      </c>
      <c r="E189" s="3036" t="s">
        <v>9062</v>
      </c>
      <c r="F189" s="3075"/>
      <c r="G189" s="3076"/>
      <c r="H189" s="3077"/>
      <c r="I189" s="3010"/>
      <c r="J189" s="3010"/>
      <c r="L189" s="2983"/>
      <c r="M189" s="2984"/>
      <c r="N189" s="716"/>
      <c r="O189" s="2975"/>
      <c r="P189" s="2975"/>
      <c r="Q189" s="2840"/>
      <c r="R189" s="2998"/>
      <c r="S189" s="3061"/>
      <c r="T189" s="3004"/>
      <c r="U189" s="3004"/>
      <c r="W189" s="2998">
        <f t="shared" si="24"/>
        <v>33</v>
      </c>
      <c r="X189" s="3006" t="s">
        <v>9063</v>
      </c>
      <c r="Y189" s="3007" t="s">
        <v>9064</v>
      </c>
      <c r="Z189" s="3007" t="s">
        <v>9065</v>
      </c>
      <c r="AA189" s="3007" t="s">
        <v>9066</v>
      </c>
      <c r="AB189" s="3007" t="s">
        <v>9067</v>
      </c>
      <c r="AC189" s="3007" t="s">
        <v>9068</v>
      </c>
      <c r="AD189" s="3006" t="s">
        <v>9063</v>
      </c>
      <c r="AF189" s="2730">
        <v>1</v>
      </c>
    </row>
    <row r="190" spans="2:32" ht="30" customHeight="1">
      <c r="B190" s="3065"/>
      <c r="C190" s="2876"/>
      <c r="D190" s="2975"/>
      <c r="E190" s="3078"/>
      <c r="F190" s="1"/>
      <c r="G190" s="3008"/>
      <c r="H190" s="3079"/>
      <c r="I190" s="3010"/>
      <c r="J190" s="3010"/>
      <c r="L190" s="2983"/>
      <c r="M190" s="2984"/>
      <c r="N190" s="716"/>
      <c r="O190" s="2975"/>
      <c r="P190" s="2975"/>
      <c r="Q190" s="2840"/>
      <c r="R190" s="2998"/>
      <c r="S190" s="3061"/>
      <c r="T190" s="3004"/>
      <c r="U190" s="3004"/>
      <c r="W190" s="2998">
        <f t="shared" si="24"/>
        <v>34</v>
      </c>
      <c r="X190" s="3006" t="s">
        <v>2261</v>
      </c>
      <c r="Y190" s="3007" t="s">
        <v>9069</v>
      </c>
      <c r="Z190" s="3011" t="s">
        <v>9070</v>
      </c>
      <c r="AA190" s="3007" t="s">
        <v>9071</v>
      </c>
      <c r="AB190" s="3007" t="s">
        <v>9072</v>
      </c>
      <c r="AC190" s="3007" t="s">
        <v>9073</v>
      </c>
      <c r="AD190" s="3006" t="s">
        <v>2261</v>
      </c>
      <c r="AF190" s="2730">
        <v>1</v>
      </c>
    </row>
    <row r="191" spans="2:32" ht="30" customHeight="1">
      <c r="B191" s="3065">
        <v>1</v>
      </c>
      <c r="C191" s="2876" t="s">
        <v>9074</v>
      </c>
      <c r="D191" s="2975"/>
      <c r="E191" s="3078"/>
      <c r="F191" s="1"/>
      <c r="G191" s="3008"/>
      <c r="H191" s="3079"/>
      <c r="I191" s="3010"/>
      <c r="J191" s="3010"/>
      <c r="L191" s="2983"/>
      <c r="M191" s="2984"/>
      <c r="N191" s="716"/>
      <c r="O191" s="2975"/>
      <c r="P191" s="2975"/>
      <c r="Q191" s="2840"/>
      <c r="R191" s="2998"/>
      <c r="S191" s="3061"/>
      <c r="T191" s="3004"/>
      <c r="U191" s="3004"/>
      <c r="W191" s="2998">
        <f t="shared" si="24"/>
        <v>35</v>
      </c>
      <c r="X191" s="3006" t="s">
        <v>2914</v>
      </c>
      <c r="Y191" s="3007" t="s">
        <v>9075</v>
      </c>
      <c r="Z191" s="3011" t="s">
        <v>9076</v>
      </c>
      <c r="AA191" s="3007" t="s">
        <v>9077</v>
      </c>
      <c r="AB191" s="3007" t="s">
        <v>9078</v>
      </c>
      <c r="AC191" s="3007" t="s">
        <v>9079</v>
      </c>
      <c r="AD191" s="3006" t="s">
        <v>2914</v>
      </c>
      <c r="AF191" s="2730">
        <v>1</v>
      </c>
    </row>
    <row r="192" spans="2:32" ht="30" customHeight="1">
      <c r="B192" s="3065">
        <v>2</v>
      </c>
      <c r="C192" s="2876" t="s">
        <v>9080</v>
      </c>
      <c r="D192" s="2975"/>
      <c r="E192" s="3078"/>
      <c r="F192" s="1"/>
      <c r="G192" s="3008"/>
      <c r="H192" s="3079"/>
      <c r="I192" s="3010"/>
      <c r="J192" s="3010"/>
      <c r="L192" s="2983"/>
      <c r="M192" s="2984"/>
      <c r="N192" s="716"/>
      <c r="O192" s="2975"/>
      <c r="P192" s="2975"/>
      <c r="Q192" s="2840"/>
      <c r="R192" s="2998"/>
      <c r="S192" s="3061"/>
      <c r="T192" s="3004"/>
      <c r="U192" s="3004"/>
      <c r="W192" s="2998"/>
      <c r="AF192" s="2730">
        <v>1</v>
      </c>
    </row>
    <row r="193" spans="2:32" ht="30" customHeight="1">
      <c r="B193" s="3065">
        <v>3</v>
      </c>
      <c r="C193" s="2876" t="s">
        <v>9081</v>
      </c>
      <c r="D193" s="2975"/>
      <c r="E193" s="3078"/>
      <c r="F193" s="1"/>
      <c r="G193" s="3008"/>
      <c r="H193" s="3079"/>
      <c r="I193" s="3010"/>
      <c r="J193" s="3010"/>
      <c r="L193" s="2983"/>
      <c r="M193" s="2984"/>
      <c r="N193" s="716"/>
      <c r="O193" s="2975"/>
      <c r="P193" s="2975"/>
      <c r="Q193" s="2840"/>
      <c r="R193" s="2998"/>
      <c r="S193" s="3061"/>
      <c r="T193" s="3004"/>
      <c r="U193" s="3004"/>
      <c r="X193" s="2999" t="s">
        <v>343</v>
      </c>
      <c r="Y193" s="3000"/>
      <c r="Z193" s="3000"/>
      <c r="AA193" s="3000"/>
      <c r="AB193" s="2988"/>
      <c r="AC193" s="2988"/>
      <c r="AD193" s="2999" t="s">
        <v>343</v>
      </c>
      <c r="AF193" s="2730">
        <v>1</v>
      </c>
    </row>
    <row r="194" spans="2:32" ht="30" customHeight="1">
      <c r="B194" s="3065">
        <v>4</v>
      </c>
      <c r="C194" s="2876" t="s">
        <v>9082</v>
      </c>
      <c r="D194" s="2975"/>
      <c r="E194" s="2975"/>
      <c r="F194" s="1"/>
      <c r="G194" s="3008"/>
      <c r="H194" s="3079"/>
      <c r="I194" s="3010"/>
      <c r="J194" s="3010"/>
      <c r="L194" s="2983"/>
      <c r="M194" s="2984"/>
      <c r="N194" s="716"/>
      <c r="O194" s="2975"/>
      <c r="P194" s="2975"/>
      <c r="Q194" s="2840"/>
      <c r="R194" s="2998"/>
      <c r="S194" s="3061"/>
      <c r="T194" s="3004"/>
      <c r="U194" s="3004"/>
      <c r="W194" s="2998">
        <v>1</v>
      </c>
      <c r="X194" s="3006" t="s">
        <v>2062</v>
      </c>
      <c r="Y194" s="3007" t="s">
        <v>9083</v>
      </c>
      <c r="Z194" s="3011" t="s">
        <v>9084</v>
      </c>
      <c r="AA194" s="3007" t="s">
        <v>9085</v>
      </c>
      <c r="AB194" s="3007" t="s">
        <v>9086</v>
      </c>
      <c r="AC194" s="3007" t="s">
        <v>9087</v>
      </c>
      <c r="AD194" s="3006" t="s">
        <v>2062</v>
      </c>
      <c r="AF194" s="2730">
        <v>1</v>
      </c>
    </row>
    <row r="195" spans="2:32" ht="30" customHeight="1">
      <c r="B195" s="3065">
        <v>5</v>
      </c>
      <c r="C195" s="2876" t="s">
        <v>9088</v>
      </c>
      <c r="D195" s="2975"/>
      <c r="E195" s="2975"/>
      <c r="F195" s="1"/>
      <c r="G195" s="3008"/>
      <c r="H195" s="3079"/>
      <c r="I195" s="3010"/>
      <c r="J195" s="3010"/>
      <c r="L195" s="2983"/>
      <c r="M195" s="2984"/>
      <c r="N195" s="716"/>
      <c r="O195" s="2975"/>
      <c r="P195" s="2975"/>
      <c r="Q195" s="2840"/>
      <c r="R195" s="2998"/>
      <c r="S195" s="3061"/>
      <c r="T195" s="3004"/>
      <c r="U195" s="3004"/>
      <c r="W195" s="2998">
        <f>W194+1</f>
        <v>2</v>
      </c>
      <c r="X195" s="3006" t="s">
        <v>9089</v>
      </c>
      <c r="Y195" s="3007" t="s">
        <v>9090</v>
      </c>
      <c r="Z195" s="3011" t="s">
        <v>9091</v>
      </c>
      <c r="AA195" s="3007" t="s">
        <v>9092</v>
      </c>
      <c r="AB195" s="3007" t="s">
        <v>9093</v>
      </c>
      <c r="AC195" s="3007" t="s">
        <v>9094</v>
      </c>
      <c r="AD195" s="3006" t="s">
        <v>9089</v>
      </c>
      <c r="AF195" s="2730">
        <v>1</v>
      </c>
    </row>
    <row r="196" spans="2:32" ht="30" customHeight="1">
      <c r="B196" s="3066">
        <v>6</v>
      </c>
      <c r="C196" s="3067" t="s">
        <v>9095</v>
      </c>
      <c r="D196" s="3068"/>
      <c r="E196" s="3080"/>
      <c r="F196" s="2806"/>
      <c r="G196" s="3081"/>
      <c r="H196" s="3082"/>
      <c r="I196" s="3010"/>
      <c r="J196" s="3010"/>
      <c r="L196" s="2983"/>
      <c r="M196" s="2984"/>
      <c r="N196" s="716"/>
      <c r="O196" s="2975"/>
      <c r="P196" s="2975"/>
      <c r="Q196" s="2840"/>
      <c r="R196" s="2998"/>
      <c r="S196" s="3061"/>
      <c r="T196" s="3004"/>
      <c r="U196" s="3004"/>
      <c r="W196" s="2998">
        <v>2</v>
      </c>
      <c r="X196" s="3006" t="s">
        <v>9096</v>
      </c>
      <c r="Y196" s="3007" t="s">
        <v>9097</v>
      </c>
      <c r="Z196" s="3011" t="s">
        <v>9098</v>
      </c>
      <c r="AA196" s="3007" t="s">
        <v>9099</v>
      </c>
      <c r="AB196" s="3007" t="s">
        <v>9100</v>
      </c>
      <c r="AC196" s="3007" t="s">
        <v>9101</v>
      </c>
      <c r="AD196" s="3006" t="s">
        <v>9096</v>
      </c>
      <c r="AF196" s="2730">
        <v>1</v>
      </c>
    </row>
    <row r="197" spans="2:32" ht="30" customHeight="1">
      <c r="B197" s="3008"/>
      <c r="C197" s="2876"/>
      <c r="D197" s="2975"/>
      <c r="E197" s="3078"/>
      <c r="F197" s="1"/>
      <c r="G197" s="3008"/>
      <c r="H197" s="2991"/>
      <c r="I197" s="3010"/>
      <c r="J197" s="3010"/>
      <c r="L197" s="2983"/>
      <c r="M197" s="2984"/>
      <c r="N197" s="716"/>
      <c r="O197" s="2975"/>
      <c r="P197" s="2975"/>
      <c r="Q197" s="2840"/>
      <c r="R197" s="2998"/>
      <c r="S197" s="3061"/>
      <c r="T197" s="3004"/>
      <c r="U197" s="3004"/>
      <c r="W197" s="2998">
        <f t="shared" ref="W197" si="25">W196+1</f>
        <v>3</v>
      </c>
      <c r="X197" s="3006" t="s">
        <v>2072</v>
      </c>
      <c r="Y197" s="3007" t="s">
        <v>9102</v>
      </c>
      <c r="Z197" s="3011" t="s">
        <v>9103</v>
      </c>
      <c r="AA197" s="3007" t="s">
        <v>9104</v>
      </c>
      <c r="AB197" s="3007" t="s">
        <v>9105</v>
      </c>
      <c r="AC197" s="3007" t="s">
        <v>9106</v>
      </c>
      <c r="AD197" s="3006" t="s">
        <v>2072</v>
      </c>
      <c r="AF197" s="2730">
        <v>1</v>
      </c>
    </row>
    <row r="198" spans="2:32" ht="30" customHeight="1">
      <c r="B198" s="3074"/>
      <c r="C198" s="3035" t="s">
        <v>9107</v>
      </c>
      <c r="D198" s="3036" t="s">
        <v>9108</v>
      </c>
      <c r="E198" s="3036" t="s">
        <v>9109</v>
      </c>
      <c r="F198" s="3075"/>
      <c r="G198" s="3076"/>
      <c r="H198" s="3077"/>
      <c r="I198" s="3010"/>
      <c r="J198" s="3010"/>
      <c r="L198" s="2983"/>
      <c r="M198" s="2984"/>
      <c r="N198" s="716"/>
      <c r="O198" s="2975"/>
      <c r="P198" s="2975"/>
      <c r="Q198" s="2840"/>
      <c r="R198" s="2998"/>
      <c r="S198" s="3061"/>
      <c r="T198" s="3004"/>
      <c r="U198" s="3004"/>
      <c r="W198" s="2998">
        <v>3</v>
      </c>
      <c r="X198" s="3006" t="s">
        <v>9110</v>
      </c>
      <c r="Y198" s="3007" t="s">
        <v>9111</v>
      </c>
      <c r="Z198" s="3011" t="s">
        <v>9112</v>
      </c>
      <c r="AA198" s="3007" t="s">
        <v>9113</v>
      </c>
      <c r="AB198" s="3007" t="s">
        <v>9114</v>
      </c>
      <c r="AC198" s="3007" t="s">
        <v>9115</v>
      </c>
      <c r="AD198" s="3006" t="s">
        <v>9110</v>
      </c>
      <c r="AF198" s="2730">
        <v>1</v>
      </c>
    </row>
    <row r="199" spans="2:32" ht="30" customHeight="1">
      <c r="B199" s="3065"/>
      <c r="C199" s="2876"/>
      <c r="D199" s="2975"/>
      <c r="E199" s="3078"/>
      <c r="F199" s="1"/>
      <c r="G199" s="3008"/>
      <c r="H199" s="3079"/>
      <c r="I199" s="3010"/>
      <c r="J199" s="3010"/>
      <c r="L199" s="2983"/>
      <c r="M199" s="2984"/>
      <c r="N199" s="716"/>
      <c r="O199" s="2975"/>
      <c r="P199" s="2975"/>
      <c r="Q199" s="2840"/>
      <c r="R199" s="2998"/>
      <c r="S199" s="3061"/>
      <c r="T199" s="3004"/>
      <c r="U199" s="3004"/>
      <c r="W199" s="2998">
        <f t="shared" ref="W199" si="26">W198+1</f>
        <v>4</v>
      </c>
      <c r="X199" s="3006" t="s">
        <v>9116</v>
      </c>
      <c r="Y199" s="3007" t="s">
        <v>9117</v>
      </c>
      <c r="Z199" s="3011" t="s">
        <v>9118</v>
      </c>
      <c r="AA199" s="3007" t="s">
        <v>9119</v>
      </c>
      <c r="AB199" s="3007" t="s">
        <v>9120</v>
      </c>
      <c r="AC199" s="3007" t="s">
        <v>9121</v>
      </c>
      <c r="AD199" s="3006" t="s">
        <v>9116</v>
      </c>
      <c r="AF199" s="2730">
        <v>1</v>
      </c>
    </row>
    <row r="200" spans="2:32" ht="30" customHeight="1">
      <c r="B200" s="3065">
        <v>1</v>
      </c>
      <c r="C200" s="2876" t="s">
        <v>9122</v>
      </c>
      <c r="D200" s="2975"/>
      <c r="E200" s="3078"/>
      <c r="F200" s="1"/>
      <c r="G200" s="3008"/>
      <c r="H200" s="3079"/>
      <c r="I200" s="3010"/>
      <c r="J200" s="3010"/>
      <c r="L200" s="2983"/>
      <c r="M200" s="2984"/>
      <c r="N200" s="716"/>
      <c r="O200" s="2975"/>
      <c r="P200" s="2975"/>
      <c r="Q200" s="2840"/>
      <c r="R200" s="2998"/>
      <c r="S200" s="3061"/>
      <c r="T200" s="3004"/>
      <c r="U200" s="3004"/>
      <c r="W200" s="2998">
        <v>4</v>
      </c>
      <c r="X200" s="3006" t="s">
        <v>9123</v>
      </c>
      <c r="Y200" s="3007" t="s">
        <v>9124</v>
      </c>
      <c r="Z200" s="3011" t="s">
        <v>9125</v>
      </c>
      <c r="AA200" s="3007" t="s">
        <v>9126</v>
      </c>
      <c r="AB200" s="3011" t="s">
        <v>9127</v>
      </c>
      <c r="AC200" s="3011" t="s">
        <v>9128</v>
      </c>
      <c r="AD200" s="3006" t="s">
        <v>9123</v>
      </c>
      <c r="AF200" s="2730">
        <v>1</v>
      </c>
    </row>
    <row r="201" spans="2:32" ht="30" customHeight="1">
      <c r="B201" s="3065">
        <v>2</v>
      </c>
      <c r="C201" s="2876" t="s">
        <v>9129</v>
      </c>
      <c r="D201" s="2975"/>
      <c r="E201" s="3078"/>
      <c r="F201" s="1"/>
      <c r="G201" s="3008"/>
      <c r="H201" s="3079"/>
      <c r="I201" s="3010"/>
      <c r="J201" s="3010"/>
      <c r="L201" s="2983"/>
      <c r="M201" s="2984"/>
      <c r="N201" s="716"/>
      <c r="O201" s="2975"/>
      <c r="P201" s="2975"/>
      <c r="Q201" s="2840"/>
      <c r="R201" s="2998"/>
      <c r="S201" s="3061"/>
      <c r="T201" s="3004"/>
      <c r="U201" s="3004"/>
      <c r="W201" s="2998">
        <f t="shared" ref="W201" si="27">W200+1</f>
        <v>5</v>
      </c>
      <c r="X201" s="3006" t="s">
        <v>9130</v>
      </c>
      <c r="Y201" s="3007" t="s">
        <v>9131</v>
      </c>
      <c r="Z201" s="3011" t="s">
        <v>9132</v>
      </c>
      <c r="AA201" s="3007" t="s">
        <v>9133</v>
      </c>
      <c r="AB201" s="3007" t="s">
        <v>9134</v>
      </c>
      <c r="AC201" s="3007" t="s">
        <v>9135</v>
      </c>
      <c r="AD201" s="3006" t="s">
        <v>9130</v>
      </c>
      <c r="AF201" s="2730">
        <v>1</v>
      </c>
    </row>
    <row r="202" spans="2:32" ht="30" customHeight="1">
      <c r="B202" s="3065">
        <v>3</v>
      </c>
      <c r="C202" s="2876" t="s">
        <v>9136</v>
      </c>
      <c r="D202" s="2975"/>
      <c r="E202" s="3078"/>
      <c r="F202" s="1"/>
      <c r="G202" s="3008"/>
      <c r="H202" s="3079"/>
      <c r="I202" s="3010"/>
      <c r="J202" s="3010"/>
      <c r="L202" s="2983"/>
      <c r="M202" s="2984"/>
      <c r="N202" s="716"/>
      <c r="O202" s="2975"/>
      <c r="P202" s="2975"/>
      <c r="Q202" s="2840"/>
      <c r="R202" s="2998"/>
      <c r="S202" s="3061"/>
      <c r="T202" s="3004"/>
      <c r="U202" s="3004"/>
      <c r="W202" s="2998">
        <v>5</v>
      </c>
      <c r="X202" s="3006" t="s">
        <v>9137</v>
      </c>
      <c r="Y202" s="3007" t="s">
        <v>9138</v>
      </c>
      <c r="Z202" s="3011" t="s">
        <v>9139</v>
      </c>
      <c r="AA202" s="3007" t="s">
        <v>9140</v>
      </c>
      <c r="AB202" s="3007" t="s">
        <v>9141</v>
      </c>
      <c r="AC202" s="3007" t="s">
        <v>9142</v>
      </c>
      <c r="AD202" s="3006" t="s">
        <v>9137</v>
      </c>
      <c r="AF202" s="2730">
        <v>1</v>
      </c>
    </row>
    <row r="203" spans="2:32" ht="30" customHeight="1">
      <c r="B203" s="3065">
        <v>4</v>
      </c>
      <c r="C203" s="2876" t="s">
        <v>9143</v>
      </c>
      <c r="D203" s="2975"/>
      <c r="E203" s="3078"/>
      <c r="F203" s="1"/>
      <c r="G203" s="3008"/>
      <c r="H203" s="3079"/>
      <c r="I203" s="3010"/>
      <c r="J203" s="3010"/>
      <c r="L203" s="2983"/>
      <c r="M203" s="2984"/>
      <c r="N203" s="716"/>
      <c r="O203" s="2975"/>
      <c r="P203" s="2975"/>
      <c r="Q203" s="2840"/>
      <c r="R203" s="2998"/>
      <c r="S203" s="3061"/>
      <c r="T203" s="3004"/>
      <c r="U203" s="3004"/>
      <c r="W203" s="2998">
        <f t="shared" ref="W203" si="28">W202+1</f>
        <v>6</v>
      </c>
      <c r="X203" s="3006" t="s">
        <v>2086</v>
      </c>
      <c r="Y203" s="3007" t="s">
        <v>9144</v>
      </c>
      <c r="Z203" s="3011" t="s">
        <v>9145</v>
      </c>
      <c r="AA203" s="3007" t="s">
        <v>9146</v>
      </c>
      <c r="AB203" s="3007" t="s">
        <v>9147</v>
      </c>
      <c r="AC203" s="3007" t="s">
        <v>9148</v>
      </c>
      <c r="AD203" s="3006" t="s">
        <v>2086</v>
      </c>
      <c r="AF203" s="2730">
        <v>1</v>
      </c>
    </row>
    <row r="204" spans="2:32" ht="30" customHeight="1">
      <c r="B204" s="3065">
        <v>5</v>
      </c>
      <c r="C204" s="2876" t="s">
        <v>9149</v>
      </c>
      <c r="D204" s="2975"/>
      <c r="E204" s="2975"/>
      <c r="F204" s="1"/>
      <c r="G204" s="3008"/>
      <c r="H204" s="3079"/>
      <c r="I204" s="3010"/>
      <c r="J204" s="3010"/>
      <c r="L204" s="2983"/>
      <c r="M204" s="2984"/>
      <c r="N204" s="716"/>
      <c r="O204" s="2975"/>
      <c r="P204" s="2975"/>
      <c r="Q204" s="2840"/>
      <c r="R204" s="2998"/>
      <c r="S204" s="3061"/>
      <c r="T204" s="3004"/>
      <c r="U204" s="3004"/>
      <c r="W204" s="2998">
        <v>6</v>
      </c>
      <c r="X204" s="3006" t="s">
        <v>2098</v>
      </c>
      <c r="Y204" s="3007" t="s">
        <v>9150</v>
      </c>
      <c r="Z204" s="3011" t="s">
        <v>9151</v>
      </c>
      <c r="AA204" s="3007" t="s">
        <v>9152</v>
      </c>
      <c r="AB204" s="3007" t="s">
        <v>9153</v>
      </c>
      <c r="AC204" s="3007" t="s">
        <v>9154</v>
      </c>
      <c r="AD204" s="3006" t="s">
        <v>2098</v>
      </c>
      <c r="AF204" s="2730">
        <v>1</v>
      </c>
    </row>
    <row r="205" spans="2:32" ht="30" customHeight="1">
      <c r="B205" s="3065">
        <v>6</v>
      </c>
      <c r="C205" s="2876" t="s">
        <v>9155</v>
      </c>
      <c r="D205" s="2975"/>
      <c r="E205" s="2975"/>
      <c r="F205" s="1"/>
      <c r="G205" s="3008"/>
      <c r="H205" s="3079"/>
      <c r="I205" s="3010"/>
      <c r="J205" s="3010"/>
      <c r="L205" s="2983"/>
      <c r="M205" s="2984"/>
      <c r="N205" s="716"/>
      <c r="O205" s="2975"/>
      <c r="P205" s="2975"/>
      <c r="Q205" s="2840"/>
      <c r="R205" s="2998"/>
      <c r="S205" s="3061"/>
      <c r="T205" s="3004"/>
      <c r="U205" s="3004"/>
      <c r="W205" s="2998">
        <f t="shared" ref="W205" si="29">W204+1</f>
        <v>7</v>
      </c>
      <c r="X205" s="3006" t="s">
        <v>2108</v>
      </c>
      <c r="Y205" s="3007" t="s">
        <v>9156</v>
      </c>
      <c r="Z205" s="3011" t="s">
        <v>9157</v>
      </c>
      <c r="AA205" s="3007" t="s">
        <v>9158</v>
      </c>
      <c r="AB205" s="3007" t="s">
        <v>9159</v>
      </c>
      <c r="AC205" s="3007" t="s">
        <v>9160</v>
      </c>
      <c r="AD205" s="3006" t="s">
        <v>2108</v>
      </c>
      <c r="AF205" s="2730">
        <v>1</v>
      </c>
    </row>
    <row r="206" spans="2:32" ht="30" customHeight="1">
      <c r="B206" s="3066">
        <v>7</v>
      </c>
      <c r="C206" s="3067" t="s">
        <v>9161</v>
      </c>
      <c r="D206" s="3068"/>
      <c r="E206" s="3080"/>
      <c r="F206" s="2806"/>
      <c r="G206" s="3081"/>
      <c r="H206" s="3082"/>
      <c r="I206" s="3010"/>
      <c r="J206" s="3010"/>
      <c r="L206" s="2983"/>
      <c r="M206" s="2984"/>
      <c r="N206" s="716"/>
      <c r="O206" s="2975"/>
      <c r="P206" s="2975"/>
      <c r="Q206" s="2840"/>
      <c r="R206" s="2998"/>
      <c r="S206" s="3061"/>
      <c r="T206" s="3004"/>
      <c r="U206" s="3004"/>
      <c r="W206" s="2998">
        <v>7</v>
      </c>
      <c r="X206" s="3006" t="s">
        <v>2119</v>
      </c>
      <c r="Y206" s="3007" t="s">
        <v>9162</v>
      </c>
      <c r="Z206" s="3011" t="s">
        <v>8681</v>
      </c>
      <c r="AA206" s="3007" t="s">
        <v>9163</v>
      </c>
      <c r="AB206" s="3007" t="s">
        <v>9164</v>
      </c>
      <c r="AC206" s="3007" t="s">
        <v>9165</v>
      </c>
      <c r="AD206" s="3006" t="s">
        <v>2119</v>
      </c>
      <c r="AF206" s="2730">
        <v>1</v>
      </c>
    </row>
    <row r="207" spans="2:32" ht="30" customHeight="1">
      <c r="B207" s="3008"/>
      <c r="C207" s="2876"/>
      <c r="D207" s="2975"/>
      <c r="E207" s="3078"/>
      <c r="F207" s="1"/>
      <c r="G207" s="3008"/>
      <c r="H207" s="2991"/>
      <c r="I207" s="3010"/>
      <c r="J207" s="3010"/>
      <c r="L207" s="2983"/>
      <c r="M207" s="2984"/>
      <c r="N207" s="716"/>
      <c r="O207" s="2975"/>
      <c r="P207" s="2975"/>
      <c r="Q207" s="2840"/>
      <c r="R207" s="2998"/>
      <c r="S207" s="3061"/>
      <c r="T207" s="3004"/>
      <c r="U207" s="3004"/>
      <c r="W207" s="2998">
        <f t="shared" ref="W207" si="30">W206+1</f>
        <v>8</v>
      </c>
      <c r="X207" s="3006" t="s">
        <v>2131</v>
      </c>
      <c r="Y207" s="3007" t="s">
        <v>9166</v>
      </c>
      <c r="Z207" s="3011" t="s">
        <v>9167</v>
      </c>
      <c r="AA207" s="3007" t="s">
        <v>9168</v>
      </c>
      <c r="AB207" s="3007" t="s">
        <v>9169</v>
      </c>
      <c r="AC207" s="3007" t="s">
        <v>9170</v>
      </c>
      <c r="AD207" s="3006" t="s">
        <v>2131</v>
      </c>
      <c r="AF207" s="2730">
        <v>1</v>
      </c>
    </row>
    <row r="208" spans="2:32" ht="30" customHeight="1">
      <c r="B208" s="3074"/>
      <c r="C208" s="3035" t="s">
        <v>9171</v>
      </c>
      <c r="D208" s="3036" t="s">
        <v>9172</v>
      </c>
      <c r="E208" s="3036" t="s">
        <v>9173</v>
      </c>
      <c r="F208" s="3075"/>
      <c r="G208" s="3076"/>
      <c r="H208" s="3077"/>
      <c r="I208" s="3010"/>
      <c r="J208" s="3010"/>
      <c r="L208" s="2983"/>
      <c r="M208" s="2984"/>
      <c r="N208" s="716"/>
      <c r="O208" s="2975"/>
      <c r="P208" s="2975"/>
      <c r="Q208" s="2840"/>
      <c r="R208" s="2998"/>
      <c r="S208" s="3061"/>
      <c r="T208" s="3004"/>
      <c r="U208" s="3004"/>
      <c r="W208" s="2998">
        <v>8</v>
      </c>
      <c r="X208" s="3006" t="s">
        <v>9174</v>
      </c>
      <c r="Y208" s="3007" t="s">
        <v>9175</v>
      </c>
      <c r="Z208" s="3011" t="s">
        <v>9176</v>
      </c>
      <c r="AA208" s="3007" t="s">
        <v>9177</v>
      </c>
      <c r="AB208" s="3007" t="s">
        <v>9178</v>
      </c>
      <c r="AC208" s="3007" t="s">
        <v>9179</v>
      </c>
      <c r="AD208" s="3006" t="s">
        <v>9174</v>
      </c>
      <c r="AF208" s="2730">
        <v>1</v>
      </c>
    </row>
    <row r="209" spans="2:32" ht="30" customHeight="1">
      <c r="B209" s="3065"/>
      <c r="C209" s="2876"/>
      <c r="D209" s="2975"/>
      <c r="E209" s="3078"/>
      <c r="F209" s="1"/>
      <c r="G209" s="3008"/>
      <c r="H209" s="3079"/>
      <c r="I209" s="3010"/>
      <c r="J209" s="3010"/>
      <c r="L209" s="2983"/>
      <c r="M209" s="2984"/>
      <c r="N209" s="716"/>
      <c r="O209" s="2975"/>
      <c r="P209" s="2975"/>
      <c r="Q209" s="2840"/>
      <c r="R209" s="2998"/>
      <c r="S209" s="3061"/>
      <c r="T209" s="3004"/>
      <c r="U209" s="3004"/>
      <c r="W209" s="2998">
        <f t="shared" ref="W209" si="31">W208+1</f>
        <v>9</v>
      </c>
      <c r="X209" s="3006" t="s">
        <v>9180</v>
      </c>
      <c r="Y209" s="3007" t="s">
        <v>9181</v>
      </c>
      <c r="Z209" s="3011" t="s">
        <v>9182</v>
      </c>
      <c r="AA209" s="3007" t="s">
        <v>9183</v>
      </c>
      <c r="AB209" s="3007" t="s">
        <v>9184</v>
      </c>
      <c r="AC209" s="3007" t="s">
        <v>9185</v>
      </c>
      <c r="AD209" s="3006" t="s">
        <v>9180</v>
      </c>
      <c r="AF209" s="2730">
        <v>1</v>
      </c>
    </row>
    <row r="210" spans="2:32" ht="30" customHeight="1">
      <c r="B210" s="3065">
        <v>1</v>
      </c>
      <c r="C210" s="2876" t="s">
        <v>9186</v>
      </c>
      <c r="D210" s="2975"/>
      <c r="E210" s="3078"/>
      <c r="F210" s="1"/>
      <c r="G210" s="3008"/>
      <c r="H210" s="3079"/>
      <c r="I210" s="3010"/>
      <c r="J210" s="3010"/>
      <c r="L210" s="2983"/>
      <c r="M210" s="2984"/>
      <c r="N210" s="716"/>
      <c r="O210" s="2975"/>
      <c r="P210" s="2975"/>
      <c r="Q210" s="2840"/>
      <c r="R210" s="2998"/>
      <c r="S210" s="3061"/>
      <c r="T210" s="3004"/>
      <c r="U210" s="3004"/>
      <c r="W210" s="2998">
        <v>9</v>
      </c>
      <c r="X210" s="3006" t="s">
        <v>2139</v>
      </c>
      <c r="Y210" s="3007" t="s">
        <v>9187</v>
      </c>
      <c r="Z210" s="3011" t="s">
        <v>9188</v>
      </c>
      <c r="AA210" s="3007" t="s">
        <v>9189</v>
      </c>
      <c r="AB210" s="3007" t="s">
        <v>9190</v>
      </c>
      <c r="AC210" s="3007" t="s">
        <v>9191</v>
      </c>
      <c r="AD210" s="3006" t="s">
        <v>2139</v>
      </c>
      <c r="AF210" s="2730">
        <v>1</v>
      </c>
    </row>
    <row r="211" spans="2:32" ht="30" customHeight="1">
      <c r="B211" s="3065">
        <v>2</v>
      </c>
      <c r="C211" s="2876" t="s">
        <v>9192</v>
      </c>
      <c r="D211" s="2975"/>
      <c r="E211" s="3078"/>
      <c r="F211" s="1"/>
      <c r="G211" s="3008"/>
      <c r="H211" s="3079"/>
      <c r="I211" s="3010"/>
      <c r="J211" s="3010"/>
      <c r="L211" s="2983"/>
      <c r="M211" s="2984"/>
      <c r="N211" s="716"/>
      <c r="O211" s="2975"/>
      <c r="P211" s="2975"/>
      <c r="Q211" s="2840"/>
      <c r="R211" s="2998"/>
      <c r="S211" s="3061"/>
      <c r="T211" s="3004"/>
      <c r="U211" s="3004"/>
      <c r="W211" s="2998">
        <f t="shared" ref="W211" si="32">W210+1</f>
        <v>10</v>
      </c>
      <c r="X211" s="3006" t="s">
        <v>2149</v>
      </c>
      <c r="Y211" s="3007" t="s">
        <v>9193</v>
      </c>
      <c r="Z211" s="3011" t="s">
        <v>9194</v>
      </c>
      <c r="AA211" s="3007" t="s">
        <v>9195</v>
      </c>
      <c r="AB211" s="3007" t="s">
        <v>9196</v>
      </c>
      <c r="AC211" s="3007" t="s">
        <v>9197</v>
      </c>
      <c r="AD211" s="3006" t="s">
        <v>2149</v>
      </c>
      <c r="AF211" s="2730">
        <v>1</v>
      </c>
    </row>
    <row r="212" spans="2:32" ht="30" customHeight="1">
      <c r="B212" s="3065">
        <v>3</v>
      </c>
      <c r="C212" s="2876" t="s">
        <v>9198</v>
      </c>
      <c r="D212" s="2975"/>
      <c r="E212" s="2975"/>
      <c r="F212" s="1"/>
      <c r="G212" s="3008"/>
      <c r="H212" s="3079"/>
      <c r="I212" s="3010"/>
      <c r="J212" s="3010"/>
      <c r="L212" s="2983"/>
      <c r="M212" s="2984"/>
      <c r="N212" s="716"/>
      <c r="O212" s="2975"/>
      <c r="P212" s="2975"/>
      <c r="Q212" s="2840"/>
      <c r="R212" s="2998"/>
      <c r="S212" s="3061"/>
      <c r="T212" s="3004"/>
      <c r="U212" s="3004"/>
      <c r="W212" s="2998">
        <v>10</v>
      </c>
      <c r="X212" s="3006" t="s">
        <v>9199</v>
      </c>
      <c r="Y212" s="3007" t="s">
        <v>9200</v>
      </c>
      <c r="Z212" s="3011" t="s">
        <v>9201</v>
      </c>
      <c r="AA212" s="3007" t="s">
        <v>9202</v>
      </c>
      <c r="AB212" s="3007" t="s">
        <v>9203</v>
      </c>
      <c r="AC212" s="3007" t="s">
        <v>9204</v>
      </c>
      <c r="AD212" s="3006" t="s">
        <v>9199</v>
      </c>
      <c r="AF212" s="2730">
        <v>1</v>
      </c>
    </row>
    <row r="213" spans="2:32" ht="30" customHeight="1">
      <c r="B213" s="3065">
        <v>4</v>
      </c>
      <c r="C213" s="2876" t="s">
        <v>9205</v>
      </c>
      <c r="D213" s="2975"/>
      <c r="E213" s="2975"/>
      <c r="F213" s="1"/>
      <c r="G213" s="3008"/>
      <c r="H213" s="3079"/>
      <c r="I213" s="3010"/>
      <c r="J213" s="3010"/>
      <c r="L213" s="2983"/>
      <c r="M213" s="2984"/>
      <c r="N213" s="716"/>
      <c r="O213" s="2975"/>
      <c r="P213" s="2975"/>
      <c r="Q213" s="2840"/>
      <c r="R213" s="2998"/>
      <c r="S213" s="3061"/>
      <c r="T213" s="3004"/>
      <c r="U213" s="3004"/>
      <c r="W213" s="2998">
        <f t="shared" ref="W213" si="33">W212+1</f>
        <v>11</v>
      </c>
      <c r="X213" s="3006" t="s">
        <v>2163</v>
      </c>
      <c r="Y213" s="3007" t="s">
        <v>9206</v>
      </c>
      <c r="Z213" s="3011" t="s">
        <v>9207</v>
      </c>
      <c r="AA213" s="3007" t="s">
        <v>9208</v>
      </c>
      <c r="AB213" s="3007" t="s">
        <v>9209</v>
      </c>
      <c r="AC213" s="3007" t="s">
        <v>9210</v>
      </c>
      <c r="AD213" s="3006" t="s">
        <v>2163</v>
      </c>
      <c r="AF213" s="2730">
        <v>1</v>
      </c>
    </row>
    <row r="214" spans="2:32" ht="30" customHeight="1">
      <c r="B214" s="3065">
        <v>5</v>
      </c>
      <c r="C214" s="2876" t="s">
        <v>9211</v>
      </c>
      <c r="D214" s="2975"/>
      <c r="E214" s="3078"/>
      <c r="F214" s="1"/>
      <c r="G214" s="3008"/>
      <c r="H214" s="3079"/>
      <c r="I214" s="3010"/>
      <c r="J214" s="3010"/>
      <c r="L214" s="2983"/>
      <c r="M214" s="2984"/>
      <c r="N214" s="716"/>
      <c r="O214" s="2975"/>
      <c r="P214" s="2975"/>
      <c r="Q214" s="2840"/>
      <c r="R214" s="2998"/>
      <c r="S214" s="3061"/>
      <c r="T214" s="3004"/>
      <c r="U214" s="3004"/>
      <c r="W214" s="2998">
        <v>11</v>
      </c>
      <c r="X214" s="3006" t="s">
        <v>2172</v>
      </c>
      <c r="Y214" s="3007" t="s">
        <v>9212</v>
      </c>
      <c r="Z214" s="3011" t="s">
        <v>9213</v>
      </c>
      <c r="AA214" s="3007" t="s">
        <v>9214</v>
      </c>
      <c r="AB214" s="3007" t="s">
        <v>9215</v>
      </c>
      <c r="AC214" s="3007" t="s">
        <v>9216</v>
      </c>
      <c r="AD214" s="3006" t="s">
        <v>2172</v>
      </c>
      <c r="AF214" s="2730">
        <v>1</v>
      </c>
    </row>
    <row r="215" spans="2:32" ht="30" customHeight="1">
      <c r="B215" s="3066"/>
      <c r="C215" s="3067"/>
      <c r="D215" s="3068"/>
      <c r="E215" s="3080"/>
      <c r="F215" s="2806"/>
      <c r="G215" s="3081"/>
      <c r="H215" s="3082"/>
      <c r="I215" s="3010"/>
      <c r="J215" s="3010"/>
      <c r="L215" s="2983"/>
      <c r="M215" s="2984"/>
      <c r="N215" s="716"/>
      <c r="O215" s="2975"/>
      <c r="P215" s="2975"/>
      <c r="Q215" s="2840"/>
      <c r="R215" s="2998"/>
      <c r="S215" s="3061"/>
      <c r="T215" s="3004"/>
      <c r="U215" s="3004"/>
      <c r="W215" s="2998">
        <f t="shared" ref="W215" si="34">W214+1</f>
        <v>12</v>
      </c>
      <c r="X215" s="3006" t="s">
        <v>9217</v>
      </c>
      <c r="Y215" s="3007" t="s">
        <v>9218</v>
      </c>
      <c r="Z215" s="3011" t="s">
        <v>9219</v>
      </c>
      <c r="AA215" s="3007" t="s">
        <v>9220</v>
      </c>
      <c r="AB215" s="3007" t="s">
        <v>9221</v>
      </c>
      <c r="AC215" s="3007" t="s">
        <v>9222</v>
      </c>
      <c r="AD215" s="3006" t="s">
        <v>9217</v>
      </c>
      <c r="AF215" s="2730">
        <v>1</v>
      </c>
    </row>
    <row r="216" spans="2:32" ht="30" customHeight="1">
      <c r="B216" s="3074"/>
      <c r="C216" s="3035" t="s">
        <v>9223</v>
      </c>
      <c r="D216" s="3036" t="s">
        <v>9224</v>
      </c>
      <c r="E216" s="3036" t="s">
        <v>9225</v>
      </c>
      <c r="F216" s="3075"/>
      <c r="G216" s="3076"/>
      <c r="H216" s="3077"/>
      <c r="I216" s="3010"/>
      <c r="J216" s="3010"/>
      <c r="L216" s="2983"/>
      <c r="M216" s="2984"/>
      <c r="N216" s="716"/>
      <c r="O216" s="2975"/>
      <c r="P216" s="2975"/>
      <c r="Q216" s="2840"/>
      <c r="R216" s="2998"/>
      <c r="S216" s="3061"/>
      <c r="T216" s="3004"/>
      <c r="U216" s="3004"/>
      <c r="W216" s="2998">
        <v>12</v>
      </c>
      <c r="X216" s="3006" t="s">
        <v>2186</v>
      </c>
      <c r="Y216" s="3007" t="s">
        <v>9117</v>
      </c>
      <c r="Z216" s="3011" t="s">
        <v>9118</v>
      </c>
      <c r="AA216" s="3007" t="s">
        <v>9226</v>
      </c>
      <c r="AB216" s="3007" t="s">
        <v>9227</v>
      </c>
      <c r="AC216" s="3007" t="s">
        <v>9228</v>
      </c>
      <c r="AD216" s="3006" t="s">
        <v>2186</v>
      </c>
      <c r="AF216" s="2730">
        <v>1</v>
      </c>
    </row>
    <row r="217" spans="2:32" ht="30" customHeight="1">
      <c r="B217" s="3065"/>
      <c r="C217" s="2876"/>
      <c r="D217" s="2975"/>
      <c r="E217" s="3078"/>
      <c r="F217" s="1"/>
      <c r="G217" s="3008"/>
      <c r="H217" s="3079"/>
      <c r="I217" s="3010"/>
      <c r="J217" s="3010"/>
      <c r="L217" s="2983"/>
      <c r="M217" s="2984"/>
      <c r="N217" s="716"/>
      <c r="O217" s="2975"/>
      <c r="P217" s="2975"/>
      <c r="Q217" s="2840"/>
      <c r="R217" s="2998"/>
      <c r="S217" s="3061"/>
      <c r="T217" s="3004"/>
      <c r="U217" s="3004"/>
      <c r="W217" s="2998">
        <f t="shared" ref="W217" si="35">W216+1</f>
        <v>13</v>
      </c>
      <c r="X217" s="3006" t="s">
        <v>2194</v>
      </c>
      <c r="Y217" s="3007" t="s">
        <v>9229</v>
      </c>
      <c r="Z217" s="3011" t="s">
        <v>9230</v>
      </c>
      <c r="AA217" s="3007" t="s">
        <v>9231</v>
      </c>
      <c r="AB217" s="3007" t="s">
        <v>9232</v>
      </c>
      <c r="AC217" s="3007" t="s">
        <v>9233</v>
      </c>
      <c r="AD217" s="3006" t="s">
        <v>2194</v>
      </c>
      <c r="AF217" s="2730">
        <v>1</v>
      </c>
    </row>
    <row r="218" spans="2:32" ht="30" customHeight="1">
      <c r="B218" s="3065">
        <v>1</v>
      </c>
      <c r="C218" s="2876" t="s">
        <v>9234</v>
      </c>
      <c r="D218" s="2975"/>
      <c r="E218" s="2975"/>
      <c r="F218" s="1"/>
      <c r="G218" s="3008"/>
      <c r="H218" s="3079"/>
      <c r="I218" s="3010"/>
      <c r="J218" s="3010"/>
      <c r="L218" s="2983"/>
      <c r="M218" s="2984"/>
      <c r="N218" s="716"/>
      <c r="O218" s="2975"/>
      <c r="P218" s="2975"/>
      <c r="Q218" s="2840"/>
      <c r="R218" s="2998"/>
      <c r="S218" s="3061"/>
      <c r="T218" s="3004"/>
      <c r="U218" s="3004"/>
      <c r="W218" s="2998">
        <v>13</v>
      </c>
      <c r="X218" s="3006" t="s">
        <v>2204</v>
      </c>
      <c r="Y218" s="3007" t="s">
        <v>9235</v>
      </c>
      <c r="Z218" s="3011" t="s">
        <v>9236</v>
      </c>
      <c r="AA218" s="3007" t="s">
        <v>9237</v>
      </c>
      <c r="AB218" s="3007" t="s">
        <v>9238</v>
      </c>
      <c r="AC218" s="3007" t="s">
        <v>9239</v>
      </c>
      <c r="AD218" s="3006" t="s">
        <v>2204</v>
      </c>
      <c r="AF218" s="2730">
        <v>1</v>
      </c>
    </row>
    <row r="219" spans="2:32" ht="30" customHeight="1">
      <c r="B219" s="3065">
        <v>2</v>
      </c>
      <c r="C219" s="2876" t="s">
        <v>9240</v>
      </c>
      <c r="D219" s="2975"/>
      <c r="E219" s="2975"/>
      <c r="F219" s="1"/>
      <c r="G219" s="3008"/>
      <c r="H219" s="3079"/>
      <c r="I219" s="3010"/>
      <c r="J219" s="3010"/>
      <c r="L219" s="2983"/>
      <c r="M219" s="2984"/>
      <c r="N219" s="716"/>
      <c r="O219" s="2975"/>
      <c r="P219" s="2975"/>
      <c r="Q219" s="2840"/>
      <c r="R219" s="2998"/>
      <c r="S219" s="3061"/>
      <c r="T219" s="3004"/>
      <c r="U219" s="3004"/>
      <c r="W219" s="2998">
        <f t="shared" ref="W219" si="36">W218+1</f>
        <v>14</v>
      </c>
      <c r="X219" s="3006" t="s">
        <v>2211</v>
      </c>
      <c r="Y219" s="3007" t="s">
        <v>9241</v>
      </c>
      <c r="Z219" s="3011" t="s">
        <v>9145</v>
      </c>
      <c r="AA219" s="3007" t="s">
        <v>9242</v>
      </c>
      <c r="AB219" s="3007" t="s">
        <v>9243</v>
      </c>
      <c r="AC219" s="3007" t="s">
        <v>9244</v>
      </c>
      <c r="AD219" s="3006" t="s">
        <v>2211</v>
      </c>
      <c r="AF219" s="2730">
        <v>1</v>
      </c>
    </row>
    <row r="220" spans="2:32" ht="30" customHeight="1">
      <c r="B220" s="3066">
        <v>3</v>
      </c>
      <c r="C220" s="3067" t="s">
        <v>9245</v>
      </c>
      <c r="D220" s="3068"/>
      <c r="E220" s="3067"/>
      <c r="F220" s="2806"/>
      <c r="G220" s="3081"/>
      <c r="H220" s="3082"/>
      <c r="I220" s="3010"/>
      <c r="J220" s="3010"/>
      <c r="L220" s="2983"/>
      <c r="M220" s="2984"/>
      <c r="N220" s="716"/>
      <c r="O220" s="2975"/>
      <c r="P220" s="2975"/>
      <c r="Q220" s="2840"/>
      <c r="R220" s="2998"/>
      <c r="S220" s="3061"/>
      <c r="T220" s="3004"/>
      <c r="U220" s="3004"/>
      <c r="W220" s="2998">
        <v>14</v>
      </c>
      <c r="X220" s="3006" t="s">
        <v>9246</v>
      </c>
      <c r="Y220" s="3007" t="s">
        <v>9247</v>
      </c>
      <c r="Z220" s="3083" t="s">
        <v>9248</v>
      </c>
      <c r="AA220" s="3007" t="s">
        <v>9249</v>
      </c>
      <c r="AB220" s="3007" t="s">
        <v>9250</v>
      </c>
      <c r="AC220" s="3007" t="s">
        <v>9251</v>
      </c>
      <c r="AD220" s="3006" t="s">
        <v>9246</v>
      </c>
      <c r="AF220" s="2730">
        <v>1</v>
      </c>
    </row>
    <row r="221" spans="2:32" ht="30" customHeight="1">
      <c r="B221" s="3008"/>
      <c r="C221" s="2876"/>
      <c r="D221" s="2975"/>
      <c r="E221" s="2876"/>
      <c r="F221" s="1"/>
      <c r="G221" s="3008"/>
      <c r="H221" s="2991"/>
      <c r="I221" s="3010"/>
      <c r="J221" s="3010"/>
      <c r="L221" s="2983"/>
      <c r="M221" s="2984"/>
      <c r="N221" s="716"/>
      <c r="O221" s="2975"/>
      <c r="P221" s="2975"/>
      <c r="Q221" s="2840"/>
      <c r="R221" s="2998"/>
      <c r="S221" s="3061"/>
      <c r="T221" s="3004"/>
      <c r="U221" s="3004"/>
      <c r="W221" s="2998">
        <f t="shared" ref="W221" si="37">W220+1</f>
        <v>15</v>
      </c>
      <c r="X221" s="3006" t="s">
        <v>2223</v>
      </c>
      <c r="Y221" s="3007" t="s">
        <v>9252</v>
      </c>
      <c r="Z221" s="3011" t="s">
        <v>9253</v>
      </c>
      <c r="AA221" s="3007" t="s">
        <v>9254</v>
      </c>
      <c r="AB221" s="3007" t="s">
        <v>9255</v>
      </c>
      <c r="AC221" s="3007" t="s">
        <v>9256</v>
      </c>
      <c r="AD221" s="3006" t="s">
        <v>2223</v>
      </c>
      <c r="AF221" s="2730">
        <v>1</v>
      </c>
    </row>
    <row r="222" spans="2:32" ht="30" customHeight="1">
      <c r="B222" s="3074"/>
      <c r="C222" s="3035" t="s">
        <v>9257</v>
      </c>
      <c r="D222" s="3036" t="s">
        <v>9258</v>
      </c>
      <c r="E222" s="3037" t="s">
        <v>9259</v>
      </c>
      <c r="F222" s="1"/>
      <c r="G222" s="3008"/>
      <c r="H222" s="2991"/>
      <c r="I222" s="3010"/>
      <c r="J222" s="3010"/>
      <c r="L222" s="2983"/>
      <c r="M222" s="2984"/>
      <c r="N222" s="716"/>
      <c r="O222" s="2975"/>
      <c r="P222" s="2975"/>
      <c r="Q222" s="2840"/>
      <c r="R222" s="2998"/>
      <c r="S222" s="3061"/>
      <c r="T222" s="3004"/>
      <c r="U222" s="3004"/>
      <c r="W222" s="2998">
        <v>15</v>
      </c>
      <c r="X222" s="3006" t="s">
        <v>9260</v>
      </c>
      <c r="Y222" s="3007" t="s">
        <v>9261</v>
      </c>
      <c r="Z222" s="3011" t="s">
        <v>9262</v>
      </c>
      <c r="AA222" s="3007" t="s">
        <v>9263</v>
      </c>
      <c r="AB222" s="3007" t="s">
        <v>9264</v>
      </c>
      <c r="AC222" s="3007" t="s">
        <v>9265</v>
      </c>
      <c r="AD222" s="3006" t="s">
        <v>9260</v>
      </c>
      <c r="AF222" s="2730">
        <v>1</v>
      </c>
    </row>
    <row r="223" spans="2:32" ht="30" customHeight="1">
      <c r="B223" s="3065"/>
      <c r="C223" s="2876"/>
      <c r="D223" s="2975"/>
      <c r="E223" s="3084"/>
      <c r="F223" s="1"/>
      <c r="G223" s="3008"/>
      <c r="H223" s="2991"/>
      <c r="I223" s="3010"/>
      <c r="J223" s="3010"/>
      <c r="L223" s="2983"/>
      <c r="M223" s="2984"/>
      <c r="N223" s="716"/>
      <c r="O223" s="2975"/>
      <c r="P223" s="2975"/>
      <c r="Q223" s="2840"/>
      <c r="R223" s="2998"/>
      <c r="S223" s="3061"/>
      <c r="T223" s="3004"/>
      <c r="U223" s="3004"/>
      <c r="W223" s="2998">
        <f t="shared" ref="W223" si="38">W222+1</f>
        <v>16</v>
      </c>
      <c r="X223" s="3006" t="s">
        <v>2231</v>
      </c>
      <c r="Y223" s="3007" t="s">
        <v>9266</v>
      </c>
      <c r="Z223" s="3011" t="s">
        <v>9267</v>
      </c>
      <c r="AA223" s="3007" t="s">
        <v>9268</v>
      </c>
      <c r="AB223" s="3007" t="s">
        <v>9269</v>
      </c>
      <c r="AC223" s="3007" t="s">
        <v>9270</v>
      </c>
      <c r="AD223" s="3006" t="s">
        <v>2231</v>
      </c>
      <c r="AF223" s="2730">
        <v>1</v>
      </c>
    </row>
    <row r="224" spans="2:32" ht="30" customHeight="1">
      <c r="B224" s="3065">
        <v>1</v>
      </c>
      <c r="C224" s="2876" t="s">
        <v>9271</v>
      </c>
      <c r="D224" s="2876"/>
      <c r="E224" s="3084"/>
      <c r="F224" s="1"/>
      <c r="G224" s="3008"/>
      <c r="H224" s="2991"/>
      <c r="I224" s="3010"/>
      <c r="J224" s="3010"/>
      <c r="L224" s="2983"/>
      <c r="M224" s="2984"/>
      <c r="N224" s="716"/>
      <c r="O224" s="2975"/>
      <c r="P224" s="2975"/>
      <c r="Q224" s="2840"/>
      <c r="R224" s="2998"/>
      <c r="S224" s="3061"/>
      <c r="T224" s="3004"/>
      <c r="U224" s="3004"/>
      <c r="W224" s="2998">
        <v>16</v>
      </c>
      <c r="X224" s="3006" t="s">
        <v>2237</v>
      </c>
      <c r="Y224" s="3007" t="s">
        <v>9272</v>
      </c>
      <c r="Z224" s="3011" t="s">
        <v>9273</v>
      </c>
      <c r="AA224" s="3007" t="s">
        <v>9274</v>
      </c>
      <c r="AB224" s="3007" t="s">
        <v>9275</v>
      </c>
      <c r="AC224" s="3007" t="s">
        <v>9276</v>
      </c>
      <c r="AD224" s="3006" t="s">
        <v>2237</v>
      </c>
      <c r="AF224" s="2730">
        <v>1</v>
      </c>
    </row>
    <row r="225" spans="2:32" ht="30" customHeight="1">
      <c r="B225" s="3065"/>
      <c r="C225" s="2876" t="s">
        <v>9277</v>
      </c>
      <c r="D225" s="2876"/>
      <c r="E225" s="3084"/>
      <c r="F225" s="1"/>
      <c r="G225" s="3008"/>
      <c r="H225" s="2991"/>
      <c r="I225" s="3010"/>
      <c r="J225" s="3010"/>
      <c r="L225" s="2983"/>
      <c r="M225" s="2984"/>
      <c r="N225" s="716"/>
      <c r="O225" s="2975"/>
      <c r="P225" s="2975"/>
      <c r="Q225" s="2840"/>
      <c r="R225" s="2998"/>
      <c r="S225" s="3061"/>
      <c r="T225" s="3004"/>
      <c r="U225" s="3004"/>
      <c r="W225" s="2977"/>
      <c r="X225" s="2999" t="s">
        <v>515</v>
      </c>
      <c r="Y225" s="3000"/>
      <c r="Z225" s="3000"/>
      <c r="AA225" s="3000"/>
      <c r="AB225" s="2988"/>
      <c r="AC225" s="2988"/>
      <c r="AD225" s="2999" t="s">
        <v>515</v>
      </c>
      <c r="AF225" s="2730">
        <v>1</v>
      </c>
    </row>
    <row r="226" spans="2:32" ht="30" customHeight="1">
      <c r="B226" s="3065"/>
      <c r="C226" s="2876"/>
      <c r="D226" s="2876"/>
      <c r="E226" s="3084"/>
      <c r="F226" s="1"/>
      <c r="G226" s="3008"/>
      <c r="H226" s="2991"/>
      <c r="I226" s="3010"/>
      <c r="J226" s="3010"/>
      <c r="L226" s="2983"/>
      <c r="M226" s="2984"/>
      <c r="N226" s="716"/>
      <c r="O226" s="2975"/>
      <c r="P226" s="2975"/>
      <c r="Q226" s="2840"/>
      <c r="R226" s="2998"/>
      <c r="S226" s="3061"/>
      <c r="T226" s="3004"/>
      <c r="U226" s="3004"/>
      <c r="W226" s="2998">
        <v>1</v>
      </c>
      <c r="X226" s="3006" t="s">
        <v>2144</v>
      </c>
      <c r="Y226" s="3007" t="s">
        <v>9278</v>
      </c>
      <c r="Z226" s="3011" t="s">
        <v>9279</v>
      </c>
      <c r="AA226" s="3007" t="s">
        <v>9280</v>
      </c>
      <c r="AB226" s="3007" t="s">
        <v>9281</v>
      </c>
      <c r="AC226" s="3007" t="s">
        <v>9282</v>
      </c>
      <c r="AD226" s="3006" t="s">
        <v>2144</v>
      </c>
      <c r="AF226" s="2730">
        <v>1</v>
      </c>
    </row>
    <row r="227" spans="2:32" ht="30" customHeight="1">
      <c r="B227" s="3065">
        <v>2</v>
      </c>
      <c r="C227" s="2876" t="s">
        <v>9283</v>
      </c>
      <c r="D227" s="2876"/>
      <c r="E227" s="3085"/>
      <c r="F227" s="1"/>
      <c r="G227" s="3008"/>
      <c r="H227" s="2991"/>
      <c r="I227" s="3010"/>
      <c r="J227" s="3010"/>
      <c r="L227" s="2983"/>
      <c r="M227" s="2984"/>
      <c r="N227" s="716"/>
      <c r="O227" s="2975"/>
      <c r="P227" s="2975"/>
      <c r="Q227" s="2840"/>
      <c r="R227" s="2998"/>
      <c r="S227" s="3061"/>
      <c r="T227" s="3004"/>
      <c r="U227" s="3004"/>
      <c r="W227" s="2998">
        <f>W226+1</f>
        <v>2</v>
      </c>
      <c r="X227" s="3006" t="s">
        <v>9284</v>
      </c>
      <c r="Y227" s="3007" t="s">
        <v>9285</v>
      </c>
      <c r="Z227" s="3011" t="s">
        <v>9286</v>
      </c>
      <c r="AA227" s="3007" t="s">
        <v>9287</v>
      </c>
      <c r="AB227" s="3007" t="s">
        <v>9288</v>
      </c>
      <c r="AC227" s="3007" t="s">
        <v>9289</v>
      </c>
      <c r="AD227" s="3006" t="s">
        <v>9284</v>
      </c>
      <c r="AF227" s="2730">
        <v>1</v>
      </c>
    </row>
    <row r="228" spans="2:32" ht="30" customHeight="1">
      <c r="B228" s="3065"/>
      <c r="C228" s="2876" t="s">
        <v>9290</v>
      </c>
      <c r="D228" s="2876"/>
      <c r="E228" s="3085"/>
      <c r="F228" s="1"/>
      <c r="G228" s="3008"/>
      <c r="H228" s="2991"/>
      <c r="I228" s="3010"/>
      <c r="J228" s="3010"/>
      <c r="L228" s="2983"/>
      <c r="M228" s="2984"/>
      <c r="N228" s="716"/>
      <c r="O228" s="2975"/>
      <c r="P228" s="2975"/>
      <c r="Q228" s="2840"/>
      <c r="R228" s="2998"/>
      <c r="S228" s="3061"/>
      <c r="T228" s="3004"/>
      <c r="U228" s="3004"/>
      <c r="W228" s="2998">
        <f t="shared" ref="W228:W235" si="39">W227+1</f>
        <v>3</v>
      </c>
      <c r="X228" s="3006" t="s">
        <v>2257</v>
      </c>
      <c r="Y228" s="3007" t="s">
        <v>9291</v>
      </c>
      <c r="Z228" s="3011" t="s">
        <v>9292</v>
      </c>
      <c r="AA228" s="3007" t="s">
        <v>9293</v>
      </c>
      <c r="AB228" s="3007" t="s">
        <v>9294</v>
      </c>
      <c r="AC228" s="3007" t="s">
        <v>9295</v>
      </c>
      <c r="AD228" s="3006" t="s">
        <v>2257</v>
      </c>
      <c r="AF228" s="2730">
        <v>1</v>
      </c>
    </row>
    <row r="229" spans="2:32" ht="30" customHeight="1">
      <c r="B229" s="3065"/>
      <c r="C229" s="2876"/>
      <c r="D229" s="2876"/>
      <c r="E229" s="3085"/>
      <c r="F229" s="1"/>
      <c r="G229" s="3008"/>
      <c r="H229" s="2991"/>
      <c r="I229" s="3010"/>
      <c r="J229" s="3010"/>
      <c r="L229" s="2983"/>
      <c r="M229" s="2984"/>
      <c r="N229" s="716"/>
      <c r="O229" s="2975"/>
      <c r="P229" s="2975"/>
      <c r="Q229" s="2840"/>
      <c r="R229" s="2998"/>
      <c r="S229" s="3061"/>
      <c r="T229" s="3004"/>
      <c r="U229" s="3004"/>
      <c r="W229" s="2998">
        <f t="shared" si="39"/>
        <v>4</v>
      </c>
      <c r="X229" s="3006" t="s">
        <v>2262</v>
      </c>
      <c r="Y229" s="3007" t="s">
        <v>9296</v>
      </c>
      <c r="Z229" s="3011" t="s">
        <v>9297</v>
      </c>
      <c r="AA229" s="3007" t="s">
        <v>9298</v>
      </c>
      <c r="AB229" s="3007" t="s">
        <v>9299</v>
      </c>
      <c r="AC229" s="3007" t="s">
        <v>9300</v>
      </c>
      <c r="AD229" s="3006" t="s">
        <v>2262</v>
      </c>
      <c r="AF229" s="2730">
        <v>1</v>
      </c>
    </row>
    <row r="230" spans="2:32" ht="30" customHeight="1">
      <c r="B230" s="3065">
        <v>3</v>
      </c>
      <c r="C230" s="716" t="s">
        <v>9301</v>
      </c>
      <c r="D230" s="2876"/>
      <c r="E230" s="3085"/>
      <c r="F230" s="1"/>
      <c r="G230" s="3008"/>
      <c r="H230" s="2991"/>
      <c r="I230" s="3010"/>
      <c r="J230" s="3010"/>
      <c r="L230" s="2983"/>
      <c r="M230" s="2984"/>
      <c r="N230" s="716"/>
      <c r="O230" s="2975"/>
      <c r="P230" s="2975"/>
      <c r="Q230" s="2840"/>
      <c r="R230" s="2998"/>
      <c r="S230" s="3061"/>
      <c r="T230" s="3004"/>
      <c r="U230" s="3004"/>
      <c r="W230" s="2998">
        <f t="shared" si="39"/>
        <v>5</v>
      </c>
      <c r="X230" s="3006" t="s">
        <v>2265</v>
      </c>
      <c r="Y230" s="3007" t="s">
        <v>9302</v>
      </c>
      <c r="Z230" s="3011" t="s">
        <v>9303</v>
      </c>
      <c r="AA230" s="3007" t="s">
        <v>9304</v>
      </c>
      <c r="AB230" s="3007" t="s">
        <v>9305</v>
      </c>
      <c r="AC230" s="3007" t="s">
        <v>9306</v>
      </c>
      <c r="AD230" s="3006" t="s">
        <v>2265</v>
      </c>
      <c r="AF230" s="2730">
        <v>1</v>
      </c>
    </row>
    <row r="231" spans="2:32" ht="30" customHeight="1">
      <c r="B231" s="3066"/>
      <c r="C231" s="3086" t="s">
        <v>9307</v>
      </c>
      <c r="D231" s="3067"/>
      <c r="E231" s="3087"/>
      <c r="F231" s="1"/>
      <c r="G231" s="3008"/>
      <c r="H231" s="2991"/>
      <c r="I231" s="3010"/>
      <c r="J231" s="3010"/>
      <c r="L231" s="2983"/>
      <c r="M231" s="2984"/>
      <c r="N231" s="716"/>
      <c r="O231" s="2975"/>
      <c r="P231" s="2975"/>
      <c r="Q231" s="2840"/>
      <c r="R231" s="2998"/>
      <c r="S231" s="3061"/>
      <c r="T231" s="3004"/>
      <c r="U231" s="3004"/>
      <c r="W231" s="2998">
        <f t="shared" si="39"/>
        <v>6</v>
      </c>
      <c r="X231" s="3006" t="s">
        <v>9308</v>
      </c>
      <c r="Y231" s="3007" t="s">
        <v>9309</v>
      </c>
      <c r="Z231" s="3011" t="s">
        <v>9310</v>
      </c>
      <c r="AA231" s="3007" t="s">
        <v>9311</v>
      </c>
      <c r="AB231" s="3007" t="s">
        <v>9312</v>
      </c>
      <c r="AC231" s="3007" t="s">
        <v>9313</v>
      </c>
      <c r="AD231" s="3006" t="s">
        <v>9308</v>
      </c>
      <c r="AF231" s="2730">
        <v>1</v>
      </c>
    </row>
    <row r="232" spans="2:32" ht="30" customHeight="1">
      <c r="B232" s="3008"/>
      <c r="C232" s="2964"/>
      <c r="D232" s="2964"/>
      <c r="E232" s="2964"/>
      <c r="F232" s="1"/>
      <c r="G232" s="3008"/>
      <c r="H232" s="2991"/>
      <c r="I232" s="3010"/>
      <c r="J232" s="3010"/>
      <c r="L232" s="2983"/>
      <c r="M232" s="2984"/>
      <c r="N232" s="716"/>
      <c r="O232" s="2975"/>
      <c r="P232" s="2975"/>
      <c r="Q232" s="2840"/>
      <c r="R232" s="2998"/>
      <c r="S232" s="3061"/>
      <c r="T232" s="3004"/>
      <c r="U232" s="3004"/>
      <c r="W232" s="2998">
        <f t="shared" si="39"/>
        <v>7</v>
      </c>
      <c r="X232" s="3006" t="s">
        <v>2850</v>
      </c>
      <c r="Y232" s="3007" t="s">
        <v>9314</v>
      </c>
      <c r="Z232" s="3011" t="s">
        <v>9315</v>
      </c>
      <c r="AA232" s="3007" t="s">
        <v>9316</v>
      </c>
      <c r="AB232" s="3007" t="s">
        <v>9317</v>
      </c>
      <c r="AC232" s="3007" t="s">
        <v>9318</v>
      </c>
      <c r="AD232" s="3006" t="s">
        <v>2850</v>
      </c>
      <c r="AF232" s="2730">
        <v>1</v>
      </c>
    </row>
    <row r="233" spans="2:32" ht="30" customHeight="1">
      <c r="B233" s="3008"/>
      <c r="C233" s="2964"/>
      <c r="D233" s="2964"/>
      <c r="E233" s="2964"/>
      <c r="F233" s="1"/>
      <c r="G233" s="3008"/>
      <c r="H233" s="2991"/>
      <c r="I233" s="3010"/>
      <c r="J233" s="3010"/>
      <c r="L233" s="2983"/>
      <c r="M233" s="2984"/>
      <c r="N233" s="716"/>
      <c r="O233" s="2975"/>
      <c r="P233" s="2975"/>
      <c r="Q233" s="2840"/>
      <c r="R233" s="2998"/>
      <c r="S233" s="3061"/>
      <c r="T233" s="3004"/>
      <c r="U233" s="3004"/>
      <c r="W233" s="2998">
        <f t="shared" si="39"/>
        <v>8</v>
      </c>
      <c r="X233" s="3006" t="s">
        <v>2269</v>
      </c>
      <c r="Y233" s="3007" t="s">
        <v>9319</v>
      </c>
      <c r="Z233" s="3011" t="s">
        <v>9320</v>
      </c>
      <c r="AA233" s="3007" t="s">
        <v>9321</v>
      </c>
      <c r="AB233" s="3007" t="s">
        <v>9322</v>
      </c>
      <c r="AC233" s="3007" t="s">
        <v>9323</v>
      </c>
      <c r="AD233" s="3006" t="s">
        <v>2269</v>
      </c>
      <c r="AF233" s="2730">
        <v>1</v>
      </c>
    </row>
    <row r="234" spans="2:32" ht="30" customHeight="1">
      <c r="B234" s="3008"/>
      <c r="C234" s="2964"/>
      <c r="D234" s="2964"/>
      <c r="E234" s="2964"/>
      <c r="F234" s="1"/>
      <c r="G234" s="3008"/>
      <c r="H234" s="2991"/>
      <c r="I234" s="3010"/>
      <c r="J234" s="3010"/>
      <c r="L234" s="2983"/>
      <c r="M234" s="2984"/>
      <c r="N234" s="716"/>
      <c r="O234" s="2975"/>
      <c r="P234" s="2975"/>
      <c r="Q234" s="2840"/>
      <c r="R234" s="2998"/>
      <c r="S234" s="3061"/>
      <c r="T234" s="3004"/>
      <c r="U234" s="3004"/>
      <c r="W234" s="2998">
        <f t="shared" si="39"/>
        <v>9</v>
      </c>
      <c r="X234" s="3006" t="s">
        <v>2275</v>
      </c>
      <c r="Y234" s="3007" t="s">
        <v>9324</v>
      </c>
      <c r="Z234" s="3011" t="s">
        <v>9325</v>
      </c>
      <c r="AA234" s="3007" t="s">
        <v>9326</v>
      </c>
      <c r="AB234" s="3007" t="s">
        <v>9327</v>
      </c>
      <c r="AC234" s="3007" t="s">
        <v>9328</v>
      </c>
      <c r="AD234" s="3006" t="s">
        <v>2275</v>
      </c>
      <c r="AF234" s="2730">
        <v>1</v>
      </c>
    </row>
    <row r="235" spans="2:32" ht="30" customHeight="1">
      <c r="B235" s="3008"/>
      <c r="C235" s="2964"/>
      <c r="D235" s="2964"/>
      <c r="E235" s="2964"/>
      <c r="F235" s="1"/>
      <c r="G235" s="3008"/>
      <c r="H235" s="2991"/>
      <c r="I235" s="3010"/>
      <c r="J235" s="3010"/>
      <c r="L235" s="2983"/>
      <c r="M235" s="2984"/>
      <c r="N235" s="716"/>
      <c r="O235" s="2975"/>
      <c r="P235" s="2975"/>
      <c r="Q235" s="2840"/>
      <c r="R235" s="2998"/>
      <c r="S235" s="3061"/>
      <c r="T235" s="3004"/>
      <c r="U235" s="3004"/>
      <c r="W235" s="2998">
        <f t="shared" si="39"/>
        <v>10</v>
      </c>
      <c r="X235" s="3006" t="s">
        <v>2277</v>
      </c>
      <c r="Y235" s="3007" t="s">
        <v>9329</v>
      </c>
      <c r="Z235" s="3011" t="s">
        <v>9330</v>
      </c>
      <c r="AA235" s="3007" t="s">
        <v>9331</v>
      </c>
      <c r="AB235" s="3007" t="s">
        <v>9332</v>
      </c>
      <c r="AC235" s="3007" t="s">
        <v>9333</v>
      </c>
      <c r="AD235" s="3006" t="s">
        <v>2277</v>
      </c>
      <c r="AF235" s="2730">
        <v>1</v>
      </c>
    </row>
    <row r="236" spans="2:32" ht="30" customHeight="1">
      <c r="B236" s="3008"/>
      <c r="C236" s="2964"/>
      <c r="D236" s="2964"/>
      <c r="E236" s="2964"/>
      <c r="F236" s="1"/>
      <c r="G236" s="3008"/>
      <c r="H236" s="2991"/>
      <c r="I236" s="3010"/>
      <c r="J236" s="3010"/>
      <c r="L236" s="2983"/>
      <c r="M236" s="2984"/>
      <c r="N236" s="716"/>
      <c r="O236" s="2975"/>
      <c r="P236" s="2975"/>
      <c r="Q236" s="2840"/>
      <c r="R236" s="2998"/>
      <c r="S236" s="3061"/>
      <c r="T236" s="3004"/>
      <c r="U236" s="3004"/>
      <c r="W236" s="2977"/>
      <c r="X236" s="2999" t="s">
        <v>1175</v>
      </c>
      <c r="Y236" s="3000"/>
      <c r="Z236" s="3000"/>
      <c r="AA236" s="3000"/>
      <c r="AB236" s="2988"/>
      <c r="AC236" s="2999" t="s">
        <v>1175</v>
      </c>
      <c r="AD236" s="2999" t="s">
        <v>1175</v>
      </c>
      <c r="AF236" s="2730">
        <v>1</v>
      </c>
    </row>
    <row r="237" spans="2:32" ht="30" customHeight="1">
      <c r="B237" s="3008"/>
      <c r="C237" s="2964"/>
      <c r="D237" s="2964"/>
      <c r="E237" s="2964"/>
      <c r="F237" s="1"/>
      <c r="G237" s="3008"/>
      <c r="H237" s="2991"/>
      <c r="I237" s="3010"/>
      <c r="J237" s="3010"/>
      <c r="L237" s="2983"/>
      <c r="M237" s="2984"/>
      <c r="N237" s="716"/>
      <c r="O237" s="2975"/>
      <c r="P237" s="2975"/>
      <c r="Q237" s="2840"/>
      <c r="R237" s="2998"/>
      <c r="S237" s="3061"/>
      <c r="T237" s="3004"/>
      <c r="U237" s="3004"/>
      <c r="W237" s="2998">
        <v>1</v>
      </c>
      <c r="X237" s="3006" t="s">
        <v>2060</v>
      </c>
      <c r="Y237" s="3007" t="s">
        <v>9334</v>
      </c>
      <c r="Z237" s="3011" t="s">
        <v>9335</v>
      </c>
      <c r="AA237" s="3007" t="s">
        <v>9336</v>
      </c>
      <c r="AB237" s="3007" t="s">
        <v>9337</v>
      </c>
      <c r="AC237" s="3007" t="s">
        <v>9338</v>
      </c>
      <c r="AD237" s="3006" t="s">
        <v>2060</v>
      </c>
      <c r="AF237" s="2730">
        <v>1</v>
      </c>
    </row>
    <row r="238" spans="2:32" ht="30" customHeight="1">
      <c r="B238" s="3008"/>
      <c r="C238" s="2964"/>
      <c r="D238" s="2964"/>
      <c r="E238" s="2964"/>
      <c r="F238" s="1"/>
      <c r="G238" s="3008"/>
      <c r="H238" s="2991"/>
      <c r="I238" s="3010"/>
      <c r="J238" s="3010"/>
      <c r="L238" s="2983"/>
      <c r="M238" s="2984"/>
      <c r="N238" s="716"/>
      <c r="O238" s="2975"/>
      <c r="P238" s="2975"/>
      <c r="Q238" s="2840"/>
      <c r="R238" s="2998"/>
      <c r="S238" s="3061"/>
      <c r="T238" s="3004"/>
      <c r="U238" s="3004"/>
      <c r="W238" s="2998">
        <f>W237+1</f>
        <v>2</v>
      </c>
      <c r="X238" s="3006" t="s">
        <v>2070</v>
      </c>
      <c r="Y238" s="3007" t="s">
        <v>9339</v>
      </c>
      <c r="Z238" s="3011" t="s">
        <v>9340</v>
      </c>
      <c r="AA238" s="3007" t="s">
        <v>9341</v>
      </c>
      <c r="AB238" s="3007" t="s">
        <v>9342</v>
      </c>
      <c r="AC238" s="3007" t="s">
        <v>9343</v>
      </c>
      <c r="AD238" s="3006" t="s">
        <v>2070</v>
      </c>
      <c r="AF238" s="2730">
        <v>1</v>
      </c>
    </row>
    <row r="239" spans="2:32" ht="30" customHeight="1">
      <c r="B239" s="3008"/>
      <c r="C239" s="2964"/>
      <c r="D239" s="2964"/>
      <c r="E239" s="2964"/>
      <c r="F239" s="1"/>
      <c r="G239" s="3008"/>
      <c r="H239" s="2991"/>
      <c r="I239" s="3010"/>
      <c r="J239" s="3010"/>
      <c r="L239" s="2983"/>
      <c r="M239" s="2984"/>
      <c r="N239" s="716"/>
      <c r="O239" s="2975"/>
      <c r="P239" s="2975"/>
      <c r="Q239" s="2840"/>
      <c r="R239" s="2998"/>
      <c r="S239" s="3061"/>
      <c r="T239" s="3004"/>
      <c r="U239" s="3004"/>
      <c r="W239" s="2998">
        <f>W238+1</f>
        <v>3</v>
      </c>
      <c r="X239" s="3006" t="s">
        <v>2083</v>
      </c>
      <c r="Y239" s="3007" t="s">
        <v>9344</v>
      </c>
      <c r="Z239" s="3011" t="s">
        <v>9345</v>
      </c>
      <c r="AA239" s="3007" t="s">
        <v>9346</v>
      </c>
      <c r="AB239" s="3007" t="s">
        <v>9347</v>
      </c>
      <c r="AC239" s="3007" t="s">
        <v>9348</v>
      </c>
      <c r="AD239" s="3006" t="s">
        <v>2083</v>
      </c>
      <c r="AF239" s="2730">
        <v>1</v>
      </c>
    </row>
    <row r="240" spans="2:32" ht="30" customHeight="1">
      <c r="B240" s="3008"/>
      <c r="C240" s="2964"/>
      <c r="D240" s="2964"/>
      <c r="E240" s="2964"/>
      <c r="F240" s="1"/>
      <c r="G240" s="3008"/>
      <c r="H240" s="2991"/>
      <c r="I240" s="3010"/>
      <c r="J240" s="3010"/>
      <c r="L240" s="2983"/>
      <c r="M240" s="2984"/>
      <c r="N240" s="716"/>
      <c r="O240" s="2975"/>
      <c r="P240" s="2975"/>
      <c r="Q240" s="2840"/>
      <c r="R240" s="2998"/>
      <c r="S240" s="3061"/>
      <c r="T240" s="3004"/>
      <c r="U240" s="3004"/>
      <c r="W240" s="2998">
        <f>W239+1</f>
        <v>4</v>
      </c>
      <c r="X240" s="3006" t="s">
        <v>2292</v>
      </c>
      <c r="Y240" s="3007" t="s">
        <v>9349</v>
      </c>
      <c r="Z240" s="3011" t="s">
        <v>9350</v>
      </c>
      <c r="AA240" s="3007" t="s">
        <v>9351</v>
      </c>
      <c r="AB240" s="3007" t="s">
        <v>9352</v>
      </c>
      <c r="AC240" s="3007" t="s">
        <v>9353</v>
      </c>
      <c r="AD240" s="3006" t="s">
        <v>2292</v>
      </c>
      <c r="AF240" s="2730">
        <v>1</v>
      </c>
    </row>
    <row r="241" spans="2:32" ht="30" customHeight="1">
      <c r="B241" s="3008"/>
      <c r="C241" s="2964"/>
      <c r="D241" s="2964"/>
      <c r="E241" s="2964"/>
      <c r="F241" s="1"/>
      <c r="G241" s="3008"/>
      <c r="H241" s="2991"/>
      <c r="I241" s="3010"/>
      <c r="J241" s="3010"/>
      <c r="L241" s="2983"/>
      <c r="M241" s="2984"/>
      <c r="N241" s="716"/>
      <c r="O241" s="2975"/>
      <c r="P241" s="2975"/>
      <c r="Q241" s="2840"/>
      <c r="R241" s="2998"/>
      <c r="S241" s="3061"/>
      <c r="T241" s="3004"/>
      <c r="U241" s="3004"/>
      <c r="W241" s="3088"/>
      <c r="X241" s="3089"/>
      <c r="Y241" s="3089"/>
      <c r="Z241" s="3089"/>
      <c r="AA241" s="3089"/>
      <c r="AB241" s="3089"/>
      <c r="AC241" s="3089"/>
      <c r="AD241" s="3089"/>
      <c r="AF241" s="2730">
        <v>1</v>
      </c>
    </row>
    <row r="242" spans="2:32" ht="30" customHeight="1">
      <c r="B242" s="3008"/>
      <c r="C242" s="2964"/>
      <c r="D242" s="2964"/>
      <c r="E242" s="2964"/>
      <c r="F242" s="1"/>
      <c r="G242" s="3008"/>
      <c r="H242" s="2991"/>
      <c r="I242" s="3010"/>
      <c r="J242" s="3010"/>
      <c r="L242" s="2983"/>
      <c r="M242" s="2984"/>
      <c r="N242" s="716"/>
      <c r="O242" s="2975"/>
      <c r="P242" s="2975"/>
      <c r="Q242" s="2840"/>
      <c r="R242" s="2998"/>
      <c r="S242" s="3061"/>
      <c r="T242" s="3004"/>
      <c r="U242" s="3004"/>
      <c r="W242" s="2977"/>
      <c r="X242" s="2999" t="s">
        <v>346</v>
      </c>
      <c r="Y242" s="3000"/>
      <c r="Z242" s="3000"/>
      <c r="AA242" s="3000"/>
      <c r="AB242" s="2988"/>
      <c r="AC242" s="2988"/>
      <c r="AD242" s="2999" t="s">
        <v>346</v>
      </c>
      <c r="AF242" s="2730">
        <v>1</v>
      </c>
    </row>
    <row r="243" spans="2:32" ht="30" customHeight="1">
      <c r="B243" s="3008"/>
      <c r="C243" s="2964"/>
      <c r="D243" s="2964"/>
      <c r="E243" s="2964"/>
      <c r="F243" s="1"/>
      <c r="G243" s="3008"/>
      <c r="H243" s="2991"/>
      <c r="I243" s="3010"/>
      <c r="J243" s="3010"/>
      <c r="L243" s="2983"/>
      <c r="M243" s="2984"/>
      <c r="N243" s="716"/>
      <c r="O243" s="2975"/>
      <c r="P243" s="2975"/>
      <c r="Q243" s="2840"/>
      <c r="R243" s="2998"/>
      <c r="S243" s="3061"/>
      <c r="T243" s="3004"/>
      <c r="U243" s="3004"/>
      <c r="W243" s="2998">
        <v>1</v>
      </c>
      <c r="X243" s="3006" t="s">
        <v>9354</v>
      </c>
      <c r="Y243" s="3007" t="s">
        <v>9355</v>
      </c>
      <c r="Z243" s="3011" t="s">
        <v>9356</v>
      </c>
      <c r="AA243" s="3007" t="s">
        <v>9357</v>
      </c>
      <c r="AB243" s="3007" t="s">
        <v>9358</v>
      </c>
      <c r="AC243" s="3007" t="s">
        <v>9359</v>
      </c>
      <c r="AD243" s="3006" t="s">
        <v>9354</v>
      </c>
      <c r="AF243" s="2730">
        <v>1</v>
      </c>
    </row>
    <row r="244" spans="2:32" ht="30" customHeight="1">
      <c r="B244" s="3008"/>
      <c r="C244" s="2964"/>
      <c r="D244" s="2964"/>
      <c r="E244" s="2964"/>
      <c r="F244" s="1"/>
      <c r="G244" s="3008"/>
      <c r="H244" s="2991"/>
      <c r="I244" s="3010"/>
      <c r="J244" s="3010"/>
      <c r="L244" s="2983"/>
      <c r="M244" s="2984"/>
      <c r="N244" s="716"/>
      <c r="O244" s="2975"/>
      <c r="P244" s="2975"/>
      <c r="Q244" s="2840"/>
      <c r="R244" s="2998"/>
      <c r="S244" s="3061"/>
      <c r="T244" s="3004"/>
      <c r="U244" s="3004"/>
      <c r="W244" s="2998">
        <f>W243+1</f>
        <v>2</v>
      </c>
      <c r="X244" s="3006" t="s">
        <v>2105</v>
      </c>
      <c r="Y244" s="3007" t="s">
        <v>9360</v>
      </c>
      <c r="Z244" s="3011" t="s">
        <v>9361</v>
      </c>
      <c r="AA244" s="3007" t="s">
        <v>9362</v>
      </c>
      <c r="AB244" s="3007" t="s">
        <v>9363</v>
      </c>
      <c r="AC244" s="3007" t="s">
        <v>9364</v>
      </c>
      <c r="AD244" s="3006" t="s">
        <v>2105</v>
      </c>
      <c r="AF244" s="2730">
        <v>1</v>
      </c>
    </row>
    <row r="245" spans="2:32" ht="30" customHeight="1">
      <c r="B245" s="3008"/>
      <c r="C245" s="2964"/>
      <c r="D245" s="2964"/>
      <c r="E245" s="2964"/>
      <c r="F245" s="1"/>
      <c r="G245" s="3008"/>
      <c r="H245" s="2991"/>
      <c r="I245" s="3010"/>
      <c r="J245" s="3010"/>
      <c r="L245" s="2983"/>
      <c r="M245" s="2984"/>
      <c r="N245" s="716"/>
      <c r="O245" s="2975"/>
      <c r="P245" s="2975"/>
      <c r="Q245" s="2840"/>
      <c r="R245" s="2998"/>
      <c r="S245" s="3061"/>
      <c r="T245" s="3004"/>
      <c r="U245" s="3004"/>
      <c r="W245" s="2998">
        <f t="shared" ref="W245:W249" si="40">W244+1</f>
        <v>3</v>
      </c>
      <c r="X245" s="3006" t="s">
        <v>2159</v>
      </c>
      <c r="Y245" s="3004" t="s">
        <v>9365</v>
      </c>
      <c r="Z245" s="3004" t="s">
        <v>9366</v>
      </c>
      <c r="AA245" s="3007" t="s">
        <v>9367</v>
      </c>
      <c r="AB245" s="3007" t="s">
        <v>9368</v>
      </c>
      <c r="AC245" s="3007" t="s">
        <v>9369</v>
      </c>
      <c r="AD245" s="3006" t="s">
        <v>2159</v>
      </c>
      <c r="AF245" s="2730">
        <v>1</v>
      </c>
    </row>
    <row r="246" spans="2:32" ht="30" customHeight="1">
      <c r="B246" s="3008"/>
      <c r="C246" s="2964"/>
      <c r="D246" s="2964"/>
      <c r="E246" s="2964"/>
      <c r="F246" s="1"/>
      <c r="G246" s="3008"/>
      <c r="H246" s="2991"/>
      <c r="I246" s="3010"/>
      <c r="J246" s="3010"/>
      <c r="L246" s="2983"/>
      <c r="M246" s="2984"/>
      <c r="N246" s="716"/>
      <c r="O246" s="2975"/>
      <c r="P246" s="2975"/>
      <c r="Q246" s="2840"/>
      <c r="R246" s="2998"/>
      <c r="S246" s="3061"/>
      <c r="T246" s="3004"/>
      <c r="U246" s="3004"/>
      <c r="W246" s="2998">
        <f t="shared" si="40"/>
        <v>4</v>
      </c>
      <c r="X246" s="3006" t="s">
        <v>2167</v>
      </c>
      <c r="Y246" s="3011" t="s">
        <v>9370</v>
      </c>
      <c r="Z246" s="3011" t="s">
        <v>9371</v>
      </c>
      <c r="AA246" s="3007" t="s">
        <v>9372</v>
      </c>
      <c r="AB246" s="3007" t="s">
        <v>9373</v>
      </c>
      <c r="AC246" s="3007" t="s">
        <v>9374</v>
      </c>
      <c r="AD246" s="3006" t="s">
        <v>2167</v>
      </c>
      <c r="AF246" s="2730">
        <v>1</v>
      </c>
    </row>
    <row r="247" spans="2:32" ht="30" customHeight="1">
      <c r="B247" s="3008"/>
      <c r="C247" s="2964"/>
      <c r="D247" s="2964"/>
      <c r="E247" s="2964"/>
      <c r="F247" s="1"/>
      <c r="G247" s="3008"/>
      <c r="H247" s="2991"/>
      <c r="I247" s="3010"/>
      <c r="J247" s="3010"/>
      <c r="L247" s="2983"/>
      <c r="M247" s="2984"/>
      <c r="N247" s="716"/>
      <c r="O247" s="2975"/>
      <c r="P247" s="2975"/>
      <c r="Q247" s="2840"/>
      <c r="R247" s="2998"/>
      <c r="S247" s="3061"/>
      <c r="T247" s="3004"/>
      <c r="U247" s="3004"/>
      <c r="W247" s="2998">
        <f t="shared" si="40"/>
        <v>5</v>
      </c>
      <c r="X247" s="3006" t="s">
        <v>2301</v>
      </c>
      <c r="Y247" s="3007" t="s">
        <v>9375</v>
      </c>
      <c r="Z247" s="3011" t="s">
        <v>9376</v>
      </c>
      <c r="AA247" s="3007" t="s">
        <v>9377</v>
      </c>
      <c r="AB247" s="3007" t="s">
        <v>9378</v>
      </c>
      <c r="AC247" s="3007" t="s">
        <v>9379</v>
      </c>
      <c r="AD247" s="3006" t="s">
        <v>2301</v>
      </c>
      <c r="AF247" s="2730">
        <v>1</v>
      </c>
    </row>
    <row r="248" spans="2:32" ht="30" customHeight="1">
      <c r="B248" s="3008"/>
      <c r="C248" s="2964"/>
      <c r="D248" s="2964"/>
      <c r="E248" s="2964"/>
      <c r="F248" s="1"/>
      <c r="G248" s="3008"/>
      <c r="H248" s="2991"/>
      <c r="I248" s="3010"/>
      <c r="J248" s="3010"/>
      <c r="L248" s="2983"/>
      <c r="M248" s="2984"/>
      <c r="N248" s="716"/>
      <c r="O248" s="2975"/>
      <c r="P248" s="2975"/>
      <c r="Q248" s="2840"/>
      <c r="R248" s="2998"/>
      <c r="S248" s="3061"/>
      <c r="T248" s="3004"/>
      <c r="U248" s="3004"/>
      <c r="W248" s="2998">
        <f t="shared" si="40"/>
        <v>6</v>
      </c>
      <c r="X248" s="3006" t="s">
        <v>2801</v>
      </c>
      <c r="Y248" s="3007" t="s">
        <v>9380</v>
      </c>
      <c r="Z248" s="3011" t="s">
        <v>9381</v>
      </c>
      <c r="AA248" s="3007" t="s">
        <v>9382</v>
      </c>
      <c r="AB248" s="3007" t="s">
        <v>9383</v>
      </c>
      <c r="AC248" s="3007" t="s">
        <v>9384</v>
      </c>
      <c r="AD248" s="3006" t="s">
        <v>2801</v>
      </c>
      <c r="AF248" s="2730">
        <v>1</v>
      </c>
    </row>
    <row r="249" spans="2:32" ht="30" customHeight="1">
      <c r="B249" s="3008"/>
      <c r="C249" s="2964"/>
      <c r="D249" s="2964"/>
      <c r="E249" s="2964"/>
      <c r="F249" s="1"/>
      <c r="G249" s="3008"/>
      <c r="H249" s="2991"/>
      <c r="I249" s="3010"/>
      <c r="J249" s="3010"/>
      <c r="L249" s="2983"/>
      <c r="M249" s="2984"/>
      <c r="N249" s="716"/>
      <c r="O249" s="2975"/>
      <c r="P249" s="2975"/>
      <c r="Q249" s="2840"/>
      <c r="R249" s="2998"/>
      <c r="S249" s="3061"/>
      <c r="T249" s="3004"/>
      <c r="U249" s="3004"/>
      <c r="W249" s="2998">
        <f t="shared" si="40"/>
        <v>7</v>
      </c>
      <c r="X249" s="3006" t="s">
        <v>9385</v>
      </c>
      <c r="Y249" s="3011" t="s">
        <v>9386</v>
      </c>
      <c r="Z249" s="3011" t="s">
        <v>9387</v>
      </c>
      <c r="AA249" s="3007" t="s">
        <v>9388</v>
      </c>
      <c r="AB249" s="3007" t="s">
        <v>9389</v>
      </c>
      <c r="AC249" s="3007" t="s">
        <v>9390</v>
      </c>
      <c r="AD249" s="3006" t="s">
        <v>9385</v>
      </c>
      <c r="AF249" s="2730">
        <v>1</v>
      </c>
    </row>
    <row r="250" spans="2:32" ht="30" customHeight="1">
      <c r="B250" s="3008"/>
      <c r="C250" s="2964"/>
      <c r="D250" s="2964"/>
      <c r="E250" s="2964"/>
      <c r="F250" s="1"/>
      <c r="G250" s="3008"/>
      <c r="H250" s="2991"/>
      <c r="I250" s="3010"/>
      <c r="J250" s="3010"/>
      <c r="L250" s="2983"/>
      <c r="M250" s="2984"/>
      <c r="N250" s="716"/>
      <c r="O250" s="2975"/>
      <c r="P250" s="2975"/>
      <c r="Q250" s="2840"/>
      <c r="R250" s="2998"/>
      <c r="S250" s="3061"/>
      <c r="T250" s="3004"/>
      <c r="U250" s="3004"/>
      <c r="W250" s="2977"/>
      <c r="X250" s="2999" t="s">
        <v>349</v>
      </c>
      <c r="Y250" s="3000"/>
      <c r="Z250" s="3000"/>
      <c r="AA250" s="3000"/>
      <c r="AB250" s="2988"/>
      <c r="AC250" s="2988"/>
      <c r="AD250" s="2999" t="s">
        <v>349</v>
      </c>
      <c r="AF250" s="2730">
        <v>1</v>
      </c>
    </row>
    <row r="251" spans="2:32" ht="30" customHeight="1">
      <c r="B251" s="3008"/>
      <c r="C251" s="2964"/>
      <c r="D251" s="2964"/>
      <c r="E251" s="2964"/>
      <c r="F251" s="1"/>
      <c r="G251" s="3008"/>
      <c r="H251" s="2991"/>
      <c r="I251" s="3010"/>
      <c r="J251" s="3010"/>
      <c r="L251" s="2983"/>
      <c r="M251" s="2984"/>
      <c r="N251" s="716"/>
      <c r="O251" s="2975"/>
      <c r="P251" s="2975"/>
      <c r="Q251" s="2840"/>
      <c r="R251" s="2998"/>
      <c r="S251" s="3061"/>
      <c r="T251" s="3004"/>
      <c r="U251" s="3004"/>
      <c r="W251" s="2998">
        <v>1</v>
      </c>
      <c r="X251" s="3006" t="s">
        <v>2181</v>
      </c>
      <c r="Y251" s="3007" t="s">
        <v>9391</v>
      </c>
      <c r="Z251" s="3011" t="s">
        <v>9392</v>
      </c>
      <c r="AA251" s="3007" t="s">
        <v>9393</v>
      </c>
      <c r="AB251" s="3007" t="s">
        <v>9394</v>
      </c>
      <c r="AC251" s="3007" t="s">
        <v>9395</v>
      </c>
      <c r="AD251" s="3006" t="s">
        <v>2181</v>
      </c>
      <c r="AF251" s="2730">
        <v>1</v>
      </c>
    </row>
    <row r="252" spans="2:32" ht="30" customHeight="1">
      <c r="B252" s="3008"/>
      <c r="C252" s="2964"/>
      <c r="D252" s="2964"/>
      <c r="E252" s="2964"/>
      <c r="F252" s="1"/>
      <c r="G252" s="3008"/>
      <c r="H252" s="2991"/>
      <c r="I252" s="3010"/>
      <c r="J252" s="3010"/>
      <c r="L252" s="2983"/>
      <c r="M252" s="2984"/>
      <c r="N252" s="716"/>
      <c r="O252" s="2975"/>
      <c r="P252" s="2975"/>
      <c r="Q252" s="2840"/>
      <c r="R252" s="2998"/>
      <c r="S252" s="3061"/>
      <c r="T252" s="3004"/>
      <c r="U252" s="3004"/>
      <c r="W252" s="3088"/>
      <c r="X252" s="3006"/>
      <c r="Y252" s="3007"/>
      <c r="Z252" s="3011"/>
      <c r="AA252" s="3007" t="s">
        <v>9396</v>
      </c>
      <c r="AB252" s="3007" t="s">
        <v>9397</v>
      </c>
      <c r="AC252" s="3007" t="s">
        <v>9398</v>
      </c>
      <c r="AD252" s="3006"/>
      <c r="AF252" s="2730">
        <v>1</v>
      </c>
    </row>
    <row r="253" spans="2:32" ht="30" customHeight="1">
      <c r="B253" s="3008"/>
      <c r="C253" s="2964"/>
      <c r="D253" s="2964"/>
      <c r="E253" s="2964"/>
      <c r="F253" s="1"/>
      <c r="G253" s="3008"/>
      <c r="H253" s="2991"/>
      <c r="I253" s="3010"/>
      <c r="J253" s="3010"/>
      <c r="L253" s="2983"/>
      <c r="M253" s="2984"/>
      <c r="N253" s="716"/>
      <c r="O253" s="2975"/>
      <c r="P253" s="2975"/>
      <c r="Q253" s="2840"/>
      <c r="R253" s="2998"/>
      <c r="S253" s="3061"/>
      <c r="T253" s="3004"/>
      <c r="U253" s="3004"/>
      <c r="W253" s="3059"/>
      <c r="X253" s="3006"/>
      <c r="Y253" s="3007"/>
      <c r="Z253" s="3011"/>
      <c r="AA253" s="3007" t="s">
        <v>9399</v>
      </c>
      <c r="AB253" s="3007" t="s">
        <v>9400</v>
      </c>
      <c r="AC253" s="3007" t="s">
        <v>9401</v>
      </c>
      <c r="AD253" s="3006"/>
      <c r="AF253" s="2730">
        <v>1</v>
      </c>
    </row>
    <row r="254" spans="2:32" ht="30" customHeight="1">
      <c r="B254" s="3008"/>
      <c r="C254" s="2964"/>
      <c r="D254" s="2964"/>
      <c r="E254" s="2964"/>
      <c r="F254" s="1"/>
      <c r="G254" s="3008"/>
      <c r="H254" s="2991"/>
      <c r="I254" s="3010"/>
      <c r="J254" s="3010"/>
      <c r="L254" s="2983"/>
      <c r="M254" s="2984"/>
      <c r="N254" s="716"/>
      <c r="O254" s="2975"/>
      <c r="P254" s="2975"/>
      <c r="Q254" s="2840"/>
      <c r="R254" s="2998"/>
      <c r="S254" s="3061"/>
      <c r="T254" s="3004"/>
      <c r="U254" s="3004"/>
      <c r="W254" s="2977"/>
      <c r="X254" s="2999" t="s">
        <v>34</v>
      </c>
      <c r="Y254" s="3000"/>
      <c r="Z254" s="3000"/>
      <c r="AA254" s="3000"/>
      <c r="AB254" s="2988"/>
      <c r="AC254" s="2999" t="s">
        <v>34</v>
      </c>
      <c r="AD254" s="2999" t="s">
        <v>34</v>
      </c>
      <c r="AF254" s="2730">
        <v>1</v>
      </c>
    </row>
    <row r="255" spans="2:32" ht="30" customHeight="1">
      <c r="B255" s="3008"/>
      <c r="C255" s="2964"/>
      <c r="D255" s="2964"/>
      <c r="E255" s="2964"/>
      <c r="F255" s="1"/>
      <c r="G255" s="3008"/>
      <c r="H255" s="2991"/>
      <c r="I255" s="3010"/>
      <c r="J255" s="3010"/>
      <c r="L255" s="2983"/>
      <c r="M255" s="2984"/>
      <c r="N255" s="716"/>
      <c r="O255" s="2975"/>
      <c r="P255" s="2975"/>
      <c r="Q255" s="2840"/>
      <c r="R255" s="2998"/>
      <c r="S255" s="3061"/>
      <c r="T255" s="3004"/>
      <c r="U255" s="3004"/>
      <c r="W255" s="2998">
        <v>1</v>
      </c>
      <c r="X255" s="3006" t="s">
        <v>2306</v>
      </c>
      <c r="Y255" s="3007" t="s">
        <v>9402</v>
      </c>
      <c r="Z255" s="3011" t="s">
        <v>9403</v>
      </c>
      <c r="AA255" s="3007" t="s">
        <v>9404</v>
      </c>
      <c r="AB255" s="3007" t="s">
        <v>9405</v>
      </c>
      <c r="AC255" s="3007" t="s">
        <v>9406</v>
      </c>
      <c r="AD255" s="3006" t="s">
        <v>2306</v>
      </c>
      <c r="AF255" s="2730">
        <v>1</v>
      </c>
    </row>
    <row r="256" spans="2:32" ht="30" customHeight="1">
      <c r="B256" s="3008"/>
      <c r="C256" s="2964"/>
      <c r="D256" s="2964"/>
      <c r="E256" s="2964"/>
      <c r="F256" s="1"/>
      <c r="G256" s="3008"/>
      <c r="H256" s="2991"/>
      <c r="I256" s="3010"/>
      <c r="J256" s="3010"/>
      <c r="L256" s="2983"/>
      <c r="M256" s="2984"/>
      <c r="N256" s="716"/>
      <c r="O256" s="2975"/>
      <c r="P256" s="2975"/>
      <c r="Q256" s="2840"/>
      <c r="R256" s="2998"/>
      <c r="S256" s="3061"/>
      <c r="T256" s="3004"/>
      <c r="U256" s="3004"/>
      <c r="W256" s="2998">
        <f>W255+1</f>
        <v>2</v>
      </c>
      <c r="X256" s="3006" t="s">
        <v>9407</v>
      </c>
      <c r="Y256" s="3007" t="s">
        <v>9408</v>
      </c>
      <c r="Z256" s="3011" t="s">
        <v>9409</v>
      </c>
      <c r="AA256" s="3007" t="s">
        <v>9410</v>
      </c>
      <c r="AB256" s="3007" t="s">
        <v>9411</v>
      </c>
      <c r="AC256" s="3007" t="s">
        <v>9412</v>
      </c>
      <c r="AD256" s="3006" t="s">
        <v>9407</v>
      </c>
      <c r="AF256" s="2730">
        <v>1</v>
      </c>
    </row>
    <row r="257" spans="2:32" ht="30" customHeight="1">
      <c r="B257" s="3008"/>
      <c r="C257" s="2964"/>
      <c r="D257" s="2964"/>
      <c r="E257" s="2964"/>
      <c r="F257" s="1"/>
      <c r="G257" s="3008"/>
      <c r="H257" s="2991"/>
      <c r="I257" s="3010"/>
      <c r="J257" s="3010"/>
      <c r="L257" s="2983"/>
      <c r="M257" s="2984"/>
      <c r="N257" s="716"/>
      <c r="O257" s="2975"/>
      <c r="P257" s="2975"/>
      <c r="Q257" s="2840"/>
      <c r="R257" s="2998"/>
      <c r="S257" s="3061"/>
      <c r="T257" s="3004"/>
      <c r="U257" s="3004"/>
      <c r="W257" s="2998">
        <f t="shared" ref="W257:W264" si="41">W256+1</f>
        <v>3</v>
      </c>
      <c r="X257" s="3006" t="s">
        <v>2198</v>
      </c>
      <c r="Y257" s="3007" t="s">
        <v>9413</v>
      </c>
      <c r="Z257" s="3011" t="s">
        <v>9414</v>
      </c>
      <c r="AA257" s="3007" t="s">
        <v>9415</v>
      </c>
      <c r="AB257" s="3007" t="s">
        <v>9416</v>
      </c>
      <c r="AC257" s="3007" t="s">
        <v>9417</v>
      </c>
      <c r="AD257" s="3006" t="s">
        <v>2198</v>
      </c>
      <c r="AF257" s="2730">
        <v>1</v>
      </c>
    </row>
    <row r="258" spans="2:32" ht="30" customHeight="1">
      <c r="B258" s="3008"/>
      <c r="C258" s="2964"/>
      <c r="D258" s="2964"/>
      <c r="E258" s="2964"/>
      <c r="F258" s="1"/>
      <c r="G258" s="3008"/>
      <c r="H258" s="2991"/>
      <c r="I258" s="3010"/>
      <c r="J258" s="3010"/>
      <c r="L258" s="2983"/>
      <c r="M258" s="2984"/>
      <c r="N258" s="716"/>
      <c r="O258" s="2975"/>
      <c r="P258" s="2975"/>
      <c r="Q258" s="2840"/>
      <c r="R258" s="2998"/>
      <c r="S258" s="3061"/>
      <c r="T258" s="3004"/>
      <c r="U258" s="3004"/>
      <c r="W258" s="2998">
        <f t="shared" si="41"/>
        <v>4</v>
      </c>
      <c r="X258" s="3006" t="s">
        <v>2309</v>
      </c>
      <c r="Y258" s="3007" t="s">
        <v>9418</v>
      </c>
      <c r="Z258" s="3007" t="s">
        <v>9419</v>
      </c>
      <c r="AA258" s="3007" t="s">
        <v>9420</v>
      </c>
      <c r="AB258" s="3007" t="s">
        <v>9421</v>
      </c>
      <c r="AC258" s="3007" t="s">
        <v>9422</v>
      </c>
      <c r="AD258" s="3006" t="s">
        <v>2309</v>
      </c>
      <c r="AF258" s="2730">
        <v>1</v>
      </c>
    </row>
    <row r="259" spans="2:32" ht="30" customHeight="1">
      <c r="B259" s="3008"/>
      <c r="C259" s="2964"/>
      <c r="D259" s="2964"/>
      <c r="E259" s="2964"/>
      <c r="F259" s="1"/>
      <c r="G259" s="3008"/>
      <c r="H259" s="2991"/>
      <c r="I259" s="3010"/>
      <c r="J259" s="3010"/>
      <c r="L259" s="2983"/>
      <c r="M259" s="2984"/>
      <c r="N259" s="716"/>
      <c r="O259" s="2975"/>
      <c r="P259" s="2975"/>
      <c r="Q259" s="2840"/>
      <c r="R259" s="2998"/>
      <c r="S259" s="3061"/>
      <c r="T259" s="3004"/>
      <c r="U259" s="3004"/>
      <c r="W259" s="2998">
        <f t="shared" si="41"/>
        <v>5</v>
      </c>
      <c r="X259" s="3006" t="s">
        <v>2129</v>
      </c>
      <c r="Y259" s="3004" t="s">
        <v>9423</v>
      </c>
      <c r="Z259" s="3004" t="s">
        <v>9424</v>
      </c>
      <c r="AA259" s="3007" t="s">
        <v>9425</v>
      </c>
      <c r="AB259" s="3007" t="s">
        <v>9426</v>
      </c>
      <c r="AC259" s="3007" t="s">
        <v>9427</v>
      </c>
      <c r="AD259" s="3006" t="s">
        <v>2129</v>
      </c>
      <c r="AF259" s="2730">
        <v>1</v>
      </c>
    </row>
    <row r="260" spans="2:32" ht="30" customHeight="1">
      <c r="B260" s="3008"/>
      <c r="C260" s="2964"/>
      <c r="D260" s="2964"/>
      <c r="E260" s="2964"/>
      <c r="F260" s="1"/>
      <c r="G260" s="3008"/>
      <c r="H260" s="2991"/>
      <c r="I260" s="3010"/>
      <c r="J260" s="3010"/>
      <c r="L260" s="2983"/>
      <c r="M260" s="2984"/>
      <c r="N260" s="716"/>
      <c r="O260" s="2975"/>
      <c r="P260" s="2975"/>
      <c r="Q260" s="2840"/>
      <c r="R260" s="2998"/>
      <c r="S260" s="3061"/>
      <c r="T260" s="3004"/>
      <c r="U260" s="3004"/>
      <c r="W260" s="2998">
        <f t="shared" si="41"/>
        <v>6</v>
      </c>
      <c r="X260" s="3006" t="s">
        <v>2137</v>
      </c>
      <c r="Y260" s="3007" t="s">
        <v>9428</v>
      </c>
      <c r="Z260" s="3011" t="s">
        <v>9429</v>
      </c>
      <c r="AA260" s="3007" t="s">
        <v>9430</v>
      </c>
      <c r="AB260" s="3007" t="s">
        <v>9431</v>
      </c>
      <c r="AC260" s="3007" t="s">
        <v>9432</v>
      </c>
      <c r="AD260" s="3006" t="s">
        <v>2137</v>
      </c>
      <c r="AF260" s="2730">
        <v>1</v>
      </c>
    </row>
    <row r="261" spans="2:32" ht="30" customHeight="1">
      <c r="B261" s="3008"/>
      <c r="C261" s="2964"/>
      <c r="D261" s="2964"/>
      <c r="E261" s="2964"/>
      <c r="F261" s="1"/>
      <c r="G261" s="3008"/>
      <c r="H261" s="2991"/>
      <c r="I261" s="3010"/>
      <c r="J261" s="3010"/>
      <c r="L261" s="2983"/>
      <c r="M261" s="2984"/>
      <c r="N261" s="716"/>
      <c r="O261" s="2975"/>
      <c r="P261" s="2975"/>
      <c r="Q261" s="2840"/>
      <c r="R261" s="2998"/>
      <c r="S261" s="3061"/>
      <c r="T261" s="3004"/>
      <c r="U261" s="3004"/>
      <c r="W261" s="2998">
        <f t="shared" si="41"/>
        <v>7</v>
      </c>
      <c r="X261" s="3006" t="s">
        <v>2146</v>
      </c>
      <c r="Y261" s="3007" t="s">
        <v>9433</v>
      </c>
      <c r="Z261" s="3011" t="s">
        <v>9434</v>
      </c>
      <c r="AA261" s="3007" t="s">
        <v>9435</v>
      </c>
      <c r="AB261" s="3007" t="s">
        <v>9436</v>
      </c>
      <c r="AC261" s="3007" t="s">
        <v>9437</v>
      </c>
      <c r="AD261" s="3006" t="s">
        <v>2146</v>
      </c>
      <c r="AF261" s="2730">
        <v>1</v>
      </c>
    </row>
    <row r="262" spans="2:32" ht="30" customHeight="1">
      <c r="B262" s="3008"/>
      <c r="C262" s="2964"/>
      <c r="D262" s="2964"/>
      <c r="E262" s="2964"/>
      <c r="F262" s="1"/>
      <c r="G262" s="3008"/>
      <c r="H262" s="2991"/>
      <c r="I262" s="3010"/>
      <c r="J262" s="3010"/>
      <c r="L262" s="2983"/>
      <c r="M262" s="2984"/>
      <c r="N262" s="716"/>
      <c r="O262" s="2975"/>
      <c r="P262" s="2975"/>
      <c r="Q262" s="2840"/>
      <c r="R262" s="2998"/>
      <c r="S262" s="3061"/>
      <c r="T262" s="3004"/>
      <c r="U262" s="3004"/>
      <c r="W262" s="2998">
        <f t="shared" si="41"/>
        <v>8</v>
      </c>
      <c r="X262" s="3006" t="s">
        <v>2153</v>
      </c>
      <c r="Y262" s="3007" t="s">
        <v>9438</v>
      </c>
      <c r="Z262" s="3011" t="s">
        <v>9439</v>
      </c>
      <c r="AA262" s="3007" t="s">
        <v>9440</v>
      </c>
      <c r="AB262" s="3007" t="s">
        <v>9441</v>
      </c>
      <c r="AC262" s="3007" t="s">
        <v>9442</v>
      </c>
      <c r="AD262" s="3006" t="s">
        <v>2153</v>
      </c>
      <c r="AF262" s="2730">
        <v>1</v>
      </c>
    </row>
    <row r="263" spans="2:32" ht="30" customHeight="1">
      <c r="B263" s="3008"/>
      <c r="C263" s="2964"/>
      <c r="D263" s="2964"/>
      <c r="E263" s="2964"/>
      <c r="F263" s="1"/>
      <c r="G263" s="3008"/>
      <c r="H263" s="2991"/>
      <c r="I263" s="3010"/>
      <c r="J263" s="3010"/>
      <c r="L263" s="2983"/>
      <c r="M263" s="2984"/>
      <c r="N263" s="716"/>
      <c r="O263" s="2975"/>
      <c r="P263" s="2975"/>
      <c r="Q263" s="2840"/>
      <c r="R263" s="2998"/>
      <c r="S263" s="3061"/>
      <c r="T263" s="3004"/>
      <c r="U263" s="3004"/>
      <c r="W263" s="2998">
        <f t="shared" si="41"/>
        <v>9</v>
      </c>
      <c r="X263" s="3006" t="s">
        <v>2312</v>
      </c>
      <c r="Y263" s="3007" t="s">
        <v>9443</v>
      </c>
      <c r="Z263" s="3011" t="s">
        <v>9444</v>
      </c>
      <c r="AA263" s="3007" t="s">
        <v>9445</v>
      </c>
      <c r="AB263" s="3007" t="s">
        <v>9446</v>
      </c>
      <c r="AC263" s="3007" t="s">
        <v>9447</v>
      </c>
      <c r="AD263" s="3006" t="s">
        <v>2312</v>
      </c>
      <c r="AF263" s="2730">
        <v>1</v>
      </c>
    </row>
    <row r="264" spans="2:32" ht="30" customHeight="1">
      <c r="B264" s="3008"/>
      <c r="C264" s="2964"/>
      <c r="D264" s="2964"/>
      <c r="E264" s="2964"/>
      <c r="F264" s="1"/>
      <c r="G264" s="3008"/>
      <c r="H264" s="2991"/>
      <c r="I264" s="3010"/>
      <c r="J264" s="3010"/>
      <c r="L264" s="2983"/>
      <c r="M264" s="2984"/>
      <c r="N264" s="716"/>
      <c r="O264" s="2975"/>
      <c r="P264" s="2975"/>
      <c r="Q264" s="2840"/>
      <c r="R264" s="2998"/>
      <c r="S264" s="3061"/>
      <c r="T264" s="3004"/>
      <c r="U264" s="3004"/>
      <c r="W264" s="2998">
        <f t="shared" si="41"/>
        <v>10</v>
      </c>
      <c r="X264" s="3006" t="s">
        <v>2313</v>
      </c>
      <c r="Y264" s="3007" t="s">
        <v>9448</v>
      </c>
      <c r="Z264" s="3011" t="s">
        <v>9449</v>
      </c>
      <c r="AA264" s="3007" t="s">
        <v>9450</v>
      </c>
      <c r="AB264" s="3007" t="s">
        <v>9451</v>
      </c>
      <c r="AD264" s="3006" t="s">
        <v>2313</v>
      </c>
      <c r="AF264" s="2730">
        <v>1</v>
      </c>
    </row>
    <row r="265" spans="2:32" ht="30" customHeight="1">
      <c r="B265" s="3008"/>
      <c r="C265" s="2964"/>
      <c r="D265" s="2964"/>
      <c r="E265" s="2964"/>
      <c r="F265" s="1"/>
      <c r="G265" s="3008"/>
      <c r="H265" s="2991"/>
      <c r="I265" s="3010"/>
      <c r="J265" s="3010"/>
      <c r="L265" s="2983"/>
      <c r="M265" s="2984"/>
      <c r="N265" s="716"/>
      <c r="O265" s="2975"/>
      <c r="P265" s="2975"/>
      <c r="Q265" s="2840"/>
      <c r="R265" s="2998"/>
      <c r="S265" s="3061"/>
      <c r="T265" s="3004"/>
      <c r="U265" s="3004"/>
      <c r="X265" s="2999" t="s">
        <v>537</v>
      </c>
      <c r="Y265" s="3090"/>
      <c r="Z265" s="3090"/>
      <c r="AA265" s="3090"/>
      <c r="AB265" s="2988"/>
      <c r="AC265" s="2988"/>
      <c r="AD265" s="2999" t="s">
        <v>537</v>
      </c>
      <c r="AF265" s="2730">
        <v>1</v>
      </c>
    </row>
    <row r="266" spans="2:32" ht="30" customHeight="1">
      <c r="B266" s="3008"/>
      <c r="C266" s="2964"/>
      <c r="D266" s="2964"/>
      <c r="E266" s="2964"/>
      <c r="F266" s="1"/>
      <c r="G266" s="3008"/>
      <c r="H266" s="2991"/>
      <c r="I266" s="3010"/>
      <c r="J266" s="3010"/>
      <c r="L266" s="2983"/>
      <c r="M266" s="2984"/>
      <c r="N266" s="716"/>
      <c r="O266" s="2975"/>
      <c r="P266" s="2975"/>
      <c r="Q266" s="2840"/>
      <c r="R266" s="2998"/>
      <c r="S266" s="3061"/>
      <c r="T266" s="3004"/>
      <c r="U266" s="3004"/>
      <c r="W266" s="2998">
        <v>1</v>
      </c>
      <c r="X266" s="3006" t="s">
        <v>2063</v>
      </c>
      <c r="Y266" s="3007" t="s">
        <v>9452</v>
      </c>
      <c r="Z266" s="3011" t="s">
        <v>9453</v>
      </c>
      <c r="AA266" s="3007" t="s">
        <v>9454</v>
      </c>
      <c r="AB266" s="3007" t="s">
        <v>9455</v>
      </c>
      <c r="AC266" s="3007" t="s">
        <v>9456</v>
      </c>
      <c r="AD266" s="3006" t="s">
        <v>2063</v>
      </c>
      <c r="AF266" s="2730">
        <v>1</v>
      </c>
    </row>
    <row r="267" spans="2:32" ht="30" customHeight="1">
      <c r="B267" s="3008"/>
      <c r="C267" s="2964"/>
      <c r="D267" s="2964"/>
      <c r="E267" s="2964"/>
      <c r="F267" s="1"/>
      <c r="G267" s="3008"/>
      <c r="H267" s="2991"/>
      <c r="I267" s="3010"/>
      <c r="J267" s="3010"/>
      <c r="L267" s="2983"/>
      <c r="M267" s="2984"/>
      <c r="N267" s="716"/>
      <c r="O267" s="2975"/>
      <c r="P267" s="2975"/>
      <c r="Q267" s="2840"/>
      <c r="R267" s="2998"/>
      <c r="S267" s="3061"/>
      <c r="T267" s="3004"/>
      <c r="U267" s="3004"/>
      <c r="W267" s="2998">
        <f>W266+1</f>
        <v>2</v>
      </c>
      <c r="X267" s="3006" t="s">
        <v>2073</v>
      </c>
      <c r="Y267" s="3007" t="s">
        <v>9457</v>
      </c>
      <c r="Z267" s="3011" t="s">
        <v>9458</v>
      </c>
      <c r="AA267" s="3007" t="s">
        <v>9459</v>
      </c>
      <c r="AB267" s="3007" t="s">
        <v>9460</v>
      </c>
      <c r="AC267" s="3007" t="s">
        <v>9461</v>
      </c>
      <c r="AD267" s="3006" t="s">
        <v>2073</v>
      </c>
      <c r="AF267" s="2730">
        <v>1</v>
      </c>
    </row>
    <row r="268" spans="2:32" ht="30" customHeight="1">
      <c r="B268" s="3008"/>
      <c r="C268" s="2964"/>
      <c r="D268" s="2964"/>
      <c r="E268" s="2964"/>
      <c r="F268" s="1"/>
      <c r="G268" s="3008"/>
      <c r="H268" s="2991"/>
      <c r="I268" s="3010"/>
      <c r="J268" s="3010"/>
      <c r="L268" s="2983"/>
      <c r="M268" s="2984"/>
      <c r="N268" s="716"/>
      <c r="O268" s="2975"/>
      <c r="P268" s="2975"/>
      <c r="Q268" s="2840"/>
      <c r="R268" s="2998"/>
      <c r="S268" s="3061"/>
      <c r="T268" s="3004"/>
      <c r="U268" s="3004"/>
      <c r="W268" s="2998">
        <f t="shared" ref="W268:W299" si="42">W267+1</f>
        <v>3</v>
      </c>
      <c r="X268" s="3006" t="s">
        <v>2087</v>
      </c>
      <c r="Y268" s="3007" t="s">
        <v>9462</v>
      </c>
      <c r="Z268" s="3011" t="s">
        <v>9463</v>
      </c>
      <c r="AA268" s="3007" t="s">
        <v>9464</v>
      </c>
      <c r="AB268" s="3007" t="s">
        <v>9465</v>
      </c>
      <c r="AC268" s="3007" t="s">
        <v>9466</v>
      </c>
      <c r="AD268" s="3006" t="s">
        <v>2087</v>
      </c>
      <c r="AF268" s="2730">
        <v>1</v>
      </c>
    </row>
    <row r="269" spans="2:32" ht="30" customHeight="1">
      <c r="B269" s="3008"/>
      <c r="C269" s="2964"/>
      <c r="D269" s="2964"/>
      <c r="E269" s="2964"/>
      <c r="F269" s="1"/>
      <c r="G269" s="3008"/>
      <c r="H269" s="2991"/>
      <c r="I269" s="3010"/>
      <c r="J269" s="3010"/>
      <c r="L269" s="2983"/>
      <c r="M269" s="2984"/>
      <c r="N269" s="716"/>
      <c r="O269" s="2975"/>
      <c r="P269" s="2975"/>
      <c r="Q269" s="2840"/>
      <c r="R269" s="2998"/>
      <c r="S269" s="3061"/>
      <c r="T269" s="3004"/>
      <c r="U269" s="3004"/>
      <c r="W269" s="2998">
        <f t="shared" si="42"/>
        <v>4</v>
      </c>
      <c r="X269" s="3006" t="s">
        <v>9467</v>
      </c>
      <c r="Y269" s="3007" t="s">
        <v>9468</v>
      </c>
      <c r="Z269" s="3011" t="s">
        <v>9469</v>
      </c>
      <c r="AA269" s="3007" t="s">
        <v>9470</v>
      </c>
      <c r="AB269" s="3007" t="s">
        <v>9471</v>
      </c>
      <c r="AC269" s="3083" t="s">
        <v>9472</v>
      </c>
      <c r="AD269" s="3006" t="s">
        <v>9467</v>
      </c>
      <c r="AF269" s="2730">
        <v>1</v>
      </c>
    </row>
    <row r="270" spans="2:32" ht="30" customHeight="1">
      <c r="B270" s="3008"/>
      <c r="C270" s="2964"/>
      <c r="D270" s="2964"/>
      <c r="E270" s="2964"/>
      <c r="F270" s="1"/>
      <c r="G270" s="3008"/>
      <c r="H270" s="2991"/>
      <c r="I270" s="3010"/>
      <c r="J270" s="3010"/>
      <c r="L270" s="2983"/>
      <c r="M270" s="2984"/>
      <c r="N270" s="716"/>
      <c r="O270" s="2975"/>
      <c r="P270" s="2975"/>
      <c r="Q270" s="2840"/>
      <c r="R270" s="2998"/>
      <c r="S270" s="3061"/>
      <c r="T270" s="3004"/>
      <c r="U270" s="3004"/>
      <c r="W270" s="2998">
        <f t="shared" si="42"/>
        <v>5</v>
      </c>
      <c r="X270" s="3006" t="s">
        <v>2815</v>
      </c>
      <c r="Y270" s="3007" t="s">
        <v>9473</v>
      </c>
      <c r="Z270" s="3011" t="s">
        <v>9474</v>
      </c>
      <c r="AA270" s="3007" t="s">
        <v>9475</v>
      </c>
      <c r="AB270" s="3007" t="s">
        <v>9476</v>
      </c>
      <c r="AC270" s="3007" t="s">
        <v>9477</v>
      </c>
      <c r="AD270" s="3006" t="s">
        <v>2815</v>
      </c>
      <c r="AF270" s="2730">
        <v>1</v>
      </c>
    </row>
    <row r="271" spans="2:32" ht="30" customHeight="1">
      <c r="B271" s="3008"/>
      <c r="C271" s="2964"/>
      <c r="D271" s="2964"/>
      <c r="E271" s="2964"/>
      <c r="F271" s="1"/>
      <c r="G271" s="3008"/>
      <c r="H271" s="2991"/>
      <c r="I271" s="3010"/>
      <c r="J271" s="3010"/>
      <c r="L271" s="2983"/>
      <c r="M271" s="2984"/>
      <c r="N271" s="716"/>
      <c r="O271" s="2975"/>
      <c r="P271" s="2975"/>
      <c r="Q271" s="2840"/>
      <c r="R271" s="2998"/>
      <c r="S271" s="3061"/>
      <c r="T271" s="3004"/>
      <c r="U271" s="3004"/>
      <c r="W271" s="2998">
        <f t="shared" si="42"/>
        <v>6</v>
      </c>
      <c r="X271" s="3006" t="s">
        <v>2109</v>
      </c>
      <c r="Y271" s="3007" t="s">
        <v>9478</v>
      </c>
      <c r="Z271" s="3011" t="s">
        <v>9479</v>
      </c>
      <c r="AA271" s="3007" t="s">
        <v>9480</v>
      </c>
      <c r="AB271" s="3007" t="s">
        <v>9481</v>
      </c>
      <c r="AC271" s="3007" t="s">
        <v>9482</v>
      </c>
      <c r="AD271" s="3006" t="s">
        <v>2109</v>
      </c>
      <c r="AF271" s="2730">
        <v>1</v>
      </c>
    </row>
    <row r="272" spans="2:32" ht="30" customHeight="1">
      <c r="B272" s="3008"/>
      <c r="C272" s="2964"/>
      <c r="D272" s="2964"/>
      <c r="E272" s="2964"/>
      <c r="F272" s="1"/>
      <c r="G272" s="3008"/>
      <c r="H272" s="2991"/>
      <c r="I272" s="3010"/>
      <c r="J272" s="3010"/>
      <c r="L272" s="2983"/>
      <c r="M272" s="2984"/>
      <c r="N272" s="716"/>
      <c r="O272" s="2975"/>
      <c r="P272" s="2975"/>
      <c r="Q272" s="2840"/>
      <c r="R272" s="2998"/>
      <c r="S272" s="3061"/>
      <c r="T272" s="3004"/>
      <c r="U272" s="3004"/>
      <c r="W272" s="2998">
        <f t="shared" si="42"/>
        <v>7</v>
      </c>
      <c r="X272" s="3006" t="s">
        <v>2120</v>
      </c>
      <c r="Y272" s="3007" t="s">
        <v>9483</v>
      </c>
      <c r="Z272" s="3011" t="s">
        <v>9484</v>
      </c>
      <c r="AA272" s="3007" t="s">
        <v>9485</v>
      </c>
      <c r="AB272" s="3007" t="s">
        <v>9486</v>
      </c>
      <c r="AC272" s="3007" t="s">
        <v>9487</v>
      </c>
      <c r="AD272" s="3006" t="s">
        <v>2120</v>
      </c>
      <c r="AF272" s="2730">
        <v>1</v>
      </c>
    </row>
    <row r="273" spans="2:32" ht="30" customHeight="1">
      <c r="B273" s="3008"/>
      <c r="C273" s="2964"/>
      <c r="D273" s="2964"/>
      <c r="E273" s="2964"/>
      <c r="F273" s="1"/>
      <c r="G273" s="3008"/>
      <c r="H273" s="2991"/>
      <c r="I273" s="3010"/>
      <c r="J273" s="3010"/>
      <c r="L273" s="2983"/>
      <c r="M273" s="2984"/>
      <c r="N273" s="716"/>
      <c r="O273" s="2975"/>
      <c r="P273" s="2975"/>
      <c r="Q273" s="2840"/>
      <c r="R273" s="2998"/>
      <c r="S273" s="3061"/>
      <c r="T273" s="3004"/>
      <c r="U273" s="3004"/>
      <c r="W273" s="2998">
        <f t="shared" si="42"/>
        <v>8</v>
      </c>
      <c r="X273" s="3006" t="s">
        <v>2132</v>
      </c>
      <c r="Y273" s="3007" t="s">
        <v>9488</v>
      </c>
      <c r="Z273" s="3011" t="s">
        <v>9489</v>
      </c>
      <c r="AA273" s="3007" t="s">
        <v>9490</v>
      </c>
      <c r="AB273" s="3007" t="s">
        <v>9491</v>
      </c>
      <c r="AC273" s="3007" t="s">
        <v>9492</v>
      </c>
      <c r="AD273" s="3006" t="s">
        <v>2132</v>
      </c>
      <c r="AF273" s="2730">
        <v>1</v>
      </c>
    </row>
    <row r="274" spans="2:32" ht="30" customHeight="1">
      <c r="B274" s="3008"/>
      <c r="C274" s="2964"/>
      <c r="D274" s="2964"/>
      <c r="E274" s="2964"/>
      <c r="F274" s="1"/>
      <c r="G274" s="3008"/>
      <c r="H274" s="2991"/>
      <c r="I274" s="3010"/>
      <c r="J274" s="3010"/>
      <c r="L274" s="2983"/>
      <c r="M274" s="2984"/>
      <c r="N274" s="716"/>
      <c r="O274" s="2975"/>
      <c r="P274" s="2975"/>
      <c r="Q274" s="2840"/>
      <c r="R274" s="2998"/>
      <c r="S274" s="3061"/>
      <c r="T274" s="3004"/>
      <c r="U274" s="3004"/>
      <c r="W274" s="2998">
        <f t="shared" si="42"/>
        <v>9</v>
      </c>
      <c r="X274" s="3006" t="s">
        <v>9493</v>
      </c>
      <c r="Y274" s="3007" t="s">
        <v>9494</v>
      </c>
      <c r="Z274" s="3011" t="s">
        <v>9495</v>
      </c>
      <c r="AA274" s="3007" t="s">
        <v>9496</v>
      </c>
      <c r="AB274" s="3007" t="s">
        <v>9497</v>
      </c>
      <c r="AC274" s="3007" t="s">
        <v>9498</v>
      </c>
      <c r="AD274" s="3006" t="s">
        <v>9493</v>
      </c>
      <c r="AF274" s="2730">
        <v>1</v>
      </c>
    </row>
    <row r="275" spans="2:32" ht="30" customHeight="1">
      <c r="B275" s="3008"/>
      <c r="C275" s="2964"/>
      <c r="D275" s="2964"/>
      <c r="E275" s="2964"/>
      <c r="F275" s="1"/>
      <c r="G275" s="3008"/>
      <c r="H275" s="2991"/>
      <c r="I275" s="3010"/>
      <c r="J275" s="3010"/>
      <c r="L275" s="2983"/>
      <c r="M275" s="2984"/>
      <c r="N275" s="716"/>
      <c r="O275" s="2975"/>
      <c r="P275" s="2975"/>
      <c r="Q275" s="2840"/>
      <c r="R275" s="2998"/>
      <c r="S275" s="3061"/>
      <c r="T275" s="3004"/>
      <c r="U275" s="3004"/>
      <c r="W275" s="2998">
        <f t="shared" si="42"/>
        <v>10</v>
      </c>
      <c r="X275" s="3006" t="s">
        <v>2140</v>
      </c>
      <c r="Y275" s="3007" t="s">
        <v>9499</v>
      </c>
      <c r="Z275" s="3011" t="s">
        <v>9500</v>
      </c>
      <c r="AA275" s="3007" t="s">
        <v>9501</v>
      </c>
      <c r="AB275" s="3007" t="s">
        <v>9502</v>
      </c>
      <c r="AC275" s="3007" t="s">
        <v>9503</v>
      </c>
      <c r="AD275" s="3006" t="s">
        <v>2140</v>
      </c>
      <c r="AF275" s="2730">
        <v>1</v>
      </c>
    </row>
    <row r="276" spans="2:32" ht="30" customHeight="1">
      <c r="B276" s="3008"/>
      <c r="C276" s="2964"/>
      <c r="D276" s="2964"/>
      <c r="E276" s="2964"/>
      <c r="F276" s="1"/>
      <c r="G276" s="3008"/>
      <c r="H276" s="2991"/>
      <c r="I276" s="3010"/>
      <c r="J276" s="3010"/>
      <c r="L276" s="2983"/>
      <c r="M276" s="2984"/>
      <c r="N276" s="716"/>
      <c r="O276" s="2975"/>
      <c r="P276" s="2975"/>
      <c r="Q276" s="2840"/>
      <c r="R276" s="2998"/>
      <c r="S276" s="3061"/>
      <c r="T276" s="3004"/>
      <c r="U276" s="3004"/>
      <c r="W276" s="2998">
        <f t="shared" si="42"/>
        <v>11</v>
      </c>
      <c r="X276" s="3006" t="s">
        <v>2150</v>
      </c>
      <c r="Y276" s="3007" t="s">
        <v>9504</v>
      </c>
      <c r="Z276" s="3011" t="s">
        <v>9505</v>
      </c>
      <c r="AA276" s="3007" t="s">
        <v>9506</v>
      </c>
      <c r="AB276" s="3007" t="s">
        <v>9507</v>
      </c>
      <c r="AC276" s="3007" t="s">
        <v>9508</v>
      </c>
      <c r="AD276" s="3006" t="s">
        <v>2150</v>
      </c>
      <c r="AF276" s="2730">
        <v>1</v>
      </c>
    </row>
    <row r="277" spans="2:32" ht="30" customHeight="1">
      <c r="B277" s="3008"/>
      <c r="C277" s="2964"/>
      <c r="D277" s="2964"/>
      <c r="E277" s="2964"/>
      <c r="F277" s="1"/>
      <c r="G277" s="3008"/>
      <c r="H277" s="2991"/>
      <c r="I277" s="3010"/>
      <c r="J277" s="3010"/>
      <c r="L277" s="2983"/>
      <c r="M277" s="2984"/>
      <c r="N277" s="716"/>
      <c r="O277" s="2975"/>
      <c r="P277" s="2975"/>
      <c r="Q277" s="2840"/>
      <c r="R277" s="2998"/>
      <c r="S277" s="3061"/>
      <c r="T277" s="3004"/>
      <c r="U277" s="3004"/>
      <c r="W277" s="2998">
        <f t="shared" si="42"/>
        <v>12</v>
      </c>
      <c r="X277" s="3006" t="s">
        <v>2157</v>
      </c>
      <c r="Y277" s="3007" t="s">
        <v>9509</v>
      </c>
      <c r="Z277" s="3011" t="s">
        <v>9510</v>
      </c>
      <c r="AA277" s="3007" t="s">
        <v>9511</v>
      </c>
      <c r="AB277" s="3007" t="s">
        <v>9512</v>
      </c>
      <c r="AC277" s="3007" t="s">
        <v>9513</v>
      </c>
      <c r="AD277" s="3006" t="s">
        <v>2157</v>
      </c>
      <c r="AF277" s="2730">
        <v>1</v>
      </c>
    </row>
    <row r="278" spans="2:32" ht="30" customHeight="1">
      <c r="B278" s="3008"/>
      <c r="C278" s="2964"/>
      <c r="D278" s="2964"/>
      <c r="E278" s="2964"/>
      <c r="F278" s="1"/>
      <c r="G278" s="3008"/>
      <c r="H278" s="2991"/>
      <c r="I278" s="3010"/>
      <c r="J278" s="3010"/>
      <c r="L278" s="2983"/>
      <c r="M278" s="2984"/>
      <c r="N278" s="716"/>
      <c r="O278" s="2975"/>
      <c r="P278" s="2975"/>
      <c r="Q278" s="2840"/>
      <c r="R278" s="2998"/>
      <c r="S278" s="3061"/>
      <c r="T278" s="3004"/>
      <c r="U278" s="3004"/>
      <c r="W278" s="2998">
        <f t="shared" si="42"/>
        <v>13</v>
      </c>
      <c r="X278" s="3006" t="s">
        <v>9514</v>
      </c>
      <c r="Y278" s="3007" t="s">
        <v>9515</v>
      </c>
      <c r="Z278" s="3011" t="s">
        <v>9516</v>
      </c>
      <c r="AA278" s="3007" t="s">
        <v>9517</v>
      </c>
      <c r="AB278" s="3007" t="s">
        <v>9518</v>
      </c>
      <c r="AC278" s="3007" t="s">
        <v>9519</v>
      </c>
      <c r="AD278" s="3006" t="s">
        <v>9514</v>
      </c>
      <c r="AF278" s="2730">
        <v>1</v>
      </c>
    </row>
    <row r="279" spans="2:32" ht="30" customHeight="1">
      <c r="B279" s="3008"/>
      <c r="C279" s="2964"/>
      <c r="D279" s="2964"/>
      <c r="E279" s="2964"/>
      <c r="F279" s="1"/>
      <c r="G279" s="3008"/>
      <c r="H279" s="2991"/>
      <c r="I279" s="3010"/>
      <c r="J279" s="3010"/>
      <c r="L279" s="2983"/>
      <c r="M279" s="2984"/>
      <c r="N279" s="716"/>
      <c r="O279" s="2975"/>
      <c r="P279" s="2975"/>
      <c r="Q279" s="2840"/>
      <c r="R279" s="2998"/>
      <c r="S279" s="3061"/>
      <c r="T279" s="3004"/>
      <c r="U279" s="3004"/>
      <c r="W279" s="2998">
        <f t="shared" si="42"/>
        <v>14</v>
      </c>
      <c r="X279" s="3006" t="s">
        <v>2164</v>
      </c>
      <c r="Y279" s="3004" t="s">
        <v>9520</v>
      </c>
      <c r="Z279" s="3004" t="s">
        <v>9521</v>
      </c>
      <c r="AA279" s="3007" t="s">
        <v>9522</v>
      </c>
      <c r="AB279" s="3007" t="s">
        <v>9523</v>
      </c>
      <c r="AC279" s="3007" t="s">
        <v>9524</v>
      </c>
      <c r="AD279" s="3006" t="s">
        <v>2164</v>
      </c>
      <c r="AF279" s="2730">
        <v>1</v>
      </c>
    </row>
    <row r="280" spans="2:32" ht="30" customHeight="1">
      <c r="B280" s="3008"/>
      <c r="C280" s="2964"/>
      <c r="D280" s="2964"/>
      <c r="E280" s="2964"/>
      <c r="F280" s="1"/>
      <c r="G280" s="3008"/>
      <c r="H280" s="2991"/>
      <c r="I280" s="3010"/>
      <c r="J280" s="3010"/>
      <c r="L280" s="2983"/>
      <c r="M280" s="2984"/>
      <c r="N280" s="716"/>
      <c r="O280" s="2975"/>
      <c r="P280" s="2975"/>
      <c r="Q280" s="2840"/>
      <c r="R280" s="2998"/>
      <c r="S280" s="3061"/>
      <c r="T280" s="3004"/>
      <c r="U280" s="3004"/>
      <c r="W280" s="2998">
        <f t="shared" si="42"/>
        <v>15</v>
      </c>
      <c r="X280" s="3006" t="s">
        <v>2173</v>
      </c>
      <c r="Y280" s="3007" t="s">
        <v>9525</v>
      </c>
      <c r="Z280" s="3011" t="s">
        <v>9526</v>
      </c>
      <c r="AA280" s="3007" t="s">
        <v>9527</v>
      </c>
      <c r="AB280" s="3007" t="s">
        <v>9528</v>
      </c>
      <c r="AC280" s="3007" t="s">
        <v>9529</v>
      </c>
      <c r="AD280" s="3006" t="s">
        <v>2173</v>
      </c>
      <c r="AF280" s="2730">
        <v>1</v>
      </c>
    </row>
    <row r="281" spans="2:32" ht="30" customHeight="1">
      <c r="B281" s="3008"/>
      <c r="C281" s="2964"/>
      <c r="D281" s="2964"/>
      <c r="E281" s="2964"/>
      <c r="F281" s="1"/>
      <c r="G281" s="3008"/>
      <c r="H281" s="2991"/>
      <c r="I281" s="3010"/>
      <c r="J281" s="3010"/>
      <c r="L281" s="2983"/>
      <c r="M281" s="2984"/>
      <c r="N281" s="716"/>
      <c r="O281" s="2975"/>
      <c r="P281" s="2975"/>
      <c r="Q281" s="2840"/>
      <c r="R281" s="2998"/>
      <c r="S281" s="3061"/>
      <c r="T281" s="3004"/>
      <c r="U281" s="3004"/>
      <c r="W281" s="2998">
        <f t="shared" si="42"/>
        <v>16</v>
      </c>
      <c r="X281" s="3006" t="s">
        <v>2819</v>
      </c>
      <c r="Y281" s="3007" t="s">
        <v>9530</v>
      </c>
      <c r="Z281" s="3011" t="s">
        <v>9531</v>
      </c>
      <c r="AA281" s="3007" t="s">
        <v>9532</v>
      </c>
      <c r="AB281" s="3007" t="s">
        <v>9533</v>
      </c>
      <c r="AC281" s="3007" t="s">
        <v>9534</v>
      </c>
      <c r="AD281" s="3006" t="s">
        <v>2819</v>
      </c>
      <c r="AF281" s="2730">
        <v>1</v>
      </c>
    </row>
    <row r="282" spans="2:32" ht="30" customHeight="1">
      <c r="B282" s="3008"/>
      <c r="C282" s="2964"/>
      <c r="D282" s="2964"/>
      <c r="E282" s="2964"/>
      <c r="F282" s="1"/>
      <c r="G282" s="3008"/>
      <c r="H282" s="2991"/>
      <c r="I282" s="3010"/>
      <c r="J282" s="3010"/>
      <c r="L282" s="2983"/>
      <c r="M282" s="2984"/>
      <c r="N282" s="716"/>
      <c r="O282" s="2975"/>
      <c r="P282" s="2975"/>
      <c r="Q282" s="2840"/>
      <c r="R282" s="2998"/>
      <c r="S282" s="3061"/>
      <c r="T282" s="3004"/>
      <c r="U282" s="3004"/>
      <c r="W282" s="2998">
        <f t="shared" si="42"/>
        <v>17</v>
      </c>
      <c r="X282" s="3006" t="s">
        <v>9535</v>
      </c>
      <c r="Y282" s="3007" t="s">
        <v>9536</v>
      </c>
      <c r="Z282" s="3011" t="s">
        <v>9537</v>
      </c>
      <c r="AA282" s="3007" t="s">
        <v>9538</v>
      </c>
      <c r="AB282" s="3007" t="s">
        <v>9539</v>
      </c>
      <c r="AC282" s="3007" t="s">
        <v>9540</v>
      </c>
      <c r="AD282" s="3006" t="s">
        <v>9535</v>
      </c>
      <c r="AF282" s="2730">
        <v>1</v>
      </c>
    </row>
    <row r="283" spans="2:32" ht="30" customHeight="1">
      <c r="B283" s="3008"/>
      <c r="C283" s="2964"/>
      <c r="D283" s="2964"/>
      <c r="E283" s="2964"/>
      <c r="F283" s="1"/>
      <c r="G283" s="3008"/>
      <c r="H283" s="2991"/>
      <c r="I283" s="3010"/>
      <c r="J283" s="3010"/>
      <c r="L283" s="2983"/>
      <c r="M283" s="2984"/>
      <c r="N283" s="716"/>
      <c r="O283" s="2975"/>
      <c r="P283" s="2975"/>
      <c r="Q283" s="2840"/>
      <c r="R283" s="2998"/>
      <c r="S283" s="3061"/>
      <c r="T283" s="3004"/>
      <c r="U283" s="3004"/>
      <c r="W283" s="2998">
        <f t="shared" si="42"/>
        <v>18</v>
      </c>
      <c r="X283" s="3006" t="s">
        <v>9541</v>
      </c>
      <c r="Y283" s="3007" t="s">
        <v>9542</v>
      </c>
      <c r="Z283" s="3011" t="s">
        <v>9543</v>
      </c>
      <c r="AA283" s="3007" t="s">
        <v>9544</v>
      </c>
      <c r="AB283" s="3007" t="s">
        <v>9545</v>
      </c>
      <c r="AC283" s="3007" t="s">
        <v>9546</v>
      </c>
      <c r="AD283" s="3006" t="s">
        <v>9541</v>
      </c>
      <c r="AF283" s="2730">
        <v>1</v>
      </c>
    </row>
    <row r="284" spans="2:32" ht="30" customHeight="1">
      <c r="B284" s="3008"/>
      <c r="C284" s="2964"/>
      <c r="D284" s="2964"/>
      <c r="E284" s="2964"/>
      <c r="F284" s="1"/>
      <c r="G284" s="3008"/>
      <c r="H284" s="2991"/>
      <c r="I284" s="3010"/>
      <c r="J284" s="3010"/>
      <c r="L284" s="2983"/>
      <c r="M284" s="2984"/>
      <c r="N284" s="716"/>
      <c r="O284" s="2975"/>
      <c r="P284" s="2975"/>
      <c r="Q284" s="2840"/>
      <c r="R284" s="2998"/>
      <c r="S284" s="3061"/>
      <c r="T284" s="3004"/>
      <c r="U284" s="3004"/>
      <c r="W284" s="2998">
        <f t="shared" si="42"/>
        <v>19</v>
      </c>
      <c r="X284" s="3006" t="s">
        <v>9547</v>
      </c>
      <c r="Y284" s="3007" t="s">
        <v>9548</v>
      </c>
      <c r="Z284" s="3011" t="s">
        <v>9549</v>
      </c>
      <c r="AA284" s="3007" t="s">
        <v>9550</v>
      </c>
      <c r="AB284" s="3007" t="s">
        <v>9551</v>
      </c>
      <c r="AC284" s="3007" t="s">
        <v>9552</v>
      </c>
      <c r="AD284" s="3006" t="s">
        <v>9547</v>
      </c>
      <c r="AF284" s="2730">
        <v>1</v>
      </c>
    </row>
    <row r="285" spans="2:32" ht="30" customHeight="1">
      <c r="B285" s="3008"/>
      <c r="C285" s="2964"/>
      <c r="D285" s="2964"/>
      <c r="E285" s="2964"/>
      <c r="F285" s="1"/>
      <c r="G285" s="3008"/>
      <c r="H285" s="2991"/>
      <c r="I285" s="3010"/>
      <c r="J285" s="3010"/>
      <c r="L285" s="2983"/>
      <c r="M285" s="2984"/>
      <c r="N285" s="716"/>
      <c r="O285" s="2975"/>
      <c r="P285" s="2975"/>
      <c r="Q285" s="2840"/>
      <c r="R285" s="2998"/>
      <c r="S285" s="3061"/>
      <c r="T285" s="3004"/>
      <c r="U285" s="3004"/>
      <c r="W285" s="2998">
        <f t="shared" si="42"/>
        <v>20</v>
      </c>
      <c r="X285" s="3006" t="s">
        <v>2187</v>
      </c>
      <c r="Y285" s="3007" t="s">
        <v>9553</v>
      </c>
      <c r="Z285" s="3011" t="s">
        <v>9554</v>
      </c>
      <c r="AA285" s="3007" t="s">
        <v>9555</v>
      </c>
      <c r="AB285" s="3007" t="s">
        <v>9556</v>
      </c>
      <c r="AC285" s="3007" t="s">
        <v>9557</v>
      </c>
      <c r="AD285" s="3006" t="s">
        <v>2187</v>
      </c>
      <c r="AF285" s="2730">
        <v>1</v>
      </c>
    </row>
    <row r="286" spans="2:32" ht="30" customHeight="1">
      <c r="B286" s="3008"/>
      <c r="C286" s="2964"/>
      <c r="D286" s="2964"/>
      <c r="E286" s="2964"/>
      <c r="F286" s="1"/>
      <c r="G286" s="3008"/>
      <c r="H286" s="2991"/>
      <c r="I286" s="3010"/>
      <c r="J286" s="3010"/>
      <c r="L286" s="2983"/>
      <c r="M286" s="2984"/>
      <c r="N286" s="716"/>
      <c r="O286" s="2975"/>
      <c r="P286" s="2975"/>
      <c r="Q286" s="2840"/>
      <c r="R286" s="2998"/>
      <c r="S286" s="3061"/>
      <c r="T286" s="3004"/>
      <c r="U286" s="3004"/>
      <c r="W286" s="2998">
        <f t="shared" si="42"/>
        <v>21</v>
      </c>
      <c r="X286" s="3006" t="s">
        <v>2195</v>
      </c>
      <c r="Y286" s="3007" t="s">
        <v>9558</v>
      </c>
      <c r="Z286" s="3011" t="s">
        <v>7990</v>
      </c>
      <c r="AA286" s="3007" t="s">
        <v>9559</v>
      </c>
      <c r="AB286" s="3007" t="s">
        <v>9560</v>
      </c>
      <c r="AC286" s="3007" t="s">
        <v>9561</v>
      </c>
      <c r="AD286" s="3006" t="s">
        <v>2195</v>
      </c>
      <c r="AF286" s="2730">
        <v>1</v>
      </c>
    </row>
    <row r="287" spans="2:32" ht="30" customHeight="1">
      <c r="B287" s="3008"/>
      <c r="C287" s="2964"/>
      <c r="D287" s="2964"/>
      <c r="E287" s="2964"/>
      <c r="F287" s="1"/>
      <c r="G287" s="3008"/>
      <c r="H287" s="2991"/>
      <c r="I287" s="3010"/>
      <c r="J287" s="3010"/>
      <c r="L287" s="2983"/>
      <c r="M287" s="2984"/>
      <c r="N287" s="716"/>
      <c r="O287" s="2975"/>
      <c r="P287" s="2975"/>
      <c r="Q287" s="2840"/>
      <c r="R287" s="2998"/>
      <c r="S287" s="3061"/>
      <c r="T287" s="3004"/>
      <c r="U287" s="3004"/>
      <c r="W287" s="2998">
        <f t="shared" si="42"/>
        <v>22</v>
      </c>
      <c r="X287" s="3006" t="s">
        <v>9562</v>
      </c>
      <c r="Y287" s="3007" t="s">
        <v>9563</v>
      </c>
      <c r="Z287" s="3011" t="s">
        <v>9564</v>
      </c>
      <c r="AA287" s="3007" t="s">
        <v>9565</v>
      </c>
      <c r="AB287" s="3007" t="s">
        <v>9566</v>
      </c>
      <c r="AC287" s="3007" t="s">
        <v>9567</v>
      </c>
      <c r="AD287" s="3006" t="s">
        <v>9562</v>
      </c>
      <c r="AF287" s="2730">
        <v>1</v>
      </c>
    </row>
    <row r="288" spans="2:32" ht="30" customHeight="1">
      <c r="B288" s="3008"/>
      <c r="C288" s="2964"/>
      <c r="D288" s="2964"/>
      <c r="E288" s="2964"/>
      <c r="F288" s="1"/>
      <c r="G288" s="3008"/>
      <c r="H288" s="2991"/>
      <c r="I288" s="3010"/>
      <c r="J288" s="3010"/>
      <c r="L288" s="2983"/>
      <c r="M288" s="2984"/>
      <c r="N288" s="716"/>
      <c r="O288" s="2975"/>
      <c r="P288" s="2975"/>
      <c r="Q288" s="2840"/>
      <c r="R288" s="2998"/>
      <c r="S288" s="3061"/>
      <c r="T288" s="3004"/>
      <c r="U288" s="3004"/>
      <c r="W288" s="2998">
        <f t="shared" si="42"/>
        <v>23</v>
      </c>
      <c r="X288" s="3006" t="s">
        <v>9568</v>
      </c>
      <c r="Y288" s="3007" t="s">
        <v>9569</v>
      </c>
      <c r="Z288" s="3011" t="s">
        <v>9570</v>
      </c>
      <c r="AA288" s="3007" t="s">
        <v>9571</v>
      </c>
      <c r="AB288" s="3007" t="s">
        <v>9572</v>
      </c>
      <c r="AC288" s="3007" t="s">
        <v>9573</v>
      </c>
      <c r="AD288" s="3006" t="s">
        <v>9568</v>
      </c>
      <c r="AF288" s="2730">
        <v>1</v>
      </c>
    </row>
    <row r="289" spans="2:32" ht="30" customHeight="1">
      <c r="B289" s="3008"/>
      <c r="C289" s="2964"/>
      <c r="D289" s="2964"/>
      <c r="E289" s="2964"/>
      <c r="F289" s="1"/>
      <c r="G289" s="3008"/>
      <c r="H289" s="2991"/>
      <c r="I289" s="3010"/>
      <c r="J289" s="3010"/>
      <c r="L289" s="2983"/>
      <c r="M289" s="2984"/>
      <c r="N289" s="716"/>
      <c r="O289" s="2975"/>
      <c r="P289" s="2975"/>
      <c r="Q289" s="2840"/>
      <c r="R289" s="2998"/>
      <c r="S289" s="3061"/>
      <c r="T289" s="3004"/>
      <c r="U289" s="3004"/>
      <c r="W289" s="2998">
        <f t="shared" si="42"/>
        <v>24</v>
      </c>
      <c r="X289" s="3006" t="s">
        <v>9574</v>
      </c>
      <c r="Y289" s="3007" t="s">
        <v>9575</v>
      </c>
      <c r="Z289" s="3011" t="s">
        <v>9576</v>
      </c>
      <c r="AA289" s="3007" t="s">
        <v>9577</v>
      </c>
      <c r="AB289" s="3007" t="s">
        <v>9578</v>
      </c>
      <c r="AC289" s="3007" t="s">
        <v>9579</v>
      </c>
      <c r="AD289" s="3006" t="s">
        <v>9574</v>
      </c>
      <c r="AF289" s="2730">
        <v>1</v>
      </c>
    </row>
    <row r="290" spans="2:32" ht="30" customHeight="1">
      <c r="B290" s="3008"/>
      <c r="C290" s="2964"/>
      <c r="D290" s="2964"/>
      <c r="E290" s="2964"/>
      <c r="F290" s="1"/>
      <c r="G290" s="3008"/>
      <c r="H290" s="2991"/>
      <c r="I290" s="3010"/>
      <c r="J290" s="3010"/>
      <c r="L290" s="2983"/>
      <c r="M290" s="2984"/>
      <c r="N290" s="716"/>
      <c r="O290" s="2975"/>
      <c r="P290" s="2975"/>
      <c r="Q290" s="2840"/>
      <c r="R290" s="2998"/>
      <c r="S290" s="3061"/>
      <c r="T290" s="3004"/>
      <c r="U290" s="3004"/>
      <c r="W290" s="2998">
        <f t="shared" si="42"/>
        <v>25</v>
      </c>
      <c r="X290" s="3006" t="s">
        <v>2205</v>
      </c>
      <c r="Y290" s="3007" t="s">
        <v>9580</v>
      </c>
      <c r="Z290" s="3011" t="s">
        <v>9581</v>
      </c>
      <c r="AA290" s="3007" t="s">
        <v>9582</v>
      </c>
      <c r="AB290" s="3007" t="s">
        <v>9583</v>
      </c>
      <c r="AC290" s="3007" t="s">
        <v>9584</v>
      </c>
      <c r="AD290" s="3006" t="s">
        <v>2205</v>
      </c>
      <c r="AF290" s="2730">
        <v>1</v>
      </c>
    </row>
    <row r="291" spans="2:32" ht="30" customHeight="1">
      <c r="B291" s="3008"/>
      <c r="C291" s="2964"/>
      <c r="D291" s="2964"/>
      <c r="E291" s="2964"/>
      <c r="F291" s="1"/>
      <c r="G291" s="3008"/>
      <c r="H291" s="2991"/>
      <c r="I291" s="3010"/>
      <c r="J291" s="3010"/>
      <c r="L291" s="2983"/>
      <c r="M291" s="2984"/>
      <c r="N291" s="716"/>
      <c r="O291" s="2975"/>
      <c r="P291" s="2975"/>
      <c r="Q291" s="2840"/>
      <c r="R291" s="2998"/>
      <c r="S291" s="3061"/>
      <c r="T291" s="3004"/>
      <c r="U291" s="3004"/>
      <c r="W291" s="2998">
        <f t="shared" si="42"/>
        <v>26</v>
      </c>
      <c r="X291" s="3006" t="s">
        <v>2212</v>
      </c>
      <c r="Y291" s="3007" t="s">
        <v>9585</v>
      </c>
      <c r="Z291" s="3011" t="s">
        <v>9586</v>
      </c>
      <c r="AA291" s="3007" t="s">
        <v>9587</v>
      </c>
      <c r="AB291" s="3007" t="s">
        <v>9588</v>
      </c>
      <c r="AC291" s="3007" t="s">
        <v>9589</v>
      </c>
      <c r="AD291" s="3006" t="s">
        <v>2212</v>
      </c>
      <c r="AF291" s="2730">
        <v>1</v>
      </c>
    </row>
    <row r="292" spans="2:32" ht="30" customHeight="1">
      <c r="B292" s="3008"/>
      <c r="C292" s="2964"/>
      <c r="D292" s="2964"/>
      <c r="E292" s="2964"/>
      <c r="F292" s="1"/>
      <c r="G292" s="3008"/>
      <c r="H292" s="2991"/>
      <c r="I292" s="3010"/>
      <c r="J292" s="3010"/>
      <c r="L292" s="2983"/>
      <c r="M292" s="2984"/>
      <c r="N292" s="716"/>
      <c r="O292" s="2975"/>
      <c r="P292" s="2975"/>
      <c r="Q292" s="2840"/>
      <c r="R292" s="2998"/>
      <c r="S292" s="3061"/>
      <c r="T292" s="3004"/>
      <c r="U292" s="3004"/>
      <c r="W292" s="2998">
        <f t="shared" si="42"/>
        <v>27</v>
      </c>
      <c r="X292" s="3006" t="s">
        <v>2218</v>
      </c>
      <c r="Y292" s="3007" t="s">
        <v>9590</v>
      </c>
      <c r="Z292" s="3011" t="s">
        <v>9591</v>
      </c>
      <c r="AA292" s="3007" t="s">
        <v>9592</v>
      </c>
      <c r="AB292" s="3007" t="s">
        <v>9593</v>
      </c>
      <c r="AC292" s="3007" t="s">
        <v>9594</v>
      </c>
      <c r="AD292" s="3006" t="s">
        <v>2218</v>
      </c>
      <c r="AF292" s="2730">
        <v>1</v>
      </c>
    </row>
    <row r="293" spans="2:32" ht="30" customHeight="1">
      <c r="B293" s="3008"/>
      <c r="C293" s="2964"/>
      <c r="D293" s="2964"/>
      <c r="E293" s="2964"/>
      <c r="F293" s="1"/>
      <c r="G293" s="3008"/>
      <c r="H293" s="2991"/>
      <c r="I293" s="3010"/>
      <c r="J293" s="3010"/>
      <c r="L293" s="2983"/>
      <c r="M293" s="2984"/>
      <c r="N293" s="716"/>
      <c r="O293" s="2975"/>
      <c r="P293" s="2975"/>
      <c r="Q293" s="2840"/>
      <c r="R293" s="2998"/>
      <c r="S293" s="3061"/>
      <c r="T293" s="3004"/>
      <c r="U293" s="3004"/>
      <c r="W293" s="2998">
        <f t="shared" si="42"/>
        <v>28</v>
      </c>
      <c r="X293" s="3006" t="s">
        <v>2224</v>
      </c>
      <c r="Y293" s="3007" t="s">
        <v>9595</v>
      </c>
      <c r="Z293" s="3011" t="s">
        <v>8958</v>
      </c>
      <c r="AA293" s="3007" t="s">
        <v>9596</v>
      </c>
      <c r="AB293" s="3007" t="s">
        <v>8960</v>
      </c>
      <c r="AC293" s="3007" t="s">
        <v>8961</v>
      </c>
      <c r="AD293" s="3006" t="s">
        <v>2224</v>
      </c>
      <c r="AF293" s="2730">
        <v>1</v>
      </c>
    </row>
    <row r="294" spans="2:32" ht="30" customHeight="1">
      <c r="B294" s="3008"/>
      <c r="C294" s="2964"/>
      <c r="D294" s="2964"/>
      <c r="E294" s="2964"/>
      <c r="F294" s="1"/>
      <c r="G294" s="3008"/>
      <c r="H294" s="2991"/>
      <c r="I294" s="3010"/>
      <c r="J294" s="3010"/>
      <c r="L294" s="2983"/>
      <c r="M294" s="2984"/>
      <c r="N294" s="716"/>
      <c r="O294" s="2975"/>
      <c r="P294" s="2975"/>
      <c r="Q294" s="2840"/>
      <c r="R294" s="2998"/>
      <c r="S294" s="3061"/>
      <c r="T294" s="3004"/>
      <c r="U294" s="3004"/>
      <c r="W294" s="2998">
        <f t="shared" si="42"/>
        <v>29</v>
      </c>
      <c r="X294" s="3006" t="s">
        <v>2228</v>
      </c>
      <c r="Y294" s="3007" t="s">
        <v>9597</v>
      </c>
      <c r="Z294" s="3011" t="s">
        <v>9598</v>
      </c>
      <c r="AA294" s="3007" t="s">
        <v>9599</v>
      </c>
      <c r="AB294" s="3007" t="s">
        <v>9600</v>
      </c>
      <c r="AC294" s="3007" t="s">
        <v>9601</v>
      </c>
      <c r="AD294" s="3006" t="s">
        <v>2228</v>
      </c>
      <c r="AF294" s="2730">
        <v>1</v>
      </c>
    </row>
    <row r="295" spans="2:32" ht="30" customHeight="1">
      <c r="B295" s="3008"/>
      <c r="C295" s="2964"/>
      <c r="D295" s="2964"/>
      <c r="E295" s="2964"/>
      <c r="F295" s="1"/>
      <c r="G295" s="3008"/>
      <c r="H295" s="2991"/>
      <c r="I295" s="3010"/>
      <c r="J295" s="3010"/>
      <c r="L295" s="2983"/>
      <c r="M295" s="2984"/>
      <c r="N295" s="716"/>
      <c r="O295" s="2975"/>
      <c r="P295" s="2975"/>
      <c r="Q295" s="2840"/>
      <c r="R295" s="2998"/>
      <c r="S295" s="3061"/>
      <c r="T295" s="3004"/>
      <c r="U295" s="3004"/>
      <c r="W295" s="2998">
        <f t="shared" si="42"/>
        <v>30</v>
      </c>
      <c r="X295" s="3006" t="s">
        <v>9602</v>
      </c>
      <c r="Y295" s="3004" t="s">
        <v>9603</v>
      </c>
      <c r="Z295" s="3004" t="s">
        <v>9604</v>
      </c>
      <c r="AA295" s="3007" t="s">
        <v>9605</v>
      </c>
      <c r="AB295" s="3007" t="s">
        <v>9606</v>
      </c>
      <c r="AC295" s="3007" t="s">
        <v>9607</v>
      </c>
      <c r="AD295" s="3006" t="s">
        <v>9602</v>
      </c>
      <c r="AF295" s="2730">
        <v>1</v>
      </c>
    </row>
    <row r="296" spans="2:32" ht="30" customHeight="1">
      <c r="B296" s="3008"/>
      <c r="C296" s="2964"/>
      <c r="D296" s="2964"/>
      <c r="E296" s="2964"/>
      <c r="F296" s="1"/>
      <c r="G296" s="3008"/>
      <c r="H296" s="2991"/>
      <c r="I296" s="3010"/>
      <c r="J296" s="3010"/>
      <c r="L296" s="2983"/>
      <c r="M296" s="2984"/>
      <c r="N296" s="716"/>
      <c r="O296" s="2975"/>
      <c r="P296" s="2975"/>
      <c r="Q296" s="2840"/>
      <c r="R296" s="2998"/>
      <c r="S296" s="3061"/>
      <c r="T296" s="3004"/>
      <c r="U296" s="3004"/>
      <c r="W296" s="2998">
        <f t="shared" si="42"/>
        <v>31</v>
      </c>
      <c r="X296" s="3006" t="s">
        <v>2232</v>
      </c>
      <c r="Y296" s="3007" t="s">
        <v>9608</v>
      </c>
      <c r="Z296" s="3011" t="s">
        <v>9609</v>
      </c>
      <c r="AA296" s="3007" t="s">
        <v>9610</v>
      </c>
      <c r="AB296" s="3007" t="s">
        <v>9611</v>
      </c>
      <c r="AC296" s="3007" t="s">
        <v>9612</v>
      </c>
      <c r="AD296" s="3006" t="s">
        <v>2232</v>
      </c>
      <c r="AF296" s="2730">
        <v>1</v>
      </c>
    </row>
    <row r="297" spans="2:32" ht="30" customHeight="1">
      <c r="B297" s="3008"/>
      <c r="C297" s="3013"/>
      <c r="D297" s="3004"/>
      <c r="E297" s="3004"/>
      <c r="F297" s="1"/>
      <c r="G297" s="3008"/>
      <c r="H297" s="2991"/>
      <c r="I297" s="3010"/>
      <c r="J297" s="3010"/>
      <c r="L297" s="2983"/>
      <c r="M297" s="2984"/>
      <c r="N297" s="716"/>
      <c r="O297" s="2975"/>
      <c r="P297" s="2975"/>
      <c r="Q297" s="2840"/>
      <c r="R297" s="2998"/>
      <c r="S297" s="3061"/>
      <c r="T297" s="3004"/>
      <c r="U297" s="3004"/>
      <c r="W297" s="2998">
        <f t="shared" si="42"/>
        <v>32</v>
      </c>
      <c r="X297" s="3006" t="s">
        <v>9613</v>
      </c>
      <c r="Y297" s="3007" t="s">
        <v>9614</v>
      </c>
      <c r="Z297" s="3011" t="s">
        <v>9615</v>
      </c>
      <c r="AA297" s="3007" t="s">
        <v>9616</v>
      </c>
      <c r="AB297" s="3007" t="s">
        <v>9617</v>
      </c>
      <c r="AC297" s="3007" t="s">
        <v>9618</v>
      </c>
      <c r="AD297" s="3006" t="s">
        <v>9613</v>
      </c>
      <c r="AF297" s="2730">
        <v>1</v>
      </c>
    </row>
    <row r="298" spans="2:32" ht="30" customHeight="1">
      <c r="B298" s="3008"/>
      <c r="C298" s="3013"/>
      <c r="D298" s="3004"/>
      <c r="E298" s="3004"/>
      <c r="F298" s="1"/>
      <c r="G298" s="3008"/>
      <c r="H298" s="2991"/>
      <c r="I298" s="3010"/>
      <c r="J298" s="3010"/>
      <c r="L298" s="2983"/>
      <c r="M298" s="2984"/>
      <c r="N298" s="716"/>
      <c r="O298" s="2975"/>
      <c r="P298" s="2975"/>
      <c r="Q298" s="2840"/>
      <c r="R298" s="2998"/>
      <c r="S298" s="3061"/>
      <c r="T298" s="3004"/>
      <c r="U298" s="3004"/>
      <c r="W298" s="2998">
        <f t="shared" si="42"/>
        <v>33</v>
      </c>
      <c r="X298" s="3006" t="s">
        <v>2836</v>
      </c>
      <c r="Y298" s="3007" t="s">
        <v>9619</v>
      </c>
      <c r="Z298" s="3011" t="s">
        <v>9620</v>
      </c>
      <c r="AA298" s="3007" t="s">
        <v>9621</v>
      </c>
      <c r="AB298" s="3007" t="s">
        <v>9622</v>
      </c>
      <c r="AC298" s="3007" t="s">
        <v>9623</v>
      </c>
      <c r="AD298" s="3006" t="s">
        <v>2836</v>
      </c>
      <c r="AF298" s="2730">
        <v>1</v>
      </c>
    </row>
    <row r="299" spans="2:32" ht="30" customHeight="1">
      <c r="B299" s="3008"/>
      <c r="C299" s="3013"/>
      <c r="D299" s="3004"/>
      <c r="E299" s="3004"/>
      <c r="F299" s="1"/>
      <c r="G299" s="3008"/>
      <c r="H299" s="2991"/>
      <c r="I299" s="3010"/>
      <c r="J299" s="3010"/>
      <c r="L299" s="2983"/>
      <c r="M299" s="2984"/>
      <c r="N299" s="716"/>
      <c r="O299" s="2975"/>
      <c r="P299" s="2975"/>
      <c r="Q299" s="2840"/>
      <c r="R299" s="2998"/>
      <c r="S299" s="3061"/>
      <c r="T299" s="3004"/>
      <c r="U299" s="3004"/>
      <c r="W299" s="2998">
        <f t="shared" si="42"/>
        <v>34</v>
      </c>
      <c r="X299" s="3006" t="s">
        <v>2244</v>
      </c>
      <c r="Y299" s="3007" t="s">
        <v>9624</v>
      </c>
      <c r="Z299" s="3011" t="s">
        <v>9625</v>
      </c>
      <c r="AA299" s="3007" t="s">
        <v>9626</v>
      </c>
      <c r="AB299" s="3007" t="s">
        <v>9627</v>
      </c>
      <c r="AC299" s="3007" t="s">
        <v>9628</v>
      </c>
      <c r="AD299" s="3006" t="s">
        <v>2244</v>
      </c>
      <c r="AF299" s="2730">
        <v>1</v>
      </c>
    </row>
    <row r="300" spans="2:32" ht="30" customHeight="1">
      <c r="B300" s="3008"/>
      <c r="C300" s="3013"/>
      <c r="D300" s="3004"/>
      <c r="E300" s="3004"/>
      <c r="F300" s="1"/>
      <c r="G300" s="3008"/>
      <c r="H300" s="2991"/>
      <c r="I300" s="3010"/>
      <c r="J300" s="3010"/>
      <c r="L300" s="2983"/>
      <c r="M300" s="2984"/>
      <c r="N300" s="716"/>
      <c r="O300" s="2975"/>
      <c r="P300" s="2975"/>
      <c r="Q300" s="2840"/>
      <c r="R300" s="2998"/>
      <c r="S300" s="3061"/>
      <c r="T300" s="3004"/>
      <c r="U300" s="3004"/>
      <c r="W300" s="2998"/>
      <c r="X300" s="3091" t="s">
        <v>575</v>
      </c>
      <c r="Y300" s="2988"/>
      <c r="Z300" s="2988"/>
      <c r="AA300" s="2988"/>
      <c r="AB300" s="2988"/>
      <c r="AC300" s="2988"/>
      <c r="AD300" s="3091" t="s">
        <v>575</v>
      </c>
      <c r="AF300" s="2730">
        <v>1</v>
      </c>
    </row>
    <row r="301" spans="2:32" ht="30" customHeight="1">
      <c r="B301" s="3008"/>
      <c r="C301" s="3013"/>
      <c r="D301" s="3004"/>
      <c r="E301" s="3004"/>
      <c r="F301" s="1"/>
      <c r="G301" s="3008"/>
      <c r="H301" s="2991"/>
      <c r="I301" s="3010"/>
      <c r="J301" s="3010"/>
      <c r="L301" s="2983"/>
      <c r="M301" s="2984"/>
      <c r="N301" s="716"/>
      <c r="O301" s="2975"/>
      <c r="P301" s="2975"/>
      <c r="Q301" s="2840"/>
      <c r="R301" s="2998"/>
      <c r="S301" s="3061"/>
      <c r="T301" s="3004"/>
      <c r="U301" s="3004"/>
      <c r="W301" s="2998">
        <v>1</v>
      </c>
      <c r="X301" s="3006" t="s">
        <v>9629</v>
      </c>
      <c r="Y301" s="3007" t="s">
        <v>9630</v>
      </c>
      <c r="Z301" s="3011" t="s">
        <v>9631</v>
      </c>
      <c r="AA301" s="3007" t="s">
        <v>9632</v>
      </c>
      <c r="AB301" s="3007" t="s">
        <v>9633</v>
      </c>
      <c r="AC301" s="3007" t="s">
        <v>9634</v>
      </c>
      <c r="AD301" s="3006" t="s">
        <v>9629</v>
      </c>
      <c r="AF301" s="2730">
        <v>1</v>
      </c>
    </row>
    <row r="302" spans="2:32" ht="30" customHeight="1">
      <c r="B302" s="3008"/>
      <c r="C302" s="3013"/>
      <c r="D302" s="3004"/>
      <c r="E302" s="3004"/>
      <c r="F302" s="1"/>
      <c r="G302" s="3008"/>
      <c r="H302" s="2991"/>
      <c r="I302" s="3010"/>
      <c r="J302" s="3010"/>
      <c r="L302" s="2983"/>
      <c r="M302" s="2984"/>
      <c r="N302" s="716"/>
      <c r="O302" s="2975"/>
      <c r="P302" s="2975"/>
      <c r="Q302" s="2840"/>
      <c r="R302" s="2998"/>
      <c r="S302" s="3061"/>
      <c r="T302" s="3004"/>
      <c r="U302" s="3004"/>
      <c r="W302" s="2998">
        <f>W301+1</f>
        <v>2</v>
      </c>
      <c r="X302" s="3006" t="s">
        <v>2256</v>
      </c>
      <c r="Y302" s="3007" t="s">
        <v>9635</v>
      </c>
      <c r="Z302" s="3011" t="s">
        <v>9636</v>
      </c>
      <c r="AA302" s="3007" t="s">
        <v>9637</v>
      </c>
      <c r="AB302" s="3007" t="s">
        <v>9638</v>
      </c>
      <c r="AC302" s="3007" t="s">
        <v>9639</v>
      </c>
      <c r="AD302" s="3006" t="s">
        <v>2256</v>
      </c>
      <c r="AF302" s="2730">
        <v>1</v>
      </c>
    </row>
    <row r="303" spans="2:32" ht="30" customHeight="1">
      <c r="B303" s="3008"/>
      <c r="C303" s="3013"/>
      <c r="D303" s="3004"/>
      <c r="E303" s="3004"/>
      <c r="F303" s="1"/>
      <c r="G303" s="3008"/>
      <c r="H303" s="2991"/>
      <c r="I303" s="3010"/>
      <c r="J303" s="3010"/>
      <c r="L303" s="2983"/>
      <c r="M303" s="2984"/>
      <c r="N303" s="716"/>
      <c r="O303" s="2975"/>
      <c r="P303" s="2975"/>
      <c r="Q303" s="2840"/>
      <c r="R303" s="2998"/>
      <c r="S303" s="3061"/>
      <c r="T303" s="3004"/>
      <c r="U303" s="3004"/>
      <c r="W303" s="2998">
        <v>2</v>
      </c>
      <c r="X303" s="3006" t="s">
        <v>2829</v>
      </c>
      <c r="Y303" s="3007" t="s">
        <v>9640</v>
      </c>
      <c r="Z303" s="3011" t="s">
        <v>9641</v>
      </c>
      <c r="AA303" s="3007" t="s">
        <v>9642</v>
      </c>
      <c r="AB303" s="3007" t="s">
        <v>9643</v>
      </c>
      <c r="AC303" s="3007" t="s">
        <v>9644</v>
      </c>
      <c r="AD303" s="3006" t="s">
        <v>2829</v>
      </c>
      <c r="AF303" s="2730">
        <v>1</v>
      </c>
    </row>
    <row r="304" spans="2:32" ht="30" customHeight="1">
      <c r="B304" s="3008"/>
      <c r="C304" s="3013"/>
      <c r="D304" s="3004"/>
      <c r="E304" s="3004"/>
      <c r="F304" s="1"/>
      <c r="G304" s="3008"/>
      <c r="H304" s="2991"/>
      <c r="I304" s="3010"/>
      <c r="J304" s="3010"/>
      <c r="L304" s="2983"/>
      <c r="M304" s="2984"/>
      <c r="N304" s="716"/>
      <c r="O304" s="2975"/>
      <c r="P304" s="2975"/>
      <c r="Q304" s="2840"/>
      <c r="R304" s="2998"/>
      <c r="S304" s="3061"/>
      <c r="T304" s="3004"/>
      <c r="U304" s="3004"/>
      <c r="W304" s="2998"/>
      <c r="X304" s="3091" t="s">
        <v>583</v>
      </c>
      <c r="Y304" s="2988"/>
      <c r="Z304" s="2988"/>
      <c r="AA304" s="2988"/>
      <c r="AB304" s="2988"/>
      <c r="AC304" s="2988"/>
      <c r="AD304" s="3091" t="s">
        <v>583</v>
      </c>
      <c r="AF304" s="2730">
        <v>1</v>
      </c>
    </row>
    <row r="305" spans="2:32" ht="30" customHeight="1">
      <c r="B305" s="3008"/>
      <c r="C305" s="3013"/>
      <c r="D305" s="3004"/>
      <c r="E305" s="3004"/>
      <c r="F305" s="1"/>
      <c r="G305" s="3008"/>
      <c r="H305" s="2991"/>
      <c r="I305" s="3010"/>
      <c r="J305" s="3010"/>
      <c r="L305" s="2983"/>
      <c r="M305" s="2984"/>
      <c r="N305" s="716"/>
      <c r="O305" s="2975"/>
      <c r="P305" s="2975"/>
      <c r="Q305" s="2840"/>
      <c r="R305" s="2998"/>
      <c r="S305" s="3061"/>
      <c r="T305" s="3004"/>
      <c r="U305" s="3004"/>
      <c r="W305" s="2998">
        <v>1</v>
      </c>
      <c r="X305" s="3006" t="s">
        <v>9645</v>
      </c>
      <c r="Y305" s="3011" t="s">
        <v>9646</v>
      </c>
      <c r="Z305" s="3011" t="s">
        <v>9647</v>
      </c>
      <c r="AA305" s="3007" t="s">
        <v>9648</v>
      </c>
      <c r="AB305" s="3007" t="s">
        <v>9649</v>
      </c>
      <c r="AC305" s="3007" t="s">
        <v>9650</v>
      </c>
      <c r="AD305" s="3006" t="s">
        <v>9645</v>
      </c>
      <c r="AF305" s="2730">
        <v>1</v>
      </c>
    </row>
    <row r="306" spans="2:32" ht="30" customHeight="1">
      <c r="B306" s="3008"/>
      <c r="C306" s="3013"/>
      <c r="D306" s="3004"/>
      <c r="E306" s="3004"/>
      <c r="F306" s="1"/>
      <c r="G306" s="3008"/>
      <c r="H306" s="2991"/>
      <c r="I306" s="3010"/>
      <c r="J306" s="3010"/>
      <c r="L306" s="2983"/>
      <c r="M306" s="2984"/>
      <c r="N306" s="716"/>
      <c r="O306" s="2975"/>
      <c r="P306" s="2975"/>
      <c r="Q306" s="2840"/>
      <c r="R306" s="2998"/>
      <c r="S306" s="3061"/>
      <c r="T306" s="3004"/>
      <c r="U306" s="3004"/>
      <c r="W306" s="2998"/>
      <c r="X306" s="3091" t="s">
        <v>620</v>
      </c>
      <c r="Y306" s="3059"/>
      <c r="Z306" s="2988"/>
      <c r="AA306" s="3059"/>
      <c r="AB306" s="2988"/>
      <c r="AC306" s="2988"/>
      <c r="AD306" s="3091" t="s">
        <v>620</v>
      </c>
      <c r="AF306" s="2730">
        <v>1</v>
      </c>
    </row>
    <row r="307" spans="2:32" ht="30" customHeight="1">
      <c r="B307" s="3008"/>
      <c r="C307" s="3013"/>
      <c r="D307" s="3004"/>
      <c r="E307" s="3004"/>
      <c r="F307" s="1"/>
      <c r="G307" s="3008"/>
      <c r="H307" s="2991"/>
      <c r="I307" s="3010"/>
      <c r="J307" s="3010"/>
      <c r="L307" s="2983"/>
      <c r="M307" s="2984"/>
      <c r="N307" s="716"/>
      <c r="O307" s="2975"/>
      <c r="P307" s="2975"/>
      <c r="Q307" s="2840"/>
      <c r="R307" s="2998"/>
      <c r="S307" s="3061"/>
      <c r="T307" s="3004"/>
      <c r="U307" s="3004"/>
      <c r="W307" s="2998">
        <v>1</v>
      </c>
      <c r="X307" s="3006" t="s">
        <v>2270</v>
      </c>
      <c r="Y307" s="3007" t="s">
        <v>9651</v>
      </c>
      <c r="Z307" s="3011" t="s">
        <v>9652</v>
      </c>
      <c r="AA307" s="3007" t="s">
        <v>9653</v>
      </c>
      <c r="AB307" s="3007" t="s">
        <v>9654</v>
      </c>
      <c r="AC307" s="3007" t="s">
        <v>9655</v>
      </c>
      <c r="AD307" s="3006" t="s">
        <v>2270</v>
      </c>
      <c r="AF307" s="2730">
        <v>1</v>
      </c>
    </row>
    <row r="308" spans="2:32" ht="30" customHeight="1">
      <c r="B308" s="3008"/>
      <c r="C308" s="3013"/>
      <c r="D308" s="3004"/>
      <c r="E308" s="3004"/>
      <c r="F308" s="1"/>
      <c r="G308" s="3008"/>
      <c r="H308" s="2991"/>
      <c r="I308" s="3010"/>
      <c r="J308" s="3010"/>
      <c r="L308" s="2983"/>
      <c r="M308" s="2984"/>
      <c r="N308" s="716"/>
      <c r="O308" s="2975"/>
      <c r="P308" s="2975"/>
      <c r="Q308" s="2840"/>
      <c r="R308" s="2998"/>
      <c r="S308" s="3061"/>
      <c r="T308" s="3004"/>
      <c r="U308" s="3004"/>
      <c r="W308" s="2998">
        <f>W307+1</f>
        <v>2</v>
      </c>
      <c r="X308" s="3006" t="s">
        <v>2267</v>
      </c>
      <c r="Y308" s="3007" t="s">
        <v>9656</v>
      </c>
      <c r="Z308" s="3011" t="s">
        <v>9657</v>
      </c>
      <c r="AA308" s="3007" t="s">
        <v>9658</v>
      </c>
      <c r="AB308" s="3007" t="s">
        <v>9659</v>
      </c>
      <c r="AC308" s="3007" t="s">
        <v>9660</v>
      </c>
      <c r="AD308" s="3006" t="s">
        <v>2267</v>
      </c>
      <c r="AF308" s="2730">
        <v>1</v>
      </c>
    </row>
    <row r="309" spans="2:32" ht="30" customHeight="1">
      <c r="B309" s="3008"/>
      <c r="C309" s="3013"/>
      <c r="D309" s="3004"/>
      <c r="E309" s="3004"/>
      <c r="F309" s="1"/>
      <c r="G309" s="3008"/>
      <c r="H309" s="2991"/>
      <c r="I309" s="3010"/>
      <c r="J309" s="3010"/>
      <c r="L309" s="2983"/>
      <c r="M309" s="2984"/>
      <c r="N309" s="716"/>
      <c r="O309" s="2975"/>
      <c r="P309" s="2975"/>
      <c r="Q309" s="2840"/>
      <c r="R309" s="2998"/>
      <c r="S309" s="3061"/>
      <c r="T309" s="3004"/>
      <c r="U309" s="3004"/>
      <c r="W309" s="2998">
        <f t="shared" ref="W309:W342" si="43">W308+1</f>
        <v>3</v>
      </c>
      <c r="X309" s="3006" t="s">
        <v>2274</v>
      </c>
      <c r="Y309" s="3007" t="s">
        <v>9661</v>
      </c>
      <c r="Z309" s="3011" t="s">
        <v>9662</v>
      </c>
      <c r="AA309" s="3007" t="s">
        <v>9663</v>
      </c>
      <c r="AB309" s="3007" t="s">
        <v>9664</v>
      </c>
      <c r="AC309" s="3007" t="s">
        <v>9665</v>
      </c>
      <c r="AD309" s="3006" t="s">
        <v>2274</v>
      </c>
      <c r="AF309" s="2730">
        <v>1</v>
      </c>
    </row>
    <row r="310" spans="2:32" ht="30" customHeight="1">
      <c r="B310" s="3008"/>
      <c r="C310" s="3013"/>
      <c r="D310" s="3004"/>
      <c r="E310" s="3004"/>
      <c r="F310" s="1"/>
      <c r="G310" s="3008"/>
      <c r="H310" s="2991"/>
      <c r="I310" s="3010"/>
      <c r="J310" s="3010"/>
      <c r="L310" s="2983"/>
      <c r="M310" s="2984"/>
      <c r="N310" s="716"/>
      <c r="O310" s="2975"/>
      <c r="P310" s="2975"/>
      <c r="Q310" s="2840"/>
      <c r="R310" s="2998"/>
      <c r="S310" s="3061"/>
      <c r="T310" s="3004"/>
      <c r="U310" s="3004"/>
      <c r="W310" s="2998">
        <f t="shared" si="43"/>
        <v>4</v>
      </c>
      <c r="X310" s="3006" t="s">
        <v>9666</v>
      </c>
      <c r="Y310" s="3007" t="s">
        <v>9667</v>
      </c>
      <c r="Z310" s="3011" t="s">
        <v>9668</v>
      </c>
      <c r="AA310" s="3007" t="s">
        <v>9669</v>
      </c>
      <c r="AB310" s="3007" t="s">
        <v>9670</v>
      </c>
      <c r="AC310" s="3007" t="s">
        <v>9671</v>
      </c>
      <c r="AD310" s="3006" t="s">
        <v>9666</v>
      </c>
      <c r="AF310" s="2730">
        <v>1</v>
      </c>
    </row>
    <row r="311" spans="2:32" ht="30" customHeight="1">
      <c r="B311" s="3008"/>
      <c r="C311" s="3013"/>
      <c r="D311" s="3004"/>
      <c r="E311" s="3004"/>
      <c r="F311" s="1"/>
      <c r="G311" s="3008"/>
      <c r="H311" s="2991"/>
      <c r="I311" s="3010"/>
      <c r="J311" s="3010"/>
      <c r="L311" s="2983"/>
      <c r="M311" s="2984"/>
      <c r="N311" s="716"/>
      <c r="O311" s="2975"/>
      <c r="P311" s="2975"/>
      <c r="Q311" s="2840"/>
      <c r="R311" s="2998"/>
      <c r="S311" s="3061"/>
      <c r="T311" s="3004"/>
      <c r="U311" s="3004"/>
      <c r="W311" s="2998">
        <f t="shared" si="43"/>
        <v>5</v>
      </c>
      <c r="X311" s="3006" t="s">
        <v>2280</v>
      </c>
      <c r="Y311" s="3007" t="s">
        <v>9672</v>
      </c>
      <c r="Z311" s="3011" t="s">
        <v>9673</v>
      </c>
      <c r="AA311" s="3007" t="s">
        <v>9674</v>
      </c>
      <c r="AB311" s="3007" t="s">
        <v>9675</v>
      </c>
      <c r="AC311" s="3007" t="s">
        <v>9676</v>
      </c>
      <c r="AD311" s="3006" t="s">
        <v>2280</v>
      </c>
      <c r="AF311" s="2730">
        <v>1</v>
      </c>
    </row>
    <row r="312" spans="2:32" ht="30" customHeight="1">
      <c r="B312" s="3008"/>
      <c r="C312" s="3013"/>
      <c r="D312" s="3004"/>
      <c r="E312" s="3004"/>
      <c r="F312" s="1"/>
      <c r="G312" s="3008"/>
      <c r="H312" s="2991"/>
      <c r="I312" s="3010"/>
      <c r="J312" s="3010"/>
      <c r="L312" s="2983"/>
      <c r="M312" s="2984"/>
      <c r="N312" s="716"/>
      <c r="O312" s="2975"/>
      <c r="P312" s="2975"/>
      <c r="Q312" s="2840"/>
      <c r="R312" s="2998"/>
      <c r="S312" s="3061"/>
      <c r="T312" s="3004"/>
      <c r="U312" s="3004"/>
      <c r="W312" s="2998">
        <f t="shared" si="43"/>
        <v>6</v>
      </c>
      <c r="X312" s="3006" t="s">
        <v>2056</v>
      </c>
      <c r="Y312" s="3007" t="s">
        <v>9677</v>
      </c>
      <c r="Z312" s="3011" t="s">
        <v>9678</v>
      </c>
      <c r="AA312" s="3007" t="s">
        <v>9679</v>
      </c>
      <c r="AB312" s="3007" t="s">
        <v>9680</v>
      </c>
      <c r="AC312" s="3007" t="s">
        <v>9681</v>
      </c>
      <c r="AD312" s="3006" t="s">
        <v>2056</v>
      </c>
      <c r="AF312" s="2730">
        <v>1</v>
      </c>
    </row>
    <row r="313" spans="2:32" ht="30" customHeight="1">
      <c r="B313" s="3008"/>
      <c r="C313" s="3013"/>
      <c r="D313" s="3004"/>
      <c r="E313" s="3004"/>
      <c r="F313" s="1"/>
      <c r="G313" s="3008"/>
      <c r="H313" s="2991"/>
      <c r="I313" s="3010"/>
      <c r="J313" s="3010"/>
      <c r="L313" s="2983"/>
      <c r="M313" s="2984"/>
      <c r="N313" s="716"/>
      <c r="O313" s="2975"/>
      <c r="P313" s="2975"/>
      <c r="Q313" s="2840"/>
      <c r="R313" s="2998"/>
      <c r="S313" s="3061"/>
      <c r="T313" s="3004"/>
      <c r="U313" s="3004"/>
      <c r="W313" s="2998">
        <f t="shared" si="43"/>
        <v>7</v>
      </c>
      <c r="X313" s="3006" t="s">
        <v>2067</v>
      </c>
      <c r="Y313" s="3007" t="s">
        <v>9682</v>
      </c>
      <c r="Z313" s="3011" t="s">
        <v>9683</v>
      </c>
      <c r="AA313" s="3007" t="s">
        <v>9684</v>
      </c>
      <c r="AB313" s="3007" t="s">
        <v>9685</v>
      </c>
      <c r="AC313" s="3007" t="s">
        <v>9686</v>
      </c>
      <c r="AD313" s="3006" t="s">
        <v>2067</v>
      </c>
      <c r="AF313" s="2730">
        <v>1</v>
      </c>
    </row>
    <row r="314" spans="2:32" ht="30" customHeight="1">
      <c r="B314" s="3008"/>
      <c r="C314" s="3013"/>
      <c r="D314" s="3004"/>
      <c r="E314" s="3004"/>
      <c r="F314" s="1"/>
      <c r="G314" s="3008"/>
      <c r="H314" s="2991"/>
      <c r="I314" s="3010"/>
      <c r="J314" s="3010"/>
      <c r="L314" s="2983"/>
      <c r="M314" s="2984"/>
      <c r="N314" s="716"/>
      <c r="O314" s="2975"/>
      <c r="P314" s="2975"/>
      <c r="Q314" s="2840"/>
      <c r="R314" s="2998"/>
      <c r="S314" s="3061"/>
      <c r="T314" s="3004"/>
      <c r="U314" s="3004"/>
      <c r="W314" s="2998">
        <f t="shared" si="43"/>
        <v>8</v>
      </c>
      <c r="X314" s="3006" t="s">
        <v>9687</v>
      </c>
      <c r="Y314" s="3007" t="s">
        <v>9688</v>
      </c>
      <c r="Z314" s="3011" t="s">
        <v>9689</v>
      </c>
      <c r="AA314" s="3007" t="s">
        <v>9690</v>
      </c>
      <c r="AB314" s="3007" t="s">
        <v>9691</v>
      </c>
      <c r="AC314" s="3007" t="s">
        <v>9692</v>
      </c>
      <c r="AD314" s="3006" t="s">
        <v>9687</v>
      </c>
      <c r="AF314" s="2730">
        <v>1</v>
      </c>
    </row>
    <row r="315" spans="2:32" ht="30" customHeight="1">
      <c r="B315" s="3008"/>
      <c r="C315" s="3013"/>
      <c r="D315" s="3004"/>
      <c r="E315" s="3004"/>
      <c r="F315" s="1"/>
      <c r="G315" s="3008"/>
      <c r="H315" s="2991"/>
      <c r="I315" s="3010"/>
      <c r="J315" s="3010"/>
      <c r="L315" s="2983"/>
      <c r="M315" s="2984"/>
      <c r="N315" s="716"/>
      <c r="O315" s="2975"/>
      <c r="P315" s="2975"/>
      <c r="Q315" s="2840"/>
      <c r="R315" s="2998"/>
      <c r="S315" s="3061"/>
      <c r="T315" s="3004"/>
      <c r="U315" s="3004"/>
      <c r="W315" s="2998">
        <f t="shared" si="43"/>
        <v>9</v>
      </c>
      <c r="X315" s="3006" t="s">
        <v>9693</v>
      </c>
      <c r="Y315" s="3007" t="s">
        <v>9694</v>
      </c>
      <c r="Z315" s="3011" t="s">
        <v>9695</v>
      </c>
      <c r="AA315" s="3007" t="s">
        <v>9696</v>
      </c>
      <c r="AB315" s="3007" t="s">
        <v>9697</v>
      </c>
      <c r="AC315" s="3007" t="s">
        <v>9698</v>
      </c>
      <c r="AD315" s="3006" t="s">
        <v>9693</v>
      </c>
      <c r="AF315" s="2730">
        <v>1</v>
      </c>
    </row>
    <row r="316" spans="2:32" ht="30" customHeight="1">
      <c r="B316" s="3008"/>
      <c r="C316" s="3013"/>
      <c r="D316" s="3004"/>
      <c r="E316" s="3004"/>
      <c r="F316" s="1"/>
      <c r="G316" s="3008"/>
      <c r="H316" s="2991"/>
      <c r="I316" s="3010"/>
      <c r="J316" s="3010"/>
      <c r="L316" s="2983"/>
      <c r="M316" s="2984"/>
      <c r="N316" s="716"/>
      <c r="O316" s="2975"/>
      <c r="P316" s="2975"/>
      <c r="Q316" s="2840"/>
      <c r="R316" s="2998"/>
      <c r="S316" s="3061"/>
      <c r="T316" s="3004"/>
      <c r="U316" s="3004"/>
      <c r="W316" s="2998">
        <f t="shared" si="43"/>
        <v>10</v>
      </c>
      <c r="X316" s="3006" t="s">
        <v>2276</v>
      </c>
      <c r="Y316" s="3007" t="s">
        <v>9699</v>
      </c>
      <c r="Z316" s="3011" t="s">
        <v>9700</v>
      </c>
      <c r="AA316" s="3007" t="s">
        <v>9701</v>
      </c>
      <c r="AB316" s="3007" t="s">
        <v>9702</v>
      </c>
      <c r="AC316" s="3007" t="s">
        <v>9703</v>
      </c>
      <c r="AD316" s="3006" t="s">
        <v>2276</v>
      </c>
      <c r="AF316" s="2730">
        <v>1</v>
      </c>
    </row>
    <row r="317" spans="2:32" ht="30" customHeight="1">
      <c r="B317" s="3008"/>
      <c r="C317" s="3013"/>
      <c r="D317" s="3004"/>
      <c r="E317" s="3004"/>
      <c r="F317" s="1"/>
      <c r="G317" s="3008"/>
      <c r="H317" s="2991"/>
      <c r="I317" s="3010"/>
      <c r="J317" s="3010"/>
      <c r="L317" s="2983"/>
      <c r="M317" s="2984"/>
      <c r="N317" s="716"/>
      <c r="O317" s="2975"/>
      <c r="P317" s="2975"/>
      <c r="Q317" s="2840"/>
      <c r="R317" s="2998"/>
      <c r="S317" s="3061"/>
      <c r="T317" s="3004"/>
      <c r="U317" s="3004"/>
      <c r="W317" s="2998">
        <f t="shared" si="43"/>
        <v>11</v>
      </c>
      <c r="X317" s="3006" t="s">
        <v>9704</v>
      </c>
      <c r="Y317" s="3004" t="s">
        <v>9705</v>
      </c>
      <c r="Z317" s="3004" t="s">
        <v>9706</v>
      </c>
      <c r="AA317" s="3007" t="s">
        <v>9707</v>
      </c>
      <c r="AB317" s="3007" t="s">
        <v>9708</v>
      </c>
      <c r="AC317" s="3007" t="s">
        <v>9709</v>
      </c>
      <c r="AD317" s="3006" t="s">
        <v>9704</v>
      </c>
      <c r="AF317" s="2730">
        <v>1</v>
      </c>
    </row>
    <row r="318" spans="2:32" ht="30" customHeight="1">
      <c r="B318" s="3008"/>
      <c r="C318" s="3013"/>
      <c r="D318" s="3004"/>
      <c r="E318" s="3004"/>
      <c r="F318" s="1"/>
      <c r="G318" s="3008"/>
      <c r="H318" s="2991"/>
      <c r="I318" s="3010"/>
      <c r="J318" s="3010"/>
      <c r="L318" s="2983"/>
      <c r="M318" s="2984"/>
      <c r="N318" s="716"/>
      <c r="O318" s="2975"/>
      <c r="P318" s="2975"/>
      <c r="Q318" s="2840"/>
      <c r="R318" s="2998"/>
      <c r="S318" s="3061"/>
      <c r="T318" s="3004"/>
      <c r="U318" s="3004"/>
      <c r="W318" s="2998">
        <f t="shared" si="43"/>
        <v>12</v>
      </c>
      <c r="X318" s="3006" t="s">
        <v>2290</v>
      </c>
      <c r="Y318" s="3007" t="s">
        <v>9710</v>
      </c>
      <c r="Z318" s="3011" t="s">
        <v>9711</v>
      </c>
      <c r="AA318" s="3007" t="s">
        <v>9712</v>
      </c>
      <c r="AB318" s="3007" t="s">
        <v>9713</v>
      </c>
      <c r="AC318" s="3007" t="s">
        <v>9714</v>
      </c>
      <c r="AD318" s="3006" t="s">
        <v>2290</v>
      </c>
      <c r="AF318" s="2730">
        <v>1</v>
      </c>
    </row>
    <row r="319" spans="2:32" ht="30" customHeight="1">
      <c r="B319" s="3008"/>
      <c r="C319" s="3013"/>
      <c r="D319" s="3004"/>
      <c r="E319" s="3004"/>
      <c r="F319" s="1"/>
      <c r="G319" s="3008"/>
      <c r="H319" s="2991"/>
      <c r="I319" s="3010"/>
      <c r="J319" s="3010"/>
      <c r="L319" s="2983"/>
      <c r="M319" s="2984"/>
      <c r="N319" s="716"/>
      <c r="O319" s="2975"/>
      <c r="P319" s="2975"/>
      <c r="Q319" s="2840"/>
      <c r="R319" s="2998"/>
      <c r="S319" s="3061"/>
      <c r="T319" s="3004"/>
      <c r="U319" s="3004"/>
      <c r="W319" s="2998">
        <f t="shared" si="43"/>
        <v>13</v>
      </c>
      <c r="X319" s="3006" t="s">
        <v>2079</v>
      </c>
      <c r="Y319" s="3007" t="s">
        <v>9715</v>
      </c>
      <c r="Z319" s="3011" t="s">
        <v>9716</v>
      </c>
      <c r="AA319" s="3007" t="s">
        <v>9717</v>
      </c>
      <c r="AB319" s="3007" t="s">
        <v>9718</v>
      </c>
      <c r="AC319" s="3007" t="s">
        <v>9719</v>
      </c>
      <c r="AD319" s="3006" t="s">
        <v>2079</v>
      </c>
      <c r="AF319" s="2730">
        <v>1</v>
      </c>
    </row>
    <row r="320" spans="2:32" ht="30" customHeight="1">
      <c r="B320" s="3008"/>
      <c r="C320" s="3013"/>
      <c r="D320" s="3004"/>
      <c r="E320" s="3004"/>
      <c r="F320" s="1"/>
      <c r="G320" s="3008"/>
      <c r="H320" s="2991"/>
      <c r="I320" s="3010"/>
      <c r="J320" s="3010"/>
      <c r="L320" s="2983"/>
      <c r="M320" s="2984"/>
      <c r="N320" s="716"/>
      <c r="O320" s="2975"/>
      <c r="P320" s="2975"/>
      <c r="Q320" s="2840"/>
      <c r="R320" s="2998"/>
      <c r="S320" s="3061"/>
      <c r="T320" s="3004"/>
      <c r="U320" s="3004"/>
      <c r="W320" s="2998">
        <f t="shared" si="43"/>
        <v>14</v>
      </c>
      <c r="X320" s="3006" t="s">
        <v>2279</v>
      </c>
      <c r="Y320" s="3007" t="s">
        <v>9720</v>
      </c>
      <c r="Z320" s="3011" t="s">
        <v>9721</v>
      </c>
      <c r="AA320" s="3007" t="s">
        <v>9722</v>
      </c>
      <c r="AB320" s="3007" t="s">
        <v>9723</v>
      </c>
      <c r="AC320" s="3007" t="s">
        <v>9724</v>
      </c>
      <c r="AD320" s="3006" t="s">
        <v>2279</v>
      </c>
      <c r="AF320" s="2730">
        <v>1</v>
      </c>
    </row>
    <row r="321" spans="2:32" ht="30" customHeight="1">
      <c r="B321" s="3008"/>
      <c r="C321" s="3013"/>
      <c r="D321" s="3004"/>
      <c r="E321" s="3004"/>
      <c r="F321" s="1"/>
      <c r="G321" s="3008"/>
      <c r="H321" s="2991"/>
      <c r="I321" s="3010"/>
      <c r="J321" s="3010"/>
      <c r="L321" s="2983"/>
      <c r="M321" s="2984"/>
      <c r="N321" s="716"/>
      <c r="O321" s="2975"/>
      <c r="P321" s="2975"/>
      <c r="Q321" s="2840"/>
      <c r="R321" s="2998"/>
      <c r="S321" s="3061"/>
      <c r="T321" s="3004"/>
      <c r="U321" s="3004"/>
      <c r="W321" s="2998">
        <f t="shared" si="43"/>
        <v>15</v>
      </c>
      <c r="X321" s="3006" t="s">
        <v>9725</v>
      </c>
      <c r="Y321" s="3007" t="s">
        <v>9726</v>
      </c>
      <c r="Z321" s="3011" t="s">
        <v>9727</v>
      </c>
      <c r="AA321" s="3007" t="s">
        <v>9728</v>
      </c>
      <c r="AB321" s="3007" t="s">
        <v>9729</v>
      </c>
      <c r="AC321" s="3007" t="s">
        <v>9730</v>
      </c>
      <c r="AD321" s="3006" t="s">
        <v>9725</v>
      </c>
      <c r="AF321" s="2730">
        <v>1</v>
      </c>
    </row>
    <row r="322" spans="2:32" ht="30" customHeight="1">
      <c r="B322" s="3008"/>
      <c r="C322" s="3013"/>
      <c r="D322" s="3004"/>
      <c r="E322" s="3004"/>
      <c r="F322" s="1"/>
      <c r="G322" s="3008"/>
      <c r="H322" s="2991"/>
      <c r="I322" s="3010"/>
      <c r="J322" s="3010"/>
      <c r="L322" s="2983"/>
      <c r="M322" s="2984"/>
      <c r="N322" s="716"/>
      <c r="O322" s="2975"/>
      <c r="P322" s="2975"/>
      <c r="Q322" s="2840"/>
      <c r="R322" s="2998"/>
      <c r="S322" s="3061"/>
      <c r="T322" s="3004"/>
      <c r="U322" s="3004"/>
      <c r="W322" s="2998">
        <f t="shared" si="43"/>
        <v>16</v>
      </c>
      <c r="X322" s="3006" t="s">
        <v>2297</v>
      </c>
      <c r="Y322" s="3004" t="s">
        <v>9731</v>
      </c>
      <c r="Z322" s="3004" t="s">
        <v>9732</v>
      </c>
      <c r="AA322" s="3007" t="s">
        <v>9733</v>
      </c>
      <c r="AB322" s="3007" t="s">
        <v>9734</v>
      </c>
      <c r="AC322" s="3007" t="s">
        <v>9735</v>
      </c>
      <c r="AD322" s="3006" t="s">
        <v>2297</v>
      </c>
      <c r="AF322" s="2730">
        <v>1</v>
      </c>
    </row>
    <row r="323" spans="2:32" ht="30" customHeight="1">
      <c r="B323" s="3008"/>
      <c r="C323" s="3013"/>
      <c r="D323" s="3004"/>
      <c r="E323" s="3004"/>
      <c r="F323" s="1"/>
      <c r="G323" s="3008"/>
      <c r="H323" s="2991"/>
      <c r="I323" s="3010"/>
      <c r="J323" s="3010"/>
      <c r="L323" s="2983"/>
      <c r="M323" s="2984"/>
      <c r="N323" s="716"/>
      <c r="O323" s="2975"/>
      <c r="P323" s="2975"/>
      <c r="Q323" s="2840"/>
      <c r="R323" s="2998"/>
      <c r="S323" s="3061"/>
      <c r="T323" s="3004"/>
      <c r="U323" s="3004"/>
      <c r="W323" s="2998">
        <f t="shared" si="43"/>
        <v>17</v>
      </c>
      <c r="X323" s="3006" t="s">
        <v>2298</v>
      </c>
      <c r="Y323" s="3007" t="s">
        <v>9736</v>
      </c>
      <c r="Z323" s="3011" t="s">
        <v>9737</v>
      </c>
      <c r="AA323" s="3007" t="s">
        <v>9738</v>
      </c>
      <c r="AB323" s="3007" t="s">
        <v>9739</v>
      </c>
      <c r="AC323" s="3007" t="s">
        <v>9740</v>
      </c>
      <c r="AD323" s="3006" t="s">
        <v>2298</v>
      </c>
      <c r="AF323" s="2730">
        <v>1</v>
      </c>
    </row>
    <row r="324" spans="2:32" ht="30" customHeight="1">
      <c r="B324" s="3008"/>
      <c r="C324" s="3013"/>
      <c r="D324" s="3004"/>
      <c r="E324" s="3004"/>
      <c r="F324" s="1"/>
      <c r="G324" s="3008"/>
      <c r="H324" s="2991"/>
      <c r="I324" s="3010"/>
      <c r="J324" s="3010"/>
      <c r="L324" s="2983"/>
      <c r="M324" s="2984"/>
      <c r="N324" s="716"/>
      <c r="O324" s="2975"/>
      <c r="P324" s="2975"/>
      <c r="Q324" s="2840"/>
      <c r="R324" s="2998"/>
      <c r="S324" s="3061"/>
      <c r="T324" s="3004"/>
      <c r="U324" s="3004"/>
      <c r="W324" s="2998">
        <f t="shared" si="43"/>
        <v>18</v>
      </c>
      <c r="X324" s="3006" t="s">
        <v>2282</v>
      </c>
      <c r="Y324" s="3007" t="s">
        <v>9741</v>
      </c>
      <c r="Z324" s="3011" t="s">
        <v>9742</v>
      </c>
      <c r="AA324" s="3007" t="s">
        <v>9743</v>
      </c>
      <c r="AB324" s="3007" t="s">
        <v>9744</v>
      </c>
      <c r="AC324" s="3007" t="s">
        <v>9745</v>
      </c>
      <c r="AD324" s="3006" t="s">
        <v>2282</v>
      </c>
      <c r="AF324" s="2730">
        <v>1</v>
      </c>
    </row>
    <row r="325" spans="2:32" ht="30" customHeight="1">
      <c r="B325" s="3008"/>
      <c r="C325" s="3013"/>
      <c r="D325" s="3004"/>
      <c r="E325" s="3004"/>
      <c r="F325" s="1"/>
      <c r="G325" s="3008"/>
      <c r="H325" s="2991"/>
      <c r="I325" s="3010"/>
      <c r="J325" s="3010"/>
      <c r="L325" s="2983"/>
      <c r="M325" s="2984"/>
      <c r="N325" s="716"/>
      <c r="O325" s="2975"/>
      <c r="P325" s="2975"/>
      <c r="Q325" s="2840"/>
      <c r="R325" s="2998"/>
      <c r="S325" s="3061"/>
      <c r="T325" s="3004"/>
      <c r="U325" s="3004"/>
      <c r="W325" s="2998">
        <f t="shared" si="43"/>
        <v>19</v>
      </c>
      <c r="X325" s="3006" t="s">
        <v>2285</v>
      </c>
      <c r="Y325" s="3007" t="s">
        <v>9746</v>
      </c>
      <c r="Z325" s="3011" t="s">
        <v>9747</v>
      </c>
      <c r="AA325" s="3007" t="s">
        <v>9748</v>
      </c>
      <c r="AB325" s="3007" t="s">
        <v>9749</v>
      </c>
      <c r="AC325" s="3007" t="s">
        <v>9750</v>
      </c>
      <c r="AD325" s="3006" t="s">
        <v>2285</v>
      </c>
      <c r="AF325" s="2730">
        <v>1</v>
      </c>
    </row>
    <row r="326" spans="2:32" ht="30" customHeight="1">
      <c r="B326" s="3008"/>
      <c r="C326" s="3013"/>
      <c r="D326" s="3004"/>
      <c r="E326" s="3004"/>
      <c r="F326" s="1"/>
      <c r="G326" s="3008"/>
      <c r="H326" s="2991"/>
      <c r="I326" s="3010"/>
      <c r="J326" s="3010"/>
      <c r="L326" s="2983"/>
      <c r="M326" s="2984"/>
      <c r="N326" s="716"/>
      <c r="O326" s="2975"/>
      <c r="P326" s="2975"/>
      <c r="Q326" s="2840"/>
      <c r="R326" s="2998"/>
      <c r="S326" s="3061"/>
      <c r="T326" s="3004"/>
      <c r="U326" s="3004"/>
      <c r="W326" s="2998">
        <f t="shared" si="43"/>
        <v>20</v>
      </c>
      <c r="X326" s="3006" t="s">
        <v>2288</v>
      </c>
      <c r="Y326" s="3007" t="s">
        <v>9751</v>
      </c>
      <c r="Z326" s="3011" t="s">
        <v>9752</v>
      </c>
      <c r="AA326" s="3007" t="s">
        <v>9753</v>
      </c>
      <c r="AB326" s="3007" t="s">
        <v>9754</v>
      </c>
      <c r="AC326" s="3007" t="s">
        <v>9755</v>
      </c>
      <c r="AD326" s="3006" t="s">
        <v>2288</v>
      </c>
      <c r="AF326" s="2730">
        <v>1</v>
      </c>
    </row>
    <row r="327" spans="2:32" ht="30" customHeight="1">
      <c r="B327" s="3008"/>
      <c r="C327" s="3013"/>
      <c r="D327" s="3004"/>
      <c r="E327" s="3004"/>
      <c r="F327" s="1"/>
      <c r="G327" s="3008"/>
      <c r="H327" s="2991"/>
      <c r="I327" s="3010"/>
      <c r="J327" s="3010"/>
      <c r="L327" s="2983"/>
      <c r="M327" s="2984"/>
      <c r="N327" s="716"/>
      <c r="O327" s="2975"/>
      <c r="P327" s="2975"/>
      <c r="Q327" s="2840"/>
      <c r="R327" s="2998"/>
      <c r="S327" s="3061"/>
      <c r="T327" s="3004"/>
      <c r="U327" s="3004"/>
      <c r="W327" s="2998">
        <f t="shared" si="43"/>
        <v>21</v>
      </c>
      <c r="X327" s="3006" t="s">
        <v>2302</v>
      </c>
      <c r="Y327" s="3007" t="s">
        <v>9756</v>
      </c>
      <c r="Z327" s="3011" t="s">
        <v>9757</v>
      </c>
      <c r="AA327" s="3007" t="s">
        <v>9758</v>
      </c>
      <c r="AB327" s="3007" t="s">
        <v>9759</v>
      </c>
      <c r="AC327" s="3007" t="s">
        <v>9760</v>
      </c>
      <c r="AD327" s="3006" t="s">
        <v>2302</v>
      </c>
      <c r="AF327" s="2730">
        <v>1</v>
      </c>
    </row>
    <row r="328" spans="2:32" ht="30" customHeight="1">
      <c r="B328" s="3008"/>
      <c r="C328" s="3013"/>
      <c r="D328" s="3004"/>
      <c r="E328" s="3004"/>
      <c r="F328" s="1"/>
      <c r="G328" s="3008"/>
      <c r="H328" s="2991"/>
      <c r="I328" s="3010"/>
      <c r="J328" s="3010"/>
      <c r="L328" s="2983"/>
      <c r="M328" s="2984"/>
      <c r="N328" s="716"/>
      <c r="O328" s="2975"/>
      <c r="P328" s="2975"/>
      <c r="Q328" s="2840"/>
      <c r="R328" s="2998"/>
      <c r="S328" s="3061"/>
      <c r="T328" s="3004"/>
      <c r="U328" s="3004"/>
      <c r="W328" s="2998">
        <f t="shared" si="43"/>
        <v>22</v>
      </c>
      <c r="X328" s="3006" t="s">
        <v>2289</v>
      </c>
      <c r="Y328" s="3004" t="s">
        <v>9761</v>
      </c>
      <c r="Z328" s="3004" t="s">
        <v>9762</v>
      </c>
      <c r="AA328" s="3007" t="s">
        <v>9763</v>
      </c>
      <c r="AB328" s="3007" t="s">
        <v>9764</v>
      </c>
      <c r="AC328" s="3007" t="s">
        <v>9765</v>
      </c>
      <c r="AD328" s="3006" t="s">
        <v>2289</v>
      </c>
      <c r="AF328" s="2730">
        <v>1</v>
      </c>
    </row>
    <row r="329" spans="2:32" ht="30" customHeight="1">
      <c r="B329" s="3008"/>
      <c r="C329" s="3013"/>
      <c r="D329" s="3004"/>
      <c r="E329" s="3004"/>
      <c r="F329" s="1"/>
      <c r="G329" s="3008"/>
      <c r="H329" s="2991"/>
      <c r="I329" s="3010"/>
      <c r="J329" s="3010"/>
      <c r="L329" s="2983"/>
      <c r="M329" s="2984"/>
      <c r="N329" s="716"/>
      <c r="O329" s="2975"/>
      <c r="P329" s="2975"/>
      <c r="Q329" s="2840"/>
      <c r="R329" s="2998"/>
      <c r="S329" s="3061"/>
      <c r="T329" s="3004"/>
      <c r="U329" s="3004"/>
      <c r="W329" s="2998">
        <f t="shared" si="43"/>
        <v>23</v>
      </c>
      <c r="X329" s="3006" t="s">
        <v>2291</v>
      </c>
      <c r="Y329" s="3007" t="s">
        <v>9766</v>
      </c>
      <c r="Z329" s="3011" t="s">
        <v>9767</v>
      </c>
      <c r="AA329" s="3007" t="s">
        <v>9768</v>
      </c>
      <c r="AB329" s="3007" t="s">
        <v>9769</v>
      </c>
      <c r="AC329" s="3007" t="s">
        <v>9770</v>
      </c>
      <c r="AD329" s="3006" t="s">
        <v>2291</v>
      </c>
      <c r="AF329" s="2730">
        <v>1</v>
      </c>
    </row>
    <row r="330" spans="2:32" ht="30" customHeight="1">
      <c r="B330" s="3008"/>
      <c r="C330" s="3013"/>
      <c r="D330" s="3004"/>
      <c r="E330" s="3004"/>
      <c r="F330" s="1"/>
      <c r="G330" s="3008"/>
      <c r="H330" s="2991"/>
      <c r="I330" s="3010"/>
      <c r="J330" s="3010"/>
      <c r="L330" s="2983"/>
      <c r="M330" s="2984"/>
      <c r="N330" s="716"/>
      <c r="O330" s="2975"/>
      <c r="P330" s="2975"/>
      <c r="Q330" s="2840"/>
      <c r="R330" s="2998"/>
      <c r="S330" s="3061"/>
      <c r="T330" s="3004"/>
      <c r="U330" s="3004"/>
      <c r="W330" s="2998">
        <f t="shared" si="43"/>
        <v>24</v>
      </c>
      <c r="X330" s="3006" t="s">
        <v>2092</v>
      </c>
      <c r="Y330" s="3007" t="s">
        <v>8442</v>
      </c>
      <c r="Z330" s="3011" t="s">
        <v>8443</v>
      </c>
      <c r="AA330" s="3007" t="s">
        <v>9771</v>
      </c>
      <c r="AB330" s="3007" t="s">
        <v>9105</v>
      </c>
      <c r="AC330" s="3007" t="s">
        <v>9106</v>
      </c>
      <c r="AD330" s="3006" t="s">
        <v>2092</v>
      </c>
      <c r="AF330" s="2730">
        <v>1</v>
      </c>
    </row>
    <row r="331" spans="2:32" ht="30" customHeight="1">
      <c r="B331" s="3008"/>
      <c r="C331" s="3013"/>
      <c r="D331" s="3004"/>
      <c r="E331" s="3004"/>
      <c r="F331" s="1"/>
      <c r="G331" s="3008"/>
      <c r="H331" s="2991"/>
      <c r="I331" s="3010"/>
      <c r="J331" s="3010"/>
      <c r="L331" s="2983"/>
      <c r="M331" s="2984"/>
      <c r="N331" s="716"/>
      <c r="O331" s="2975"/>
      <c r="P331" s="2975"/>
      <c r="Q331" s="2840"/>
      <c r="R331" s="2998"/>
      <c r="S331" s="3061"/>
      <c r="T331" s="3004"/>
      <c r="U331" s="3004"/>
      <c r="W331" s="2998">
        <f t="shared" si="43"/>
        <v>25</v>
      </c>
      <c r="X331" s="3006" t="s">
        <v>9772</v>
      </c>
      <c r="Y331" s="3007" t="s">
        <v>9773</v>
      </c>
      <c r="Z331" s="3011" t="s">
        <v>9774</v>
      </c>
      <c r="AA331" s="3007" t="s">
        <v>9775</v>
      </c>
      <c r="AB331" s="3007" t="s">
        <v>9776</v>
      </c>
      <c r="AC331" s="3007" t="s">
        <v>9777</v>
      </c>
      <c r="AD331" s="3006" t="s">
        <v>9772</v>
      </c>
      <c r="AF331" s="2730">
        <v>1</v>
      </c>
    </row>
    <row r="332" spans="2:32" ht="30" customHeight="1">
      <c r="B332" s="3008"/>
      <c r="C332" s="3013"/>
      <c r="D332" s="3004"/>
      <c r="E332" s="3004"/>
      <c r="F332" s="1"/>
      <c r="G332" s="3008"/>
      <c r="H332" s="2991"/>
      <c r="I332" s="3010"/>
      <c r="J332" s="3010"/>
      <c r="L332" s="2983"/>
      <c r="M332" s="2984"/>
      <c r="N332" s="716"/>
      <c r="O332" s="2975"/>
      <c r="P332" s="2975"/>
      <c r="Q332" s="2840"/>
      <c r="R332" s="2998"/>
      <c r="S332" s="3061"/>
      <c r="T332" s="3004"/>
      <c r="U332" s="3004"/>
      <c r="W332" s="2998">
        <f t="shared" si="43"/>
        <v>26</v>
      </c>
      <c r="X332" s="3006" t="s">
        <v>9778</v>
      </c>
      <c r="Y332" s="3007" t="s">
        <v>9779</v>
      </c>
      <c r="Z332" s="3011" t="s">
        <v>9780</v>
      </c>
      <c r="AA332" s="3007" t="s">
        <v>9781</v>
      </c>
      <c r="AB332" s="3007" t="s">
        <v>9782</v>
      </c>
      <c r="AC332" s="3007" t="s">
        <v>9783</v>
      </c>
      <c r="AD332" s="3006" t="s">
        <v>9778</v>
      </c>
      <c r="AF332" s="2730">
        <v>1</v>
      </c>
    </row>
    <row r="333" spans="2:32" ht="30" customHeight="1">
      <c r="B333" s="3008"/>
      <c r="C333" s="3013"/>
      <c r="D333" s="3004"/>
      <c r="E333" s="3004"/>
      <c r="F333" s="1"/>
      <c r="G333" s="3008"/>
      <c r="H333" s="2991"/>
      <c r="I333" s="3010"/>
      <c r="J333" s="3010"/>
      <c r="L333" s="2983"/>
      <c r="M333" s="2984"/>
      <c r="N333" s="716"/>
      <c r="O333" s="2975"/>
      <c r="P333" s="2975"/>
      <c r="Q333" s="2840"/>
      <c r="R333" s="2998"/>
      <c r="S333" s="3061"/>
      <c r="T333" s="3004"/>
      <c r="U333" s="3004"/>
      <c r="W333" s="2998">
        <f t="shared" si="43"/>
        <v>27</v>
      </c>
      <c r="X333" s="3006" t="s">
        <v>2303</v>
      </c>
      <c r="Y333" s="3007" t="s">
        <v>9784</v>
      </c>
      <c r="Z333" s="3011" t="s">
        <v>9785</v>
      </c>
      <c r="AA333" s="3007" t="s">
        <v>9786</v>
      </c>
      <c r="AB333" s="3007" t="s">
        <v>9787</v>
      </c>
      <c r="AC333" s="3007" t="s">
        <v>9788</v>
      </c>
      <c r="AD333" s="3006" t="s">
        <v>2303</v>
      </c>
      <c r="AF333" s="2730">
        <v>1</v>
      </c>
    </row>
    <row r="334" spans="2:32" ht="30" customHeight="1">
      <c r="B334" s="3008"/>
      <c r="C334" s="3013"/>
      <c r="D334" s="3004"/>
      <c r="E334" s="3004"/>
      <c r="F334" s="1"/>
      <c r="G334" s="3008"/>
      <c r="H334" s="2991"/>
      <c r="I334" s="3010"/>
      <c r="J334" s="3010"/>
      <c r="L334" s="2983"/>
      <c r="M334" s="2984"/>
      <c r="N334" s="716"/>
      <c r="O334" s="2975"/>
      <c r="P334" s="2975"/>
      <c r="Q334" s="2840"/>
      <c r="R334" s="2998"/>
      <c r="S334" s="3061"/>
      <c r="T334" s="3004"/>
      <c r="U334" s="3004"/>
      <c r="W334" s="2998">
        <f t="shared" si="43"/>
        <v>28</v>
      </c>
      <c r="X334" s="3006" t="s">
        <v>2294</v>
      </c>
      <c r="Y334" s="3007" t="s">
        <v>9789</v>
      </c>
      <c r="Z334" s="3011" t="s">
        <v>9790</v>
      </c>
      <c r="AA334" s="3007" t="s">
        <v>9791</v>
      </c>
      <c r="AB334" s="3007" t="s">
        <v>9792</v>
      </c>
      <c r="AC334" s="3007" t="s">
        <v>9793</v>
      </c>
      <c r="AD334" s="3006" t="s">
        <v>2294</v>
      </c>
      <c r="AF334" s="2730">
        <v>1</v>
      </c>
    </row>
    <row r="335" spans="2:32" ht="30" customHeight="1">
      <c r="B335" s="3008"/>
      <c r="C335" s="3013"/>
      <c r="D335" s="3004"/>
      <c r="E335" s="3004"/>
      <c r="F335" s="1"/>
      <c r="G335" s="3008"/>
      <c r="H335" s="2991"/>
      <c r="I335" s="3010"/>
      <c r="J335" s="3010"/>
      <c r="L335" s="2983"/>
      <c r="M335" s="2984"/>
      <c r="N335" s="716"/>
      <c r="O335" s="2975"/>
      <c r="P335" s="2975"/>
      <c r="Q335" s="2840"/>
      <c r="R335" s="2998"/>
      <c r="S335" s="3061"/>
      <c r="T335" s="3004"/>
      <c r="U335" s="3004"/>
      <c r="W335" s="2998">
        <f t="shared" si="43"/>
        <v>29</v>
      </c>
      <c r="X335" s="3006" t="s">
        <v>2307</v>
      </c>
      <c r="Y335" s="3007" t="s">
        <v>9794</v>
      </c>
      <c r="Z335" s="3011" t="s">
        <v>9795</v>
      </c>
      <c r="AA335" s="3007" t="s">
        <v>9796</v>
      </c>
      <c r="AB335" s="3007" t="s">
        <v>9797</v>
      </c>
      <c r="AC335" s="3007" t="s">
        <v>9798</v>
      </c>
      <c r="AD335" s="3006" t="s">
        <v>2307</v>
      </c>
      <c r="AF335" s="2730">
        <v>1</v>
      </c>
    </row>
    <row r="336" spans="2:32" ht="30" customHeight="1">
      <c r="B336" s="3008"/>
      <c r="C336" s="3013"/>
      <c r="D336" s="3004"/>
      <c r="E336" s="3004"/>
      <c r="F336" s="1"/>
      <c r="G336" s="3008"/>
      <c r="H336" s="2991"/>
      <c r="I336" s="3010"/>
      <c r="J336" s="3010"/>
      <c r="L336" s="2983"/>
      <c r="M336" s="2984"/>
      <c r="N336" s="716"/>
      <c r="O336" s="2975"/>
      <c r="P336" s="2975"/>
      <c r="Q336" s="2840"/>
      <c r="R336" s="2998"/>
      <c r="S336" s="3061"/>
      <c r="T336" s="3004"/>
      <c r="U336" s="3004"/>
      <c r="W336" s="2998">
        <f t="shared" si="43"/>
        <v>30</v>
      </c>
      <c r="X336" s="3006" t="s">
        <v>2103</v>
      </c>
      <c r="Y336" s="3004" t="s">
        <v>9799</v>
      </c>
      <c r="Z336" s="3004" t="s">
        <v>9800</v>
      </c>
      <c r="AA336" s="3007" t="s">
        <v>9801</v>
      </c>
      <c r="AB336" s="3007" t="s">
        <v>9802</v>
      </c>
      <c r="AC336" s="3007" t="s">
        <v>9803</v>
      </c>
      <c r="AD336" s="3006" t="s">
        <v>2103</v>
      </c>
      <c r="AF336" s="2730">
        <v>1</v>
      </c>
    </row>
    <row r="337" spans="2:32" ht="30" customHeight="1">
      <c r="B337" s="3008"/>
      <c r="C337" s="3013"/>
      <c r="D337" s="3004"/>
      <c r="E337" s="3004"/>
      <c r="F337" s="1"/>
      <c r="G337" s="3008"/>
      <c r="H337" s="2991"/>
      <c r="I337" s="3010"/>
      <c r="J337" s="3010"/>
      <c r="L337" s="2983"/>
      <c r="M337" s="2984"/>
      <c r="N337" s="716"/>
      <c r="O337" s="2975"/>
      <c r="P337" s="2975"/>
      <c r="Q337" s="2840"/>
      <c r="R337" s="2998"/>
      <c r="S337" s="3061"/>
      <c r="T337" s="3004"/>
      <c r="U337" s="3004"/>
      <c r="W337" s="2998">
        <f t="shared" si="43"/>
        <v>31</v>
      </c>
      <c r="X337" s="3006" t="s">
        <v>9804</v>
      </c>
      <c r="Y337" s="3007" t="s">
        <v>9805</v>
      </c>
      <c r="Z337" s="3011" t="s">
        <v>9806</v>
      </c>
      <c r="AA337" s="3007" t="s">
        <v>9807</v>
      </c>
      <c r="AB337" s="3007" t="s">
        <v>9808</v>
      </c>
      <c r="AC337" s="3007" t="s">
        <v>9809</v>
      </c>
      <c r="AD337" s="3006" t="s">
        <v>9804</v>
      </c>
      <c r="AF337" s="2730">
        <v>1</v>
      </c>
    </row>
    <row r="338" spans="2:32" ht="30" customHeight="1">
      <c r="B338" s="3008"/>
      <c r="C338" s="3013"/>
      <c r="D338" s="3004"/>
      <c r="E338" s="3004"/>
      <c r="F338" s="1"/>
      <c r="G338" s="3008"/>
      <c r="H338" s="2991"/>
      <c r="I338" s="3010"/>
      <c r="J338" s="3010"/>
      <c r="L338" s="2983"/>
      <c r="M338" s="2984"/>
      <c r="N338" s="716"/>
      <c r="O338" s="2975"/>
      <c r="P338" s="2975"/>
      <c r="Q338" s="2840"/>
      <c r="R338" s="2998"/>
      <c r="S338" s="3061"/>
      <c r="T338" s="3004"/>
      <c r="U338" s="3004"/>
      <c r="W338" s="2998">
        <f t="shared" si="43"/>
        <v>32</v>
      </c>
      <c r="X338" s="3006" t="s">
        <v>9810</v>
      </c>
      <c r="Y338" s="3007" t="s">
        <v>9811</v>
      </c>
      <c r="Z338" s="3011" t="s">
        <v>9812</v>
      </c>
      <c r="AA338" s="3007" t="s">
        <v>8757</v>
      </c>
      <c r="AB338" s="3007" t="s">
        <v>8758</v>
      </c>
      <c r="AC338" s="3007" t="s">
        <v>8759</v>
      </c>
      <c r="AD338" s="3006" t="s">
        <v>9810</v>
      </c>
      <c r="AF338" s="2730">
        <v>1</v>
      </c>
    </row>
    <row r="339" spans="2:32" ht="30" customHeight="1">
      <c r="B339" s="3008"/>
      <c r="C339" s="3013"/>
      <c r="D339" s="3004"/>
      <c r="E339" s="3004"/>
      <c r="F339" s="1"/>
      <c r="G339" s="3008"/>
      <c r="H339" s="2991"/>
      <c r="I339" s="3010"/>
      <c r="J339" s="3010"/>
      <c r="L339" s="2983"/>
      <c r="M339" s="2984"/>
      <c r="N339" s="716"/>
      <c r="O339" s="2975"/>
      <c r="P339" s="2975"/>
      <c r="Q339" s="2840"/>
      <c r="R339" s="2998"/>
      <c r="S339" s="3061"/>
      <c r="T339" s="3004"/>
      <c r="U339" s="3004"/>
      <c r="W339" s="2998">
        <f t="shared" si="43"/>
        <v>33</v>
      </c>
      <c r="X339" s="3006" t="s">
        <v>2113</v>
      </c>
      <c r="Y339" s="3007" t="s">
        <v>9813</v>
      </c>
      <c r="Z339" s="3011" t="s">
        <v>9814</v>
      </c>
      <c r="AA339" s="3007" t="s">
        <v>9815</v>
      </c>
      <c r="AB339" s="3007" t="s">
        <v>9816</v>
      </c>
      <c r="AC339" s="3007" t="s">
        <v>9817</v>
      </c>
      <c r="AD339" s="3006" t="s">
        <v>2113</v>
      </c>
      <c r="AF339" s="2730">
        <v>1</v>
      </c>
    </row>
    <row r="340" spans="2:32" ht="30" customHeight="1">
      <c r="B340" s="3008"/>
      <c r="C340" s="3013"/>
      <c r="D340" s="3004"/>
      <c r="E340" s="3004"/>
      <c r="F340" s="1"/>
      <c r="G340" s="3008"/>
      <c r="H340" s="2991"/>
      <c r="I340" s="3010"/>
      <c r="J340" s="3010"/>
      <c r="L340" s="2983"/>
      <c r="M340" s="2984"/>
      <c r="N340" s="716"/>
      <c r="O340" s="2975"/>
      <c r="P340" s="2975"/>
      <c r="Q340" s="2840"/>
      <c r="R340" s="2998"/>
      <c r="S340" s="3061"/>
      <c r="T340" s="3004"/>
      <c r="U340" s="3004"/>
      <c r="W340" s="2998">
        <f t="shared" si="43"/>
        <v>34</v>
      </c>
      <c r="X340" s="3006" t="s">
        <v>2124</v>
      </c>
      <c r="Y340" s="3007" t="s">
        <v>9818</v>
      </c>
      <c r="Z340" s="3011" t="s">
        <v>9819</v>
      </c>
      <c r="AA340" s="3007" t="s">
        <v>9820</v>
      </c>
      <c r="AB340" s="3007" t="s">
        <v>9821</v>
      </c>
      <c r="AC340" s="3083" t="s">
        <v>9822</v>
      </c>
      <c r="AD340" s="3006" t="s">
        <v>2124</v>
      </c>
      <c r="AF340" s="2730">
        <v>1</v>
      </c>
    </row>
    <row r="341" spans="2:32" ht="30" customHeight="1">
      <c r="B341" s="3008"/>
      <c r="C341" s="3013"/>
      <c r="D341" s="3004"/>
      <c r="E341" s="3004"/>
      <c r="F341" s="1"/>
      <c r="G341" s="3008"/>
      <c r="H341" s="2991"/>
      <c r="I341" s="3010"/>
      <c r="J341" s="3010"/>
      <c r="L341" s="2983"/>
      <c r="M341" s="2984"/>
      <c r="N341" s="716"/>
      <c r="O341" s="2975"/>
      <c r="P341" s="2975"/>
      <c r="Q341" s="2840"/>
      <c r="R341" s="2998"/>
      <c r="S341" s="3061"/>
      <c r="T341" s="3004"/>
      <c r="U341" s="3004"/>
      <c r="W341" s="2998">
        <f t="shared" si="43"/>
        <v>35</v>
      </c>
      <c r="X341" s="3006" t="s">
        <v>2134</v>
      </c>
      <c r="Y341" s="3007" t="s">
        <v>9823</v>
      </c>
      <c r="Z341" s="3011" t="s">
        <v>9824</v>
      </c>
      <c r="AA341" s="3007" t="s">
        <v>9825</v>
      </c>
      <c r="AB341" s="3007" t="s">
        <v>9826</v>
      </c>
      <c r="AC341" s="3007" t="s">
        <v>9827</v>
      </c>
      <c r="AD341" s="3006" t="s">
        <v>2134</v>
      </c>
      <c r="AF341" s="2730">
        <v>1</v>
      </c>
    </row>
    <row r="342" spans="2:32" ht="30" customHeight="1">
      <c r="B342" s="3008"/>
      <c r="C342" s="3013"/>
      <c r="D342" s="3004"/>
      <c r="E342" s="3004"/>
      <c r="F342" s="1"/>
      <c r="G342" s="3008"/>
      <c r="H342" s="2991"/>
      <c r="I342" s="3010"/>
      <c r="J342" s="3010"/>
      <c r="L342" s="2983"/>
      <c r="M342" s="2984"/>
      <c r="N342" s="716"/>
      <c r="O342" s="2975"/>
      <c r="P342" s="2975"/>
      <c r="Q342" s="2840"/>
      <c r="R342" s="2998"/>
      <c r="S342" s="3061"/>
      <c r="T342" s="3004"/>
      <c r="U342" s="3004"/>
      <c r="W342" s="2998">
        <f t="shared" si="43"/>
        <v>36</v>
      </c>
      <c r="X342" s="3006" t="s">
        <v>2295</v>
      </c>
      <c r="Y342" s="3007" t="s">
        <v>9828</v>
      </c>
      <c r="Z342" s="3011" t="s">
        <v>9829</v>
      </c>
      <c r="AA342" s="3007" t="s">
        <v>9830</v>
      </c>
      <c r="AB342" s="3007" t="s">
        <v>9831</v>
      </c>
      <c r="AC342" s="3007" t="s">
        <v>9832</v>
      </c>
      <c r="AD342" s="3006" t="s">
        <v>2295</v>
      </c>
      <c r="AF342" s="2730">
        <v>1</v>
      </c>
    </row>
    <row r="343" spans="2:32" ht="30" customHeight="1">
      <c r="B343" s="3008"/>
      <c r="C343" s="3013"/>
      <c r="D343" s="3004"/>
      <c r="E343" s="3004"/>
      <c r="F343" s="1"/>
      <c r="G343" s="3008"/>
      <c r="H343" s="2991"/>
      <c r="I343" s="3010"/>
      <c r="J343" s="3010"/>
      <c r="L343" s="2983"/>
      <c r="M343" s="2984"/>
      <c r="N343" s="716"/>
      <c r="O343" s="2975"/>
      <c r="P343" s="2975"/>
      <c r="Q343" s="2840"/>
      <c r="R343" s="2998"/>
      <c r="S343" s="3061"/>
      <c r="T343" s="3004"/>
      <c r="U343" s="3004"/>
      <c r="X343" s="2999" t="s">
        <v>1188</v>
      </c>
      <c r="Y343" s="3090"/>
      <c r="Z343" s="3090"/>
      <c r="AA343" s="3090"/>
      <c r="AB343" s="2988"/>
      <c r="AC343" s="2988"/>
      <c r="AD343" s="2999" t="s">
        <v>1188</v>
      </c>
      <c r="AF343" s="2730">
        <v>1</v>
      </c>
    </row>
    <row r="344" spans="2:32" ht="30" customHeight="1">
      <c r="B344" s="3008"/>
      <c r="C344" s="3013"/>
      <c r="D344" s="3004"/>
      <c r="E344" s="3004"/>
      <c r="F344" s="1"/>
      <c r="G344" s="3008"/>
      <c r="H344" s="2991"/>
      <c r="I344" s="3010"/>
      <c r="J344" s="3010"/>
      <c r="L344" s="2983"/>
      <c r="M344" s="2984"/>
      <c r="N344" s="716"/>
      <c r="O344" s="2975"/>
      <c r="P344" s="2975"/>
      <c r="Q344" s="2840"/>
      <c r="R344" s="2998"/>
      <c r="S344" s="3061"/>
      <c r="T344" s="3004"/>
      <c r="U344" s="3004"/>
      <c r="W344" s="2998">
        <v>1</v>
      </c>
      <c r="X344" s="3092" t="s">
        <v>2299</v>
      </c>
      <c r="Y344" s="3007" t="s">
        <v>9833</v>
      </c>
      <c r="Z344" s="3007" t="s">
        <v>9834</v>
      </c>
      <c r="AA344" s="3007" t="s">
        <v>9835</v>
      </c>
      <c r="AB344" s="3007" t="s">
        <v>9836</v>
      </c>
      <c r="AC344" s="3007" t="s">
        <v>9837</v>
      </c>
      <c r="AD344" s="3092" t="s">
        <v>2299</v>
      </c>
      <c r="AF344" s="2730">
        <v>1</v>
      </c>
    </row>
    <row r="345" spans="2:32" ht="30" customHeight="1">
      <c r="B345" s="3008"/>
      <c r="C345" s="3013"/>
      <c r="D345" s="3004"/>
      <c r="E345" s="3004"/>
      <c r="F345" s="1"/>
      <c r="G345" s="3008"/>
      <c r="H345" s="2991"/>
      <c r="I345" s="3010"/>
      <c r="J345" s="3010"/>
      <c r="L345" s="2983"/>
      <c r="M345" s="2984"/>
      <c r="N345" s="716"/>
      <c r="O345" s="2975"/>
      <c r="P345" s="2975"/>
      <c r="Q345" s="2840"/>
      <c r="R345" s="2998"/>
      <c r="S345" s="3061"/>
      <c r="T345" s="3004"/>
      <c r="U345" s="3004"/>
      <c r="W345" s="2998"/>
      <c r="X345" s="3093"/>
      <c r="AA345" s="3007" t="s">
        <v>9838</v>
      </c>
      <c r="AB345" s="3007" t="s">
        <v>9839</v>
      </c>
      <c r="AC345" s="3007" t="s">
        <v>9840</v>
      </c>
      <c r="AD345" s="3093"/>
      <c r="AF345" s="2730">
        <v>1</v>
      </c>
    </row>
    <row r="346" spans="2:32" ht="30" customHeight="1">
      <c r="B346" s="3008"/>
      <c r="C346" s="3013"/>
      <c r="D346" s="3004"/>
      <c r="E346" s="3004"/>
      <c r="F346" s="1"/>
      <c r="G346" s="3008"/>
      <c r="H346" s="2991"/>
      <c r="I346" s="3010"/>
      <c r="J346" s="3010"/>
      <c r="L346" s="2983"/>
      <c r="M346" s="2984"/>
      <c r="N346" s="716"/>
      <c r="O346" s="2975"/>
      <c r="P346" s="2975"/>
      <c r="Q346" s="2840"/>
      <c r="R346" s="2998"/>
      <c r="S346" s="3061"/>
      <c r="T346" s="3004"/>
      <c r="U346" s="3004"/>
      <c r="W346" s="2998"/>
      <c r="X346" s="3093"/>
      <c r="AA346" s="3007" t="s">
        <v>9841</v>
      </c>
      <c r="AB346" s="3007" t="s">
        <v>9842</v>
      </c>
      <c r="AC346" s="3007" t="s">
        <v>9843</v>
      </c>
      <c r="AD346" s="3093"/>
      <c r="AF346" s="2730">
        <v>1</v>
      </c>
    </row>
    <row r="347" spans="2:32" ht="30" customHeight="1">
      <c r="B347" s="3008"/>
      <c r="C347" s="3013"/>
      <c r="D347" s="3004"/>
      <c r="E347" s="3004"/>
      <c r="F347" s="1"/>
      <c r="G347" s="3008"/>
      <c r="H347" s="2991"/>
      <c r="I347" s="3010"/>
      <c r="J347" s="3010"/>
      <c r="L347" s="2983"/>
      <c r="M347" s="2984"/>
      <c r="N347" s="716"/>
      <c r="O347" s="2975"/>
      <c r="P347" s="2975"/>
      <c r="Q347" s="2840"/>
      <c r="R347" s="2998"/>
      <c r="S347" s="3061"/>
      <c r="T347" s="3004"/>
      <c r="U347" s="3004"/>
      <c r="W347" s="2998"/>
      <c r="X347" s="3091" t="s">
        <v>516</v>
      </c>
      <c r="Y347" s="2988"/>
      <c r="Z347" s="2988"/>
      <c r="AA347" s="2988"/>
      <c r="AB347" s="2988"/>
      <c r="AC347" s="2988"/>
      <c r="AD347" s="3091" t="s">
        <v>516</v>
      </c>
      <c r="AF347" s="2730">
        <v>1</v>
      </c>
    </row>
    <row r="348" spans="2:32" ht="30" customHeight="1">
      <c r="B348" s="3008"/>
      <c r="C348" s="3013"/>
      <c r="D348" s="3004"/>
      <c r="E348" s="3004"/>
      <c r="F348" s="1"/>
      <c r="G348" s="3008"/>
      <c r="H348" s="2991"/>
      <c r="I348" s="3010"/>
      <c r="J348" s="3010"/>
      <c r="L348" s="2983"/>
      <c r="M348" s="2984"/>
      <c r="N348" s="716"/>
      <c r="O348" s="2975"/>
      <c r="P348" s="2975"/>
      <c r="Q348" s="2840"/>
      <c r="R348" s="2998"/>
      <c r="S348" s="3061"/>
      <c r="T348" s="3004"/>
      <c r="U348" s="3004"/>
      <c r="W348" s="2998">
        <v>1</v>
      </c>
      <c r="X348" s="3094" t="s">
        <v>2064</v>
      </c>
      <c r="Y348" s="3007" t="s">
        <v>9844</v>
      </c>
      <c r="Z348" s="3011" t="s">
        <v>9845</v>
      </c>
      <c r="AA348" s="3007" t="s">
        <v>9846</v>
      </c>
      <c r="AB348" s="3007" t="s">
        <v>9847</v>
      </c>
      <c r="AC348" s="3007" t="s">
        <v>9848</v>
      </c>
      <c r="AD348" s="3094" t="s">
        <v>2064</v>
      </c>
      <c r="AF348" s="2730">
        <v>1</v>
      </c>
    </row>
    <row r="349" spans="2:32" ht="30" customHeight="1">
      <c r="B349" s="3008"/>
      <c r="C349" s="3013"/>
      <c r="D349" s="3004"/>
      <c r="E349" s="3004"/>
      <c r="F349" s="1"/>
      <c r="G349" s="3008"/>
      <c r="H349" s="2991"/>
      <c r="I349" s="3010"/>
      <c r="J349" s="3010"/>
      <c r="L349" s="2983"/>
      <c r="M349" s="2984"/>
      <c r="N349" s="716"/>
      <c r="O349" s="2975"/>
      <c r="P349" s="2975"/>
      <c r="Q349" s="2840"/>
      <c r="R349" s="2998"/>
      <c r="S349" s="3061"/>
      <c r="T349" s="3004"/>
      <c r="U349" s="3004"/>
      <c r="W349" s="2998">
        <f>W348+1</f>
        <v>2</v>
      </c>
      <c r="X349" s="3094" t="s">
        <v>2074</v>
      </c>
      <c r="Y349" s="3007" t="s">
        <v>9849</v>
      </c>
      <c r="Z349" s="3011" t="s">
        <v>9850</v>
      </c>
      <c r="AA349" s="3007" t="s">
        <v>9851</v>
      </c>
      <c r="AB349" s="3011" t="s">
        <v>9852</v>
      </c>
      <c r="AC349" s="3011" t="s">
        <v>9853</v>
      </c>
      <c r="AD349" s="3094" t="s">
        <v>2074</v>
      </c>
      <c r="AF349" s="2730">
        <v>1</v>
      </c>
    </row>
    <row r="350" spans="2:32" ht="30" customHeight="1">
      <c r="B350" s="3008"/>
      <c r="C350" s="3013"/>
      <c r="D350" s="3004"/>
      <c r="E350" s="3004"/>
      <c r="F350" s="1"/>
      <c r="G350" s="3008"/>
      <c r="H350" s="2991"/>
      <c r="I350" s="3010"/>
      <c r="J350" s="3010"/>
      <c r="L350" s="2983"/>
      <c r="M350" s="2984"/>
      <c r="N350" s="716"/>
      <c r="O350" s="2975"/>
      <c r="P350" s="2975"/>
      <c r="Q350" s="2840"/>
      <c r="R350" s="2998"/>
      <c r="S350" s="3061"/>
      <c r="T350" s="3004"/>
      <c r="U350" s="3004"/>
      <c r="W350" s="2998">
        <v>2</v>
      </c>
      <c r="X350" s="3094" t="s">
        <v>2088</v>
      </c>
      <c r="Y350" s="3007" t="s">
        <v>9854</v>
      </c>
      <c r="Z350" s="3011" t="s">
        <v>9855</v>
      </c>
      <c r="AA350" s="3007" t="s">
        <v>9856</v>
      </c>
      <c r="AB350" s="3011" t="s">
        <v>9857</v>
      </c>
      <c r="AC350" s="3011" t="s">
        <v>9858</v>
      </c>
      <c r="AD350" s="3094" t="s">
        <v>2088</v>
      </c>
      <c r="AF350" s="2730">
        <v>1</v>
      </c>
    </row>
    <row r="351" spans="2:32" ht="30" customHeight="1">
      <c r="B351" s="3008"/>
      <c r="C351" s="3013"/>
      <c r="D351" s="3004"/>
      <c r="E351" s="3004"/>
      <c r="F351" s="1"/>
      <c r="G351" s="3008"/>
      <c r="H351" s="2991"/>
      <c r="I351" s="3010"/>
      <c r="J351" s="3010"/>
      <c r="L351" s="2983"/>
      <c r="M351" s="2984"/>
      <c r="N351" s="716"/>
      <c r="O351" s="2975"/>
      <c r="P351" s="2975"/>
      <c r="Q351" s="2840"/>
      <c r="R351" s="2998"/>
      <c r="S351" s="3061"/>
      <c r="T351" s="3004"/>
      <c r="U351" s="3004"/>
      <c r="W351" s="2998">
        <f t="shared" ref="W351" si="44">W350+1</f>
        <v>3</v>
      </c>
      <c r="X351" s="3094" t="s">
        <v>2099</v>
      </c>
      <c r="Y351" s="3007" t="s">
        <v>9859</v>
      </c>
      <c r="Z351" s="3011" t="s">
        <v>9860</v>
      </c>
      <c r="AA351" s="3007" t="s">
        <v>9861</v>
      </c>
      <c r="AB351" s="3011" t="s">
        <v>9862</v>
      </c>
      <c r="AC351" s="3011" t="s">
        <v>9863</v>
      </c>
      <c r="AD351" s="3094" t="s">
        <v>2099</v>
      </c>
      <c r="AF351" s="2730">
        <v>1</v>
      </c>
    </row>
    <row r="352" spans="2:32" ht="30" customHeight="1">
      <c r="B352" s="3008"/>
      <c r="C352" s="3013"/>
      <c r="D352" s="3004"/>
      <c r="E352" s="3004"/>
      <c r="F352" s="1"/>
      <c r="G352" s="3008"/>
      <c r="H352" s="2991"/>
      <c r="I352" s="3010"/>
      <c r="J352" s="3010"/>
      <c r="L352" s="2983"/>
      <c r="M352" s="2984"/>
      <c r="N352" s="716"/>
      <c r="O352" s="2975"/>
      <c r="P352" s="2975"/>
      <c r="Q352" s="2840"/>
      <c r="R352" s="2998"/>
      <c r="S352" s="3061"/>
      <c r="T352" s="3004"/>
      <c r="U352" s="3004"/>
      <c r="W352" s="2998">
        <v>3</v>
      </c>
      <c r="X352" s="3094" t="s">
        <v>9864</v>
      </c>
      <c r="Y352" s="3007" t="s">
        <v>9865</v>
      </c>
      <c r="Z352" s="3011" t="s">
        <v>9866</v>
      </c>
      <c r="AA352" s="3007" t="s">
        <v>9867</v>
      </c>
      <c r="AB352" s="3011" t="s">
        <v>9868</v>
      </c>
      <c r="AC352" s="3011" t="s">
        <v>9869</v>
      </c>
      <c r="AD352" s="3094" t="s">
        <v>9864</v>
      </c>
      <c r="AF352" s="2730">
        <v>1</v>
      </c>
    </row>
    <row r="353" spans="2:32" ht="30" customHeight="1">
      <c r="B353" s="3008"/>
      <c r="C353" s="3013"/>
      <c r="D353" s="3004"/>
      <c r="E353" s="3004"/>
      <c r="F353" s="1"/>
      <c r="G353" s="3008"/>
      <c r="H353" s="2991"/>
      <c r="I353" s="3010"/>
      <c r="J353" s="3010"/>
      <c r="L353" s="2983"/>
      <c r="M353" s="2984"/>
      <c r="N353" s="716"/>
      <c r="O353" s="2975"/>
      <c r="P353" s="2975"/>
      <c r="Q353" s="2840"/>
      <c r="R353" s="2998"/>
      <c r="S353" s="3061"/>
      <c r="T353" s="3004"/>
      <c r="U353" s="3004"/>
      <c r="W353" s="2998">
        <f t="shared" ref="W353" si="45">W352+1</f>
        <v>4</v>
      </c>
      <c r="X353" s="3094" t="s">
        <v>9870</v>
      </c>
      <c r="Y353" s="3007" t="s">
        <v>9871</v>
      </c>
      <c r="Z353" s="3011" t="s">
        <v>9872</v>
      </c>
      <c r="AA353" s="3007" t="s">
        <v>9873</v>
      </c>
      <c r="AB353" s="3007" t="s">
        <v>9874</v>
      </c>
      <c r="AC353" s="3011" t="s">
        <v>9875</v>
      </c>
      <c r="AD353" s="3094" t="s">
        <v>9870</v>
      </c>
      <c r="AF353" s="2730">
        <v>1</v>
      </c>
    </row>
    <row r="354" spans="2:32" ht="30" customHeight="1">
      <c r="B354" s="3008"/>
      <c r="C354" s="3013"/>
      <c r="D354" s="3004"/>
      <c r="E354" s="3004"/>
      <c r="F354" s="1"/>
      <c r="G354" s="3008"/>
      <c r="H354" s="2991"/>
      <c r="I354" s="3010"/>
      <c r="J354" s="3010"/>
      <c r="L354" s="2983"/>
      <c r="M354" s="2984"/>
      <c r="N354" s="716"/>
      <c r="O354" s="2975"/>
      <c r="P354" s="2975"/>
      <c r="Q354" s="2840"/>
      <c r="R354" s="2998"/>
      <c r="S354" s="3061"/>
      <c r="T354" s="3004"/>
      <c r="U354" s="3004"/>
      <c r="W354" s="2998">
        <v>4</v>
      </c>
      <c r="X354" s="3094" t="s">
        <v>2110</v>
      </c>
      <c r="Y354" s="3007" t="s">
        <v>9876</v>
      </c>
      <c r="Z354" s="3011" t="s">
        <v>9877</v>
      </c>
      <c r="AA354" s="3007" t="s">
        <v>9878</v>
      </c>
      <c r="AB354" s="3007" t="s">
        <v>9879</v>
      </c>
      <c r="AC354" s="3007" t="s">
        <v>9880</v>
      </c>
      <c r="AD354" s="3094" t="s">
        <v>2110</v>
      </c>
      <c r="AF354" s="2730">
        <v>1</v>
      </c>
    </row>
    <row r="355" spans="2:32" ht="30" customHeight="1">
      <c r="B355" s="3008"/>
      <c r="C355" s="3013"/>
      <c r="D355" s="3004"/>
      <c r="E355" s="3004"/>
      <c r="F355" s="1"/>
      <c r="G355" s="3008"/>
      <c r="H355" s="2991"/>
      <c r="I355" s="3010"/>
      <c r="J355" s="3010"/>
      <c r="L355" s="2983"/>
      <c r="M355" s="2984"/>
      <c r="N355" s="716"/>
      <c r="O355" s="2975"/>
      <c r="P355" s="2975"/>
      <c r="Q355" s="2840"/>
      <c r="R355" s="2998"/>
      <c r="S355" s="3061"/>
      <c r="T355" s="3004"/>
      <c r="U355" s="3004"/>
      <c r="W355" s="2998">
        <f t="shared" ref="W355" si="46">W354+1</f>
        <v>5</v>
      </c>
      <c r="X355" s="3094" t="s">
        <v>2121</v>
      </c>
      <c r="Y355" s="3007" t="s">
        <v>9881</v>
      </c>
      <c r="Z355" s="3011" t="s">
        <v>9882</v>
      </c>
      <c r="AA355" s="3007" t="s">
        <v>9883</v>
      </c>
      <c r="AB355" s="3007" t="s">
        <v>9884</v>
      </c>
      <c r="AC355" s="3011" t="s">
        <v>9885</v>
      </c>
      <c r="AD355" s="3094" t="s">
        <v>2121</v>
      </c>
      <c r="AF355" s="2730">
        <v>1</v>
      </c>
    </row>
    <row r="356" spans="2:32" ht="30" customHeight="1">
      <c r="B356" s="3008"/>
      <c r="C356" s="3013"/>
      <c r="D356" s="3004"/>
      <c r="E356" s="3004"/>
      <c r="F356" s="1"/>
      <c r="G356" s="3008"/>
      <c r="H356" s="2991"/>
      <c r="I356" s="3010"/>
      <c r="J356" s="3010"/>
      <c r="L356" s="2983"/>
      <c r="M356" s="2984"/>
      <c r="N356" s="716"/>
      <c r="O356" s="2975"/>
      <c r="P356" s="2975"/>
      <c r="Q356" s="2840"/>
      <c r="R356" s="2998"/>
      <c r="S356" s="3061"/>
      <c r="T356" s="3004"/>
      <c r="U356" s="3004"/>
      <c r="W356" s="2998">
        <v>5</v>
      </c>
      <c r="X356" s="3094" t="s">
        <v>2133</v>
      </c>
      <c r="Y356" s="3007" t="s">
        <v>9886</v>
      </c>
      <c r="Z356" s="3011" t="s">
        <v>9887</v>
      </c>
      <c r="AA356" s="3007" t="s">
        <v>9888</v>
      </c>
      <c r="AB356" s="3011" t="s">
        <v>9889</v>
      </c>
      <c r="AC356" s="3011" t="s">
        <v>9890</v>
      </c>
      <c r="AD356" s="3094" t="s">
        <v>2133</v>
      </c>
      <c r="AF356" s="2730">
        <v>1</v>
      </c>
    </row>
    <row r="357" spans="2:32" ht="30" customHeight="1">
      <c r="B357" s="3008"/>
      <c r="C357" s="3013"/>
      <c r="D357" s="3004"/>
      <c r="E357" s="3004"/>
      <c r="F357" s="1"/>
      <c r="G357" s="3008"/>
      <c r="H357" s="2991"/>
      <c r="I357" s="3010"/>
      <c r="J357" s="3010"/>
      <c r="L357" s="2983"/>
      <c r="M357" s="2984"/>
      <c r="N357" s="716"/>
      <c r="O357" s="2975"/>
      <c r="P357" s="2975"/>
      <c r="Q357" s="2840"/>
      <c r="R357" s="2998"/>
      <c r="S357" s="3061"/>
      <c r="T357" s="3004"/>
      <c r="U357" s="3004"/>
      <c r="W357" s="2998">
        <f t="shared" ref="W357" si="47">W356+1</f>
        <v>6</v>
      </c>
      <c r="X357" s="3094" t="s">
        <v>9891</v>
      </c>
      <c r="Y357" s="3007" t="s">
        <v>9892</v>
      </c>
      <c r="Z357" s="3011" t="s">
        <v>9893</v>
      </c>
      <c r="AA357" s="3007" t="s">
        <v>9894</v>
      </c>
      <c r="AB357" s="3007" t="s">
        <v>9895</v>
      </c>
      <c r="AC357" s="3007" t="s">
        <v>9896</v>
      </c>
      <c r="AD357" s="3094" t="s">
        <v>9891</v>
      </c>
      <c r="AF357" s="2730">
        <v>1</v>
      </c>
    </row>
    <row r="358" spans="2:32" ht="30" customHeight="1">
      <c r="B358" s="3008"/>
      <c r="C358" s="3013"/>
      <c r="D358" s="3004"/>
      <c r="E358" s="3004"/>
      <c r="F358" s="1"/>
      <c r="G358" s="3008"/>
      <c r="H358" s="2991"/>
      <c r="I358" s="3010"/>
      <c r="J358" s="3010"/>
      <c r="L358" s="2983"/>
      <c r="M358" s="2984"/>
      <c r="N358" s="716"/>
      <c r="O358" s="2975"/>
      <c r="P358" s="2975"/>
      <c r="Q358" s="2840"/>
      <c r="R358" s="2998"/>
      <c r="S358" s="3061"/>
      <c r="T358" s="3004"/>
      <c r="U358" s="3004"/>
      <c r="W358" s="2998">
        <v>6</v>
      </c>
      <c r="X358" s="3094" t="s">
        <v>9897</v>
      </c>
      <c r="Y358" s="3007" t="s">
        <v>9898</v>
      </c>
      <c r="Z358" s="3011" t="s">
        <v>9899</v>
      </c>
      <c r="AA358" s="3007" t="s">
        <v>9900</v>
      </c>
      <c r="AB358" s="3011" t="s">
        <v>9901</v>
      </c>
      <c r="AC358" s="3011" t="s">
        <v>9902</v>
      </c>
      <c r="AD358" s="3094" t="s">
        <v>9897</v>
      </c>
      <c r="AF358" s="2730">
        <v>1</v>
      </c>
    </row>
    <row r="359" spans="2:32" ht="30" customHeight="1">
      <c r="B359" s="3008"/>
      <c r="C359" s="3013"/>
      <c r="D359" s="3004"/>
      <c r="E359" s="3004"/>
      <c r="F359" s="1"/>
      <c r="G359" s="3008"/>
      <c r="H359" s="2991"/>
      <c r="I359" s="3010"/>
      <c r="J359" s="3010"/>
      <c r="L359" s="2983"/>
      <c r="M359" s="2984"/>
      <c r="N359" s="716"/>
      <c r="O359" s="2975"/>
      <c r="P359" s="2975"/>
      <c r="Q359" s="2840"/>
      <c r="R359" s="2998"/>
      <c r="S359" s="3061"/>
      <c r="T359" s="3004"/>
      <c r="U359" s="3004"/>
      <c r="W359" s="2998">
        <f t="shared" ref="W359" si="48">W358+1</f>
        <v>7</v>
      </c>
      <c r="X359" s="3094" t="s">
        <v>9903</v>
      </c>
      <c r="Y359" s="3007" t="s">
        <v>9904</v>
      </c>
      <c r="Z359" s="3011" t="s">
        <v>9905</v>
      </c>
      <c r="AA359" s="3007" t="s">
        <v>9906</v>
      </c>
      <c r="AB359" s="3011" t="s">
        <v>9907</v>
      </c>
      <c r="AC359" s="3011" t="s">
        <v>9908</v>
      </c>
      <c r="AD359" s="3094" t="s">
        <v>9903</v>
      </c>
      <c r="AF359" s="2730">
        <v>1</v>
      </c>
    </row>
    <row r="360" spans="2:32" ht="30" customHeight="1">
      <c r="B360" s="3008"/>
      <c r="C360" s="3013"/>
      <c r="D360" s="3004"/>
      <c r="E360" s="3004"/>
      <c r="F360" s="1"/>
      <c r="G360" s="3008"/>
      <c r="H360" s="2991"/>
      <c r="I360" s="3010"/>
      <c r="J360" s="3010"/>
      <c r="L360" s="2983"/>
      <c r="M360" s="2984"/>
      <c r="N360" s="716"/>
      <c r="O360" s="2975"/>
      <c r="P360" s="2975"/>
      <c r="Q360" s="2840"/>
      <c r="R360" s="2998"/>
      <c r="S360" s="3061"/>
      <c r="T360" s="3004"/>
      <c r="U360" s="3004"/>
      <c r="W360" s="2998">
        <v>7</v>
      </c>
      <c r="X360" s="3094" t="s">
        <v>9909</v>
      </c>
      <c r="Y360" s="3007" t="s">
        <v>9910</v>
      </c>
      <c r="Z360" s="3011" t="s">
        <v>9911</v>
      </c>
      <c r="AA360" s="3007" t="s">
        <v>9912</v>
      </c>
      <c r="AB360" s="3011" t="s">
        <v>9913</v>
      </c>
      <c r="AC360" s="3011" t="s">
        <v>9914</v>
      </c>
      <c r="AD360" s="3094" t="s">
        <v>9909</v>
      </c>
      <c r="AF360" s="2730">
        <v>1</v>
      </c>
    </row>
    <row r="361" spans="2:32" ht="30" customHeight="1">
      <c r="B361" s="3008"/>
      <c r="C361" s="3013"/>
      <c r="D361" s="3004"/>
      <c r="E361" s="3004"/>
      <c r="F361" s="1"/>
      <c r="G361" s="3008"/>
      <c r="H361" s="2991"/>
      <c r="I361" s="3010"/>
      <c r="J361" s="3010"/>
      <c r="L361" s="2983"/>
      <c r="M361" s="2984"/>
      <c r="N361" s="716"/>
      <c r="O361" s="2975"/>
      <c r="P361" s="2975"/>
      <c r="Q361" s="2840"/>
      <c r="R361" s="2998"/>
      <c r="S361" s="3061"/>
      <c r="T361" s="3004"/>
      <c r="U361" s="3004"/>
      <c r="W361" s="2998">
        <f t="shared" ref="W361" si="49">W360+1</f>
        <v>8</v>
      </c>
      <c r="X361" s="3094" t="s">
        <v>2151</v>
      </c>
      <c r="Y361" s="3007" t="s">
        <v>9915</v>
      </c>
      <c r="Z361" s="3011" t="s">
        <v>9916</v>
      </c>
      <c r="AA361" s="3007" t="s">
        <v>9917</v>
      </c>
      <c r="AB361" s="3011" t="s">
        <v>9918</v>
      </c>
      <c r="AC361" s="3011" t="s">
        <v>9919</v>
      </c>
      <c r="AD361" s="3094" t="s">
        <v>2151</v>
      </c>
      <c r="AF361" s="2730">
        <v>1</v>
      </c>
    </row>
    <row r="362" spans="2:32" ht="30" customHeight="1">
      <c r="B362" s="3008"/>
      <c r="C362" s="3013"/>
      <c r="D362" s="3004"/>
      <c r="E362" s="3004"/>
      <c r="F362" s="1"/>
      <c r="G362" s="3008"/>
      <c r="H362" s="2991"/>
      <c r="I362" s="3010"/>
      <c r="J362" s="3010"/>
      <c r="L362" s="2983"/>
      <c r="M362" s="2984"/>
      <c r="N362" s="716"/>
      <c r="O362" s="2975"/>
      <c r="P362" s="2975"/>
      <c r="Q362" s="2840"/>
      <c r="R362" s="2998"/>
      <c r="S362" s="3061"/>
      <c r="T362" s="3004"/>
      <c r="U362" s="3004"/>
      <c r="W362" s="2998">
        <v>8</v>
      </c>
      <c r="X362" s="3094" t="s">
        <v>9920</v>
      </c>
      <c r="Y362" s="3007" t="s">
        <v>9921</v>
      </c>
      <c r="Z362" s="3011" t="s">
        <v>9922</v>
      </c>
      <c r="AA362" s="3007" t="s">
        <v>9923</v>
      </c>
      <c r="AB362" s="3011" t="s">
        <v>9924</v>
      </c>
      <c r="AC362" s="3011" t="s">
        <v>9925</v>
      </c>
      <c r="AD362" s="3094" t="s">
        <v>9920</v>
      </c>
      <c r="AF362" s="2730">
        <v>1</v>
      </c>
    </row>
    <row r="363" spans="2:32" ht="30" customHeight="1">
      <c r="B363" s="3008"/>
      <c r="C363" s="3013"/>
      <c r="D363" s="3004"/>
      <c r="E363" s="3004"/>
      <c r="F363" s="1"/>
      <c r="G363" s="3008"/>
      <c r="H363" s="2991"/>
      <c r="I363" s="3010"/>
      <c r="J363" s="3010"/>
      <c r="L363" s="2983"/>
      <c r="M363" s="2984"/>
      <c r="N363" s="716"/>
      <c r="O363" s="2975"/>
      <c r="P363" s="2975"/>
      <c r="Q363" s="2840"/>
      <c r="R363" s="2998"/>
      <c r="S363" s="3061"/>
      <c r="T363" s="3004"/>
      <c r="U363" s="3004"/>
      <c r="W363" s="2998">
        <f t="shared" ref="W363" si="50">W362+1</f>
        <v>9</v>
      </c>
      <c r="X363" s="3094" t="s">
        <v>2858</v>
      </c>
      <c r="Y363" s="3007" t="s">
        <v>9926</v>
      </c>
      <c r="Z363" s="3011" t="s">
        <v>9927</v>
      </c>
      <c r="AA363" s="3007" t="s">
        <v>9928</v>
      </c>
      <c r="AB363" s="3007" t="s">
        <v>9929</v>
      </c>
      <c r="AC363" s="3007" t="s">
        <v>9930</v>
      </c>
      <c r="AD363" s="3094" t="s">
        <v>2858</v>
      </c>
      <c r="AF363" s="2730">
        <v>1</v>
      </c>
    </row>
    <row r="364" spans="2:32" ht="30" customHeight="1">
      <c r="B364" s="3008"/>
      <c r="C364" s="3013"/>
      <c r="D364" s="3004"/>
      <c r="E364" s="3004"/>
      <c r="F364" s="1"/>
      <c r="G364" s="3008"/>
      <c r="H364" s="2991"/>
      <c r="I364" s="3010"/>
      <c r="J364" s="3010"/>
      <c r="L364" s="2983"/>
      <c r="M364" s="2984"/>
      <c r="N364" s="716"/>
      <c r="O364" s="2975"/>
      <c r="P364" s="2975"/>
      <c r="Q364" s="2840"/>
      <c r="R364" s="2998"/>
      <c r="S364" s="3061"/>
      <c r="T364" s="3004"/>
      <c r="U364" s="3004"/>
      <c r="W364" s="2998">
        <v>9</v>
      </c>
      <c r="X364" s="3094" t="s">
        <v>2174</v>
      </c>
      <c r="Y364" s="3007" t="s">
        <v>9931</v>
      </c>
      <c r="Z364" s="3011" t="s">
        <v>9932</v>
      </c>
      <c r="AA364" s="3007" t="s">
        <v>9933</v>
      </c>
      <c r="AB364" s="3011" t="s">
        <v>9934</v>
      </c>
      <c r="AC364" s="3011" t="s">
        <v>9935</v>
      </c>
      <c r="AD364" s="3094" t="s">
        <v>2174</v>
      </c>
      <c r="AF364" s="2730">
        <v>1</v>
      </c>
    </row>
    <row r="365" spans="2:32" ht="30" customHeight="1">
      <c r="B365" s="3008"/>
      <c r="C365" s="3013"/>
      <c r="D365" s="3004"/>
      <c r="E365" s="3004"/>
      <c r="F365" s="1"/>
      <c r="G365" s="3008"/>
      <c r="H365" s="2991"/>
      <c r="I365" s="3010"/>
      <c r="J365" s="3010"/>
      <c r="L365" s="2983"/>
      <c r="M365" s="2984"/>
      <c r="N365" s="716"/>
      <c r="O365" s="2975"/>
      <c r="P365" s="2975"/>
      <c r="Q365" s="2840"/>
      <c r="R365" s="2998"/>
      <c r="S365" s="3061"/>
      <c r="T365" s="3004"/>
      <c r="U365" s="3004"/>
      <c r="W365" s="2998">
        <f t="shared" ref="W365" si="51">W364+1</f>
        <v>10</v>
      </c>
      <c r="X365" s="3094" t="s">
        <v>9936</v>
      </c>
      <c r="Y365" s="3004" t="s">
        <v>9937</v>
      </c>
      <c r="Z365" s="3004" t="s">
        <v>9938</v>
      </c>
      <c r="AA365" s="3007" t="s">
        <v>9939</v>
      </c>
      <c r="AB365" s="3007" t="s">
        <v>9940</v>
      </c>
      <c r="AC365" s="3007" t="s">
        <v>9941</v>
      </c>
      <c r="AD365" s="3094" t="s">
        <v>9936</v>
      </c>
      <c r="AF365" s="2730">
        <v>1</v>
      </c>
    </row>
    <row r="366" spans="2:32" ht="30" customHeight="1">
      <c r="B366" s="3008"/>
      <c r="C366" s="3013"/>
      <c r="D366" s="3004"/>
      <c r="E366" s="3004"/>
      <c r="F366" s="1"/>
      <c r="G366" s="3008"/>
      <c r="H366" s="2991"/>
      <c r="I366" s="3010"/>
      <c r="J366" s="3010"/>
      <c r="L366" s="2983"/>
      <c r="M366" s="2984"/>
      <c r="N366" s="716"/>
      <c r="O366" s="2975"/>
      <c r="P366" s="2975"/>
      <c r="Q366" s="2840"/>
      <c r="R366" s="2998"/>
      <c r="S366" s="3061"/>
      <c r="T366" s="3004"/>
      <c r="U366" s="3004"/>
      <c r="W366" s="2998">
        <v>10</v>
      </c>
      <c r="X366" s="3094" t="s">
        <v>9942</v>
      </c>
      <c r="Y366" s="3007" t="s">
        <v>9943</v>
      </c>
      <c r="Z366" s="3011" t="s">
        <v>9944</v>
      </c>
      <c r="AA366" s="3007" t="s">
        <v>9945</v>
      </c>
      <c r="AB366" s="3007" t="s">
        <v>9946</v>
      </c>
      <c r="AC366" s="3007" t="s">
        <v>9947</v>
      </c>
      <c r="AD366" s="3094" t="s">
        <v>9942</v>
      </c>
      <c r="AF366" s="2730">
        <v>1</v>
      </c>
    </row>
    <row r="367" spans="2:32" ht="30" customHeight="1">
      <c r="B367" s="3008"/>
      <c r="C367" s="3013"/>
      <c r="D367" s="3004"/>
      <c r="E367" s="3004"/>
      <c r="F367" s="1"/>
      <c r="G367" s="3008"/>
      <c r="H367" s="2991"/>
      <c r="I367" s="3010"/>
      <c r="J367" s="3010"/>
      <c r="L367" s="2983"/>
      <c r="M367" s="2984"/>
      <c r="N367" s="716"/>
      <c r="O367" s="2975"/>
      <c r="P367" s="2975"/>
      <c r="Q367" s="2840"/>
      <c r="R367" s="2998"/>
      <c r="S367" s="3061"/>
      <c r="T367" s="3004"/>
      <c r="U367" s="3004"/>
      <c r="W367" s="2998">
        <f t="shared" ref="W367" si="52">W366+1</f>
        <v>11</v>
      </c>
      <c r="X367" s="3094" t="s">
        <v>2179</v>
      </c>
      <c r="Y367" s="3007" t="s">
        <v>9948</v>
      </c>
      <c r="Z367" s="3011" t="s">
        <v>9949</v>
      </c>
      <c r="AA367" s="3007" t="s">
        <v>9950</v>
      </c>
      <c r="AB367" s="3011" t="s">
        <v>9951</v>
      </c>
      <c r="AC367" s="3011" t="s">
        <v>9952</v>
      </c>
      <c r="AD367" s="3094" t="s">
        <v>2179</v>
      </c>
      <c r="AF367" s="2730">
        <v>1</v>
      </c>
    </row>
    <row r="368" spans="2:32" ht="30" customHeight="1">
      <c r="B368" s="3008"/>
      <c r="C368" s="3013"/>
      <c r="D368" s="3004"/>
      <c r="E368" s="3004"/>
      <c r="F368" s="1"/>
      <c r="G368" s="3008"/>
      <c r="H368" s="2991"/>
      <c r="I368" s="3010"/>
      <c r="J368" s="3010"/>
      <c r="L368" s="2983"/>
      <c r="M368" s="2984"/>
      <c r="N368" s="716"/>
      <c r="O368" s="2975"/>
      <c r="P368" s="2975"/>
      <c r="Q368" s="2840"/>
      <c r="R368" s="2998"/>
      <c r="S368" s="3061"/>
      <c r="T368" s="3004"/>
      <c r="U368" s="3004"/>
      <c r="W368" s="2998">
        <v>11</v>
      </c>
      <c r="X368" s="3094" t="s">
        <v>2860</v>
      </c>
      <c r="Y368" s="3007" t="s">
        <v>9953</v>
      </c>
      <c r="Z368" s="3011" t="s">
        <v>9954</v>
      </c>
      <c r="AA368" s="3007" t="s">
        <v>9955</v>
      </c>
      <c r="AB368" s="3007" t="s">
        <v>9956</v>
      </c>
      <c r="AC368" s="3007" t="s">
        <v>9957</v>
      </c>
      <c r="AD368" s="3094" t="s">
        <v>2860</v>
      </c>
      <c r="AF368" s="2730">
        <v>1</v>
      </c>
    </row>
    <row r="369" spans="2:32" ht="30" customHeight="1">
      <c r="B369" s="3008"/>
      <c r="C369" s="3013"/>
      <c r="D369" s="3004"/>
      <c r="E369" s="3004"/>
      <c r="F369" s="1"/>
      <c r="G369" s="3008"/>
      <c r="H369" s="2991"/>
      <c r="I369" s="3010"/>
      <c r="J369" s="3010"/>
      <c r="L369" s="2983"/>
      <c r="M369" s="2984"/>
      <c r="N369" s="716"/>
      <c r="O369" s="2975"/>
      <c r="P369" s="2975"/>
      <c r="Q369" s="2840"/>
      <c r="R369" s="2998"/>
      <c r="S369" s="3061"/>
      <c r="T369" s="3004"/>
      <c r="U369" s="3004"/>
      <c r="W369" s="2998">
        <f t="shared" ref="W369" si="53">W368+1</f>
        <v>12</v>
      </c>
      <c r="X369" s="3094" t="s">
        <v>2862</v>
      </c>
      <c r="Y369" s="3007" t="s">
        <v>9958</v>
      </c>
      <c r="Z369" s="3011" t="s">
        <v>9959</v>
      </c>
      <c r="AA369" s="3007" t="s">
        <v>9960</v>
      </c>
      <c r="AB369" s="3007" t="s">
        <v>9961</v>
      </c>
      <c r="AC369" s="3007" t="s">
        <v>9962</v>
      </c>
      <c r="AD369" s="3094" t="s">
        <v>2862</v>
      </c>
      <c r="AF369" s="2730">
        <v>1</v>
      </c>
    </row>
    <row r="370" spans="2:32" ht="30" customHeight="1">
      <c r="B370" s="3008"/>
      <c r="C370" s="3013"/>
      <c r="D370" s="3004"/>
      <c r="E370" s="3004"/>
      <c r="F370" s="1"/>
      <c r="G370" s="3008"/>
      <c r="H370" s="2991"/>
      <c r="I370" s="3010"/>
      <c r="J370" s="3010"/>
      <c r="L370" s="2983"/>
      <c r="M370" s="2984"/>
      <c r="N370" s="716"/>
      <c r="O370" s="2975"/>
      <c r="P370" s="2975"/>
      <c r="Q370" s="2840"/>
      <c r="R370" s="2998"/>
      <c r="S370" s="3061"/>
      <c r="T370" s="3004"/>
      <c r="U370" s="3004"/>
      <c r="W370" s="2998">
        <v>12</v>
      </c>
      <c r="X370" s="3094" t="s">
        <v>2188</v>
      </c>
      <c r="Y370" s="3007" t="s">
        <v>9963</v>
      </c>
      <c r="Z370" s="3011" t="s">
        <v>9964</v>
      </c>
      <c r="AA370" s="3007" t="s">
        <v>9965</v>
      </c>
      <c r="AB370" s="3011" t="s">
        <v>9966</v>
      </c>
      <c r="AC370" s="3011" t="s">
        <v>9967</v>
      </c>
      <c r="AD370" s="3094" t="s">
        <v>2188</v>
      </c>
      <c r="AF370" s="2730">
        <v>1</v>
      </c>
    </row>
    <row r="371" spans="2:32" ht="30" customHeight="1">
      <c r="B371" s="3008"/>
      <c r="C371" s="3013"/>
      <c r="D371" s="3004"/>
      <c r="E371" s="3004"/>
      <c r="F371" s="1"/>
      <c r="G371" s="3008"/>
      <c r="H371" s="2991"/>
      <c r="I371" s="3010"/>
      <c r="J371" s="3010"/>
      <c r="L371" s="2983"/>
      <c r="M371" s="2984"/>
      <c r="N371" s="716"/>
      <c r="O371" s="2975"/>
      <c r="P371" s="2975"/>
      <c r="Q371" s="2840"/>
      <c r="R371" s="2998"/>
      <c r="S371" s="3061"/>
      <c r="T371" s="3004"/>
      <c r="U371" s="3004"/>
      <c r="W371" s="2998">
        <f t="shared" ref="W371" si="54">W370+1</f>
        <v>13</v>
      </c>
      <c r="X371" s="3094" t="s">
        <v>9968</v>
      </c>
      <c r="Y371" s="3007" t="s">
        <v>9969</v>
      </c>
      <c r="Z371" s="3011" t="s">
        <v>9970</v>
      </c>
      <c r="AA371" s="3007" t="s">
        <v>9971</v>
      </c>
      <c r="AB371" s="3011" t="s">
        <v>9972</v>
      </c>
      <c r="AC371" s="3011" t="s">
        <v>9973</v>
      </c>
      <c r="AD371" s="3094" t="s">
        <v>9968</v>
      </c>
      <c r="AF371" s="2730">
        <v>1</v>
      </c>
    </row>
    <row r="372" spans="2:32" ht="30" customHeight="1">
      <c r="B372" s="3008"/>
      <c r="C372" s="3013"/>
      <c r="D372" s="3004"/>
      <c r="E372" s="3004"/>
      <c r="F372" s="1"/>
      <c r="G372" s="3008"/>
      <c r="H372" s="2991"/>
      <c r="I372" s="3010"/>
      <c r="J372" s="3010"/>
      <c r="L372" s="2983"/>
      <c r="M372" s="2984"/>
      <c r="N372" s="716"/>
      <c r="O372" s="2975"/>
      <c r="P372" s="2975"/>
      <c r="Q372" s="2840"/>
      <c r="R372" s="2998"/>
      <c r="S372" s="3061"/>
      <c r="T372" s="3004"/>
      <c r="U372" s="3004"/>
      <c r="W372" s="2998">
        <v>13</v>
      </c>
      <c r="X372" s="3094" t="s">
        <v>9974</v>
      </c>
      <c r="Y372" s="3007" t="s">
        <v>9975</v>
      </c>
      <c r="Z372" s="3011" t="s">
        <v>9976</v>
      </c>
      <c r="AA372" s="3007" t="s">
        <v>8778</v>
      </c>
      <c r="AB372" s="3011" t="s">
        <v>9977</v>
      </c>
      <c r="AC372" s="3011" t="s">
        <v>9978</v>
      </c>
      <c r="AD372" s="3094" t="s">
        <v>9974</v>
      </c>
      <c r="AF372" s="2730">
        <v>1</v>
      </c>
    </row>
    <row r="373" spans="2:32" ht="30" customHeight="1">
      <c r="B373" s="3008"/>
      <c r="C373" s="3013"/>
      <c r="D373" s="3004"/>
      <c r="E373" s="3004"/>
      <c r="F373" s="1"/>
      <c r="G373" s="3008"/>
      <c r="H373" s="2991"/>
      <c r="I373" s="3010"/>
      <c r="J373" s="3010"/>
      <c r="L373" s="2983"/>
      <c r="M373" s="2984"/>
      <c r="N373" s="716"/>
      <c r="O373" s="2975"/>
      <c r="P373" s="2975"/>
      <c r="Q373" s="2840"/>
      <c r="R373" s="2998"/>
      <c r="S373" s="3061"/>
      <c r="T373" s="3004"/>
      <c r="U373" s="3004"/>
      <c r="W373" s="2998">
        <f t="shared" ref="W373" si="55">W372+1</f>
        <v>14</v>
      </c>
      <c r="X373" s="3094" t="s">
        <v>2196</v>
      </c>
      <c r="Y373" s="3007" t="s">
        <v>9979</v>
      </c>
      <c r="Z373" s="3011" t="s">
        <v>9980</v>
      </c>
      <c r="AA373" s="3007" t="s">
        <v>9981</v>
      </c>
      <c r="AB373" s="3007" t="s">
        <v>9982</v>
      </c>
      <c r="AC373" s="3007" t="s">
        <v>9983</v>
      </c>
      <c r="AD373" s="3094" t="s">
        <v>2196</v>
      </c>
      <c r="AF373" s="2730">
        <v>1</v>
      </c>
    </row>
    <row r="374" spans="2:32" ht="30" customHeight="1">
      <c r="B374" s="3008"/>
      <c r="C374" s="3013"/>
      <c r="D374" s="3004"/>
      <c r="E374" s="3004"/>
      <c r="F374" s="1"/>
      <c r="G374" s="3008"/>
      <c r="H374" s="2991"/>
      <c r="I374" s="3010"/>
      <c r="J374" s="3010"/>
      <c r="L374" s="2983"/>
      <c r="M374" s="2984"/>
      <c r="N374" s="716"/>
      <c r="O374" s="2975"/>
      <c r="P374" s="2975"/>
      <c r="Q374" s="2840"/>
      <c r="R374" s="2998"/>
      <c r="S374" s="3061"/>
      <c r="T374" s="3004"/>
      <c r="U374" s="3004"/>
      <c r="W374" s="2998">
        <v>14</v>
      </c>
      <c r="X374" s="3094" t="s">
        <v>9984</v>
      </c>
      <c r="Y374" s="3007" t="s">
        <v>9985</v>
      </c>
      <c r="Z374" s="3011" t="s">
        <v>9986</v>
      </c>
      <c r="AA374" s="3007" t="s">
        <v>9987</v>
      </c>
      <c r="AB374" s="3011" t="s">
        <v>9988</v>
      </c>
      <c r="AC374" s="3011" t="s">
        <v>9989</v>
      </c>
      <c r="AD374" s="3094" t="s">
        <v>9984</v>
      </c>
      <c r="AF374" s="2730">
        <v>1</v>
      </c>
    </row>
    <row r="375" spans="2:32" ht="30" customHeight="1">
      <c r="B375" s="3008"/>
      <c r="C375" s="3013"/>
      <c r="D375" s="3004"/>
      <c r="E375" s="3004"/>
      <c r="F375" s="1"/>
      <c r="G375" s="3008"/>
      <c r="H375" s="2991"/>
      <c r="I375" s="3010"/>
      <c r="J375" s="3010"/>
      <c r="L375" s="2983"/>
      <c r="M375" s="2984"/>
      <c r="N375" s="716"/>
      <c r="O375" s="2975"/>
      <c r="P375" s="2975"/>
      <c r="Q375" s="2840"/>
      <c r="R375" s="2998"/>
      <c r="S375" s="3061"/>
      <c r="T375" s="3004"/>
      <c r="U375" s="3004"/>
      <c r="W375" s="2998">
        <f t="shared" ref="W375" si="56">W374+1</f>
        <v>15</v>
      </c>
      <c r="X375" s="3094" t="s">
        <v>9990</v>
      </c>
      <c r="Y375" s="3007" t="s">
        <v>9991</v>
      </c>
      <c r="Z375" s="3011" t="s">
        <v>9992</v>
      </c>
      <c r="AA375" s="3007" t="s">
        <v>9993</v>
      </c>
      <c r="AB375" s="3011" t="s">
        <v>9994</v>
      </c>
      <c r="AC375" s="3011" t="s">
        <v>9995</v>
      </c>
      <c r="AD375" s="3094" t="s">
        <v>9990</v>
      </c>
      <c r="AF375" s="2730">
        <v>1</v>
      </c>
    </row>
    <row r="376" spans="2:32" ht="30" customHeight="1">
      <c r="B376" s="3008"/>
      <c r="C376" s="3013"/>
      <c r="D376" s="3004"/>
      <c r="E376" s="3004"/>
      <c r="F376" s="1"/>
      <c r="G376" s="3008"/>
      <c r="H376" s="2991"/>
      <c r="I376" s="3010"/>
      <c r="J376" s="3010"/>
      <c r="L376" s="2983"/>
      <c r="M376" s="2984"/>
      <c r="N376" s="716"/>
      <c r="O376" s="2975"/>
      <c r="P376" s="2975"/>
      <c r="Q376" s="2840"/>
      <c r="R376" s="2998"/>
      <c r="S376" s="3061"/>
      <c r="T376" s="3004"/>
      <c r="U376" s="3004"/>
      <c r="W376" s="2998">
        <v>15</v>
      </c>
      <c r="X376" s="3094" t="s">
        <v>9996</v>
      </c>
      <c r="Y376" s="3007" t="s">
        <v>9997</v>
      </c>
      <c r="Z376" s="3011" t="s">
        <v>9998</v>
      </c>
      <c r="AA376" s="3007" t="s">
        <v>9999</v>
      </c>
      <c r="AB376" s="3011" t="s">
        <v>10000</v>
      </c>
      <c r="AC376" s="3011" t="s">
        <v>10001</v>
      </c>
      <c r="AD376" s="3094" t="s">
        <v>9996</v>
      </c>
      <c r="AF376" s="2730">
        <v>1</v>
      </c>
    </row>
    <row r="377" spans="2:32" ht="30" customHeight="1">
      <c r="B377" s="3008"/>
      <c r="C377" s="3013"/>
      <c r="D377" s="3004"/>
      <c r="E377" s="3004"/>
      <c r="F377" s="1"/>
      <c r="G377" s="3008"/>
      <c r="H377" s="2991"/>
      <c r="I377" s="3010"/>
      <c r="J377" s="3010"/>
      <c r="L377" s="2983"/>
      <c r="M377" s="2984"/>
      <c r="N377" s="716"/>
      <c r="O377" s="2975"/>
      <c r="P377" s="2975"/>
      <c r="Q377" s="2840"/>
      <c r="R377" s="2998"/>
      <c r="S377" s="3061"/>
      <c r="T377" s="3004"/>
      <c r="U377" s="3004"/>
      <c r="W377" s="2998">
        <f t="shared" ref="W377" si="57">W376+1</f>
        <v>16</v>
      </c>
      <c r="X377" s="3094" t="s">
        <v>2084</v>
      </c>
      <c r="Y377" s="3007" t="s">
        <v>10002</v>
      </c>
      <c r="Z377" s="3011" t="s">
        <v>10003</v>
      </c>
      <c r="AA377" s="3007" t="s">
        <v>10004</v>
      </c>
      <c r="AB377" s="3011" t="s">
        <v>10005</v>
      </c>
      <c r="AC377" s="3011" t="s">
        <v>10006</v>
      </c>
      <c r="AD377" s="3094" t="s">
        <v>2084</v>
      </c>
      <c r="AF377" s="2730">
        <v>1</v>
      </c>
    </row>
    <row r="378" spans="2:32" ht="30" customHeight="1">
      <c r="B378" s="3008"/>
      <c r="C378" s="3013"/>
      <c r="D378" s="3004"/>
      <c r="E378" s="3004"/>
      <c r="F378" s="1"/>
      <c r="G378" s="3008"/>
      <c r="H378" s="2991"/>
      <c r="I378" s="3010"/>
      <c r="J378" s="3010"/>
      <c r="L378" s="2983"/>
      <c r="M378" s="2984"/>
      <c r="N378" s="716"/>
      <c r="O378" s="2975"/>
      <c r="P378" s="2975"/>
      <c r="Q378" s="2840"/>
      <c r="R378" s="2998"/>
      <c r="S378" s="3061"/>
      <c r="T378" s="3004"/>
      <c r="U378" s="3004"/>
      <c r="W378" s="2998">
        <v>16</v>
      </c>
      <c r="X378" s="3094" t="s">
        <v>2199</v>
      </c>
      <c r="Y378" s="3007" t="s">
        <v>10007</v>
      </c>
      <c r="Z378" s="3011" t="s">
        <v>10008</v>
      </c>
      <c r="AA378" s="3007" t="s">
        <v>10009</v>
      </c>
      <c r="AB378" s="3011" t="s">
        <v>10010</v>
      </c>
      <c r="AC378" s="3011" t="s">
        <v>10011</v>
      </c>
      <c r="AD378" s="3094" t="s">
        <v>2199</v>
      </c>
      <c r="AF378" s="2730">
        <v>1</v>
      </c>
    </row>
    <row r="379" spans="2:32" ht="30" customHeight="1">
      <c r="B379" s="3008"/>
      <c r="C379" s="3013"/>
      <c r="D379" s="3004"/>
      <c r="E379" s="3004"/>
      <c r="F379" s="1"/>
      <c r="G379" s="3008"/>
      <c r="H379" s="2991"/>
      <c r="I379" s="3010"/>
      <c r="J379" s="3010"/>
      <c r="L379" s="2983"/>
      <c r="M379" s="2984"/>
      <c r="N379" s="716"/>
      <c r="O379" s="2975"/>
      <c r="P379" s="2975"/>
      <c r="Q379" s="2840"/>
      <c r="R379" s="2998"/>
      <c r="S379" s="3061"/>
      <c r="T379" s="3004"/>
      <c r="U379" s="3004"/>
      <c r="W379" s="2998">
        <f t="shared" ref="W379" si="58">W378+1</f>
        <v>17</v>
      </c>
      <c r="X379" s="3094" t="s">
        <v>2207</v>
      </c>
      <c r="Y379" s="3007" t="s">
        <v>10012</v>
      </c>
      <c r="Z379" s="3011" t="s">
        <v>10013</v>
      </c>
      <c r="AA379" s="3007" t="s">
        <v>10014</v>
      </c>
      <c r="AB379" s="3007" t="s">
        <v>10015</v>
      </c>
      <c r="AC379" s="3007" t="s">
        <v>10016</v>
      </c>
      <c r="AD379" s="3094" t="s">
        <v>2207</v>
      </c>
      <c r="AF379" s="2730">
        <v>1</v>
      </c>
    </row>
    <row r="380" spans="2:32" ht="30" customHeight="1">
      <c r="B380" s="3008"/>
      <c r="C380" s="3013"/>
      <c r="D380" s="3004"/>
      <c r="E380" s="3004"/>
      <c r="F380" s="1"/>
      <c r="G380" s="3008"/>
      <c r="H380" s="2991"/>
      <c r="I380" s="3010"/>
      <c r="J380" s="3010"/>
      <c r="L380" s="2983"/>
      <c r="M380" s="2984"/>
      <c r="N380" s="716"/>
      <c r="O380" s="2975"/>
      <c r="P380" s="2975"/>
      <c r="Q380" s="2840"/>
      <c r="R380" s="2998"/>
      <c r="S380" s="3061"/>
      <c r="T380" s="3004"/>
      <c r="U380" s="3004"/>
      <c r="W380" s="2998">
        <v>17</v>
      </c>
      <c r="X380" s="3094" t="s">
        <v>10017</v>
      </c>
      <c r="Y380" s="3007" t="s">
        <v>10018</v>
      </c>
      <c r="Z380" s="3011" t="s">
        <v>10019</v>
      </c>
      <c r="AA380" s="3007" t="s">
        <v>10020</v>
      </c>
      <c r="AB380" s="3007" t="s">
        <v>10021</v>
      </c>
      <c r="AC380" s="3007" t="s">
        <v>10022</v>
      </c>
      <c r="AD380" s="3094" t="s">
        <v>10017</v>
      </c>
      <c r="AF380" s="2730">
        <v>1</v>
      </c>
    </row>
    <row r="381" spans="2:32" ht="30" customHeight="1">
      <c r="B381" s="3008"/>
      <c r="C381" s="3013"/>
      <c r="D381" s="3004"/>
      <c r="E381" s="3004"/>
      <c r="F381" s="1"/>
      <c r="G381" s="3008"/>
      <c r="H381" s="2991"/>
      <c r="I381" s="3010"/>
      <c r="J381" s="3010"/>
      <c r="L381" s="2983"/>
      <c r="M381" s="2984"/>
      <c r="N381" s="716"/>
      <c r="O381" s="2975"/>
      <c r="P381" s="2975"/>
      <c r="Q381" s="2840"/>
      <c r="R381" s="2998"/>
      <c r="S381" s="3061"/>
      <c r="T381" s="3004"/>
      <c r="U381" s="3004"/>
      <c r="W381" s="2998">
        <f t="shared" ref="W381" si="59">W380+1</f>
        <v>18</v>
      </c>
      <c r="X381" s="3094" t="s">
        <v>10023</v>
      </c>
      <c r="Y381" s="3007" t="s">
        <v>8107</v>
      </c>
      <c r="Z381" s="3011" t="s">
        <v>10024</v>
      </c>
      <c r="AA381" s="3007" t="s">
        <v>10025</v>
      </c>
      <c r="AB381" s="3011" t="s">
        <v>10026</v>
      </c>
      <c r="AC381" s="3011" t="s">
        <v>10027</v>
      </c>
      <c r="AD381" s="3094" t="s">
        <v>10023</v>
      </c>
      <c r="AF381" s="2730">
        <v>1</v>
      </c>
    </row>
    <row r="382" spans="2:32" ht="30" customHeight="1">
      <c r="B382" s="3008"/>
      <c r="C382" s="3013"/>
      <c r="D382" s="3004"/>
      <c r="E382" s="3004"/>
      <c r="F382" s="1"/>
      <c r="G382" s="3008"/>
      <c r="H382" s="2991"/>
      <c r="I382" s="3010"/>
      <c r="J382" s="3010"/>
      <c r="L382" s="2983"/>
      <c r="M382" s="2984"/>
      <c r="N382" s="716"/>
      <c r="O382" s="2975"/>
      <c r="P382" s="2975"/>
      <c r="Q382" s="2840"/>
      <c r="R382" s="2998"/>
      <c r="S382" s="3061"/>
      <c r="T382" s="3004"/>
      <c r="U382" s="3004"/>
      <c r="W382" s="2998">
        <v>18</v>
      </c>
      <c r="X382" s="3094" t="s">
        <v>10028</v>
      </c>
      <c r="Y382" s="3007" t="s">
        <v>10029</v>
      </c>
      <c r="Z382" s="3011" t="s">
        <v>10030</v>
      </c>
      <c r="AA382" s="3007" t="s">
        <v>8757</v>
      </c>
      <c r="AB382" s="3007" t="s">
        <v>8758</v>
      </c>
      <c r="AC382" s="3007" t="s">
        <v>8759</v>
      </c>
      <c r="AD382" s="3094" t="s">
        <v>10028</v>
      </c>
      <c r="AF382" s="2730">
        <v>1</v>
      </c>
    </row>
    <row r="383" spans="2:32" ht="30" customHeight="1">
      <c r="B383" s="3008"/>
      <c r="C383" s="3013"/>
      <c r="D383" s="3004"/>
      <c r="E383" s="3004"/>
      <c r="F383" s="1"/>
      <c r="G383" s="3008"/>
      <c r="H383" s="2991"/>
      <c r="I383" s="3010"/>
      <c r="J383" s="3010"/>
      <c r="L383" s="2983"/>
      <c r="M383" s="2984"/>
      <c r="N383" s="716"/>
      <c r="O383" s="2975"/>
      <c r="P383" s="2975"/>
      <c r="Q383" s="2840"/>
      <c r="R383" s="2998"/>
      <c r="S383" s="3061"/>
      <c r="T383" s="3004"/>
      <c r="U383" s="3004"/>
      <c r="W383" s="2998">
        <f t="shared" ref="W383" si="60">W382+1</f>
        <v>19</v>
      </c>
      <c r="X383" s="3094" t="s">
        <v>10031</v>
      </c>
      <c r="Y383" s="3007" t="s">
        <v>10032</v>
      </c>
      <c r="Z383" s="3011" t="s">
        <v>10033</v>
      </c>
      <c r="AA383" s="3007" t="s">
        <v>8757</v>
      </c>
      <c r="AB383" s="3007" t="s">
        <v>8758</v>
      </c>
      <c r="AC383" s="3007" t="s">
        <v>8759</v>
      </c>
      <c r="AD383" s="3094" t="s">
        <v>10031</v>
      </c>
      <c r="AF383" s="2730">
        <v>1</v>
      </c>
    </row>
    <row r="384" spans="2:32" ht="30" customHeight="1">
      <c r="B384" s="3008"/>
      <c r="C384" s="3013"/>
      <c r="D384" s="3004"/>
      <c r="E384" s="3004"/>
      <c r="F384" s="1"/>
      <c r="G384" s="3008"/>
      <c r="H384" s="2991"/>
      <c r="I384" s="3010"/>
      <c r="J384" s="3010"/>
      <c r="L384" s="2983"/>
      <c r="M384" s="2984"/>
      <c r="N384" s="716"/>
      <c r="O384" s="2975"/>
      <c r="P384" s="2975"/>
      <c r="Q384" s="2840"/>
      <c r="R384" s="2998"/>
      <c r="S384" s="3061"/>
      <c r="T384" s="3004"/>
      <c r="U384" s="3004"/>
      <c r="W384" s="2998">
        <v>19</v>
      </c>
      <c r="X384" s="3094" t="s">
        <v>2214</v>
      </c>
      <c r="Y384" s="3007" t="s">
        <v>10034</v>
      </c>
      <c r="Z384" s="3011" t="s">
        <v>10035</v>
      </c>
      <c r="AA384" s="3007" t="s">
        <v>10036</v>
      </c>
      <c r="AB384" s="3011" t="s">
        <v>10037</v>
      </c>
      <c r="AC384" s="3011" t="s">
        <v>10038</v>
      </c>
      <c r="AD384" s="3094" t="s">
        <v>2214</v>
      </c>
      <c r="AF384" s="2730">
        <v>1</v>
      </c>
    </row>
    <row r="385" spans="2:32" ht="30" customHeight="1">
      <c r="B385" s="3008"/>
      <c r="C385" s="3013"/>
      <c r="D385" s="3004"/>
      <c r="E385" s="3004"/>
      <c r="F385" s="1"/>
      <c r="G385" s="3008"/>
      <c r="H385" s="2991"/>
      <c r="I385" s="3010"/>
      <c r="J385" s="3010"/>
      <c r="L385" s="2983"/>
      <c r="M385" s="2984"/>
      <c r="N385" s="716"/>
      <c r="O385" s="2975"/>
      <c r="P385" s="2975"/>
      <c r="Q385" s="2840"/>
      <c r="R385" s="2998"/>
      <c r="S385" s="3061"/>
      <c r="T385" s="3004"/>
      <c r="U385" s="3004"/>
      <c r="W385" s="2998">
        <f t="shared" ref="W385" si="61">W384+1</f>
        <v>20</v>
      </c>
      <c r="X385" s="3094" t="s">
        <v>2220</v>
      </c>
      <c r="Y385" s="3007" t="s">
        <v>10039</v>
      </c>
      <c r="Z385" s="3011" t="s">
        <v>10040</v>
      </c>
      <c r="AA385" s="3007" t="s">
        <v>10041</v>
      </c>
      <c r="AB385" s="3007" t="s">
        <v>10042</v>
      </c>
      <c r="AC385" s="3007" t="s">
        <v>10043</v>
      </c>
      <c r="AD385" s="3094" t="s">
        <v>2220</v>
      </c>
      <c r="AF385" s="2730">
        <v>1</v>
      </c>
    </row>
    <row r="386" spans="2:32" ht="30" customHeight="1">
      <c r="B386" s="3008"/>
      <c r="C386" s="3013"/>
      <c r="D386" s="3004"/>
      <c r="E386" s="3004"/>
      <c r="F386" s="1"/>
      <c r="G386" s="3008"/>
      <c r="H386" s="2991"/>
      <c r="I386" s="3010"/>
      <c r="J386" s="3010"/>
      <c r="L386" s="2983"/>
      <c r="M386" s="2984"/>
      <c r="N386" s="716"/>
      <c r="O386" s="2975"/>
      <c r="P386" s="2975"/>
      <c r="Q386" s="2840"/>
      <c r="R386" s="2998"/>
      <c r="S386" s="3061"/>
      <c r="T386" s="3004"/>
      <c r="U386" s="3004"/>
      <c r="W386" s="2998">
        <v>20</v>
      </c>
      <c r="X386" s="3094" t="s">
        <v>10044</v>
      </c>
      <c r="Y386" s="3007" t="s">
        <v>10045</v>
      </c>
      <c r="Z386" s="3011" t="s">
        <v>10046</v>
      </c>
      <c r="AA386" s="3007" t="s">
        <v>10047</v>
      </c>
      <c r="AB386" s="3011" t="s">
        <v>10048</v>
      </c>
      <c r="AC386" s="3011" t="s">
        <v>10049</v>
      </c>
      <c r="AD386" s="3094" t="s">
        <v>10044</v>
      </c>
      <c r="AF386" s="2730">
        <v>1</v>
      </c>
    </row>
    <row r="387" spans="2:32" ht="30" customHeight="1">
      <c r="B387" s="3008"/>
      <c r="C387" s="3013"/>
      <c r="D387" s="3004"/>
      <c r="E387" s="3004"/>
      <c r="F387" s="1"/>
      <c r="G387" s="3008"/>
      <c r="H387" s="2991"/>
      <c r="I387" s="3010"/>
      <c r="J387" s="3010"/>
      <c r="L387" s="2983"/>
      <c r="M387" s="2984"/>
      <c r="N387" s="716"/>
      <c r="O387" s="2975"/>
      <c r="P387" s="2975"/>
      <c r="Q387" s="2840"/>
      <c r="R387" s="2998"/>
      <c r="S387" s="3061"/>
      <c r="T387" s="3004"/>
      <c r="U387" s="3004"/>
      <c r="W387" s="2998">
        <f t="shared" ref="W387" si="62">W386+1</f>
        <v>21</v>
      </c>
      <c r="X387" s="3094" t="s">
        <v>2225</v>
      </c>
      <c r="Y387" s="3007" t="s">
        <v>10050</v>
      </c>
      <c r="Z387" s="3011" t="s">
        <v>10051</v>
      </c>
      <c r="AA387" s="3007" t="s">
        <v>10052</v>
      </c>
      <c r="AB387" s="3011" t="s">
        <v>10053</v>
      </c>
      <c r="AC387" s="3011" t="s">
        <v>10054</v>
      </c>
      <c r="AD387" s="3094" t="s">
        <v>2225</v>
      </c>
      <c r="AF387" s="2730">
        <v>1</v>
      </c>
    </row>
    <row r="388" spans="2:32" ht="30" customHeight="1">
      <c r="B388" s="3008"/>
      <c r="C388" s="3013"/>
      <c r="D388" s="3004"/>
      <c r="E388" s="3004"/>
      <c r="F388" s="1"/>
      <c r="G388" s="3008"/>
      <c r="H388" s="2991"/>
      <c r="I388" s="3010"/>
      <c r="J388" s="3010"/>
      <c r="L388" s="2983"/>
      <c r="M388" s="2984"/>
      <c r="N388" s="716"/>
      <c r="O388" s="2975"/>
      <c r="P388" s="2975"/>
      <c r="Q388" s="2840"/>
      <c r="R388" s="2998"/>
      <c r="S388" s="3061"/>
      <c r="T388" s="3004"/>
      <c r="U388" s="3004"/>
      <c r="W388" s="2998">
        <v>21</v>
      </c>
      <c r="X388" s="3094" t="s">
        <v>2238</v>
      </c>
      <c r="Y388" s="3004" t="s">
        <v>10055</v>
      </c>
      <c r="Z388" s="3004" t="s">
        <v>10056</v>
      </c>
      <c r="AA388" s="3007" t="s">
        <v>10057</v>
      </c>
      <c r="AB388" s="3007" t="s">
        <v>10058</v>
      </c>
      <c r="AC388" s="3007" t="s">
        <v>10059</v>
      </c>
      <c r="AD388" s="3094" t="s">
        <v>2238</v>
      </c>
      <c r="AF388" s="2730">
        <v>1</v>
      </c>
    </row>
    <row r="389" spans="2:32" ht="30" customHeight="1">
      <c r="B389" s="3008"/>
      <c r="C389" s="3013"/>
      <c r="D389" s="3004"/>
      <c r="E389" s="3004"/>
      <c r="F389" s="1"/>
      <c r="G389" s="3008"/>
      <c r="H389" s="2991"/>
      <c r="I389" s="3010"/>
      <c r="J389" s="3010"/>
      <c r="L389" s="2983"/>
      <c r="M389" s="2984"/>
      <c r="N389" s="716"/>
      <c r="O389" s="2975"/>
      <c r="P389" s="2975"/>
      <c r="Q389" s="2840"/>
      <c r="R389" s="2998"/>
      <c r="S389" s="3061"/>
      <c r="T389" s="3004"/>
      <c r="U389" s="3004"/>
      <c r="W389" s="2998">
        <f t="shared" ref="W389" si="63">W388+1</f>
        <v>22</v>
      </c>
      <c r="X389" s="3094" t="s">
        <v>2057</v>
      </c>
      <c r="Y389" s="3007" t="s">
        <v>10060</v>
      </c>
      <c r="Z389" s="3011" t="s">
        <v>10061</v>
      </c>
      <c r="AA389" s="3007" t="s">
        <v>10062</v>
      </c>
      <c r="AB389" s="3011" t="s">
        <v>10063</v>
      </c>
      <c r="AC389" s="3011" t="s">
        <v>10064</v>
      </c>
      <c r="AD389" s="3094" t="s">
        <v>2057</v>
      </c>
      <c r="AF389" s="2730">
        <v>1</v>
      </c>
    </row>
    <row r="390" spans="2:32" ht="30" customHeight="1">
      <c r="B390" s="3008"/>
      <c r="C390" s="3013"/>
      <c r="D390" s="3004"/>
      <c r="E390" s="3004"/>
      <c r="F390" s="1"/>
      <c r="G390" s="3008"/>
      <c r="H390" s="2991"/>
      <c r="I390" s="3010"/>
      <c r="J390" s="3010"/>
      <c r="L390" s="2983"/>
      <c r="M390" s="2984"/>
      <c r="N390" s="716"/>
      <c r="O390" s="2975"/>
      <c r="P390" s="2975"/>
      <c r="Q390" s="2840"/>
      <c r="R390" s="2998"/>
      <c r="S390" s="3061"/>
      <c r="T390" s="3004"/>
      <c r="U390" s="3004"/>
      <c r="W390" s="2998">
        <v>22</v>
      </c>
      <c r="X390" s="3094" t="s">
        <v>2068</v>
      </c>
      <c r="Y390" s="3007" t="s">
        <v>10065</v>
      </c>
      <c r="Z390" s="3011" t="s">
        <v>10066</v>
      </c>
      <c r="AA390" s="3007" t="s">
        <v>10067</v>
      </c>
      <c r="AB390" s="3007" t="s">
        <v>10068</v>
      </c>
      <c r="AC390" s="3007" t="s">
        <v>10069</v>
      </c>
      <c r="AD390" s="3094" t="s">
        <v>2068</v>
      </c>
      <c r="AF390" s="2730">
        <v>1</v>
      </c>
    </row>
    <row r="391" spans="2:32" ht="30" customHeight="1">
      <c r="B391" s="3008"/>
      <c r="C391" s="3013"/>
      <c r="D391" s="3004"/>
      <c r="E391" s="3004"/>
      <c r="F391" s="1"/>
      <c r="G391" s="3008"/>
      <c r="H391" s="2991"/>
      <c r="I391" s="3010"/>
      <c r="J391" s="3010"/>
      <c r="L391" s="2983"/>
      <c r="M391" s="2984"/>
      <c r="N391" s="716"/>
      <c r="O391" s="2975"/>
      <c r="P391" s="2975"/>
      <c r="Q391" s="2840"/>
      <c r="R391" s="2998"/>
      <c r="S391" s="3061"/>
      <c r="T391" s="3004"/>
      <c r="U391" s="3004"/>
      <c r="W391" s="2998">
        <f t="shared" ref="W391" si="64">W390+1</f>
        <v>23</v>
      </c>
      <c r="X391" s="3094" t="s">
        <v>2252</v>
      </c>
      <c r="Y391" s="3007" t="s">
        <v>10070</v>
      </c>
      <c r="Z391" s="3011" t="s">
        <v>10071</v>
      </c>
      <c r="AA391" s="3007" t="s">
        <v>10072</v>
      </c>
      <c r="AB391" s="3007" t="s">
        <v>10073</v>
      </c>
      <c r="AC391" s="3007" t="s">
        <v>10074</v>
      </c>
      <c r="AD391" s="3094" t="s">
        <v>2252</v>
      </c>
      <c r="AF391" s="2730">
        <v>1</v>
      </c>
    </row>
    <row r="392" spans="2:32" ht="30" customHeight="1">
      <c r="B392" s="3008"/>
      <c r="C392" s="3013"/>
      <c r="D392" s="3004"/>
      <c r="E392" s="3004"/>
      <c r="F392" s="1"/>
      <c r="G392" s="3008"/>
      <c r="H392" s="2991"/>
      <c r="I392" s="3010"/>
      <c r="J392" s="3010"/>
      <c r="L392" s="2983"/>
      <c r="M392" s="2984"/>
      <c r="N392" s="716"/>
      <c r="O392" s="2975"/>
      <c r="P392" s="2975"/>
      <c r="Q392" s="2840"/>
      <c r="R392" s="2998"/>
      <c r="S392" s="3061"/>
      <c r="T392" s="3004"/>
      <c r="U392" s="3004"/>
      <c r="W392" s="2998">
        <v>23</v>
      </c>
      <c r="X392" s="3094" t="s">
        <v>10075</v>
      </c>
      <c r="Y392" s="3007" t="s">
        <v>10076</v>
      </c>
      <c r="Z392" s="3011" t="s">
        <v>10077</v>
      </c>
      <c r="AA392" s="3007" t="s">
        <v>10078</v>
      </c>
      <c r="AB392" s="3011" t="s">
        <v>10079</v>
      </c>
      <c r="AC392" s="3011" t="s">
        <v>10080</v>
      </c>
      <c r="AD392" s="3094" t="s">
        <v>10075</v>
      </c>
      <c r="AF392" s="2730">
        <v>1</v>
      </c>
    </row>
    <row r="393" spans="2:32" ht="30" customHeight="1">
      <c r="B393" s="3008"/>
      <c r="C393" s="3013"/>
      <c r="D393" s="3004"/>
      <c r="E393" s="3004"/>
      <c r="F393" s="1"/>
      <c r="G393" s="3008"/>
      <c r="H393" s="2991"/>
      <c r="I393" s="3010"/>
      <c r="J393" s="3010"/>
      <c r="L393" s="2983"/>
      <c r="M393" s="2984"/>
      <c r="N393" s="716"/>
      <c r="O393" s="2975"/>
      <c r="P393" s="2975"/>
      <c r="Q393" s="2840"/>
      <c r="R393" s="2998"/>
      <c r="S393" s="3061"/>
      <c r="T393" s="3004"/>
      <c r="U393" s="3004"/>
      <c r="W393" s="2998">
        <f t="shared" ref="W393" si="65">W392+1</f>
        <v>24</v>
      </c>
      <c r="X393" s="3094" t="s">
        <v>2080</v>
      </c>
      <c r="Y393" s="3007" t="s">
        <v>10081</v>
      </c>
      <c r="Z393" s="3011" t="s">
        <v>10082</v>
      </c>
      <c r="AA393" s="3007" t="s">
        <v>10083</v>
      </c>
      <c r="AB393" s="3007" t="s">
        <v>10084</v>
      </c>
      <c r="AC393" s="3007" t="s">
        <v>10085</v>
      </c>
      <c r="AD393" s="3094" t="s">
        <v>2080</v>
      </c>
      <c r="AF393" s="2730">
        <v>1</v>
      </c>
    </row>
    <row r="394" spans="2:32" ht="30" customHeight="1">
      <c r="B394" s="3008"/>
      <c r="C394" s="3013"/>
      <c r="D394" s="3004"/>
      <c r="E394" s="3004"/>
      <c r="F394" s="1"/>
      <c r="G394" s="3008"/>
      <c r="H394" s="2991"/>
      <c r="I394" s="3010"/>
      <c r="J394" s="3010"/>
      <c r="L394" s="2983"/>
      <c r="M394" s="2984"/>
      <c r="N394" s="716"/>
      <c r="O394" s="2975"/>
      <c r="P394" s="2975"/>
      <c r="Q394" s="2840"/>
      <c r="R394" s="2998"/>
      <c r="S394" s="3061"/>
      <c r="T394" s="3004"/>
      <c r="U394" s="3004"/>
      <c r="W394" s="2998">
        <v>24</v>
      </c>
      <c r="X394" s="3094" t="s">
        <v>2096</v>
      </c>
      <c r="Y394" s="3007" t="s">
        <v>10086</v>
      </c>
      <c r="Z394" s="3011" t="s">
        <v>10087</v>
      </c>
      <c r="AA394" s="3007" t="s">
        <v>10088</v>
      </c>
      <c r="AB394" s="3011" t="s">
        <v>10089</v>
      </c>
      <c r="AC394" s="3011" t="s">
        <v>10090</v>
      </c>
      <c r="AD394" s="3094" t="s">
        <v>2096</v>
      </c>
      <c r="AF394" s="2730">
        <v>1</v>
      </c>
    </row>
    <row r="395" spans="2:32" ht="30" customHeight="1">
      <c r="B395" s="3008"/>
      <c r="C395" s="3013"/>
      <c r="D395" s="3004"/>
      <c r="E395" s="3004"/>
      <c r="F395" s="1"/>
      <c r="G395" s="3008"/>
      <c r="H395" s="2991"/>
      <c r="I395" s="3010"/>
      <c r="J395" s="3010"/>
      <c r="L395" s="2983"/>
      <c r="M395" s="2984"/>
      <c r="N395" s="716"/>
      <c r="O395" s="2975"/>
      <c r="P395" s="2975"/>
      <c r="Q395" s="2840"/>
      <c r="R395" s="2998"/>
      <c r="S395" s="3061"/>
      <c r="T395" s="3004"/>
      <c r="U395" s="3004"/>
      <c r="W395" s="2998">
        <f t="shared" ref="W395" si="66">W394+1</f>
        <v>25</v>
      </c>
      <c r="X395" s="3094" t="s">
        <v>2093</v>
      </c>
      <c r="Y395" s="3007" t="s">
        <v>10091</v>
      </c>
      <c r="Z395" s="3011" t="s">
        <v>10092</v>
      </c>
      <c r="AA395" s="3007" t="s">
        <v>10093</v>
      </c>
      <c r="AB395" s="3007" t="s">
        <v>10094</v>
      </c>
      <c r="AC395" s="3007" t="s">
        <v>10095</v>
      </c>
      <c r="AD395" s="3094" t="s">
        <v>2093</v>
      </c>
      <c r="AF395" s="2730">
        <v>1</v>
      </c>
    </row>
    <row r="396" spans="2:32" ht="30" customHeight="1">
      <c r="B396" s="3008"/>
      <c r="C396" s="3013"/>
      <c r="D396" s="3004"/>
      <c r="E396" s="3004"/>
      <c r="F396" s="1"/>
      <c r="G396" s="3008"/>
      <c r="H396" s="2991"/>
      <c r="I396" s="3010"/>
      <c r="J396" s="3010"/>
      <c r="L396" s="2983"/>
      <c r="M396" s="2984"/>
      <c r="N396" s="716"/>
      <c r="O396" s="2975"/>
      <c r="P396" s="2975"/>
      <c r="Q396" s="2840"/>
      <c r="R396" s="2998"/>
      <c r="S396" s="3061"/>
      <c r="T396" s="3004"/>
      <c r="U396" s="3004"/>
      <c r="W396" s="2998">
        <v>25</v>
      </c>
      <c r="X396" s="3094" t="s">
        <v>2271</v>
      </c>
      <c r="Y396" s="3007" t="s">
        <v>10096</v>
      </c>
      <c r="Z396" s="3011" t="s">
        <v>10097</v>
      </c>
      <c r="AA396" s="3007" t="s">
        <v>10098</v>
      </c>
      <c r="AB396" s="3007" t="s">
        <v>10099</v>
      </c>
      <c r="AC396" s="3011" t="s">
        <v>10100</v>
      </c>
      <c r="AD396" s="3094" t="s">
        <v>2271</v>
      </c>
      <c r="AF396" s="2730">
        <v>1</v>
      </c>
    </row>
    <row r="397" spans="2:32" ht="30" customHeight="1">
      <c r="B397" s="3008"/>
      <c r="C397" s="3013"/>
      <c r="D397" s="3004"/>
      <c r="E397" s="3004"/>
      <c r="F397" s="1"/>
      <c r="G397" s="3008"/>
      <c r="H397" s="2991"/>
      <c r="I397" s="3010"/>
      <c r="J397" s="3010"/>
      <c r="L397" s="2983"/>
      <c r="M397" s="2984"/>
      <c r="N397" s="716"/>
      <c r="O397" s="2975"/>
      <c r="P397" s="2975"/>
      <c r="Q397" s="2840"/>
      <c r="R397" s="2998"/>
      <c r="S397" s="3061"/>
      <c r="T397" s="3004"/>
      <c r="U397" s="3004"/>
      <c r="W397" s="2998">
        <f t="shared" ref="W397" si="67">W396+1</f>
        <v>26</v>
      </c>
      <c r="X397" s="3094" t="s">
        <v>2106</v>
      </c>
      <c r="Y397" s="3007" t="s">
        <v>10101</v>
      </c>
      <c r="Z397" s="3011" t="s">
        <v>10102</v>
      </c>
      <c r="AA397" s="3007" t="s">
        <v>10103</v>
      </c>
      <c r="AB397" s="3011" t="s">
        <v>10104</v>
      </c>
      <c r="AC397" s="3007" t="s">
        <v>10105</v>
      </c>
      <c r="AD397" s="3094" t="s">
        <v>2106</v>
      </c>
      <c r="AF397" s="2730">
        <v>1</v>
      </c>
    </row>
    <row r="398" spans="2:32" ht="30" customHeight="1">
      <c r="B398" s="3008"/>
      <c r="C398" s="3013"/>
      <c r="D398" s="3004"/>
      <c r="E398" s="3004"/>
      <c r="F398" s="1"/>
      <c r="G398" s="3008"/>
      <c r="H398" s="2991"/>
      <c r="I398" s="3010"/>
      <c r="J398" s="3010"/>
      <c r="L398" s="2983"/>
      <c r="M398" s="2984"/>
      <c r="N398" s="716"/>
      <c r="O398" s="2975"/>
      <c r="P398" s="2975"/>
      <c r="Q398" s="2840"/>
      <c r="R398" s="2998"/>
      <c r="S398" s="3061"/>
      <c r="T398" s="3004"/>
      <c r="U398" s="3004"/>
      <c r="W398" s="2998">
        <v>26</v>
      </c>
      <c r="X398" s="3094" t="s">
        <v>2118</v>
      </c>
      <c r="Y398" s="3007" t="s">
        <v>10106</v>
      </c>
      <c r="Z398" s="3011" t="s">
        <v>10107</v>
      </c>
      <c r="AA398" s="3007" t="s">
        <v>10108</v>
      </c>
      <c r="AB398" s="3011" t="s">
        <v>10109</v>
      </c>
      <c r="AC398" s="3011" t="s">
        <v>10110</v>
      </c>
      <c r="AD398" s="3094" t="s">
        <v>2118</v>
      </c>
      <c r="AF398" s="2730">
        <v>1</v>
      </c>
    </row>
    <row r="399" spans="2:32" ht="30" customHeight="1">
      <c r="B399" s="3008"/>
      <c r="C399" s="3013"/>
      <c r="D399" s="3004"/>
      <c r="E399" s="3004"/>
      <c r="F399" s="1"/>
      <c r="G399" s="3008"/>
      <c r="H399" s="2991"/>
      <c r="I399" s="3010"/>
      <c r="J399" s="3010"/>
      <c r="L399" s="2983"/>
      <c r="M399" s="2984"/>
      <c r="N399" s="716"/>
      <c r="O399" s="2975"/>
      <c r="P399" s="2975"/>
      <c r="Q399" s="2840"/>
      <c r="R399" s="2998"/>
      <c r="S399" s="3061"/>
      <c r="T399" s="3004"/>
      <c r="U399" s="3004"/>
      <c r="W399" s="2998">
        <f t="shared" ref="W399" si="68">W398+1</f>
        <v>27</v>
      </c>
      <c r="X399" s="3094" t="s">
        <v>2130</v>
      </c>
      <c r="Y399" s="3007" t="s">
        <v>10111</v>
      </c>
      <c r="Z399" s="3011" t="s">
        <v>10112</v>
      </c>
      <c r="AA399" s="3007" t="s">
        <v>10113</v>
      </c>
      <c r="AB399" s="3011" t="s">
        <v>10114</v>
      </c>
      <c r="AC399" s="3011" t="s">
        <v>10115</v>
      </c>
      <c r="AD399" s="3094" t="s">
        <v>2130</v>
      </c>
      <c r="AF399" s="2730">
        <v>1</v>
      </c>
    </row>
    <row r="400" spans="2:32" ht="30" customHeight="1">
      <c r="B400" s="3008"/>
      <c r="C400" s="3013"/>
      <c r="D400" s="3004"/>
      <c r="E400" s="3004"/>
      <c r="F400" s="1"/>
      <c r="G400" s="3008"/>
      <c r="H400" s="2991"/>
      <c r="I400" s="3010"/>
      <c r="J400" s="3010"/>
      <c r="L400" s="2983"/>
      <c r="M400" s="2984"/>
      <c r="N400" s="716"/>
      <c r="O400" s="2975"/>
      <c r="P400" s="2975"/>
      <c r="Q400" s="2840"/>
      <c r="R400" s="2998"/>
      <c r="S400" s="3061"/>
      <c r="T400" s="3004"/>
      <c r="U400" s="3004"/>
      <c r="W400" s="2998">
        <v>27</v>
      </c>
      <c r="X400" s="3094" t="s">
        <v>2283</v>
      </c>
      <c r="Y400" s="3007" t="s">
        <v>10116</v>
      </c>
      <c r="Z400" s="3011" t="s">
        <v>10117</v>
      </c>
      <c r="AA400" s="3007" t="s">
        <v>10118</v>
      </c>
      <c r="AB400" s="3011" t="s">
        <v>10119</v>
      </c>
      <c r="AC400" s="3011" t="s">
        <v>10120</v>
      </c>
      <c r="AD400" s="3094" t="s">
        <v>2283</v>
      </c>
      <c r="AF400" s="2730">
        <v>1</v>
      </c>
    </row>
    <row r="401" spans="2:32" ht="30" customHeight="1">
      <c r="B401" s="3008"/>
      <c r="C401" s="3013"/>
      <c r="D401" s="3004"/>
      <c r="E401" s="3004"/>
      <c r="F401" s="1"/>
      <c r="G401" s="3008"/>
      <c r="H401" s="2991"/>
      <c r="I401" s="3010"/>
      <c r="J401" s="3010"/>
      <c r="L401" s="2983"/>
      <c r="M401" s="2984"/>
      <c r="N401" s="716"/>
      <c r="O401" s="2975"/>
      <c r="P401" s="2975"/>
      <c r="Q401" s="2840"/>
      <c r="R401" s="2998"/>
      <c r="S401" s="3061"/>
      <c r="T401" s="3004"/>
      <c r="U401" s="3004"/>
      <c r="W401" s="2998">
        <f t="shared" ref="W401" si="69">W400+1</f>
        <v>28</v>
      </c>
      <c r="X401" s="3094" t="s">
        <v>2287</v>
      </c>
      <c r="Y401" s="3007" t="s">
        <v>10121</v>
      </c>
      <c r="Z401" s="3011" t="s">
        <v>10122</v>
      </c>
      <c r="AA401" s="3007" t="s">
        <v>10123</v>
      </c>
      <c r="AB401" s="3011" t="s">
        <v>10124</v>
      </c>
      <c r="AC401" s="3011" t="s">
        <v>10125</v>
      </c>
      <c r="AD401" s="3094" t="s">
        <v>2287</v>
      </c>
      <c r="AF401" s="2730">
        <v>1</v>
      </c>
    </row>
    <row r="402" spans="2:32" ht="30" customHeight="1">
      <c r="B402" s="3008"/>
      <c r="C402" s="3013"/>
      <c r="D402" s="3004"/>
      <c r="E402" s="3004"/>
      <c r="F402" s="1"/>
      <c r="G402" s="3008"/>
      <c r="H402" s="2991"/>
      <c r="I402" s="3010"/>
      <c r="J402" s="3010"/>
      <c r="L402" s="2983"/>
      <c r="M402" s="2984"/>
      <c r="N402" s="716"/>
      <c r="O402" s="2975"/>
      <c r="P402" s="2975"/>
      <c r="Q402" s="2840"/>
      <c r="R402" s="2998"/>
      <c r="S402" s="3061"/>
      <c r="T402" s="3004"/>
      <c r="U402" s="3004"/>
      <c r="W402" s="2998">
        <v>28</v>
      </c>
      <c r="X402" s="2988"/>
      <c r="Y402" s="2988"/>
      <c r="Z402" s="2988"/>
      <c r="AA402" s="2988"/>
      <c r="AB402" s="2988"/>
      <c r="AC402" s="2988"/>
      <c r="AD402" s="2988"/>
      <c r="AF402" s="2730">
        <v>1</v>
      </c>
    </row>
    <row r="403" spans="2:32" ht="30" customHeight="1">
      <c r="B403" s="3008"/>
      <c r="C403" s="3013"/>
      <c r="D403" s="3004"/>
      <c r="E403" s="3004"/>
      <c r="F403" s="1"/>
      <c r="G403" s="3008"/>
      <c r="H403" s="2991"/>
      <c r="I403" s="3010"/>
      <c r="J403" s="3010"/>
      <c r="L403" s="2983"/>
      <c r="M403" s="2984"/>
      <c r="N403" s="716"/>
      <c r="O403" s="2975"/>
      <c r="P403" s="2975"/>
      <c r="Q403" s="2840"/>
      <c r="R403" s="2998"/>
      <c r="S403" s="3061"/>
      <c r="T403" s="3004"/>
      <c r="U403" s="3004"/>
      <c r="W403" s="2998"/>
      <c r="X403" s="3091" t="s">
        <v>353</v>
      </c>
      <c r="Y403" s="2988"/>
      <c r="Z403" s="2988"/>
      <c r="AA403" s="2988"/>
      <c r="AB403" s="2988"/>
      <c r="AC403" s="2988"/>
      <c r="AD403" s="3091" t="s">
        <v>353</v>
      </c>
      <c r="AF403" s="2730">
        <v>1</v>
      </c>
    </row>
    <row r="404" spans="2:32" ht="30" customHeight="1">
      <c r="B404" s="3008"/>
      <c r="C404" s="3013"/>
      <c r="D404" s="3004"/>
      <c r="E404" s="3004"/>
      <c r="F404" s="1"/>
      <c r="G404" s="3008"/>
      <c r="H404" s="2991"/>
      <c r="I404" s="3010"/>
      <c r="J404" s="3010"/>
      <c r="L404" s="2983"/>
      <c r="M404" s="2984"/>
      <c r="N404" s="716"/>
      <c r="O404" s="2975"/>
      <c r="P404" s="2975"/>
      <c r="Q404" s="2840"/>
      <c r="R404" s="2998"/>
      <c r="S404" s="3061"/>
      <c r="T404" s="3004"/>
      <c r="U404" s="3004"/>
      <c r="W404" s="2998">
        <v>1</v>
      </c>
      <c r="X404" s="3094" t="s">
        <v>2293</v>
      </c>
      <c r="Y404" s="3007" t="s">
        <v>10126</v>
      </c>
      <c r="Z404" s="3011" t="s">
        <v>10127</v>
      </c>
      <c r="AA404" s="3007" t="s">
        <v>10128</v>
      </c>
      <c r="AB404" s="3007" t="s">
        <v>10129</v>
      </c>
      <c r="AC404" s="3007" t="s">
        <v>10130</v>
      </c>
      <c r="AD404" s="3094" t="s">
        <v>2293</v>
      </c>
      <c r="AF404" s="2730">
        <v>1</v>
      </c>
    </row>
    <row r="405" spans="2:32" ht="30" customHeight="1">
      <c r="B405" s="3008"/>
      <c r="C405" s="3013"/>
      <c r="D405" s="3004"/>
      <c r="E405" s="3004"/>
      <c r="F405" s="1"/>
      <c r="G405" s="3008"/>
      <c r="H405" s="2991"/>
      <c r="I405" s="3010"/>
      <c r="J405" s="3010"/>
      <c r="L405" s="2983"/>
      <c r="M405" s="2984"/>
      <c r="N405" s="716"/>
      <c r="O405" s="2975"/>
      <c r="P405" s="2975"/>
      <c r="Q405" s="2840"/>
      <c r="R405" s="2998"/>
      <c r="S405" s="3061"/>
      <c r="T405" s="3004"/>
      <c r="U405" s="3004"/>
      <c r="W405" s="2998">
        <f>W404+1</f>
        <v>2</v>
      </c>
      <c r="X405" s="3094" t="s">
        <v>2147</v>
      </c>
      <c r="Y405" s="3007" t="s">
        <v>10131</v>
      </c>
      <c r="Z405" s="3011" t="s">
        <v>10132</v>
      </c>
      <c r="AA405" s="3007" t="s">
        <v>10133</v>
      </c>
      <c r="AB405" s="3007" t="s">
        <v>10134</v>
      </c>
      <c r="AC405" s="3007" t="s">
        <v>10135</v>
      </c>
      <c r="AD405" s="3094" t="s">
        <v>2147</v>
      </c>
      <c r="AF405" s="2730">
        <v>1</v>
      </c>
    </row>
    <row r="406" spans="2:32" ht="30" customHeight="1">
      <c r="B406" s="3008"/>
      <c r="C406" s="3013"/>
      <c r="D406" s="3004"/>
      <c r="E406" s="3004"/>
      <c r="F406" s="1"/>
      <c r="G406" s="3008"/>
      <c r="H406" s="2991"/>
      <c r="I406" s="3010"/>
      <c r="J406" s="3010"/>
      <c r="L406" s="2983"/>
      <c r="M406" s="2984"/>
      <c r="N406" s="716"/>
      <c r="O406" s="2975"/>
      <c r="P406" s="2975"/>
      <c r="Q406" s="2840"/>
      <c r="R406" s="2998"/>
      <c r="S406" s="3061"/>
      <c r="T406" s="3004"/>
      <c r="U406" s="3004"/>
      <c r="W406" s="2998">
        <f t="shared" ref="W406:W428" si="70">W405+1</f>
        <v>3</v>
      </c>
      <c r="X406" s="3094" t="s">
        <v>2154</v>
      </c>
      <c r="Y406" s="3007" t="s">
        <v>10136</v>
      </c>
      <c r="Z406" s="3011" t="s">
        <v>10137</v>
      </c>
      <c r="AA406" s="3007" t="s">
        <v>10138</v>
      </c>
      <c r="AB406" s="3007" t="s">
        <v>10139</v>
      </c>
      <c r="AC406" s="3007" t="s">
        <v>10140</v>
      </c>
      <c r="AD406" s="3094" t="s">
        <v>2154</v>
      </c>
      <c r="AF406" s="2730">
        <v>1</v>
      </c>
    </row>
    <row r="407" spans="2:32" ht="30" customHeight="1">
      <c r="B407" s="3008"/>
      <c r="C407" s="3013"/>
      <c r="D407" s="3004"/>
      <c r="E407" s="3004"/>
      <c r="F407" s="1"/>
      <c r="G407" s="3008"/>
      <c r="H407" s="2991"/>
      <c r="I407" s="3010"/>
      <c r="J407" s="3010"/>
      <c r="L407" s="2983"/>
      <c r="M407" s="2984"/>
      <c r="N407" s="716"/>
      <c r="O407" s="2975"/>
      <c r="P407" s="2975"/>
      <c r="Q407" s="2840"/>
      <c r="R407" s="2998"/>
      <c r="S407" s="3061"/>
      <c r="T407" s="3004"/>
      <c r="U407" s="3004"/>
      <c r="W407" s="2998">
        <f t="shared" si="70"/>
        <v>4</v>
      </c>
      <c r="X407" s="3094" t="s">
        <v>10141</v>
      </c>
      <c r="Y407" s="3004" t="s">
        <v>10142</v>
      </c>
      <c r="Z407" s="3004" t="s">
        <v>10143</v>
      </c>
      <c r="AA407" s="3007" t="s">
        <v>10144</v>
      </c>
      <c r="AB407" s="3007" t="s">
        <v>10145</v>
      </c>
      <c r="AC407" s="3007" t="s">
        <v>10146</v>
      </c>
      <c r="AD407" s="3094" t="s">
        <v>10141</v>
      </c>
      <c r="AF407" s="2730">
        <v>1</v>
      </c>
    </row>
    <row r="408" spans="2:32" ht="30" customHeight="1">
      <c r="B408" s="3008"/>
      <c r="C408" s="3013"/>
      <c r="D408" s="3004"/>
      <c r="E408" s="3004"/>
      <c r="F408" s="1"/>
      <c r="G408" s="3008"/>
      <c r="H408" s="2991"/>
      <c r="I408" s="3010"/>
      <c r="J408" s="3010"/>
      <c r="L408" s="2983"/>
      <c r="M408" s="2984"/>
      <c r="N408" s="716"/>
      <c r="O408" s="2975"/>
      <c r="P408" s="2975"/>
      <c r="Q408" s="2840"/>
      <c r="R408" s="2998"/>
      <c r="S408" s="3061"/>
      <c r="T408" s="3004"/>
      <c r="U408" s="3004"/>
      <c r="W408" s="2998">
        <f t="shared" si="70"/>
        <v>5</v>
      </c>
      <c r="X408" s="3094" t="s">
        <v>2161</v>
      </c>
      <c r="Y408" s="3007" t="s">
        <v>10147</v>
      </c>
      <c r="Z408" s="3011" t="s">
        <v>10148</v>
      </c>
      <c r="AA408" s="3007" t="s">
        <v>10149</v>
      </c>
      <c r="AB408" s="3007" t="s">
        <v>10150</v>
      </c>
      <c r="AC408" s="3007" t="s">
        <v>10151</v>
      </c>
      <c r="AD408" s="3094" t="s">
        <v>2161</v>
      </c>
      <c r="AF408" s="2730">
        <v>1</v>
      </c>
    </row>
    <row r="409" spans="2:32" ht="30" customHeight="1">
      <c r="B409" s="3008"/>
      <c r="C409" s="3013"/>
      <c r="D409" s="3004"/>
      <c r="E409" s="3004"/>
      <c r="F409" s="1"/>
      <c r="G409" s="3008"/>
      <c r="H409" s="2991"/>
      <c r="I409" s="3010"/>
      <c r="J409" s="3010"/>
      <c r="L409" s="2983"/>
      <c r="M409" s="2984"/>
      <c r="N409" s="716"/>
      <c r="O409" s="2975"/>
      <c r="P409" s="2975"/>
      <c r="Q409" s="2840"/>
      <c r="R409" s="2998"/>
      <c r="S409" s="3061"/>
      <c r="T409" s="3004"/>
      <c r="U409" s="3004"/>
      <c r="W409" s="2998">
        <f t="shared" si="70"/>
        <v>6</v>
      </c>
      <c r="X409" s="3094" t="s">
        <v>2300</v>
      </c>
      <c r="Y409" s="3007" t="s">
        <v>10152</v>
      </c>
      <c r="Z409" s="3011" t="s">
        <v>10153</v>
      </c>
      <c r="AA409" s="3007" t="s">
        <v>10154</v>
      </c>
      <c r="AB409" s="3007" t="s">
        <v>10155</v>
      </c>
      <c r="AC409" s="3007" t="s">
        <v>10156</v>
      </c>
      <c r="AD409" s="3094" t="s">
        <v>2300</v>
      </c>
      <c r="AF409" s="2730">
        <v>1</v>
      </c>
    </row>
    <row r="410" spans="2:32" ht="30" customHeight="1">
      <c r="B410" s="3008"/>
      <c r="C410" s="3013"/>
      <c r="D410" s="3004"/>
      <c r="E410" s="3004"/>
      <c r="F410" s="1"/>
      <c r="G410" s="3008"/>
      <c r="H410" s="2991"/>
      <c r="I410" s="3010"/>
      <c r="J410" s="3010"/>
      <c r="L410" s="2983"/>
      <c r="M410" s="2984"/>
      <c r="N410" s="716"/>
      <c r="O410" s="2975"/>
      <c r="P410" s="2975"/>
      <c r="Q410" s="2840"/>
      <c r="R410" s="2998"/>
      <c r="S410" s="3061"/>
      <c r="T410" s="3004"/>
      <c r="U410" s="3004"/>
      <c r="W410" s="2998">
        <f t="shared" si="70"/>
        <v>7</v>
      </c>
      <c r="X410" s="3094" t="s">
        <v>2114</v>
      </c>
      <c r="Y410" s="3004" t="s">
        <v>10157</v>
      </c>
      <c r="Z410" s="3004" t="s">
        <v>10158</v>
      </c>
      <c r="AA410" s="3007" t="s">
        <v>10159</v>
      </c>
      <c r="AB410" s="3007" t="s">
        <v>10160</v>
      </c>
      <c r="AC410" s="3007" t="s">
        <v>10161</v>
      </c>
      <c r="AD410" s="3094" t="s">
        <v>2114</v>
      </c>
      <c r="AF410" s="2730">
        <v>1</v>
      </c>
    </row>
    <row r="411" spans="2:32" ht="30" customHeight="1">
      <c r="B411" s="3008"/>
      <c r="C411" s="3013"/>
      <c r="D411" s="3004"/>
      <c r="E411" s="3004"/>
      <c r="F411" s="1"/>
      <c r="G411" s="3008"/>
      <c r="H411" s="2991"/>
      <c r="I411" s="3010"/>
      <c r="J411" s="3010"/>
      <c r="L411" s="2983"/>
      <c r="M411" s="2984"/>
      <c r="N411" s="716"/>
      <c r="O411" s="2975"/>
      <c r="P411" s="2975"/>
      <c r="Q411" s="2840"/>
      <c r="R411" s="2998"/>
      <c r="S411" s="3061"/>
      <c r="T411" s="3004"/>
      <c r="U411" s="3004"/>
      <c r="W411" s="2998">
        <f t="shared" si="70"/>
        <v>8</v>
      </c>
      <c r="X411" s="3094" t="s">
        <v>2170</v>
      </c>
      <c r="Y411" s="3004" t="s">
        <v>1400</v>
      </c>
      <c r="Z411" s="3004" t="s">
        <v>10162</v>
      </c>
      <c r="AA411" s="3007" t="s">
        <v>10163</v>
      </c>
      <c r="AB411" s="3007" t="s">
        <v>10164</v>
      </c>
      <c r="AC411" s="3007" t="s">
        <v>10165</v>
      </c>
      <c r="AD411" s="3094" t="s">
        <v>2170</v>
      </c>
      <c r="AF411" s="2730">
        <v>1</v>
      </c>
    </row>
    <row r="412" spans="2:32" ht="30" customHeight="1">
      <c r="B412" s="3008"/>
      <c r="C412" s="3013"/>
      <c r="D412" s="3004"/>
      <c r="E412" s="3004"/>
      <c r="F412" s="1"/>
      <c r="G412" s="3008"/>
      <c r="H412" s="2991"/>
      <c r="I412" s="3010"/>
      <c r="J412" s="3010"/>
      <c r="L412" s="2983"/>
      <c r="M412" s="2984"/>
      <c r="N412" s="716"/>
      <c r="O412" s="2975"/>
      <c r="P412" s="2975"/>
      <c r="Q412" s="2840"/>
      <c r="R412" s="2998"/>
      <c r="S412" s="3061"/>
      <c r="T412" s="3004"/>
      <c r="U412" s="3004"/>
      <c r="W412" s="2998">
        <f t="shared" si="70"/>
        <v>9</v>
      </c>
      <c r="X412" s="3094" t="s">
        <v>10166</v>
      </c>
      <c r="Y412" s="3004" t="s">
        <v>10167</v>
      </c>
      <c r="Z412" s="3004" t="s">
        <v>10168</v>
      </c>
      <c r="AA412" s="3007" t="s">
        <v>10169</v>
      </c>
      <c r="AB412" s="3007" t="s">
        <v>10170</v>
      </c>
      <c r="AC412" s="3007" t="s">
        <v>10171</v>
      </c>
      <c r="AD412" s="3094" t="s">
        <v>10166</v>
      </c>
      <c r="AF412" s="2730">
        <v>1</v>
      </c>
    </row>
    <row r="413" spans="2:32" ht="30" customHeight="1">
      <c r="B413" s="3008"/>
      <c r="C413" s="3013"/>
      <c r="D413" s="3004"/>
      <c r="E413" s="3004"/>
      <c r="F413" s="1"/>
      <c r="G413" s="3008"/>
      <c r="H413" s="2991"/>
      <c r="I413" s="3010"/>
      <c r="J413" s="3010"/>
      <c r="L413" s="2983"/>
      <c r="M413" s="2984"/>
      <c r="N413" s="716"/>
      <c r="O413" s="2975"/>
      <c r="P413" s="2975"/>
      <c r="Q413" s="2840"/>
      <c r="R413" s="2998"/>
      <c r="S413" s="3061"/>
      <c r="T413" s="3004"/>
      <c r="U413" s="3004"/>
      <c r="W413" s="2998">
        <f t="shared" si="70"/>
        <v>10</v>
      </c>
      <c r="X413" s="3094" t="s">
        <v>2177</v>
      </c>
      <c r="Y413" s="3007" t="s">
        <v>10172</v>
      </c>
      <c r="Z413" s="3011" t="s">
        <v>10173</v>
      </c>
      <c r="AA413" s="3007" t="s">
        <v>10174</v>
      </c>
      <c r="AB413" s="3007" t="s">
        <v>10175</v>
      </c>
      <c r="AC413" s="3007" t="s">
        <v>10176</v>
      </c>
      <c r="AD413" s="3094" t="s">
        <v>2177</v>
      </c>
      <c r="AF413" s="2730">
        <v>1</v>
      </c>
    </row>
    <row r="414" spans="2:32" ht="30" customHeight="1">
      <c r="B414" s="3008"/>
      <c r="C414" s="3013"/>
      <c r="D414" s="3004"/>
      <c r="E414" s="3004"/>
      <c r="F414" s="1"/>
      <c r="G414" s="3008"/>
      <c r="H414" s="2991"/>
      <c r="I414" s="3010"/>
      <c r="J414" s="3010"/>
      <c r="L414" s="2983"/>
      <c r="M414" s="2984"/>
      <c r="N414" s="716"/>
      <c r="O414" s="2975"/>
      <c r="P414" s="2975"/>
      <c r="Q414" s="2840"/>
      <c r="R414" s="2998"/>
      <c r="S414" s="3061"/>
      <c r="T414" s="3004"/>
      <c r="U414" s="3004"/>
      <c r="W414" s="2998">
        <f t="shared" si="70"/>
        <v>11</v>
      </c>
      <c r="X414" s="3094" t="s">
        <v>2125</v>
      </c>
      <c r="Y414" s="3004" t="s">
        <v>10177</v>
      </c>
      <c r="Z414" s="3004" t="s">
        <v>2125</v>
      </c>
      <c r="AA414" s="3007" t="s">
        <v>10178</v>
      </c>
      <c r="AB414" s="3007" t="s">
        <v>10179</v>
      </c>
      <c r="AC414" s="3007" t="s">
        <v>10180</v>
      </c>
      <c r="AD414" s="3094" t="s">
        <v>2125</v>
      </c>
      <c r="AF414" s="2730">
        <v>1</v>
      </c>
    </row>
    <row r="415" spans="2:32" ht="30" customHeight="1">
      <c r="B415" s="3008"/>
      <c r="C415" s="3013"/>
      <c r="D415" s="3004"/>
      <c r="E415" s="3004"/>
      <c r="F415" s="1"/>
      <c r="G415" s="3008"/>
      <c r="H415" s="2991"/>
      <c r="I415" s="3010"/>
      <c r="J415" s="3010"/>
      <c r="L415" s="2983"/>
      <c r="M415" s="2984"/>
      <c r="N415" s="716"/>
      <c r="O415" s="2975"/>
      <c r="P415" s="2975"/>
      <c r="Q415" s="2840"/>
      <c r="R415" s="2998"/>
      <c r="S415" s="3061"/>
      <c r="T415" s="3004"/>
      <c r="U415" s="3004"/>
      <c r="W415" s="2998">
        <f t="shared" si="70"/>
        <v>12</v>
      </c>
      <c r="X415" s="3094" t="s">
        <v>2184</v>
      </c>
      <c r="Y415" s="3007" t="s">
        <v>10181</v>
      </c>
      <c r="Z415" s="3011" t="s">
        <v>10182</v>
      </c>
      <c r="AA415" s="3007" t="s">
        <v>10183</v>
      </c>
      <c r="AB415" s="3007" t="s">
        <v>10184</v>
      </c>
      <c r="AC415" s="3007" t="s">
        <v>10185</v>
      </c>
      <c r="AD415" s="3094" t="s">
        <v>2184</v>
      </c>
      <c r="AF415" s="2730">
        <v>1</v>
      </c>
    </row>
    <row r="416" spans="2:32" ht="30" customHeight="1">
      <c r="B416" s="3008"/>
      <c r="C416" s="3013"/>
      <c r="D416" s="3004"/>
      <c r="E416" s="3004"/>
      <c r="F416" s="1"/>
      <c r="G416" s="3008"/>
      <c r="H416" s="2991"/>
      <c r="I416" s="3010"/>
      <c r="J416" s="3010"/>
      <c r="L416" s="2983"/>
      <c r="M416" s="2984"/>
      <c r="N416" s="716"/>
      <c r="O416" s="2975"/>
      <c r="P416" s="2975"/>
      <c r="Q416" s="2840"/>
      <c r="R416" s="2998"/>
      <c r="S416" s="3061"/>
      <c r="T416" s="3004"/>
      <c r="U416" s="3004"/>
      <c r="W416" s="2998">
        <f t="shared" si="70"/>
        <v>13</v>
      </c>
      <c r="X416" s="3094" t="s">
        <v>2304</v>
      </c>
      <c r="Y416" s="3007" t="s">
        <v>10186</v>
      </c>
      <c r="Z416" s="3011" t="s">
        <v>10187</v>
      </c>
      <c r="AA416" s="3007" t="s">
        <v>10188</v>
      </c>
      <c r="AB416" s="3007" t="s">
        <v>10189</v>
      </c>
      <c r="AC416" s="3007" t="s">
        <v>10190</v>
      </c>
      <c r="AD416" s="3094" t="s">
        <v>2304</v>
      </c>
      <c r="AF416" s="2730">
        <v>1</v>
      </c>
    </row>
    <row r="417" spans="2:32" ht="30" customHeight="1">
      <c r="B417" s="3008"/>
      <c r="C417" s="3013"/>
      <c r="D417" s="3004"/>
      <c r="E417" s="3004"/>
      <c r="F417" s="1"/>
      <c r="G417" s="3008"/>
      <c r="H417" s="2991"/>
      <c r="I417" s="3010"/>
      <c r="J417" s="3010"/>
      <c r="L417" s="2983"/>
      <c r="M417" s="2984"/>
      <c r="N417" s="716"/>
      <c r="O417" s="2975"/>
      <c r="P417" s="2975"/>
      <c r="Q417" s="2840"/>
      <c r="R417" s="2998"/>
      <c r="S417" s="3061"/>
      <c r="T417" s="3004"/>
      <c r="U417" s="3004"/>
      <c r="W417" s="2998">
        <f t="shared" si="70"/>
        <v>14</v>
      </c>
      <c r="X417" s="3094" t="s">
        <v>2135</v>
      </c>
      <c r="Y417" s="3007" t="s">
        <v>10191</v>
      </c>
      <c r="Z417" s="3011" t="s">
        <v>10192</v>
      </c>
      <c r="AA417" s="3007" t="s">
        <v>10193</v>
      </c>
      <c r="AB417" s="3007" t="s">
        <v>10194</v>
      </c>
      <c r="AC417" s="3007" t="s">
        <v>10195</v>
      </c>
      <c r="AD417" s="3094" t="s">
        <v>2135</v>
      </c>
      <c r="AF417" s="2730">
        <v>1</v>
      </c>
    </row>
    <row r="418" spans="2:32" ht="30" customHeight="1">
      <c r="B418" s="3008"/>
      <c r="C418" s="3013"/>
      <c r="D418" s="3004"/>
      <c r="E418" s="3004"/>
      <c r="F418" s="1"/>
      <c r="G418" s="3008"/>
      <c r="H418" s="2991"/>
      <c r="I418" s="3010"/>
      <c r="J418" s="3010"/>
      <c r="L418" s="2983"/>
      <c r="M418" s="2984"/>
      <c r="N418" s="716"/>
      <c r="O418" s="2975"/>
      <c r="P418" s="2975"/>
      <c r="Q418" s="2840"/>
      <c r="R418" s="2998"/>
      <c r="S418" s="3061"/>
      <c r="T418" s="3004"/>
      <c r="U418" s="3004"/>
      <c r="W418" s="2998">
        <f t="shared" si="70"/>
        <v>15</v>
      </c>
      <c r="X418" s="3094" t="s">
        <v>10196</v>
      </c>
      <c r="Y418" s="3007" t="s">
        <v>10197</v>
      </c>
      <c r="Z418" s="3011" t="s">
        <v>10198</v>
      </c>
      <c r="AA418" s="3007" t="s">
        <v>10199</v>
      </c>
      <c r="AB418" s="3007" t="s">
        <v>10200</v>
      </c>
      <c r="AC418" s="3007" t="s">
        <v>10201</v>
      </c>
      <c r="AD418" s="3094" t="s">
        <v>10196</v>
      </c>
      <c r="AF418" s="2730">
        <v>1</v>
      </c>
    </row>
    <row r="419" spans="2:32" ht="30" customHeight="1">
      <c r="B419" s="3008"/>
      <c r="C419" s="3013"/>
      <c r="D419" s="3004"/>
      <c r="E419" s="3004"/>
      <c r="F419" s="1"/>
      <c r="G419" s="3008"/>
      <c r="H419" s="2991"/>
      <c r="I419" s="3010"/>
      <c r="J419" s="3010"/>
      <c r="L419" s="2983"/>
      <c r="M419" s="2984"/>
      <c r="N419" s="716"/>
      <c r="O419" s="2975"/>
      <c r="P419" s="2975"/>
      <c r="Q419" s="2840"/>
      <c r="R419" s="2998"/>
      <c r="S419" s="3061"/>
      <c r="T419" s="3004"/>
      <c r="U419" s="3004"/>
      <c r="W419" s="2998">
        <f t="shared" si="70"/>
        <v>16</v>
      </c>
      <c r="X419" s="3094" t="s">
        <v>10202</v>
      </c>
      <c r="Y419" s="3004" t="s">
        <v>10203</v>
      </c>
      <c r="Z419" s="3004" t="s">
        <v>10204</v>
      </c>
      <c r="AA419" s="3007" t="s">
        <v>10205</v>
      </c>
      <c r="AB419" s="3007" t="s">
        <v>10206</v>
      </c>
      <c r="AC419" s="3007" t="s">
        <v>10207</v>
      </c>
      <c r="AD419" s="3094" t="s">
        <v>10202</v>
      </c>
      <c r="AF419" s="2730">
        <v>1</v>
      </c>
    </row>
    <row r="420" spans="2:32" ht="30" customHeight="1">
      <c r="B420" s="3008"/>
      <c r="C420" s="3013"/>
      <c r="D420" s="3004"/>
      <c r="E420" s="3004"/>
      <c r="F420" s="1"/>
      <c r="G420" s="3008"/>
      <c r="H420" s="2991"/>
      <c r="I420" s="3010"/>
      <c r="J420" s="3010"/>
      <c r="L420" s="2983"/>
      <c r="M420" s="2984"/>
      <c r="N420" s="716"/>
      <c r="O420" s="2975"/>
      <c r="P420" s="2975"/>
      <c r="Q420" s="2840"/>
      <c r="R420" s="2998"/>
      <c r="S420" s="3061"/>
      <c r="T420" s="3004"/>
      <c r="U420" s="3004"/>
      <c r="W420" s="2998">
        <f t="shared" si="70"/>
        <v>17</v>
      </c>
      <c r="X420" s="3094" t="s">
        <v>10208</v>
      </c>
      <c r="Y420" s="3007" t="s">
        <v>10209</v>
      </c>
      <c r="Z420" s="3011" t="s">
        <v>10210</v>
      </c>
      <c r="AA420" s="3007" t="s">
        <v>10211</v>
      </c>
      <c r="AB420" s="3007" t="s">
        <v>10212</v>
      </c>
      <c r="AC420" s="3007" t="s">
        <v>10213</v>
      </c>
      <c r="AD420" s="3094" t="s">
        <v>10208</v>
      </c>
      <c r="AF420" s="2730">
        <v>1</v>
      </c>
    </row>
    <row r="421" spans="2:32" ht="30" customHeight="1">
      <c r="B421" s="3008"/>
      <c r="C421" s="3013"/>
      <c r="D421" s="3004"/>
      <c r="E421" s="3004"/>
      <c r="F421" s="1"/>
      <c r="G421" s="3008"/>
      <c r="H421" s="2991"/>
      <c r="I421" s="3010"/>
      <c r="J421" s="3010"/>
      <c r="L421" s="2983"/>
      <c r="M421" s="2984"/>
      <c r="N421" s="716"/>
      <c r="O421" s="2975"/>
      <c r="P421" s="2975"/>
      <c r="Q421" s="2840"/>
      <c r="R421" s="2998"/>
      <c r="S421" s="3061"/>
      <c r="T421" s="3004"/>
      <c r="U421" s="3004"/>
      <c r="W421" s="2998">
        <f t="shared" si="70"/>
        <v>18</v>
      </c>
      <c r="X421" s="3094" t="s">
        <v>10214</v>
      </c>
      <c r="Y421" s="3007" t="s">
        <v>10215</v>
      </c>
      <c r="Z421" s="3011" t="s">
        <v>10216</v>
      </c>
      <c r="AA421" s="3007" t="s">
        <v>10217</v>
      </c>
      <c r="AB421" s="3007" t="s">
        <v>10218</v>
      </c>
      <c r="AC421" s="3007" t="s">
        <v>10219</v>
      </c>
      <c r="AD421" s="3094" t="s">
        <v>10214</v>
      </c>
      <c r="AF421" s="2730">
        <v>1</v>
      </c>
    </row>
    <row r="422" spans="2:32" ht="30" customHeight="1">
      <c r="B422" s="3008"/>
      <c r="C422" s="3013"/>
      <c r="D422" s="3004"/>
      <c r="E422" s="3004"/>
      <c r="F422" s="1"/>
      <c r="G422" s="3008"/>
      <c r="H422" s="2991"/>
      <c r="I422" s="3010"/>
      <c r="J422" s="3010"/>
      <c r="L422" s="2983"/>
      <c r="M422" s="2984"/>
      <c r="N422" s="716"/>
      <c r="O422" s="2975"/>
      <c r="P422" s="2975"/>
      <c r="Q422" s="2840"/>
      <c r="R422" s="2998"/>
      <c r="S422" s="3061"/>
      <c r="T422" s="3004"/>
      <c r="U422" s="3004"/>
      <c r="W422" s="2998">
        <f t="shared" si="70"/>
        <v>19</v>
      </c>
      <c r="X422" s="3094" t="s">
        <v>10220</v>
      </c>
      <c r="Y422" s="3007" t="s">
        <v>10221</v>
      </c>
      <c r="Z422" s="3011" t="s">
        <v>10222</v>
      </c>
      <c r="AA422" s="3007" t="s">
        <v>10223</v>
      </c>
      <c r="AB422" s="3007" t="s">
        <v>10224</v>
      </c>
      <c r="AC422" s="3007" t="s">
        <v>10225</v>
      </c>
      <c r="AD422" s="3094" t="s">
        <v>10220</v>
      </c>
      <c r="AF422" s="2730">
        <v>1</v>
      </c>
    </row>
    <row r="423" spans="2:32" ht="30" customHeight="1">
      <c r="B423" s="3008"/>
      <c r="C423" s="3013"/>
      <c r="D423" s="3004"/>
      <c r="E423" s="3004"/>
      <c r="F423" s="1"/>
      <c r="G423" s="3008"/>
      <c r="H423" s="2991"/>
      <c r="I423" s="3010"/>
      <c r="J423" s="3010"/>
      <c r="L423" s="2983"/>
      <c r="M423" s="2984"/>
      <c r="N423" s="716"/>
      <c r="O423" s="2975"/>
      <c r="P423" s="2975"/>
      <c r="Q423" s="2840"/>
      <c r="R423" s="2998"/>
      <c r="S423" s="3061"/>
      <c r="T423" s="3004"/>
      <c r="U423" s="3004"/>
      <c r="W423" s="2998">
        <f t="shared" si="70"/>
        <v>20</v>
      </c>
      <c r="X423" s="3094" t="s">
        <v>10226</v>
      </c>
      <c r="Y423" s="3007" t="s">
        <v>10227</v>
      </c>
      <c r="Z423" s="3011" t="s">
        <v>10228</v>
      </c>
      <c r="AA423" s="3007" t="s">
        <v>10229</v>
      </c>
      <c r="AB423" s="3007" t="s">
        <v>10230</v>
      </c>
      <c r="AC423" s="3007" t="s">
        <v>10231</v>
      </c>
      <c r="AD423" s="3094" t="s">
        <v>10226</v>
      </c>
      <c r="AF423" s="2730">
        <v>1</v>
      </c>
    </row>
    <row r="424" spans="2:32" ht="30" customHeight="1">
      <c r="B424" s="3008"/>
      <c r="C424" s="3013"/>
      <c r="D424" s="3004"/>
      <c r="E424" s="3004"/>
      <c r="F424" s="1"/>
      <c r="G424" s="3008"/>
      <c r="H424" s="2991"/>
      <c r="I424" s="3010"/>
      <c r="J424" s="3010"/>
      <c r="L424" s="2983"/>
      <c r="M424" s="2984"/>
      <c r="N424" s="716"/>
      <c r="O424" s="2975"/>
      <c r="P424" s="2975"/>
      <c r="Q424" s="2840"/>
      <c r="R424" s="2998"/>
      <c r="S424" s="3061"/>
      <c r="T424" s="3004"/>
      <c r="U424" s="3004"/>
      <c r="W424" s="2998">
        <f t="shared" si="70"/>
        <v>21</v>
      </c>
      <c r="X424" s="3094" t="s">
        <v>2308</v>
      </c>
      <c r="Y424" s="3007" t="s">
        <v>10232</v>
      </c>
      <c r="Z424" s="3011" t="s">
        <v>10233</v>
      </c>
      <c r="AA424" s="3007" t="s">
        <v>10234</v>
      </c>
      <c r="AB424" s="3007" t="s">
        <v>10235</v>
      </c>
      <c r="AC424" s="3007" t="s">
        <v>10236</v>
      </c>
      <c r="AD424" s="3094" t="s">
        <v>2308</v>
      </c>
      <c r="AF424" s="2730">
        <v>1</v>
      </c>
    </row>
    <row r="425" spans="2:32" ht="30" customHeight="1">
      <c r="B425" s="3008"/>
      <c r="C425" s="3013"/>
      <c r="D425" s="3004"/>
      <c r="E425" s="3004"/>
      <c r="F425" s="1"/>
      <c r="G425" s="3008"/>
      <c r="H425" s="2991"/>
      <c r="I425" s="3010"/>
      <c r="J425" s="3010"/>
      <c r="L425" s="2983"/>
      <c r="M425" s="2984"/>
      <c r="N425" s="716"/>
      <c r="O425" s="2975"/>
      <c r="P425" s="2975"/>
      <c r="Q425" s="2840"/>
      <c r="R425" s="2998"/>
      <c r="S425" s="3061"/>
      <c r="T425" s="3004"/>
      <c r="U425" s="3004"/>
      <c r="W425" s="2998">
        <f t="shared" si="70"/>
        <v>22</v>
      </c>
      <c r="X425" s="3094" t="s">
        <v>10237</v>
      </c>
      <c r="Y425" s="3007" t="s">
        <v>10238</v>
      </c>
      <c r="Z425" s="3011" t="s">
        <v>10239</v>
      </c>
      <c r="AA425" s="3007" t="s">
        <v>10240</v>
      </c>
      <c r="AB425" s="3007" t="s">
        <v>10241</v>
      </c>
      <c r="AC425" s="3007" t="s">
        <v>10242</v>
      </c>
      <c r="AD425" s="3094" t="s">
        <v>10237</v>
      </c>
      <c r="AF425" s="2730">
        <v>1</v>
      </c>
    </row>
    <row r="426" spans="2:32" ht="30" customHeight="1">
      <c r="B426" s="3008"/>
      <c r="C426" s="3013"/>
      <c r="D426" s="3004"/>
      <c r="E426" s="3004"/>
      <c r="F426" s="1"/>
      <c r="G426" s="3008"/>
      <c r="H426" s="2991"/>
      <c r="I426" s="3010"/>
      <c r="J426" s="3010"/>
      <c r="L426" s="2983"/>
      <c r="M426" s="2984"/>
      <c r="N426" s="716"/>
      <c r="O426" s="2975"/>
      <c r="P426" s="2975"/>
      <c r="Q426" s="2840"/>
      <c r="R426" s="2998"/>
      <c r="S426" s="3061"/>
      <c r="T426" s="3004"/>
      <c r="U426" s="3004"/>
      <c r="W426" s="2998">
        <f t="shared" si="70"/>
        <v>23</v>
      </c>
      <c r="X426" s="3094" t="s">
        <v>10243</v>
      </c>
      <c r="Y426" s="3004" t="s">
        <v>10244</v>
      </c>
      <c r="Z426" s="3004" t="s">
        <v>10245</v>
      </c>
      <c r="AA426" s="3007" t="s">
        <v>10246</v>
      </c>
      <c r="AB426" s="3007" t="s">
        <v>10247</v>
      </c>
      <c r="AC426" s="3007" t="s">
        <v>10248</v>
      </c>
      <c r="AD426" s="3094" t="s">
        <v>10243</v>
      </c>
      <c r="AF426" s="2730">
        <v>1</v>
      </c>
    </row>
    <row r="427" spans="2:32" ht="30" customHeight="1">
      <c r="B427" s="3008"/>
      <c r="C427" s="3013"/>
      <c r="D427" s="3004"/>
      <c r="E427" s="3004"/>
      <c r="F427" s="1"/>
      <c r="G427" s="3008"/>
      <c r="H427" s="2991"/>
      <c r="I427" s="3010"/>
      <c r="J427" s="3010"/>
      <c r="L427" s="2983"/>
      <c r="M427" s="2984"/>
      <c r="N427" s="716"/>
      <c r="O427" s="2975"/>
      <c r="P427" s="2975"/>
      <c r="Q427" s="2840"/>
      <c r="R427" s="2998"/>
      <c r="S427" s="3061"/>
      <c r="T427" s="3004"/>
      <c r="U427" s="3004"/>
      <c r="W427" s="2998">
        <f t="shared" si="70"/>
        <v>24</v>
      </c>
      <c r="X427" s="3094" t="s">
        <v>2192</v>
      </c>
      <c r="Y427" s="3007" t="s">
        <v>10249</v>
      </c>
      <c r="Z427" s="3011" t="s">
        <v>10250</v>
      </c>
      <c r="AA427" s="3007" t="s">
        <v>10251</v>
      </c>
      <c r="AB427" s="3007" t="s">
        <v>10252</v>
      </c>
      <c r="AC427" s="3007" t="s">
        <v>10253</v>
      </c>
      <c r="AD427" s="3094" t="s">
        <v>2192</v>
      </c>
      <c r="AF427" s="2730">
        <v>1</v>
      </c>
    </row>
    <row r="428" spans="2:32" ht="30" customHeight="1">
      <c r="B428" s="3008"/>
      <c r="C428" s="3013"/>
      <c r="D428" s="3004"/>
      <c r="E428" s="3004"/>
      <c r="F428" s="1"/>
      <c r="G428" s="3008"/>
      <c r="H428" s="2991"/>
      <c r="I428" s="3010"/>
      <c r="J428" s="3010"/>
      <c r="L428" s="2983"/>
      <c r="M428" s="2984"/>
      <c r="N428" s="716"/>
      <c r="O428" s="2975"/>
      <c r="P428" s="2975"/>
      <c r="Q428" s="2840"/>
      <c r="R428" s="2998"/>
      <c r="S428" s="3061"/>
      <c r="T428" s="3004"/>
      <c r="U428" s="3004"/>
      <c r="W428" s="2998">
        <f t="shared" si="70"/>
        <v>25</v>
      </c>
      <c r="X428" s="3094" t="s">
        <v>2310</v>
      </c>
      <c r="Y428" s="3007" t="s">
        <v>10254</v>
      </c>
      <c r="Z428" s="3011" t="s">
        <v>10255</v>
      </c>
      <c r="AA428" s="3007" t="s">
        <v>10256</v>
      </c>
      <c r="AB428" s="3007" t="s">
        <v>10257</v>
      </c>
      <c r="AC428" s="3007" t="s">
        <v>10258</v>
      </c>
      <c r="AD428" s="3094" t="s">
        <v>2310</v>
      </c>
      <c r="AF428" s="2730">
        <v>1</v>
      </c>
    </row>
    <row r="429" spans="2:32" ht="30" customHeight="1">
      <c r="B429" s="3008"/>
      <c r="C429" s="3013"/>
      <c r="D429" s="3004"/>
      <c r="E429" s="3004"/>
      <c r="F429" s="1"/>
      <c r="G429" s="3008"/>
      <c r="H429" s="2991"/>
      <c r="I429" s="3010"/>
      <c r="J429" s="3010"/>
      <c r="L429" s="2983"/>
      <c r="M429" s="2984"/>
      <c r="N429" s="716"/>
      <c r="O429" s="2975"/>
      <c r="P429" s="2975"/>
      <c r="Q429" s="2840"/>
      <c r="R429" s="2998"/>
      <c r="S429" s="3061"/>
      <c r="T429" s="3004"/>
      <c r="U429" s="3004"/>
      <c r="X429" s="2999" t="s">
        <v>595</v>
      </c>
      <c r="AB429" s="2988"/>
      <c r="AC429" s="2988"/>
      <c r="AD429" s="2999" t="s">
        <v>595</v>
      </c>
      <c r="AF429" s="2730">
        <v>1</v>
      </c>
    </row>
    <row r="430" spans="2:32" ht="30" customHeight="1">
      <c r="B430" s="3008"/>
      <c r="C430" s="3013"/>
      <c r="D430" s="3004"/>
      <c r="E430" s="3004"/>
      <c r="F430" s="1"/>
      <c r="G430" s="3008"/>
      <c r="H430" s="2991"/>
      <c r="I430" s="3010"/>
      <c r="J430" s="3010"/>
      <c r="L430" s="2983"/>
      <c r="M430" s="2984"/>
      <c r="N430" s="716"/>
      <c r="O430" s="2975"/>
      <c r="P430" s="2975"/>
      <c r="Q430" s="2840"/>
      <c r="R430" s="2998"/>
      <c r="S430" s="3061"/>
      <c r="T430" s="3004"/>
      <c r="U430" s="3004"/>
      <c r="W430" s="2998">
        <v>1</v>
      </c>
      <c r="X430" s="3094" t="s">
        <v>10259</v>
      </c>
      <c r="Y430" s="3007" t="s">
        <v>10260</v>
      </c>
      <c r="Z430" s="3011" t="s">
        <v>10261</v>
      </c>
      <c r="AA430" s="3007" t="s">
        <v>10262</v>
      </c>
      <c r="AB430" s="3007" t="s">
        <v>10263</v>
      </c>
      <c r="AC430" s="3007" t="s">
        <v>10264</v>
      </c>
      <c r="AD430" s="3094" t="s">
        <v>10259</v>
      </c>
      <c r="AF430" s="2730">
        <v>1</v>
      </c>
    </row>
    <row r="431" spans="2:32" ht="30" customHeight="1">
      <c r="B431" s="3008"/>
      <c r="C431" s="3013"/>
      <c r="D431" s="3004"/>
      <c r="E431" s="3004"/>
      <c r="F431" s="1"/>
      <c r="G431" s="3008"/>
      <c r="H431" s="2991"/>
      <c r="I431" s="3010"/>
      <c r="J431" s="3010"/>
      <c r="L431" s="2983"/>
      <c r="M431" s="2984"/>
      <c r="N431" s="716"/>
      <c r="O431" s="2975"/>
      <c r="P431" s="2975"/>
      <c r="Q431" s="2840"/>
      <c r="R431" s="2998"/>
      <c r="S431" s="3061"/>
      <c r="T431" s="3004"/>
      <c r="U431" s="3004"/>
      <c r="W431" s="2998">
        <f>W430+1</f>
        <v>2</v>
      </c>
      <c r="X431" s="3094" t="s">
        <v>10265</v>
      </c>
      <c r="Y431" s="3007" t="s">
        <v>10266</v>
      </c>
      <c r="Z431" s="3011" t="s">
        <v>10267</v>
      </c>
      <c r="AA431" s="3007" t="s">
        <v>10268</v>
      </c>
      <c r="AB431" s="3007" t="s">
        <v>10269</v>
      </c>
      <c r="AC431" s="3007" t="s">
        <v>10270</v>
      </c>
      <c r="AD431" s="3094" t="s">
        <v>10265</v>
      </c>
      <c r="AF431" s="2730">
        <v>1</v>
      </c>
    </row>
    <row r="432" spans="2:32" ht="30" customHeight="1">
      <c r="B432" s="3008"/>
      <c r="C432" s="3013"/>
      <c r="D432" s="3004"/>
      <c r="E432" s="3004"/>
      <c r="F432" s="1"/>
      <c r="G432" s="3008"/>
      <c r="H432" s="2991"/>
      <c r="I432" s="3010"/>
      <c r="J432" s="3010"/>
      <c r="L432" s="2983"/>
      <c r="M432" s="2984"/>
      <c r="N432" s="716"/>
      <c r="O432" s="2975"/>
      <c r="P432" s="2975"/>
      <c r="Q432" s="2840"/>
      <c r="R432" s="2998"/>
      <c r="S432" s="3061"/>
      <c r="T432" s="3004"/>
      <c r="U432" s="3004"/>
      <c r="W432" s="2998">
        <f t="shared" ref="W432:W453" si="71">W431+1</f>
        <v>3</v>
      </c>
      <c r="X432" s="3094" t="s">
        <v>2075</v>
      </c>
      <c r="Y432" s="3007" t="s">
        <v>10271</v>
      </c>
      <c r="Z432" s="3011" t="s">
        <v>10272</v>
      </c>
      <c r="AA432" s="3007" t="s">
        <v>10273</v>
      </c>
      <c r="AB432" s="3007" t="s">
        <v>10274</v>
      </c>
      <c r="AC432" s="3007" t="s">
        <v>10275</v>
      </c>
      <c r="AD432" s="3094" t="s">
        <v>2075</v>
      </c>
      <c r="AF432" s="2730">
        <v>1</v>
      </c>
    </row>
    <row r="433" spans="2:32" ht="30" customHeight="1">
      <c r="B433" s="3008"/>
      <c r="C433" s="3013"/>
      <c r="D433" s="3004"/>
      <c r="E433" s="3004"/>
      <c r="F433" s="1"/>
      <c r="G433" s="3008"/>
      <c r="H433" s="2991"/>
      <c r="I433" s="3010"/>
      <c r="J433" s="3010"/>
      <c r="L433" s="2983"/>
      <c r="M433" s="2984"/>
      <c r="N433" s="716"/>
      <c r="O433" s="2975"/>
      <c r="P433" s="2975"/>
      <c r="Q433" s="2840"/>
      <c r="R433" s="2998"/>
      <c r="S433" s="3061"/>
      <c r="T433" s="3004"/>
      <c r="U433" s="3004"/>
      <c r="W433" s="2998">
        <f t="shared" si="71"/>
        <v>4</v>
      </c>
      <c r="X433" s="3094" t="s">
        <v>2089</v>
      </c>
      <c r="Y433" s="3007" t="s">
        <v>10276</v>
      </c>
      <c r="Z433" s="3011" t="s">
        <v>10277</v>
      </c>
      <c r="AA433" s="3007" t="s">
        <v>10278</v>
      </c>
      <c r="AB433" s="3007" t="s">
        <v>10279</v>
      </c>
      <c r="AC433" s="3007" t="s">
        <v>10280</v>
      </c>
      <c r="AD433" s="3094" t="s">
        <v>2089</v>
      </c>
      <c r="AF433" s="2730">
        <v>1</v>
      </c>
    </row>
    <row r="434" spans="2:32" ht="30" customHeight="1">
      <c r="B434" s="3008"/>
      <c r="C434" s="3013"/>
      <c r="D434" s="3004"/>
      <c r="E434" s="3004"/>
      <c r="F434" s="1"/>
      <c r="G434" s="3008"/>
      <c r="H434" s="2991"/>
      <c r="I434" s="3010"/>
      <c r="J434" s="3010"/>
      <c r="L434" s="2983"/>
      <c r="M434" s="2984"/>
      <c r="N434" s="716"/>
      <c r="O434" s="2975"/>
      <c r="P434" s="2975"/>
      <c r="Q434" s="2840"/>
      <c r="R434" s="2998"/>
      <c r="S434" s="3061"/>
      <c r="T434" s="3004"/>
      <c r="U434" s="3004"/>
      <c r="W434" s="2998">
        <f t="shared" si="71"/>
        <v>5</v>
      </c>
      <c r="X434" s="3094" t="s">
        <v>2100</v>
      </c>
      <c r="Y434" s="3007" t="s">
        <v>10281</v>
      </c>
      <c r="Z434" s="3011" t="s">
        <v>10282</v>
      </c>
      <c r="AA434" s="3007" t="s">
        <v>10283</v>
      </c>
      <c r="AB434" s="3007" t="s">
        <v>10284</v>
      </c>
      <c r="AC434" s="3007" t="s">
        <v>10285</v>
      </c>
      <c r="AD434" s="3094" t="s">
        <v>2100</v>
      </c>
      <c r="AF434" s="2730">
        <v>1</v>
      </c>
    </row>
    <row r="435" spans="2:32" ht="30" customHeight="1">
      <c r="B435" s="3008"/>
      <c r="C435" s="3013"/>
      <c r="D435" s="3004"/>
      <c r="E435" s="3004"/>
      <c r="F435" s="1"/>
      <c r="G435" s="3008"/>
      <c r="H435" s="2991"/>
      <c r="I435" s="3010"/>
      <c r="J435" s="3010"/>
      <c r="L435" s="2983"/>
      <c r="M435" s="2984"/>
      <c r="N435" s="716"/>
      <c r="O435" s="2975"/>
      <c r="P435" s="2975"/>
      <c r="Q435" s="2840"/>
      <c r="R435" s="2998"/>
      <c r="S435" s="3061"/>
      <c r="T435" s="3004"/>
      <c r="U435" s="3004"/>
      <c r="W435" s="2998">
        <f t="shared" si="71"/>
        <v>6</v>
      </c>
      <c r="X435" s="3094" t="s">
        <v>2111</v>
      </c>
      <c r="Y435" s="3007" t="s">
        <v>10286</v>
      </c>
      <c r="Z435" s="3011" t="s">
        <v>10287</v>
      </c>
      <c r="AA435" s="3007" t="s">
        <v>10288</v>
      </c>
      <c r="AB435" s="3007" t="s">
        <v>10289</v>
      </c>
      <c r="AC435" s="3007" t="s">
        <v>10290</v>
      </c>
      <c r="AD435" s="3094" t="s">
        <v>2111</v>
      </c>
      <c r="AF435" s="2730">
        <v>1</v>
      </c>
    </row>
    <row r="436" spans="2:32" ht="30" customHeight="1">
      <c r="B436" s="3008"/>
      <c r="C436" s="3013"/>
      <c r="D436" s="3004"/>
      <c r="E436" s="3004"/>
      <c r="F436" s="1"/>
      <c r="G436" s="3008"/>
      <c r="H436" s="2991"/>
      <c r="I436" s="3010"/>
      <c r="J436" s="3010"/>
      <c r="L436" s="2983"/>
      <c r="M436" s="2984"/>
      <c r="N436" s="716"/>
      <c r="O436" s="2975"/>
      <c r="P436" s="2975"/>
      <c r="Q436" s="2840"/>
      <c r="R436" s="2998"/>
      <c r="S436" s="3061"/>
      <c r="T436" s="3004"/>
      <c r="U436" s="3004"/>
      <c r="W436" s="2998">
        <f t="shared" si="71"/>
        <v>7</v>
      </c>
      <c r="X436" s="3094" t="s">
        <v>2122</v>
      </c>
      <c r="Y436" s="3007" t="s">
        <v>10291</v>
      </c>
      <c r="Z436" s="3011" t="s">
        <v>10292</v>
      </c>
      <c r="AA436" s="3007" t="s">
        <v>10293</v>
      </c>
      <c r="AB436" s="3007" t="s">
        <v>10294</v>
      </c>
      <c r="AC436" s="3007" t="s">
        <v>10295</v>
      </c>
      <c r="AD436" s="3094" t="s">
        <v>2122</v>
      </c>
      <c r="AF436" s="2730">
        <v>1</v>
      </c>
    </row>
    <row r="437" spans="2:32" ht="30" customHeight="1">
      <c r="B437" s="3008"/>
      <c r="C437" s="3013"/>
      <c r="D437" s="3004"/>
      <c r="E437" s="3004"/>
      <c r="F437" s="1"/>
      <c r="G437" s="3008"/>
      <c r="H437" s="2991"/>
      <c r="I437" s="3010"/>
      <c r="J437" s="3010"/>
      <c r="L437" s="2983"/>
      <c r="M437" s="2984"/>
      <c r="N437" s="716"/>
      <c r="O437" s="2975"/>
      <c r="P437" s="2975"/>
      <c r="Q437" s="2840"/>
      <c r="R437" s="2998"/>
      <c r="S437" s="3061"/>
      <c r="T437" s="3004"/>
      <c r="U437" s="3004"/>
      <c r="W437" s="2998">
        <f t="shared" si="71"/>
        <v>8</v>
      </c>
      <c r="X437" s="3094" t="s">
        <v>2901</v>
      </c>
      <c r="Y437" s="3007" t="s">
        <v>10296</v>
      </c>
      <c r="Z437" s="3011" t="s">
        <v>10297</v>
      </c>
      <c r="AA437" s="3007" t="s">
        <v>10298</v>
      </c>
      <c r="AB437" s="3007" t="s">
        <v>10299</v>
      </c>
      <c r="AC437" s="3007" t="s">
        <v>10300</v>
      </c>
      <c r="AD437" s="3094" t="s">
        <v>2901</v>
      </c>
      <c r="AF437" s="2730">
        <v>1</v>
      </c>
    </row>
    <row r="438" spans="2:32" ht="30" customHeight="1">
      <c r="B438" s="3008"/>
      <c r="C438" s="3013"/>
      <c r="D438" s="3004"/>
      <c r="E438" s="3004"/>
      <c r="F438" s="1"/>
      <c r="G438" s="3008"/>
      <c r="H438" s="2991"/>
      <c r="I438" s="3010"/>
      <c r="J438" s="3010"/>
      <c r="L438" s="2983"/>
      <c r="M438" s="2984"/>
      <c r="N438" s="716"/>
      <c r="O438" s="2975"/>
      <c r="P438" s="2975"/>
      <c r="Q438" s="2840"/>
      <c r="R438" s="2998"/>
      <c r="S438" s="3061"/>
      <c r="T438" s="3004"/>
      <c r="U438" s="3004"/>
      <c r="W438" s="2998">
        <f t="shared" si="71"/>
        <v>9</v>
      </c>
      <c r="X438" s="3094" t="s">
        <v>10301</v>
      </c>
      <c r="Y438" s="3007" t="s">
        <v>10302</v>
      </c>
      <c r="Z438" s="3011" t="s">
        <v>10303</v>
      </c>
      <c r="AA438" s="3007" t="s">
        <v>10304</v>
      </c>
      <c r="AB438" s="3007" t="s">
        <v>10305</v>
      </c>
      <c r="AC438" s="3007" t="s">
        <v>10306</v>
      </c>
      <c r="AD438" s="3094" t="s">
        <v>10301</v>
      </c>
      <c r="AF438" s="2730">
        <v>1</v>
      </c>
    </row>
    <row r="439" spans="2:32" ht="30" customHeight="1">
      <c r="B439" s="3008"/>
      <c r="C439" s="3013"/>
      <c r="D439" s="3004"/>
      <c r="E439" s="3004"/>
      <c r="F439" s="1"/>
      <c r="G439" s="3008"/>
      <c r="H439" s="2991"/>
      <c r="I439" s="3010"/>
      <c r="J439" s="3010"/>
      <c r="L439" s="2983"/>
      <c r="M439" s="2984"/>
      <c r="N439" s="716"/>
      <c r="O439" s="2975"/>
      <c r="P439" s="2975"/>
      <c r="Q439" s="2840"/>
      <c r="R439" s="2998"/>
      <c r="S439" s="3061"/>
      <c r="T439" s="3004"/>
      <c r="U439" s="3004"/>
      <c r="W439" s="2998">
        <f t="shared" si="71"/>
        <v>10</v>
      </c>
      <c r="X439" s="3094" t="s">
        <v>2142</v>
      </c>
      <c r="Y439" s="3007" t="s">
        <v>10307</v>
      </c>
      <c r="Z439" s="3011" t="s">
        <v>10308</v>
      </c>
      <c r="AA439" s="3007" t="s">
        <v>10309</v>
      </c>
      <c r="AB439" s="3007" t="s">
        <v>10310</v>
      </c>
      <c r="AC439" s="3007" t="s">
        <v>10311</v>
      </c>
      <c r="AD439" s="3094" t="s">
        <v>2142</v>
      </c>
      <c r="AF439" s="2730">
        <v>1</v>
      </c>
    </row>
    <row r="440" spans="2:32" ht="30" customHeight="1">
      <c r="B440" s="3008"/>
      <c r="C440" s="3013"/>
      <c r="D440" s="3004"/>
      <c r="E440" s="3004"/>
      <c r="F440" s="1"/>
      <c r="G440" s="3008"/>
      <c r="H440" s="2991"/>
      <c r="I440" s="3010"/>
      <c r="J440" s="3010"/>
      <c r="L440" s="2983"/>
      <c r="M440" s="2984"/>
      <c r="N440" s="716"/>
      <c r="O440" s="2975"/>
      <c r="P440" s="2975"/>
      <c r="Q440" s="2840"/>
      <c r="R440" s="2998"/>
      <c r="S440" s="3061"/>
      <c r="T440" s="3004"/>
      <c r="U440" s="3004"/>
      <c r="W440" s="2998">
        <f t="shared" si="71"/>
        <v>11</v>
      </c>
      <c r="X440" s="3094" t="s">
        <v>10312</v>
      </c>
      <c r="Y440" s="3007" t="s">
        <v>10313</v>
      </c>
      <c r="Z440" s="3011" t="s">
        <v>10314</v>
      </c>
      <c r="AA440" s="3007" t="s">
        <v>10315</v>
      </c>
      <c r="AB440" s="3007" t="s">
        <v>10316</v>
      </c>
      <c r="AC440" s="3007" t="s">
        <v>10317</v>
      </c>
      <c r="AD440" s="3094" t="s">
        <v>10312</v>
      </c>
      <c r="AF440" s="2730">
        <v>1</v>
      </c>
    </row>
    <row r="441" spans="2:32" ht="30" customHeight="1">
      <c r="B441" s="3008"/>
      <c r="C441" s="3013"/>
      <c r="D441" s="3004"/>
      <c r="E441" s="3004"/>
      <c r="F441" s="1"/>
      <c r="G441" s="3008"/>
      <c r="H441" s="2991"/>
      <c r="I441" s="3010"/>
      <c r="J441" s="3010"/>
      <c r="L441" s="2983"/>
      <c r="M441" s="2984"/>
      <c r="N441" s="716"/>
      <c r="O441" s="2975"/>
      <c r="P441" s="2975"/>
      <c r="Q441" s="2840"/>
      <c r="R441" s="2998"/>
      <c r="S441" s="3061"/>
      <c r="T441" s="3004"/>
      <c r="U441" s="3004"/>
      <c r="W441" s="2998">
        <f t="shared" si="71"/>
        <v>12</v>
      </c>
      <c r="X441" s="3094" t="s">
        <v>10318</v>
      </c>
      <c r="Y441" s="3007" t="s">
        <v>10319</v>
      </c>
      <c r="Z441" s="3011" t="s">
        <v>10082</v>
      </c>
      <c r="AA441" s="3007" t="s">
        <v>10320</v>
      </c>
      <c r="AB441" s="3007" t="s">
        <v>10321</v>
      </c>
      <c r="AC441" s="3007" t="s">
        <v>10322</v>
      </c>
      <c r="AD441" s="3094" t="s">
        <v>10318</v>
      </c>
      <c r="AF441" s="2730">
        <v>1</v>
      </c>
    </row>
    <row r="442" spans="2:32" ht="30" customHeight="1">
      <c r="B442" s="3008"/>
      <c r="C442" s="3013"/>
      <c r="D442" s="3004"/>
      <c r="E442" s="3004"/>
      <c r="F442" s="1"/>
      <c r="G442" s="3008"/>
      <c r="H442" s="2991"/>
      <c r="I442" s="3010"/>
      <c r="J442" s="3010"/>
      <c r="L442" s="2983"/>
      <c r="M442" s="2984"/>
      <c r="N442" s="716"/>
      <c r="O442" s="2975"/>
      <c r="P442" s="2975"/>
      <c r="Q442" s="2840"/>
      <c r="R442" s="2998"/>
      <c r="S442" s="3061"/>
      <c r="T442" s="3004"/>
      <c r="U442" s="3004"/>
      <c r="W442" s="2998">
        <f t="shared" si="71"/>
        <v>13</v>
      </c>
      <c r="X442" s="3094" t="s">
        <v>10323</v>
      </c>
      <c r="Y442" s="3007" t="s">
        <v>10324</v>
      </c>
      <c r="Z442" s="3011" t="s">
        <v>10325</v>
      </c>
      <c r="AA442" s="3007" t="s">
        <v>10326</v>
      </c>
      <c r="AB442" s="3007" t="s">
        <v>10327</v>
      </c>
      <c r="AC442" s="3007" t="s">
        <v>10328</v>
      </c>
      <c r="AD442" s="3094" t="s">
        <v>10323</v>
      </c>
      <c r="AF442" s="2730">
        <v>1</v>
      </c>
    </row>
    <row r="443" spans="2:32" ht="30" customHeight="1">
      <c r="B443" s="3008"/>
      <c r="C443" s="3013"/>
      <c r="D443" s="3004"/>
      <c r="E443" s="3004"/>
      <c r="F443" s="1"/>
      <c r="G443" s="3008"/>
      <c r="H443" s="2991"/>
      <c r="I443" s="3010"/>
      <c r="J443" s="3010"/>
      <c r="L443" s="2983"/>
      <c r="M443" s="2984"/>
      <c r="N443" s="716"/>
      <c r="O443" s="2975"/>
      <c r="P443" s="2975"/>
      <c r="Q443" s="2840"/>
      <c r="R443" s="2998"/>
      <c r="S443" s="3061"/>
      <c r="T443" s="3004"/>
      <c r="U443" s="3004"/>
      <c r="W443" s="2998">
        <f t="shared" si="71"/>
        <v>14</v>
      </c>
      <c r="X443" s="3094" t="s">
        <v>10329</v>
      </c>
      <c r="Y443" s="3007" t="s">
        <v>10330</v>
      </c>
      <c r="Z443" s="3011" t="s">
        <v>10331</v>
      </c>
      <c r="AA443" s="3007" t="s">
        <v>10332</v>
      </c>
      <c r="AB443" s="3007" t="s">
        <v>10333</v>
      </c>
      <c r="AC443" s="3007" t="s">
        <v>10334</v>
      </c>
      <c r="AD443" s="3094" t="s">
        <v>10329</v>
      </c>
      <c r="AF443" s="2730">
        <v>1</v>
      </c>
    </row>
    <row r="444" spans="2:32" ht="30" customHeight="1">
      <c r="B444" s="3008"/>
      <c r="C444" s="3013"/>
      <c r="D444" s="3004"/>
      <c r="E444" s="3004"/>
      <c r="F444" s="1"/>
      <c r="G444" s="3008"/>
      <c r="H444" s="2991"/>
      <c r="I444" s="3010"/>
      <c r="J444" s="3010"/>
      <c r="L444" s="2983"/>
      <c r="M444" s="2984"/>
      <c r="N444" s="716"/>
      <c r="O444" s="2975"/>
      <c r="P444" s="2975"/>
      <c r="Q444" s="2840"/>
      <c r="R444" s="2998"/>
      <c r="S444" s="3061"/>
      <c r="T444" s="3004"/>
      <c r="U444" s="3004"/>
      <c r="W444" s="2998">
        <f t="shared" si="71"/>
        <v>15</v>
      </c>
      <c r="X444" s="3094" t="s">
        <v>10335</v>
      </c>
      <c r="Y444" s="3007" t="s">
        <v>10336</v>
      </c>
      <c r="Z444" s="3011" t="s">
        <v>10337</v>
      </c>
      <c r="AA444" s="3007" t="s">
        <v>10338</v>
      </c>
      <c r="AB444" s="3007" t="s">
        <v>10339</v>
      </c>
      <c r="AC444" s="3007" t="s">
        <v>10340</v>
      </c>
      <c r="AD444" s="3094" t="s">
        <v>10335</v>
      </c>
      <c r="AF444" s="2730">
        <v>1</v>
      </c>
    </row>
    <row r="445" spans="2:32" ht="30" customHeight="1">
      <c r="B445" s="3008"/>
      <c r="C445" s="3013"/>
      <c r="D445" s="3004"/>
      <c r="E445" s="3004"/>
      <c r="F445" s="1"/>
      <c r="G445" s="3008"/>
      <c r="H445" s="2991"/>
      <c r="I445" s="3010"/>
      <c r="J445" s="3010"/>
      <c r="L445" s="2983"/>
      <c r="M445" s="2984"/>
      <c r="N445" s="716"/>
      <c r="O445" s="2975"/>
      <c r="P445" s="2975"/>
      <c r="Q445" s="2840"/>
      <c r="R445" s="2998"/>
      <c r="S445" s="3061"/>
      <c r="T445" s="3004"/>
      <c r="U445" s="3004"/>
      <c r="W445" s="2998">
        <f t="shared" si="71"/>
        <v>16</v>
      </c>
      <c r="X445" s="3094" t="s">
        <v>10341</v>
      </c>
      <c r="Y445" s="3007" t="s">
        <v>10342</v>
      </c>
      <c r="Z445" s="3011" t="s">
        <v>10343</v>
      </c>
      <c r="AA445" s="3007" t="s">
        <v>10344</v>
      </c>
      <c r="AB445" s="3007" t="s">
        <v>10345</v>
      </c>
      <c r="AC445" s="3007" t="s">
        <v>10346</v>
      </c>
      <c r="AD445" s="3094" t="s">
        <v>10341</v>
      </c>
      <c r="AF445" s="2730">
        <v>1</v>
      </c>
    </row>
    <row r="446" spans="2:32" ht="30" customHeight="1">
      <c r="B446" s="3008"/>
      <c r="C446" s="3013"/>
      <c r="D446" s="3004"/>
      <c r="E446" s="3004"/>
      <c r="F446" s="1"/>
      <c r="G446" s="3008"/>
      <c r="H446" s="2991"/>
      <c r="I446" s="3010"/>
      <c r="J446" s="3010"/>
      <c r="L446" s="2983"/>
      <c r="M446" s="2984"/>
      <c r="N446" s="716"/>
      <c r="O446" s="2975"/>
      <c r="P446" s="2975"/>
      <c r="Q446" s="2840"/>
      <c r="R446" s="2998"/>
      <c r="S446" s="3061"/>
      <c r="T446" s="3004"/>
      <c r="U446" s="3004"/>
      <c r="W446" s="2998">
        <f t="shared" si="71"/>
        <v>17</v>
      </c>
      <c r="X446" s="3094" t="s">
        <v>10347</v>
      </c>
      <c r="Y446" s="3007" t="s">
        <v>10348</v>
      </c>
      <c r="Z446" s="3011" t="s">
        <v>10349</v>
      </c>
      <c r="AA446" s="3007" t="s">
        <v>10350</v>
      </c>
      <c r="AB446" s="3007" t="s">
        <v>10351</v>
      </c>
      <c r="AC446" s="3007" t="s">
        <v>10352</v>
      </c>
      <c r="AD446" s="3094" t="s">
        <v>10347</v>
      </c>
      <c r="AF446" s="2730">
        <v>1</v>
      </c>
    </row>
    <row r="447" spans="2:32" ht="30" customHeight="1">
      <c r="B447" s="3008"/>
      <c r="C447" s="3013"/>
      <c r="D447" s="3004"/>
      <c r="E447" s="3004"/>
      <c r="F447" s="1"/>
      <c r="G447" s="3008"/>
      <c r="H447" s="2991"/>
      <c r="I447" s="3010"/>
      <c r="J447" s="3010"/>
      <c r="L447" s="2983"/>
      <c r="M447" s="2984"/>
      <c r="N447" s="716"/>
      <c r="O447" s="2975"/>
      <c r="P447" s="2975"/>
      <c r="Q447" s="2840"/>
      <c r="R447" s="2998"/>
      <c r="S447" s="3061"/>
      <c r="T447" s="3004"/>
      <c r="U447" s="3004"/>
      <c r="W447" s="2998">
        <f t="shared" si="71"/>
        <v>18</v>
      </c>
      <c r="X447" s="3094" t="s">
        <v>10353</v>
      </c>
      <c r="Y447" s="3007" t="s">
        <v>10354</v>
      </c>
      <c r="Z447" s="3011" t="s">
        <v>10355</v>
      </c>
      <c r="AA447" s="3007" t="s">
        <v>10356</v>
      </c>
      <c r="AB447" s="3007" t="s">
        <v>10357</v>
      </c>
      <c r="AC447" s="3007" t="s">
        <v>10358</v>
      </c>
      <c r="AD447" s="3094" t="s">
        <v>10353</v>
      </c>
      <c r="AF447" s="2730">
        <v>1</v>
      </c>
    </row>
    <row r="448" spans="2:32" ht="30" customHeight="1">
      <c r="B448" s="3008"/>
      <c r="C448" s="3013"/>
      <c r="D448" s="3004"/>
      <c r="E448" s="3004"/>
      <c r="F448" s="1"/>
      <c r="G448" s="3008"/>
      <c r="H448" s="2991"/>
      <c r="I448" s="3010"/>
      <c r="J448" s="3010"/>
      <c r="L448" s="2983"/>
      <c r="M448" s="2984"/>
      <c r="N448" s="716"/>
      <c r="O448" s="2975"/>
      <c r="P448" s="2975"/>
      <c r="Q448" s="2840"/>
      <c r="R448" s="2998"/>
      <c r="S448" s="3061"/>
      <c r="T448" s="3004"/>
      <c r="U448" s="3004"/>
      <c r="W448" s="2998">
        <f t="shared" si="71"/>
        <v>19</v>
      </c>
      <c r="X448" s="3094" t="s">
        <v>2165</v>
      </c>
      <c r="Y448" s="3007" t="s">
        <v>10359</v>
      </c>
      <c r="Z448" s="3011" t="s">
        <v>10360</v>
      </c>
      <c r="AA448" s="3007" t="s">
        <v>10361</v>
      </c>
      <c r="AB448" s="3007" t="s">
        <v>10362</v>
      </c>
      <c r="AC448" s="3007" t="s">
        <v>10363</v>
      </c>
      <c r="AD448" s="3094" t="s">
        <v>2165</v>
      </c>
      <c r="AF448" s="2730">
        <v>1</v>
      </c>
    </row>
    <row r="449" spans="2:32" ht="30" customHeight="1">
      <c r="B449" s="3008"/>
      <c r="C449" s="3013"/>
      <c r="D449" s="3004"/>
      <c r="E449" s="3004"/>
      <c r="F449" s="1"/>
      <c r="G449" s="3008"/>
      <c r="H449" s="2991"/>
      <c r="I449" s="3010"/>
      <c r="J449" s="3010"/>
      <c r="L449" s="2983"/>
      <c r="M449" s="2984"/>
      <c r="N449" s="716"/>
      <c r="O449" s="2975"/>
      <c r="P449" s="2975"/>
      <c r="Q449" s="2840"/>
      <c r="R449" s="2998"/>
      <c r="S449" s="3061"/>
      <c r="T449" s="3004"/>
      <c r="U449" s="3004"/>
      <c r="W449" s="2998">
        <f t="shared" si="71"/>
        <v>20</v>
      </c>
      <c r="X449" s="3094" t="s">
        <v>2175</v>
      </c>
      <c r="Y449" s="3007" t="s">
        <v>10364</v>
      </c>
      <c r="Z449" s="3011" t="s">
        <v>10365</v>
      </c>
      <c r="AA449" s="3007" t="s">
        <v>10366</v>
      </c>
      <c r="AB449" s="3007" t="s">
        <v>10367</v>
      </c>
      <c r="AC449" s="3007" t="s">
        <v>10368</v>
      </c>
      <c r="AD449" s="3094" t="s">
        <v>2175</v>
      </c>
      <c r="AF449" s="2730">
        <v>1</v>
      </c>
    </row>
    <row r="450" spans="2:32" ht="30" customHeight="1">
      <c r="B450" s="3008"/>
      <c r="C450" s="3013"/>
      <c r="D450" s="3004"/>
      <c r="E450" s="3004"/>
      <c r="F450" s="1"/>
      <c r="G450" s="3008"/>
      <c r="H450" s="2991"/>
      <c r="I450" s="3010"/>
      <c r="J450" s="3010"/>
      <c r="L450" s="2983"/>
      <c r="M450" s="2984"/>
      <c r="N450" s="716"/>
      <c r="O450" s="2975"/>
      <c r="P450" s="2975"/>
      <c r="Q450" s="2840"/>
      <c r="R450" s="2998"/>
      <c r="S450" s="3061"/>
      <c r="T450" s="3004"/>
      <c r="U450" s="3004"/>
      <c r="W450" s="2998">
        <f t="shared" si="71"/>
        <v>21</v>
      </c>
      <c r="X450" s="3094" t="s">
        <v>2907</v>
      </c>
      <c r="Y450" s="3007" t="s">
        <v>10369</v>
      </c>
      <c r="Z450" s="3011" t="s">
        <v>10370</v>
      </c>
      <c r="AA450" s="3007" t="s">
        <v>10371</v>
      </c>
      <c r="AB450" s="3007" t="s">
        <v>10372</v>
      </c>
      <c r="AC450" s="3007" t="s">
        <v>10373</v>
      </c>
      <c r="AD450" s="3094" t="s">
        <v>2907</v>
      </c>
      <c r="AF450" s="2730">
        <v>1</v>
      </c>
    </row>
    <row r="451" spans="2:32" ht="30" customHeight="1">
      <c r="B451" s="3008"/>
      <c r="C451" s="3013"/>
      <c r="D451" s="3004"/>
      <c r="E451" s="3004"/>
      <c r="F451" s="1"/>
      <c r="G451" s="3008"/>
      <c r="H451" s="2991"/>
      <c r="I451" s="3010"/>
      <c r="J451" s="3010"/>
      <c r="L451" s="2983"/>
      <c r="M451" s="2984"/>
      <c r="N451" s="716"/>
      <c r="O451" s="2975"/>
      <c r="P451" s="2975"/>
      <c r="Q451" s="2840"/>
      <c r="R451" s="2998"/>
      <c r="S451" s="3061"/>
      <c r="T451" s="3004"/>
      <c r="U451" s="3004"/>
      <c r="W451" s="2998">
        <f t="shared" si="71"/>
        <v>22</v>
      </c>
      <c r="X451" s="3094" t="s">
        <v>2180</v>
      </c>
      <c r="Y451" s="3007" t="s">
        <v>10374</v>
      </c>
      <c r="Z451" s="3011" t="s">
        <v>10375</v>
      </c>
      <c r="AA451" s="3007" t="s">
        <v>10376</v>
      </c>
      <c r="AB451" s="3007" t="s">
        <v>10377</v>
      </c>
      <c r="AC451" s="3007" t="s">
        <v>10378</v>
      </c>
      <c r="AD451" s="3094" t="s">
        <v>2180</v>
      </c>
      <c r="AF451" s="2730">
        <v>1</v>
      </c>
    </row>
    <row r="452" spans="2:32" ht="30" customHeight="1">
      <c r="B452" s="3008"/>
      <c r="C452" s="3013"/>
      <c r="D452" s="3004"/>
      <c r="E452" s="3004"/>
      <c r="F452" s="1"/>
      <c r="G452" s="3008"/>
      <c r="H452" s="2991"/>
      <c r="I452" s="3010"/>
      <c r="J452" s="3010"/>
      <c r="L452" s="2983"/>
      <c r="M452" s="2984"/>
      <c r="N452" s="716"/>
      <c r="O452" s="2975"/>
      <c r="P452" s="2975"/>
      <c r="Q452" s="2840"/>
      <c r="R452" s="2998"/>
      <c r="S452" s="3061"/>
      <c r="T452" s="3004"/>
      <c r="U452" s="3004"/>
      <c r="W452" s="2998">
        <f t="shared" si="71"/>
        <v>23</v>
      </c>
      <c r="X452" s="3094" t="s">
        <v>10379</v>
      </c>
      <c r="Y452" s="3007" t="s">
        <v>10380</v>
      </c>
      <c r="Z452" s="3011" t="s">
        <v>10381</v>
      </c>
      <c r="AA452" s="3007" t="s">
        <v>10382</v>
      </c>
      <c r="AB452" s="3007" t="s">
        <v>10383</v>
      </c>
      <c r="AC452" s="3007" t="s">
        <v>10384</v>
      </c>
      <c r="AD452" s="3094" t="s">
        <v>10379</v>
      </c>
      <c r="AF452" s="2730">
        <v>1</v>
      </c>
    </row>
    <row r="453" spans="2:32" ht="30" customHeight="1">
      <c r="B453" s="3008"/>
      <c r="C453" s="3013"/>
      <c r="D453" s="3004"/>
      <c r="E453" s="3004"/>
      <c r="F453" s="1"/>
      <c r="G453" s="3008"/>
      <c r="H453" s="2991"/>
      <c r="I453" s="3010"/>
      <c r="J453" s="3010"/>
      <c r="L453" s="2983"/>
      <c r="M453" s="2984"/>
      <c r="N453" s="716"/>
      <c r="O453" s="2975"/>
      <c r="P453" s="2975"/>
      <c r="Q453" s="2840"/>
      <c r="R453" s="2998"/>
      <c r="S453" s="3061"/>
      <c r="T453" s="3004"/>
      <c r="U453" s="3004"/>
      <c r="W453" s="2998">
        <f t="shared" si="71"/>
        <v>24</v>
      </c>
      <c r="X453" s="3094" t="s">
        <v>2197</v>
      </c>
      <c r="Y453" s="3007" t="s">
        <v>10385</v>
      </c>
      <c r="Z453" s="3011" t="s">
        <v>10386</v>
      </c>
      <c r="AA453" s="3007" t="s">
        <v>10387</v>
      </c>
      <c r="AB453" s="3007" t="s">
        <v>10388</v>
      </c>
      <c r="AC453" s="3007" t="s">
        <v>10389</v>
      </c>
      <c r="AD453" s="3094" t="s">
        <v>2197</v>
      </c>
      <c r="AF453" s="2730">
        <v>1</v>
      </c>
    </row>
    <row r="454" spans="2:32" ht="30" customHeight="1">
      <c r="B454" s="3008"/>
      <c r="C454" s="3013"/>
      <c r="D454" s="3004"/>
      <c r="E454" s="3004"/>
      <c r="F454" s="1"/>
      <c r="G454" s="3008"/>
      <c r="H454" s="2991"/>
      <c r="I454" s="3010"/>
      <c r="J454" s="3010"/>
      <c r="L454" s="2983"/>
      <c r="M454" s="2984"/>
      <c r="N454" s="716"/>
      <c r="O454" s="2975"/>
      <c r="P454" s="2975"/>
      <c r="Q454" s="2840"/>
      <c r="R454" s="2998"/>
      <c r="S454" s="3061"/>
      <c r="T454" s="3004"/>
      <c r="U454" s="3004"/>
      <c r="W454" s="2977"/>
      <c r="X454" s="2999" t="s">
        <v>1191</v>
      </c>
      <c r="Y454" s="3090"/>
      <c r="Z454" s="3090"/>
      <c r="AA454" s="3090"/>
      <c r="AB454" s="2988"/>
      <c r="AC454" s="2988"/>
      <c r="AD454" s="2999" t="s">
        <v>1191</v>
      </c>
      <c r="AF454" s="2730">
        <v>1</v>
      </c>
    </row>
    <row r="455" spans="2:32" ht="30" customHeight="1">
      <c r="B455" s="3008"/>
      <c r="C455" s="3013"/>
      <c r="D455" s="3004"/>
      <c r="E455" s="3004"/>
      <c r="F455" s="1"/>
      <c r="G455" s="3008"/>
      <c r="H455" s="2991"/>
      <c r="I455" s="3010"/>
      <c r="J455" s="3010"/>
      <c r="L455" s="2983"/>
      <c r="M455" s="2984"/>
      <c r="N455" s="716"/>
      <c r="O455" s="2975"/>
      <c r="P455" s="2975"/>
      <c r="Q455" s="2840"/>
      <c r="R455" s="2998"/>
      <c r="S455" s="3061"/>
      <c r="T455" s="3004"/>
      <c r="U455" s="3004"/>
      <c r="W455" s="2998">
        <v>1</v>
      </c>
      <c r="X455" s="3092" t="s">
        <v>2168</v>
      </c>
      <c r="Y455" s="3007" t="s">
        <v>10390</v>
      </c>
      <c r="Z455" s="3011" t="s">
        <v>10391</v>
      </c>
      <c r="AA455" s="3007" t="s">
        <v>10392</v>
      </c>
      <c r="AB455" s="3007" t="s">
        <v>10393</v>
      </c>
      <c r="AC455" s="3007" t="s">
        <v>10394</v>
      </c>
      <c r="AD455" s="3092" t="s">
        <v>2168</v>
      </c>
      <c r="AF455" s="2730">
        <v>1</v>
      </c>
    </row>
    <row r="456" spans="2:32" ht="30" customHeight="1">
      <c r="B456" s="3008"/>
      <c r="C456" s="3013"/>
      <c r="D456" s="3004"/>
      <c r="E456" s="3004"/>
      <c r="F456" s="1"/>
      <c r="G456" s="3008"/>
      <c r="H456" s="2991"/>
      <c r="I456" s="3010"/>
      <c r="J456" s="3010"/>
      <c r="L456" s="2983"/>
      <c r="M456" s="2984"/>
      <c r="N456" s="716"/>
      <c r="O456" s="2975"/>
      <c r="P456" s="2975"/>
      <c r="Q456" s="2840"/>
      <c r="R456" s="2998"/>
      <c r="S456" s="3061"/>
      <c r="T456" s="3004"/>
      <c r="U456" s="3004"/>
      <c r="W456" s="2998">
        <f>W455+1</f>
        <v>2</v>
      </c>
      <c r="X456" s="3092" t="s">
        <v>2219</v>
      </c>
      <c r="Y456" s="3007" t="s">
        <v>10395</v>
      </c>
      <c r="Z456" s="3011" t="s">
        <v>10396</v>
      </c>
      <c r="AA456" s="3007" t="s">
        <v>10397</v>
      </c>
      <c r="AB456" s="3007" t="s">
        <v>10398</v>
      </c>
      <c r="AC456" s="3007" t="s">
        <v>10399</v>
      </c>
      <c r="AD456" s="3092" t="s">
        <v>2219</v>
      </c>
      <c r="AF456" s="2730">
        <v>1</v>
      </c>
    </row>
    <row r="457" spans="2:32" ht="30" customHeight="1">
      <c r="B457" s="3008"/>
      <c r="C457" s="3013"/>
      <c r="D457" s="3004"/>
      <c r="E457" s="3004"/>
      <c r="F457" s="1"/>
      <c r="G457" s="3008"/>
      <c r="H457" s="2991"/>
      <c r="I457" s="3010"/>
      <c r="J457" s="3010"/>
      <c r="L457" s="2983"/>
      <c r="M457" s="2984"/>
      <c r="N457" s="716"/>
      <c r="O457" s="2975"/>
      <c r="P457" s="2975"/>
      <c r="Q457" s="2840"/>
      <c r="R457" s="2998"/>
      <c r="S457" s="3061"/>
      <c r="T457" s="3004"/>
      <c r="U457" s="3004"/>
      <c r="W457" s="2977"/>
      <c r="X457" s="2999" t="s">
        <v>633</v>
      </c>
      <c r="Y457" s="3090"/>
      <c r="Z457" s="3090"/>
      <c r="AA457" s="3090"/>
      <c r="AB457" s="2988"/>
      <c r="AC457" s="2988"/>
      <c r="AD457" s="2999" t="s">
        <v>633</v>
      </c>
      <c r="AF457" s="2730">
        <v>1</v>
      </c>
    </row>
    <row r="458" spans="2:32" ht="30" customHeight="1">
      <c r="B458" s="3008"/>
      <c r="C458" s="3013"/>
      <c r="D458" s="3004"/>
      <c r="E458" s="3004"/>
      <c r="F458" s="1"/>
      <c r="G458" s="3008"/>
      <c r="H458" s="2991"/>
      <c r="I458" s="3010"/>
      <c r="J458" s="3010"/>
      <c r="L458" s="2983"/>
      <c r="M458" s="2984"/>
      <c r="N458" s="716"/>
      <c r="O458" s="2975"/>
      <c r="P458" s="2975"/>
      <c r="Q458" s="2840"/>
      <c r="R458" s="2998"/>
      <c r="S458" s="3061"/>
      <c r="T458" s="3004"/>
      <c r="U458" s="3004"/>
      <c r="W458" s="2998">
        <v>1</v>
      </c>
      <c r="X458" s="3094" t="s">
        <v>2239</v>
      </c>
      <c r="Y458" s="3007" t="s">
        <v>10400</v>
      </c>
      <c r="Z458" s="3011" t="s">
        <v>10401</v>
      </c>
      <c r="AA458" s="3007" t="s">
        <v>10402</v>
      </c>
      <c r="AB458" s="3007" t="s">
        <v>10403</v>
      </c>
      <c r="AC458" s="3007" t="s">
        <v>10404</v>
      </c>
      <c r="AD458" s="3094" t="s">
        <v>2239</v>
      </c>
      <c r="AF458" s="2730">
        <v>1</v>
      </c>
    </row>
    <row r="459" spans="2:32" ht="30" customHeight="1">
      <c r="B459" s="3008"/>
      <c r="C459" s="3013"/>
      <c r="D459" s="3004"/>
      <c r="E459" s="3004"/>
      <c r="F459" s="1"/>
      <c r="G459" s="3008"/>
      <c r="H459" s="2991"/>
      <c r="I459" s="3010"/>
      <c r="J459" s="3010"/>
      <c r="L459" s="2983"/>
      <c r="M459" s="2984"/>
      <c r="N459" s="716"/>
      <c r="O459" s="2975"/>
      <c r="P459" s="2975"/>
      <c r="Q459" s="2840"/>
      <c r="R459" s="2998"/>
      <c r="S459" s="3061"/>
      <c r="T459" s="3004"/>
      <c r="U459" s="3004"/>
      <c r="W459" s="2998">
        <f>W458+1</f>
        <v>2</v>
      </c>
      <c r="X459" s="3094" t="s">
        <v>2912</v>
      </c>
      <c r="Y459" s="3007" t="s">
        <v>10405</v>
      </c>
      <c r="Z459" s="3011" t="s">
        <v>10406</v>
      </c>
      <c r="AA459" s="3007" t="s">
        <v>10407</v>
      </c>
      <c r="AB459" s="3007" t="s">
        <v>10408</v>
      </c>
      <c r="AC459" s="3007" t="s">
        <v>10409</v>
      </c>
      <c r="AD459" s="3094" t="s">
        <v>2912</v>
      </c>
      <c r="AF459" s="2730">
        <v>1</v>
      </c>
    </row>
    <row r="460" spans="2:32" ht="30" customHeight="1">
      <c r="B460" s="3008"/>
      <c r="C460" s="3013"/>
      <c r="D460" s="3004"/>
      <c r="E460" s="3004"/>
      <c r="F460" s="1"/>
      <c r="G460" s="3008"/>
      <c r="H460" s="2991"/>
      <c r="I460" s="3010"/>
      <c r="J460" s="3010"/>
      <c r="L460" s="2983"/>
      <c r="M460" s="2984"/>
      <c r="N460" s="716"/>
      <c r="O460" s="2975"/>
      <c r="P460" s="2975"/>
      <c r="Q460" s="2840"/>
      <c r="R460" s="2998"/>
      <c r="S460" s="3061"/>
      <c r="T460" s="3004"/>
      <c r="U460" s="3004"/>
      <c r="W460" s="2998">
        <f t="shared" ref="W460:W465" si="72">W459+1</f>
        <v>3</v>
      </c>
      <c r="X460" s="3094" t="s">
        <v>2915</v>
      </c>
      <c r="Y460" s="3007" t="s">
        <v>10410</v>
      </c>
      <c r="Z460" s="3011" t="s">
        <v>10411</v>
      </c>
      <c r="AA460" s="3007" t="s">
        <v>10412</v>
      </c>
      <c r="AB460" s="3007" t="s">
        <v>10413</v>
      </c>
      <c r="AC460" s="3007" t="s">
        <v>10414</v>
      </c>
      <c r="AD460" s="3094" t="s">
        <v>2915</v>
      </c>
      <c r="AF460" s="2730">
        <v>1</v>
      </c>
    </row>
    <row r="461" spans="2:32" ht="30" customHeight="1">
      <c r="B461" s="3008"/>
      <c r="C461" s="3013"/>
      <c r="D461" s="3004"/>
      <c r="E461" s="3004"/>
      <c r="F461" s="1"/>
      <c r="G461" s="3008"/>
      <c r="H461" s="2991"/>
      <c r="I461" s="3010"/>
      <c r="J461" s="3010"/>
      <c r="L461" s="2983"/>
      <c r="M461" s="2984"/>
      <c r="N461" s="716"/>
      <c r="O461" s="2975"/>
      <c r="P461" s="2975"/>
      <c r="Q461" s="2840"/>
      <c r="R461" s="2998"/>
      <c r="S461" s="3061"/>
      <c r="T461" s="3004"/>
      <c r="U461" s="3004"/>
      <c r="W461" s="2998">
        <f t="shared" si="72"/>
        <v>4</v>
      </c>
      <c r="X461" s="3094" t="s">
        <v>10415</v>
      </c>
      <c r="Y461" s="3004" t="s">
        <v>10416</v>
      </c>
      <c r="Z461" s="3004" t="s">
        <v>10417</v>
      </c>
      <c r="AA461" s="3007" t="s">
        <v>10418</v>
      </c>
      <c r="AB461" s="3007" t="s">
        <v>10419</v>
      </c>
      <c r="AC461" s="3007" t="s">
        <v>10420</v>
      </c>
      <c r="AD461" s="3094" t="s">
        <v>10415</v>
      </c>
      <c r="AF461" s="2730">
        <v>1</v>
      </c>
    </row>
    <row r="462" spans="2:32" ht="30" customHeight="1">
      <c r="B462" s="3008"/>
      <c r="C462" s="3013"/>
      <c r="D462" s="3004"/>
      <c r="E462" s="3004"/>
      <c r="F462" s="1"/>
      <c r="G462" s="3008"/>
      <c r="H462" s="2991"/>
      <c r="I462" s="3010"/>
      <c r="J462" s="3010"/>
      <c r="L462" s="2983"/>
      <c r="M462" s="2984"/>
      <c r="N462" s="716"/>
      <c r="O462" s="2975"/>
      <c r="P462" s="2975"/>
      <c r="Q462" s="2840"/>
      <c r="R462" s="2998"/>
      <c r="S462" s="3061"/>
      <c r="T462" s="3004"/>
      <c r="U462" s="3004"/>
      <c r="W462" s="2998">
        <f t="shared" si="72"/>
        <v>5</v>
      </c>
      <c r="X462" s="3094" t="s">
        <v>2182</v>
      </c>
      <c r="Y462" s="3007" t="s">
        <v>10421</v>
      </c>
      <c r="Z462" s="3011" t="s">
        <v>10422</v>
      </c>
      <c r="AA462" s="3007" t="s">
        <v>10423</v>
      </c>
      <c r="AB462" s="3007" t="s">
        <v>10424</v>
      </c>
      <c r="AC462" s="3007" t="s">
        <v>10425</v>
      </c>
      <c r="AD462" s="3094" t="s">
        <v>2182</v>
      </c>
      <c r="AF462" s="2730">
        <v>1</v>
      </c>
    </row>
    <row r="463" spans="2:32" ht="30" customHeight="1">
      <c r="B463" s="3008"/>
      <c r="C463" s="3013"/>
      <c r="D463" s="3004"/>
      <c r="E463" s="3004"/>
      <c r="F463" s="1"/>
      <c r="G463" s="3008"/>
      <c r="H463" s="2991"/>
      <c r="I463" s="3010"/>
      <c r="J463" s="3010"/>
      <c r="L463" s="2983"/>
      <c r="M463" s="2984"/>
      <c r="N463" s="716"/>
      <c r="O463" s="2975"/>
      <c r="P463" s="2975"/>
      <c r="Q463" s="2840"/>
      <c r="R463" s="2998"/>
      <c r="S463" s="3061"/>
      <c r="T463" s="3004"/>
      <c r="U463" s="3004"/>
      <c r="W463" s="2998">
        <f t="shared" si="72"/>
        <v>6</v>
      </c>
      <c r="X463" s="3094" t="s">
        <v>2189</v>
      </c>
      <c r="Y463" s="3007" t="s">
        <v>10426</v>
      </c>
      <c r="Z463" s="3011" t="s">
        <v>10427</v>
      </c>
      <c r="AA463" s="3007" t="s">
        <v>10428</v>
      </c>
      <c r="AB463" s="3007" t="s">
        <v>10429</v>
      </c>
      <c r="AC463" s="3007" t="s">
        <v>10430</v>
      </c>
      <c r="AD463" s="3094" t="s">
        <v>2189</v>
      </c>
      <c r="AF463" s="2730">
        <v>1</v>
      </c>
    </row>
    <row r="464" spans="2:32" ht="30" customHeight="1">
      <c r="B464" s="3008"/>
      <c r="C464" s="3013"/>
      <c r="D464" s="3004"/>
      <c r="E464" s="3004"/>
      <c r="F464" s="1"/>
      <c r="G464" s="3008"/>
      <c r="H464" s="2991"/>
      <c r="I464" s="3010"/>
      <c r="J464" s="3010"/>
      <c r="L464" s="2983"/>
      <c r="M464" s="2984"/>
      <c r="N464" s="716"/>
      <c r="O464" s="2975"/>
      <c r="P464" s="2975"/>
      <c r="Q464" s="2840"/>
      <c r="R464" s="2998"/>
      <c r="S464" s="3061"/>
      <c r="T464" s="3004"/>
      <c r="U464" s="3004"/>
      <c r="W464" s="2998">
        <f t="shared" si="72"/>
        <v>7</v>
      </c>
      <c r="X464" s="3094" t="s">
        <v>2253</v>
      </c>
      <c r="Y464" s="3007" t="s">
        <v>10431</v>
      </c>
      <c r="Z464" s="3011" t="s">
        <v>10432</v>
      </c>
      <c r="AA464" s="3007" t="s">
        <v>10433</v>
      </c>
      <c r="AB464" s="3007" t="s">
        <v>10434</v>
      </c>
      <c r="AC464" s="3007" t="s">
        <v>10435</v>
      </c>
      <c r="AD464" s="3094" t="s">
        <v>2253</v>
      </c>
      <c r="AF464" s="2730">
        <v>1</v>
      </c>
    </row>
    <row r="465" spans="1:34" ht="30" customHeight="1">
      <c r="B465" s="3008"/>
      <c r="C465" s="3013"/>
      <c r="D465" s="3004"/>
      <c r="E465" s="3004"/>
      <c r="F465" s="1"/>
      <c r="G465" s="3008"/>
      <c r="H465" s="2991"/>
      <c r="I465" s="3010"/>
      <c r="J465" s="3010"/>
      <c r="L465" s="2983"/>
      <c r="M465" s="2984"/>
      <c r="N465" s="716"/>
      <c r="O465" s="2975"/>
      <c r="P465" s="2975"/>
      <c r="Q465" s="2840"/>
      <c r="R465" s="2998"/>
      <c r="S465" s="3061"/>
      <c r="T465" s="3004"/>
      <c r="U465" s="3004"/>
      <c r="W465" s="2998">
        <f t="shared" si="72"/>
        <v>8</v>
      </c>
      <c r="X465" s="3094" t="s">
        <v>2258</v>
      </c>
      <c r="Y465" s="3007" t="s">
        <v>10436</v>
      </c>
      <c r="Z465" s="3011" t="s">
        <v>10437</v>
      </c>
      <c r="AA465" s="3007" t="s">
        <v>10438</v>
      </c>
      <c r="AB465" s="3007" t="s">
        <v>10439</v>
      </c>
      <c r="AC465" s="3007" t="s">
        <v>10440</v>
      </c>
      <c r="AD465" s="3094" t="s">
        <v>2258</v>
      </c>
      <c r="AF465" s="2730">
        <v>1</v>
      </c>
    </row>
    <row r="466" spans="1:34" ht="30" customHeight="1">
      <c r="B466" s="3008"/>
      <c r="C466" s="3013"/>
      <c r="D466" s="3004"/>
      <c r="E466" s="3004"/>
      <c r="F466" s="1"/>
      <c r="G466" s="3008"/>
      <c r="H466" s="2991"/>
      <c r="I466" s="3010"/>
      <c r="J466" s="3010"/>
      <c r="L466" s="2983"/>
      <c r="M466" s="2984"/>
      <c r="N466" s="716"/>
      <c r="O466" s="2975"/>
      <c r="P466" s="2975"/>
      <c r="Q466" s="2840"/>
      <c r="R466" s="2998"/>
      <c r="S466" s="3061"/>
      <c r="T466" s="3004"/>
      <c r="U466" s="3004"/>
      <c r="W466" s="2977"/>
      <c r="X466" s="2999" t="s">
        <v>1173</v>
      </c>
      <c r="Y466" s="3090"/>
      <c r="Z466" s="3090"/>
      <c r="AA466" s="3090"/>
      <c r="AB466" s="2988"/>
      <c r="AC466" s="2988"/>
      <c r="AD466" s="2999" t="s">
        <v>1173</v>
      </c>
      <c r="AF466" s="2730">
        <v>1</v>
      </c>
    </row>
    <row r="467" spans="1:34" ht="30" customHeight="1">
      <c r="B467" s="3008"/>
      <c r="C467" s="3013"/>
      <c r="D467" s="3004"/>
      <c r="E467" s="3004"/>
      <c r="F467" s="1"/>
      <c r="G467" s="3008"/>
      <c r="H467" s="2991"/>
      <c r="I467" s="3010"/>
      <c r="J467" s="3010"/>
      <c r="L467" s="2983"/>
      <c r="M467" s="2984"/>
      <c r="N467" s="716"/>
      <c r="O467" s="2975"/>
      <c r="P467" s="2975"/>
      <c r="Q467" s="2840"/>
      <c r="R467" s="2998"/>
      <c r="S467" s="3061"/>
      <c r="T467" s="3004"/>
      <c r="U467" s="3004"/>
      <c r="W467" s="2998">
        <v>1</v>
      </c>
      <c r="X467" s="3092" t="s">
        <v>2272</v>
      </c>
      <c r="Y467" s="3007" t="s">
        <v>10441</v>
      </c>
      <c r="Z467" s="3011" t="s">
        <v>10442</v>
      </c>
      <c r="AA467" s="3007" t="s">
        <v>10443</v>
      </c>
      <c r="AB467" s="3007" t="s">
        <v>10444</v>
      </c>
      <c r="AC467" s="3007" t="s">
        <v>10445</v>
      </c>
      <c r="AD467" s="3092" t="s">
        <v>2272</v>
      </c>
      <c r="AF467" s="2730">
        <v>1</v>
      </c>
    </row>
    <row r="468" spans="1:34" ht="30" customHeight="1">
      <c r="B468" s="3008"/>
      <c r="C468" s="3013"/>
      <c r="D468" s="3004"/>
      <c r="E468" s="3004"/>
      <c r="F468" s="1"/>
      <c r="G468" s="3008"/>
      <c r="H468" s="2991"/>
      <c r="I468" s="3010"/>
      <c r="J468" s="3010"/>
      <c r="L468" s="2983"/>
      <c r="M468" s="2984"/>
      <c r="N468" s="716"/>
      <c r="O468" s="2975"/>
      <c r="P468" s="2975"/>
      <c r="Q468" s="2840"/>
      <c r="R468" s="2998"/>
      <c r="S468" s="3061"/>
      <c r="T468" s="3004"/>
      <c r="U468" s="3004"/>
      <c r="AF468" s="2731" t="s">
        <v>7037</v>
      </c>
    </row>
    <row r="469" spans="1:34" ht="15.75">
      <c r="A469" s="2730">
        <v>1</v>
      </c>
      <c r="B469" s="2730">
        <v>1</v>
      </c>
      <c r="C469" s="2730">
        <v>1</v>
      </c>
      <c r="D469" s="2730">
        <v>1</v>
      </c>
      <c r="E469" s="2730">
        <v>1</v>
      </c>
      <c r="F469" s="2730">
        <v>1</v>
      </c>
      <c r="G469" s="2730">
        <v>1</v>
      </c>
      <c r="H469" s="2730">
        <v>1</v>
      </c>
      <c r="I469" s="2730">
        <v>1</v>
      </c>
      <c r="J469" s="2730">
        <v>1</v>
      </c>
      <c r="K469" s="2730">
        <v>1</v>
      </c>
      <c r="L469" s="2983"/>
      <c r="M469" s="2984"/>
      <c r="N469" s="716"/>
      <c r="O469" s="2975"/>
      <c r="P469" s="2975"/>
      <c r="Q469" s="2730">
        <v>1</v>
      </c>
      <c r="R469" s="2730">
        <v>1</v>
      </c>
      <c r="S469" s="2730">
        <v>1</v>
      </c>
      <c r="T469" s="2730">
        <v>1</v>
      </c>
      <c r="U469" s="2730">
        <v>1</v>
      </c>
      <c r="V469" s="2730">
        <v>1</v>
      </c>
      <c r="W469" s="2730">
        <v>1</v>
      </c>
      <c r="X469" s="2730">
        <v>1</v>
      </c>
      <c r="Y469" s="2730">
        <v>1</v>
      </c>
      <c r="Z469" s="2730">
        <v>1</v>
      </c>
      <c r="AA469" s="2730">
        <v>1</v>
      </c>
      <c r="AB469" s="2730">
        <v>1</v>
      </c>
      <c r="AC469" s="2730">
        <v>1</v>
      </c>
      <c r="AD469" s="2730">
        <v>1</v>
      </c>
      <c r="AE469" s="2730">
        <v>1</v>
      </c>
      <c r="AF469" s="2732" t="str">
        <f>ADDRESS(ROW(),COLUMN(),4)</f>
        <v>AF469</v>
      </c>
      <c r="AG469" s="3095"/>
      <c r="AH469" s="3096" t="str">
        <f>ADDRESS(ROW(),COLUMN(),4)</f>
        <v>AH469</v>
      </c>
    </row>
    <row r="470" spans="1:34" ht="15.75">
      <c r="L470" s="2983"/>
      <c r="M470" s="2984"/>
      <c r="N470" s="716"/>
      <c r="O470" s="2975"/>
      <c r="P470" s="2975"/>
    </row>
    <row r="471" spans="1:34">
      <c r="L471" s="2730">
        <v>1</v>
      </c>
      <c r="M471" s="2730">
        <v>1</v>
      </c>
      <c r="N471" s="2730">
        <v>1</v>
      </c>
      <c r="O471" s="2730">
        <v>1</v>
      </c>
      <c r="P471" s="2730">
        <v>1</v>
      </c>
    </row>
  </sheetData>
  <mergeCells count="26">
    <mergeCell ref="B4:E5"/>
    <mergeCell ref="G4:J5"/>
    <mergeCell ref="R4:U5"/>
    <mergeCell ref="W4:AD5"/>
    <mergeCell ref="W6:AD7"/>
    <mergeCell ref="H8:J8"/>
    <mergeCell ref="H46:H47"/>
    <mergeCell ref="I46:I47"/>
    <mergeCell ref="J46:J47"/>
    <mergeCell ref="AA9:AC9"/>
    <mergeCell ref="H10:J10"/>
    <mergeCell ref="H32:H33"/>
    <mergeCell ref="I32:I33"/>
    <mergeCell ref="J32:J33"/>
    <mergeCell ref="H37:H38"/>
    <mergeCell ref="I37:I38"/>
    <mergeCell ref="J37:J38"/>
    <mergeCell ref="H76:H77"/>
    <mergeCell ref="G65:G66"/>
    <mergeCell ref="H65:H66"/>
    <mergeCell ref="I65:I66"/>
    <mergeCell ref="J65:J66"/>
    <mergeCell ref="G73:G74"/>
    <mergeCell ref="H73:H74"/>
    <mergeCell ref="I73:I74"/>
    <mergeCell ref="J73:J74"/>
  </mergeCells>
  <hyperlinks>
    <hyperlink ref="S110" r:id="rId1" xr:uid="{CFCB347B-6CAF-4C36-8CCD-202B35009D76}"/>
    <hyperlink ref="S111" r:id="rId2" xr:uid="{6C25C59B-14E1-43A5-A5D2-AC6C326E28D3}"/>
    <hyperlink ref="S112" r:id="rId3" xr:uid="{D91EB330-53E1-42D2-BFAD-0084AEA3F71C}"/>
    <hyperlink ref="H78" r:id="rId4" xr:uid="{19457FE1-E998-4AA5-8ABF-D794083A93E0}"/>
  </hyperlinks>
  <pageMargins left="0.7" right="0.7" top="0.75" bottom="0.75" header="0.3" footer="0.3"/>
  <drawing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A3231-1F45-446A-A5C7-C0982FFA771E}">
  <dimension ref="A1:AH469"/>
  <sheetViews>
    <sheetView zoomScaleNormal="100" workbookViewId="0">
      <selection activeCell="B3" sqref="B3"/>
    </sheetView>
  </sheetViews>
  <sheetFormatPr baseColWidth="10" defaultRowHeight="15"/>
  <cols>
    <col min="2" max="2" width="10.7109375" customWidth="1"/>
    <col min="3" max="3" width="38" customWidth="1"/>
    <col min="4" max="4" width="50.7109375" customWidth="1"/>
    <col min="5" max="5" width="34.5703125" customWidth="1"/>
    <col min="6" max="6" width="50.7109375" customWidth="1"/>
    <col min="7" max="7" width="34.5703125" customWidth="1"/>
    <col min="8" max="8" width="50.85546875" customWidth="1"/>
    <col min="9" max="9" width="7.5703125" customWidth="1"/>
    <col min="10" max="10" width="6" style="3098" customWidth="1"/>
    <col min="11" max="11" width="46.42578125" customWidth="1"/>
    <col min="12" max="12" width="48.42578125" customWidth="1"/>
    <col min="13" max="13" width="7.5703125" customWidth="1"/>
    <col min="14" max="14" width="10.7109375" customWidth="1"/>
    <col min="15" max="15" width="30.7109375" customWidth="1"/>
    <col min="16" max="16" width="40.7109375" customWidth="1"/>
    <col min="17" max="17" width="30.7109375" customWidth="1"/>
    <col min="18" max="18" width="40.7109375" customWidth="1"/>
    <col min="19" max="19" width="30.7109375" customWidth="1"/>
    <col min="20" max="20" width="40.7109375" customWidth="1"/>
    <col min="22" max="22" width="4.7109375" style="3027" customWidth="1"/>
    <col min="23" max="23" width="70.28515625" style="3027" customWidth="1"/>
    <col min="24" max="25" width="50.7109375" style="3027" customWidth="1"/>
    <col min="27" max="27" width="11.42578125" style="3027"/>
    <col min="28" max="28" width="82.85546875" customWidth="1"/>
    <col min="29" max="29" width="66.28515625" customWidth="1"/>
    <col min="30" max="30" width="80.7109375" customWidth="1"/>
    <col min="34" max="34" width="80.85546875" customWidth="1"/>
  </cols>
  <sheetData>
    <row r="1" spans="1:34" ht="15.75" thickTop="1">
      <c r="A1" s="2732" t="str">
        <f>ADDRESS(ROW(),COLUMN(),4)</f>
        <v>A1</v>
      </c>
      <c r="B1" s="2952" t="str">
        <f t="shared" ref="B1:L1" si="0">SUBSTITUTE(ADDRESS(1,COLUMN(),4),"1","")</f>
        <v>B</v>
      </c>
      <c r="C1" s="2952" t="str">
        <f t="shared" si="0"/>
        <v>C</v>
      </c>
      <c r="D1" s="2952" t="str">
        <f t="shared" si="0"/>
        <v>D</v>
      </c>
      <c r="E1" s="2952" t="str">
        <f t="shared" si="0"/>
        <v>E</v>
      </c>
      <c r="F1" s="2952" t="str">
        <f t="shared" si="0"/>
        <v>F</v>
      </c>
      <c r="G1" s="2952" t="str">
        <f t="shared" si="0"/>
        <v>G</v>
      </c>
      <c r="H1" s="2952" t="str">
        <f t="shared" si="0"/>
        <v>H</v>
      </c>
      <c r="I1" s="1"/>
      <c r="J1" s="2952" t="str">
        <f t="shared" si="0"/>
        <v>J</v>
      </c>
      <c r="K1" s="2952" t="str">
        <f t="shared" si="0"/>
        <v>K</v>
      </c>
      <c r="L1" s="2952" t="str">
        <f t="shared" si="0"/>
        <v>L</v>
      </c>
      <c r="M1" s="1"/>
      <c r="N1" s="2952" t="str">
        <f t="shared" ref="N1:AD1" si="1">SUBSTITUTE(ADDRESS(1,COLUMN(),4),"1","")</f>
        <v>N</v>
      </c>
      <c r="O1" s="2952" t="str">
        <f t="shared" si="1"/>
        <v>O</v>
      </c>
      <c r="P1" s="2952" t="str">
        <f t="shared" si="1"/>
        <v>P</v>
      </c>
      <c r="Q1" s="2952" t="str">
        <f t="shared" si="1"/>
        <v>Q</v>
      </c>
      <c r="R1" s="2952" t="str">
        <f t="shared" si="1"/>
        <v>R</v>
      </c>
      <c r="S1" s="2952" t="str">
        <f t="shared" si="1"/>
        <v>S</v>
      </c>
      <c r="T1" s="2952" t="str">
        <f t="shared" si="1"/>
        <v>T</v>
      </c>
      <c r="V1" s="2952" t="str">
        <f t="shared" si="1"/>
        <v>V</v>
      </c>
      <c r="W1" s="2952" t="str">
        <f t="shared" si="1"/>
        <v>W</v>
      </c>
      <c r="X1" s="2952" t="str">
        <f t="shared" si="1"/>
        <v>X</v>
      </c>
      <c r="Y1" s="2952" t="str">
        <f t="shared" si="1"/>
        <v>Y</v>
      </c>
      <c r="AA1" s="2952" t="str">
        <f t="shared" si="1"/>
        <v>AA</v>
      </c>
      <c r="AB1" s="2952" t="str">
        <f t="shared" si="1"/>
        <v>AB</v>
      </c>
      <c r="AC1" s="2952" t="str">
        <f t="shared" si="1"/>
        <v>AC</v>
      </c>
      <c r="AD1" s="2952" t="str">
        <f t="shared" si="1"/>
        <v>AD</v>
      </c>
      <c r="AF1" s="2730">
        <v>1</v>
      </c>
      <c r="AG1" s="2953" t="str">
        <f>SUBSTITUTE(ADDRESS(1,COLUMN(),4),"1","")</f>
        <v>AG</v>
      </c>
      <c r="AH1" s="2954" t="str">
        <f>SUBSTITUTE(ADDRESS(1,COLUMN(),4),"1","")</f>
        <v>AH</v>
      </c>
    </row>
    <row r="2" spans="1:34">
      <c r="B2" s="2727">
        <f t="shared" ref="B2:L2" ca="1" si="2">CELL("largeur",B2)</f>
        <v>10</v>
      </c>
      <c r="C2" s="2727">
        <f t="shared" ca="1" si="2"/>
        <v>37</v>
      </c>
      <c r="D2" s="2727">
        <f t="shared" ca="1" si="2"/>
        <v>50</v>
      </c>
      <c r="E2" s="2727">
        <f t="shared" ca="1" si="2"/>
        <v>34</v>
      </c>
      <c r="F2" s="2727">
        <f t="shared" ca="1" si="2"/>
        <v>50</v>
      </c>
      <c r="G2" s="2727">
        <f t="shared" ca="1" si="2"/>
        <v>34</v>
      </c>
      <c r="H2" s="2727">
        <f t="shared" ca="1" si="2"/>
        <v>50</v>
      </c>
      <c r="I2" s="1"/>
      <c r="J2" s="2727">
        <f t="shared" ca="1" si="2"/>
        <v>5</v>
      </c>
      <c r="K2" s="2727">
        <f t="shared" ca="1" si="2"/>
        <v>46</v>
      </c>
      <c r="L2" s="2727">
        <f t="shared" ca="1" si="2"/>
        <v>48</v>
      </c>
      <c r="M2" s="1"/>
      <c r="N2" s="2727">
        <f t="shared" ref="N2:AD2" ca="1" si="3">CELL("largeur",N2)</f>
        <v>10</v>
      </c>
      <c r="O2" s="2727">
        <f t="shared" ca="1" si="3"/>
        <v>30</v>
      </c>
      <c r="P2" s="2727">
        <f t="shared" ca="1" si="3"/>
        <v>40</v>
      </c>
      <c r="Q2" s="2727">
        <f t="shared" ca="1" si="3"/>
        <v>30</v>
      </c>
      <c r="R2" s="2727">
        <f t="shared" ca="1" si="3"/>
        <v>40</v>
      </c>
      <c r="S2" s="2727">
        <f t="shared" ca="1" si="3"/>
        <v>30</v>
      </c>
      <c r="T2" s="2727">
        <f t="shared" ca="1" si="3"/>
        <v>40</v>
      </c>
      <c r="V2" s="2727">
        <f t="shared" ca="1" si="3"/>
        <v>4</v>
      </c>
      <c r="W2" s="2727">
        <f t="shared" ca="1" si="3"/>
        <v>70</v>
      </c>
      <c r="X2" s="2727">
        <f t="shared" ca="1" si="3"/>
        <v>50</v>
      </c>
      <c r="Y2" s="2727">
        <f t="shared" ca="1" si="3"/>
        <v>50</v>
      </c>
      <c r="AA2" s="2727">
        <f t="shared" ca="1" si="3"/>
        <v>11</v>
      </c>
      <c r="AB2" s="2727">
        <f t="shared" ca="1" si="3"/>
        <v>82</v>
      </c>
      <c r="AC2" s="2727">
        <f t="shared" ca="1" si="3"/>
        <v>66</v>
      </c>
      <c r="AD2" s="2727">
        <f t="shared" ca="1" si="3"/>
        <v>80</v>
      </c>
      <c r="AF2" s="2730">
        <v>1</v>
      </c>
      <c r="AG2" s="2955" t="s">
        <v>7185</v>
      </c>
      <c r="AH2" s="2956"/>
    </row>
    <row r="3" spans="1:34" ht="16.5" thickBot="1">
      <c r="B3" s="2957">
        <v>10</v>
      </c>
      <c r="C3" s="2957">
        <v>34</v>
      </c>
      <c r="D3" s="2957">
        <v>50</v>
      </c>
      <c r="E3" s="2957">
        <v>34</v>
      </c>
      <c r="F3" s="2957">
        <v>50</v>
      </c>
      <c r="G3" s="2957">
        <v>34</v>
      </c>
      <c r="H3" s="2957">
        <v>50</v>
      </c>
      <c r="I3" s="1"/>
      <c r="J3" s="2957">
        <v>5</v>
      </c>
      <c r="K3" s="2957">
        <v>46</v>
      </c>
      <c r="L3" s="2957">
        <v>48</v>
      </c>
      <c r="M3" s="1"/>
      <c r="N3" s="2957">
        <v>10</v>
      </c>
      <c r="O3" s="2957">
        <v>30</v>
      </c>
      <c r="P3" s="2957">
        <v>40</v>
      </c>
      <c r="Q3" s="2957">
        <v>30</v>
      </c>
      <c r="R3" s="2957">
        <v>40</v>
      </c>
      <c r="S3" s="2957">
        <v>30</v>
      </c>
      <c r="T3" s="2957">
        <v>40</v>
      </c>
      <c r="V3" s="2957">
        <v>4</v>
      </c>
      <c r="W3" s="2957">
        <v>50</v>
      </c>
      <c r="X3" s="2957">
        <v>50</v>
      </c>
      <c r="Y3" s="2957">
        <v>50</v>
      </c>
      <c r="AA3" s="2957">
        <v>11</v>
      </c>
      <c r="AB3" s="2957">
        <v>82</v>
      </c>
      <c r="AC3" s="2957">
        <v>66</v>
      </c>
      <c r="AD3" s="2957">
        <v>80</v>
      </c>
      <c r="AF3" s="2730">
        <v>1</v>
      </c>
      <c r="AG3" s="2958">
        <f ca="1">COUNTA(A1:AF468) + COUNTBLANK(A1:AF468)</f>
        <v>14994</v>
      </c>
      <c r="AH3" s="2959" t="str">
        <f>"cellules entre -cells -celdas  "&amp;" " &amp;A1&amp;" et  "&amp;AF469</f>
        <v>cellules entre -cells -celdas   A1 et  AF469</v>
      </c>
    </row>
    <row r="4" spans="1:34" ht="15" customHeight="1">
      <c r="B4" s="2855"/>
      <c r="C4" s="9159" t="s">
        <v>10446</v>
      </c>
      <c r="D4" s="9159"/>
      <c r="E4" s="9159"/>
      <c r="F4" s="9159"/>
      <c r="G4" s="9159"/>
      <c r="H4" s="9159"/>
      <c r="I4" s="1"/>
      <c r="J4" s="3097"/>
      <c r="K4" s="9161" t="s">
        <v>10447</v>
      </c>
      <c r="L4" s="9161"/>
      <c r="M4" s="1"/>
      <c r="N4" s="9163" t="s">
        <v>10448</v>
      </c>
      <c r="O4" s="9163"/>
      <c r="P4" s="9163"/>
      <c r="Q4" s="9163"/>
      <c r="R4" s="9163"/>
      <c r="S4" s="9163"/>
      <c r="T4" s="9163"/>
      <c r="V4" s="9141" t="s">
        <v>7186</v>
      </c>
      <c r="W4" s="9141"/>
      <c r="X4" s="9141"/>
      <c r="Y4" s="9141"/>
      <c r="AA4" s="9141" t="s">
        <v>7187</v>
      </c>
      <c r="AB4" s="9141"/>
      <c r="AC4" s="9141"/>
      <c r="AD4" s="9141"/>
      <c r="AF4" s="2730">
        <v>1</v>
      </c>
      <c r="AG4" s="2958">
        <f ca="1">COUNTA(A1:AF468)</f>
        <v>2839</v>
      </c>
      <c r="AH4" s="2959" t="s">
        <v>7190</v>
      </c>
    </row>
    <row r="5" spans="1:34" ht="15" customHeight="1">
      <c r="B5" s="2855"/>
      <c r="C5" s="9160"/>
      <c r="D5" s="9160"/>
      <c r="E5" s="9160"/>
      <c r="F5" s="9160"/>
      <c r="G5" s="9160"/>
      <c r="H5" s="9160"/>
      <c r="I5" s="1"/>
      <c r="J5" s="3097"/>
      <c r="K5" s="9162"/>
      <c r="L5" s="9162"/>
      <c r="M5" s="1"/>
      <c r="N5" s="9164"/>
      <c r="O5" s="9164"/>
      <c r="P5" s="9164"/>
      <c r="Q5" s="9164"/>
      <c r="R5" s="9164"/>
      <c r="S5" s="9164"/>
      <c r="T5" s="9164"/>
      <c r="V5" s="9142"/>
      <c r="W5" s="9142"/>
      <c r="X5" s="9142"/>
      <c r="Y5" s="9142"/>
      <c r="AA5" s="9142"/>
      <c r="AB5" s="9142"/>
      <c r="AC5" s="9142"/>
      <c r="AD5" s="9142"/>
      <c r="AF5" s="2730">
        <v>1</v>
      </c>
      <c r="AG5" s="2958">
        <f ca="1">COUNTBLANK(A1:AF468)</f>
        <v>12155</v>
      </c>
      <c r="AH5" s="2959" t="s">
        <v>7191</v>
      </c>
    </row>
    <row r="6" spans="1:34" ht="21" customHeight="1">
      <c r="B6" s="2855"/>
      <c r="C6" s="1"/>
      <c r="D6" s="1"/>
      <c r="E6" s="1"/>
      <c r="F6" s="1"/>
      <c r="G6" s="1"/>
      <c r="H6" s="1"/>
      <c r="I6" s="1"/>
      <c r="M6" s="1"/>
      <c r="V6" s="2961" t="s">
        <v>7192</v>
      </c>
      <c r="W6" s="2962"/>
      <c r="X6" s="2963"/>
      <c r="Y6" s="2963"/>
      <c r="AA6" s="2964"/>
      <c r="AB6" s="1"/>
      <c r="AC6" s="1"/>
      <c r="AD6" s="1"/>
      <c r="AF6" s="2730">
        <v>1</v>
      </c>
      <c r="AG6" s="2958">
        <f>SUM(AF1:AF467)+2</f>
        <v>469</v>
      </c>
      <c r="AH6" s="2959" t="s">
        <v>7194</v>
      </c>
    </row>
    <row r="7" spans="1:34" ht="30" customHeight="1">
      <c r="B7" s="2977"/>
      <c r="C7" s="3099" t="s">
        <v>337</v>
      </c>
      <c r="D7" s="3100"/>
      <c r="E7" s="3099"/>
      <c r="F7" s="3100"/>
      <c r="G7" s="3099"/>
      <c r="H7" s="3100"/>
      <c r="I7" s="1"/>
      <c r="J7" s="3101"/>
      <c r="K7" s="3102" t="s">
        <v>10449</v>
      </c>
      <c r="L7" s="3103" t="s">
        <v>10450</v>
      </c>
      <c r="M7" s="1"/>
      <c r="N7" s="2977"/>
      <c r="O7" s="3104" t="s">
        <v>337</v>
      </c>
      <c r="P7" s="3000"/>
      <c r="Q7" s="3000"/>
      <c r="R7" s="3000"/>
      <c r="S7" s="3000"/>
      <c r="T7" s="3105"/>
      <c r="V7" s="2961" t="s">
        <v>7195</v>
      </c>
      <c r="W7" s="2962"/>
      <c r="X7" s="2963"/>
      <c r="Y7" s="2963"/>
      <c r="AA7" s="2964"/>
      <c r="AB7" s="1"/>
      <c r="AC7" s="2966" t="s">
        <v>7196</v>
      </c>
      <c r="AD7" s="2967" t="str">
        <f>AF469</f>
        <v>AF469</v>
      </c>
      <c r="AF7" s="2730">
        <v>1</v>
      </c>
      <c r="AG7" s="2958">
        <f>SUM(A469:AE469)+1</f>
        <v>32</v>
      </c>
      <c r="AH7" s="2959" t="s">
        <v>7197</v>
      </c>
    </row>
    <row r="8" spans="1:34" ht="30" customHeight="1">
      <c r="B8" s="3106">
        <v>1</v>
      </c>
      <c r="C8" s="3107" t="s">
        <v>10451</v>
      </c>
      <c r="D8" s="3004" t="s">
        <v>10452</v>
      </c>
      <c r="E8" s="3108" t="s">
        <v>10453</v>
      </c>
      <c r="F8" s="3004" t="s">
        <v>10454</v>
      </c>
      <c r="G8" s="3109" t="s">
        <v>10455</v>
      </c>
      <c r="H8" s="3005" t="s">
        <v>10456</v>
      </c>
      <c r="I8" s="1"/>
      <c r="J8" s="3110"/>
      <c r="K8" s="9157" t="s">
        <v>10457</v>
      </c>
      <c r="L8" s="9158"/>
      <c r="M8" s="1"/>
      <c r="N8" s="3111">
        <v>1</v>
      </c>
      <c r="O8" s="3112" t="s">
        <v>2785</v>
      </c>
      <c r="P8" s="3113" t="s">
        <v>10458</v>
      </c>
      <c r="Q8" s="3114" t="s">
        <v>10459</v>
      </c>
      <c r="R8" s="3115" t="s">
        <v>10460</v>
      </c>
      <c r="S8" s="3116" t="s">
        <v>10461</v>
      </c>
      <c r="T8" s="3115" t="s">
        <v>10462</v>
      </c>
      <c r="V8" s="2961" t="s">
        <v>7198</v>
      </c>
      <c r="W8" s="2962"/>
      <c r="X8" s="2963"/>
      <c r="Y8" s="2963"/>
      <c r="AA8" s="2963"/>
      <c r="AB8" s="9129" t="s">
        <v>7199</v>
      </c>
      <c r="AC8" s="9129"/>
      <c r="AD8" s="9129"/>
      <c r="AF8" s="2730">
        <v>1</v>
      </c>
    </row>
    <row r="9" spans="1:34" ht="30" customHeight="1">
      <c r="B9" s="3106"/>
      <c r="C9" s="3099" t="s">
        <v>339</v>
      </c>
      <c r="E9" s="3117"/>
      <c r="G9" s="3117"/>
      <c r="H9" s="3118"/>
      <c r="I9" s="1"/>
      <c r="J9" s="3110" t="s">
        <v>337</v>
      </c>
      <c r="K9" s="3119" t="s">
        <v>2054</v>
      </c>
      <c r="L9" s="3120"/>
      <c r="M9" s="1"/>
      <c r="N9" s="3111">
        <f>N8+1</f>
        <v>2</v>
      </c>
      <c r="O9" s="3112" t="s">
        <v>2787</v>
      </c>
      <c r="P9" s="3113" t="s">
        <v>10463</v>
      </c>
      <c r="Q9" s="3114" t="s">
        <v>10464</v>
      </c>
      <c r="R9" s="3115" t="s">
        <v>10465</v>
      </c>
      <c r="S9" s="3116" t="s">
        <v>10466</v>
      </c>
      <c r="T9" s="3115" t="s">
        <v>10467</v>
      </c>
      <c r="V9" s="2963"/>
      <c r="W9" s="2962"/>
      <c r="X9" s="2963"/>
      <c r="Y9" s="2963"/>
      <c r="AA9" s="2963"/>
      <c r="AB9" s="2963"/>
      <c r="AC9" s="2963"/>
      <c r="AD9" s="2963"/>
      <c r="AF9" s="2730">
        <v>1</v>
      </c>
    </row>
    <row r="10" spans="1:34" ht="30" customHeight="1">
      <c r="B10" s="3106">
        <v>1</v>
      </c>
      <c r="C10" s="3107" t="s">
        <v>10468</v>
      </c>
      <c r="D10" s="3121" t="s">
        <v>10469</v>
      </c>
      <c r="E10" s="3122" t="s">
        <v>10470</v>
      </c>
      <c r="F10" s="3121" t="s">
        <v>10471</v>
      </c>
      <c r="G10" s="3123" t="s">
        <v>10472</v>
      </c>
      <c r="H10" s="3124" t="s">
        <v>10473</v>
      </c>
      <c r="I10" s="1"/>
      <c r="J10" s="3125"/>
      <c r="K10" s="3119" t="s">
        <v>10474</v>
      </c>
      <c r="L10" s="3126" t="s">
        <v>7315</v>
      </c>
      <c r="M10" s="1"/>
      <c r="N10" s="3111">
        <f t="shared" ref="N10:N46" si="4">N9+1</f>
        <v>3</v>
      </c>
      <c r="O10" s="3112" t="s">
        <v>2789</v>
      </c>
      <c r="P10" s="3113" t="s">
        <v>10475</v>
      </c>
      <c r="Q10" s="3114" t="s">
        <v>10476</v>
      </c>
      <c r="R10" s="3115" t="s">
        <v>10477</v>
      </c>
      <c r="S10" s="3116" t="s">
        <v>10478</v>
      </c>
      <c r="T10" s="3115" t="s">
        <v>10479</v>
      </c>
      <c r="V10" s="2963"/>
      <c r="W10" s="3029" t="s">
        <v>7206</v>
      </c>
      <c r="X10" s="3127"/>
      <c r="Y10" s="3127"/>
      <c r="AA10" s="2982"/>
      <c r="AB10" s="9155" t="s">
        <v>7207</v>
      </c>
      <c r="AC10" s="9155"/>
      <c r="AD10" s="9155"/>
      <c r="AF10" s="2730">
        <v>1</v>
      </c>
    </row>
    <row r="11" spans="1:34" ht="30" customHeight="1">
      <c r="B11" s="3106">
        <f>B10+1</f>
        <v>2</v>
      </c>
      <c r="C11" s="3107" t="s">
        <v>10480</v>
      </c>
      <c r="D11" s="3128" t="s">
        <v>10481</v>
      </c>
      <c r="E11" s="3129" t="s">
        <v>10482</v>
      </c>
      <c r="F11" s="3128" t="s">
        <v>10483</v>
      </c>
      <c r="G11" s="3130" t="s">
        <v>10484</v>
      </c>
      <c r="H11" s="3131" t="s">
        <v>10485</v>
      </c>
      <c r="I11" s="1"/>
      <c r="J11" s="3125"/>
      <c r="K11" s="3119" t="s">
        <v>7298</v>
      </c>
      <c r="L11" s="3126" t="s">
        <v>10486</v>
      </c>
      <c r="M11" s="1"/>
      <c r="N11" s="3111">
        <f t="shared" si="4"/>
        <v>4</v>
      </c>
      <c r="O11" s="3112" t="s">
        <v>2792</v>
      </c>
      <c r="P11" s="3113" t="s">
        <v>10487</v>
      </c>
      <c r="Q11" s="3114" t="s">
        <v>10488</v>
      </c>
      <c r="R11" s="3115" t="s">
        <v>10489</v>
      </c>
      <c r="S11" s="3116" t="s">
        <v>10490</v>
      </c>
      <c r="T11" s="3115" t="s">
        <v>10491</v>
      </c>
      <c r="V11" s="3008">
        <v>1</v>
      </c>
      <c r="W11" s="2991" t="s">
        <v>7211</v>
      </c>
      <c r="X11" s="3004" t="s">
        <v>7212</v>
      </c>
      <c r="Y11" s="3004" t="s">
        <v>7213</v>
      </c>
      <c r="AA11" s="2982"/>
      <c r="AB11" s="2994"/>
      <c r="AC11" s="2994"/>
      <c r="AD11" s="2994"/>
      <c r="AF11" s="2730">
        <v>1</v>
      </c>
    </row>
    <row r="12" spans="1:34" ht="30" customHeight="1">
      <c r="B12" s="3106">
        <v>2</v>
      </c>
      <c r="C12" s="3107" t="s">
        <v>10492</v>
      </c>
      <c r="D12" s="3128" t="s">
        <v>10493</v>
      </c>
      <c r="E12" s="3129" t="s">
        <v>10494</v>
      </c>
      <c r="F12" s="3128" t="s">
        <v>10495</v>
      </c>
      <c r="G12" s="3130" t="s">
        <v>10496</v>
      </c>
      <c r="H12" s="3131" t="s">
        <v>10497</v>
      </c>
      <c r="I12" s="1"/>
      <c r="J12" s="3125"/>
      <c r="K12" s="3119" t="s">
        <v>2101</v>
      </c>
      <c r="L12" s="3120"/>
      <c r="M12" s="1"/>
      <c r="N12" s="3111">
        <f t="shared" si="4"/>
        <v>5</v>
      </c>
      <c r="O12" s="3112" t="s">
        <v>10498</v>
      </c>
      <c r="P12" s="3113" t="s">
        <v>10499</v>
      </c>
      <c r="Q12" s="3114" t="s">
        <v>10500</v>
      </c>
      <c r="R12" s="3115" t="s">
        <v>10501</v>
      </c>
      <c r="S12" s="3116" t="s">
        <v>10502</v>
      </c>
      <c r="T12" s="3115" t="s">
        <v>10503</v>
      </c>
      <c r="V12" s="3008">
        <v>2</v>
      </c>
      <c r="W12" s="2991" t="s">
        <v>7218</v>
      </c>
      <c r="X12" s="3004" t="s">
        <v>7219</v>
      </c>
      <c r="Y12" s="3004" t="s">
        <v>7220</v>
      </c>
      <c r="AA12" s="3127" t="s">
        <v>66</v>
      </c>
      <c r="AB12" s="3029" t="s">
        <v>2794</v>
      </c>
      <c r="AC12" s="3029" t="s">
        <v>7221</v>
      </c>
      <c r="AD12" s="3029" t="s">
        <v>7222</v>
      </c>
      <c r="AF12" s="2730">
        <v>1</v>
      </c>
    </row>
    <row r="13" spans="1:34" ht="30" customHeight="1">
      <c r="B13" s="3106">
        <f>B12+1</f>
        <v>3</v>
      </c>
      <c r="C13" s="3107" t="s">
        <v>10504</v>
      </c>
      <c r="D13" s="3128" t="s">
        <v>10505</v>
      </c>
      <c r="E13" s="3129" t="s">
        <v>10506</v>
      </c>
      <c r="F13" s="3128" t="s">
        <v>10507</v>
      </c>
      <c r="G13" s="3130" t="s">
        <v>10508</v>
      </c>
      <c r="H13" s="3131" t="s">
        <v>10509</v>
      </c>
      <c r="I13" s="1"/>
      <c r="J13" s="3125"/>
      <c r="K13" s="3119" t="s">
        <v>7488</v>
      </c>
      <c r="L13" s="3126" t="s">
        <v>2094</v>
      </c>
      <c r="M13" s="1"/>
      <c r="N13" s="3111">
        <f t="shared" si="4"/>
        <v>6</v>
      </c>
      <c r="O13" s="3112" t="s">
        <v>10510</v>
      </c>
      <c r="P13" s="3113" t="s">
        <v>10511</v>
      </c>
      <c r="Q13" s="3114" t="s">
        <v>10512</v>
      </c>
      <c r="R13" s="3115" t="s">
        <v>10513</v>
      </c>
      <c r="S13" s="3116" t="s">
        <v>10514</v>
      </c>
      <c r="T13" s="3115" t="s">
        <v>10515</v>
      </c>
      <c r="V13" s="3008">
        <v>3</v>
      </c>
      <c r="W13" s="2991" t="s">
        <v>7235</v>
      </c>
      <c r="X13" s="3004" t="s">
        <v>7236</v>
      </c>
      <c r="Y13" s="3004" t="s">
        <v>7237</v>
      </c>
      <c r="AA13" s="3008">
        <v>1</v>
      </c>
      <c r="AB13" s="2991" t="s">
        <v>2794</v>
      </c>
      <c r="AC13" s="3010" t="s">
        <v>7238</v>
      </c>
      <c r="AD13" s="3010" t="s">
        <v>7239</v>
      </c>
      <c r="AF13" s="2730">
        <v>1</v>
      </c>
    </row>
    <row r="14" spans="1:34" ht="30" customHeight="1">
      <c r="B14" s="3106">
        <v>3</v>
      </c>
      <c r="C14" s="3107" t="s">
        <v>10516</v>
      </c>
      <c r="D14" s="3132" t="s">
        <v>10517</v>
      </c>
      <c r="E14" s="3133" t="s">
        <v>10518</v>
      </c>
      <c r="F14" s="3132" t="s">
        <v>10519</v>
      </c>
      <c r="G14" s="3134" t="s">
        <v>10520</v>
      </c>
      <c r="H14" s="3135" t="s">
        <v>10521</v>
      </c>
      <c r="I14" s="1"/>
      <c r="J14" s="3125"/>
      <c r="K14" s="3119" t="s">
        <v>7516</v>
      </c>
      <c r="L14" s="3126" t="s">
        <v>10522</v>
      </c>
      <c r="M14" s="1"/>
      <c r="N14" s="3111">
        <f t="shared" si="4"/>
        <v>7</v>
      </c>
      <c r="O14" s="3112" t="s">
        <v>2795</v>
      </c>
      <c r="P14" s="3113" t="s">
        <v>10523</v>
      </c>
      <c r="Q14" s="3114" t="s">
        <v>10524</v>
      </c>
      <c r="R14" s="3115" t="s">
        <v>10525</v>
      </c>
      <c r="S14" s="3116" t="s">
        <v>10526</v>
      </c>
      <c r="T14" s="3115" t="s">
        <v>10527</v>
      </c>
      <c r="V14" s="3008">
        <v>4</v>
      </c>
      <c r="W14" s="2991" t="s">
        <v>7253</v>
      </c>
      <c r="X14" s="3004" t="s">
        <v>7254</v>
      </c>
      <c r="Y14" s="3004" t="s">
        <v>7255</v>
      </c>
      <c r="AA14" s="3008">
        <v>2</v>
      </c>
      <c r="AB14" s="2991" t="s">
        <v>2905</v>
      </c>
      <c r="AC14" s="3010" t="s">
        <v>7256</v>
      </c>
      <c r="AD14" s="3010" t="s">
        <v>7257</v>
      </c>
      <c r="AF14" s="2730">
        <v>1</v>
      </c>
    </row>
    <row r="15" spans="1:34" ht="30" customHeight="1">
      <c r="B15" s="3106"/>
      <c r="C15" s="3099" t="s">
        <v>338</v>
      </c>
      <c r="D15" s="1"/>
      <c r="E15" s="3117"/>
      <c r="F15" s="1"/>
      <c r="G15" s="3117"/>
      <c r="H15" s="3118"/>
      <c r="I15" s="1"/>
      <c r="J15" s="3125"/>
      <c r="K15" s="3119" t="s">
        <v>7529</v>
      </c>
      <c r="L15" s="3126" t="s">
        <v>10486</v>
      </c>
      <c r="M15" s="1"/>
      <c r="N15" s="3111">
        <f t="shared" si="4"/>
        <v>8</v>
      </c>
      <c r="O15" s="3112" t="s">
        <v>2797</v>
      </c>
      <c r="P15" s="3113" t="s">
        <v>10528</v>
      </c>
      <c r="Q15" s="3114" t="s">
        <v>10529</v>
      </c>
      <c r="R15" s="3115" t="s">
        <v>10530</v>
      </c>
      <c r="S15" s="3116" t="s">
        <v>10531</v>
      </c>
      <c r="T15" s="3115" t="s">
        <v>10532</v>
      </c>
      <c r="V15" s="3008">
        <v>5</v>
      </c>
      <c r="W15" s="2991" t="s">
        <v>7270</v>
      </c>
      <c r="X15" s="3004" t="s">
        <v>7271</v>
      </c>
      <c r="Y15" s="3004" t="s">
        <v>7272</v>
      </c>
      <c r="AA15" s="3008">
        <v>3</v>
      </c>
      <c r="AB15" s="2991" t="s">
        <v>2799</v>
      </c>
      <c r="AC15" s="3010" t="s">
        <v>7273</v>
      </c>
      <c r="AD15" s="3010" t="s">
        <v>7274</v>
      </c>
      <c r="AF15" s="2730">
        <v>1</v>
      </c>
    </row>
    <row r="16" spans="1:34" ht="30" customHeight="1">
      <c r="B16" s="3106">
        <v>1</v>
      </c>
      <c r="C16" s="3107" t="s">
        <v>10533</v>
      </c>
      <c r="D16" s="3121" t="s">
        <v>10534</v>
      </c>
      <c r="E16" s="3122" t="s">
        <v>10535</v>
      </c>
      <c r="F16" s="3121" t="s">
        <v>10536</v>
      </c>
      <c r="G16" s="3123" t="s">
        <v>10537</v>
      </c>
      <c r="H16" s="3124" t="s">
        <v>10538</v>
      </c>
      <c r="I16" s="1"/>
      <c r="J16" s="3125"/>
      <c r="K16" s="3119" t="s">
        <v>7547</v>
      </c>
      <c r="L16" s="3126" t="s">
        <v>10486</v>
      </c>
      <c r="M16" s="1"/>
      <c r="N16" s="3111">
        <f t="shared" si="4"/>
        <v>9</v>
      </c>
      <c r="O16" s="3112" t="s">
        <v>10539</v>
      </c>
      <c r="P16" s="3113" t="s">
        <v>10540</v>
      </c>
      <c r="Q16" s="3114" t="s">
        <v>10541</v>
      </c>
      <c r="R16" s="3115" t="s">
        <v>10542</v>
      </c>
      <c r="S16" s="3116" t="s">
        <v>10543</v>
      </c>
      <c r="T16" s="3115" t="s">
        <v>10544</v>
      </c>
      <c r="V16" s="3008">
        <v>6</v>
      </c>
      <c r="W16" s="2991" t="s">
        <v>7287</v>
      </c>
      <c r="X16" s="3004" t="s">
        <v>7288</v>
      </c>
      <c r="Y16" s="3004" t="s">
        <v>7289</v>
      </c>
      <c r="AA16" s="3008">
        <v>4</v>
      </c>
      <c r="AB16" s="2991" t="s">
        <v>2802</v>
      </c>
      <c r="AC16" s="3010" t="s">
        <v>7290</v>
      </c>
      <c r="AD16" s="3010" t="s">
        <v>7291</v>
      </c>
      <c r="AF16" s="2730">
        <v>1</v>
      </c>
    </row>
    <row r="17" spans="2:32" ht="30" customHeight="1">
      <c r="B17" s="3106">
        <f t="shared" ref="B17:B25" si="5">B16+1</f>
        <v>2</v>
      </c>
      <c r="C17" s="3107" t="s">
        <v>10545</v>
      </c>
      <c r="D17" s="3128" t="s">
        <v>10546</v>
      </c>
      <c r="E17" s="3129" t="s">
        <v>10547</v>
      </c>
      <c r="F17" s="3128" t="s">
        <v>10548</v>
      </c>
      <c r="G17" s="3130" t="s">
        <v>10549</v>
      </c>
      <c r="H17" s="3131" t="s">
        <v>10550</v>
      </c>
      <c r="I17" s="1"/>
      <c r="J17" s="3125"/>
      <c r="K17" s="3119" t="s">
        <v>10551</v>
      </c>
      <c r="L17" s="3126" t="s">
        <v>10486</v>
      </c>
      <c r="M17" s="1"/>
      <c r="N17" s="3111">
        <f t="shared" si="4"/>
        <v>10</v>
      </c>
      <c r="O17" s="3112" t="s">
        <v>10552</v>
      </c>
      <c r="P17" s="3113" t="s">
        <v>10553</v>
      </c>
      <c r="Q17" s="3114" t="s">
        <v>10554</v>
      </c>
      <c r="R17" s="3115" t="s">
        <v>10555</v>
      </c>
      <c r="S17" s="3116" t="s">
        <v>10556</v>
      </c>
      <c r="T17" s="3115" t="s">
        <v>10557</v>
      </c>
      <c r="V17" s="3008">
        <v>7</v>
      </c>
      <c r="W17" s="2991" t="s">
        <v>7304</v>
      </c>
      <c r="X17" s="3004" t="s">
        <v>7305</v>
      </c>
      <c r="Y17" s="3004" t="s">
        <v>7306</v>
      </c>
      <c r="AA17" s="3008">
        <v>5</v>
      </c>
      <c r="AB17" s="3012" t="s">
        <v>2805</v>
      </c>
      <c r="AC17" s="3010" t="s">
        <v>7307</v>
      </c>
      <c r="AD17" s="3010" t="s">
        <v>7308</v>
      </c>
      <c r="AF17" s="2730">
        <v>1</v>
      </c>
    </row>
    <row r="18" spans="2:32" ht="30" customHeight="1">
      <c r="B18" s="3106">
        <f t="shared" si="5"/>
        <v>3</v>
      </c>
      <c r="C18" s="3107" t="s">
        <v>10558</v>
      </c>
      <c r="D18" s="3128" t="s">
        <v>10559</v>
      </c>
      <c r="E18" s="3129" t="s">
        <v>10560</v>
      </c>
      <c r="F18" s="3128" t="s">
        <v>10561</v>
      </c>
      <c r="G18" s="3130" t="s">
        <v>10562</v>
      </c>
      <c r="H18" s="3131" t="s">
        <v>10563</v>
      </c>
      <c r="I18" s="1"/>
      <c r="J18" s="3125"/>
      <c r="K18" s="3119" t="s">
        <v>10564</v>
      </c>
      <c r="L18" s="3126" t="s">
        <v>10486</v>
      </c>
      <c r="M18" s="1"/>
      <c r="N18" s="3111">
        <f t="shared" si="4"/>
        <v>11</v>
      </c>
      <c r="O18" s="3112" t="s">
        <v>10565</v>
      </c>
      <c r="P18" s="3113" t="s">
        <v>10566</v>
      </c>
      <c r="Q18" s="3114" t="s">
        <v>10567</v>
      </c>
      <c r="R18" s="3115" t="s">
        <v>10568</v>
      </c>
      <c r="S18" s="3116" t="s">
        <v>10569</v>
      </c>
      <c r="T18" s="3115" t="s">
        <v>10570</v>
      </c>
      <c r="V18" s="3008">
        <v>8</v>
      </c>
      <c r="W18" s="3013" t="s">
        <v>7321</v>
      </c>
      <c r="X18" s="3004" t="s">
        <v>7322</v>
      </c>
      <c r="Y18" s="3004" t="s">
        <v>7323</v>
      </c>
      <c r="AA18" s="3012"/>
      <c r="AB18" s="2267"/>
      <c r="AC18" s="2893"/>
      <c r="AD18" s="2893"/>
      <c r="AF18" s="2730">
        <v>1</v>
      </c>
    </row>
    <row r="19" spans="2:32" ht="30" customHeight="1">
      <c r="B19" s="3106">
        <f t="shared" si="5"/>
        <v>4</v>
      </c>
      <c r="C19" s="3107" t="s">
        <v>10571</v>
      </c>
      <c r="D19" s="3128" t="s">
        <v>10572</v>
      </c>
      <c r="E19" s="3129" t="s">
        <v>10573</v>
      </c>
      <c r="F19" s="3128" t="s">
        <v>10574</v>
      </c>
      <c r="G19" s="3130" t="s">
        <v>10575</v>
      </c>
      <c r="H19" s="3131" t="s">
        <v>10576</v>
      </c>
      <c r="I19" s="1"/>
      <c r="J19" s="3125"/>
      <c r="K19" s="3119" t="s">
        <v>7598</v>
      </c>
      <c r="L19" s="3126" t="s">
        <v>10486</v>
      </c>
      <c r="M19" s="1"/>
      <c r="N19" s="3111">
        <f t="shared" si="4"/>
        <v>12</v>
      </c>
      <c r="O19" s="3112" t="s">
        <v>2803</v>
      </c>
      <c r="P19" s="3113" t="s">
        <v>10577</v>
      </c>
      <c r="Q19" s="3114" t="s">
        <v>10578</v>
      </c>
      <c r="R19" s="3115" t="s">
        <v>10579</v>
      </c>
      <c r="S19" s="3116" t="s">
        <v>10580</v>
      </c>
      <c r="T19" s="3115" t="s">
        <v>10581</v>
      </c>
      <c r="V19" s="3008">
        <v>9</v>
      </c>
      <c r="W19" s="2991" t="s">
        <v>7336</v>
      </c>
      <c r="X19" s="3004" t="s">
        <v>7337</v>
      </c>
      <c r="Y19" s="3004" t="s">
        <v>7338</v>
      </c>
      <c r="AA19" s="3127" t="s">
        <v>81</v>
      </c>
      <c r="AB19" s="3029" t="s">
        <v>2812</v>
      </c>
      <c r="AC19" s="3029" t="s">
        <v>7339</v>
      </c>
      <c r="AD19" s="3029" t="s">
        <v>7340</v>
      </c>
      <c r="AF19" s="2730">
        <v>1</v>
      </c>
    </row>
    <row r="20" spans="2:32" ht="30" customHeight="1">
      <c r="B20" s="3106">
        <f t="shared" si="5"/>
        <v>5</v>
      </c>
      <c r="C20" s="3107" t="s">
        <v>10582</v>
      </c>
      <c r="D20" s="3132" t="s">
        <v>10583</v>
      </c>
      <c r="E20" s="3133" t="s">
        <v>10584</v>
      </c>
      <c r="F20" s="3132" t="s">
        <v>10585</v>
      </c>
      <c r="G20" s="3134" t="s">
        <v>10586</v>
      </c>
      <c r="H20" s="3135" t="s">
        <v>10587</v>
      </c>
      <c r="I20" s="1"/>
      <c r="J20" s="3125"/>
      <c r="K20" s="3119" t="s">
        <v>7615</v>
      </c>
      <c r="L20" s="3126" t="s">
        <v>10486</v>
      </c>
      <c r="M20" s="1"/>
      <c r="N20" s="3111">
        <f t="shared" si="4"/>
        <v>13</v>
      </c>
      <c r="O20" s="3112" t="s">
        <v>2806</v>
      </c>
      <c r="P20" s="3113" t="s">
        <v>10588</v>
      </c>
      <c r="Q20" s="3114" t="s">
        <v>10589</v>
      </c>
      <c r="R20" s="3115" t="s">
        <v>10590</v>
      </c>
      <c r="S20" s="3116" t="s">
        <v>10591</v>
      </c>
      <c r="T20" s="3115" t="s">
        <v>10592</v>
      </c>
      <c r="V20" s="3008">
        <v>10</v>
      </c>
      <c r="W20" s="2991" t="s">
        <v>7350</v>
      </c>
      <c r="X20" s="3004" t="s">
        <v>7351</v>
      </c>
      <c r="Y20" s="3004" t="s">
        <v>7352</v>
      </c>
      <c r="AA20" s="3008">
        <v>1</v>
      </c>
      <c r="AB20" s="3015" t="s">
        <v>7353</v>
      </c>
      <c r="AC20" s="3010" t="s">
        <v>7354</v>
      </c>
      <c r="AD20" s="3010" t="s">
        <v>7355</v>
      </c>
      <c r="AF20" s="2730">
        <v>1</v>
      </c>
    </row>
    <row r="21" spans="2:32" ht="30" customHeight="1">
      <c r="B21" s="3106">
        <f t="shared" si="5"/>
        <v>6</v>
      </c>
      <c r="C21" s="3107" t="s">
        <v>10593</v>
      </c>
      <c r="D21" s="3132" t="s">
        <v>10594</v>
      </c>
      <c r="E21" s="3133" t="s">
        <v>10595</v>
      </c>
      <c r="F21" s="3132" t="s">
        <v>10596</v>
      </c>
      <c r="G21" s="3134" t="s">
        <v>10597</v>
      </c>
      <c r="H21" s="3135" t="s">
        <v>10598</v>
      </c>
      <c r="I21" s="1"/>
      <c r="J21" s="3125"/>
      <c r="K21" s="3119" t="s">
        <v>7667</v>
      </c>
      <c r="L21" s="3126" t="s">
        <v>10486</v>
      </c>
      <c r="M21" s="1"/>
      <c r="N21" s="3111">
        <f t="shared" si="4"/>
        <v>14</v>
      </c>
      <c r="O21" s="3112" t="s">
        <v>10599</v>
      </c>
      <c r="P21" s="3113" t="s">
        <v>10600</v>
      </c>
      <c r="Q21" s="3114" t="s">
        <v>10601</v>
      </c>
      <c r="R21" s="3115" t="s">
        <v>10602</v>
      </c>
      <c r="S21" s="3116" t="s">
        <v>10603</v>
      </c>
      <c r="T21" s="3115" t="s">
        <v>10604</v>
      </c>
      <c r="V21" s="3008">
        <v>11</v>
      </c>
      <c r="W21" s="2991" t="s">
        <v>7369</v>
      </c>
      <c r="X21" s="3004" t="s">
        <v>7370</v>
      </c>
      <c r="Y21" s="3004" t="s">
        <v>7371</v>
      </c>
      <c r="AA21" s="3008">
        <v>2</v>
      </c>
      <c r="AB21" s="3015" t="s">
        <v>7372</v>
      </c>
      <c r="AC21" s="3010" t="s">
        <v>7373</v>
      </c>
      <c r="AD21" s="3010" t="s">
        <v>7374</v>
      </c>
      <c r="AF21" s="2730">
        <v>1</v>
      </c>
    </row>
    <row r="22" spans="2:32" ht="30" customHeight="1">
      <c r="B22" s="3106">
        <f t="shared" si="5"/>
        <v>7</v>
      </c>
      <c r="C22" s="3107" t="s">
        <v>10605</v>
      </c>
      <c r="D22" s="3132" t="s">
        <v>10606</v>
      </c>
      <c r="E22" s="3133" t="s">
        <v>10607</v>
      </c>
      <c r="F22" s="3132" t="s">
        <v>10608</v>
      </c>
      <c r="G22" s="3134" t="s">
        <v>10609</v>
      </c>
      <c r="H22" s="3135" t="s">
        <v>10610</v>
      </c>
      <c r="I22" s="1"/>
      <c r="J22" s="3136"/>
      <c r="K22" s="9148"/>
      <c r="L22" s="9149"/>
      <c r="M22" s="1"/>
      <c r="N22" s="3111">
        <f t="shared" si="4"/>
        <v>15</v>
      </c>
      <c r="O22" s="3112" t="s">
        <v>10611</v>
      </c>
      <c r="P22" s="3113" t="s">
        <v>10612</v>
      </c>
      <c r="Q22" s="3114" t="s">
        <v>10613</v>
      </c>
      <c r="R22" s="3115" t="s">
        <v>10614</v>
      </c>
      <c r="S22" s="3116" t="s">
        <v>10615</v>
      </c>
      <c r="T22" s="3115" t="s">
        <v>10616</v>
      </c>
      <c r="V22" s="3008">
        <v>12</v>
      </c>
      <c r="W22" s="2991" t="s">
        <v>7388</v>
      </c>
      <c r="X22" s="3004" t="s">
        <v>7389</v>
      </c>
      <c r="Y22" s="3004" t="s">
        <v>7390</v>
      </c>
      <c r="AA22" s="3008">
        <v>3</v>
      </c>
      <c r="AB22" s="3015" t="s">
        <v>7391</v>
      </c>
      <c r="AC22" s="3010" t="s">
        <v>7392</v>
      </c>
      <c r="AD22" s="3010" t="s">
        <v>7393</v>
      </c>
      <c r="AF22" s="2730">
        <v>1</v>
      </c>
    </row>
    <row r="23" spans="2:32" ht="30" customHeight="1">
      <c r="B23" s="3106">
        <f t="shared" si="5"/>
        <v>8</v>
      </c>
      <c r="C23" s="3107" t="s">
        <v>10617</v>
      </c>
      <c r="D23" s="3132" t="s">
        <v>10618</v>
      </c>
      <c r="E23" s="3133" t="s">
        <v>10619</v>
      </c>
      <c r="F23" s="3132" t="s">
        <v>10620</v>
      </c>
      <c r="G23" s="3134" t="s">
        <v>10621</v>
      </c>
      <c r="H23" s="3135" t="s">
        <v>10622</v>
      </c>
      <c r="I23" s="1"/>
      <c r="J23" s="3110" t="s">
        <v>338</v>
      </c>
      <c r="K23" s="3119" t="s">
        <v>8123</v>
      </c>
      <c r="L23" s="3126" t="s">
        <v>10623</v>
      </c>
      <c r="M23" s="1"/>
      <c r="N23" s="3111">
        <f t="shared" si="4"/>
        <v>16</v>
      </c>
      <c r="O23" s="3112" t="s">
        <v>2808</v>
      </c>
      <c r="P23" s="3113" t="s">
        <v>10624</v>
      </c>
      <c r="Q23" s="3114" t="s">
        <v>10625</v>
      </c>
      <c r="R23" s="3115" t="s">
        <v>10626</v>
      </c>
      <c r="S23" s="3116" t="s">
        <v>10627</v>
      </c>
      <c r="T23" s="3115" t="s">
        <v>10628</v>
      </c>
      <c r="V23" s="3008">
        <v>13</v>
      </c>
      <c r="W23" s="2991" t="s">
        <v>7402</v>
      </c>
      <c r="X23" s="3004" t="s">
        <v>7403</v>
      </c>
      <c r="Y23" s="3004" t="s">
        <v>7404</v>
      </c>
      <c r="AA23" s="3008">
        <v>4</v>
      </c>
      <c r="AB23" s="3015" t="s">
        <v>7405</v>
      </c>
      <c r="AC23" s="3010" t="s">
        <v>7406</v>
      </c>
      <c r="AD23" s="3010" t="s">
        <v>7407</v>
      </c>
      <c r="AF23" s="2730">
        <v>1</v>
      </c>
    </row>
    <row r="24" spans="2:32" ht="30" customHeight="1">
      <c r="B24" s="3106">
        <f t="shared" si="5"/>
        <v>9</v>
      </c>
      <c r="C24" s="3107" t="s">
        <v>10629</v>
      </c>
      <c r="D24" s="3132" t="s">
        <v>10630</v>
      </c>
      <c r="E24" s="3133" t="s">
        <v>10631</v>
      </c>
      <c r="F24" s="3132" t="s">
        <v>10632</v>
      </c>
      <c r="G24" s="3134" t="s">
        <v>10633</v>
      </c>
      <c r="H24" s="3135" t="s">
        <v>10634</v>
      </c>
      <c r="I24" s="1"/>
      <c r="J24" s="3125"/>
      <c r="K24" s="3119" t="s">
        <v>8141</v>
      </c>
      <c r="L24" s="3126" t="s">
        <v>10486</v>
      </c>
      <c r="M24" s="1"/>
      <c r="N24" s="3111">
        <f t="shared" si="4"/>
        <v>17</v>
      </c>
      <c r="O24" s="3112" t="s">
        <v>2810</v>
      </c>
      <c r="P24" s="3113" t="s">
        <v>10635</v>
      </c>
      <c r="Q24" s="3114" t="s">
        <v>10636</v>
      </c>
      <c r="R24" s="3115" t="s">
        <v>10637</v>
      </c>
      <c r="S24" s="3116" t="s">
        <v>10638</v>
      </c>
      <c r="T24" s="3115" t="s">
        <v>10639</v>
      </c>
      <c r="V24" s="3008">
        <v>14</v>
      </c>
      <c r="W24" s="2991" t="s">
        <v>7420</v>
      </c>
      <c r="X24" s="3004" t="s">
        <v>7421</v>
      </c>
      <c r="Y24" s="3004" t="s">
        <v>7422</v>
      </c>
      <c r="AA24" s="3008">
        <v>5</v>
      </c>
      <c r="AB24" s="3015" t="s">
        <v>7423</v>
      </c>
      <c r="AC24" s="3010" t="s">
        <v>7424</v>
      </c>
      <c r="AD24" s="3010" t="s">
        <v>7425</v>
      </c>
      <c r="AF24" s="2730">
        <v>1</v>
      </c>
    </row>
    <row r="25" spans="2:32" ht="30" customHeight="1">
      <c r="B25" s="3106">
        <f t="shared" si="5"/>
        <v>10</v>
      </c>
      <c r="C25" s="3107" t="s">
        <v>10640</v>
      </c>
      <c r="D25" s="3132" t="s">
        <v>10641</v>
      </c>
      <c r="E25" s="3133" t="s">
        <v>10642</v>
      </c>
      <c r="F25" s="3132" t="s">
        <v>10643</v>
      </c>
      <c r="G25" s="3134" t="s">
        <v>10644</v>
      </c>
      <c r="H25" s="3135" t="s">
        <v>10645</v>
      </c>
      <c r="I25" s="1"/>
      <c r="J25" s="3125"/>
      <c r="K25" s="3119" t="s">
        <v>8156</v>
      </c>
      <c r="L25" s="3126" t="s">
        <v>10486</v>
      </c>
      <c r="M25" s="1"/>
      <c r="N25" s="3111">
        <f t="shared" si="4"/>
        <v>18</v>
      </c>
      <c r="O25" s="3112" t="s">
        <v>10646</v>
      </c>
      <c r="P25" s="3113" t="s">
        <v>10647</v>
      </c>
      <c r="Q25" s="3114" t="s">
        <v>10648</v>
      </c>
      <c r="R25" s="3115" t="s">
        <v>10649</v>
      </c>
      <c r="S25" s="3116" t="s">
        <v>10650</v>
      </c>
      <c r="T25" s="3115" t="s">
        <v>10651</v>
      </c>
      <c r="V25" s="3008">
        <v>15</v>
      </c>
      <c r="W25" s="2991" t="s">
        <v>7434</v>
      </c>
      <c r="X25" s="3004" t="s">
        <v>7435</v>
      </c>
      <c r="Y25" s="3004" t="s">
        <v>7436</v>
      </c>
      <c r="AA25" s="3008">
        <v>6</v>
      </c>
      <c r="AB25" s="3015" t="s">
        <v>7437</v>
      </c>
      <c r="AC25" s="3010" t="s">
        <v>7438</v>
      </c>
      <c r="AD25" s="3010" t="s">
        <v>7439</v>
      </c>
      <c r="AF25" s="2730">
        <v>1</v>
      </c>
    </row>
    <row r="26" spans="2:32" ht="30" customHeight="1">
      <c r="B26" s="3106"/>
      <c r="C26" s="3099" t="s">
        <v>342</v>
      </c>
      <c r="D26" s="1"/>
      <c r="E26" s="3117"/>
      <c r="F26" s="1"/>
      <c r="G26" s="3117"/>
      <c r="H26" s="3118"/>
      <c r="I26" s="1"/>
      <c r="J26" s="3125"/>
      <c r="K26" s="3119" t="s">
        <v>8171</v>
      </c>
      <c r="L26" s="3126" t="s">
        <v>10486</v>
      </c>
      <c r="M26" s="1"/>
      <c r="N26" s="3111">
        <f t="shared" si="4"/>
        <v>19</v>
      </c>
      <c r="O26" s="3112" t="s">
        <v>2813</v>
      </c>
      <c r="P26" s="3113" t="s">
        <v>10652</v>
      </c>
      <c r="Q26" s="3114" t="s">
        <v>10653</v>
      </c>
      <c r="R26" s="3115" t="s">
        <v>10654</v>
      </c>
      <c r="S26" s="3116" t="s">
        <v>10655</v>
      </c>
      <c r="T26" s="3115" t="s">
        <v>10656</v>
      </c>
      <c r="V26" s="3008"/>
      <c r="W26" s="3020" t="str">
        <f>IF(ISNUMBER(IFERROR(VALUE("0,5"),"")),"On this computer, type a COMMA as the decimal separator",IF(ISNUMBER(IFERROR(VALUE("0.5"),"")),"On this computer, type a POINT as the decimal separator","Unable to determine the decimal separator"))</f>
        <v>On this computer, type a POINT as the decimal separator</v>
      </c>
      <c r="X26" s="3021"/>
      <c r="Y26" s="3021" t="str">
        <f>IF(ISNUMBER(IFERROR(VALUE("0,5"),""))," En este ordenador, escriba una COMA como separador decimal",IF(ISNUMBER(IFERROR(VALUE("0.5"),"")),"En este ordenador, escriba un PUNTO como separador decimal","No es posible determinar el separador decimal"))</f>
        <v>En este ordenador, escriba un PUNTO como separador decimal</v>
      </c>
      <c r="AA26" s="3008">
        <v>7</v>
      </c>
      <c r="AB26" s="3015" t="s">
        <v>7452</v>
      </c>
      <c r="AC26" s="3010" t="s">
        <v>7453</v>
      </c>
      <c r="AD26" s="3010" t="s">
        <v>7454</v>
      </c>
      <c r="AF26" s="2730">
        <v>1</v>
      </c>
    </row>
    <row r="27" spans="2:32" ht="30" customHeight="1">
      <c r="B27" s="3106">
        <v>1</v>
      </c>
      <c r="C27" s="3107" t="s">
        <v>10657</v>
      </c>
      <c r="D27" s="3132" t="s">
        <v>10658</v>
      </c>
      <c r="E27" s="3133" t="s">
        <v>10659</v>
      </c>
      <c r="F27" s="3132" t="s">
        <v>10660</v>
      </c>
      <c r="G27" s="3134" t="s">
        <v>10661</v>
      </c>
      <c r="H27" s="3135" t="s">
        <v>10662</v>
      </c>
      <c r="I27" s="1"/>
      <c r="J27" s="3125"/>
      <c r="K27" s="3119" t="s">
        <v>8106</v>
      </c>
      <c r="L27" s="3126" t="s">
        <v>10486</v>
      </c>
      <c r="M27" s="1"/>
      <c r="N27" s="3111">
        <f t="shared" si="4"/>
        <v>20</v>
      </c>
      <c r="O27" s="3112" t="s">
        <v>10663</v>
      </c>
      <c r="P27" s="3113" t="s">
        <v>10664</v>
      </c>
      <c r="Q27" s="3114" t="s">
        <v>10665</v>
      </c>
      <c r="R27" s="3115" t="s">
        <v>10666</v>
      </c>
      <c r="S27" s="3116" t="s">
        <v>10667</v>
      </c>
      <c r="T27" s="3115" t="s">
        <v>10668</v>
      </c>
      <c r="V27" s="3022" t="str">
        <f>IF(ISNUMBER(IFERROR(VALUE("0,5"),"")),"sur cet ordi.saisissez une VIRGULE comme séparateur décimal",IF(ISNUMBER(IFERROR(VALUE("0.5"),"")),"sur cet ordi.saisissez un POINT comme séparateur décimal","Impossible de déterminer le séparateur décimal"))</f>
        <v>sur cet ordi.saisissez un POINT comme séparateur décimal</v>
      </c>
      <c r="W27" s="2991"/>
      <c r="X27" s="3023"/>
      <c r="Y27" s="3023"/>
      <c r="AA27" s="3008">
        <v>8</v>
      </c>
      <c r="AB27" s="3015" t="s">
        <v>7467</v>
      </c>
      <c r="AC27" s="3010" t="s">
        <v>7468</v>
      </c>
      <c r="AD27" s="3010" t="s">
        <v>7469</v>
      </c>
      <c r="AF27" s="2730">
        <v>1</v>
      </c>
    </row>
    <row r="28" spans="2:32" ht="30" customHeight="1">
      <c r="B28" s="3106"/>
      <c r="C28" s="3099" t="s">
        <v>651</v>
      </c>
      <c r="D28" s="1"/>
      <c r="E28" s="3117"/>
      <c r="F28" s="1"/>
      <c r="G28" s="3117"/>
      <c r="H28" s="3118"/>
      <c r="I28" s="1"/>
      <c r="J28" s="3125"/>
      <c r="K28" s="3119" t="s">
        <v>8447</v>
      </c>
      <c r="L28" s="3126" t="s">
        <v>2284</v>
      </c>
      <c r="M28" s="1"/>
      <c r="N28" s="3111">
        <f t="shared" si="4"/>
        <v>21</v>
      </c>
      <c r="O28" s="3112" t="s">
        <v>10669</v>
      </c>
      <c r="P28" s="3113" t="s">
        <v>10670</v>
      </c>
      <c r="Q28" s="3114" t="s">
        <v>10671</v>
      </c>
      <c r="R28" s="3115" t="s">
        <v>10672</v>
      </c>
      <c r="S28" s="3116" t="s">
        <v>10673</v>
      </c>
      <c r="T28" s="3115" t="s">
        <v>10674</v>
      </c>
      <c r="V28" s="3008"/>
      <c r="W28" s="3024"/>
      <c r="X28" s="3025" t="s">
        <v>2784</v>
      </c>
      <c r="Y28" s="3026"/>
      <c r="AA28" s="3012"/>
      <c r="AB28" s="2267"/>
      <c r="AC28" s="2893"/>
      <c r="AD28" s="2893"/>
      <c r="AF28" s="2730">
        <v>1</v>
      </c>
    </row>
    <row r="29" spans="2:32" ht="30" customHeight="1">
      <c r="B29" s="3106">
        <v>1</v>
      </c>
      <c r="C29" s="3107" t="s">
        <v>10675</v>
      </c>
      <c r="D29" s="3132" t="s">
        <v>10676</v>
      </c>
      <c r="E29" s="3133" t="s">
        <v>10677</v>
      </c>
      <c r="F29" s="3132" t="s">
        <v>10678</v>
      </c>
      <c r="G29" s="3134" t="s">
        <v>10679</v>
      </c>
      <c r="H29" s="3135" t="s">
        <v>10680</v>
      </c>
      <c r="I29" s="1"/>
      <c r="J29" s="3125"/>
      <c r="K29" s="3119" t="s">
        <v>8458</v>
      </c>
      <c r="L29" s="3126" t="s">
        <v>10486</v>
      </c>
      <c r="M29" s="1"/>
      <c r="N29" s="3111">
        <f t="shared" si="4"/>
        <v>22</v>
      </c>
      <c r="O29" s="3112" t="s">
        <v>10681</v>
      </c>
      <c r="P29" s="3113" t="s">
        <v>10682</v>
      </c>
      <c r="Q29" s="3114" t="s">
        <v>10683</v>
      </c>
      <c r="R29" s="3115" t="s">
        <v>10684</v>
      </c>
      <c r="S29" s="3116" t="s">
        <v>10685</v>
      </c>
      <c r="T29" s="3115" t="s">
        <v>10686</v>
      </c>
      <c r="V29" s="3008"/>
      <c r="W29" s="3024"/>
      <c r="X29" s="3025" t="s">
        <v>62</v>
      </c>
      <c r="Y29" s="3026"/>
      <c r="AA29" s="3127" t="s">
        <v>84</v>
      </c>
      <c r="AB29" s="3029" t="s">
        <v>2845</v>
      </c>
      <c r="AC29" s="3029" t="s">
        <v>7494</v>
      </c>
      <c r="AD29" s="3029" t="s">
        <v>7495</v>
      </c>
      <c r="AF29" s="2730">
        <v>1</v>
      </c>
    </row>
    <row r="30" spans="2:32" ht="30" customHeight="1">
      <c r="B30" s="3106">
        <f>B29+1</f>
        <v>2</v>
      </c>
      <c r="C30" s="3107" t="s">
        <v>10687</v>
      </c>
      <c r="D30" s="3132" t="s">
        <v>10688</v>
      </c>
      <c r="E30" s="3133" t="s">
        <v>10689</v>
      </c>
      <c r="F30" s="3132" t="s">
        <v>10690</v>
      </c>
      <c r="G30" s="3134" t="s">
        <v>10691</v>
      </c>
      <c r="H30" s="3135" t="s">
        <v>10692</v>
      </c>
      <c r="I30" s="1"/>
      <c r="J30" s="3125"/>
      <c r="K30" s="3119" t="s">
        <v>10693</v>
      </c>
      <c r="L30" s="3126" t="s">
        <v>8092</v>
      </c>
      <c r="M30" s="1"/>
      <c r="N30" s="3111">
        <f t="shared" si="4"/>
        <v>23</v>
      </c>
      <c r="O30" s="3112" t="s">
        <v>10694</v>
      </c>
      <c r="P30" s="3113" t="s">
        <v>10695</v>
      </c>
      <c r="Q30" s="3114" t="s">
        <v>10696</v>
      </c>
      <c r="R30" s="3115" t="s">
        <v>10697</v>
      </c>
      <c r="S30" s="3116" t="s">
        <v>10698</v>
      </c>
      <c r="T30" s="3115" t="s">
        <v>10699</v>
      </c>
      <c r="V30" s="3008"/>
      <c r="Y30" s="3028"/>
      <c r="AA30" s="3008">
        <v>1</v>
      </c>
      <c r="AB30" s="3015" t="s">
        <v>7507</v>
      </c>
      <c r="AC30" s="3010" t="s">
        <v>7508</v>
      </c>
      <c r="AD30" s="3010" t="s">
        <v>7509</v>
      </c>
      <c r="AF30" s="2730">
        <v>1</v>
      </c>
    </row>
    <row r="31" spans="2:32" ht="30" customHeight="1">
      <c r="B31" s="3106">
        <f>B30+1</f>
        <v>3</v>
      </c>
      <c r="C31" s="3107" t="s">
        <v>10700</v>
      </c>
      <c r="D31" s="3132" t="s">
        <v>10701</v>
      </c>
      <c r="E31" s="3133" t="s">
        <v>10702</v>
      </c>
      <c r="F31" s="3132" t="s">
        <v>10703</v>
      </c>
      <c r="G31" s="3134" t="s">
        <v>10704</v>
      </c>
      <c r="H31" s="3135" t="s">
        <v>10705</v>
      </c>
      <c r="I31" s="1"/>
      <c r="J31" s="3125"/>
      <c r="K31" s="3119" t="s">
        <v>8075</v>
      </c>
      <c r="L31" s="3126" t="s">
        <v>10486</v>
      </c>
      <c r="M31" s="1"/>
      <c r="N31" s="3111">
        <f t="shared" si="4"/>
        <v>24</v>
      </c>
      <c r="O31" s="3112" t="s">
        <v>10706</v>
      </c>
      <c r="P31" s="3113" t="s">
        <v>10707</v>
      </c>
      <c r="Q31" s="3114" t="s">
        <v>10708</v>
      </c>
      <c r="R31" s="3115" t="s">
        <v>10709</v>
      </c>
      <c r="S31" s="3116" t="s">
        <v>10710</v>
      </c>
      <c r="T31" s="3115" t="s">
        <v>10711</v>
      </c>
      <c r="V31" s="3008"/>
      <c r="W31" s="3029"/>
      <c r="X31" s="3028"/>
      <c r="Y31" s="3028"/>
      <c r="AA31" s="3008">
        <v>2</v>
      </c>
      <c r="AB31" s="3015" t="s">
        <v>7522</v>
      </c>
      <c r="AC31" s="3010" t="s">
        <v>7523</v>
      </c>
      <c r="AD31" s="3010" t="s">
        <v>7524</v>
      </c>
      <c r="AF31" s="2730">
        <v>1</v>
      </c>
    </row>
    <row r="32" spans="2:32" ht="30" customHeight="1">
      <c r="B32" s="3106">
        <f>B31+1</f>
        <v>4</v>
      </c>
      <c r="C32" s="3107" t="s">
        <v>10712</v>
      </c>
      <c r="D32" s="3132" t="s">
        <v>10713</v>
      </c>
      <c r="E32" s="3133" t="s">
        <v>10714</v>
      </c>
      <c r="F32" s="3132" t="s">
        <v>10715</v>
      </c>
      <c r="G32" s="3134" t="s">
        <v>10716</v>
      </c>
      <c r="H32" s="3135" t="s">
        <v>10717</v>
      </c>
      <c r="I32" s="1"/>
      <c r="J32" s="3125"/>
      <c r="K32" s="3119" t="s">
        <v>10718</v>
      </c>
      <c r="L32" s="3126"/>
      <c r="M32" s="1"/>
      <c r="N32" s="3111">
        <f t="shared" si="4"/>
        <v>25</v>
      </c>
      <c r="O32" s="3112" t="s">
        <v>10719</v>
      </c>
      <c r="P32" s="3113" t="s">
        <v>10720</v>
      </c>
      <c r="Q32" s="3114" t="s">
        <v>10721</v>
      </c>
      <c r="R32" s="3115" t="s">
        <v>10722</v>
      </c>
      <c r="S32" s="3116" t="s">
        <v>10723</v>
      </c>
      <c r="T32" s="3115" t="s">
        <v>10724</v>
      </c>
      <c r="V32" s="2991"/>
      <c r="W32" s="3030" t="s">
        <v>2863</v>
      </c>
      <c r="X32" s="3137" t="s">
        <v>7535</v>
      </c>
      <c r="Y32" s="3137" t="s">
        <v>7536</v>
      </c>
      <c r="AA32" s="3033"/>
      <c r="AB32" s="9156" t="s">
        <v>7537</v>
      </c>
      <c r="AC32" s="9156" t="s">
        <v>7538</v>
      </c>
      <c r="AD32" s="9156" t="s">
        <v>7539</v>
      </c>
      <c r="AF32" s="2730">
        <v>1</v>
      </c>
    </row>
    <row r="33" spans="2:32" ht="30" customHeight="1">
      <c r="B33" s="3106">
        <f>B32+1</f>
        <v>5</v>
      </c>
      <c r="C33" s="3107" t="s">
        <v>10725</v>
      </c>
      <c r="D33" s="3132" t="s">
        <v>10726</v>
      </c>
      <c r="E33" s="3133" t="s">
        <v>10727</v>
      </c>
      <c r="F33" s="3132" t="s">
        <v>10728</v>
      </c>
      <c r="G33" s="3134" t="s">
        <v>10729</v>
      </c>
      <c r="H33" s="3135" t="s">
        <v>10730</v>
      </c>
      <c r="I33" s="1"/>
      <c r="J33" s="3136"/>
      <c r="K33" s="9148"/>
      <c r="L33" s="9149"/>
      <c r="M33" s="1"/>
      <c r="N33" s="3111">
        <f t="shared" si="4"/>
        <v>26</v>
      </c>
      <c r="O33" s="3112" t="s">
        <v>10731</v>
      </c>
      <c r="P33" s="3113" t="s">
        <v>10732</v>
      </c>
      <c r="Q33" s="3114" t="s">
        <v>10733</v>
      </c>
      <c r="R33" s="3115" t="s">
        <v>10734</v>
      </c>
      <c r="S33" s="3116" t="s">
        <v>10735</v>
      </c>
      <c r="T33" s="3115" t="s">
        <v>10736</v>
      </c>
      <c r="V33" s="3062"/>
      <c r="W33" s="3029" t="s">
        <v>7553</v>
      </c>
      <c r="X33" s="3029" t="s">
        <v>7554</v>
      </c>
      <c r="Y33" s="3029" t="s">
        <v>7555</v>
      </c>
      <c r="AA33" s="3033"/>
      <c r="AB33" s="9156"/>
      <c r="AC33" s="9156"/>
      <c r="AD33" s="9156"/>
      <c r="AF33" s="2730">
        <v>1</v>
      </c>
    </row>
    <row r="34" spans="2:32" ht="30" customHeight="1">
      <c r="B34" s="3106">
        <f t="shared" ref="B34" si="6">B33+1</f>
        <v>6</v>
      </c>
      <c r="C34" s="3107" t="s">
        <v>10737</v>
      </c>
      <c r="D34" s="3132" t="s">
        <v>10738</v>
      </c>
      <c r="E34" s="3133" t="s">
        <v>10739</v>
      </c>
      <c r="F34" s="3132" t="s">
        <v>10740</v>
      </c>
      <c r="G34" s="3134" t="s">
        <v>10741</v>
      </c>
      <c r="H34" s="3135" t="s">
        <v>10742</v>
      </c>
      <c r="I34" s="1"/>
      <c r="J34" s="3110" t="s">
        <v>342</v>
      </c>
      <c r="K34" s="3119" t="s">
        <v>10743</v>
      </c>
      <c r="L34" s="3126" t="s">
        <v>10744</v>
      </c>
      <c r="M34" s="1"/>
      <c r="N34" s="3111">
        <f t="shared" si="4"/>
        <v>27</v>
      </c>
      <c r="O34" s="3112" t="s">
        <v>2816</v>
      </c>
      <c r="P34" s="3113" t="s">
        <v>10745</v>
      </c>
      <c r="Q34" s="3114" t="s">
        <v>10746</v>
      </c>
      <c r="R34" s="3115" t="s">
        <v>10747</v>
      </c>
      <c r="S34" s="3116" t="s">
        <v>10748</v>
      </c>
      <c r="T34" s="3115" t="s">
        <v>10749</v>
      </c>
      <c r="V34" s="3008">
        <v>1</v>
      </c>
      <c r="W34" s="2991" t="s">
        <v>2963</v>
      </c>
      <c r="X34" s="3004" t="s">
        <v>7569</v>
      </c>
      <c r="Y34" s="3004" t="s">
        <v>7570</v>
      </c>
      <c r="AA34" s="3127" t="s">
        <v>85</v>
      </c>
      <c r="AB34" s="3029" t="s">
        <v>2865</v>
      </c>
      <c r="AC34" s="3029" t="s">
        <v>7571</v>
      </c>
      <c r="AD34" s="3029" t="s">
        <v>7572</v>
      </c>
      <c r="AF34" s="2730">
        <v>1</v>
      </c>
    </row>
    <row r="35" spans="2:32" ht="30" customHeight="1">
      <c r="B35" s="3106"/>
      <c r="C35" s="3099" t="s">
        <v>343</v>
      </c>
      <c r="D35" s="3047"/>
      <c r="E35" s="3138"/>
      <c r="F35" s="3047"/>
      <c r="G35" s="3138"/>
      <c r="H35" s="3118"/>
      <c r="I35" s="1"/>
      <c r="J35" s="3125"/>
      <c r="K35" s="3119" t="s">
        <v>10750</v>
      </c>
      <c r="L35" s="3126" t="s">
        <v>8528</v>
      </c>
      <c r="M35" s="1"/>
      <c r="N35" s="3111">
        <f t="shared" si="4"/>
        <v>28</v>
      </c>
      <c r="O35" s="3112" t="s">
        <v>10751</v>
      </c>
      <c r="P35" s="3113" t="s">
        <v>10752</v>
      </c>
      <c r="Q35" s="3114" t="s">
        <v>10753</v>
      </c>
      <c r="R35" s="3115" t="s">
        <v>10754</v>
      </c>
      <c r="S35" s="3116" t="s">
        <v>10755</v>
      </c>
      <c r="T35" s="3115" t="s">
        <v>10756</v>
      </c>
      <c r="V35" s="3008">
        <v>2</v>
      </c>
      <c r="W35" s="2991" t="s">
        <v>2868</v>
      </c>
      <c r="X35" s="3004" t="s">
        <v>7586</v>
      </c>
      <c r="Y35" s="3004" t="s">
        <v>7587</v>
      </c>
      <c r="AA35" s="3008">
        <v>1</v>
      </c>
      <c r="AB35" s="2991" t="s">
        <v>7588</v>
      </c>
      <c r="AC35" s="3010" t="s">
        <v>7589</v>
      </c>
      <c r="AD35" s="3010" t="s">
        <v>7590</v>
      </c>
      <c r="AF35" s="2730">
        <v>1</v>
      </c>
    </row>
    <row r="36" spans="2:32" ht="30" customHeight="1">
      <c r="B36" s="3106">
        <v>1</v>
      </c>
      <c r="C36" s="3107" t="s">
        <v>10757</v>
      </c>
      <c r="D36" s="3132" t="s">
        <v>10758</v>
      </c>
      <c r="E36" s="3133" t="s">
        <v>10759</v>
      </c>
      <c r="F36" s="3132" t="s">
        <v>10760</v>
      </c>
      <c r="G36" s="3134" t="s">
        <v>10761</v>
      </c>
      <c r="H36" s="3135" t="s">
        <v>10762</v>
      </c>
      <c r="I36" s="1"/>
      <c r="J36" s="3125"/>
      <c r="K36" s="3119" t="s">
        <v>8545</v>
      </c>
      <c r="L36" s="3126" t="s">
        <v>8554</v>
      </c>
      <c r="M36" s="1"/>
      <c r="N36" s="3111">
        <f t="shared" si="4"/>
        <v>29</v>
      </c>
      <c r="O36" s="3112" t="s">
        <v>10763</v>
      </c>
      <c r="P36" s="3113" t="s">
        <v>10764</v>
      </c>
      <c r="Q36" s="3114" t="s">
        <v>10765</v>
      </c>
      <c r="R36" s="3115" t="s">
        <v>10766</v>
      </c>
      <c r="S36" s="3116" t="s">
        <v>10767</v>
      </c>
      <c r="T36" s="3115" t="s">
        <v>10768</v>
      </c>
      <c r="V36" s="3008">
        <v>3</v>
      </c>
      <c r="W36" s="2991" t="s">
        <v>2871</v>
      </c>
      <c r="X36" s="3004" t="s">
        <v>7604</v>
      </c>
      <c r="Y36" s="3004" t="s">
        <v>7605</v>
      </c>
      <c r="AA36" s="3008">
        <v>2</v>
      </c>
      <c r="AB36" s="2991" t="s">
        <v>2872</v>
      </c>
      <c r="AC36" s="3010" t="s">
        <v>7606</v>
      </c>
      <c r="AD36" s="3010" t="s">
        <v>7607</v>
      </c>
      <c r="AF36" s="2730">
        <v>1</v>
      </c>
    </row>
    <row r="37" spans="2:32" ht="30" customHeight="1">
      <c r="B37" s="3106">
        <f>B36+1</f>
        <v>2</v>
      </c>
      <c r="C37" s="3107" t="s">
        <v>10769</v>
      </c>
      <c r="D37" s="3132" t="s">
        <v>10770</v>
      </c>
      <c r="E37" s="3133" t="s">
        <v>10771</v>
      </c>
      <c r="F37" s="3132" t="s">
        <v>10772</v>
      </c>
      <c r="G37" s="3134" t="s">
        <v>10773</v>
      </c>
      <c r="H37" s="3135" t="s">
        <v>10774</v>
      </c>
      <c r="I37" s="1"/>
      <c r="J37" s="3125"/>
      <c r="K37" s="3119" t="s">
        <v>10775</v>
      </c>
      <c r="L37" s="3126" t="s">
        <v>8592</v>
      </c>
      <c r="M37" s="1"/>
      <c r="N37" s="3111">
        <f t="shared" si="4"/>
        <v>30</v>
      </c>
      <c r="O37" s="3112" t="s">
        <v>10776</v>
      </c>
      <c r="P37" s="3113" t="s">
        <v>10777</v>
      </c>
      <c r="Q37" s="3114" t="s">
        <v>10778</v>
      </c>
      <c r="R37" s="3115" t="s">
        <v>10779</v>
      </c>
      <c r="S37" s="3116" t="s">
        <v>10780</v>
      </c>
      <c r="T37" s="3115" t="s">
        <v>10781</v>
      </c>
      <c r="V37" s="3008">
        <v>4</v>
      </c>
      <c r="W37" s="2991" t="s">
        <v>7621</v>
      </c>
      <c r="X37" s="3004" t="s">
        <v>7622</v>
      </c>
      <c r="Y37" s="3004" t="s">
        <v>7623</v>
      </c>
      <c r="AA37" s="3038"/>
      <c r="AB37" s="9152" t="s">
        <v>7624</v>
      </c>
      <c r="AC37" s="9153" t="s">
        <v>7625</v>
      </c>
      <c r="AD37" s="9153" t="s">
        <v>7626</v>
      </c>
      <c r="AF37" s="2730">
        <v>1</v>
      </c>
    </row>
    <row r="38" spans="2:32" ht="30" customHeight="1">
      <c r="B38" s="3106">
        <f t="shared" ref="B38" si="7">B37+1</f>
        <v>3</v>
      </c>
      <c r="C38" s="3107" t="s">
        <v>10782</v>
      </c>
      <c r="D38" s="3132" t="s">
        <v>10783</v>
      </c>
      <c r="E38" s="3133" t="s">
        <v>10784</v>
      </c>
      <c r="F38" s="3132" t="s">
        <v>10785</v>
      </c>
      <c r="G38" s="3134" t="s">
        <v>10786</v>
      </c>
      <c r="H38" s="3135" t="s">
        <v>10787</v>
      </c>
      <c r="I38" s="1"/>
      <c r="J38" s="3125"/>
      <c r="K38" s="3119" t="s">
        <v>8706</v>
      </c>
      <c r="L38" s="3126" t="s">
        <v>8714</v>
      </c>
      <c r="M38" s="1"/>
      <c r="N38" s="3111">
        <f t="shared" si="4"/>
        <v>31</v>
      </c>
      <c r="O38" s="3112" t="s">
        <v>2818</v>
      </c>
      <c r="P38" s="3113" t="s">
        <v>10788</v>
      </c>
      <c r="Q38" s="3114" t="s">
        <v>10789</v>
      </c>
      <c r="R38" s="3115" t="s">
        <v>10790</v>
      </c>
      <c r="S38" s="3116" t="s">
        <v>10791</v>
      </c>
      <c r="T38" s="3115" t="s">
        <v>10792</v>
      </c>
      <c r="V38" s="3008">
        <v>5</v>
      </c>
      <c r="W38" s="2991" t="s">
        <v>7639</v>
      </c>
      <c r="X38" s="3004" t="s">
        <v>7640</v>
      </c>
      <c r="Y38" s="3004" t="s">
        <v>7641</v>
      </c>
      <c r="AA38" s="3038"/>
      <c r="AB38" s="9152"/>
      <c r="AC38" s="9153"/>
      <c r="AD38" s="9153"/>
      <c r="AF38" s="2730">
        <v>1</v>
      </c>
    </row>
    <row r="39" spans="2:32" ht="30" customHeight="1">
      <c r="B39" s="3106"/>
      <c r="C39" s="3099" t="s">
        <v>515</v>
      </c>
      <c r="D39" s="3059"/>
      <c r="E39" s="3138"/>
      <c r="F39" s="3059"/>
      <c r="G39" s="3138"/>
      <c r="H39" s="3118"/>
      <c r="I39" s="1"/>
      <c r="J39" s="3125"/>
      <c r="K39" s="3119" t="s">
        <v>10793</v>
      </c>
      <c r="L39" s="3126" t="s">
        <v>8563</v>
      </c>
      <c r="M39" s="1"/>
      <c r="N39" s="3111">
        <f t="shared" si="4"/>
        <v>32</v>
      </c>
      <c r="O39" s="3112" t="s">
        <v>10794</v>
      </c>
      <c r="P39" s="3113" t="s">
        <v>10795</v>
      </c>
      <c r="Q39" s="3114" t="s">
        <v>10796</v>
      </c>
      <c r="R39" s="3115" t="s">
        <v>10797</v>
      </c>
      <c r="S39" s="3116" t="s">
        <v>10798</v>
      </c>
      <c r="T39" s="3115" t="s">
        <v>10799</v>
      </c>
      <c r="V39" s="3008">
        <v>6</v>
      </c>
      <c r="W39" s="2991" t="s">
        <v>7655</v>
      </c>
      <c r="X39" s="3004" t="s">
        <v>7656</v>
      </c>
      <c r="Y39" s="3004" t="s">
        <v>7657</v>
      </c>
      <c r="AA39" s="3008">
        <v>3</v>
      </c>
      <c r="AB39" s="2991" t="s">
        <v>7658</v>
      </c>
      <c r="AC39" s="3010" t="s">
        <v>7659</v>
      </c>
      <c r="AD39" s="3010" t="s">
        <v>7660</v>
      </c>
      <c r="AF39" s="2730">
        <v>1</v>
      </c>
    </row>
    <row r="40" spans="2:32" ht="30" customHeight="1">
      <c r="B40" s="3106">
        <v>1</v>
      </c>
      <c r="C40" s="3107" t="s">
        <v>10800</v>
      </c>
      <c r="D40" s="3132" t="s">
        <v>10801</v>
      </c>
      <c r="E40" s="3133" t="s">
        <v>10802</v>
      </c>
      <c r="F40" s="3132" t="s">
        <v>10803</v>
      </c>
      <c r="G40" s="3134" t="s">
        <v>10804</v>
      </c>
      <c r="H40" s="3135" t="s">
        <v>10805</v>
      </c>
      <c r="I40" s="1"/>
      <c r="J40" s="3125"/>
      <c r="K40" s="3119" t="s">
        <v>8728</v>
      </c>
      <c r="L40" s="3126" t="s">
        <v>8722</v>
      </c>
      <c r="M40" s="1"/>
      <c r="N40" s="3111">
        <f t="shared" si="4"/>
        <v>33</v>
      </c>
      <c r="O40" s="3112" t="s">
        <v>10806</v>
      </c>
      <c r="P40" s="3113" t="s">
        <v>10807</v>
      </c>
      <c r="Q40" s="3114" t="s">
        <v>10808</v>
      </c>
      <c r="R40" s="3115" t="s">
        <v>10809</v>
      </c>
      <c r="S40" s="3116" t="s">
        <v>10810</v>
      </c>
      <c r="T40" s="3115" t="s">
        <v>10811</v>
      </c>
      <c r="V40" s="3008">
        <v>7</v>
      </c>
      <c r="W40" s="2991" t="s">
        <v>2802</v>
      </c>
      <c r="X40" s="3004" t="s">
        <v>7673</v>
      </c>
      <c r="Y40" s="3004" t="s">
        <v>7674</v>
      </c>
      <c r="AA40" s="3008">
        <v>4</v>
      </c>
      <c r="AB40" s="2991" t="s">
        <v>7675</v>
      </c>
      <c r="AC40" s="3010" t="s">
        <v>7676</v>
      </c>
      <c r="AD40" s="3010" t="s">
        <v>7677</v>
      </c>
      <c r="AF40" s="2730">
        <v>1</v>
      </c>
    </row>
    <row r="41" spans="2:32" ht="30" customHeight="1">
      <c r="B41" s="3106">
        <f>B40+1</f>
        <v>2</v>
      </c>
      <c r="C41" s="3107" t="s">
        <v>10812</v>
      </c>
      <c r="D41" s="3132" t="s">
        <v>10813</v>
      </c>
      <c r="E41" s="3133" t="s">
        <v>10814</v>
      </c>
      <c r="F41" s="3132" t="s">
        <v>10815</v>
      </c>
      <c r="G41" s="3134" t="s">
        <v>10816</v>
      </c>
      <c r="H41" s="3135" t="s">
        <v>10817</v>
      </c>
      <c r="I41" s="1"/>
      <c r="J41" s="3125"/>
      <c r="K41" s="3119" t="s">
        <v>8754</v>
      </c>
      <c r="L41" s="3126" t="s">
        <v>8761</v>
      </c>
      <c r="M41" s="1"/>
      <c r="N41" s="3111">
        <f t="shared" si="4"/>
        <v>34</v>
      </c>
      <c r="O41" s="3112" t="s">
        <v>10818</v>
      </c>
      <c r="P41" s="3113" t="s">
        <v>10819</v>
      </c>
      <c r="Q41" s="3114" t="s">
        <v>10820</v>
      </c>
      <c r="R41" s="3115" t="s">
        <v>10821</v>
      </c>
      <c r="S41" s="3116" t="s">
        <v>10822</v>
      </c>
      <c r="T41" s="3115" t="s">
        <v>10823</v>
      </c>
      <c r="V41" s="3008">
        <v>8</v>
      </c>
      <c r="W41" s="2991" t="s">
        <v>2879</v>
      </c>
      <c r="X41" s="3004" t="s">
        <v>7690</v>
      </c>
      <c r="Y41" s="3004" t="s">
        <v>7691</v>
      </c>
      <c r="AA41" s="3008">
        <v>5</v>
      </c>
      <c r="AB41" s="2991" t="s">
        <v>7692</v>
      </c>
      <c r="AC41" s="3010" t="s">
        <v>7693</v>
      </c>
      <c r="AD41" s="3010" t="s">
        <v>7694</v>
      </c>
      <c r="AF41" s="2730">
        <v>1</v>
      </c>
    </row>
    <row r="42" spans="2:32" ht="30" customHeight="1">
      <c r="B42" s="3106"/>
      <c r="C42" s="3099" t="s">
        <v>1175</v>
      </c>
      <c r="D42" s="3059"/>
      <c r="E42" s="3138"/>
      <c r="F42" s="3059"/>
      <c r="G42" s="3138"/>
      <c r="H42" s="3118"/>
      <c r="I42" s="1"/>
      <c r="J42" s="3125"/>
      <c r="K42" s="3119" t="s">
        <v>8768</v>
      </c>
      <c r="L42" s="3126" t="s">
        <v>8775</v>
      </c>
      <c r="M42" s="1"/>
      <c r="N42" s="3111">
        <f t="shared" si="4"/>
        <v>35</v>
      </c>
      <c r="O42" s="3112" t="s">
        <v>10824</v>
      </c>
      <c r="P42" s="3113" t="s">
        <v>10825</v>
      </c>
      <c r="Q42" s="3114" t="s">
        <v>10826</v>
      </c>
      <c r="R42" s="3115" t="s">
        <v>10827</v>
      </c>
      <c r="S42" s="3116" t="s">
        <v>10828</v>
      </c>
      <c r="T42" s="3115" t="s">
        <v>10829</v>
      </c>
      <c r="V42" s="3008">
        <v>9</v>
      </c>
      <c r="W42" s="2991" t="s">
        <v>2905</v>
      </c>
      <c r="X42" s="3004" t="s">
        <v>7698</v>
      </c>
      <c r="Y42" s="3004" t="s">
        <v>7699</v>
      </c>
      <c r="AA42" s="3008">
        <v>6</v>
      </c>
      <c r="AB42" s="2991" t="s">
        <v>7700</v>
      </c>
      <c r="AC42" s="3010" t="s">
        <v>7701</v>
      </c>
      <c r="AD42" s="3010" t="s">
        <v>7702</v>
      </c>
      <c r="AF42" s="2730">
        <v>1</v>
      </c>
    </row>
    <row r="43" spans="2:32" ht="30" customHeight="1">
      <c r="B43" s="3106">
        <v>1</v>
      </c>
      <c r="C43" s="3107" t="s">
        <v>10830</v>
      </c>
      <c r="D43" s="3132" t="s">
        <v>10831</v>
      </c>
      <c r="E43" s="3133" t="s">
        <v>10832</v>
      </c>
      <c r="F43" s="3132" t="s">
        <v>10833</v>
      </c>
      <c r="G43" s="3134" t="s">
        <v>10834</v>
      </c>
      <c r="H43" s="3135" t="s">
        <v>10835</v>
      </c>
      <c r="I43" s="1"/>
      <c r="J43" s="3136"/>
      <c r="K43" s="9148"/>
      <c r="L43" s="9149"/>
      <c r="M43" s="1"/>
      <c r="N43" s="3111">
        <f t="shared" si="4"/>
        <v>36</v>
      </c>
      <c r="O43" s="3112" t="s">
        <v>10836</v>
      </c>
      <c r="P43" s="3113" t="s">
        <v>10837</v>
      </c>
      <c r="Q43" s="3114" t="s">
        <v>10838</v>
      </c>
      <c r="R43" s="3115" t="s">
        <v>10839</v>
      </c>
      <c r="S43" s="3116" t="s">
        <v>10840</v>
      </c>
      <c r="T43" s="3115" t="s">
        <v>10841</v>
      </c>
      <c r="V43" s="3008"/>
      <c r="AA43" s="3008"/>
      <c r="AB43" s="3012" t="s">
        <v>7715</v>
      </c>
      <c r="AC43" s="3044" t="s">
        <v>7716</v>
      </c>
      <c r="AD43" s="3044" t="s">
        <v>7717</v>
      </c>
      <c r="AF43" s="2730">
        <v>1</v>
      </c>
    </row>
    <row r="44" spans="2:32" ht="30" customHeight="1">
      <c r="B44" s="3106">
        <f>B43+1</f>
        <v>2</v>
      </c>
      <c r="C44" s="3107" t="s">
        <v>10842</v>
      </c>
      <c r="D44" s="3132" t="s">
        <v>10843</v>
      </c>
      <c r="E44" s="3133" t="s">
        <v>10844</v>
      </c>
      <c r="F44" s="3132" t="s">
        <v>10845</v>
      </c>
      <c r="G44" s="3134" t="s">
        <v>10846</v>
      </c>
      <c r="H44" s="3135" t="s">
        <v>10847</v>
      </c>
      <c r="I44" s="1"/>
      <c r="J44" s="3110" t="s">
        <v>651</v>
      </c>
      <c r="K44" s="3119" t="s">
        <v>10848</v>
      </c>
      <c r="L44" s="3126" t="s">
        <v>2217</v>
      </c>
      <c r="M44" s="1"/>
      <c r="N44" s="3111">
        <f t="shared" si="4"/>
        <v>37</v>
      </c>
      <c r="O44" s="3112" t="s">
        <v>10849</v>
      </c>
      <c r="P44" s="3113" t="s">
        <v>10850</v>
      </c>
      <c r="Q44" s="3114" t="s">
        <v>10851</v>
      </c>
      <c r="R44" s="3115" t="s">
        <v>10852</v>
      </c>
      <c r="S44" s="3116" t="s">
        <v>10853</v>
      </c>
      <c r="T44" s="3115" t="s">
        <v>10854</v>
      </c>
      <c r="V44" s="3008">
        <v>1</v>
      </c>
      <c r="W44" s="3029" t="s">
        <v>2812</v>
      </c>
      <c r="X44" s="3029" t="s">
        <v>7339</v>
      </c>
      <c r="Y44" s="3029" t="s">
        <v>7340</v>
      </c>
      <c r="AA44" s="3008">
        <v>7</v>
      </c>
      <c r="AB44" s="2991" t="s">
        <v>7730</v>
      </c>
      <c r="AC44" s="3010" t="s">
        <v>7731</v>
      </c>
      <c r="AD44" s="3010" t="s">
        <v>7732</v>
      </c>
      <c r="AF44" s="2730">
        <v>1</v>
      </c>
    </row>
    <row r="45" spans="2:32" ht="30" customHeight="1">
      <c r="B45" s="3106"/>
      <c r="C45" s="3099" t="s">
        <v>34</v>
      </c>
      <c r="D45" s="3059"/>
      <c r="E45" s="3139"/>
      <c r="F45" s="3059"/>
      <c r="G45" s="3139"/>
      <c r="H45" s="3118"/>
      <c r="I45" s="1"/>
      <c r="J45" s="3125"/>
      <c r="K45" s="3119" t="s">
        <v>10855</v>
      </c>
      <c r="L45" s="3126" t="s">
        <v>2242</v>
      </c>
      <c r="M45" s="1"/>
      <c r="N45" s="3111">
        <f t="shared" si="4"/>
        <v>38</v>
      </c>
      <c r="O45" s="3112" t="s">
        <v>10856</v>
      </c>
      <c r="P45" s="3113" t="s">
        <v>10857</v>
      </c>
      <c r="Q45" s="3114" t="s">
        <v>10858</v>
      </c>
      <c r="R45" s="3115" t="s">
        <v>10859</v>
      </c>
      <c r="S45" s="3116" t="s">
        <v>10860</v>
      </c>
      <c r="T45" s="3115" t="s">
        <v>10861</v>
      </c>
      <c r="V45" s="3008">
        <v>2</v>
      </c>
      <c r="W45" s="2991" t="s">
        <v>7744</v>
      </c>
      <c r="X45" s="3004" t="s">
        <v>7745</v>
      </c>
      <c r="Y45" s="3004" t="s">
        <v>7746</v>
      </c>
      <c r="AA45" s="3008">
        <v>8</v>
      </c>
      <c r="AB45" s="2991" t="s">
        <v>7747</v>
      </c>
      <c r="AC45" s="3010" t="s">
        <v>7748</v>
      </c>
      <c r="AD45" s="3010" t="s">
        <v>7749</v>
      </c>
      <c r="AF45" s="2730">
        <v>1</v>
      </c>
    </row>
    <row r="46" spans="2:32" ht="30" customHeight="1">
      <c r="B46" s="3106">
        <v>1</v>
      </c>
      <c r="C46" s="3140" t="s">
        <v>10862</v>
      </c>
      <c r="D46" s="3007" t="s">
        <v>10863</v>
      </c>
      <c r="E46" s="3141" t="s">
        <v>10864</v>
      </c>
      <c r="F46" s="3007" t="s">
        <v>10865</v>
      </c>
      <c r="G46" s="3142" t="s">
        <v>10866</v>
      </c>
      <c r="H46" s="3143" t="s">
        <v>10867</v>
      </c>
      <c r="I46" s="1"/>
      <c r="J46" s="3125"/>
      <c r="K46" s="3119" t="s">
        <v>10868</v>
      </c>
      <c r="L46" s="3126" t="s">
        <v>10869</v>
      </c>
      <c r="M46" s="1"/>
      <c r="N46" s="3111">
        <f t="shared" si="4"/>
        <v>39</v>
      </c>
      <c r="O46" s="3112" t="s">
        <v>10870</v>
      </c>
      <c r="P46" s="3113" t="s">
        <v>10871</v>
      </c>
      <c r="Q46" s="3114" t="s">
        <v>10872</v>
      </c>
      <c r="R46" s="3115" t="s">
        <v>10873</v>
      </c>
      <c r="S46" s="3116" t="s">
        <v>10874</v>
      </c>
      <c r="T46" s="3115" t="s">
        <v>10875</v>
      </c>
      <c r="V46" s="3008">
        <v>3</v>
      </c>
      <c r="W46" s="2991" t="s">
        <v>2928</v>
      </c>
      <c r="X46" s="3004" t="s">
        <v>7761</v>
      </c>
      <c r="Y46" s="3004" t="s">
        <v>7762</v>
      </c>
      <c r="AA46" s="3038"/>
      <c r="AB46" s="9154" t="s">
        <v>7763</v>
      </c>
      <c r="AC46" s="9154" t="s">
        <v>7764</v>
      </c>
      <c r="AD46" s="9154" t="s">
        <v>7765</v>
      </c>
      <c r="AF46" s="2730">
        <v>1</v>
      </c>
    </row>
    <row r="47" spans="2:32" ht="30" customHeight="1">
      <c r="B47" s="3106"/>
      <c r="C47" s="3099" t="s">
        <v>537</v>
      </c>
      <c r="D47" s="3059"/>
      <c r="E47" s="3139"/>
      <c r="F47" s="3059"/>
      <c r="G47" s="3139"/>
      <c r="H47" s="3118"/>
      <c r="I47" s="1"/>
      <c r="J47" s="3125"/>
      <c r="K47" s="3119" t="s">
        <v>10876</v>
      </c>
      <c r="L47" s="3126" t="s">
        <v>10486</v>
      </c>
      <c r="M47" s="1"/>
      <c r="N47" s="3111"/>
      <c r="O47" s="3104" t="s">
        <v>339</v>
      </c>
      <c r="P47" s="3000"/>
      <c r="Q47" s="3144"/>
      <c r="R47" s="3145"/>
      <c r="S47" s="3146"/>
      <c r="T47" s="3147"/>
      <c r="V47" s="3008">
        <v>4</v>
      </c>
      <c r="W47" s="2991" t="s">
        <v>7774</v>
      </c>
      <c r="X47" s="3004" t="s">
        <v>7775</v>
      </c>
      <c r="Y47" s="3004" t="s">
        <v>7776</v>
      </c>
      <c r="AA47" s="3038"/>
      <c r="AB47" s="9154"/>
      <c r="AC47" s="9154"/>
      <c r="AD47" s="9154"/>
      <c r="AF47" s="2730">
        <v>1</v>
      </c>
    </row>
    <row r="48" spans="2:32" ht="30" customHeight="1">
      <c r="B48" s="3106">
        <v>1</v>
      </c>
      <c r="C48" s="3107" t="s">
        <v>10877</v>
      </c>
      <c r="D48" s="3132" t="s">
        <v>10878</v>
      </c>
      <c r="E48" s="3133" t="s">
        <v>10879</v>
      </c>
      <c r="F48" s="3132" t="s">
        <v>10880</v>
      </c>
      <c r="G48" s="3134" t="s">
        <v>10881</v>
      </c>
      <c r="H48" s="3135" t="s">
        <v>10882</v>
      </c>
      <c r="I48" s="1"/>
      <c r="J48" s="3136"/>
      <c r="K48" s="9148"/>
      <c r="L48" s="9149"/>
      <c r="M48" s="1"/>
      <c r="N48" s="3111">
        <v>1</v>
      </c>
      <c r="O48" s="3112" t="s">
        <v>10883</v>
      </c>
      <c r="P48" s="3113" t="s">
        <v>10884</v>
      </c>
      <c r="Q48" s="3114" t="s">
        <v>10885</v>
      </c>
      <c r="R48" s="3115" t="s">
        <v>10886</v>
      </c>
      <c r="S48" s="3116" t="s">
        <v>10887</v>
      </c>
      <c r="T48" s="3115" t="s">
        <v>10888</v>
      </c>
      <c r="V48" s="3008">
        <v>5</v>
      </c>
      <c r="W48" s="2991" t="s">
        <v>2888</v>
      </c>
      <c r="X48" s="3004" t="s">
        <v>7788</v>
      </c>
      <c r="Y48" s="3004" t="s">
        <v>7789</v>
      </c>
      <c r="AA48" s="2991"/>
      <c r="AB48" s="2991" t="s">
        <v>7790</v>
      </c>
      <c r="AC48" s="3010" t="s">
        <v>7791</v>
      </c>
      <c r="AD48" s="3010" t="s">
        <v>7792</v>
      </c>
      <c r="AF48" s="2730">
        <v>1</v>
      </c>
    </row>
    <row r="49" spans="2:32" ht="30" customHeight="1">
      <c r="B49" s="3106">
        <f>B48+1</f>
        <v>2</v>
      </c>
      <c r="C49" s="3107" t="s">
        <v>10889</v>
      </c>
      <c r="D49" s="3132" t="s">
        <v>10890</v>
      </c>
      <c r="E49" s="3133" t="s">
        <v>10891</v>
      </c>
      <c r="F49" s="3132" t="s">
        <v>10892</v>
      </c>
      <c r="G49" s="3134" t="s">
        <v>10893</v>
      </c>
      <c r="H49" s="3135" t="s">
        <v>10894</v>
      </c>
      <c r="I49" s="1"/>
      <c r="J49" s="3110" t="s">
        <v>343</v>
      </c>
      <c r="K49" s="3119" t="s">
        <v>10895</v>
      </c>
      <c r="L49" s="3126" t="s">
        <v>9180</v>
      </c>
      <c r="M49" s="1"/>
      <c r="N49" s="3111">
        <f>N48+1</f>
        <v>2</v>
      </c>
      <c r="O49" s="3112" t="s">
        <v>10896</v>
      </c>
      <c r="P49" s="3113" t="s">
        <v>10897</v>
      </c>
      <c r="Q49" s="3114" t="s">
        <v>10898</v>
      </c>
      <c r="R49" s="3115" t="s">
        <v>10899</v>
      </c>
      <c r="S49" s="3116" t="s">
        <v>10900</v>
      </c>
      <c r="T49" s="3115" t="s">
        <v>10901</v>
      </c>
      <c r="V49" s="3008">
        <v>6</v>
      </c>
      <c r="W49" s="2991" t="s">
        <v>2791</v>
      </c>
      <c r="X49" s="3004" t="s">
        <v>7804</v>
      </c>
      <c r="Y49" s="3004" t="s">
        <v>7805</v>
      </c>
      <c r="AA49" s="3008">
        <v>9</v>
      </c>
      <c r="AB49" s="2991" t="s">
        <v>2913</v>
      </c>
      <c r="AC49" s="3010" t="s">
        <v>7806</v>
      </c>
      <c r="AD49" s="3010" t="s">
        <v>7807</v>
      </c>
      <c r="AF49" s="2730">
        <v>1</v>
      </c>
    </row>
    <row r="50" spans="2:32" ht="30" customHeight="1">
      <c r="B50" s="3106">
        <v>2</v>
      </c>
      <c r="C50" s="3107" t="s">
        <v>10902</v>
      </c>
      <c r="D50" s="3132" t="s">
        <v>10903</v>
      </c>
      <c r="E50" s="3133" t="s">
        <v>10904</v>
      </c>
      <c r="F50" s="3132" t="s">
        <v>10905</v>
      </c>
      <c r="G50" s="3134" t="s">
        <v>10906</v>
      </c>
      <c r="H50" s="3135" t="s">
        <v>10907</v>
      </c>
      <c r="I50" s="1"/>
      <c r="J50" s="3125"/>
      <c r="K50" s="3119"/>
      <c r="L50" s="3126" t="s">
        <v>2072</v>
      </c>
      <c r="M50" s="1"/>
      <c r="N50" s="3111">
        <f t="shared" ref="N50:N58" si="8">N49+1</f>
        <v>3</v>
      </c>
      <c r="O50" s="3112" t="s">
        <v>10908</v>
      </c>
      <c r="P50" s="3113" t="s">
        <v>10909</v>
      </c>
      <c r="Q50" s="3114" t="s">
        <v>10910</v>
      </c>
      <c r="R50" s="3115" t="s">
        <v>10911</v>
      </c>
      <c r="S50" s="3116" t="s">
        <v>10912</v>
      </c>
      <c r="T50" s="3115" t="s">
        <v>10913</v>
      </c>
      <c r="V50" s="3008">
        <v>7</v>
      </c>
      <c r="W50" s="2991" t="s">
        <v>2896</v>
      </c>
      <c r="X50" s="3004" t="s">
        <v>7820</v>
      </c>
      <c r="Y50" s="3004" t="s">
        <v>7821</v>
      </c>
      <c r="AA50" s="3008">
        <v>10</v>
      </c>
      <c r="AB50" s="2991" t="s">
        <v>7822</v>
      </c>
      <c r="AC50" s="3010" t="s">
        <v>7823</v>
      </c>
      <c r="AD50" s="3010" t="s">
        <v>7824</v>
      </c>
      <c r="AF50" s="2730">
        <v>1</v>
      </c>
    </row>
    <row r="51" spans="2:32" ht="30" customHeight="1">
      <c r="B51" s="3106"/>
      <c r="C51" s="3099" t="s">
        <v>583</v>
      </c>
      <c r="D51" s="3059"/>
      <c r="E51" s="3139"/>
      <c r="F51" s="3059"/>
      <c r="G51" s="3139"/>
      <c r="H51" s="3118"/>
      <c r="I51" s="1"/>
      <c r="J51" s="3136"/>
      <c r="K51" s="9148"/>
      <c r="L51" s="9149"/>
      <c r="M51" s="1"/>
      <c r="N51" s="3111">
        <f t="shared" si="8"/>
        <v>4</v>
      </c>
      <c r="O51" s="3112" t="s">
        <v>10914</v>
      </c>
      <c r="P51" s="3113" t="s">
        <v>10915</v>
      </c>
      <c r="Q51" s="3114" t="s">
        <v>10916</v>
      </c>
      <c r="R51" s="3115" t="s">
        <v>10917</v>
      </c>
      <c r="S51" s="3116" t="s">
        <v>10918</v>
      </c>
      <c r="T51" s="3115" t="s">
        <v>10919</v>
      </c>
      <c r="V51" s="3008">
        <v>8</v>
      </c>
      <c r="W51" s="2991" t="s">
        <v>7837</v>
      </c>
      <c r="X51" s="3004" t="s">
        <v>7838</v>
      </c>
      <c r="Y51" s="3004" t="s">
        <v>7839</v>
      </c>
      <c r="AA51" s="3008">
        <v>11</v>
      </c>
      <c r="AB51" s="2991" t="s">
        <v>7840</v>
      </c>
      <c r="AC51" s="3010" t="s">
        <v>7841</v>
      </c>
      <c r="AD51" s="3010" t="s">
        <v>7842</v>
      </c>
      <c r="AF51" s="2730">
        <v>1</v>
      </c>
    </row>
    <row r="52" spans="2:32" ht="30" customHeight="1">
      <c r="B52" s="3106">
        <v>1</v>
      </c>
      <c r="C52" s="3107" t="s">
        <v>10920</v>
      </c>
      <c r="D52" s="3132" t="s">
        <v>10921</v>
      </c>
      <c r="E52" s="3133" t="s">
        <v>10922</v>
      </c>
      <c r="F52" s="3132" t="s">
        <v>10923</v>
      </c>
      <c r="G52" s="3134" t="s">
        <v>10924</v>
      </c>
      <c r="H52" s="3135" t="s">
        <v>10925</v>
      </c>
      <c r="I52" s="1"/>
      <c r="J52" s="3110" t="s">
        <v>515</v>
      </c>
      <c r="K52" s="3119" t="s">
        <v>9284</v>
      </c>
      <c r="L52" s="3126" t="s">
        <v>2257</v>
      </c>
      <c r="M52" s="1"/>
      <c r="N52" s="3111">
        <f t="shared" si="8"/>
        <v>5</v>
      </c>
      <c r="O52" s="3112" t="s">
        <v>10926</v>
      </c>
      <c r="P52" s="3113" t="s">
        <v>10927</v>
      </c>
      <c r="Q52" s="3114" t="s">
        <v>10928</v>
      </c>
      <c r="R52" s="3115" t="s">
        <v>10929</v>
      </c>
      <c r="S52" s="3116" t="s">
        <v>10930</v>
      </c>
      <c r="T52" s="3115" t="s">
        <v>10931</v>
      </c>
      <c r="V52" s="3008">
        <v>9</v>
      </c>
      <c r="W52" s="2991" t="s">
        <v>7855</v>
      </c>
      <c r="X52" s="3004" t="s">
        <v>7856</v>
      </c>
      <c r="Y52" s="3004" t="s">
        <v>7857</v>
      </c>
      <c r="AA52" s="3008">
        <v>12</v>
      </c>
      <c r="AB52" s="2991" t="s">
        <v>2916</v>
      </c>
      <c r="AC52" s="2893" t="s">
        <v>7858</v>
      </c>
      <c r="AD52" s="2893" t="s">
        <v>7859</v>
      </c>
      <c r="AF52" s="2730">
        <v>1</v>
      </c>
    </row>
    <row r="53" spans="2:32" ht="30" customHeight="1">
      <c r="B53" s="3106"/>
      <c r="C53" s="3099" t="s">
        <v>620</v>
      </c>
      <c r="D53" s="3059"/>
      <c r="E53" s="3139"/>
      <c r="F53" s="3059"/>
      <c r="G53" s="3139"/>
      <c r="H53" s="3118"/>
      <c r="I53" s="1"/>
      <c r="J53" s="3125"/>
      <c r="K53" s="3119" t="s">
        <v>10932</v>
      </c>
      <c r="L53" s="3148"/>
      <c r="M53" s="1"/>
      <c r="N53" s="3111">
        <f t="shared" si="8"/>
        <v>6</v>
      </c>
      <c r="O53" s="3112" t="s">
        <v>10933</v>
      </c>
      <c r="P53" s="3113" t="s">
        <v>10934</v>
      </c>
      <c r="Q53" s="3114" t="s">
        <v>10935</v>
      </c>
      <c r="R53" s="3115" t="s">
        <v>10936</v>
      </c>
      <c r="S53" s="3116" t="s">
        <v>10937</v>
      </c>
      <c r="T53" s="3115" t="s">
        <v>10938</v>
      </c>
      <c r="V53" s="3008">
        <v>10</v>
      </c>
      <c r="W53" s="2991" t="s">
        <v>2902</v>
      </c>
      <c r="X53" s="3004" t="s">
        <v>7869</v>
      </c>
      <c r="Y53" s="3004" t="s">
        <v>7870</v>
      </c>
      <c r="AA53" s="2991"/>
      <c r="AB53" s="2267"/>
      <c r="AC53" s="2893"/>
      <c r="AD53" s="2893"/>
      <c r="AF53" s="2730">
        <v>1</v>
      </c>
    </row>
    <row r="54" spans="2:32" ht="30" customHeight="1">
      <c r="B54" s="3106">
        <v>1</v>
      </c>
      <c r="C54" s="3107" t="s">
        <v>10939</v>
      </c>
      <c r="D54" s="3132" t="s">
        <v>10940</v>
      </c>
      <c r="E54" s="3133" t="s">
        <v>10941</v>
      </c>
      <c r="F54" s="3132" t="s">
        <v>10942</v>
      </c>
      <c r="G54" s="3134" t="s">
        <v>10943</v>
      </c>
      <c r="H54" s="3135" t="s">
        <v>10944</v>
      </c>
      <c r="I54" s="1"/>
      <c r="J54" s="3136"/>
      <c r="K54" s="9148"/>
      <c r="L54" s="9149"/>
      <c r="M54" s="1"/>
      <c r="N54" s="3111">
        <f t="shared" si="8"/>
        <v>7</v>
      </c>
      <c r="O54" s="3112" t="s">
        <v>2820</v>
      </c>
      <c r="P54" s="3113" t="s">
        <v>10945</v>
      </c>
      <c r="Q54" s="3114" t="s">
        <v>10946</v>
      </c>
      <c r="R54" s="3115" t="s">
        <v>10947</v>
      </c>
      <c r="S54" s="3116" t="s">
        <v>10948</v>
      </c>
      <c r="T54" s="3115" t="s">
        <v>10949</v>
      </c>
      <c r="V54" s="3008"/>
      <c r="AA54" s="3127" t="s">
        <v>87</v>
      </c>
      <c r="AB54" s="3029" t="s">
        <v>2918</v>
      </c>
      <c r="AC54" s="3029" t="s">
        <v>7882</v>
      </c>
      <c r="AD54" s="3029" t="s">
        <v>7883</v>
      </c>
      <c r="AF54" s="2730">
        <v>1</v>
      </c>
    </row>
    <row r="55" spans="2:32" ht="30" customHeight="1">
      <c r="B55" s="3106">
        <f>B54+1</f>
        <v>2</v>
      </c>
      <c r="C55" s="3107" t="s">
        <v>10950</v>
      </c>
      <c r="D55" s="3132" t="s">
        <v>10951</v>
      </c>
      <c r="E55" s="3133" t="s">
        <v>10952</v>
      </c>
      <c r="F55" s="3132" t="s">
        <v>10953</v>
      </c>
      <c r="G55" s="3134" t="s">
        <v>10954</v>
      </c>
      <c r="H55" s="3135" t="s">
        <v>10955</v>
      </c>
      <c r="I55" s="1"/>
      <c r="J55" s="3110" t="s">
        <v>346</v>
      </c>
      <c r="K55" s="3119" t="s">
        <v>9385</v>
      </c>
      <c r="L55" s="3149"/>
      <c r="M55" s="1"/>
      <c r="N55" s="3111">
        <f t="shared" si="8"/>
        <v>8</v>
      </c>
      <c r="O55" s="3112" t="s">
        <v>10956</v>
      </c>
      <c r="P55" s="3113" t="s">
        <v>10957</v>
      </c>
      <c r="Q55" s="3114" t="s">
        <v>10958</v>
      </c>
      <c r="R55" s="3115" t="s">
        <v>10959</v>
      </c>
      <c r="S55" s="3116" t="s">
        <v>10960</v>
      </c>
      <c r="T55" s="3115" t="s">
        <v>10961</v>
      </c>
      <c r="V55" s="3008"/>
      <c r="W55" s="3029" t="s">
        <v>7892</v>
      </c>
      <c r="X55" s="3029" t="s">
        <v>7339</v>
      </c>
      <c r="Y55" s="3029" t="s">
        <v>7340</v>
      </c>
      <c r="AA55" s="3008">
        <v>1</v>
      </c>
      <c r="AB55" s="2991" t="s">
        <v>7893</v>
      </c>
      <c r="AC55" s="3010" t="s">
        <v>7894</v>
      </c>
      <c r="AD55" s="3010" t="s">
        <v>7895</v>
      </c>
      <c r="AF55" s="2730">
        <v>1</v>
      </c>
    </row>
    <row r="56" spans="2:32" ht="30" customHeight="1">
      <c r="B56" s="3106">
        <v>2</v>
      </c>
      <c r="C56" s="3107" t="s">
        <v>10962</v>
      </c>
      <c r="D56" s="3132" t="s">
        <v>10963</v>
      </c>
      <c r="E56" s="3133" t="s">
        <v>10964</v>
      </c>
      <c r="F56" s="3132" t="s">
        <v>10965</v>
      </c>
      <c r="G56" s="3134" t="s">
        <v>10966</v>
      </c>
      <c r="H56" s="3135" t="s">
        <v>10967</v>
      </c>
      <c r="I56" s="1"/>
      <c r="J56" s="3110"/>
      <c r="K56" s="3119"/>
      <c r="L56" s="3126" t="s">
        <v>2167</v>
      </c>
      <c r="M56" s="1"/>
      <c r="N56" s="3111">
        <f t="shared" si="8"/>
        <v>9</v>
      </c>
      <c r="O56" s="3112" t="s">
        <v>10968</v>
      </c>
      <c r="P56" s="3113" t="s">
        <v>10969</v>
      </c>
      <c r="Q56" s="3114" t="s">
        <v>10970</v>
      </c>
      <c r="R56" s="3115" t="s">
        <v>10971</v>
      </c>
      <c r="S56" s="3116" t="s">
        <v>10972</v>
      </c>
      <c r="T56" s="3115" t="s">
        <v>10973</v>
      </c>
      <c r="V56" s="3008">
        <v>1</v>
      </c>
      <c r="W56" s="2991" t="s">
        <v>2910</v>
      </c>
      <c r="X56" s="3004" t="s">
        <v>7908</v>
      </c>
      <c r="Y56" s="3004" t="s">
        <v>7909</v>
      </c>
      <c r="AA56" s="3008">
        <v>2</v>
      </c>
      <c r="AB56" s="2991" t="s">
        <v>7910</v>
      </c>
      <c r="AC56" s="3010" t="s">
        <v>7911</v>
      </c>
      <c r="AD56" s="3010" t="s">
        <v>7912</v>
      </c>
      <c r="AF56" s="2730">
        <v>1</v>
      </c>
    </row>
    <row r="57" spans="2:32" ht="30" customHeight="1">
      <c r="B57" s="3106">
        <f t="shared" ref="B57" si="9">B56+1</f>
        <v>3</v>
      </c>
      <c r="C57" s="3107" t="s">
        <v>10974</v>
      </c>
      <c r="D57" s="3132" t="s">
        <v>10975</v>
      </c>
      <c r="E57" s="3133" t="s">
        <v>10976</v>
      </c>
      <c r="F57" s="3132" t="s">
        <v>10977</v>
      </c>
      <c r="G57" s="3134" t="s">
        <v>10978</v>
      </c>
      <c r="H57" s="3135" t="s">
        <v>10979</v>
      </c>
      <c r="I57" s="1"/>
      <c r="J57" s="3136"/>
      <c r="K57" s="9148"/>
      <c r="L57" s="9149"/>
      <c r="M57" s="1"/>
      <c r="N57" s="3111">
        <f t="shared" si="8"/>
        <v>10</v>
      </c>
      <c r="O57" s="3112" t="s">
        <v>10980</v>
      </c>
      <c r="P57" s="3113" t="s">
        <v>10981</v>
      </c>
      <c r="Q57" s="3114" t="s">
        <v>10982</v>
      </c>
      <c r="R57" s="3115" t="s">
        <v>10983</v>
      </c>
      <c r="S57" s="3116" t="s">
        <v>10984</v>
      </c>
      <c r="T57" s="3115" t="s">
        <v>10985</v>
      </c>
      <c r="V57" s="3008">
        <v>2</v>
      </c>
      <c r="W57" s="2991" t="s">
        <v>7922</v>
      </c>
      <c r="X57" s="3004" t="s">
        <v>7923</v>
      </c>
      <c r="Y57" s="3004" t="s">
        <v>7924</v>
      </c>
      <c r="AA57" s="3008">
        <v>3</v>
      </c>
      <c r="AB57" s="2991" t="s">
        <v>7925</v>
      </c>
      <c r="AC57" s="3010" t="s">
        <v>7926</v>
      </c>
      <c r="AD57" s="3010" t="s">
        <v>7927</v>
      </c>
      <c r="AF57" s="2730">
        <v>1</v>
      </c>
    </row>
    <row r="58" spans="2:32" ht="30" customHeight="1">
      <c r="B58" s="3106">
        <v>3</v>
      </c>
      <c r="C58" s="3107" t="s">
        <v>10986</v>
      </c>
      <c r="D58" s="3132" t="s">
        <v>10987</v>
      </c>
      <c r="E58" s="3133" t="s">
        <v>10988</v>
      </c>
      <c r="F58" s="3132" t="s">
        <v>10989</v>
      </c>
      <c r="G58" s="3134" t="s">
        <v>10990</v>
      </c>
      <c r="H58" s="3135" t="s">
        <v>10991</v>
      </c>
      <c r="I58" s="1"/>
      <c r="J58" s="3110" t="s">
        <v>34</v>
      </c>
      <c r="K58" s="3119" t="s">
        <v>9407</v>
      </c>
      <c r="L58" s="3126" t="s">
        <v>2198</v>
      </c>
      <c r="M58" s="1"/>
      <c r="N58" s="3111">
        <f t="shared" si="8"/>
        <v>11</v>
      </c>
      <c r="O58" s="3112" t="s">
        <v>10992</v>
      </c>
      <c r="P58" s="3113" t="s">
        <v>10993</v>
      </c>
      <c r="Q58" s="3114" t="s">
        <v>10994</v>
      </c>
      <c r="R58" s="3115" t="s">
        <v>10995</v>
      </c>
      <c r="S58" s="3116" t="s">
        <v>10996</v>
      </c>
      <c r="T58" s="3115" t="s">
        <v>10997</v>
      </c>
      <c r="V58" s="3008">
        <v>3</v>
      </c>
      <c r="W58" s="2991" t="s">
        <v>2893</v>
      </c>
      <c r="X58" s="3004" t="s">
        <v>7936</v>
      </c>
      <c r="Y58" s="3004" t="s">
        <v>7909</v>
      </c>
      <c r="AA58" s="3008">
        <v>4</v>
      </c>
      <c r="AB58" s="2991" t="s">
        <v>2921</v>
      </c>
      <c r="AC58" s="3010" t="s">
        <v>7937</v>
      </c>
      <c r="AD58" s="3010" t="s">
        <v>7938</v>
      </c>
      <c r="AF58" s="2730">
        <v>1</v>
      </c>
    </row>
    <row r="59" spans="2:32" ht="30" customHeight="1">
      <c r="B59" s="3106">
        <f t="shared" ref="B59" si="10">B58+1</f>
        <v>4</v>
      </c>
      <c r="C59" s="3107" t="s">
        <v>10998</v>
      </c>
      <c r="D59" s="3132" t="s">
        <v>10999</v>
      </c>
      <c r="E59" s="3133" t="s">
        <v>11000</v>
      </c>
      <c r="F59" s="3132" t="s">
        <v>11001</v>
      </c>
      <c r="G59" s="3134" t="s">
        <v>11002</v>
      </c>
      <c r="H59" s="3135" t="s">
        <v>11003</v>
      </c>
      <c r="I59" s="1"/>
      <c r="J59" s="3136"/>
      <c r="K59" s="9148"/>
      <c r="L59" s="9149"/>
      <c r="M59" s="1"/>
      <c r="N59" s="3111"/>
      <c r="O59" s="3104" t="s">
        <v>338</v>
      </c>
      <c r="P59" s="3000"/>
      <c r="Q59" s="3144"/>
      <c r="R59" s="3145"/>
      <c r="S59" s="3146"/>
      <c r="T59" s="3147"/>
      <c r="V59" s="3008"/>
      <c r="AA59" s="3008">
        <v>5</v>
      </c>
      <c r="AB59" s="2991" t="s">
        <v>7950</v>
      </c>
      <c r="AC59" s="3010" t="s">
        <v>7951</v>
      </c>
      <c r="AD59" s="3010" t="s">
        <v>7952</v>
      </c>
      <c r="AF59" s="2730">
        <v>1</v>
      </c>
    </row>
    <row r="60" spans="2:32" ht="30" customHeight="1">
      <c r="B60" s="3106">
        <v>4</v>
      </c>
      <c r="C60" s="3107" t="s">
        <v>11004</v>
      </c>
      <c r="D60" s="3132" t="s">
        <v>11005</v>
      </c>
      <c r="E60" s="3133" t="s">
        <v>11006</v>
      </c>
      <c r="F60" s="3132" t="s">
        <v>11007</v>
      </c>
      <c r="G60" s="3134" t="s">
        <v>11008</v>
      </c>
      <c r="H60" s="3135" t="s">
        <v>11009</v>
      </c>
      <c r="I60" s="1"/>
      <c r="J60" s="3110" t="s">
        <v>537</v>
      </c>
      <c r="K60" s="3119" t="s">
        <v>2073</v>
      </c>
      <c r="L60" s="3120"/>
      <c r="M60" s="1"/>
      <c r="N60" s="3111">
        <v>1</v>
      </c>
      <c r="O60" s="3112" t="s">
        <v>2859</v>
      </c>
      <c r="P60" s="3113" t="s">
        <v>11010</v>
      </c>
      <c r="Q60" s="3114" t="s">
        <v>11011</v>
      </c>
      <c r="R60" s="3115" t="s">
        <v>11012</v>
      </c>
      <c r="S60" s="3116" t="s">
        <v>11013</v>
      </c>
      <c r="T60" s="3115" t="s">
        <v>11014</v>
      </c>
      <c r="V60" s="3008"/>
      <c r="W60" s="3029" t="s">
        <v>7959</v>
      </c>
      <c r="X60" s="3029" t="s">
        <v>7960</v>
      </c>
      <c r="Y60" s="3029" t="s">
        <v>7961</v>
      </c>
      <c r="AA60" s="2991"/>
      <c r="AB60" s="2829"/>
      <c r="AC60" s="3047"/>
      <c r="AD60" s="3047"/>
      <c r="AF60" s="2730">
        <v>1</v>
      </c>
    </row>
    <row r="61" spans="2:32" ht="30" customHeight="1">
      <c r="B61" s="3106">
        <f t="shared" ref="B61" si="11">B60+1</f>
        <v>5</v>
      </c>
      <c r="C61" s="3107" t="s">
        <v>11015</v>
      </c>
      <c r="D61" s="3132" t="s">
        <v>11016</v>
      </c>
      <c r="E61" s="3133" t="s">
        <v>11017</v>
      </c>
      <c r="F61" s="3132" t="s">
        <v>11018</v>
      </c>
      <c r="G61" s="3134" t="s">
        <v>11019</v>
      </c>
      <c r="H61" s="3135" t="s">
        <v>11020</v>
      </c>
      <c r="I61" s="1"/>
      <c r="J61" s="3125"/>
      <c r="K61" s="3119" t="s">
        <v>9493</v>
      </c>
      <c r="L61" s="3126" t="s">
        <v>2140</v>
      </c>
      <c r="M61" s="1"/>
      <c r="N61" s="3111">
        <f>N60+1</f>
        <v>2</v>
      </c>
      <c r="O61" s="3112" t="s">
        <v>2823</v>
      </c>
      <c r="P61" s="3113" t="s">
        <v>11021</v>
      </c>
      <c r="Q61" s="3114" t="s">
        <v>11022</v>
      </c>
      <c r="R61" s="3115" t="s">
        <v>11023</v>
      </c>
      <c r="S61" s="3116" t="s">
        <v>11024</v>
      </c>
      <c r="T61" s="3115" t="s">
        <v>11025</v>
      </c>
      <c r="V61" s="3008">
        <v>1</v>
      </c>
      <c r="W61" s="2991" t="s">
        <v>2944</v>
      </c>
      <c r="X61" s="3004" t="s">
        <v>7974</v>
      </c>
      <c r="Y61" s="3004" t="s">
        <v>7975</v>
      </c>
      <c r="AA61" s="3127" t="s">
        <v>6</v>
      </c>
      <c r="AB61" s="3029" t="s">
        <v>2275</v>
      </c>
      <c r="AC61" s="3029" t="s">
        <v>7976</v>
      </c>
      <c r="AD61" s="3029" t="s">
        <v>7977</v>
      </c>
      <c r="AF61" s="2730">
        <v>1</v>
      </c>
    </row>
    <row r="62" spans="2:32" ht="30" customHeight="1">
      <c r="B62" s="3106"/>
      <c r="C62" s="3099" t="s">
        <v>516</v>
      </c>
      <c r="D62" s="3059"/>
      <c r="E62" s="3139"/>
      <c r="F62" s="3059"/>
      <c r="G62" s="3139"/>
      <c r="H62" s="3118"/>
      <c r="I62" s="1"/>
      <c r="J62" s="3125"/>
      <c r="K62" s="3119" t="s">
        <v>11026</v>
      </c>
      <c r="L62" s="3126" t="s">
        <v>2164</v>
      </c>
      <c r="M62" s="1"/>
      <c r="N62" s="3111">
        <f t="shared" ref="N62:N76" si="12">N61+1</f>
        <v>3</v>
      </c>
      <c r="O62" s="3112" t="s">
        <v>2825</v>
      </c>
      <c r="P62" s="3113" t="s">
        <v>11027</v>
      </c>
      <c r="Q62" s="3114" t="s">
        <v>11028</v>
      </c>
      <c r="R62" s="3115" t="s">
        <v>11029</v>
      </c>
      <c r="S62" s="3116" t="s">
        <v>11030</v>
      </c>
      <c r="T62" s="3115" t="s">
        <v>11031</v>
      </c>
      <c r="V62" s="3008">
        <v>2</v>
      </c>
      <c r="W62" s="2991" t="s">
        <v>2945</v>
      </c>
      <c r="X62" s="3004" t="s">
        <v>7989</v>
      </c>
      <c r="Y62" s="3004" t="s">
        <v>7990</v>
      </c>
      <c r="AA62" s="3008">
        <v>1</v>
      </c>
      <c r="AB62" s="2991" t="s">
        <v>7991</v>
      </c>
      <c r="AC62" s="3010" t="s">
        <v>7992</v>
      </c>
      <c r="AD62" s="3010" t="s">
        <v>7993</v>
      </c>
      <c r="AF62" s="2730">
        <v>1</v>
      </c>
    </row>
    <row r="63" spans="2:32" ht="30" customHeight="1">
      <c r="B63" s="3106">
        <v>1</v>
      </c>
      <c r="C63" s="3107" t="s">
        <v>11032</v>
      </c>
      <c r="D63" s="3132" t="s">
        <v>11033</v>
      </c>
      <c r="E63" s="3133" t="s">
        <v>11034</v>
      </c>
      <c r="F63" s="3132" t="s">
        <v>11035</v>
      </c>
      <c r="G63" s="3134" t="s">
        <v>11036</v>
      </c>
      <c r="H63" s="3135" t="s">
        <v>11037</v>
      </c>
      <c r="I63" s="1"/>
      <c r="J63" s="3125"/>
      <c r="K63" s="3119" t="s">
        <v>9562</v>
      </c>
      <c r="L63" s="3126" t="s">
        <v>11038</v>
      </c>
      <c r="M63" s="1"/>
      <c r="N63" s="3111">
        <f t="shared" si="12"/>
        <v>4</v>
      </c>
      <c r="O63" s="3112" t="s">
        <v>2826</v>
      </c>
      <c r="P63" s="3113" t="s">
        <v>11039</v>
      </c>
      <c r="Q63" s="3114" t="s">
        <v>11040</v>
      </c>
      <c r="R63" s="3115" t="s">
        <v>11041</v>
      </c>
      <c r="S63" s="3116" t="s">
        <v>11042</v>
      </c>
      <c r="T63" s="3115" t="s">
        <v>11043</v>
      </c>
      <c r="V63" s="3008">
        <v>3</v>
      </c>
      <c r="W63" s="2991" t="s">
        <v>8005</v>
      </c>
      <c r="X63" s="3004" t="s">
        <v>8006</v>
      </c>
      <c r="Y63" s="3004" t="s">
        <v>8007</v>
      </c>
      <c r="AA63" s="3008">
        <v>2</v>
      </c>
      <c r="AB63" s="2991" t="s">
        <v>8008</v>
      </c>
      <c r="AC63" s="3010" t="s">
        <v>8009</v>
      </c>
      <c r="AD63" s="3010" t="s">
        <v>8010</v>
      </c>
      <c r="AF63" s="2730">
        <v>1</v>
      </c>
    </row>
    <row r="64" spans="2:32" ht="30" customHeight="1">
      <c r="B64" s="3106">
        <f>B63+1</f>
        <v>2</v>
      </c>
      <c r="C64" s="3107" t="s">
        <v>11044</v>
      </c>
      <c r="D64" s="3132" t="s">
        <v>11045</v>
      </c>
      <c r="E64" s="3133" t="s">
        <v>11046</v>
      </c>
      <c r="F64" s="3132" t="s">
        <v>11047</v>
      </c>
      <c r="G64" s="3134" t="s">
        <v>11048</v>
      </c>
      <c r="H64" s="3135" t="s">
        <v>11049</v>
      </c>
      <c r="I64" s="1"/>
      <c r="J64" s="3125"/>
      <c r="K64" s="3119" t="s">
        <v>9568</v>
      </c>
      <c r="L64" s="3126" t="s">
        <v>10486</v>
      </c>
      <c r="M64" s="1"/>
      <c r="N64" s="3111">
        <f t="shared" si="12"/>
        <v>5</v>
      </c>
      <c r="O64" s="3112" t="s">
        <v>2828</v>
      </c>
      <c r="P64" s="3113" t="s">
        <v>11050</v>
      </c>
      <c r="Q64" s="3114" t="s">
        <v>11051</v>
      </c>
      <c r="R64" s="3115" t="s">
        <v>11052</v>
      </c>
      <c r="S64" s="3116" t="s">
        <v>11053</v>
      </c>
      <c r="T64" s="3115" t="s">
        <v>11054</v>
      </c>
      <c r="V64" s="3008">
        <v>4</v>
      </c>
      <c r="W64" s="2991" t="s">
        <v>2946</v>
      </c>
      <c r="X64" s="3004" t="s">
        <v>8022</v>
      </c>
      <c r="Y64" s="3004" t="s">
        <v>8023</v>
      </c>
      <c r="AA64" s="3008">
        <v>3</v>
      </c>
      <c r="AB64" s="2991" t="s">
        <v>2925</v>
      </c>
      <c r="AC64" s="3010" t="s">
        <v>8024</v>
      </c>
      <c r="AD64" s="3010" t="s">
        <v>8025</v>
      </c>
      <c r="AF64" s="2730">
        <v>1</v>
      </c>
    </row>
    <row r="65" spans="2:32" ht="30" customHeight="1">
      <c r="B65" s="3106">
        <f t="shared" ref="B65:B67" si="13">B64+1</f>
        <v>3</v>
      </c>
      <c r="C65" s="3107" t="s">
        <v>11055</v>
      </c>
      <c r="D65" s="3132" t="s">
        <v>11056</v>
      </c>
      <c r="E65" s="3133" t="s">
        <v>11057</v>
      </c>
      <c r="F65" s="3132" t="s">
        <v>11058</v>
      </c>
      <c r="G65" s="3134" t="s">
        <v>11059</v>
      </c>
      <c r="H65" s="3135" t="s">
        <v>11060</v>
      </c>
      <c r="I65" s="1"/>
      <c r="J65" s="3125"/>
      <c r="K65" s="3119" t="s">
        <v>9574</v>
      </c>
      <c r="L65" s="3126" t="s">
        <v>11061</v>
      </c>
      <c r="M65" s="1"/>
      <c r="N65" s="3111">
        <f t="shared" si="12"/>
        <v>6</v>
      </c>
      <c r="O65" s="3112" t="s">
        <v>2226</v>
      </c>
      <c r="P65" s="3113" t="s">
        <v>2226</v>
      </c>
      <c r="Q65" s="3114" t="s">
        <v>11062</v>
      </c>
      <c r="R65" s="3115" t="s">
        <v>11063</v>
      </c>
      <c r="S65" s="3116" t="s">
        <v>11064</v>
      </c>
      <c r="T65" s="3115" t="s">
        <v>11065</v>
      </c>
      <c r="V65" s="3008">
        <v>5</v>
      </c>
      <c r="W65" s="2991" t="s">
        <v>8037</v>
      </c>
      <c r="X65" s="3004" t="s">
        <v>8038</v>
      </c>
      <c r="Y65" s="3004" t="s">
        <v>8039</v>
      </c>
      <c r="AA65" s="9122">
        <v>4</v>
      </c>
      <c r="AB65" s="9123" t="s">
        <v>8040</v>
      </c>
      <c r="AC65" s="9125" t="s">
        <v>8041</v>
      </c>
      <c r="AD65" s="9125" t="s">
        <v>8042</v>
      </c>
      <c r="AF65" s="2730">
        <v>1</v>
      </c>
    </row>
    <row r="66" spans="2:32" ht="30" customHeight="1">
      <c r="B66" s="3106">
        <f t="shared" si="13"/>
        <v>4</v>
      </c>
      <c r="C66" s="3107" t="s">
        <v>11066</v>
      </c>
      <c r="D66" s="3132" t="s">
        <v>11067</v>
      </c>
      <c r="E66" s="3133" t="s">
        <v>11068</v>
      </c>
      <c r="F66" s="3132" t="s">
        <v>11069</v>
      </c>
      <c r="G66" s="3134" t="s">
        <v>11070</v>
      </c>
      <c r="H66" s="3135" t="s">
        <v>11071</v>
      </c>
      <c r="I66" s="1"/>
      <c r="J66" s="3110"/>
      <c r="K66" s="3150"/>
      <c r="L66" s="3126" t="s">
        <v>2187</v>
      </c>
      <c r="M66" s="1"/>
      <c r="N66" s="3111">
        <f t="shared" si="12"/>
        <v>7</v>
      </c>
      <c r="O66" s="3112" t="s">
        <v>2830</v>
      </c>
      <c r="P66" s="3113" t="s">
        <v>11072</v>
      </c>
      <c r="Q66" s="3114" t="s">
        <v>11073</v>
      </c>
      <c r="R66" s="3115" t="s">
        <v>11074</v>
      </c>
      <c r="S66" s="3116" t="s">
        <v>11075</v>
      </c>
      <c r="T66" s="3115" t="s">
        <v>11076</v>
      </c>
      <c r="V66" s="3008">
        <v>6</v>
      </c>
      <c r="W66" s="2991" t="s">
        <v>2947</v>
      </c>
      <c r="X66" s="3004" t="s">
        <v>8052</v>
      </c>
      <c r="Y66" s="3004" t="s">
        <v>8053</v>
      </c>
      <c r="AA66" s="9122"/>
      <c r="AB66" s="9123"/>
      <c r="AC66" s="9125"/>
      <c r="AD66" s="9125"/>
      <c r="AF66" s="2730">
        <v>1</v>
      </c>
    </row>
    <row r="67" spans="2:32" ht="30" customHeight="1">
      <c r="B67" s="3106">
        <f t="shared" si="13"/>
        <v>5</v>
      </c>
      <c r="C67" s="3107" t="s">
        <v>11077</v>
      </c>
      <c r="D67" s="3132" t="s">
        <v>11078</v>
      </c>
      <c r="E67" s="3133" t="s">
        <v>11079</v>
      </c>
      <c r="F67" s="3132" t="s">
        <v>11080</v>
      </c>
      <c r="G67" s="3134" t="s">
        <v>11081</v>
      </c>
      <c r="H67" s="3135" t="s">
        <v>11082</v>
      </c>
      <c r="I67" s="1"/>
      <c r="J67" s="3136"/>
      <c r="K67" s="9148"/>
      <c r="L67" s="9149"/>
      <c r="M67" s="1"/>
      <c r="N67" s="3111">
        <f t="shared" si="12"/>
        <v>8</v>
      </c>
      <c r="O67" s="3112" t="s">
        <v>2832</v>
      </c>
      <c r="P67" s="3113" t="s">
        <v>11083</v>
      </c>
      <c r="Q67" s="3114" t="s">
        <v>11084</v>
      </c>
      <c r="R67" s="3115" t="s">
        <v>11085</v>
      </c>
      <c r="S67" s="3116" t="s">
        <v>11086</v>
      </c>
      <c r="T67" s="3115" t="s">
        <v>11087</v>
      </c>
      <c r="V67" s="3008">
        <v>7</v>
      </c>
      <c r="W67" s="2991" t="s">
        <v>8066</v>
      </c>
      <c r="X67" s="3004" t="s">
        <v>8022</v>
      </c>
      <c r="Y67" s="3004" t="s">
        <v>8023</v>
      </c>
      <c r="AA67" s="3127" t="s">
        <v>89</v>
      </c>
      <c r="AB67" s="3029" t="s">
        <v>2930</v>
      </c>
      <c r="AC67" s="3029" t="s">
        <v>8067</v>
      </c>
      <c r="AD67" s="3029" t="s">
        <v>8068</v>
      </c>
      <c r="AF67" s="2730">
        <v>1</v>
      </c>
    </row>
    <row r="68" spans="2:32" ht="30" customHeight="1">
      <c r="B68" s="3106"/>
      <c r="C68" s="3099" t="s">
        <v>353</v>
      </c>
      <c r="D68" s="3006"/>
      <c r="E68" s="3139"/>
      <c r="F68" s="3006"/>
      <c r="G68" s="3139"/>
      <c r="H68" s="3118"/>
      <c r="I68" s="1"/>
      <c r="J68" s="3110" t="s">
        <v>583</v>
      </c>
      <c r="K68" s="3119" t="s">
        <v>11088</v>
      </c>
      <c r="L68" s="3126" t="s">
        <v>10486</v>
      </c>
      <c r="M68" s="1"/>
      <c r="N68" s="3111">
        <f t="shared" si="12"/>
        <v>9</v>
      </c>
      <c r="O68" s="3112" t="s">
        <v>2834</v>
      </c>
      <c r="P68" s="3113" t="s">
        <v>11089</v>
      </c>
      <c r="Q68" s="3114" t="s">
        <v>11090</v>
      </c>
      <c r="R68" s="3115" t="s">
        <v>11091</v>
      </c>
      <c r="S68" s="3116" t="s">
        <v>11092</v>
      </c>
      <c r="T68" s="3115" t="s">
        <v>11093</v>
      </c>
      <c r="V68" s="3008">
        <v>8</v>
      </c>
      <c r="W68" s="2991" t="s">
        <v>8081</v>
      </c>
      <c r="X68" s="3004" t="s">
        <v>8082</v>
      </c>
      <c r="Y68" s="3004" t="s">
        <v>8083</v>
      </c>
      <c r="AA68" s="3008">
        <v>1</v>
      </c>
      <c r="AB68" s="2991" t="s">
        <v>2932</v>
      </c>
      <c r="AC68" s="3010" t="s">
        <v>8084</v>
      </c>
      <c r="AD68" s="3010" t="s">
        <v>8085</v>
      </c>
      <c r="AF68" s="2730">
        <v>1</v>
      </c>
    </row>
    <row r="69" spans="2:32" ht="30" customHeight="1">
      <c r="B69" s="3106">
        <v>1</v>
      </c>
      <c r="C69" s="3107" t="s">
        <v>11094</v>
      </c>
      <c r="D69" s="3132" t="s">
        <v>11095</v>
      </c>
      <c r="E69" s="3133" t="s">
        <v>11096</v>
      </c>
      <c r="F69" s="3132" t="s">
        <v>11097</v>
      </c>
      <c r="G69" s="3134" t="s">
        <v>11098</v>
      </c>
      <c r="H69" s="3135" t="s">
        <v>11099</v>
      </c>
      <c r="I69" s="1"/>
      <c r="J69" s="3136"/>
      <c r="K69" s="9148"/>
      <c r="L69" s="9149"/>
      <c r="M69" s="1"/>
      <c r="N69" s="3111">
        <f t="shared" si="12"/>
        <v>10</v>
      </c>
      <c r="O69" s="3112" t="s">
        <v>2837</v>
      </c>
      <c r="P69" s="3113" t="s">
        <v>11100</v>
      </c>
      <c r="Q69" s="3114" t="s">
        <v>11101</v>
      </c>
      <c r="R69" s="3115" t="s">
        <v>11102</v>
      </c>
      <c r="S69" s="3116" t="s">
        <v>11103</v>
      </c>
      <c r="T69" s="3115" t="s">
        <v>11104</v>
      </c>
      <c r="V69" s="3008">
        <v>9</v>
      </c>
      <c r="W69" s="2991" t="s">
        <v>2948</v>
      </c>
      <c r="X69" s="3004" t="s">
        <v>8098</v>
      </c>
      <c r="Y69" s="3004" t="s">
        <v>8099</v>
      </c>
      <c r="AA69" s="3012"/>
      <c r="AB69" s="2829"/>
      <c r="AC69" s="3047"/>
      <c r="AD69" s="3047"/>
      <c r="AF69" s="2730">
        <v>1</v>
      </c>
    </row>
    <row r="70" spans="2:32" ht="30" customHeight="1">
      <c r="B70" s="3106">
        <f>B69+1</f>
        <v>2</v>
      </c>
      <c r="C70" s="3107" t="s">
        <v>11105</v>
      </c>
      <c r="D70" s="3132" t="s">
        <v>11106</v>
      </c>
      <c r="E70" s="3133" t="s">
        <v>11107</v>
      </c>
      <c r="F70" s="3132" t="s">
        <v>11108</v>
      </c>
      <c r="G70" s="3134" t="s">
        <v>11109</v>
      </c>
      <c r="H70" s="3135" t="s">
        <v>11110</v>
      </c>
      <c r="I70" s="1"/>
      <c r="J70" s="3110" t="s">
        <v>620</v>
      </c>
      <c r="K70" s="3119" t="s">
        <v>9666</v>
      </c>
      <c r="L70" s="3126" t="s">
        <v>2280</v>
      </c>
      <c r="M70" s="1"/>
      <c r="N70" s="3111">
        <f t="shared" si="12"/>
        <v>11</v>
      </c>
      <c r="O70" s="3112" t="s">
        <v>2839</v>
      </c>
      <c r="P70" s="3113" t="s">
        <v>11111</v>
      </c>
      <c r="Q70" s="3114" t="s">
        <v>11112</v>
      </c>
      <c r="R70" s="3115" t="s">
        <v>11113</v>
      </c>
      <c r="S70" s="3116" t="s">
        <v>11114</v>
      </c>
      <c r="T70" s="3115" t="s">
        <v>11115</v>
      </c>
      <c r="V70" s="3008">
        <v>10</v>
      </c>
      <c r="W70" s="2991" t="s">
        <v>8112</v>
      </c>
      <c r="X70" s="3004" t="s">
        <v>8113</v>
      </c>
      <c r="Y70" s="3004" t="s">
        <v>8114</v>
      </c>
      <c r="AA70" s="3151" t="s">
        <v>2935</v>
      </c>
      <c r="AB70" s="3152" t="s">
        <v>2936</v>
      </c>
      <c r="AC70" s="3152" t="s">
        <v>8115</v>
      </c>
      <c r="AD70" s="3152" t="s">
        <v>8116</v>
      </c>
      <c r="AF70" s="2730">
        <v>1</v>
      </c>
    </row>
    <row r="71" spans="2:32" ht="30" customHeight="1">
      <c r="B71" s="3106">
        <f t="shared" ref="B71:B72" si="14">B70+1</f>
        <v>3</v>
      </c>
      <c r="C71" s="3107" t="s">
        <v>11116</v>
      </c>
      <c r="D71" s="3132" t="s">
        <v>11117</v>
      </c>
      <c r="E71" s="3133" t="s">
        <v>11118</v>
      </c>
      <c r="F71" s="3132" t="s">
        <v>11119</v>
      </c>
      <c r="G71" s="3134" t="s">
        <v>11120</v>
      </c>
      <c r="H71" s="3135" t="s">
        <v>11121</v>
      </c>
      <c r="I71" s="1"/>
      <c r="J71" s="3125"/>
      <c r="K71" s="3119" t="s">
        <v>9687</v>
      </c>
      <c r="L71" s="3126" t="s">
        <v>11122</v>
      </c>
      <c r="M71" s="1"/>
      <c r="N71" s="3111">
        <f t="shared" si="12"/>
        <v>12</v>
      </c>
      <c r="O71" s="3112" t="s">
        <v>2841</v>
      </c>
      <c r="P71" s="3113" t="s">
        <v>11123</v>
      </c>
      <c r="Q71" s="3114" t="s">
        <v>11124</v>
      </c>
      <c r="R71" s="3115" t="s">
        <v>11125</v>
      </c>
      <c r="S71" s="3116" t="s">
        <v>11126</v>
      </c>
      <c r="T71" s="3115" t="s">
        <v>11127</v>
      </c>
      <c r="V71" s="3008">
        <v>11</v>
      </c>
      <c r="W71" s="2991" t="s">
        <v>8129</v>
      </c>
      <c r="X71" s="3004" t="s">
        <v>8130</v>
      </c>
      <c r="Y71" s="3004" t="s">
        <v>8131</v>
      </c>
      <c r="AA71" s="2803" t="s">
        <v>2937</v>
      </c>
      <c r="AB71" s="2991" t="s">
        <v>8132</v>
      </c>
      <c r="AC71" s="3010" t="s">
        <v>8133</v>
      </c>
      <c r="AD71" s="3010" t="s">
        <v>8134</v>
      </c>
      <c r="AF71" s="2730">
        <v>1</v>
      </c>
    </row>
    <row r="72" spans="2:32" ht="30" customHeight="1">
      <c r="B72" s="3106">
        <f t="shared" si="14"/>
        <v>4</v>
      </c>
      <c r="C72" s="3107" t="s">
        <v>11128</v>
      </c>
      <c r="D72" s="3132" t="s">
        <v>11129</v>
      </c>
      <c r="E72" s="3133" t="s">
        <v>11130</v>
      </c>
      <c r="F72" s="3132" t="s">
        <v>11131</v>
      </c>
      <c r="G72" s="3134" t="s">
        <v>11132</v>
      </c>
      <c r="H72" s="3135" t="s">
        <v>11133</v>
      </c>
      <c r="I72" s="1"/>
      <c r="J72" s="3125"/>
      <c r="K72" s="3119" t="s">
        <v>9693</v>
      </c>
      <c r="L72" s="3126" t="s">
        <v>10486</v>
      </c>
      <c r="M72" s="1"/>
      <c r="N72" s="3111">
        <f t="shared" si="12"/>
        <v>13</v>
      </c>
      <c r="O72" s="3112" t="s">
        <v>2843</v>
      </c>
      <c r="P72" s="3113" t="s">
        <v>11134</v>
      </c>
      <c r="Q72" s="3114" t="s">
        <v>11135</v>
      </c>
      <c r="R72" s="3115" t="s">
        <v>11136</v>
      </c>
      <c r="S72" s="3116" t="s">
        <v>11137</v>
      </c>
      <c r="T72" s="3115" t="s">
        <v>11138</v>
      </c>
      <c r="V72" s="3008">
        <v>12</v>
      </c>
      <c r="W72" s="2991" t="s">
        <v>8147</v>
      </c>
      <c r="X72" s="3004" t="s">
        <v>8148</v>
      </c>
      <c r="Y72" s="3004" t="s">
        <v>8149</v>
      </c>
      <c r="AA72" s="2803" t="s">
        <v>2940</v>
      </c>
      <c r="AB72" s="2991" t="s">
        <v>8150</v>
      </c>
      <c r="AC72" s="3010" t="s">
        <v>8151</v>
      </c>
      <c r="AD72" s="3010" t="s">
        <v>8152</v>
      </c>
      <c r="AF72" s="2730">
        <v>1</v>
      </c>
    </row>
    <row r="73" spans="2:32" ht="30" customHeight="1">
      <c r="B73" s="3106"/>
      <c r="C73" s="3099" t="s">
        <v>595</v>
      </c>
      <c r="D73" s="3006"/>
      <c r="E73" s="3139"/>
      <c r="F73" s="3006"/>
      <c r="G73" s="3139"/>
      <c r="H73" s="3118"/>
      <c r="I73" s="1"/>
      <c r="J73" s="3125"/>
      <c r="K73" s="3119" t="s">
        <v>9725</v>
      </c>
      <c r="L73" s="3126" t="s">
        <v>2297</v>
      </c>
      <c r="M73" s="1"/>
      <c r="N73" s="3111">
        <f t="shared" si="12"/>
        <v>14</v>
      </c>
      <c r="O73" s="3112" t="s">
        <v>2846</v>
      </c>
      <c r="P73" s="3113" t="s">
        <v>11139</v>
      </c>
      <c r="Q73" s="3114" t="s">
        <v>11140</v>
      </c>
      <c r="R73" s="3115" t="s">
        <v>11141</v>
      </c>
      <c r="S73" s="3116" t="s">
        <v>11142</v>
      </c>
      <c r="T73" s="3115" t="s">
        <v>11143</v>
      </c>
      <c r="V73" s="3008">
        <v>13</v>
      </c>
      <c r="W73" s="2991" t="s">
        <v>8162</v>
      </c>
      <c r="X73" s="3004" t="s">
        <v>8163</v>
      </c>
      <c r="Y73" s="3004" t="s">
        <v>8164</v>
      </c>
      <c r="AA73" s="9150" t="s">
        <v>2942</v>
      </c>
      <c r="AB73" s="8122" t="s">
        <v>8165</v>
      </c>
      <c r="AC73" s="9151" t="s">
        <v>8166</v>
      </c>
      <c r="AD73" s="9151" t="s">
        <v>8167</v>
      </c>
      <c r="AF73" s="2730">
        <v>1</v>
      </c>
    </row>
    <row r="74" spans="2:32" ht="30" customHeight="1">
      <c r="B74" s="3106">
        <v>1</v>
      </c>
      <c r="C74" s="3107" t="s">
        <v>11144</v>
      </c>
      <c r="D74" s="3132" t="s">
        <v>11145</v>
      </c>
      <c r="E74" s="3133" t="s">
        <v>11146</v>
      </c>
      <c r="F74" s="3132" t="s">
        <v>11147</v>
      </c>
      <c r="G74" s="3134" t="s">
        <v>11148</v>
      </c>
      <c r="H74" s="3135" t="s">
        <v>11149</v>
      </c>
      <c r="I74" s="1"/>
      <c r="J74" s="3125"/>
      <c r="K74" s="3119" t="s">
        <v>9772</v>
      </c>
      <c r="L74" s="3126" t="s">
        <v>9778</v>
      </c>
      <c r="M74" s="1"/>
      <c r="N74" s="3111">
        <f t="shared" si="12"/>
        <v>15</v>
      </c>
      <c r="O74" s="3112" t="s">
        <v>2848</v>
      </c>
      <c r="P74" s="3113" t="s">
        <v>11150</v>
      </c>
      <c r="Q74" s="3114" t="s">
        <v>10928</v>
      </c>
      <c r="R74" s="3115" t="s">
        <v>11151</v>
      </c>
      <c r="S74" s="3116" t="s">
        <v>11152</v>
      </c>
      <c r="T74" s="3115" t="s">
        <v>11153</v>
      </c>
      <c r="V74" s="3008">
        <v>14</v>
      </c>
      <c r="W74" s="2991" t="s">
        <v>8177</v>
      </c>
      <c r="X74" s="3004" t="s">
        <v>8178</v>
      </c>
      <c r="Y74" s="3004" t="s">
        <v>8179</v>
      </c>
      <c r="AA74" s="9150"/>
      <c r="AB74" s="8122"/>
      <c r="AC74" s="9151"/>
      <c r="AD74" s="9151"/>
      <c r="AF74" s="2730">
        <v>1</v>
      </c>
    </row>
    <row r="75" spans="2:32" ht="30" customHeight="1">
      <c r="B75" s="3106">
        <f>B74+1</f>
        <v>2</v>
      </c>
      <c r="C75" s="3107" t="s">
        <v>11154</v>
      </c>
      <c r="D75" s="3132" t="s">
        <v>11155</v>
      </c>
      <c r="E75" s="3133" t="s">
        <v>11156</v>
      </c>
      <c r="F75" s="3132" t="s">
        <v>11157</v>
      </c>
      <c r="G75" s="3134" t="s">
        <v>11158</v>
      </c>
      <c r="H75" s="3135" t="s">
        <v>11159</v>
      </c>
      <c r="I75" s="1"/>
      <c r="J75" s="3125"/>
      <c r="K75" s="3119" t="s">
        <v>9810</v>
      </c>
      <c r="L75" s="3126" t="s">
        <v>9804</v>
      </c>
      <c r="M75" s="1"/>
      <c r="N75" s="3111">
        <f t="shared" si="12"/>
        <v>16</v>
      </c>
      <c r="O75" s="3112" t="s">
        <v>2851</v>
      </c>
      <c r="P75" s="3113" t="s">
        <v>11160</v>
      </c>
      <c r="Q75" s="3114" t="s">
        <v>11161</v>
      </c>
      <c r="R75" s="3115" t="s">
        <v>11162</v>
      </c>
      <c r="S75" s="3116" t="s">
        <v>11163</v>
      </c>
      <c r="T75" s="3115" t="s">
        <v>11164</v>
      </c>
      <c r="V75" s="3008">
        <v>15</v>
      </c>
      <c r="W75" s="2991" t="s">
        <v>2953</v>
      </c>
      <c r="X75" s="3004" t="s">
        <v>8188</v>
      </c>
      <c r="Y75" s="3004" t="s">
        <v>8189</v>
      </c>
      <c r="AA75" s="2991"/>
      <c r="AB75" s="2991" t="s">
        <v>8190</v>
      </c>
      <c r="AC75" s="3010" t="s">
        <v>8191</v>
      </c>
      <c r="AD75" s="3010" t="s">
        <v>8192</v>
      </c>
      <c r="AF75" s="2730">
        <v>1</v>
      </c>
    </row>
    <row r="76" spans="2:32" ht="30" customHeight="1">
      <c r="B76" s="3106">
        <f t="shared" ref="B76:B77" si="15">B75+1</f>
        <v>3</v>
      </c>
      <c r="C76" s="3107" t="s">
        <v>11165</v>
      </c>
      <c r="D76" s="3132" t="s">
        <v>11166</v>
      </c>
      <c r="E76" s="3133" t="s">
        <v>11167</v>
      </c>
      <c r="F76" s="3132" t="s">
        <v>11168</v>
      </c>
      <c r="G76" s="3134" t="s">
        <v>11169</v>
      </c>
      <c r="H76" s="3135" t="s">
        <v>11170</v>
      </c>
      <c r="I76" s="1"/>
      <c r="J76" s="3125"/>
      <c r="K76" s="3153"/>
      <c r="L76" s="3126" t="s">
        <v>2092</v>
      </c>
      <c r="M76" s="1"/>
      <c r="N76" s="3111">
        <f t="shared" si="12"/>
        <v>17</v>
      </c>
      <c r="O76" s="3112" t="s">
        <v>2854</v>
      </c>
      <c r="P76" s="3113" t="s">
        <v>11171</v>
      </c>
      <c r="Q76" s="3114" t="s">
        <v>11172</v>
      </c>
      <c r="R76" s="3115" t="s">
        <v>11173</v>
      </c>
      <c r="S76" s="3116" t="s">
        <v>11174</v>
      </c>
      <c r="T76" s="3115" t="s">
        <v>11175</v>
      </c>
      <c r="V76" s="3008">
        <v>16</v>
      </c>
      <c r="W76" s="2991" t="s">
        <v>2954</v>
      </c>
      <c r="X76" s="3004" t="s">
        <v>8198</v>
      </c>
      <c r="Y76" s="3004" t="s">
        <v>8199</v>
      </c>
      <c r="AA76" s="2991"/>
      <c r="AB76" s="8122" t="s">
        <v>11176</v>
      </c>
      <c r="AC76" s="3010" t="s">
        <v>11177</v>
      </c>
      <c r="AD76" s="3010" t="s">
        <v>11178</v>
      </c>
      <c r="AF76" s="2730">
        <v>1</v>
      </c>
    </row>
    <row r="77" spans="2:32" ht="30" customHeight="1">
      <c r="B77" s="3106">
        <f t="shared" si="15"/>
        <v>4</v>
      </c>
      <c r="C77" s="3107" t="s">
        <v>11179</v>
      </c>
      <c r="D77" s="3132" t="s">
        <v>11180</v>
      </c>
      <c r="E77" s="3129" t="s">
        <v>11181</v>
      </c>
      <c r="F77" s="3132" t="s">
        <v>11182</v>
      </c>
      <c r="G77" s="3130" t="s">
        <v>11183</v>
      </c>
      <c r="H77" s="3131" t="s">
        <v>11184</v>
      </c>
      <c r="I77" s="1"/>
      <c r="J77" s="3136"/>
      <c r="K77" s="9148"/>
      <c r="L77" s="9149"/>
      <c r="M77" s="1"/>
      <c r="N77" s="3111"/>
      <c r="O77" s="3104" t="s">
        <v>342</v>
      </c>
      <c r="P77" s="3000"/>
      <c r="Q77" s="3144"/>
      <c r="R77" s="3145"/>
      <c r="S77" s="3146"/>
      <c r="T77" s="3147"/>
      <c r="V77" s="3008">
        <v>17</v>
      </c>
      <c r="W77" s="2991" t="s">
        <v>2955</v>
      </c>
      <c r="X77" s="3004" t="s">
        <v>8211</v>
      </c>
      <c r="Y77" s="3004" t="s">
        <v>8212</v>
      </c>
      <c r="AA77" s="2991"/>
      <c r="AB77" s="8122"/>
      <c r="AC77" s="2893"/>
      <c r="AD77" s="2893"/>
      <c r="AF77" s="2730">
        <v>1</v>
      </c>
    </row>
    <row r="78" spans="2:32" ht="30" customHeight="1">
      <c r="B78" s="2998"/>
      <c r="C78" s="2840"/>
      <c r="D78" s="3132"/>
      <c r="E78" s="3154"/>
      <c r="F78" s="3132"/>
      <c r="G78" s="3155"/>
      <c r="H78" s="3132"/>
      <c r="I78" s="1"/>
      <c r="J78" s="3110" t="s">
        <v>516</v>
      </c>
      <c r="K78" s="3119" t="s">
        <v>9864</v>
      </c>
      <c r="L78" s="3126" t="s">
        <v>9870</v>
      </c>
      <c r="M78" s="1"/>
      <c r="N78" s="3111">
        <v>1</v>
      </c>
      <c r="O78" s="3112" t="s">
        <v>2861</v>
      </c>
      <c r="P78" s="3113" t="s">
        <v>11185</v>
      </c>
      <c r="Q78" s="3114" t="s">
        <v>11186</v>
      </c>
      <c r="R78" s="3115" t="s">
        <v>11187</v>
      </c>
      <c r="S78" s="3116" t="s">
        <v>11188</v>
      </c>
      <c r="T78" s="3115" t="s">
        <v>11189</v>
      </c>
      <c r="V78" s="3008">
        <v>18</v>
      </c>
      <c r="W78" s="2991" t="s">
        <v>8221</v>
      </c>
      <c r="X78" s="3004" t="s">
        <v>8222</v>
      </c>
      <c r="Y78" s="3004" t="s">
        <v>8223</v>
      </c>
      <c r="Z78" s="3056"/>
      <c r="AA78" s="3057" t="s">
        <v>7100</v>
      </c>
      <c r="AB78" s="2725" t="s">
        <v>8224</v>
      </c>
      <c r="AC78" s="3010"/>
      <c r="AD78" s="3010"/>
      <c r="AF78" s="2730">
        <v>1</v>
      </c>
    </row>
    <row r="79" spans="2:32" ht="30" customHeight="1">
      <c r="B79" s="2998"/>
      <c r="C79" s="2840"/>
      <c r="D79" s="3132"/>
      <c r="E79" s="3154"/>
      <c r="F79" s="3132"/>
      <c r="G79" s="3155"/>
      <c r="H79" s="3132"/>
      <c r="I79" s="1"/>
      <c r="J79" s="3125"/>
      <c r="K79" s="3119" t="s">
        <v>11190</v>
      </c>
      <c r="L79" s="3126" t="s">
        <v>11191</v>
      </c>
      <c r="M79" s="1"/>
      <c r="N79" s="3111">
        <f>N78+1</f>
        <v>2</v>
      </c>
      <c r="O79" s="3112" t="s">
        <v>2869</v>
      </c>
      <c r="P79" s="3113" t="s">
        <v>11192</v>
      </c>
      <c r="Q79" s="3114" t="s">
        <v>11193</v>
      </c>
      <c r="R79" s="3115" t="s">
        <v>11194</v>
      </c>
      <c r="S79" s="3116" t="s">
        <v>11195</v>
      </c>
      <c r="T79" s="3115" t="s">
        <v>11196</v>
      </c>
      <c r="V79" s="3008"/>
      <c r="AA79" s="3008"/>
      <c r="AB79" s="2991"/>
      <c r="AC79" s="3010"/>
      <c r="AD79" s="3010"/>
      <c r="AF79" s="2730">
        <v>1</v>
      </c>
    </row>
    <row r="80" spans="2:32" ht="30" customHeight="1">
      <c r="B80" s="2998"/>
      <c r="C80" s="2840"/>
      <c r="D80" s="3132"/>
      <c r="E80" s="3154"/>
      <c r="F80" s="3132"/>
      <c r="G80" s="3155"/>
      <c r="H80" s="3132"/>
      <c r="I80" s="1"/>
      <c r="J80" s="3125"/>
      <c r="K80" s="3150"/>
      <c r="L80" s="3126" t="s">
        <v>2141</v>
      </c>
      <c r="M80" s="1"/>
      <c r="N80" s="3111">
        <f t="shared" ref="N80:N95" si="16">N79+1</f>
        <v>3</v>
      </c>
      <c r="O80" s="3104" t="s">
        <v>651</v>
      </c>
      <c r="P80" s="3000"/>
      <c r="Q80" s="3144"/>
      <c r="R80" s="3145"/>
      <c r="S80" s="3146"/>
      <c r="T80" s="3147"/>
      <c r="V80" s="3008"/>
      <c r="W80" s="3029" t="s">
        <v>8241</v>
      </c>
      <c r="X80" s="3137"/>
      <c r="Y80" s="3137"/>
      <c r="AA80" s="3008"/>
      <c r="AB80" s="2991"/>
      <c r="AC80" s="3010"/>
      <c r="AD80" s="3010"/>
      <c r="AF80" s="2730">
        <v>1</v>
      </c>
    </row>
    <row r="81" spans="2:32" ht="30" customHeight="1">
      <c r="B81" s="2998"/>
      <c r="C81" s="2840"/>
      <c r="D81" s="3132"/>
      <c r="E81" s="3154"/>
      <c r="F81" s="3132"/>
      <c r="G81" s="3155"/>
      <c r="H81" s="3132"/>
      <c r="I81" s="1"/>
      <c r="J81" s="3125"/>
      <c r="K81" s="3119" t="s">
        <v>11197</v>
      </c>
      <c r="L81" s="3126" t="s">
        <v>9909</v>
      </c>
      <c r="M81" s="1"/>
      <c r="N81" s="3111">
        <f t="shared" si="16"/>
        <v>4</v>
      </c>
      <c r="O81" s="3112" t="s">
        <v>2873</v>
      </c>
      <c r="P81" s="3113" t="s">
        <v>11198</v>
      </c>
      <c r="Q81" s="3114" t="s">
        <v>11199</v>
      </c>
      <c r="R81" s="3115" t="s">
        <v>11200</v>
      </c>
      <c r="S81" s="3116" t="s">
        <v>11201</v>
      </c>
      <c r="T81" s="3115" t="s">
        <v>11202</v>
      </c>
      <c r="V81" s="3008">
        <v>1</v>
      </c>
      <c r="W81" s="2991" t="s">
        <v>8250</v>
      </c>
      <c r="X81" s="3004" t="s">
        <v>8251</v>
      </c>
      <c r="Y81" s="3004" t="s">
        <v>8252</v>
      </c>
      <c r="AA81" s="3008"/>
      <c r="AB81" s="2991"/>
      <c r="AC81" s="3010"/>
      <c r="AD81" s="3010"/>
      <c r="AF81" s="2730">
        <v>1</v>
      </c>
    </row>
    <row r="82" spans="2:32" ht="30" customHeight="1">
      <c r="B82" s="2998"/>
      <c r="C82" s="2840"/>
      <c r="D82" s="3132"/>
      <c r="E82" s="3154"/>
      <c r="F82" s="3132"/>
      <c r="G82" s="3155"/>
      <c r="H82" s="3132"/>
      <c r="I82" s="1"/>
      <c r="J82" s="3125"/>
      <c r="K82" s="3119" t="s">
        <v>11203</v>
      </c>
      <c r="L82" s="3126" t="s">
        <v>2174</v>
      </c>
      <c r="M82" s="1"/>
      <c r="N82" s="3111">
        <f t="shared" si="16"/>
        <v>5</v>
      </c>
      <c r="O82" s="3112" t="s">
        <v>2875</v>
      </c>
      <c r="P82" s="3113" t="s">
        <v>11204</v>
      </c>
      <c r="Q82" s="3114" t="s">
        <v>11205</v>
      </c>
      <c r="R82" s="3115" t="s">
        <v>11206</v>
      </c>
      <c r="S82" s="3116" t="s">
        <v>11207</v>
      </c>
      <c r="T82" s="3115" t="s">
        <v>11208</v>
      </c>
      <c r="V82" s="3008">
        <v>2</v>
      </c>
      <c r="W82" s="2991" t="s">
        <v>8258</v>
      </c>
      <c r="X82" s="3004" t="s">
        <v>8259</v>
      </c>
      <c r="Y82" s="3004" t="s">
        <v>8260</v>
      </c>
      <c r="AA82" s="3008"/>
      <c r="AB82" s="2991"/>
      <c r="AC82" s="3010"/>
      <c r="AD82" s="3010"/>
      <c r="AF82" s="2730">
        <v>1</v>
      </c>
    </row>
    <row r="83" spans="2:32" ht="30" customHeight="1">
      <c r="B83" s="2998"/>
      <c r="C83" s="2840"/>
      <c r="D83" s="3132"/>
      <c r="E83" s="3154"/>
      <c r="F83" s="3132"/>
      <c r="G83" s="3155"/>
      <c r="H83" s="3132"/>
      <c r="I83" s="1"/>
      <c r="J83" s="3125"/>
      <c r="K83" s="3119" t="s">
        <v>9968</v>
      </c>
      <c r="L83" s="3126" t="s">
        <v>9974</v>
      </c>
      <c r="M83" s="1"/>
      <c r="N83" s="3111">
        <f t="shared" si="16"/>
        <v>6</v>
      </c>
      <c r="O83" s="3112" t="s">
        <v>2877</v>
      </c>
      <c r="P83" s="3113" t="s">
        <v>11209</v>
      </c>
      <c r="Q83" s="3114" t="s">
        <v>11210</v>
      </c>
      <c r="R83" s="3115" t="s">
        <v>11211</v>
      </c>
      <c r="S83" s="3116" t="s">
        <v>11212</v>
      </c>
      <c r="T83" s="3115" t="s">
        <v>11213</v>
      </c>
      <c r="V83" s="3008">
        <v>3</v>
      </c>
      <c r="W83" s="2991" t="s">
        <v>8269</v>
      </c>
      <c r="X83" s="3004" t="s">
        <v>8270</v>
      </c>
      <c r="Y83" s="3004" t="s">
        <v>8271</v>
      </c>
      <c r="AA83" s="3008"/>
      <c r="AB83" s="2991"/>
      <c r="AC83" s="3010"/>
      <c r="AD83" s="3010"/>
      <c r="AF83" s="2730">
        <v>1</v>
      </c>
    </row>
    <row r="84" spans="2:32" ht="30" customHeight="1">
      <c r="B84" s="2998"/>
      <c r="C84" s="2840"/>
      <c r="D84" s="3132"/>
      <c r="E84" s="3154"/>
      <c r="F84" s="3132"/>
      <c r="G84" s="3155"/>
      <c r="H84" s="3132"/>
      <c r="I84" s="1"/>
      <c r="J84" s="3125"/>
      <c r="K84" s="3119" t="s">
        <v>11214</v>
      </c>
      <c r="L84" s="3126" t="s">
        <v>11215</v>
      </c>
      <c r="M84" s="1"/>
      <c r="N84" s="3111">
        <f t="shared" si="16"/>
        <v>7</v>
      </c>
      <c r="O84" s="3112" t="s">
        <v>2880</v>
      </c>
      <c r="P84" s="3113" t="s">
        <v>11216</v>
      </c>
      <c r="Q84" s="3114" t="s">
        <v>11217</v>
      </c>
      <c r="R84" s="3115" t="s">
        <v>11218</v>
      </c>
      <c r="S84" s="3116" t="s">
        <v>11219</v>
      </c>
      <c r="T84" s="3115" t="s">
        <v>11220</v>
      </c>
      <c r="V84" s="3008">
        <v>4</v>
      </c>
      <c r="W84" s="2991" t="s">
        <v>2926</v>
      </c>
      <c r="X84" s="3004" t="s">
        <v>8277</v>
      </c>
      <c r="Y84" s="3004" t="s">
        <v>8278</v>
      </c>
      <c r="AA84" s="3008"/>
      <c r="AB84" s="2991"/>
      <c r="AC84" s="3010"/>
      <c r="AD84" s="3010"/>
      <c r="AF84" s="2730">
        <v>1</v>
      </c>
    </row>
    <row r="85" spans="2:32" ht="30" customHeight="1">
      <c r="B85" s="2998"/>
      <c r="C85" s="2840"/>
      <c r="D85" s="3132"/>
      <c r="E85" s="3154"/>
      <c r="F85" s="3132"/>
      <c r="G85" s="3155"/>
      <c r="H85" s="3132"/>
      <c r="I85" s="1"/>
      <c r="J85" s="3125"/>
      <c r="K85" s="3150"/>
      <c r="L85" s="3126" t="s">
        <v>2199</v>
      </c>
      <c r="M85" s="1"/>
      <c r="N85" s="3111">
        <f t="shared" si="16"/>
        <v>8</v>
      </c>
      <c r="O85" s="3112" t="s">
        <v>2882</v>
      </c>
      <c r="P85" s="3113" t="s">
        <v>11221</v>
      </c>
      <c r="Q85" s="3114" t="s">
        <v>11222</v>
      </c>
      <c r="R85" s="3115" t="s">
        <v>11223</v>
      </c>
      <c r="S85" s="3116" t="s">
        <v>11224</v>
      </c>
      <c r="T85" s="3115" t="s">
        <v>11225</v>
      </c>
      <c r="V85" s="3008">
        <v>5</v>
      </c>
      <c r="W85" s="2991" t="s">
        <v>2927</v>
      </c>
      <c r="X85" s="3004" t="s">
        <v>8287</v>
      </c>
      <c r="Y85" s="3004" t="s">
        <v>8288</v>
      </c>
      <c r="AA85" s="3008"/>
      <c r="AB85" s="2991"/>
      <c r="AC85" s="3010"/>
      <c r="AD85" s="3010"/>
      <c r="AF85" s="2730">
        <v>1</v>
      </c>
    </row>
    <row r="86" spans="2:32" ht="30" customHeight="1">
      <c r="B86" s="2998"/>
      <c r="C86" s="2840"/>
      <c r="D86" s="3132"/>
      <c r="E86" s="3154"/>
      <c r="F86" s="3132"/>
      <c r="G86" s="3155"/>
      <c r="H86" s="3132"/>
      <c r="I86" s="1"/>
      <c r="J86" s="3125"/>
      <c r="K86" s="3119" t="s">
        <v>10028</v>
      </c>
      <c r="L86" s="3126" t="s">
        <v>10017</v>
      </c>
      <c r="M86" s="1"/>
      <c r="N86" s="3111">
        <f t="shared" si="16"/>
        <v>9</v>
      </c>
      <c r="O86" s="3112" t="s">
        <v>2886</v>
      </c>
      <c r="P86" s="3113" t="s">
        <v>11226</v>
      </c>
      <c r="Q86" s="3114" t="s">
        <v>11227</v>
      </c>
      <c r="R86" s="3115" t="s">
        <v>11228</v>
      </c>
      <c r="S86" s="3116" t="s">
        <v>11229</v>
      </c>
      <c r="T86" s="3115" t="s">
        <v>11230</v>
      </c>
      <c r="V86" s="3008">
        <v>6</v>
      </c>
      <c r="W86" s="2991" t="s">
        <v>8297</v>
      </c>
      <c r="X86" s="3004" t="s">
        <v>8298</v>
      </c>
      <c r="Y86" s="3004" t="s">
        <v>8299</v>
      </c>
      <c r="AA86" s="3008"/>
      <c r="AB86" s="2991"/>
      <c r="AC86" s="3010"/>
      <c r="AD86" s="3010"/>
      <c r="AF86" s="2730">
        <v>1</v>
      </c>
    </row>
    <row r="87" spans="2:32" ht="30" customHeight="1">
      <c r="B87" s="2998"/>
      <c r="C87" s="2840"/>
      <c r="D87" s="3132"/>
      <c r="E87" s="3154"/>
      <c r="F87" s="3132"/>
      <c r="G87" s="3155"/>
      <c r="H87" s="3132"/>
      <c r="I87" s="1"/>
      <c r="J87" s="3125"/>
      <c r="K87" s="3119" t="s">
        <v>10031</v>
      </c>
      <c r="L87" s="3126" t="s">
        <v>10023</v>
      </c>
      <c r="M87" s="1"/>
      <c r="N87" s="3111">
        <f t="shared" si="16"/>
        <v>10</v>
      </c>
      <c r="O87" s="3112" t="s">
        <v>2889</v>
      </c>
      <c r="P87" s="3113" t="s">
        <v>11231</v>
      </c>
      <c r="Q87" s="3114" t="s">
        <v>11232</v>
      </c>
      <c r="R87" s="3115" t="s">
        <v>11233</v>
      </c>
      <c r="S87" s="3116" t="s">
        <v>11234</v>
      </c>
      <c r="T87" s="3115" t="s">
        <v>11235</v>
      </c>
      <c r="V87" s="3008">
        <v>7</v>
      </c>
      <c r="W87" s="2991" t="s">
        <v>2956</v>
      </c>
      <c r="X87" s="3004" t="s">
        <v>8308</v>
      </c>
      <c r="Y87" s="3004" t="s">
        <v>8309</v>
      </c>
      <c r="AA87" s="3008"/>
      <c r="AB87" s="2991"/>
      <c r="AC87" s="3010"/>
      <c r="AD87" s="3010"/>
      <c r="AF87" s="2730">
        <v>1</v>
      </c>
    </row>
    <row r="88" spans="2:32" ht="30" customHeight="1">
      <c r="B88" s="2998"/>
      <c r="C88" s="2840"/>
      <c r="D88" s="3132"/>
      <c r="E88" s="3154"/>
      <c r="F88" s="3132"/>
      <c r="G88" s="3155"/>
      <c r="H88" s="3132"/>
      <c r="I88" s="1"/>
      <c r="J88" s="3125"/>
      <c r="K88" s="3119" t="s">
        <v>10044</v>
      </c>
      <c r="L88" s="3126" t="s">
        <v>2220</v>
      </c>
      <c r="M88" s="1"/>
      <c r="N88" s="3111">
        <f t="shared" si="16"/>
        <v>11</v>
      </c>
      <c r="O88" s="3112" t="s">
        <v>2891</v>
      </c>
      <c r="P88" s="3113" t="s">
        <v>11236</v>
      </c>
      <c r="Q88" s="3114" t="s">
        <v>11237</v>
      </c>
      <c r="R88" s="3115" t="s">
        <v>11238</v>
      </c>
      <c r="S88" s="3116" t="s">
        <v>11239</v>
      </c>
      <c r="T88" s="3115" t="s">
        <v>11240</v>
      </c>
      <c r="V88" s="3008">
        <v>8</v>
      </c>
      <c r="W88" s="2991" t="s">
        <v>2949</v>
      </c>
      <c r="X88" s="3004" t="s">
        <v>8318</v>
      </c>
      <c r="Y88" s="3004" t="s">
        <v>8319</v>
      </c>
      <c r="AC88" s="3010"/>
      <c r="AD88" s="3010"/>
      <c r="AF88" s="2730">
        <v>1</v>
      </c>
    </row>
    <row r="89" spans="2:32" ht="30" customHeight="1">
      <c r="B89" s="2998"/>
      <c r="C89" s="2840"/>
      <c r="D89" s="3132"/>
      <c r="E89" s="3154"/>
      <c r="F89" s="3132"/>
      <c r="G89" s="3155"/>
      <c r="H89" s="3132"/>
      <c r="I89" s="1"/>
      <c r="J89" s="3125"/>
      <c r="K89" s="3150"/>
      <c r="L89" s="3126" t="s">
        <v>2057</v>
      </c>
      <c r="M89" s="1"/>
      <c r="N89" s="3111">
        <f t="shared" si="16"/>
        <v>12</v>
      </c>
      <c r="O89" s="3112" t="s">
        <v>2894</v>
      </c>
      <c r="P89" s="3113" t="s">
        <v>11241</v>
      </c>
      <c r="Q89" s="3114" t="s">
        <v>11242</v>
      </c>
      <c r="R89" s="3115" t="s">
        <v>11243</v>
      </c>
      <c r="S89" s="3116" t="s">
        <v>11244</v>
      </c>
      <c r="T89" s="3115" t="s">
        <v>11245</v>
      </c>
      <c r="V89" s="3008">
        <v>9</v>
      </c>
      <c r="W89" s="2991" t="s">
        <v>2929</v>
      </c>
      <c r="X89" s="3004" t="s">
        <v>8328</v>
      </c>
      <c r="Y89" s="3004" t="s">
        <v>8329</v>
      </c>
      <c r="AA89" s="3008"/>
      <c r="AB89" s="2991"/>
      <c r="AC89" s="3010"/>
      <c r="AD89" s="3010"/>
      <c r="AF89" s="2730">
        <v>1</v>
      </c>
    </row>
    <row r="90" spans="2:32" ht="30" customHeight="1">
      <c r="B90" s="2998"/>
      <c r="C90" s="2840"/>
      <c r="D90" s="3132"/>
      <c r="E90" s="3154"/>
      <c r="F90" s="3132"/>
      <c r="G90" s="3155"/>
      <c r="H90" s="3132"/>
      <c r="I90" s="1"/>
      <c r="J90" s="3125"/>
      <c r="K90" s="3119" t="s">
        <v>10075</v>
      </c>
      <c r="L90" s="3126" t="s">
        <v>11246</v>
      </c>
      <c r="M90" s="1"/>
      <c r="N90" s="3111">
        <f t="shared" si="16"/>
        <v>13</v>
      </c>
      <c r="O90" s="3112" t="s">
        <v>2898</v>
      </c>
      <c r="P90" s="3113" t="s">
        <v>11247</v>
      </c>
      <c r="Q90" s="3114" t="s">
        <v>11248</v>
      </c>
      <c r="R90" s="3115" t="s">
        <v>11249</v>
      </c>
      <c r="S90" s="3116" t="s">
        <v>11250</v>
      </c>
      <c r="T90" s="3115" t="s">
        <v>11251</v>
      </c>
      <c r="V90" s="3008">
        <v>10</v>
      </c>
      <c r="W90" s="2991" t="s">
        <v>2931</v>
      </c>
      <c r="X90" s="3004" t="s">
        <v>8338</v>
      </c>
      <c r="Y90" s="3004" t="s">
        <v>8339</v>
      </c>
      <c r="AA90" s="3008"/>
      <c r="AB90" s="2991"/>
      <c r="AC90" s="3010"/>
      <c r="AD90" s="3010"/>
      <c r="AF90" s="2730">
        <v>1</v>
      </c>
    </row>
    <row r="91" spans="2:32" ht="30" customHeight="1">
      <c r="B91" s="2998"/>
      <c r="C91" s="2840"/>
      <c r="D91" s="3132"/>
      <c r="E91" s="3154"/>
      <c r="F91" s="3132"/>
      <c r="G91" s="3155"/>
      <c r="H91" s="3132"/>
      <c r="I91" s="1"/>
      <c r="J91" s="3136"/>
      <c r="K91" s="9148"/>
      <c r="L91" s="9149"/>
      <c r="M91" s="1"/>
      <c r="N91" s="3111">
        <f t="shared" si="16"/>
        <v>14</v>
      </c>
      <c r="O91" s="3112" t="s">
        <v>2900</v>
      </c>
      <c r="P91" s="3113" t="s">
        <v>11252</v>
      </c>
      <c r="Q91" s="3114" t="s">
        <v>11253</v>
      </c>
      <c r="R91" s="3115" t="s">
        <v>11254</v>
      </c>
      <c r="S91" s="3116" t="s">
        <v>11255</v>
      </c>
      <c r="T91" s="3115" t="s">
        <v>11256</v>
      </c>
      <c r="V91" s="3008">
        <v>11</v>
      </c>
      <c r="W91" s="2991" t="s">
        <v>8348</v>
      </c>
      <c r="X91" s="3004" t="s">
        <v>8349</v>
      </c>
      <c r="Y91" s="3004" t="s">
        <v>8350</v>
      </c>
      <c r="AA91" s="3008"/>
      <c r="AB91" s="2991"/>
      <c r="AC91" s="3010"/>
      <c r="AD91" s="3010"/>
      <c r="AF91" s="2730">
        <v>1</v>
      </c>
    </row>
    <row r="92" spans="2:32" ht="30" customHeight="1">
      <c r="B92" s="2998"/>
      <c r="C92" s="2840"/>
      <c r="D92" s="3132"/>
      <c r="E92" s="3154"/>
      <c r="F92" s="3132"/>
      <c r="G92" s="3155"/>
      <c r="H92" s="3132"/>
      <c r="I92" s="1"/>
      <c r="J92" s="3110" t="s">
        <v>353</v>
      </c>
      <c r="K92" s="3119" t="s">
        <v>11257</v>
      </c>
      <c r="L92" s="3126" t="s">
        <v>10208</v>
      </c>
      <c r="M92" s="1"/>
      <c r="N92" s="3111">
        <f t="shared" si="16"/>
        <v>15</v>
      </c>
      <c r="O92" s="3112" t="s">
        <v>2903</v>
      </c>
      <c r="P92" s="3113" t="s">
        <v>11258</v>
      </c>
      <c r="Q92" s="3114" t="s">
        <v>11259</v>
      </c>
      <c r="R92" s="3115" t="s">
        <v>11260</v>
      </c>
      <c r="S92" s="3116" t="s">
        <v>11261</v>
      </c>
      <c r="T92" s="3115" t="s">
        <v>11262</v>
      </c>
      <c r="V92" s="3008">
        <v>12</v>
      </c>
      <c r="W92" s="2991" t="s">
        <v>2950</v>
      </c>
      <c r="X92" s="3004" t="s">
        <v>8359</v>
      </c>
      <c r="Y92" s="3004" t="s">
        <v>8360</v>
      </c>
      <c r="AA92" s="3008"/>
      <c r="AB92" s="2991"/>
      <c r="AC92" s="3010"/>
      <c r="AD92" s="3010"/>
      <c r="AF92" s="2730">
        <v>1</v>
      </c>
    </row>
    <row r="93" spans="2:32" ht="30" customHeight="1">
      <c r="B93" s="2998"/>
      <c r="C93" s="2840"/>
      <c r="D93" s="3132"/>
      <c r="E93" s="3154"/>
      <c r="F93" s="3132"/>
      <c r="G93" s="3155"/>
      <c r="H93" s="3132"/>
      <c r="I93" s="1"/>
      <c r="J93" s="3125"/>
      <c r="K93" s="3119" t="s">
        <v>11263</v>
      </c>
      <c r="L93" s="3126" t="s">
        <v>10214</v>
      </c>
      <c r="M93" s="1"/>
      <c r="N93" s="3111">
        <f t="shared" si="16"/>
        <v>16</v>
      </c>
      <c r="O93" s="3112" t="s">
        <v>2906</v>
      </c>
      <c r="P93" s="3113" t="s">
        <v>11264</v>
      </c>
      <c r="Q93" s="3114" t="s">
        <v>11265</v>
      </c>
      <c r="R93" s="3115" t="s">
        <v>11266</v>
      </c>
      <c r="S93" s="3116" t="s">
        <v>11267</v>
      </c>
      <c r="T93" s="3115" t="s">
        <v>11268</v>
      </c>
      <c r="V93" s="3008">
        <v>13</v>
      </c>
      <c r="W93" s="2991" t="s">
        <v>2951</v>
      </c>
      <c r="X93" s="3004" t="s">
        <v>8369</v>
      </c>
      <c r="Y93" s="3004" t="s">
        <v>8370</v>
      </c>
      <c r="AA93" s="3008"/>
      <c r="AB93" s="2991"/>
      <c r="AC93" s="3010"/>
      <c r="AD93" s="3010"/>
      <c r="AF93" s="2730">
        <v>1</v>
      </c>
    </row>
    <row r="94" spans="2:32" ht="30" customHeight="1">
      <c r="B94" s="2998"/>
      <c r="C94" s="2840"/>
      <c r="D94" s="3132"/>
      <c r="E94" s="3154"/>
      <c r="F94" s="3132"/>
      <c r="G94" s="3155"/>
      <c r="H94" s="3132"/>
      <c r="I94" s="1"/>
      <c r="J94" s="3125"/>
      <c r="K94" s="3119" t="s">
        <v>10220</v>
      </c>
      <c r="L94" s="3126" t="s">
        <v>10226</v>
      </c>
      <c r="M94" s="1"/>
      <c r="N94" s="3111">
        <f t="shared" si="16"/>
        <v>17</v>
      </c>
      <c r="O94" s="3112" t="s">
        <v>2908</v>
      </c>
      <c r="P94" s="3113" t="s">
        <v>11269</v>
      </c>
      <c r="Q94" s="3114" t="s">
        <v>11270</v>
      </c>
      <c r="R94" s="3115" t="s">
        <v>11271</v>
      </c>
      <c r="S94" s="3116" t="s">
        <v>11272</v>
      </c>
      <c r="T94" s="3115" t="s">
        <v>11273</v>
      </c>
      <c r="V94" s="3008">
        <v>14</v>
      </c>
      <c r="W94" s="2991" t="s">
        <v>2933</v>
      </c>
      <c r="X94" s="3004" t="s">
        <v>8376</v>
      </c>
      <c r="Y94" s="3004" t="s">
        <v>8377</v>
      </c>
      <c r="AA94" s="3008"/>
      <c r="AB94" s="2991"/>
      <c r="AC94" s="3010"/>
      <c r="AD94" s="3010"/>
      <c r="AF94" s="2730">
        <v>1</v>
      </c>
    </row>
    <row r="95" spans="2:32" ht="30" customHeight="1">
      <c r="B95" s="2998"/>
      <c r="C95" s="2840"/>
      <c r="D95" s="3132"/>
      <c r="E95" s="3154"/>
      <c r="F95" s="3132"/>
      <c r="G95" s="3155"/>
      <c r="H95" s="3132"/>
      <c r="I95" s="1"/>
      <c r="J95" s="3125"/>
      <c r="K95" s="3119" t="s">
        <v>10237</v>
      </c>
      <c r="L95" s="3126" t="s">
        <v>11274</v>
      </c>
      <c r="M95" s="1"/>
      <c r="N95" s="3111">
        <f t="shared" si="16"/>
        <v>18</v>
      </c>
      <c r="O95" s="3112" t="s">
        <v>2911</v>
      </c>
      <c r="P95" s="3113" t="s">
        <v>11275</v>
      </c>
      <c r="Q95" s="3114" t="s">
        <v>11276</v>
      </c>
      <c r="R95" s="3115" t="s">
        <v>11277</v>
      </c>
      <c r="S95" s="3116" t="s">
        <v>11278</v>
      </c>
      <c r="T95" s="3115" t="s">
        <v>11279</v>
      </c>
      <c r="V95" s="3008">
        <v>15</v>
      </c>
      <c r="W95" s="2991" t="s">
        <v>2952</v>
      </c>
      <c r="X95" s="3004" t="s">
        <v>8386</v>
      </c>
      <c r="Y95" s="3004" t="s">
        <v>8387</v>
      </c>
      <c r="AA95" s="3008"/>
      <c r="AB95" s="2991"/>
      <c r="AC95" s="3010"/>
      <c r="AD95" s="3010"/>
      <c r="AF95" s="2730">
        <v>1</v>
      </c>
    </row>
    <row r="96" spans="2:32" ht="30" customHeight="1">
      <c r="B96" s="2998"/>
      <c r="C96" s="2840"/>
      <c r="D96" s="3132"/>
      <c r="E96" s="3154"/>
      <c r="F96" s="3132"/>
      <c r="G96" s="3155"/>
      <c r="H96" s="3132"/>
      <c r="I96" s="1"/>
      <c r="J96" s="3125"/>
      <c r="K96" s="3119" t="s">
        <v>11280</v>
      </c>
      <c r="L96" s="3149"/>
      <c r="M96" s="1"/>
      <c r="N96" s="3111"/>
      <c r="O96" s="3104" t="s">
        <v>515</v>
      </c>
      <c r="P96" s="3000"/>
      <c r="Q96" s="3144"/>
      <c r="R96" s="3145"/>
      <c r="S96" s="3146"/>
      <c r="T96" s="3147"/>
      <c r="V96" s="3008">
        <v>16</v>
      </c>
      <c r="W96" s="2991" t="s">
        <v>2934</v>
      </c>
      <c r="X96" s="3004" t="s">
        <v>8396</v>
      </c>
      <c r="Y96" s="3004" t="s">
        <v>8397</v>
      </c>
      <c r="AA96" s="3008"/>
      <c r="AB96" s="2991"/>
      <c r="AC96" s="3010"/>
      <c r="AD96" s="3010"/>
      <c r="AF96" s="2730">
        <v>1</v>
      </c>
    </row>
    <row r="97" spans="2:32" ht="30" customHeight="1">
      <c r="B97" s="2998"/>
      <c r="C97" s="2840"/>
      <c r="D97" s="3132"/>
      <c r="E97" s="3154"/>
      <c r="F97" s="3132"/>
      <c r="G97" s="3155"/>
      <c r="H97" s="3132"/>
      <c r="I97" s="1"/>
      <c r="J97" s="3136"/>
      <c r="K97" s="9148"/>
      <c r="L97" s="9149"/>
      <c r="M97" s="1"/>
      <c r="N97" s="3111">
        <v>1</v>
      </c>
      <c r="O97" s="3112" t="s">
        <v>2786</v>
      </c>
      <c r="P97" s="3156" t="s">
        <v>11281</v>
      </c>
      <c r="Q97" s="3157" t="s">
        <v>11282</v>
      </c>
      <c r="R97" s="3158" t="s">
        <v>11283</v>
      </c>
      <c r="S97" s="3159" t="s">
        <v>11284</v>
      </c>
      <c r="T97" s="3158" t="s">
        <v>11285</v>
      </c>
      <c r="V97" s="3008">
        <v>17</v>
      </c>
      <c r="W97" s="2991" t="s">
        <v>8406</v>
      </c>
      <c r="X97" s="3004" t="s">
        <v>8407</v>
      </c>
      <c r="Y97" s="3004" t="s">
        <v>8408</v>
      </c>
      <c r="AA97" s="3008"/>
      <c r="AB97" s="2991"/>
      <c r="AC97" s="3010"/>
      <c r="AD97" s="3010"/>
      <c r="AF97" s="2730">
        <v>1</v>
      </c>
    </row>
    <row r="98" spans="2:32" ht="30" customHeight="1">
      <c r="B98" s="2998"/>
      <c r="C98" s="2840"/>
      <c r="D98" s="3132"/>
      <c r="E98" s="3154"/>
      <c r="F98" s="3132"/>
      <c r="G98" s="3155"/>
      <c r="H98" s="3132"/>
      <c r="I98" s="1"/>
      <c r="J98" s="3110" t="s">
        <v>595</v>
      </c>
      <c r="K98" s="3119" t="s">
        <v>10265</v>
      </c>
      <c r="L98" s="3126" t="s">
        <v>2075</v>
      </c>
      <c r="M98" s="1"/>
      <c r="N98" s="3111">
        <f>N97+1</f>
        <v>2</v>
      </c>
      <c r="O98" s="3112" t="s">
        <v>2788</v>
      </c>
      <c r="P98" s="3156" t="s">
        <v>11286</v>
      </c>
      <c r="Q98" s="3160" t="s">
        <v>11287</v>
      </c>
      <c r="R98" s="3158" t="s">
        <v>11288</v>
      </c>
      <c r="S98" s="3161" t="s">
        <v>11289</v>
      </c>
      <c r="T98" s="3158" t="s">
        <v>11290</v>
      </c>
      <c r="V98" s="3008">
        <v>18</v>
      </c>
      <c r="W98" s="2991" t="s">
        <v>2959</v>
      </c>
      <c r="X98" s="3004" t="s">
        <v>8417</v>
      </c>
      <c r="Y98" s="3004" t="s">
        <v>8418</v>
      </c>
      <c r="AA98" s="3008"/>
      <c r="AB98" s="2991"/>
      <c r="AC98" s="3010"/>
      <c r="AD98" s="3010"/>
      <c r="AF98" s="2730">
        <v>1</v>
      </c>
    </row>
    <row r="99" spans="2:32" ht="30" customHeight="1">
      <c r="B99" s="2998"/>
      <c r="C99" s="2840"/>
      <c r="D99" s="3132"/>
      <c r="E99" s="3154"/>
      <c r="F99" s="3132"/>
      <c r="G99" s="3155"/>
      <c r="H99" s="3132"/>
      <c r="I99" s="1"/>
      <c r="J99" s="3125"/>
      <c r="K99" s="3119" t="s">
        <v>10329</v>
      </c>
      <c r="L99" s="3126" t="s">
        <v>10335</v>
      </c>
      <c r="M99" s="1"/>
      <c r="N99" s="3111"/>
      <c r="O99" s="3104" t="s">
        <v>346</v>
      </c>
      <c r="P99" s="3000"/>
      <c r="Q99" s="3144"/>
      <c r="R99" s="3145"/>
      <c r="S99" s="3146"/>
      <c r="T99" s="3147"/>
      <c r="V99" s="3008">
        <v>19</v>
      </c>
      <c r="W99" s="2991" t="s">
        <v>2938</v>
      </c>
      <c r="X99" s="3004" t="s">
        <v>8424</v>
      </c>
      <c r="Y99" s="3004" t="s">
        <v>8425</v>
      </c>
      <c r="AA99" s="3008"/>
      <c r="AB99" s="2991"/>
      <c r="AC99" s="3010"/>
      <c r="AD99" s="3010"/>
      <c r="AF99" s="2730">
        <v>1</v>
      </c>
    </row>
    <row r="100" spans="2:32" ht="30" customHeight="1">
      <c r="B100" s="2998"/>
      <c r="C100" s="2840"/>
      <c r="D100" s="3132"/>
      <c r="E100" s="3154"/>
      <c r="F100" s="3132"/>
      <c r="G100" s="3155"/>
      <c r="H100" s="3132"/>
      <c r="I100" s="1"/>
      <c r="J100" s="3125"/>
      <c r="K100" s="3119" t="s">
        <v>10341</v>
      </c>
      <c r="L100" s="3126" t="s">
        <v>10353</v>
      </c>
      <c r="M100" s="1"/>
      <c r="N100" s="3111">
        <v>1</v>
      </c>
      <c r="O100" s="3112" t="s">
        <v>2790</v>
      </c>
      <c r="P100" s="3113" t="s">
        <v>11291</v>
      </c>
      <c r="Q100" s="3114" t="s">
        <v>11292</v>
      </c>
      <c r="R100" s="3115" t="s">
        <v>11293</v>
      </c>
      <c r="S100" s="3116" t="s">
        <v>11294</v>
      </c>
      <c r="T100" s="3115" t="s">
        <v>11295</v>
      </c>
      <c r="V100" s="3008">
        <v>20</v>
      </c>
      <c r="W100" s="2991" t="s">
        <v>2920</v>
      </c>
      <c r="X100" s="3004" t="s">
        <v>8435</v>
      </c>
      <c r="Y100" s="3004" t="s">
        <v>8436</v>
      </c>
      <c r="AA100" s="3008"/>
      <c r="AB100" s="2991"/>
      <c r="AC100" s="3010"/>
      <c r="AD100" s="3010"/>
      <c r="AF100" s="2730">
        <v>1</v>
      </c>
    </row>
    <row r="101" spans="2:32" ht="30" customHeight="1">
      <c r="B101" s="2998"/>
      <c r="C101" s="2840"/>
      <c r="D101" s="3132"/>
      <c r="E101" s="3154"/>
      <c r="F101" s="3132"/>
      <c r="G101" s="3155"/>
      <c r="H101" s="3132"/>
      <c r="I101" s="1"/>
      <c r="J101" s="3125"/>
      <c r="K101" s="3119" t="s">
        <v>10347</v>
      </c>
      <c r="L101" s="3126" t="s">
        <v>11296</v>
      </c>
      <c r="M101" s="1"/>
      <c r="N101" s="3111">
        <f>N100+1</f>
        <v>2</v>
      </c>
      <c r="O101" s="3112" t="s">
        <v>2793</v>
      </c>
      <c r="P101" s="3113" t="s">
        <v>11297</v>
      </c>
      <c r="Q101" s="3114" t="s">
        <v>11298</v>
      </c>
      <c r="R101" s="3115" t="s">
        <v>11299</v>
      </c>
      <c r="S101" s="3116" t="s">
        <v>11300</v>
      </c>
      <c r="T101" s="3115" t="s">
        <v>11301</v>
      </c>
      <c r="V101" s="3008">
        <v>21</v>
      </c>
      <c r="W101" s="2991" t="s">
        <v>2941</v>
      </c>
      <c r="X101" s="3004" t="s">
        <v>8442</v>
      </c>
      <c r="Y101" s="3004" t="s">
        <v>8443</v>
      </c>
      <c r="AA101" s="3008"/>
      <c r="AB101" s="2991"/>
      <c r="AC101" s="3010"/>
      <c r="AD101" s="3010"/>
      <c r="AF101" s="2730">
        <v>1</v>
      </c>
    </row>
    <row r="102" spans="2:32" ht="30" customHeight="1">
      <c r="B102" s="2998"/>
      <c r="C102" s="2840"/>
      <c r="D102" s="3132"/>
      <c r="E102" s="3154"/>
      <c r="F102" s="3132"/>
      <c r="G102" s="3155"/>
      <c r="H102" s="3132"/>
      <c r="I102" s="1"/>
      <c r="J102" s="3136"/>
      <c r="K102" s="9148"/>
      <c r="L102" s="9149"/>
      <c r="M102" s="1"/>
      <c r="N102" s="3111">
        <v>2</v>
      </c>
      <c r="O102" s="3112" t="s">
        <v>2796</v>
      </c>
      <c r="P102" s="3113" t="s">
        <v>11302</v>
      </c>
      <c r="Q102" s="3114" t="s">
        <v>11303</v>
      </c>
      <c r="R102" s="3115" t="s">
        <v>11304</v>
      </c>
      <c r="S102" s="3116" t="s">
        <v>11305</v>
      </c>
      <c r="T102" s="3115" t="s">
        <v>11306</v>
      </c>
      <c r="V102" s="3008">
        <v>22</v>
      </c>
      <c r="W102" s="2991" t="s">
        <v>2943</v>
      </c>
      <c r="X102" s="3004" t="s">
        <v>8453</v>
      </c>
      <c r="Y102" s="3004" t="s">
        <v>8454</v>
      </c>
      <c r="AA102" s="3008"/>
      <c r="AB102" s="2991"/>
      <c r="AC102" s="3010"/>
      <c r="AD102" s="3010"/>
      <c r="AF102" s="2730">
        <v>1</v>
      </c>
    </row>
    <row r="103" spans="2:32" ht="30" customHeight="1">
      <c r="B103" s="2998"/>
      <c r="C103" s="2840"/>
      <c r="D103" s="3132"/>
      <c r="E103" s="3154"/>
      <c r="F103" s="3132"/>
      <c r="G103" s="3155"/>
      <c r="H103" s="3132"/>
      <c r="I103" s="1"/>
      <c r="J103" s="3110" t="s">
        <v>633</v>
      </c>
      <c r="K103" s="3119"/>
      <c r="L103" s="3126" t="s">
        <v>2182</v>
      </c>
      <c r="M103" s="1"/>
      <c r="N103" s="3111">
        <f t="shared" ref="N103" si="17">N102+1</f>
        <v>3</v>
      </c>
      <c r="O103" s="3112" t="s">
        <v>2798</v>
      </c>
      <c r="P103" s="3113" t="s">
        <v>11307</v>
      </c>
      <c r="Q103" s="3114" t="s">
        <v>11308</v>
      </c>
      <c r="R103" s="3115" t="s">
        <v>11309</v>
      </c>
      <c r="S103" s="3116" t="s">
        <v>11310</v>
      </c>
      <c r="T103" s="3115" t="s">
        <v>11311</v>
      </c>
      <c r="V103" s="3008">
        <v>23</v>
      </c>
      <c r="W103" s="2991" t="s">
        <v>8464</v>
      </c>
      <c r="X103" s="3004" t="s">
        <v>8465</v>
      </c>
      <c r="Y103" s="3004" t="s">
        <v>8466</v>
      </c>
      <c r="AA103" s="3008"/>
      <c r="AB103" s="2991"/>
      <c r="AC103" s="3010"/>
      <c r="AD103" s="3010"/>
      <c r="AF103" s="2730">
        <v>1</v>
      </c>
    </row>
    <row r="104" spans="2:32" ht="30" customHeight="1">
      <c r="B104" s="2998"/>
      <c r="C104" s="2840"/>
      <c r="D104" s="3132"/>
      <c r="E104" s="3154"/>
      <c r="F104" s="3132"/>
      <c r="G104" s="3155"/>
      <c r="H104" s="3132"/>
      <c r="I104" s="1"/>
      <c r="J104" s="3125"/>
      <c r="K104" s="3119"/>
      <c r="L104" s="3126"/>
      <c r="M104" s="1"/>
      <c r="N104" s="3111">
        <v>3</v>
      </c>
      <c r="O104" s="3112" t="s">
        <v>2804</v>
      </c>
      <c r="P104" s="3113" t="s">
        <v>11312</v>
      </c>
      <c r="Q104" s="3114" t="s">
        <v>11313</v>
      </c>
      <c r="R104" s="3115" t="s">
        <v>11314</v>
      </c>
      <c r="S104" s="3116" t="s">
        <v>11315</v>
      </c>
      <c r="T104" s="3115" t="s">
        <v>11316</v>
      </c>
      <c r="V104" s="3008"/>
      <c r="AA104" s="3008"/>
      <c r="AB104" s="2991"/>
      <c r="AC104" s="3010"/>
      <c r="AD104" s="3010"/>
      <c r="AF104" s="2730">
        <v>1</v>
      </c>
    </row>
    <row r="105" spans="2:32" ht="30" customHeight="1">
      <c r="B105" s="2998"/>
      <c r="C105" s="2840"/>
      <c r="D105" s="3132"/>
      <c r="E105" s="3154"/>
      <c r="F105" s="3132"/>
      <c r="G105" s="3155"/>
      <c r="H105" s="3132"/>
      <c r="I105" s="1"/>
      <c r="J105" s="3125"/>
      <c r="K105" s="3119"/>
      <c r="L105" s="3126"/>
      <c r="M105" s="1"/>
      <c r="N105" s="3111">
        <f t="shared" ref="N105" si="18">N104+1</f>
        <v>4</v>
      </c>
      <c r="O105" s="3112" t="s">
        <v>2807</v>
      </c>
      <c r="P105" s="3113" t="s">
        <v>11317</v>
      </c>
      <c r="Q105" s="3114" t="s">
        <v>11318</v>
      </c>
      <c r="R105" s="3115" t="s">
        <v>11319</v>
      </c>
      <c r="S105" s="3116" t="s">
        <v>11320</v>
      </c>
      <c r="T105" s="3115" t="s">
        <v>11321</v>
      </c>
      <c r="V105" s="3008"/>
      <c r="W105" s="3029" t="s">
        <v>8475</v>
      </c>
      <c r="X105" s="3137"/>
      <c r="Y105" s="3137"/>
      <c r="AA105" s="3008"/>
      <c r="AB105" s="2991"/>
      <c r="AC105" s="3010"/>
      <c r="AD105" s="3010"/>
      <c r="AF105" s="2730">
        <v>1</v>
      </c>
    </row>
    <row r="106" spans="2:32" ht="30" customHeight="1">
      <c r="B106" s="2998"/>
      <c r="C106" s="2840"/>
      <c r="D106" s="3132"/>
      <c r="E106" s="3154"/>
      <c r="F106" s="3132"/>
      <c r="G106" s="3155"/>
      <c r="H106" s="3132"/>
      <c r="I106" s="1"/>
      <c r="J106" s="3162"/>
      <c r="K106" s="3163"/>
      <c r="L106" s="3164"/>
      <c r="M106" s="1"/>
      <c r="N106" s="3111">
        <v>4</v>
      </c>
      <c r="O106" s="3112" t="s">
        <v>2809</v>
      </c>
      <c r="P106" s="3113" t="s">
        <v>11322</v>
      </c>
      <c r="Q106" s="3114" t="s">
        <v>11323</v>
      </c>
      <c r="R106" s="3115" t="s">
        <v>11324</v>
      </c>
      <c r="S106" s="3116" t="s">
        <v>11325</v>
      </c>
      <c r="T106" s="3115" t="s">
        <v>11326</v>
      </c>
      <c r="V106" s="3008">
        <v>1</v>
      </c>
      <c r="W106" s="2991" t="s">
        <v>2917</v>
      </c>
      <c r="X106" s="3004" t="s">
        <v>8479</v>
      </c>
      <c r="Y106" s="3004" t="s">
        <v>8480</v>
      </c>
      <c r="AA106" s="3008"/>
      <c r="AB106" s="2991"/>
      <c r="AC106" s="3010"/>
      <c r="AD106" s="3010"/>
      <c r="AF106" s="2730">
        <v>1</v>
      </c>
    </row>
    <row r="107" spans="2:32" ht="30" customHeight="1">
      <c r="B107" s="2998"/>
      <c r="C107" s="2840"/>
      <c r="D107" s="3132"/>
      <c r="E107" s="3154"/>
      <c r="F107" s="3132"/>
      <c r="G107" s="3155"/>
      <c r="H107" s="3132"/>
      <c r="I107" s="1"/>
      <c r="M107" s="1"/>
      <c r="N107" s="3111"/>
      <c r="O107" s="3104" t="s">
        <v>34</v>
      </c>
      <c r="P107" s="3000"/>
      <c r="Q107" s="3144"/>
      <c r="R107" s="3145"/>
      <c r="S107" s="3146"/>
      <c r="T107" s="3147"/>
      <c r="V107" s="3008">
        <v>2</v>
      </c>
      <c r="W107" s="2991" t="s">
        <v>8486</v>
      </c>
      <c r="X107" s="3004" t="s">
        <v>8487</v>
      </c>
      <c r="Y107" s="3004" t="s">
        <v>8488</v>
      </c>
      <c r="AA107" s="3008"/>
      <c r="AB107" s="2991"/>
      <c r="AC107" s="3010"/>
      <c r="AD107" s="3010"/>
      <c r="AF107" s="2730">
        <v>1</v>
      </c>
    </row>
    <row r="108" spans="2:32" ht="30" customHeight="1">
      <c r="B108" s="2998"/>
      <c r="C108" s="2840"/>
      <c r="D108" s="3132"/>
      <c r="E108" s="3154"/>
      <c r="F108" s="3132"/>
      <c r="G108" s="3155"/>
      <c r="H108" s="3132"/>
      <c r="I108" s="1"/>
      <c r="M108" s="1"/>
      <c r="N108" s="3111">
        <v>1</v>
      </c>
      <c r="O108" s="3112" t="s">
        <v>2811</v>
      </c>
      <c r="P108" s="3113" t="s">
        <v>11327</v>
      </c>
      <c r="Q108" s="3114" t="s">
        <v>11328</v>
      </c>
      <c r="R108" s="3115" t="s">
        <v>11329</v>
      </c>
      <c r="S108" s="3116" t="s">
        <v>11330</v>
      </c>
      <c r="T108" s="3115" t="s">
        <v>11331</v>
      </c>
      <c r="V108" s="3008">
        <v>3</v>
      </c>
      <c r="W108" s="2991" t="s">
        <v>2919</v>
      </c>
      <c r="X108" s="3004" t="s">
        <v>8498</v>
      </c>
      <c r="Y108" s="3004" t="s">
        <v>8499</v>
      </c>
      <c r="AA108" s="3008"/>
      <c r="AB108" s="2991"/>
      <c r="AC108" s="3010"/>
      <c r="AD108" s="3010"/>
      <c r="AF108" s="2730">
        <v>1</v>
      </c>
    </row>
    <row r="109" spans="2:32" ht="30" customHeight="1">
      <c r="B109" s="2998"/>
      <c r="C109" s="2840"/>
      <c r="D109" s="3132"/>
      <c r="E109" s="3154"/>
      <c r="F109" s="3132"/>
      <c r="G109" s="3155"/>
      <c r="H109" s="3132"/>
      <c r="I109" s="1"/>
      <c r="M109" s="1"/>
      <c r="N109" s="3111"/>
      <c r="O109" s="3104" t="s">
        <v>537</v>
      </c>
      <c r="P109" s="3000"/>
      <c r="Q109" s="3144"/>
      <c r="R109" s="3145"/>
      <c r="S109" s="3146"/>
      <c r="T109" s="3147"/>
      <c r="V109" s="3008">
        <v>4</v>
      </c>
      <c r="W109" s="2991" t="s">
        <v>8509</v>
      </c>
      <c r="X109" s="3004" t="s">
        <v>8510</v>
      </c>
      <c r="Y109" s="3004" t="s">
        <v>8511</v>
      </c>
      <c r="AA109" s="3008"/>
      <c r="AB109" s="2991"/>
      <c r="AC109" s="3010"/>
      <c r="AD109" s="3010"/>
      <c r="AF109" s="2730">
        <v>1</v>
      </c>
    </row>
    <row r="110" spans="2:32" ht="30" customHeight="1">
      <c r="B110" s="2998"/>
      <c r="C110" s="2840"/>
      <c r="D110" s="3132"/>
      <c r="E110" s="3154"/>
      <c r="F110" s="3132"/>
      <c r="G110" s="3155"/>
      <c r="H110" s="3132"/>
      <c r="I110" s="1"/>
      <c r="M110" s="1"/>
      <c r="N110" s="3111">
        <v>1</v>
      </c>
      <c r="O110" s="3112" t="s">
        <v>2817</v>
      </c>
      <c r="P110" s="3113" t="s">
        <v>11332</v>
      </c>
      <c r="Q110" s="3114" t="s">
        <v>11333</v>
      </c>
      <c r="R110" s="3115" t="s">
        <v>11334</v>
      </c>
      <c r="S110" s="3116" t="s">
        <v>11335</v>
      </c>
      <c r="T110" s="3115" t="s">
        <v>11336</v>
      </c>
      <c r="V110" s="3008">
        <v>5</v>
      </c>
      <c r="W110" s="2991" t="s">
        <v>8518</v>
      </c>
      <c r="X110" s="3004" t="s">
        <v>8519</v>
      </c>
      <c r="Y110" s="3004" t="s">
        <v>8520</v>
      </c>
      <c r="AA110" s="3008"/>
      <c r="AB110" s="2991"/>
      <c r="AC110" s="3010"/>
      <c r="AD110" s="3010"/>
      <c r="AF110" s="2730">
        <v>1</v>
      </c>
    </row>
    <row r="111" spans="2:32" ht="30" customHeight="1">
      <c r="B111" s="2998"/>
      <c r="C111" s="2840"/>
      <c r="D111" s="3132"/>
      <c r="E111" s="3154"/>
      <c r="F111" s="3132"/>
      <c r="G111" s="3155"/>
      <c r="H111" s="3132"/>
      <c r="I111" s="1"/>
      <c r="M111" s="1"/>
      <c r="N111" s="3111">
        <v>2</v>
      </c>
      <c r="O111" s="3112" t="s">
        <v>2821</v>
      </c>
      <c r="P111" s="3113" t="s">
        <v>11337</v>
      </c>
      <c r="Q111" s="3114" t="s">
        <v>11338</v>
      </c>
      <c r="R111" s="3115" t="s">
        <v>11339</v>
      </c>
      <c r="S111" s="3116" t="s">
        <v>11340</v>
      </c>
      <c r="T111" s="3115" t="s">
        <v>11341</v>
      </c>
      <c r="V111" s="3008">
        <v>6</v>
      </c>
      <c r="W111" s="2991" t="s">
        <v>2822</v>
      </c>
      <c r="X111" s="3004" t="s">
        <v>8526</v>
      </c>
      <c r="Y111" s="3004" t="s">
        <v>8527</v>
      </c>
      <c r="AA111" s="3008"/>
      <c r="AB111" s="2991"/>
      <c r="AC111" s="3010"/>
      <c r="AD111" s="3010"/>
      <c r="AF111" s="2730">
        <v>1</v>
      </c>
    </row>
    <row r="112" spans="2:32" ht="30" customHeight="1">
      <c r="B112" s="2998"/>
      <c r="C112" s="2840"/>
      <c r="D112" s="3132"/>
      <c r="E112" s="3154"/>
      <c r="F112" s="3132"/>
      <c r="G112" s="3155"/>
      <c r="H112" s="3132"/>
      <c r="I112" s="1"/>
      <c r="M112" s="1"/>
      <c r="N112" s="3111">
        <f>N111+1</f>
        <v>3</v>
      </c>
      <c r="O112" s="3112" t="s">
        <v>2824</v>
      </c>
      <c r="P112" s="3113" t="s">
        <v>11342</v>
      </c>
      <c r="Q112" s="3114" t="s">
        <v>11343</v>
      </c>
      <c r="R112" s="3115" t="s">
        <v>11344</v>
      </c>
      <c r="S112" s="3116" t="s">
        <v>11345</v>
      </c>
      <c r="T112" s="3115" t="s">
        <v>11346</v>
      </c>
      <c r="V112" s="3008">
        <v>7</v>
      </c>
      <c r="W112" s="2991" t="s">
        <v>8534</v>
      </c>
      <c r="X112" s="3004" t="s">
        <v>8535</v>
      </c>
      <c r="Y112" s="3004" t="s">
        <v>8536</v>
      </c>
      <c r="AA112" s="3008"/>
      <c r="AB112" s="2991"/>
      <c r="AC112" s="3010"/>
      <c r="AD112" s="3010"/>
      <c r="AF112" s="2730">
        <v>1</v>
      </c>
    </row>
    <row r="113" spans="2:32" ht="30" customHeight="1">
      <c r="B113" s="2998"/>
      <c r="C113" s="2840"/>
      <c r="D113" s="3132"/>
      <c r="E113" s="3154"/>
      <c r="F113" s="3132"/>
      <c r="G113" s="3155"/>
      <c r="H113" s="3132"/>
      <c r="I113" s="1"/>
      <c r="M113" s="1"/>
      <c r="N113" s="3111"/>
      <c r="O113" s="3104" t="s">
        <v>575</v>
      </c>
      <c r="P113" s="3000"/>
      <c r="Q113" s="3144"/>
      <c r="R113" s="3145"/>
      <c r="S113" s="3146"/>
      <c r="T113" s="3147"/>
      <c r="V113" s="3008">
        <v>8</v>
      </c>
      <c r="W113" s="2991" t="s">
        <v>8542</v>
      </c>
      <c r="X113" s="3004" t="s">
        <v>8543</v>
      </c>
      <c r="Y113" s="3004" t="s">
        <v>8544</v>
      </c>
      <c r="AA113" s="3008"/>
      <c r="AB113" s="2991"/>
      <c r="AC113" s="3010"/>
      <c r="AD113" s="3010"/>
      <c r="AF113" s="2730">
        <v>1</v>
      </c>
    </row>
    <row r="114" spans="2:32" ht="30" customHeight="1">
      <c r="B114" s="2998"/>
      <c r="C114" s="2840"/>
      <c r="D114" s="3132"/>
      <c r="E114" s="3154"/>
      <c r="F114" s="3132"/>
      <c r="G114" s="3155"/>
      <c r="H114" s="3132"/>
      <c r="I114" s="1"/>
      <c r="M114" s="1"/>
      <c r="N114" s="3111">
        <v>1</v>
      </c>
      <c r="O114" s="3112" t="s">
        <v>2827</v>
      </c>
      <c r="P114" s="3113" t="s">
        <v>11347</v>
      </c>
      <c r="Q114" s="3114" t="s">
        <v>11348</v>
      </c>
      <c r="R114" s="3115" t="s">
        <v>11349</v>
      </c>
      <c r="S114" s="3116" t="s">
        <v>11350</v>
      </c>
      <c r="T114" s="3115" t="s">
        <v>11351</v>
      </c>
      <c r="V114" s="3008">
        <v>9</v>
      </c>
      <c r="W114" s="2991" t="s">
        <v>8551</v>
      </c>
      <c r="X114" s="3004" t="s">
        <v>8552</v>
      </c>
      <c r="Y114" s="3004" t="s">
        <v>8553</v>
      </c>
      <c r="AA114" s="3008"/>
      <c r="AB114" s="2991"/>
      <c r="AC114" s="3010"/>
      <c r="AD114" s="3010"/>
      <c r="AF114" s="2730">
        <v>1</v>
      </c>
    </row>
    <row r="115" spans="2:32" ht="30" customHeight="1">
      <c r="B115" s="2998"/>
      <c r="C115" s="2840"/>
      <c r="D115" s="3132"/>
      <c r="E115" s="3154"/>
      <c r="F115" s="3132"/>
      <c r="G115" s="3155"/>
      <c r="H115" s="3132"/>
      <c r="I115" s="1"/>
      <c r="M115" s="1"/>
      <c r="N115" s="3111"/>
      <c r="O115" s="3104" t="s">
        <v>583</v>
      </c>
      <c r="P115" s="3000"/>
      <c r="Q115" s="3144"/>
      <c r="R115" s="3145"/>
      <c r="S115" s="3146"/>
      <c r="T115" s="3147"/>
      <c r="V115" s="3008">
        <v>10</v>
      </c>
      <c r="W115" s="2991" t="s">
        <v>8560</v>
      </c>
      <c r="X115" s="3004" t="s">
        <v>8561</v>
      </c>
      <c r="Y115" s="3004" t="s">
        <v>8562</v>
      </c>
      <c r="AA115" s="3008"/>
      <c r="AB115" s="2991"/>
      <c r="AC115" s="3010"/>
      <c r="AD115" s="3010"/>
      <c r="AF115" s="2730">
        <v>1</v>
      </c>
    </row>
    <row r="116" spans="2:32" ht="30" customHeight="1">
      <c r="B116" s="2998"/>
      <c r="C116" s="2840"/>
      <c r="D116" s="3132"/>
      <c r="E116" s="3154"/>
      <c r="F116" s="3132"/>
      <c r="G116" s="3155"/>
      <c r="H116" s="3132"/>
      <c r="I116" s="1"/>
      <c r="M116" s="1"/>
      <c r="N116" s="3111">
        <v>1</v>
      </c>
      <c r="O116" s="3112" t="s">
        <v>2831</v>
      </c>
      <c r="P116" s="3113" t="s">
        <v>11352</v>
      </c>
      <c r="Q116" s="3114" t="s">
        <v>11353</v>
      </c>
      <c r="R116" s="3115" t="s">
        <v>11354</v>
      </c>
      <c r="S116" s="3116" t="s">
        <v>11355</v>
      </c>
      <c r="T116" s="3115" t="s">
        <v>11356</v>
      </c>
      <c r="V116" s="3008">
        <v>11</v>
      </c>
      <c r="W116" s="2991" t="s">
        <v>2922</v>
      </c>
      <c r="X116" s="3004" t="s">
        <v>8569</v>
      </c>
      <c r="Y116" s="3004" t="s">
        <v>8570</v>
      </c>
      <c r="AA116" s="3008"/>
      <c r="AB116" s="2991"/>
      <c r="AC116" s="3010"/>
      <c r="AD116" s="3010"/>
      <c r="AF116" s="2730">
        <v>1</v>
      </c>
    </row>
    <row r="117" spans="2:32" ht="30" customHeight="1">
      <c r="B117" s="2998"/>
      <c r="C117" s="2840"/>
      <c r="D117" s="3132"/>
      <c r="E117" s="3154"/>
      <c r="F117" s="3132"/>
      <c r="G117" s="3155"/>
      <c r="H117" s="3132"/>
      <c r="I117" s="1"/>
      <c r="M117" s="1"/>
      <c r="N117" s="3111">
        <f>N116+1</f>
        <v>2</v>
      </c>
      <c r="O117" s="3112" t="s">
        <v>2833</v>
      </c>
      <c r="P117" s="3113" t="s">
        <v>11357</v>
      </c>
      <c r="Q117" s="3114" t="s">
        <v>11358</v>
      </c>
      <c r="R117" s="3115" t="s">
        <v>11359</v>
      </c>
      <c r="S117" s="3116" t="s">
        <v>11360</v>
      </c>
      <c r="T117" s="3115" t="s">
        <v>11361</v>
      </c>
      <c r="V117" s="3008">
        <v>12</v>
      </c>
      <c r="W117" s="2991" t="s">
        <v>2923</v>
      </c>
      <c r="X117" s="3004" t="s">
        <v>8576</v>
      </c>
      <c r="Y117" s="3004" t="s">
        <v>8577</v>
      </c>
      <c r="AA117" s="3008"/>
      <c r="AB117" s="2991"/>
      <c r="AC117" s="3010"/>
      <c r="AD117" s="3010"/>
      <c r="AF117" s="2730">
        <v>1</v>
      </c>
    </row>
    <row r="118" spans="2:32" ht="30" customHeight="1">
      <c r="B118" s="2998"/>
      <c r="C118" s="2840"/>
      <c r="D118" s="3132"/>
      <c r="E118" s="3154"/>
      <c r="F118" s="3132"/>
      <c r="G118" s="3155"/>
      <c r="H118" s="3132"/>
      <c r="I118" s="1"/>
      <c r="M118" s="1"/>
      <c r="N118" s="3111">
        <f>N117+1</f>
        <v>3</v>
      </c>
      <c r="O118" s="3112" t="s">
        <v>2835</v>
      </c>
      <c r="P118" s="3113" t="s">
        <v>11362</v>
      </c>
      <c r="Q118" s="3114" t="s">
        <v>11363</v>
      </c>
      <c r="R118" s="3115" t="s">
        <v>11364</v>
      </c>
      <c r="S118" s="3116" t="s">
        <v>11365</v>
      </c>
      <c r="T118" s="3115" t="s">
        <v>11366</v>
      </c>
      <c r="V118" s="3008"/>
      <c r="AA118" s="3008"/>
      <c r="AB118" s="2991"/>
      <c r="AC118" s="3010"/>
      <c r="AD118" s="3010"/>
      <c r="AF118" s="2730">
        <v>1</v>
      </c>
    </row>
    <row r="119" spans="2:32" ht="30" customHeight="1">
      <c r="B119" s="2998">
        <v>1</v>
      </c>
      <c r="C119" s="2840"/>
      <c r="D119" s="3132"/>
      <c r="E119" s="3154"/>
      <c r="F119" s="3132"/>
      <c r="G119" s="3155"/>
      <c r="H119" s="3132"/>
      <c r="I119" s="1"/>
      <c r="M119" s="1"/>
      <c r="N119" s="3111"/>
      <c r="O119" s="3104" t="s">
        <v>620</v>
      </c>
      <c r="P119" s="3000"/>
      <c r="Q119" s="3144"/>
      <c r="R119" s="3145"/>
      <c r="S119" s="3146"/>
      <c r="T119" s="3147"/>
      <c r="V119" s="3008"/>
      <c r="W119" s="3029" t="s">
        <v>8589</v>
      </c>
      <c r="X119" s="3029" t="s">
        <v>8590</v>
      </c>
      <c r="Y119" s="3029" t="s">
        <v>8591</v>
      </c>
      <c r="AA119" s="3008"/>
      <c r="AB119" s="2991"/>
      <c r="AC119" s="3010"/>
      <c r="AD119" s="3010"/>
      <c r="AF119" s="2730">
        <v>1</v>
      </c>
    </row>
    <row r="120" spans="2:32" ht="30" customHeight="1">
      <c r="B120" s="2998"/>
      <c r="C120" s="2840"/>
      <c r="D120" s="3132"/>
      <c r="E120" s="3154"/>
      <c r="F120" s="3132"/>
      <c r="G120" s="3155"/>
      <c r="H120" s="3132"/>
      <c r="I120" s="1"/>
      <c r="M120" s="1"/>
      <c r="N120" s="3111">
        <v>1</v>
      </c>
      <c r="O120" s="3112" t="s">
        <v>2838</v>
      </c>
      <c r="P120" s="3113" t="s">
        <v>11367</v>
      </c>
      <c r="Q120" s="3114" t="s">
        <v>11368</v>
      </c>
      <c r="R120" s="3115" t="s">
        <v>11369</v>
      </c>
      <c r="S120" s="3116" t="s">
        <v>11370</v>
      </c>
      <c r="T120" s="3115" t="s">
        <v>11371</v>
      </c>
      <c r="V120" s="3008">
        <v>1</v>
      </c>
      <c r="W120" s="2991" t="s">
        <v>2957</v>
      </c>
      <c r="X120" s="3004" t="s">
        <v>8598</v>
      </c>
      <c r="Y120" s="3004" t="s">
        <v>8599</v>
      </c>
      <c r="AA120" s="3008"/>
      <c r="AB120" s="2991"/>
      <c r="AC120" s="3010"/>
      <c r="AD120" s="3010"/>
      <c r="AF120" s="2730">
        <v>1</v>
      </c>
    </row>
    <row r="121" spans="2:32" ht="30" customHeight="1">
      <c r="B121" s="2998"/>
      <c r="C121" s="2840"/>
      <c r="D121" s="3132"/>
      <c r="E121" s="3154"/>
      <c r="F121" s="3132"/>
      <c r="G121" s="3155"/>
      <c r="H121" s="3132"/>
      <c r="I121" s="1"/>
      <c r="M121" s="1"/>
      <c r="N121" s="3111">
        <f>N120+1</f>
        <v>2</v>
      </c>
      <c r="O121" s="3112" t="s">
        <v>2840</v>
      </c>
      <c r="P121" s="3113" t="s">
        <v>11372</v>
      </c>
      <c r="Q121" s="3114" t="s">
        <v>11373</v>
      </c>
      <c r="R121" s="3115" t="s">
        <v>11374</v>
      </c>
      <c r="S121" s="3116" t="s">
        <v>11375</v>
      </c>
      <c r="T121" s="3165" t="s">
        <v>11376</v>
      </c>
      <c r="V121" s="3008">
        <v>2</v>
      </c>
      <c r="W121" s="2991" t="s">
        <v>2958</v>
      </c>
      <c r="X121" s="3004" t="s">
        <v>8606</v>
      </c>
      <c r="Y121" s="3004" t="s">
        <v>8607</v>
      </c>
      <c r="AA121" s="3008"/>
      <c r="AB121" s="2991"/>
      <c r="AC121" s="3010"/>
      <c r="AD121" s="3010"/>
      <c r="AF121" s="2730">
        <v>1</v>
      </c>
    </row>
    <row r="122" spans="2:32" ht="30" customHeight="1">
      <c r="B122" s="2998"/>
      <c r="C122" s="2840"/>
      <c r="D122" s="3132"/>
      <c r="E122" s="3154"/>
      <c r="F122" s="3132"/>
      <c r="G122" s="3155"/>
      <c r="H122" s="3132"/>
      <c r="I122" s="1"/>
      <c r="M122" s="1"/>
      <c r="N122" s="3111">
        <f t="shared" ref="N122:N125" si="19">N121+1</f>
        <v>3</v>
      </c>
      <c r="O122" s="3112" t="s">
        <v>2842</v>
      </c>
      <c r="P122" s="3113" t="s">
        <v>11377</v>
      </c>
      <c r="Q122" s="3114" t="s">
        <v>11378</v>
      </c>
      <c r="R122" s="3115" t="s">
        <v>11379</v>
      </c>
      <c r="S122" s="3116" t="s">
        <v>11380</v>
      </c>
      <c r="T122" s="3115" t="s">
        <v>11381</v>
      </c>
      <c r="V122" s="3008">
        <v>3</v>
      </c>
      <c r="W122" s="2991" t="s">
        <v>2960</v>
      </c>
      <c r="X122" s="3004" t="s">
        <v>8614</v>
      </c>
      <c r="Y122" s="3004" t="s">
        <v>8615</v>
      </c>
      <c r="AA122" s="3008"/>
      <c r="AB122" s="2991"/>
      <c r="AC122" s="3010"/>
      <c r="AD122" s="3010"/>
      <c r="AF122" s="2730">
        <v>1</v>
      </c>
    </row>
    <row r="123" spans="2:32" ht="30" customHeight="1">
      <c r="B123" s="2998"/>
      <c r="C123" s="2840"/>
      <c r="D123" s="3132"/>
      <c r="E123" s="3154"/>
      <c r="F123" s="3132"/>
      <c r="G123" s="3155"/>
      <c r="H123" s="3132"/>
      <c r="I123" s="1"/>
      <c r="M123" s="1"/>
      <c r="N123" s="3111">
        <f t="shared" si="19"/>
        <v>4</v>
      </c>
      <c r="O123" s="3112" t="s">
        <v>2844</v>
      </c>
      <c r="P123" s="3113" t="s">
        <v>11382</v>
      </c>
      <c r="Q123" s="3114" t="s">
        <v>11383</v>
      </c>
      <c r="R123" s="3115" t="s">
        <v>11384</v>
      </c>
      <c r="S123" s="3116" t="s">
        <v>11385</v>
      </c>
      <c r="T123" s="3115" t="s">
        <v>11386</v>
      </c>
      <c r="V123" s="3008">
        <v>4</v>
      </c>
      <c r="W123" s="2991" t="s">
        <v>2939</v>
      </c>
      <c r="X123" s="3004" t="s">
        <v>8621</v>
      </c>
      <c r="Y123" s="3004" t="s">
        <v>8622</v>
      </c>
      <c r="AA123" s="3008"/>
      <c r="AB123" s="2991"/>
      <c r="AC123" s="3010"/>
      <c r="AD123" s="3010"/>
      <c r="AF123" s="2730">
        <v>1</v>
      </c>
    </row>
    <row r="124" spans="2:32" ht="30" customHeight="1">
      <c r="B124" s="2998"/>
      <c r="C124" s="2840"/>
      <c r="D124" s="3132"/>
      <c r="E124" s="3154"/>
      <c r="F124" s="3132"/>
      <c r="G124" s="3155"/>
      <c r="H124" s="3132"/>
      <c r="I124" s="1"/>
      <c r="M124" s="1"/>
      <c r="N124" s="3111">
        <f t="shared" si="19"/>
        <v>5</v>
      </c>
      <c r="O124" s="3112" t="s">
        <v>2847</v>
      </c>
      <c r="P124" s="3113" t="s">
        <v>11387</v>
      </c>
      <c r="Q124" s="3114" t="s">
        <v>11388</v>
      </c>
      <c r="R124" s="3115" t="s">
        <v>11389</v>
      </c>
      <c r="S124" s="3116" t="s">
        <v>11390</v>
      </c>
      <c r="T124" s="3115" t="s">
        <v>11391</v>
      </c>
      <c r="V124" s="3008">
        <v>5</v>
      </c>
      <c r="W124" s="2991" t="s">
        <v>2962</v>
      </c>
      <c r="X124" s="3004" t="s">
        <v>8628</v>
      </c>
      <c r="Y124" s="3004" t="s">
        <v>8629</v>
      </c>
      <c r="AA124" s="3008"/>
      <c r="AB124" s="2991"/>
      <c r="AC124" s="3010"/>
      <c r="AD124" s="3010"/>
      <c r="AF124" s="2730">
        <v>1</v>
      </c>
    </row>
    <row r="125" spans="2:32" ht="30" customHeight="1">
      <c r="B125" s="2998"/>
      <c r="C125" s="2840"/>
      <c r="D125" s="3132"/>
      <c r="E125" s="3154"/>
      <c r="F125" s="3132"/>
      <c r="G125" s="3155"/>
      <c r="H125" s="3132"/>
      <c r="I125" s="1"/>
      <c r="M125" s="1"/>
      <c r="N125" s="3111">
        <f t="shared" si="19"/>
        <v>6</v>
      </c>
      <c r="O125" s="3112" t="s">
        <v>2849</v>
      </c>
      <c r="P125" s="3113" t="s">
        <v>11392</v>
      </c>
      <c r="Q125" s="3114" t="s">
        <v>11393</v>
      </c>
      <c r="R125" s="3115" t="s">
        <v>11394</v>
      </c>
      <c r="S125" s="3116" t="s">
        <v>11395</v>
      </c>
      <c r="T125" s="3115" t="s">
        <v>11396</v>
      </c>
      <c r="V125" s="3008">
        <v>6</v>
      </c>
      <c r="W125" s="2991" t="s">
        <v>2924</v>
      </c>
      <c r="X125" s="3004" t="s">
        <v>8635</v>
      </c>
      <c r="Y125" s="3004" t="s">
        <v>8636</v>
      </c>
      <c r="AA125" s="3008"/>
      <c r="AB125" s="2991"/>
      <c r="AC125" s="3010"/>
      <c r="AD125" s="3010"/>
      <c r="AF125" s="2730">
        <v>1</v>
      </c>
    </row>
    <row r="126" spans="2:32" ht="30" customHeight="1">
      <c r="B126" s="2998"/>
      <c r="C126" s="2840"/>
      <c r="D126" s="3132"/>
      <c r="E126" s="3154"/>
      <c r="F126" s="3132"/>
      <c r="G126" s="3155"/>
      <c r="H126" s="3132"/>
      <c r="I126" s="1"/>
      <c r="M126" s="1"/>
      <c r="N126" s="3111"/>
      <c r="O126" s="3104" t="s">
        <v>516</v>
      </c>
      <c r="P126" s="3000"/>
      <c r="Q126" s="3144"/>
      <c r="R126" s="3145"/>
      <c r="S126" s="3146"/>
      <c r="T126" s="3147"/>
      <c r="V126" s="3062"/>
      <c r="AA126" s="3008"/>
      <c r="AB126" s="2991"/>
      <c r="AC126" s="3010"/>
      <c r="AD126" s="3010"/>
      <c r="AF126" s="2730">
        <v>1</v>
      </c>
    </row>
    <row r="127" spans="2:32" ht="30" customHeight="1">
      <c r="B127" s="2998"/>
      <c r="C127" s="2840"/>
      <c r="D127" s="3132"/>
      <c r="E127" s="3154"/>
      <c r="F127" s="3132"/>
      <c r="G127" s="3155"/>
      <c r="H127" s="3132"/>
      <c r="I127" s="1"/>
      <c r="M127" s="1"/>
      <c r="N127" s="3111">
        <v>1</v>
      </c>
      <c r="O127" s="3112" t="s">
        <v>2852</v>
      </c>
      <c r="P127" s="3113" t="s">
        <v>11397</v>
      </c>
      <c r="Q127" s="3114" t="s">
        <v>11398</v>
      </c>
      <c r="R127" s="3115" t="s">
        <v>11399</v>
      </c>
      <c r="S127" s="3116" t="s">
        <v>11400</v>
      </c>
      <c r="T127" s="3115" t="s">
        <v>11401</v>
      </c>
      <c r="V127" s="3062"/>
      <c r="W127" s="3029" t="s">
        <v>8647</v>
      </c>
      <c r="X127" s="3029" t="s">
        <v>8648</v>
      </c>
      <c r="Y127" s="3029" t="s">
        <v>8649</v>
      </c>
      <c r="AA127" s="3008"/>
      <c r="AB127" s="2991"/>
      <c r="AC127" s="3010"/>
      <c r="AD127" s="3010"/>
      <c r="AF127" s="2730">
        <v>1</v>
      </c>
    </row>
    <row r="128" spans="2:32" ht="30" customHeight="1">
      <c r="B128" s="2998"/>
      <c r="C128" s="2840"/>
      <c r="D128" s="3132"/>
      <c r="E128" s="3154"/>
      <c r="F128" s="3132"/>
      <c r="G128" s="3155"/>
      <c r="H128" s="3132"/>
      <c r="I128" s="1"/>
      <c r="M128" s="1"/>
      <c r="N128" s="3111">
        <f>N127+1</f>
        <v>2</v>
      </c>
      <c r="O128" s="3112" t="s">
        <v>2855</v>
      </c>
      <c r="P128" s="3113" t="s">
        <v>11402</v>
      </c>
      <c r="Q128" s="3114" t="s">
        <v>11403</v>
      </c>
      <c r="R128" s="3115" t="s">
        <v>11404</v>
      </c>
      <c r="S128" s="3116" t="s">
        <v>11405</v>
      </c>
      <c r="T128" s="3115" t="s">
        <v>11406</v>
      </c>
      <c r="V128" s="3008">
        <v>1</v>
      </c>
      <c r="W128" s="2991" t="s">
        <v>2965</v>
      </c>
      <c r="X128" s="3004" t="s">
        <v>8655</v>
      </c>
      <c r="Y128" s="3004" t="s">
        <v>8656</v>
      </c>
      <c r="AA128" s="3008"/>
      <c r="AB128" s="2991"/>
      <c r="AC128" s="3010"/>
      <c r="AD128" s="3010"/>
      <c r="AF128" s="2730">
        <v>1</v>
      </c>
    </row>
    <row r="129" spans="2:32" ht="30" customHeight="1">
      <c r="B129" s="2998"/>
      <c r="C129" s="2840"/>
      <c r="D129" s="3132"/>
      <c r="E129" s="3154"/>
      <c r="F129" s="3132"/>
      <c r="G129" s="3155"/>
      <c r="H129" s="3132"/>
      <c r="I129" s="1"/>
      <c r="M129" s="1"/>
      <c r="N129" s="3111">
        <f t="shared" ref="N129:N136" si="20">N128+1</f>
        <v>3</v>
      </c>
      <c r="O129" s="3112" t="s">
        <v>2864</v>
      </c>
      <c r="P129" s="3113" t="s">
        <v>11407</v>
      </c>
      <c r="Q129" s="3114" t="s">
        <v>11408</v>
      </c>
      <c r="R129" s="3115" t="s">
        <v>11409</v>
      </c>
      <c r="S129" s="3116" t="s">
        <v>11410</v>
      </c>
      <c r="T129" s="3115" t="s">
        <v>11411</v>
      </c>
      <c r="V129" s="3008">
        <v>2</v>
      </c>
      <c r="W129" s="2991" t="s">
        <v>8662</v>
      </c>
      <c r="X129" s="3004" t="s">
        <v>8663</v>
      </c>
      <c r="Y129" s="3004" t="s">
        <v>8664</v>
      </c>
      <c r="AA129" s="3008"/>
      <c r="AB129" s="2991"/>
      <c r="AC129" s="3010"/>
      <c r="AD129" s="3010"/>
      <c r="AF129" s="2730">
        <v>1</v>
      </c>
    </row>
    <row r="130" spans="2:32" ht="30" customHeight="1">
      <c r="B130" s="2998"/>
      <c r="C130" s="2840"/>
      <c r="D130" s="3132"/>
      <c r="E130" s="3154"/>
      <c r="F130" s="3132"/>
      <c r="G130" s="3155"/>
      <c r="H130" s="3132"/>
      <c r="I130" s="1"/>
      <c r="M130" s="1"/>
      <c r="N130" s="3111">
        <f t="shared" si="20"/>
        <v>4</v>
      </c>
      <c r="O130" s="3112" t="s">
        <v>2867</v>
      </c>
      <c r="P130" s="3113" t="s">
        <v>11412</v>
      </c>
      <c r="Q130" s="3114" t="s">
        <v>11413</v>
      </c>
      <c r="R130" s="3115" t="s">
        <v>11414</v>
      </c>
      <c r="S130" s="3116" t="s">
        <v>11415</v>
      </c>
      <c r="T130" s="3115" t="s">
        <v>11416</v>
      </c>
      <c r="V130" s="3008">
        <v>3</v>
      </c>
      <c r="W130" s="2991" t="s">
        <v>8670</v>
      </c>
      <c r="X130" s="3004" t="s">
        <v>8671</v>
      </c>
      <c r="Y130" s="3004" t="s">
        <v>8672</v>
      </c>
      <c r="AA130" s="3008"/>
      <c r="AB130" s="2991"/>
      <c r="AC130" s="3010"/>
      <c r="AD130" s="3010"/>
      <c r="AF130" s="2730">
        <v>1</v>
      </c>
    </row>
    <row r="131" spans="2:32" ht="30" customHeight="1">
      <c r="B131" s="2998"/>
      <c r="C131" s="2840"/>
      <c r="D131" s="3132"/>
      <c r="E131" s="3154"/>
      <c r="F131" s="3132"/>
      <c r="G131" s="3155"/>
      <c r="H131" s="3132"/>
      <c r="I131" s="1"/>
      <c r="M131" s="1"/>
      <c r="N131" s="3111">
        <f t="shared" si="20"/>
        <v>5</v>
      </c>
      <c r="O131" s="3112" t="s">
        <v>2870</v>
      </c>
      <c r="P131" s="3113" t="s">
        <v>11417</v>
      </c>
      <c r="Q131" s="3114" t="s">
        <v>11418</v>
      </c>
      <c r="R131" s="3115" t="s">
        <v>11419</v>
      </c>
      <c r="S131" s="3116" t="s">
        <v>11420</v>
      </c>
      <c r="T131" s="3115" t="s">
        <v>11421</v>
      </c>
      <c r="V131" s="3008">
        <v>4</v>
      </c>
      <c r="W131" s="2991" t="s">
        <v>2966</v>
      </c>
      <c r="X131" s="3004" t="s">
        <v>8678</v>
      </c>
      <c r="Y131" s="3004" t="s">
        <v>8679</v>
      </c>
      <c r="AA131" s="3008"/>
      <c r="AB131" s="2991"/>
      <c r="AC131" s="3010"/>
      <c r="AD131" s="3010"/>
      <c r="AF131" s="2730">
        <v>1</v>
      </c>
    </row>
    <row r="132" spans="2:32" ht="30" customHeight="1">
      <c r="B132" s="2998"/>
      <c r="C132" s="2840"/>
      <c r="D132" s="3132"/>
      <c r="E132" s="3154"/>
      <c r="F132" s="3132"/>
      <c r="G132" s="3155"/>
      <c r="H132" s="3132"/>
      <c r="I132" s="1"/>
      <c r="M132" s="1"/>
      <c r="N132" s="3111">
        <f t="shared" si="20"/>
        <v>6</v>
      </c>
      <c r="O132" s="3112" t="s">
        <v>2874</v>
      </c>
      <c r="P132" s="3113" t="s">
        <v>11422</v>
      </c>
      <c r="Q132" s="3114" t="s">
        <v>11423</v>
      </c>
      <c r="R132" s="3115" t="s">
        <v>11424</v>
      </c>
      <c r="S132" s="3116" t="s">
        <v>11425</v>
      </c>
      <c r="T132" s="3115" t="s">
        <v>11426</v>
      </c>
      <c r="V132" s="3008">
        <v>5</v>
      </c>
      <c r="W132" s="2991" t="s">
        <v>2968</v>
      </c>
      <c r="X132" s="3004" t="s">
        <v>8163</v>
      </c>
      <c r="Y132" s="3004" t="s">
        <v>8685</v>
      </c>
      <c r="AA132" s="3008"/>
      <c r="AB132" s="2991"/>
      <c r="AC132" s="3010"/>
      <c r="AD132" s="3010"/>
      <c r="AF132" s="2730">
        <v>1</v>
      </c>
    </row>
    <row r="133" spans="2:32" ht="30" customHeight="1">
      <c r="B133" s="2998"/>
      <c r="C133" s="2840"/>
      <c r="D133" s="3132"/>
      <c r="E133" s="3154"/>
      <c r="F133" s="3132"/>
      <c r="G133" s="3155"/>
      <c r="H133" s="3132"/>
      <c r="I133" s="1"/>
      <c r="M133" s="1"/>
      <c r="N133" s="3111">
        <f t="shared" si="20"/>
        <v>7</v>
      </c>
      <c r="O133" s="3112" t="s">
        <v>2876</v>
      </c>
      <c r="P133" s="3113" t="s">
        <v>11427</v>
      </c>
      <c r="Q133" s="3114" t="s">
        <v>11428</v>
      </c>
      <c r="R133" s="3115" t="s">
        <v>11429</v>
      </c>
      <c r="S133" s="3116" t="s">
        <v>11430</v>
      </c>
      <c r="T133" s="3115" t="s">
        <v>11431</v>
      </c>
      <c r="V133" s="3008">
        <v>6</v>
      </c>
      <c r="W133" s="2991" t="s">
        <v>2969</v>
      </c>
      <c r="X133" s="3004" t="s">
        <v>8691</v>
      </c>
      <c r="Y133" s="3004" t="s">
        <v>8685</v>
      </c>
      <c r="AA133" s="3008"/>
      <c r="AB133" s="2991"/>
      <c r="AC133" s="3010"/>
      <c r="AD133" s="3010"/>
      <c r="AF133" s="2730">
        <v>1</v>
      </c>
    </row>
    <row r="134" spans="2:32" ht="30" customHeight="1">
      <c r="B134" s="2998"/>
      <c r="C134" s="2840"/>
      <c r="D134" s="3132"/>
      <c r="E134" s="3154"/>
      <c r="F134" s="3132"/>
      <c r="G134" s="3155"/>
      <c r="H134" s="3132"/>
      <c r="I134" s="1"/>
      <c r="M134" s="1"/>
      <c r="N134" s="3111">
        <f t="shared" si="20"/>
        <v>8</v>
      </c>
      <c r="O134" s="3112" t="s">
        <v>2878</v>
      </c>
      <c r="P134" s="3113" t="s">
        <v>11432</v>
      </c>
      <c r="Q134" s="3114" t="s">
        <v>11433</v>
      </c>
      <c r="R134" s="3115" t="s">
        <v>11434</v>
      </c>
      <c r="S134" s="3116" t="s">
        <v>11435</v>
      </c>
      <c r="T134" s="3115" t="s">
        <v>11436</v>
      </c>
      <c r="V134" s="3008">
        <v>7</v>
      </c>
      <c r="W134" s="2991" t="s">
        <v>2970</v>
      </c>
      <c r="X134" s="3004" t="s">
        <v>8698</v>
      </c>
      <c r="Y134" s="3004" t="s">
        <v>8699</v>
      </c>
      <c r="AA134" s="3008"/>
      <c r="AB134" s="2991"/>
      <c r="AC134" s="3010"/>
      <c r="AD134" s="3010"/>
      <c r="AF134" s="2730">
        <v>1</v>
      </c>
    </row>
    <row r="135" spans="2:32" ht="30" customHeight="1">
      <c r="B135" s="2998"/>
      <c r="C135" s="2840"/>
      <c r="D135" s="3132"/>
      <c r="E135" s="3154"/>
      <c r="F135" s="3132"/>
      <c r="G135" s="3155"/>
      <c r="H135" s="3132"/>
      <c r="I135" s="1"/>
      <c r="M135" s="1"/>
      <c r="N135" s="3111">
        <f t="shared" si="20"/>
        <v>9</v>
      </c>
      <c r="O135" s="3112" t="s">
        <v>2881</v>
      </c>
      <c r="P135" s="3113" t="s">
        <v>11437</v>
      </c>
      <c r="Q135" s="3114" t="s">
        <v>11438</v>
      </c>
      <c r="R135" s="3115" t="s">
        <v>11439</v>
      </c>
      <c r="S135" s="3116" t="s">
        <v>11440</v>
      </c>
      <c r="T135" s="3115" t="s">
        <v>11441</v>
      </c>
      <c r="V135" s="3008"/>
      <c r="AA135" s="3008"/>
      <c r="AB135" s="2991"/>
      <c r="AC135" s="3010"/>
      <c r="AD135" s="3010"/>
      <c r="AF135" s="2730">
        <v>1</v>
      </c>
    </row>
    <row r="136" spans="2:32" ht="30" customHeight="1">
      <c r="B136" s="2998"/>
      <c r="C136" s="2840"/>
      <c r="D136" s="3132"/>
      <c r="E136" s="3154"/>
      <c r="F136" s="3132"/>
      <c r="G136" s="3155"/>
      <c r="H136" s="3132"/>
      <c r="I136" s="1"/>
      <c r="M136" s="1"/>
      <c r="N136" s="3111">
        <f t="shared" si="20"/>
        <v>10</v>
      </c>
      <c r="O136" s="3112" t="s">
        <v>2883</v>
      </c>
      <c r="P136" s="3113" t="s">
        <v>11442</v>
      </c>
      <c r="Q136" s="3114" t="s">
        <v>11443</v>
      </c>
      <c r="R136" s="3115" t="s">
        <v>11444</v>
      </c>
      <c r="S136" s="3116" t="s">
        <v>11445</v>
      </c>
      <c r="T136" s="3115" t="s">
        <v>11446</v>
      </c>
      <c r="V136" s="3008"/>
      <c r="W136" s="3029" t="s">
        <v>8712</v>
      </c>
      <c r="X136" s="3029" t="s">
        <v>8712</v>
      </c>
      <c r="Y136" s="3029" t="s">
        <v>8713</v>
      </c>
      <c r="AA136" s="3008"/>
      <c r="AB136" s="2991"/>
      <c r="AC136" s="3010"/>
      <c r="AD136" s="3010"/>
      <c r="AF136" s="2730">
        <v>1</v>
      </c>
    </row>
    <row r="137" spans="2:32" ht="30" customHeight="1">
      <c r="B137" s="2998"/>
      <c r="C137" s="2840"/>
      <c r="D137" s="3132"/>
      <c r="E137" s="3154"/>
      <c r="F137" s="3132"/>
      <c r="G137" s="3155"/>
      <c r="H137" s="3132"/>
      <c r="I137" s="1"/>
      <c r="M137" s="1"/>
      <c r="N137" s="3111"/>
      <c r="O137" s="3104" t="s">
        <v>353</v>
      </c>
      <c r="P137" s="3000"/>
      <c r="Q137" s="3144"/>
      <c r="R137" s="3145"/>
      <c r="S137" s="3146"/>
      <c r="T137" s="3147"/>
      <c r="V137" s="3008">
        <v>1</v>
      </c>
      <c r="W137" s="2991" t="s">
        <v>2971</v>
      </c>
      <c r="X137" s="3004" t="s">
        <v>8720</v>
      </c>
      <c r="Y137" s="3004" t="s">
        <v>8721</v>
      </c>
      <c r="AA137" s="3008"/>
      <c r="AB137" s="2991"/>
      <c r="AC137" s="3010"/>
      <c r="AD137" s="3010"/>
      <c r="AF137" s="2730">
        <v>1</v>
      </c>
    </row>
    <row r="138" spans="2:32" ht="30" customHeight="1">
      <c r="B138" s="2998"/>
      <c r="C138" s="2840"/>
      <c r="D138" s="3132"/>
      <c r="E138" s="3154"/>
      <c r="F138" s="3132"/>
      <c r="G138" s="3155"/>
      <c r="H138" s="3132"/>
      <c r="I138" s="1"/>
      <c r="M138" s="1"/>
      <c r="N138" s="3111">
        <f>N137+1</f>
        <v>1</v>
      </c>
      <c r="O138" s="3112" t="s">
        <v>11447</v>
      </c>
      <c r="P138" s="3113" t="s">
        <v>11447</v>
      </c>
      <c r="Q138" s="3160" t="s">
        <v>11448</v>
      </c>
      <c r="R138" s="3115" t="s">
        <v>11449</v>
      </c>
      <c r="S138" s="3166" t="s">
        <v>11450</v>
      </c>
      <c r="T138" s="3115" t="s">
        <v>11451</v>
      </c>
      <c r="V138" s="3008"/>
      <c r="W138" s="2991"/>
      <c r="X138" s="3004"/>
      <c r="Y138" s="3004"/>
      <c r="AA138" s="3008"/>
      <c r="AB138" s="2991"/>
      <c r="AC138" s="3010"/>
      <c r="AD138" s="3010"/>
      <c r="AF138" s="2730">
        <v>1</v>
      </c>
    </row>
    <row r="139" spans="2:32" ht="30" customHeight="1">
      <c r="B139" s="2998"/>
      <c r="C139" s="2840"/>
      <c r="D139" s="3132"/>
      <c r="E139" s="3154"/>
      <c r="F139" s="3132"/>
      <c r="G139" s="3155"/>
      <c r="H139" s="3132"/>
      <c r="I139" s="1"/>
      <c r="M139" s="1"/>
      <c r="N139" s="3111">
        <f t="shared" ref="N139:N144" si="21">N138+1</f>
        <v>2</v>
      </c>
      <c r="O139" s="3112" t="s">
        <v>2885</v>
      </c>
      <c r="P139" s="3113" t="s">
        <v>11452</v>
      </c>
      <c r="Q139" s="3114" t="s">
        <v>11453</v>
      </c>
      <c r="R139" s="3115" t="s">
        <v>11454</v>
      </c>
      <c r="S139" s="3116" t="s">
        <v>11455</v>
      </c>
      <c r="T139" s="3115" t="s">
        <v>11456</v>
      </c>
      <c r="W139" s="3029" t="s">
        <v>8734</v>
      </c>
      <c r="X139" s="3167" t="s">
        <v>8735</v>
      </c>
      <c r="Y139" s="3167" t="s">
        <v>8736</v>
      </c>
      <c r="AA139" s="3008"/>
      <c r="AB139" s="2991"/>
      <c r="AC139" s="3010"/>
      <c r="AD139" s="3010"/>
      <c r="AF139" s="2730">
        <v>1</v>
      </c>
    </row>
    <row r="140" spans="2:32" ht="30" customHeight="1">
      <c r="B140" s="2998"/>
      <c r="C140" s="2840"/>
      <c r="D140" s="3132"/>
      <c r="E140" s="3154"/>
      <c r="F140" s="3132"/>
      <c r="G140" s="3155"/>
      <c r="H140" s="3132"/>
      <c r="I140" s="1"/>
      <c r="M140" s="1"/>
      <c r="N140" s="3111">
        <f t="shared" si="21"/>
        <v>3</v>
      </c>
      <c r="O140" s="3112" t="s">
        <v>2887</v>
      </c>
      <c r="P140" s="3113" t="s">
        <v>11457</v>
      </c>
      <c r="Q140" s="3114" t="s">
        <v>11458</v>
      </c>
      <c r="R140" s="3115" t="s">
        <v>11459</v>
      </c>
      <c r="S140" s="3116" t="s">
        <v>11460</v>
      </c>
      <c r="T140" s="3115" t="s">
        <v>11461</v>
      </c>
      <c r="W140" s="2876"/>
      <c r="X140" s="2975"/>
      <c r="Y140" s="2975"/>
      <c r="AA140" s="3008"/>
      <c r="AB140" s="2991"/>
      <c r="AC140" s="3010"/>
      <c r="AD140" s="3010"/>
      <c r="AF140" s="2730">
        <v>1</v>
      </c>
    </row>
    <row r="141" spans="2:32" ht="30" customHeight="1">
      <c r="B141" s="2998"/>
      <c r="C141" s="2840"/>
      <c r="D141" s="3132"/>
      <c r="E141" s="3154"/>
      <c r="F141" s="3132"/>
      <c r="G141" s="3155"/>
      <c r="H141" s="3132"/>
      <c r="I141" s="1"/>
      <c r="M141" s="1"/>
      <c r="N141" s="3111">
        <f t="shared" si="21"/>
        <v>4</v>
      </c>
      <c r="O141" s="3112" t="s">
        <v>2890</v>
      </c>
      <c r="P141" s="3113" t="s">
        <v>11462</v>
      </c>
      <c r="Q141" s="3114" t="s">
        <v>11463</v>
      </c>
      <c r="R141" s="3115" t="s">
        <v>11464</v>
      </c>
      <c r="S141" s="3116" t="s">
        <v>11465</v>
      </c>
      <c r="T141" s="3115" t="s">
        <v>11466</v>
      </c>
      <c r="V141" s="3008">
        <v>1</v>
      </c>
      <c r="W141" s="2876" t="s">
        <v>8747</v>
      </c>
      <c r="X141" s="2975"/>
      <c r="Y141" s="2975"/>
      <c r="AA141" s="3008"/>
      <c r="AB141" s="2991"/>
      <c r="AC141" s="3010"/>
      <c r="AD141" s="3010"/>
      <c r="AF141" s="2730">
        <v>1</v>
      </c>
    </row>
    <row r="142" spans="2:32" ht="30" customHeight="1">
      <c r="B142" s="2998"/>
      <c r="C142" s="2840"/>
      <c r="D142" s="3132"/>
      <c r="E142" s="3154"/>
      <c r="F142" s="3132"/>
      <c r="G142" s="3155"/>
      <c r="H142" s="3132"/>
      <c r="I142" s="1"/>
      <c r="M142" s="1"/>
      <c r="N142" s="3111">
        <f t="shared" si="21"/>
        <v>5</v>
      </c>
      <c r="O142" s="3112" t="s">
        <v>2892</v>
      </c>
      <c r="P142" s="3113" t="s">
        <v>11467</v>
      </c>
      <c r="Q142" s="3114" t="s">
        <v>11468</v>
      </c>
      <c r="R142" s="3115" t="s">
        <v>11469</v>
      </c>
      <c r="S142" s="3116" t="s">
        <v>11470</v>
      </c>
      <c r="T142" s="3115" t="s">
        <v>11471</v>
      </c>
      <c r="V142" s="3008">
        <v>2</v>
      </c>
      <c r="W142" s="2876" t="s">
        <v>8753</v>
      </c>
      <c r="X142" s="2975"/>
      <c r="Y142" s="2975"/>
      <c r="AA142" s="3008"/>
      <c r="AB142" s="2991"/>
      <c r="AC142" s="3010"/>
      <c r="AD142" s="3010"/>
      <c r="AF142" s="2730">
        <v>1</v>
      </c>
    </row>
    <row r="143" spans="2:32" ht="30" customHeight="1">
      <c r="B143" s="2998"/>
      <c r="C143" s="2840"/>
      <c r="D143" s="3132"/>
      <c r="E143" s="3154"/>
      <c r="F143" s="3132"/>
      <c r="G143" s="3155"/>
      <c r="H143" s="3132"/>
      <c r="I143" s="1"/>
      <c r="M143" s="1"/>
      <c r="N143" s="3111">
        <f t="shared" si="21"/>
        <v>6</v>
      </c>
      <c r="O143" s="3112" t="s">
        <v>2895</v>
      </c>
      <c r="P143" s="3113" t="s">
        <v>11472</v>
      </c>
      <c r="Q143" s="3114" t="s">
        <v>11473</v>
      </c>
      <c r="R143" s="3115" t="s">
        <v>11474</v>
      </c>
      <c r="S143" s="3116" t="s">
        <v>11475</v>
      </c>
      <c r="T143" s="3115" t="s">
        <v>11476</v>
      </c>
      <c r="V143" s="3008">
        <v>3</v>
      </c>
      <c r="W143" s="2876" t="s">
        <v>8760</v>
      </c>
      <c r="X143" s="2975"/>
      <c r="Y143" s="2975"/>
      <c r="AA143" s="3008"/>
      <c r="AB143" s="2991"/>
      <c r="AC143" s="3010"/>
      <c r="AD143" s="3010"/>
      <c r="AF143" s="2730">
        <v>1</v>
      </c>
    </row>
    <row r="144" spans="2:32" ht="30" customHeight="1">
      <c r="B144" s="2998"/>
      <c r="C144" s="2840"/>
      <c r="D144" s="3132"/>
      <c r="E144" s="3154"/>
      <c r="F144" s="3132"/>
      <c r="G144" s="3155"/>
      <c r="H144" s="3132"/>
      <c r="I144" s="1"/>
      <c r="M144" s="1"/>
      <c r="N144" s="3111">
        <f t="shared" si="21"/>
        <v>7</v>
      </c>
      <c r="O144" s="3112" t="s">
        <v>2899</v>
      </c>
      <c r="P144" s="3113" t="s">
        <v>11477</v>
      </c>
      <c r="Q144" s="3114" t="s">
        <v>11478</v>
      </c>
      <c r="R144" s="3115" t="s">
        <v>11479</v>
      </c>
      <c r="S144" s="3116" t="s">
        <v>11480</v>
      </c>
      <c r="T144" s="3115" t="s">
        <v>11481</v>
      </c>
      <c r="V144" s="3008">
        <v>4</v>
      </c>
      <c r="W144" s="2876" t="s">
        <v>8767</v>
      </c>
      <c r="X144" s="2975"/>
      <c r="Y144" s="2975"/>
      <c r="AA144" s="3008"/>
      <c r="AB144" s="2991"/>
      <c r="AC144" s="3010"/>
      <c r="AD144" s="3010"/>
      <c r="AF144" s="2730">
        <v>1</v>
      </c>
    </row>
    <row r="145" spans="2:32" ht="30" customHeight="1">
      <c r="B145" s="2998"/>
      <c r="C145" s="2840"/>
      <c r="D145" s="3132"/>
      <c r="E145" s="3154"/>
      <c r="F145" s="3132"/>
      <c r="G145" s="3155"/>
      <c r="H145" s="3132"/>
      <c r="I145" s="1"/>
      <c r="M145" s="1"/>
      <c r="N145" s="3111"/>
      <c r="O145" s="3104" t="s">
        <v>595</v>
      </c>
      <c r="P145" s="3000"/>
      <c r="Q145" s="3144"/>
      <c r="R145" s="3145"/>
      <c r="S145" s="3146"/>
      <c r="T145" s="3147"/>
      <c r="V145" s="3008">
        <v>5</v>
      </c>
      <c r="W145" s="2876" t="s">
        <v>8774</v>
      </c>
      <c r="X145" s="2975"/>
      <c r="Y145" s="2975"/>
      <c r="AA145" s="3008"/>
      <c r="AB145" s="2991"/>
      <c r="AC145" s="3010"/>
      <c r="AD145" s="3010"/>
      <c r="AF145" s="2730">
        <v>1</v>
      </c>
    </row>
    <row r="146" spans="2:32" ht="30" customHeight="1">
      <c r="B146" s="2998"/>
      <c r="C146" s="2840"/>
      <c r="D146" s="3132"/>
      <c r="E146" s="3154"/>
      <c r="F146" s="3132"/>
      <c r="G146" s="3155"/>
      <c r="H146" s="3132"/>
      <c r="I146" s="1"/>
      <c r="M146" s="1"/>
      <c r="N146" s="3111">
        <f>N145+1</f>
        <v>1</v>
      </c>
      <c r="O146" s="3112" t="s">
        <v>2904</v>
      </c>
      <c r="P146" s="3113" t="s">
        <v>11482</v>
      </c>
      <c r="Q146" s="3114" t="s">
        <v>11483</v>
      </c>
      <c r="R146" s="3115" t="s">
        <v>11484</v>
      </c>
      <c r="S146" s="3116" t="s">
        <v>11485</v>
      </c>
      <c r="T146" s="3115" t="s">
        <v>11486</v>
      </c>
      <c r="V146" s="3008">
        <v>6</v>
      </c>
      <c r="W146" s="2876" t="s">
        <v>8781</v>
      </c>
      <c r="X146" s="2975"/>
      <c r="Y146" s="2975"/>
      <c r="AA146" s="3008"/>
      <c r="AB146" s="2991"/>
      <c r="AC146" s="3010"/>
      <c r="AD146" s="3010"/>
      <c r="AF146" s="2730">
        <v>1</v>
      </c>
    </row>
    <row r="147" spans="2:32" ht="30" customHeight="1">
      <c r="B147" s="2998"/>
      <c r="C147" s="2840"/>
      <c r="D147" s="3132"/>
      <c r="E147" s="3154"/>
      <c r="F147" s="3132"/>
      <c r="G147" s="3155"/>
      <c r="H147" s="3132"/>
      <c r="I147" s="1"/>
      <c r="M147" s="1"/>
      <c r="N147" s="3111"/>
      <c r="O147" s="3104" t="s">
        <v>1191</v>
      </c>
      <c r="P147" s="3000"/>
      <c r="Q147" s="3144"/>
      <c r="R147" s="3145"/>
      <c r="S147" s="3146"/>
      <c r="T147" s="3147"/>
      <c r="V147" s="3008">
        <v>7</v>
      </c>
      <c r="W147" s="2876" t="s">
        <v>8787</v>
      </c>
      <c r="X147" s="2975"/>
      <c r="Y147" s="2975"/>
      <c r="AA147" s="3008"/>
      <c r="AB147" s="2991"/>
      <c r="AC147" s="3010"/>
      <c r="AD147" s="3010"/>
      <c r="AF147" s="2730">
        <v>1</v>
      </c>
    </row>
    <row r="148" spans="2:32" ht="30" customHeight="1">
      <c r="B148" s="2998"/>
      <c r="C148" s="2840"/>
      <c r="D148" s="3132"/>
      <c r="E148" s="3154"/>
      <c r="F148" s="3132"/>
      <c r="G148" s="3155"/>
      <c r="H148" s="3132"/>
      <c r="I148" s="1"/>
      <c r="M148" s="1"/>
      <c r="N148" s="3111">
        <f>N147+1</f>
        <v>1</v>
      </c>
      <c r="O148" s="3112" t="s">
        <v>2909</v>
      </c>
      <c r="P148" s="3113" t="s">
        <v>11487</v>
      </c>
      <c r="Q148" s="3114" t="s">
        <v>10390</v>
      </c>
      <c r="R148" s="3115" t="s">
        <v>11488</v>
      </c>
      <c r="S148" s="3116" t="s">
        <v>11489</v>
      </c>
      <c r="T148" s="3115" t="s">
        <v>11490</v>
      </c>
      <c r="V148" s="3008"/>
      <c r="W148" s="2876"/>
      <c r="X148" s="2975"/>
      <c r="Y148" s="2975"/>
      <c r="AA148" s="3008"/>
      <c r="AB148" s="2991"/>
      <c r="AC148" s="3010"/>
      <c r="AD148" s="3010"/>
      <c r="AF148" s="2730">
        <v>1</v>
      </c>
    </row>
    <row r="149" spans="2:32" ht="30" customHeight="1">
      <c r="B149" s="2998"/>
      <c r="C149" s="2840"/>
      <c r="D149" s="3132"/>
      <c r="E149" s="3154"/>
      <c r="F149" s="3132"/>
      <c r="G149" s="3155"/>
      <c r="H149" s="3132"/>
      <c r="I149" s="1"/>
      <c r="M149" s="1"/>
      <c r="N149" s="3111"/>
      <c r="O149" s="3168"/>
      <c r="P149" s="3113"/>
      <c r="Q149" s="3113"/>
      <c r="R149" s="3113"/>
      <c r="S149" s="3169"/>
      <c r="T149" s="3113"/>
      <c r="V149" s="3008"/>
      <c r="W149" s="3029" t="s">
        <v>8798</v>
      </c>
      <c r="X149" s="3167" t="s">
        <v>8799</v>
      </c>
      <c r="Y149" s="3167" t="s">
        <v>8800</v>
      </c>
      <c r="AA149" s="3008"/>
      <c r="AB149" s="2991"/>
      <c r="AC149" s="3010"/>
      <c r="AD149" s="3010"/>
      <c r="AF149" s="2730">
        <v>1</v>
      </c>
    </row>
    <row r="150" spans="2:32" ht="30" customHeight="1">
      <c r="B150" s="2998"/>
      <c r="C150" s="2840"/>
      <c r="D150" s="3132"/>
      <c r="E150" s="3154"/>
      <c r="F150" s="3132"/>
      <c r="G150" s="3155"/>
      <c r="H150" s="3132"/>
      <c r="I150" s="1"/>
      <c r="M150" s="1"/>
      <c r="N150" s="3111"/>
      <c r="O150" s="3168"/>
      <c r="P150" s="3113"/>
      <c r="Q150" s="3113"/>
      <c r="R150" s="3113"/>
      <c r="S150" s="3169"/>
      <c r="T150" s="3113"/>
      <c r="V150" s="3008"/>
      <c r="W150" s="2876"/>
      <c r="X150" s="2975"/>
      <c r="Y150" s="2975"/>
      <c r="AA150" s="3008"/>
      <c r="AB150" s="2991"/>
      <c r="AC150" s="3010"/>
      <c r="AD150" s="3010"/>
      <c r="AF150" s="2730">
        <v>1</v>
      </c>
    </row>
    <row r="151" spans="2:32" ht="30" customHeight="1">
      <c r="B151" s="2998"/>
      <c r="C151" s="2840"/>
      <c r="D151" s="3132"/>
      <c r="E151" s="3154"/>
      <c r="F151" s="3132"/>
      <c r="G151" s="3155"/>
      <c r="H151" s="3132"/>
      <c r="I151" s="1"/>
      <c r="M151" s="1"/>
      <c r="N151" s="3111"/>
      <c r="O151" s="3168"/>
      <c r="P151" s="3113"/>
      <c r="Q151" s="3113"/>
      <c r="R151" s="3113"/>
      <c r="S151" s="3169"/>
      <c r="T151" s="3113"/>
      <c r="V151" s="3008">
        <v>1</v>
      </c>
      <c r="W151" s="2876" t="s">
        <v>8812</v>
      </c>
      <c r="X151" s="2975"/>
      <c r="Y151" s="2975"/>
      <c r="AA151" s="3008"/>
      <c r="AB151" s="2991"/>
      <c r="AC151" s="3010"/>
      <c r="AD151" s="3010"/>
      <c r="AF151" s="2730">
        <v>1</v>
      </c>
    </row>
    <row r="152" spans="2:32" ht="30" customHeight="1">
      <c r="B152" s="2998"/>
      <c r="C152" s="2840"/>
      <c r="D152" s="3132"/>
      <c r="E152" s="3154"/>
      <c r="F152" s="3132"/>
      <c r="G152" s="3155"/>
      <c r="H152" s="3132"/>
      <c r="I152" s="1"/>
      <c r="M152" s="1"/>
      <c r="N152" s="3111"/>
      <c r="O152" s="3168"/>
      <c r="P152" s="3113"/>
      <c r="Q152" s="3113"/>
      <c r="R152" s="3113"/>
      <c r="S152" s="3169"/>
      <c r="T152" s="3113"/>
      <c r="V152" s="3008">
        <v>2</v>
      </c>
      <c r="W152" s="2876" t="s">
        <v>8818</v>
      </c>
      <c r="X152" s="2975"/>
      <c r="Y152" s="2975"/>
      <c r="AA152" s="3008"/>
      <c r="AB152" s="2991"/>
      <c r="AC152" s="3010"/>
      <c r="AD152" s="3010"/>
      <c r="AF152" s="2730">
        <v>1</v>
      </c>
    </row>
    <row r="153" spans="2:32" ht="30" customHeight="1">
      <c r="B153" s="2998"/>
      <c r="C153" s="2840"/>
      <c r="D153" s="3132"/>
      <c r="E153" s="3154"/>
      <c r="F153" s="3132"/>
      <c r="G153" s="3155"/>
      <c r="H153" s="3132"/>
      <c r="I153" s="1"/>
      <c r="M153" s="1"/>
      <c r="N153" s="3111"/>
      <c r="O153" s="3168"/>
      <c r="P153" s="3113"/>
      <c r="Q153" s="3113"/>
      <c r="R153" s="3113"/>
      <c r="S153" s="3169"/>
      <c r="T153" s="3113"/>
      <c r="V153" s="3008">
        <v>3</v>
      </c>
      <c r="W153" s="2876" t="s">
        <v>8824</v>
      </c>
      <c r="X153" s="2975"/>
      <c r="Y153" s="2975"/>
      <c r="AA153" s="3008"/>
      <c r="AB153" s="2991"/>
      <c r="AC153" s="3010"/>
      <c r="AD153" s="3010"/>
      <c r="AF153" s="2730">
        <v>1</v>
      </c>
    </row>
    <row r="154" spans="2:32" ht="30" customHeight="1">
      <c r="B154" s="2998"/>
      <c r="C154" s="2840"/>
      <c r="D154" s="3132"/>
      <c r="E154" s="3154"/>
      <c r="F154" s="3132"/>
      <c r="G154" s="3155"/>
      <c r="H154" s="3132"/>
      <c r="I154" s="1"/>
      <c r="M154" s="1"/>
      <c r="N154" s="3111"/>
      <c r="O154" s="3168"/>
      <c r="P154" s="3113"/>
      <c r="Q154" s="3113"/>
      <c r="R154" s="3113"/>
      <c r="S154" s="3169"/>
      <c r="T154" s="3113"/>
      <c r="V154" s="3008">
        <v>4</v>
      </c>
      <c r="W154" s="2876" t="s">
        <v>8830</v>
      </c>
      <c r="X154" s="2975"/>
      <c r="Y154" s="2975"/>
      <c r="AA154" s="3008"/>
      <c r="AB154" s="2991"/>
      <c r="AC154" s="3010"/>
      <c r="AD154" s="3010"/>
      <c r="AF154" s="2730">
        <v>1</v>
      </c>
    </row>
    <row r="155" spans="2:32" ht="30" customHeight="1">
      <c r="B155" s="2998"/>
      <c r="C155" s="2840"/>
      <c r="D155" s="3132"/>
      <c r="E155" s="3154"/>
      <c r="F155" s="3132"/>
      <c r="G155" s="3155"/>
      <c r="H155" s="3132"/>
      <c r="I155" s="1"/>
      <c r="M155" s="1"/>
      <c r="N155" s="3111"/>
      <c r="O155" s="3168"/>
      <c r="P155" s="3113"/>
      <c r="Q155" s="3113"/>
      <c r="R155" s="3113"/>
      <c r="S155" s="3169"/>
      <c r="T155" s="3113"/>
      <c r="V155" s="3008">
        <v>5</v>
      </c>
      <c r="W155" s="2876" t="s">
        <v>8836</v>
      </c>
      <c r="X155" s="2975"/>
      <c r="Y155" s="2975"/>
      <c r="AA155" s="3008"/>
      <c r="AB155" s="2991"/>
      <c r="AC155" s="3010"/>
      <c r="AD155" s="3010"/>
      <c r="AF155" s="2730">
        <v>1</v>
      </c>
    </row>
    <row r="156" spans="2:32" ht="30" customHeight="1">
      <c r="B156" s="2998"/>
      <c r="C156" s="2840"/>
      <c r="D156" s="3132"/>
      <c r="E156" s="3154"/>
      <c r="F156" s="3132"/>
      <c r="G156" s="3155"/>
      <c r="H156" s="3132"/>
      <c r="I156" s="1"/>
      <c r="M156" s="1"/>
      <c r="N156" s="3111"/>
      <c r="O156" s="3168"/>
      <c r="P156" s="3113"/>
      <c r="Q156" s="3113"/>
      <c r="R156" s="3113"/>
      <c r="S156" s="3169"/>
      <c r="T156" s="3113"/>
      <c r="V156" s="3008">
        <v>6</v>
      </c>
      <c r="W156" s="2876" t="s">
        <v>8843</v>
      </c>
      <c r="X156" s="2975"/>
      <c r="Y156" s="2975"/>
      <c r="AA156" s="3008"/>
      <c r="AB156" s="2991"/>
      <c r="AC156" s="3010"/>
      <c r="AD156" s="3010"/>
      <c r="AF156" s="2730">
        <v>1</v>
      </c>
    </row>
    <row r="157" spans="2:32" ht="30" customHeight="1">
      <c r="B157" s="2998"/>
      <c r="C157" s="2840"/>
      <c r="D157" s="3132"/>
      <c r="E157" s="3154"/>
      <c r="F157" s="3132"/>
      <c r="G157" s="3155"/>
      <c r="H157" s="3132"/>
      <c r="I157" s="1"/>
      <c r="M157" s="1"/>
      <c r="N157" s="3111"/>
      <c r="O157" s="3168"/>
      <c r="P157" s="3113"/>
      <c r="Q157" s="3113"/>
      <c r="R157" s="3113"/>
      <c r="S157" s="3169"/>
      <c r="T157" s="3113"/>
      <c r="V157" s="3008">
        <v>7</v>
      </c>
      <c r="W157" s="2876" t="s">
        <v>8844</v>
      </c>
      <c r="X157" s="2975"/>
      <c r="Y157" s="2975"/>
      <c r="AA157" s="3008"/>
      <c r="AB157" s="2991"/>
      <c r="AC157" s="3010"/>
      <c r="AD157" s="3010"/>
      <c r="AF157" s="2730">
        <v>1</v>
      </c>
    </row>
    <row r="158" spans="2:32" ht="30" customHeight="1">
      <c r="B158" s="2998"/>
      <c r="C158" s="2840"/>
      <c r="D158" s="3132"/>
      <c r="E158" s="3154"/>
      <c r="F158" s="3132"/>
      <c r="G158" s="3155"/>
      <c r="H158" s="3132"/>
      <c r="I158" s="1"/>
      <c r="M158" s="1"/>
      <c r="N158" s="3111"/>
      <c r="O158" s="3168"/>
      <c r="P158" s="3113"/>
      <c r="Q158" s="3113"/>
      <c r="R158" s="3113"/>
      <c r="S158" s="3169"/>
      <c r="T158" s="3113"/>
      <c r="V158" s="3008">
        <v>8</v>
      </c>
      <c r="W158" s="2876" t="s">
        <v>8851</v>
      </c>
      <c r="X158" s="2975"/>
      <c r="Y158" s="2975"/>
      <c r="AA158" s="3008"/>
      <c r="AB158" s="2991"/>
      <c r="AC158" s="3010"/>
      <c r="AD158" s="3010"/>
      <c r="AF158" s="2730">
        <v>1</v>
      </c>
    </row>
    <row r="159" spans="2:32" ht="30" customHeight="1">
      <c r="B159" s="2998"/>
      <c r="C159" s="2840"/>
      <c r="D159" s="3132"/>
      <c r="E159" s="3154"/>
      <c r="F159" s="3132"/>
      <c r="G159" s="3155"/>
      <c r="H159" s="3132"/>
      <c r="I159" s="1"/>
      <c r="M159" s="1"/>
      <c r="N159" s="3111"/>
      <c r="O159" s="3168"/>
      <c r="P159" s="3113"/>
      <c r="Q159" s="3113"/>
      <c r="R159" s="3113"/>
      <c r="S159" s="3169"/>
      <c r="T159" s="3113"/>
      <c r="V159" s="3008">
        <v>9</v>
      </c>
      <c r="W159" s="2876" t="s">
        <v>8858</v>
      </c>
      <c r="X159" s="2975"/>
      <c r="Y159" s="2975"/>
      <c r="AA159" s="3008"/>
      <c r="AB159" s="2991"/>
      <c r="AC159" s="3010"/>
      <c r="AD159" s="3010"/>
      <c r="AF159" s="2730">
        <v>1</v>
      </c>
    </row>
    <row r="160" spans="2:32" ht="30" customHeight="1">
      <c r="B160" s="2998"/>
      <c r="C160" s="2840"/>
      <c r="D160" s="3132"/>
      <c r="E160" s="3154"/>
      <c r="F160" s="3132"/>
      <c r="G160" s="3155"/>
      <c r="H160" s="3132"/>
      <c r="I160" s="1"/>
      <c r="M160" s="1"/>
      <c r="N160" s="3111"/>
      <c r="O160" s="3168"/>
      <c r="P160" s="3113"/>
      <c r="Q160" s="3113"/>
      <c r="R160" s="3113"/>
      <c r="S160" s="3169"/>
      <c r="T160" s="3113"/>
      <c r="V160" s="3008">
        <v>10</v>
      </c>
      <c r="W160" s="2876" t="s">
        <v>8865</v>
      </c>
      <c r="X160" s="2975"/>
      <c r="Y160" s="2975"/>
      <c r="AA160" s="3008"/>
      <c r="AB160" s="2991"/>
      <c r="AC160" s="3010"/>
      <c r="AD160" s="3010"/>
      <c r="AF160" s="2730">
        <v>1</v>
      </c>
    </row>
    <row r="161" spans="2:32" ht="30" customHeight="1">
      <c r="B161" s="2998"/>
      <c r="C161" s="2840"/>
      <c r="D161" s="3132"/>
      <c r="E161" s="3154"/>
      <c r="F161" s="3132"/>
      <c r="G161" s="3155"/>
      <c r="H161" s="3132"/>
      <c r="I161" s="1"/>
      <c r="M161" s="1"/>
      <c r="N161" s="3111"/>
      <c r="O161" s="3168"/>
      <c r="P161" s="3113"/>
      <c r="Q161" s="3113"/>
      <c r="R161" s="3113"/>
      <c r="S161" s="3169"/>
      <c r="T161" s="3113"/>
      <c r="V161" s="3008">
        <v>11</v>
      </c>
      <c r="W161" s="2876" t="s">
        <v>8872</v>
      </c>
      <c r="X161" s="2975"/>
      <c r="Y161" s="2975"/>
      <c r="AA161" s="3008"/>
      <c r="AB161" s="2991"/>
      <c r="AC161" s="3010"/>
      <c r="AD161" s="3010"/>
      <c r="AF161" s="2730">
        <v>1</v>
      </c>
    </row>
    <row r="162" spans="2:32" ht="30" customHeight="1">
      <c r="B162" s="2998"/>
      <c r="C162" s="2840"/>
      <c r="D162" s="3132"/>
      <c r="E162" s="3154"/>
      <c r="F162" s="3132"/>
      <c r="G162" s="3155"/>
      <c r="H162" s="3132"/>
      <c r="I162" s="1"/>
      <c r="M162" s="1"/>
      <c r="N162" s="3111"/>
      <c r="O162" s="3168"/>
      <c r="P162" s="3113"/>
      <c r="Q162" s="3113"/>
      <c r="R162" s="3113"/>
      <c r="S162" s="3169"/>
      <c r="T162" s="3113"/>
      <c r="V162" s="3008">
        <v>12</v>
      </c>
      <c r="W162" s="2876" t="s">
        <v>8879</v>
      </c>
      <c r="X162" s="2975"/>
      <c r="Y162" s="2975"/>
      <c r="AA162" s="3008"/>
      <c r="AB162" s="2991"/>
      <c r="AC162" s="3010"/>
      <c r="AD162" s="3010"/>
      <c r="AF162" s="2730">
        <v>1</v>
      </c>
    </row>
    <row r="163" spans="2:32" ht="30" customHeight="1">
      <c r="B163" s="2998"/>
      <c r="C163" s="2840"/>
      <c r="D163" s="3132"/>
      <c r="E163" s="3154"/>
      <c r="F163" s="3132"/>
      <c r="G163" s="3155"/>
      <c r="H163" s="3132"/>
      <c r="I163" s="1"/>
      <c r="M163" s="1"/>
      <c r="N163" s="3111"/>
      <c r="O163" s="3168"/>
      <c r="P163" s="3113"/>
      <c r="Q163" s="3113"/>
      <c r="R163" s="3113"/>
      <c r="S163" s="3169"/>
      <c r="T163" s="3113"/>
      <c r="V163" s="3008"/>
      <c r="W163" s="2876"/>
      <c r="X163" s="2975"/>
      <c r="Y163" s="2975"/>
      <c r="AA163" s="3008"/>
      <c r="AB163" s="2991"/>
      <c r="AC163" s="3010"/>
      <c r="AD163" s="3010"/>
      <c r="AF163" s="2730">
        <v>1</v>
      </c>
    </row>
    <row r="164" spans="2:32" ht="30" customHeight="1">
      <c r="B164" s="2998"/>
      <c r="C164" s="2840"/>
      <c r="D164" s="3132"/>
      <c r="E164" s="3154"/>
      <c r="F164" s="3132"/>
      <c r="G164" s="3155"/>
      <c r="H164" s="3132"/>
      <c r="I164" s="1"/>
      <c r="M164" s="1"/>
      <c r="N164" s="3111"/>
      <c r="O164" s="3168"/>
      <c r="P164" s="3113"/>
      <c r="Q164" s="3113"/>
      <c r="R164" s="3113"/>
      <c r="S164" s="3169"/>
      <c r="T164" s="3113"/>
      <c r="V164" s="3008"/>
      <c r="W164" s="3029" t="s">
        <v>8892</v>
      </c>
      <c r="X164" s="3167" t="s">
        <v>8893</v>
      </c>
      <c r="Y164" s="3167" t="s">
        <v>8894</v>
      </c>
      <c r="AA164" s="3008"/>
      <c r="AB164" s="2991"/>
      <c r="AC164" s="3010"/>
      <c r="AD164" s="3010"/>
      <c r="AF164" s="2730">
        <v>1</v>
      </c>
    </row>
    <row r="165" spans="2:32" ht="30" customHeight="1">
      <c r="B165" s="2998"/>
      <c r="C165" s="2840"/>
      <c r="D165" s="3132"/>
      <c r="E165" s="3154"/>
      <c r="F165" s="3132"/>
      <c r="G165" s="3155"/>
      <c r="H165" s="3132"/>
      <c r="I165" s="1"/>
      <c r="M165" s="1"/>
      <c r="N165" s="3111"/>
      <c r="O165" s="3168"/>
      <c r="P165" s="3113"/>
      <c r="Q165" s="3113"/>
      <c r="R165" s="3113"/>
      <c r="S165" s="3169"/>
      <c r="T165" s="3113"/>
      <c r="V165" s="3008"/>
      <c r="W165" s="2876"/>
      <c r="X165" s="2975"/>
      <c r="Y165" s="2975"/>
      <c r="AA165" s="3008"/>
      <c r="AB165" s="2991"/>
      <c r="AC165" s="3010"/>
      <c r="AD165" s="3010"/>
      <c r="AF165" s="2730">
        <v>1</v>
      </c>
    </row>
    <row r="166" spans="2:32" ht="30" customHeight="1">
      <c r="B166" s="2998"/>
      <c r="C166" s="2840"/>
      <c r="D166" s="3132"/>
      <c r="E166" s="3154"/>
      <c r="F166" s="3132"/>
      <c r="G166" s="3155"/>
      <c r="H166" s="3132"/>
      <c r="I166" s="1"/>
      <c r="M166" s="1"/>
      <c r="N166" s="3111"/>
      <c r="O166" s="3168"/>
      <c r="P166" s="3113"/>
      <c r="Q166" s="3113"/>
      <c r="R166" s="3113"/>
      <c r="S166" s="3169"/>
      <c r="T166" s="3113"/>
      <c r="V166" s="3008">
        <v>1</v>
      </c>
      <c r="W166" s="2876" t="s">
        <v>8906</v>
      </c>
      <c r="X166" s="2975"/>
      <c r="Y166" s="2975"/>
      <c r="AA166" s="3008"/>
      <c r="AB166" s="2991"/>
      <c r="AC166" s="3010"/>
      <c r="AD166" s="3010"/>
      <c r="AF166" s="2730">
        <v>1</v>
      </c>
    </row>
    <row r="167" spans="2:32" ht="30" customHeight="1">
      <c r="B167" s="2998"/>
      <c r="C167" s="2840"/>
      <c r="D167" s="3132"/>
      <c r="E167" s="3154"/>
      <c r="F167" s="3132"/>
      <c r="G167" s="3155"/>
      <c r="H167" s="3132"/>
      <c r="I167" s="1"/>
      <c r="M167" s="1"/>
      <c r="N167" s="3111"/>
      <c r="O167" s="3168"/>
      <c r="P167" s="3113"/>
      <c r="Q167" s="3113"/>
      <c r="R167" s="3113"/>
      <c r="S167" s="3169"/>
      <c r="T167" s="3113"/>
      <c r="V167" s="3008">
        <v>2</v>
      </c>
      <c r="W167" s="2876" t="s">
        <v>8912</v>
      </c>
      <c r="X167" s="2975"/>
      <c r="Y167" s="2975"/>
      <c r="AA167" s="3008"/>
      <c r="AB167" s="2991"/>
      <c r="AC167" s="3010"/>
      <c r="AD167" s="3010"/>
      <c r="AF167" s="2730">
        <v>1</v>
      </c>
    </row>
    <row r="168" spans="2:32" ht="30" customHeight="1">
      <c r="B168" s="2998"/>
      <c r="C168" s="2840"/>
      <c r="D168" s="3132"/>
      <c r="E168" s="3154"/>
      <c r="F168" s="3132"/>
      <c r="G168" s="3155"/>
      <c r="H168" s="3132"/>
      <c r="I168" s="1"/>
      <c r="M168" s="1"/>
      <c r="N168" s="3111"/>
      <c r="O168" s="3168"/>
      <c r="P168" s="3113"/>
      <c r="Q168" s="3113"/>
      <c r="R168" s="3113"/>
      <c r="S168" s="3169"/>
      <c r="T168" s="3113"/>
      <c r="V168" s="3008">
        <v>3</v>
      </c>
      <c r="W168" s="2876" t="s">
        <v>8919</v>
      </c>
      <c r="X168" s="2975"/>
      <c r="Y168" s="2975"/>
      <c r="AA168" s="3008"/>
      <c r="AB168" s="2991"/>
      <c r="AC168" s="3010"/>
      <c r="AD168" s="3010"/>
      <c r="AF168" s="2730">
        <v>1</v>
      </c>
    </row>
    <row r="169" spans="2:32" ht="30" customHeight="1">
      <c r="B169" s="2998"/>
      <c r="C169" s="2840"/>
      <c r="D169" s="3132"/>
      <c r="E169" s="3154"/>
      <c r="F169" s="3132"/>
      <c r="G169" s="3155"/>
      <c r="H169" s="3132"/>
      <c r="I169" s="1"/>
      <c r="M169" s="1"/>
      <c r="N169" s="3111"/>
      <c r="O169" s="3168"/>
      <c r="P169" s="3113"/>
      <c r="Q169" s="3113"/>
      <c r="R169" s="3113"/>
      <c r="S169" s="3169"/>
      <c r="T169" s="3113"/>
      <c r="V169" s="3008">
        <v>4</v>
      </c>
      <c r="W169" s="2876" t="s">
        <v>8926</v>
      </c>
      <c r="X169" s="2975"/>
      <c r="Y169" s="2975"/>
      <c r="AA169" s="3008"/>
      <c r="AB169" s="2991"/>
      <c r="AC169" s="3010"/>
      <c r="AD169" s="3010"/>
      <c r="AF169" s="2730">
        <v>1</v>
      </c>
    </row>
    <row r="170" spans="2:32" ht="30" customHeight="1">
      <c r="B170" s="2998"/>
      <c r="C170" s="2840"/>
      <c r="D170" s="3132"/>
      <c r="E170" s="3154"/>
      <c r="F170" s="3132"/>
      <c r="G170" s="3155"/>
      <c r="H170" s="3132"/>
      <c r="I170" s="1"/>
      <c r="M170" s="1"/>
      <c r="N170" s="3111"/>
      <c r="O170" s="3168"/>
      <c r="P170" s="3113"/>
      <c r="Q170" s="3113"/>
      <c r="R170" s="3113"/>
      <c r="S170" s="3169"/>
      <c r="T170" s="3113"/>
      <c r="V170" s="3008">
        <v>5</v>
      </c>
      <c r="W170" s="2876" t="s">
        <v>8933</v>
      </c>
      <c r="X170" s="2975"/>
      <c r="Y170" s="2975"/>
      <c r="AA170" s="3008"/>
      <c r="AB170" s="2991"/>
      <c r="AC170" s="3010"/>
      <c r="AD170" s="3010"/>
      <c r="AF170" s="2730">
        <v>1</v>
      </c>
    </row>
    <row r="171" spans="2:32" ht="30" customHeight="1">
      <c r="B171" s="2998"/>
      <c r="C171" s="2840"/>
      <c r="D171" s="3132"/>
      <c r="E171" s="3154"/>
      <c r="F171" s="3132"/>
      <c r="G171" s="3155"/>
      <c r="H171" s="3132"/>
      <c r="I171" s="1"/>
      <c r="M171" s="1"/>
      <c r="N171" s="3111"/>
      <c r="O171" s="3168"/>
      <c r="P171" s="3113"/>
      <c r="Q171" s="3113"/>
      <c r="R171" s="3113"/>
      <c r="S171" s="3169"/>
      <c r="T171" s="3113"/>
      <c r="V171" s="3008">
        <v>6</v>
      </c>
      <c r="W171" s="2876" t="s">
        <v>8940</v>
      </c>
      <c r="X171" s="2975"/>
      <c r="Y171" s="2975"/>
      <c r="AA171" s="3008"/>
      <c r="AB171" s="2991"/>
      <c r="AC171" s="3010"/>
      <c r="AD171" s="3010"/>
      <c r="AF171" s="2730">
        <v>1</v>
      </c>
    </row>
    <row r="172" spans="2:32" ht="30" customHeight="1">
      <c r="B172" s="2998"/>
      <c r="C172" s="2840"/>
      <c r="D172" s="3132"/>
      <c r="E172" s="3154"/>
      <c r="F172" s="3132"/>
      <c r="G172" s="3155"/>
      <c r="H172" s="3132"/>
      <c r="I172" s="1"/>
      <c r="M172" s="1"/>
      <c r="N172" s="3111"/>
      <c r="O172" s="3168"/>
      <c r="P172" s="3113"/>
      <c r="Q172" s="3113"/>
      <c r="R172" s="3113"/>
      <c r="S172" s="3169"/>
      <c r="T172" s="3113"/>
      <c r="V172" s="3008"/>
      <c r="W172" s="2876"/>
      <c r="X172" s="2975"/>
      <c r="Y172" s="2975"/>
      <c r="AA172" s="3008"/>
      <c r="AB172" s="2991"/>
      <c r="AC172" s="3010"/>
      <c r="AD172" s="3010"/>
      <c r="AF172" s="2730">
        <v>1</v>
      </c>
    </row>
    <row r="173" spans="2:32" ht="30" customHeight="1">
      <c r="B173" s="2998"/>
      <c r="C173" s="2840"/>
      <c r="D173" s="3132"/>
      <c r="E173" s="3154"/>
      <c r="F173" s="3132"/>
      <c r="G173" s="3155"/>
      <c r="H173" s="3132"/>
      <c r="I173" s="1"/>
      <c r="M173" s="1"/>
      <c r="N173" s="3111"/>
      <c r="O173" s="3168"/>
      <c r="P173" s="3113"/>
      <c r="Q173" s="3113"/>
      <c r="R173" s="3113"/>
      <c r="S173" s="3169"/>
      <c r="T173" s="3113"/>
      <c r="V173" s="3008"/>
      <c r="W173" s="3029" t="s">
        <v>8953</v>
      </c>
      <c r="X173" s="3167" t="s">
        <v>8954</v>
      </c>
      <c r="Y173" s="3167" t="s">
        <v>8955</v>
      </c>
      <c r="AA173" s="3008"/>
      <c r="AB173" s="2991"/>
      <c r="AC173" s="3010"/>
      <c r="AD173" s="3010"/>
      <c r="AF173" s="2730">
        <v>1</v>
      </c>
    </row>
    <row r="174" spans="2:32" ht="30" customHeight="1">
      <c r="B174" s="2998"/>
      <c r="C174" s="2840"/>
      <c r="D174" s="3132"/>
      <c r="E174" s="3154"/>
      <c r="F174" s="3132"/>
      <c r="G174" s="3155"/>
      <c r="H174" s="3132"/>
      <c r="I174" s="1"/>
      <c r="M174" s="1"/>
      <c r="N174" s="3111"/>
      <c r="O174" s="3168"/>
      <c r="P174" s="3113"/>
      <c r="Q174" s="3113"/>
      <c r="R174" s="3113"/>
      <c r="S174" s="3169"/>
      <c r="T174" s="3113"/>
      <c r="V174" s="3008"/>
      <c r="W174" s="2876"/>
      <c r="X174" s="2975"/>
      <c r="Y174" s="2975"/>
      <c r="AA174" s="3008"/>
      <c r="AB174" s="2991"/>
      <c r="AC174" s="3010"/>
      <c r="AD174" s="3010"/>
      <c r="AF174" s="2730">
        <v>1</v>
      </c>
    </row>
    <row r="175" spans="2:32" ht="30" customHeight="1">
      <c r="B175" s="2998"/>
      <c r="C175" s="2840"/>
      <c r="D175" s="3132"/>
      <c r="E175" s="3154"/>
      <c r="F175" s="3132"/>
      <c r="G175" s="3155"/>
      <c r="H175" s="3132"/>
      <c r="I175" s="1"/>
      <c r="M175" s="1"/>
      <c r="N175" s="3111"/>
      <c r="O175" s="3168"/>
      <c r="P175" s="3113"/>
      <c r="Q175" s="3113"/>
      <c r="R175" s="3113"/>
      <c r="S175" s="3169"/>
      <c r="T175" s="3113"/>
      <c r="V175" s="3008">
        <v>1</v>
      </c>
      <c r="W175" s="2876" t="s">
        <v>8967</v>
      </c>
      <c r="X175" s="2975"/>
      <c r="Y175" s="2975"/>
      <c r="AA175" s="3008"/>
      <c r="AB175" s="2991"/>
      <c r="AC175" s="3010"/>
      <c r="AD175" s="3010"/>
      <c r="AF175" s="2730">
        <v>1</v>
      </c>
    </row>
    <row r="176" spans="2:32" ht="30" customHeight="1">
      <c r="B176" s="2998"/>
      <c r="C176" s="2840"/>
      <c r="D176" s="3132"/>
      <c r="E176" s="3154"/>
      <c r="F176" s="3132"/>
      <c r="G176" s="3155"/>
      <c r="H176" s="3132"/>
      <c r="I176" s="1"/>
      <c r="M176" s="1"/>
      <c r="N176" s="3111"/>
      <c r="O176" s="3168"/>
      <c r="P176" s="3113"/>
      <c r="Q176" s="3113"/>
      <c r="R176" s="3113"/>
      <c r="S176" s="3169"/>
      <c r="T176" s="3113"/>
      <c r="V176" s="3008">
        <v>2</v>
      </c>
      <c r="W176" s="2876" t="s">
        <v>8973</v>
      </c>
      <c r="X176" s="2975"/>
      <c r="Y176" s="2975"/>
      <c r="AA176" s="3008"/>
      <c r="AB176" s="2991"/>
      <c r="AC176" s="3010"/>
      <c r="AD176" s="3010"/>
      <c r="AF176" s="2730">
        <v>1</v>
      </c>
    </row>
    <row r="177" spans="2:32" ht="30" customHeight="1">
      <c r="B177" s="2998"/>
      <c r="C177" s="2840"/>
      <c r="D177" s="3132"/>
      <c r="E177" s="3154"/>
      <c r="F177" s="3132"/>
      <c r="G177" s="3155"/>
      <c r="H177" s="3132"/>
      <c r="I177" s="1"/>
      <c r="M177" s="1"/>
      <c r="N177" s="3111"/>
      <c r="O177" s="3168"/>
      <c r="P177" s="3113"/>
      <c r="Q177" s="3113"/>
      <c r="R177" s="3113"/>
      <c r="S177" s="3169"/>
      <c r="T177" s="3113"/>
      <c r="V177" s="3008">
        <v>3</v>
      </c>
      <c r="W177" s="2876" t="s">
        <v>8979</v>
      </c>
      <c r="X177" s="2975"/>
      <c r="Y177" s="2975"/>
      <c r="AA177" s="3008"/>
      <c r="AB177" s="2991"/>
      <c r="AC177" s="3010"/>
      <c r="AD177" s="3010"/>
      <c r="AF177" s="2730">
        <v>1</v>
      </c>
    </row>
    <row r="178" spans="2:32" ht="30" customHeight="1">
      <c r="B178" s="2998"/>
      <c r="C178" s="2840"/>
      <c r="D178" s="3132"/>
      <c r="E178" s="3154"/>
      <c r="F178" s="3132"/>
      <c r="G178" s="3155"/>
      <c r="H178" s="3132"/>
      <c r="I178" s="1"/>
      <c r="M178" s="1"/>
      <c r="N178" s="3111"/>
      <c r="O178" s="3168"/>
      <c r="P178" s="3113"/>
      <c r="Q178" s="3113"/>
      <c r="R178" s="3113"/>
      <c r="S178" s="3169"/>
      <c r="T178" s="3113"/>
      <c r="V178" s="3008">
        <v>4</v>
      </c>
      <c r="W178" s="2876" t="s">
        <v>8985</v>
      </c>
      <c r="X178" s="2975"/>
      <c r="Y178" s="3078"/>
      <c r="AA178" s="3008"/>
      <c r="AB178" s="2991"/>
      <c r="AC178" s="3010"/>
      <c r="AD178" s="3010"/>
      <c r="AF178" s="2730">
        <v>1</v>
      </c>
    </row>
    <row r="179" spans="2:32" ht="30" customHeight="1">
      <c r="B179" s="2998"/>
      <c r="C179" s="2840"/>
      <c r="D179" s="3132"/>
      <c r="E179" s="3154"/>
      <c r="F179" s="3132"/>
      <c r="G179" s="3155"/>
      <c r="H179" s="3132"/>
      <c r="I179" s="1"/>
      <c r="M179" s="1"/>
      <c r="N179" s="3111"/>
      <c r="O179" s="3168"/>
      <c r="P179" s="3113"/>
      <c r="Q179" s="3113"/>
      <c r="R179" s="3113"/>
      <c r="S179" s="3169"/>
      <c r="T179" s="3113"/>
      <c r="V179" s="3008"/>
      <c r="W179" s="2876"/>
      <c r="X179" s="2975"/>
      <c r="Y179" s="3078"/>
      <c r="AA179" s="3008"/>
      <c r="AB179" s="2991"/>
      <c r="AC179" s="3010"/>
      <c r="AD179" s="3010"/>
      <c r="AF179" s="2730">
        <v>1</v>
      </c>
    </row>
    <row r="180" spans="2:32" ht="30" customHeight="1">
      <c r="B180" s="2998"/>
      <c r="C180" s="2840"/>
      <c r="D180" s="3132"/>
      <c r="E180" s="3154"/>
      <c r="F180" s="3132"/>
      <c r="G180" s="3155"/>
      <c r="H180" s="3132"/>
      <c r="I180" s="1"/>
      <c r="M180" s="1"/>
      <c r="N180" s="3111"/>
      <c r="O180" s="3168"/>
      <c r="P180" s="3113"/>
      <c r="Q180" s="3113"/>
      <c r="R180" s="3113"/>
      <c r="S180" s="3169"/>
      <c r="T180" s="3113"/>
      <c r="V180" s="3008"/>
      <c r="W180" s="3029" t="s">
        <v>8998</v>
      </c>
      <c r="X180" s="3167" t="s">
        <v>8999</v>
      </c>
      <c r="Y180" s="3167" t="s">
        <v>9000</v>
      </c>
      <c r="AA180" s="3008"/>
      <c r="AB180" s="2991"/>
      <c r="AC180" s="3010"/>
      <c r="AD180" s="3010"/>
      <c r="AF180" s="2730">
        <v>1</v>
      </c>
    </row>
    <row r="181" spans="2:32" ht="30" customHeight="1">
      <c r="B181" s="2998"/>
      <c r="C181" s="2840"/>
      <c r="D181" s="3132"/>
      <c r="E181" s="3154"/>
      <c r="F181" s="3132"/>
      <c r="G181" s="3155"/>
      <c r="H181" s="3132"/>
      <c r="I181" s="1"/>
      <c r="M181" s="1"/>
      <c r="N181" s="3111"/>
      <c r="O181" s="3168"/>
      <c r="P181" s="3113"/>
      <c r="Q181" s="3113"/>
      <c r="R181" s="3113"/>
      <c r="S181" s="3169"/>
      <c r="T181" s="3113"/>
      <c r="V181" s="3008"/>
      <c r="W181" s="2876"/>
      <c r="X181" s="2975"/>
      <c r="Y181" s="3078"/>
      <c r="AA181" s="3008"/>
      <c r="AB181" s="2991"/>
      <c r="AC181" s="3010"/>
      <c r="AD181" s="3010"/>
      <c r="AF181" s="2730">
        <v>1</v>
      </c>
    </row>
    <row r="182" spans="2:32" ht="30" customHeight="1">
      <c r="B182" s="2998"/>
      <c r="C182" s="2840"/>
      <c r="D182" s="3132"/>
      <c r="E182" s="3154"/>
      <c r="F182" s="3132"/>
      <c r="G182" s="3155"/>
      <c r="H182" s="3132"/>
      <c r="I182" s="1"/>
      <c r="M182" s="1"/>
      <c r="N182" s="3111"/>
      <c r="O182" s="3168"/>
      <c r="P182" s="3113"/>
      <c r="Q182" s="3113"/>
      <c r="R182" s="3113"/>
      <c r="S182" s="3169"/>
      <c r="T182" s="3113"/>
      <c r="V182" s="3008">
        <v>1</v>
      </c>
      <c r="W182" s="2876" t="s">
        <v>9012</v>
      </c>
      <c r="X182" s="2975"/>
      <c r="Y182" s="3078"/>
      <c r="AA182" s="3008"/>
      <c r="AB182" s="2991"/>
      <c r="AC182" s="3010"/>
      <c r="AD182" s="3010"/>
      <c r="AF182" s="2730">
        <v>1</v>
      </c>
    </row>
    <row r="183" spans="2:32" ht="30" customHeight="1">
      <c r="B183" s="2998"/>
      <c r="C183" s="2840"/>
      <c r="D183" s="3132"/>
      <c r="E183" s="3154"/>
      <c r="F183" s="3132"/>
      <c r="G183" s="3155"/>
      <c r="H183" s="3132"/>
      <c r="I183" s="1"/>
      <c r="M183" s="1"/>
      <c r="N183" s="3111"/>
      <c r="O183" s="3168"/>
      <c r="P183" s="3113"/>
      <c r="Q183" s="3113"/>
      <c r="R183" s="3113"/>
      <c r="S183" s="3169"/>
      <c r="T183" s="3113"/>
      <c r="V183" s="3008">
        <v>2</v>
      </c>
      <c r="W183" s="2876" t="s">
        <v>9019</v>
      </c>
      <c r="X183" s="2975"/>
      <c r="Y183" s="3078"/>
      <c r="AA183" s="3008"/>
      <c r="AB183" s="2991"/>
      <c r="AC183" s="3010"/>
      <c r="AD183" s="3010"/>
      <c r="AF183" s="2730">
        <v>1</v>
      </c>
    </row>
    <row r="184" spans="2:32" ht="30" customHeight="1">
      <c r="B184" s="2998"/>
      <c r="C184" s="2840"/>
      <c r="D184" s="3132"/>
      <c r="E184" s="3154"/>
      <c r="F184" s="3132"/>
      <c r="G184" s="3155"/>
      <c r="H184" s="3132"/>
      <c r="I184" s="1"/>
      <c r="M184" s="1"/>
      <c r="N184" s="3111"/>
      <c r="O184" s="3168"/>
      <c r="P184" s="3113"/>
      <c r="Q184" s="3113"/>
      <c r="R184" s="3113"/>
      <c r="S184" s="3169"/>
      <c r="T184" s="3113"/>
      <c r="V184" s="3008">
        <v>3</v>
      </c>
      <c r="W184" s="2876" t="s">
        <v>9026</v>
      </c>
      <c r="X184" s="2975"/>
      <c r="Y184" s="3078"/>
      <c r="AA184" s="3008"/>
      <c r="AB184" s="2991"/>
      <c r="AC184" s="3010"/>
      <c r="AD184" s="3010"/>
      <c r="AF184" s="2730">
        <v>1</v>
      </c>
    </row>
    <row r="185" spans="2:32" ht="30" customHeight="1">
      <c r="B185" s="2998"/>
      <c r="C185" s="2840"/>
      <c r="D185" s="3132"/>
      <c r="E185" s="3154"/>
      <c r="F185" s="3132"/>
      <c r="G185" s="3155"/>
      <c r="H185" s="3132"/>
      <c r="I185" s="1"/>
      <c r="M185" s="1"/>
      <c r="N185" s="3111"/>
      <c r="O185" s="3168"/>
      <c r="P185" s="3113"/>
      <c r="Q185" s="3113"/>
      <c r="R185" s="3113"/>
      <c r="S185" s="3169"/>
      <c r="T185" s="3113"/>
      <c r="V185" s="3008">
        <v>4</v>
      </c>
      <c r="W185" s="2876" t="s">
        <v>9033</v>
      </c>
      <c r="X185" s="2975"/>
      <c r="Y185" s="2975"/>
      <c r="AA185" s="3008"/>
      <c r="AB185" s="2991"/>
      <c r="AC185" s="3010"/>
      <c r="AD185" s="3010"/>
      <c r="AF185" s="2730">
        <v>1</v>
      </c>
    </row>
    <row r="186" spans="2:32" ht="30" customHeight="1">
      <c r="B186" s="2998"/>
      <c r="C186" s="2840"/>
      <c r="D186" s="3132"/>
      <c r="E186" s="3154"/>
      <c r="F186" s="3132"/>
      <c r="G186" s="3155"/>
      <c r="H186" s="3132"/>
      <c r="I186" s="1"/>
      <c r="M186" s="1"/>
      <c r="N186" s="3111"/>
      <c r="O186" s="3168"/>
      <c r="P186" s="3113"/>
      <c r="Q186" s="3113"/>
      <c r="R186" s="3113"/>
      <c r="S186" s="3169"/>
      <c r="T186" s="3113"/>
      <c r="V186" s="3008">
        <v>5</v>
      </c>
      <c r="W186" s="2876" t="s">
        <v>9040</v>
      </c>
      <c r="X186" s="2975"/>
      <c r="Y186" s="2975"/>
      <c r="AA186" s="3008"/>
      <c r="AB186" s="2991"/>
      <c r="AC186" s="3010"/>
      <c r="AD186" s="3010"/>
      <c r="AF186" s="2730">
        <v>1</v>
      </c>
    </row>
    <row r="187" spans="2:32" ht="30" customHeight="1">
      <c r="B187" s="2998"/>
      <c r="C187" s="2840"/>
      <c r="D187" s="3132"/>
      <c r="E187" s="3154"/>
      <c r="F187" s="3132"/>
      <c r="G187" s="3155"/>
      <c r="H187" s="3132"/>
      <c r="I187" s="1"/>
      <c r="M187" s="1"/>
      <c r="N187" s="3111"/>
      <c r="O187" s="3168"/>
      <c r="P187" s="3113"/>
      <c r="Q187" s="3113"/>
      <c r="R187" s="3113"/>
      <c r="S187" s="3169"/>
      <c r="T187" s="3113"/>
      <c r="V187" s="3008">
        <v>6</v>
      </c>
      <c r="W187" s="2876" t="s">
        <v>9047</v>
      </c>
      <c r="X187" s="2975"/>
      <c r="Y187" s="3078"/>
      <c r="AA187" s="3008"/>
      <c r="AB187" s="2991"/>
      <c r="AC187" s="3010"/>
      <c r="AD187" s="3010"/>
      <c r="AF187" s="2730">
        <v>1</v>
      </c>
    </row>
    <row r="188" spans="2:32" ht="30" customHeight="1">
      <c r="B188" s="2998"/>
      <c r="C188" s="2840"/>
      <c r="D188" s="3132"/>
      <c r="E188" s="3154"/>
      <c r="F188" s="3132"/>
      <c r="G188" s="3155"/>
      <c r="H188" s="3132"/>
      <c r="I188" s="1"/>
      <c r="M188" s="1"/>
      <c r="N188" s="3111"/>
      <c r="O188" s="3168"/>
      <c r="P188" s="3113"/>
      <c r="Q188" s="3113"/>
      <c r="R188" s="3113"/>
      <c r="S188" s="3169"/>
      <c r="T188" s="3113"/>
      <c r="V188" s="3008"/>
      <c r="W188" s="2876"/>
      <c r="X188" s="2975"/>
      <c r="Y188" s="3078"/>
      <c r="AA188" s="3008"/>
      <c r="AB188" s="2991"/>
      <c r="AC188" s="3010"/>
      <c r="AD188" s="3010"/>
      <c r="AF188" s="2730">
        <v>1</v>
      </c>
    </row>
    <row r="189" spans="2:32" ht="30" customHeight="1">
      <c r="B189" s="2998"/>
      <c r="C189" s="2840"/>
      <c r="D189" s="3132"/>
      <c r="E189" s="3154"/>
      <c r="F189" s="3132"/>
      <c r="G189" s="3155"/>
      <c r="H189" s="3132"/>
      <c r="I189" s="1"/>
      <c r="M189" s="1"/>
      <c r="N189" s="3111"/>
      <c r="O189" s="3168"/>
      <c r="P189" s="3113"/>
      <c r="Q189" s="3113"/>
      <c r="R189" s="3113"/>
      <c r="S189" s="3169"/>
      <c r="T189" s="3113"/>
      <c r="V189" s="3008"/>
      <c r="W189" s="3029" t="s">
        <v>9060</v>
      </c>
      <c r="X189" s="3167" t="s">
        <v>9061</v>
      </c>
      <c r="Y189" s="3167" t="s">
        <v>9062</v>
      </c>
      <c r="AA189" s="3008"/>
      <c r="AB189" s="2991"/>
      <c r="AC189" s="3010"/>
      <c r="AD189" s="3010"/>
      <c r="AF189" s="2730">
        <v>1</v>
      </c>
    </row>
    <row r="190" spans="2:32" ht="30" customHeight="1">
      <c r="B190" s="2998"/>
      <c r="C190" s="2840"/>
      <c r="D190" s="3132"/>
      <c r="E190" s="3154"/>
      <c r="F190" s="3132"/>
      <c r="G190" s="3155"/>
      <c r="H190" s="3132"/>
      <c r="I190" s="1"/>
      <c r="M190" s="1"/>
      <c r="N190" s="3111"/>
      <c r="O190" s="3168"/>
      <c r="P190" s="3113"/>
      <c r="Q190" s="3113"/>
      <c r="R190" s="3113"/>
      <c r="S190" s="3169"/>
      <c r="T190" s="3113"/>
      <c r="V190" s="3008"/>
      <c r="W190" s="2876"/>
      <c r="X190" s="2975"/>
      <c r="Y190" s="3078"/>
      <c r="AA190" s="3008"/>
      <c r="AB190" s="2991"/>
      <c r="AC190" s="3010"/>
      <c r="AD190" s="3010"/>
      <c r="AF190" s="2730">
        <v>1</v>
      </c>
    </row>
    <row r="191" spans="2:32" ht="30" customHeight="1">
      <c r="B191" s="2998"/>
      <c r="C191" s="2840"/>
      <c r="D191" s="3132"/>
      <c r="E191" s="3154"/>
      <c r="F191" s="3132"/>
      <c r="G191" s="3155"/>
      <c r="H191" s="3132"/>
      <c r="I191" s="1"/>
      <c r="M191" s="1"/>
      <c r="N191" s="3111"/>
      <c r="O191" s="3168"/>
      <c r="P191" s="3113"/>
      <c r="Q191" s="3113"/>
      <c r="R191" s="3113"/>
      <c r="S191" s="3169"/>
      <c r="T191" s="3113"/>
      <c r="V191" s="3008">
        <v>1</v>
      </c>
      <c r="W191" s="2876" t="s">
        <v>9074</v>
      </c>
      <c r="X191" s="2975"/>
      <c r="Y191" s="3078"/>
      <c r="AA191" s="3008"/>
      <c r="AB191" s="2991"/>
      <c r="AC191" s="3010"/>
      <c r="AD191" s="3010"/>
      <c r="AF191" s="2730">
        <v>1</v>
      </c>
    </row>
    <row r="192" spans="2:32" ht="30" customHeight="1">
      <c r="B192" s="2998"/>
      <c r="C192" s="2840"/>
      <c r="D192" s="3132"/>
      <c r="E192" s="3154"/>
      <c r="F192" s="3132"/>
      <c r="G192" s="3155"/>
      <c r="H192" s="3132"/>
      <c r="I192" s="1"/>
      <c r="M192" s="1"/>
      <c r="N192" s="3111"/>
      <c r="O192" s="3168"/>
      <c r="P192" s="3113"/>
      <c r="Q192" s="3113"/>
      <c r="R192" s="3113"/>
      <c r="S192" s="3169"/>
      <c r="T192" s="3113"/>
      <c r="V192" s="3008">
        <v>2</v>
      </c>
      <c r="W192" s="2876" t="s">
        <v>9080</v>
      </c>
      <c r="X192" s="2975"/>
      <c r="Y192" s="3078"/>
      <c r="AA192" s="3008"/>
      <c r="AB192" s="2991"/>
      <c r="AC192" s="3010"/>
      <c r="AD192" s="3010"/>
      <c r="AF192" s="2730">
        <v>1</v>
      </c>
    </row>
    <row r="193" spans="2:32" ht="30" customHeight="1">
      <c r="B193" s="2998"/>
      <c r="C193" s="2840"/>
      <c r="D193" s="3132"/>
      <c r="E193" s="3154"/>
      <c r="F193" s="3132"/>
      <c r="G193" s="3155"/>
      <c r="H193" s="3132"/>
      <c r="I193" s="1"/>
      <c r="M193" s="1"/>
      <c r="N193" s="3111"/>
      <c r="O193" s="3168"/>
      <c r="P193" s="3113"/>
      <c r="Q193" s="3113"/>
      <c r="R193" s="3113"/>
      <c r="S193" s="3169"/>
      <c r="T193" s="3113"/>
      <c r="V193" s="3008">
        <v>3</v>
      </c>
      <c r="W193" s="2876" t="s">
        <v>9081</v>
      </c>
      <c r="X193" s="2975"/>
      <c r="Y193" s="3078"/>
      <c r="AA193" s="3008"/>
      <c r="AB193" s="2991"/>
      <c r="AC193" s="3010"/>
      <c r="AD193" s="3010"/>
      <c r="AF193" s="2730">
        <v>1</v>
      </c>
    </row>
    <row r="194" spans="2:32" ht="30" customHeight="1">
      <c r="B194" s="2998"/>
      <c r="C194" s="2840"/>
      <c r="D194" s="3132"/>
      <c r="E194" s="3154"/>
      <c r="F194" s="3132"/>
      <c r="G194" s="3155"/>
      <c r="H194" s="3132"/>
      <c r="I194" s="1"/>
      <c r="M194" s="1"/>
      <c r="N194" s="3111"/>
      <c r="O194" s="3168"/>
      <c r="P194" s="3113"/>
      <c r="Q194" s="3113"/>
      <c r="R194" s="3113"/>
      <c r="S194" s="3169"/>
      <c r="T194" s="3113"/>
      <c r="V194" s="3008">
        <v>4</v>
      </c>
      <c r="W194" s="2876" t="s">
        <v>9082</v>
      </c>
      <c r="X194" s="2975"/>
      <c r="Y194" s="2975"/>
      <c r="AA194" s="3008"/>
      <c r="AB194" s="2991"/>
      <c r="AC194" s="3010"/>
      <c r="AD194" s="3010"/>
      <c r="AF194" s="2730">
        <v>1</v>
      </c>
    </row>
    <row r="195" spans="2:32" ht="30" customHeight="1">
      <c r="B195" s="2998"/>
      <c r="C195" s="2840"/>
      <c r="D195" s="3132"/>
      <c r="E195" s="3154"/>
      <c r="F195" s="3132"/>
      <c r="G195" s="3155"/>
      <c r="H195" s="3132"/>
      <c r="I195" s="1"/>
      <c r="M195" s="1"/>
      <c r="N195" s="3111"/>
      <c r="O195" s="3168"/>
      <c r="P195" s="3113"/>
      <c r="Q195" s="3113"/>
      <c r="R195" s="3113"/>
      <c r="S195" s="3169"/>
      <c r="T195" s="3113"/>
      <c r="V195" s="3008">
        <v>5</v>
      </c>
      <c r="W195" s="2876" t="s">
        <v>9088</v>
      </c>
      <c r="X195" s="2975"/>
      <c r="Y195" s="2975"/>
      <c r="AA195" s="3008"/>
      <c r="AB195" s="2991"/>
      <c r="AC195" s="3010"/>
      <c r="AD195" s="3010"/>
      <c r="AF195" s="2730">
        <v>1</v>
      </c>
    </row>
    <row r="196" spans="2:32" ht="30" customHeight="1">
      <c r="B196" s="2998"/>
      <c r="C196" s="2840"/>
      <c r="D196" s="3132"/>
      <c r="E196" s="3154"/>
      <c r="F196" s="3132"/>
      <c r="G196" s="3155"/>
      <c r="H196" s="3132"/>
      <c r="I196" s="1"/>
      <c r="M196" s="1"/>
      <c r="N196" s="3111"/>
      <c r="O196" s="3168"/>
      <c r="P196" s="3113"/>
      <c r="Q196" s="3113"/>
      <c r="R196" s="3113"/>
      <c r="S196" s="3169"/>
      <c r="T196" s="3113"/>
      <c r="V196" s="3008">
        <v>6</v>
      </c>
      <c r="W196" s="2876" t="s">
        <v>9095</v>
      </c>
      <c r="X196" s="2975"/>
      <c r="Y196" s="3078"/>
      <c r="AA196" s="3008"/>
      <c r="AB196" s="2991"/>
      <c r="AC196" s="3010"/>
      <c r="AD196" s="3010"/>
      <c r="AF196" s="2730">
        <v>1</v>
      </c>
    </row>
    <row r="197" spans="2:32" ht="30" customHeight="1">
      <c r="B197" s="2998"/>
      <c r="C197" s="2840"/>
      <c r="D197" s="3132"/>
      <c r="E197" s="3154"/>
      <c r="F197" s="3132"/>
      <c r="G197" s="3155"/>
      <c r="H197" s="3132"/>
      <c r="I197" s="1"/>
      <c r="M197" s="1"/>
      <c r="N197" s="3111"/>
      <c r="O197" s="3168"/>
      <c r="P197" s="3113"/>
      <c r="Q197" s="3113"/>
      <c r="R197" s="3113"/>
      <c r="S197" s="3169"/>
      <c r="T197" s="3113"/>
      <c r="V197" s="3008"/>
      <c r="W197" s="2876"/>
      <c r="X197" s="2975"/>
      <c r="Y197" s="3078"/>
      <c r="AA197" s="3008"/>
      <c r="AB197" s="2991"/>
      <c r="AC197" s="3010"/>
      <c r="AD197" s="3010"/>
      <c r="AF197" s="2730">
        <v>1</v>
      </c>
    </row>
    <row r="198" spans="2:32" ht="30" customHeight="1">
      <c r="B198" s="2998"/>
      <c r="C198" s="2840"/>
      <c r="D198" s="3132"/>
      <c r="E198" s="3154"/>
      <c r="F198" s="3132"/>
      <c r="G198" s="3155"/>
      <c r="H198" s="3132"/>
      <c r="I198" s="1"/>
      <c r="M198" s="1"/>
      <c r="N198" s="3111"/>
      <c r="O198" s="3168"/>
      <c r="P198" s="3113"/>
      <c r="Q198" s="3113"/>
      <c r="R198" s="3113"/>
      <c r="S198" s="3169"/>
      <c r="T198" s="3113"/>
      <c r="V198" s="3008"/>
      <c r="W198" s="3029" t="s">
        <v>9107</v>
      </c>
      <c r="X198" s="3167" t="s">
        <v>9108</v>
      </c>
      <c r="Y198" s="3167" t="s">
        <v>9109</v>
      </c>
      <c r="AA198" s="3008"/>
      <c r="AB198" s="2991"/>
      <c r="AC198" s="3010"/>
      <c r="AD198" s="3010"/>
      <c r="AF198" s="2730">
        <v>1</v>
      </c>
    </row>
    <row r="199" spans="2:32" ht="30" customHeight="1">
      <c r="B199" s="2998"/>
      <c r="C199" s="2840"/>
      <c r="D199" s="3132"/>
      <c r="E199" s="3154"/>
      <c r="F199" s="3132"/>
      <c r="G199" s="3155"/>
      <c r="H199" s="3132"/>
      <c r="I199" s="1"/>
      <c r="M199" s="1"/>
      <c r="N199" s="3111"/>
      <c r="O199" s="3168"/>
      <c r="P199" s="3113"/>
      <c r="Q199" s="3113"/>
      <c r="R199" s="3113"/>
      <c r="S199" s="3169"/>
      <c r="T199" s="3113"/>
      <c r="V199" s="3008"/>
      <c r="W199" s="2876"/>
      <c r="X199" s="2975"/>
      <c r="Y199" s="3078"/>
      <c r="AA199" s="3008"/>
      <c r="AB199" s="2991"/>
      <c r="AC199" s="3010"/>
      <c r="AD199" s="3010"/>
      <c r="AF199" s="2730">
        <v>1</v>
      </c>
    </row>
    <row r="200" spans="2:32" ht="30" customHeight="1">
      <c r="B200" s="2998"/>
      <c r="C200" s="2840"/>
      <c r="D200" s="3132"/>
      <c r="E200" s="3154"/>
      <c r="F200" s="3132"/>
      <c r="G200" s="3155"/>
      <c r="H200" s="3132"/>
      <c r="I200" s="1"/>
      <c r="M200" s="1"/>
      <c r="N200" s="3111"/>
      <c r="O200" s="3168"/>
      <c r="P200" s="3113"/>
      <c r="Q200" s="3113"/>
      <c r="R200" s="3113"/>
      <c r="S200" s="3169"/>
      <c r="T200" s="3113"/>
      <c r="V200" s="3008">
        <v>1</v>
      </c>
      <c r="W200" s="2876" t="s">
        <v>9122</v>
      </c>
      <c r="X200" s="2975"/>
      <c r="Y200" s="3078"/>
      <c r="AA200" s="3008"/>
      <c r="AB200" s="2991"/>
      <c r="AC200" s="3010"/>
      <c r="AD200" s="3010"/>
      <c r="AF200" s="2730">
        <v>1</v>
      </c>
    </row>
    <row r="201" spans="2:32" ht="30" customHeight="1">
      <c r="B201" s="2998"/>
      <c r="C201" s="2840"/>
      <c r="D201" s="3132"/>
      <c r="E201" s="3154"/>
      <c r="F201" s="3132"/>
      <c r="G201" s="3155"/>
      <c r="H201" s="3132"/>
      <c r="I201" s="1"/>
      <c r="M201" s="1"/>
      <c r="N201" s="3111"/>
      <c r="O201" s="3168"/>
      <c r="P201" s="3113"/>
      <c r="Q201" s="3113"/>
      <c r="R201" s="3113"/>
      <c r="S201" s="3169"/>
      <c r="T201" s="3113"/>
      <c r="V201" s="3008">
        <v>2</v>
      </c>
      <c r="W201" s="2876" t="s">
        <v>9129</v>
      </c>
      <c r="X201" s="2975"/>
      <c r="Y201" s="3078"/>
      <c r="AA201" s="3008"/>
      <c r="AB201" s="2991"/>
      <c r="AC201" s="3010"/>
      <c r="AD201" s="3010"/>
      <c r="AF201" s="2730">
        <v>1</v>
      </c>
    </row>
    <row r="202" spans="2:32" ht="30" customHeight="1">
      <c r="B202" s="2998"/>
      <c r="C202" s="2840"/>
      <c r="D202" s="3132"/>
      <c r="E202" s="3154"/>
      <c r="F202" s="3132"/>
      <c r="G202" s="3155"/>
      <c r="H202" s="3132"/>
      <c r="I202" s="1"/>
      <c r="M202" s="1"/>
      <c r="N202" s="3111"/>
      <c r="O202" s="3168"/>
      <c r="P202" s="3113"/>
      <c r="Q202" s="3113"/>
      <c r="R202" s="3113"/>
      <c r="S202" s="3169"/>
      <c r="T202" s="3113"/>
      <c r="V202" s="3008">
        <v>3</v>
      </c>
      <c r="W202" s="2876" t="s">
        <v>9136</v>
      </c>
      <c r="X202" s="2975"/>
      <c r="Y202" s="3078"/>
      <c r="AA202" s="3008"/>
      <c r="AB202" s="2991"/>
      <c r="AC202" s="3010"/>
      <c r="AD202" s="3010"/>
      <c r="AF202" s="2730">
        <v>1</v>
      </c>
    </row>
    <row r="203" spans="2:32" ht="30" customHeight="1">
      <c r="B203" s="2998"/>
      <c r="C203" s="2840"/>
      <c r="D203" s="3132"/>
      <c r="E203" s="3154"/>
      <c r="F203" s="3132"/>
      <c r="G203" s="3155"/>
      <c r="H203" s="3132"/>
      <c r="I203" s="1"/>
      <c r="M203" s="1"/>
      <c r="N203" s="3111"/>
      <c r="O203" s="3168"/>
      <c r="P203" s="3113"/>
      <c r="Q203" s="3113"/>
      <c r="R203" s="3113"/>
      <c r="S203" s="3169"/>
      <c r="T203" s="3113"/>
      <c r="V203" s="3008">
        <v>4</v>
      </c>
      <c r="W203" s="2876" t="s">
        <v>9143</v>
      </c>
      <c r="X203" s="2975"/>
      <c r="Y203" s="3078"/>
      <c r="AA203" s="3008"/>
      <c r="AB203" s="2991"/>
      <c r="AC203" s="3010"/>
      <c r="AD203" s="3010"/>
      <c r="AF203" s="2730">
        <v>1</v>
      </c>
    </row>
    <row r="204" spans="2:32" ht="30" customHeight="1">
      <c r="B204" s="2998"/>
      <c r="C204" s="2840"/>
      <c r="D204" s="3132"/>
      <c r="E204" s="3154"/>
      <c r="F204" s="3132"/>
      <c r="G204" s="3155"/>
      <c r="H204" s="3132"/>
      <c r="I204" s="1"/>
      <c r="M204" s="1"/>
      <c r="N204" s="3111"/>
      <c r="O204" s="3168"/>
      <c r="P204" s="3113"/>
      <c r="Q204" s="3113"/>
      <c r="R204" s="3113"/>
      <c r="S204" s="3169"/>
      <c r="T204" s="3113"/>
      <c r="V204" s="3008">
        <v>5</v>
      </c>
      <c r="W204" s="2876" t="s">
        <v>9149</v>
      </c>
      <c r="X204" s="2975"/>
      <c r="Y204" s="2975"/>
      <c r="AA204" s="3008"/>
      <c r="AB204" s="2991"/>
      <c r="AC204" s="3010"/>
      <c r="AD204" s="3010"/>
      <c r="AF204" s="2730">
        <v>1</v>
      </c>
    </row>
    <row r="205" spans="2:32" ht="30" customHeight="1">
      <c r="B205" s="2998"/>
      <c r="C205" s="2840"/>
      <c r="D205" s="3132"/>
      <c r="E205" s="3154"/>
      <c r="F205" s="3132"/>
      <c r="G205" s="3155"/>
      <c r="H205" s="3132"/>
      <c r="I205" s="1"/>
      <c r="M205" s="1"/>
      <c r="N205" s="3111"/>
      <c r="O205" s="3168"/>
      <c r="P205" s="3113"/>
      <c r="Q205" s="3113"/>
      <c r="R205" s="3113"/>
      <c r="S205" s="3169"/>
      <c r="T205" s="3113"/>
      <c r="V205" s="3008">
        <v>6</v>
      </c>
      <c r="W205" s="2876" t="s">
        <v>9155</v>
      </c>
      <c r="X205" s="2975"/>
      <c r="Y205" s="2975"/>
      <c r="AA205" s="3008"/>
      <c r="AB205" s="2991"/>
      <c r="AC205" s="3010"/>
      <c r="AD205" s="3010"/>
      <c r="AF205" s="2730">
        <v>1</v>
      </c>
    </row>
    <row r="206" spans="2:32" ht="30" customHeight="1">
      <c r="B206" s="2998"/>
      <c r="C206" s="2840"/>
      <c r="D206" s="3132"/>
      <c r="E206" s="3154"/>
      <c r="F206" s="3132"/>
      <c r="G206" s="3155"/>
      <c r="H206" s="3132"/>
      <c r="I206" s="1"/>
      <c r="M206" s="1"/>
      <c r="N206" s="3111"/>
      <c r="O206" s="3168"/>
      <c r="P206" s="3113"/>
      <c r="Q206" s="3113"/>
      <c r="R206" s="3113"/>
      <c r="S206" s="3169"/>
      <c r="T206" s="3113"/>
      <c r="V206" s="3008">
        <v>7</v>
      </c>
      <c r="W206" s="2876" t="s">
        <v>9161</v>
      </c>
      <c r="X206" s="2975"/>
      <c r="Y206" s="3078"/>
      <c r="AA206" s="3008"/>
      <c r="AB206" s="2991"/>
      <c r="AC206" s="3010"/>
      <c r="AD206" s="3010"/>
      <c r="AF206" s="2730">
        <v>1</v>
      </c>
    </row>
    <row r="207" spans="2:32" ht="30" customHeight="1">
      <c r="B207" s="2998"/>
      <c r="C207" s="2840"/>
      <c r="D207" s="3132"/>
      <c r="E207" s="3154"/>
      <c r="F207" s="3132"/>
      <c r="G207" s="3155"/>
      <c r="H207" s="3132"/>
      <c r="I207" s="1"/>
      <c r="M207" s="1"/>
      <c r="N207" s="3111"/>
      <c r="O207" s="3168"/>
      <c r="P207" s="3113"/>
      <c r="Q207" s="3113"/>
      <c r="R207" s="3113"/>
      <c r="S207" s="3169"/>
      <c r="T207" s="3113"/>
      <c r="V207" s="3008"/>
      <c r="W207" s="2876"/>
      <c r="X207" s="2975"/>
      <c r="Y207" s="3078"/>
      <c r="AA207" s="3008"/>
      <c r="AB207" s="2991"/>
      <c r="AC207" s="3010"/>
      <c r="AD207" s="3010"/>
      <c r="AF207" s="2730">
        <v>1</v>
      </c>
    </row>
    <row r="208" spans="2:32" ht="30" customHeight="1">
      <c r="B208" s="2998"/>
      <c r="C208" s="2840"/>
      <c r="D208" s="3132"/>
      <c r="E208" s="3154"/>
      <c r="F208" s="3132"/>
      <c r="G208" s="3155"/>
      <c r="H208" s="3132"/>
      <c r="I208" s="1"/>
      <c r="M208" s="1"/>
      <c r="N208" s="3111"/>
      <c r="O208" s="3168"/>
      <c r="P208" s="3113"/>
      <c r="Q208" s="3113"/>
      <c r="R208" s="3113"/>
      <c r="S208" s="3169"/>
      <c r="T208" s="3113"/>
      <c r="V208" s="3008"/>
      <c r="W208" s="3029" t="s">
        <v>9171</v>
      </c>
      <c r="X208" s="3167" t="s">
        <v>9172</v>
      </c>
      <c r="Y208" s="3167" t="s">
        <v>9173</v>
      </c>
      <c r="AA208" s="3008"/>
      <c r="AB208" s="2991"/>
      <c r="AC208" s="3010"/>
      <c r="AD208" s="3010"/>
      <c r="AF208" s="2730">
        <v>1</v>
      </c>
    </row>
    <row r="209" spans="2:32" ht="30" customHeight="1">
      <c r="B209" s="2998"/>
      <c r="C209" s="2840"/>
      <c r="D209" s="3132"/>
      <c r="E209" s="3154"/>
      <c r="F209" s="3132"/>
      <c r="G209" s="3155"/>
      <c r="H209" s="3132"/>
      <c r="I209" s="1"/>
      <c r="M209" s="1"/>
      <c r="N209" s="3111"/>
      <c r="O209" s="3168"/>
      <c r="P209" s="3113"/>
      <c r="Q209" s="3113"/>
      <c r="R209" s="3113"/>
      <c r="S209" s="3169"/>
      <c r="T209" s="3113"/>
      <c r="V209" s="3008"/>
      <c r="W209" s="2876"/>
      <c r="X209" s="2975"/>
      <c r="Y209" s="3078"/>
      <c r="AA209" s="3008"/>
      <c r="AB209" s="2991"/>
      <c r="AC209" s="3010"/>
      <c r="AD209" s="3010"/>
      <c r="AF209" s="2730">
        <v>1</v>
      </c>
    </row>
    <row r="210" spans="2:32" ht="30" customHeight="1">
      <c r="B210" s="2998"/>
      <c r="C210" s="2840"/>
      <c r="D210" s="3132"/>
      <c r="E210" s="3154"/>
      <c r="F210" s="3132"/>
      <c r="G210" s="3155"/>
      <c r="H210" s="3132"/>
      <c r="I210" s="1"/>
      <c r="M210" s="1"/>
      <c r="N210" s="3111"/>
      <c r="O210" s="3168"/>
      <c r="P210" s="3113"/>
      <c r="Q210" s="3113"/>
      <c r="R210" s="3113"/>
      <c r="S210" s="3169"/>
      <c r="T210" s="3113"/>
      <c r="V210" s="3008">
        <v>1</v>
      </c>
      <c r="W210" s="2876" t="s">
        <v>9186</v>
      </c>
      <c r="X210" s="2975"/>
      <c r="Y210" s="3078"/>
      <c r="AA210" s="3008"/>
      <c r="AB210" s="2991"/>
      <c r="AC210" s="3010"/>
      <c r="AD210" s="3010"/>
      <c r="AF210" s="2730">
        <v>1</v>
      </c>
    </row>
    <row r="211" spans="2:32" ht="30" customHeight="1">
      <c r="B211" s="2998"/>
      <c r="C211" s="2840"/>
      <c r="D211" s="3132"/>
      <c r="E211" s="3154"/>
      <c r="F211" s="3132"/>
      <c r="G211" s="3155"/>
      <c r="H211" s="3132"/>
      <c r="I211" s="1"/>
      <c r="M211" s="1"/>
      <c r="N211" s="3111"/>
      <c r="O211" s="3168"/>
      <c r="P211" s="3113"/>
      <c r="Q211" s="3113"/>
      <c r="R211" s="3113"/>
      <c r="S211" s="3169"/>
      <c r="T211" s="3113"/>
      <c r="V211" s="3008">
        <v>2</v>
      </c>
      <c r="W211" s="2876" t="s">
        <v>9192</v>
      </c>
      <c r="X211" s="2975"/>
      <c r="Y211" s="3078"/>
      <c r="AA211" s="3008"/>
      <c r="AB211" s="2991"/>
      <c r="AC211" s="3010"/>
      <c r="AD211" s="3010"/>
      <c r="AF211" s="2730">
        <v>1</v>
      </c>
    </row>
    <row r="212" spans="2:32" ht="30" customHeight="1">
      <c r="B212" s="2998"/>
      <c r="C212" s="2840"/>
      <c r="D212" s="3132"/>
      <c r="E212" s="3154"/>
      <c r="F212" s="3132"/>
      <c r="G212" s="3155"/>
      <c r="H212" s="3132"/>
      <c r="I212" s="1"/>
      <c r="M212" s="1"/>
      <c r="N212" s="3111"/>
      <c r="O212" s="3168"/>
      <c r="P212" s="3113"/>
      <c r="Q212" s="3113"/>
      <c r="R212" s="3113"/>
      <c r="S212" s="3169"/>
      <c r="T212" s="3113"/>
      <c r="V212" s="3008">
        <v>3</v>
      </c>
      <c r="W212" s="2876" t="s">
        <v>9198</v>
      </c>
      <c r="X212" s="2975"/>
      <c r="Y212" s="2975"/>
      <c r="AA212" s="3008"/>
      <c r="AB212" s="2991"/>
      <c r="AC212" s="3010"/>
      <c r="AD212" s="3010"/>
      <c r="AF212" s="2730">
        <v>1</v>
      </c>
    </row>
    <row r="213" spans="2:32" ht="30" customHeight="1">
      <c r="B213" s="2998"/>
      <c r="C213" s="2840"/>
      <c r="D213" s="3132"/>
      <c r="E213" s="3154"/>
      <c r="F213" s="3132"/>
      <c r="G213" s="3155"/>
      <c r="H213" s="3132"/>
      <c r="I213" s="1"/>
      <c r="M213" s="1"/>
      <c r="N213" s="3111"/>
      <c r="O213" s="3168"/>
      <c r="P213" s="3113"/>
      <c r="Q213" s="3113"/>
      <c r="R213" s="3113"/>
      <c r="S213" s="3169"/>
      <c r="T213" s="3113"/>
      <c r="V213" s="3008">
        <v>4</v>
      </c>
      <c r="W213" s="2876" t="s">
        <v>9205</v>
      </c>
      <c r="X213" s="2975"/>
      <c r="Y213" s="2975"/>
      <c r="AA213" s="3008"/>
      <c r="AB213" s="2991"/>
      <c r="AC213" s="3010"/>
      <c r="AD213" s="3010"/>
      <c r="AF213" s="2730">
        <v>1</v>
      </c>
    </row>
    <row r="214" spans="2:32" ht="30" customHeight="1">
      <c r="B214" s="2998"/>
      <c r="C214" s="2840"/>
      <c r="D214" s="3132"/>
      <c r="E214" s="3154"/>
      <c r="F214" s="3132"/>
      <c r="G214" s="3155"/>
      <c r="H214" s="3132"/>
      <c r="I214" s="1"/>
      <c r="M214" s="1"/>
      <c r="N214" s="3111"/>
      <c r="O214" s="3168"/>
      <c r="P214" s="3113"/>
      <c r="Q214" s="3113"/>
      <c r="R214" s="3113"/>
      <c r="S214" s="3169"/>
      <c r="T214" s="3113"/>
      <c r="V214" s="3008">
        <v>5</v>
      </c>
      <c r="W214" s="2876" t="s">
        <v>9211</v>
      </c>
      <c r="X214" s="2975"/>
      <c r="Y214" s="3078"/>
      <c r="AA214" s="3008"/>
      <c r="AB214" s="2991"/>
      <c r="AC214" s="3010"/>
      <c r="AD214" s="3010"/>
      <c r="AF214" s="2730">
        <v>1</v>
      </c>
    </row>
    <row r="215" spans="2:32" ht="30" customHeight="1">
      <c r="B215" s="2998"/>
      <c r="C215" s="2840"/>
      <c r="D215" s="3132"/>
      <c r="E215" s="3154"/>
      <c r="F215" s="3132"/>
      <c r="G215" s="3155"/>
      <c r="H215" s="3132"/>
      <c r="I215" s="1"/>
      <c r="M215" s="1"/>
      <c r="N215" s="3111"/>
      <c r="O215" s="3168"/>
      <c r="P215" s="3113"/>
      <c r="Q215" s="3113"/>
      <c r="R215" s="3113"/>
      <c r="S215" s="3169"/>
      <c r="T215" s="3113"/>
      <c r="V215" s="3008"/>
      <c r="W215" s="2876"/>
      <c r="X215" s="2975"/>
      <c r="Y215" s="3078"/>
      <c r="AA215" s="3008"/>
      <c r="AB215" s="2991"/>
      <c r="AC215" s="3010"/>
      <c r="AD215" s="3010"/>
      <c r="AF215" s="2730">
        <v>1</v>
      </c>
    </row>
    <row r="216" spans="2:32" ht="30" customHeight="1">
      <c r="B216" s="2998"/>
      <c r="C216" s="2840"/>
      <c r="D216" s="3132"/>
      <c r="E216" s="3154"/>
      <c r="F216" s="3132"/>
      <c r="G216" s="3155"/>
      <c r="H216" s="3132"/>
      <c r="I216" s="1"/>
      <c r="M216" s="1"/>
      <c r="N216" s="3111"/>
      <c r="O216" s="3168"/>
      <c r="P216" s="3113"/>
      <c r="Q216" s="3113"/>
      <c r="R216" s="3113"/>
      <c r="S216" s="3169"/>
      <c r="T216" s="3113"/>
      <c r="V216" s="3008"/>
      <c r="W216" s="3029" t="s">
        <v>9223</v>
      </c>
      <c r="X216" s="3167" t="s">
        <v>9224</v>
      </c>
      <c r="Y216" s="3167" t="s">
        <v>9225</v>
      </c>
      <c r="AA216" s="3008"/>
      <c r="AB216" s="2991"/>
      <c r="AC216" s="3010"/>
      <c r="AD216" s="3010"/>
      <c r="AF216" s="2730">
        <v>1</v>
      </c>
    </row>
    <row r="217" spans="2:32" ht="30" customHeight="1">
      <c r="B217" s="2998"/>
      <c r="C217" s="2840"/>
      <c r="D217" s="3132"/>
      <c r="E217" s="3154"/>
      <c r="F217" s="3132"/>
      <c r="G217" s="3155"/>
      <c r="H217" s="3132"/>
      <c r="I217" s="1"/>
      <c r="M217" s="1"/>
      <c r="N217" s="3111"/>
      <c r="O217" s="3168"/>
      <c r="P217" s="3113"/>
      <c r="Q217" s="3113"/>
      <c r="R217" s="3113"/>
      <c r="S217" s="3169"/>
      <c r="T217" s="3113"/>
      <c r="V217" s="3008"/>
      <c r="W217" s="2876"/>
      <c r="X217" s="2975"/>
      <c r="Y217" s="3078"/>
      <c r="AA217" s="3008"/>
      <c r="AB217" s="2991"/>
      <c r="AC217" s="3010"/>
      <c r="AD217" s="3010"/>
      <c r="AF217" s="2730">
        <v>1</v>
      </c>
    </row>
    <row r="218" spans="2:32" ht="30" customHeight="1">
      <c r="B218" s="2998"/>
      <c r="C218" s="2840"/>
      <c r="D218" s="3132"/>
      <c r="E218" s="3154"/>
      <c r="F218" s="3132"/>
      <c r="G218" s="3155"/>
      <c r="H218" s="3132"/>
      <c r="I218" s="1"/>
      <c r="M218" s="1"/>
      <c r="N218" s="3111"/>
      <c r="O218" s="3168"/>
      <c r="P218" s="3113"/>
      <c r="Q218" s="3113"/>
      <c r="R218" s="3113"/>
      <c r="S218" s="3169"/>
      <c r="T218" s="3113"/>
      <c r="V218" s="3008">
        <v>1</v>
      </c>
      <c r="W218" s="2876" t="s">
        <v>9234</v>
      </c>
      <c r="X218" s="2975"/>
      <c r="Y218" s="2975"/>
      <c r="AA218" s="3008"/>
      <c r="AB218" s="2991"/>
      <c r="AC218" s="3010"/>
      <c r="AD218" s="3010"/>
      <c r="AF218" s="2730">
        <v>1</v>
      </c>
    </row>
    <row r="219" spans="2:32" ht="30" customHeight="1">
      <c r="B219" s="2998"/>
      <c r="C219" s="2840"/>
      <c r="D219" s="3132"/>
      <c r="E219" s="3154"/>
      <c r="F219" s="3132"/>
      <c r="G219" s="3155"/>
      <c r="H219" s="3132"/>
      <c r="I219" s="1"/>
      <c r="M219" s="1"/>
      <c r="N219" s="3111"/>
      <c r="O219" s="3168"/>
      <c r="P219" s="3113"/>
      <c r="Q219" s="3113"/>
      <c r="R219" s="3113"/>
      <c r="S219" s="3169"/>
      <c r="T219" s="3113"/>
      <c r="V219" s="3008">
        <v>2</v>
      </c>
      <c r="W219" s="2876" t="s">
        <v>9240</v>
      </c>
      <c r="X219" s="2975"/>
      <c r="Y219" s="2975"/>
      <c r="AA219" s="3008"/>
      <c r="AB219" s="2991"/>
      <c r="AC219" s="3010"/>
      <c r="AD219" s="3010"/>
      <c r="AF219" s="2730">
        <v>1</v>
      </c>
    </row>
    <row r="220" spans="2:32" ht="30" customHeight="1">
      <c r="B220" s="2998"/>
      <c r="C220" s="2840"/>
      <c r="D220" s="3132"/>
      <c r="E220" s="3154"/>
      <c r="F220" s="3132"/>
      <c r="G220" s="3155"/>
      <c r="H220" s="3132"/>
      <c r="I220" s="1"/>
      <c r="M220" s="1"/>
      <c r="N220" s="3111"/>
      <c r="O220" s="3168"/>
      <c r="P220" s="3113"/>
      <c r="Q220" s="3113"/>
      <c r="R220" s="3113"/>
      <c r="S220" s="3169"/>
      <c r="T220" s="3113"/>
      <c r="V220" s="3008">
        <v>3</v>
      </c>
      <c r="W220" s="2876" t="s">
        <v>9245</v>
      </c>
      <c r="X220" s="2975"/>
      <c r="Y220" s="2876"/>
      <c r="AA220" s="3008"/>
      <c r="AB220" s="2991"/>
      <c r="AC220" s="3010"/>
      <c r="AD220" s="3010"/>
      <c r="AF220" s="2730">
        <v>1</v>
      </c>
    </row>
    <row r="221" spans="2:32" ht="30" customHeight="1">
      <c r="B221" s="2998"/>
      <c r="C221" s="2840"/>
      <c r="D221" s="3132"/>
      <c r="E221" s="3154"/>
      <c r="F221" s="3132"/>
      <c r="G221" s="3155"/>
      <c r="H221" s="3132"/>
      <c r="I221" s="1"/>
      <c r="M221" s="1"/>
      <c r="N221" s="3111"/>
      <c r="O221" s="3168"/>
      <c r="P221" s="3113"/>
      <c r="Q221" s="3113"/>
      <c r="R221" s="3113"/>
      <c r="S221" s="3169"/>
      <c r="T221" s="3113"/>
      <c r="V221" s="3008"/>
      <c r="W221" s="2876"/>
      <c r="X221" s="2975"/>
      <c r="Y221" s="2876"/>
      <c r="AA221" s="3008"/>
      <c r="AB221" s="2991"/>
      <c r="AC221" s="3010"/>
      <c r="AD221" s="3010"/>
      <c r="AF221" s="2730">
        <v>1</v>
      </c>
    </row>
    <row r="222" spans="2:32" ht="30" customHeight="1">
      <c r="B222" s="2998"/>
      <c r="C222" s="2840"/>
      <c r="D222" s="3132"/>
      <c r="E222" s="3154"/>
      <c r="F222" s="3132"/>
      <c r="G222" s="3155"/>
      <c r="H222" s="3132"/>
      <c r="I222" s="1"/>
      <c r="M222" s="1"/>
      <c r="N222" s="3111"/>
      <c r="O222" s="3168"/>
      <c r="P222" s="3113"/>
      <c r="Q222" s="3113"/>
      <c r="R222" s="3113"/>
      <c r="S222" s="3169"/>
      <c r="T222" s="3113"/>
      <c r="V222" s="3008"/>
      <c r="W222" s="3029" t="s">
        <v>9257</v>
      </c>
      <c r="X222" s="3167" t="s">
        <v>9258</v>
      </c>
      <c r="Y222" s="3167" t="s">
        <v>9259</v>
      </c>
      <c r="AA222" s="3008"/>
      <c r="AB222" s="2991"/>
      <c r="AC222" s="3010"/>
      <c r="AD222" s="3010"/>
      <c r="AF222" s="2730">
        <v>1</v>
      </c>
    </row>
    <row r="223" spans="2:32" ht="30" customHeight="1">
      <c r="B223" s="2998"/>
      <c r="C223" s="2840"/>
      <c r="D223" s="3132"/>
      <c r="E223" s="3154"/>
      <c r="F223" s="3132"/>
      <c r="G223" s="3155"/>
      <c r="H223" s="3132"/>
      <c r="I223" s="1"/>
      <c r="M223" s="1"/>
      <c r="N223" s="3111"/>
      <c r="O223" s="3168"/>
      <c r="P223" s="3113"/>
      <c r="Q223" s="3113"/>
      <c r="R223" s="3113"/>
      <c r="S223" s="3169"/>
      <c r="T223" s="3113"/>
      <c r="V223" s="3008"/>
      <c r="W223" s="2876"/>
      <c r="X223" s="2975"/>
      <c r="Y223" s="2876"/>
      <c r="AA223" s="3008"/>
      <c r="AB223" s="2991"/>
      <c r="AC223" s="3010"/>
      <c r="AD223" s="3010"/>
      <c r="AF223" s="2730">
        <v>1</v>
      </c>
    </row>
    <row r="224" spans="2:32" ht="30" customHeight="1">
      <c r="B224" s="2998"/>
      <c r="C224" s="2840"/>
      <c r="D224" s="3132"/>
      <c r="E224" s="3154"/>
      <c r="F224" s="3132"/>
      <c r="G224" s="3155"/>
      <c r="H224" s="3132"/>
      <c r="I224" s="1"/>
      <c r="M224" s="1"/>
      <c r="N224" s="3111"/>
      <c r="O224" s="3168"/>
      <c r="P224" s="3113"/>
      <c r="Q224" s="3113"/>
      <c r="R224" s="3113"/>
      <c r="S224" s="3169"/>
      <c r="T224" s="3113"/>
      <c r="V224" s="3008">
        <v>1</v>
      </c>
      <c r="W224" s="2876" t="s">
        <v>9271</v>
      </c>
      <c r="X224" s="2876"/>
      <c r="Y224" s="2876"/>
      <c r="AA224" s="3008"/>
      <c r="AB224" s="2991"/>
      <c r="AC224" s="3010"/>
      <c r="AD224" s="3010"/>
      <c r="AF224" s="2730">
        <v>1</v>
      </c>
    </row>
    <row r="225" spans="2:32" ht="30" customHeight="1">
      <c r="B225" s="2998"/>
      <c r="C225" s="2840"/>
      <c r="D225" s="3132"/>
      <c r="E225" s="3154"/>
      <c r="F225" s="3132"/>
      <c r="G225" s="3155"/>
      <c r="H225" s="3132"/>
      <c r="I225" s="1"/>
      <c r="M225" s="1"/>
      <c r="N225" s="3111"/>
      <c r="O225" s="3168"/>
      <c r="P225" s="3113"/>
      <c r="Q225" s="3113"/>
      <c r="R225" s="3113"/>
      <c r="S225" s="3169"/>
      <c r="T225" s="3113"/>
      <c r="V225" s="3008"/>
      <c r="W225" s="2876" t="s">
        <v>9277</v>
      </c>
      <c r="X225" s="2876"/>
      <c r="Y225" s="2876"/>
      <c r="AA225" s="3008"/>
      <c r="AB225" s="2991"/>
      <c r="AC225" s="3010"/>
      <c r="AD225" s="3010"/>
      <c r="AF225" s="2730">
        <v>1</v>
      </c>
    </row>
    <row r="226" spans="2:32" ht="30" customHeight="1">
      <c r="B226" s="2998"/>
      <c r="C226" s="2840"/>
      <c r="D226" s="3132"/>
      <c r="E226" s="3154"/>
      <c r="F226" s="3132"/>
      <c r="G226" s="3155"/>
      <c r="H226" s="3132"/>
      <c r="I226" s="1"/>
      <c r="M226" s="1"/>
      <c r="N226" s="3111"/>
      <c r="O226" s="3168"/>
      <c r="P226" s="3113"/>
      <c r="Q226" s="3113"/>
      <c r="R226" s="3113"/>
      <c r="S226" s="3169"/>
      <c r="T226" s="3113"/>
      <c r="V226" s="3008"/>
      <c r="W226" s="2876"/>
      <c r="X226" s="2876"/>
      <c r="Y226" s="2876"/>
      <c r="AA226" s="3008"/>
      <c r="AB226" s="2991"/>
      <c r="AC226" s="3010"/>
      <c r="AD226" s="3010"/>
      <c r="AF226" s="2730">
        <v>1</v>
      </c>
    </row>
    <row r="227" spans="2:32" ht="30" customHeight="1">
      <c r="B227" s="2998"/>
      <c r="C227" s="2840"/>
      <c r="D227" s="3132"/>
      <c r="E227" s="3154"/>
      <c r="F227" s="3132"/>
      <c r="G227" s="3155"/>
      <c r="H227" s="3132"/>
      <c r="I227" s="1"/>
      <c r="M227" s="1"/>
      <c r="N227" s="3111"/>
      <c r="O227" s="3168"/>
      <c r="P227" s="3113"/>
      <c r="Q227" s="3113"/>
      <c r="R227" s="3113"/>
      <c r="S227" s="3169"/>
      <c r="T227" s="3113"/>
      <c r="V227" s="3008">
        <v>2</v>
      </c>
      <c r="W227" s="2876" t="s">
        <v>9283</v>
      </c>
      <c r="X227" s="2876"/>
      <c r="AA227" s="3008"/>
      <c r="AB227" s="2991"/>
      <c r="AC227" s="3010"/>
      <c r="AD227" s="3010"/>
      <c r="AF227" s="2730">
        <v>1</v>
      </c>
    </row>
    <row r="228" spans="2:32" ht="30" customHeight="1">
      <c r="B228" s="2998"/>
      <c r="C228" s="2840"/>
      <c r="D228" s="3132"/>
      <c r="E228" s="3154"/>
      <c r="F228" s="3132"/>
      <c r="G228" s="3155"/>
      <c r="H228" s="3132"/>
      <c r="I228" s="1"/>
      <c r="M228" s="1"/>
      <c r="N228" s="3111"/>
      <c r="O228" s="3168"/>
      <c r="P228" s="3113"/>
      <c r="Q228" s="3113"/>
      <c r="R228" s="3113"/>
      <c r="S228" s="3169"/>
      <c r="T228" s="3113"/>
      <c r="V228" s="3008"/>
      <c r="W228" s="2876" t="s">
        <v>9290</v>
      </c>
      <c r="X228" s="2876"/>
      <c r="AA228" s="3008"/>
      <c r="AB228" s="2991"/>
      <c r="AC228" s="3010"/>
      <c r="AD228" s="3010"/>
      <c r="AF228" s="2730">
        <v>1</v>
      </c>
    </row>
    <row r="229" spans="2:32" ht="30" customHeight="1">
      <c r="B229" s="2998"/>
      <c r="C229" s="2840"/>
      <c r="D229" s="3132"/>
      <c r="E229" s="3154"/>
      <c r="F229" s="3132"/>
      <c r="G229" s="3155"/>
      <c r="H229" s="3132"/>
      <c r="I229" s="1"/>
      <c r="M229" s="1"/>
      <c r="N229" s="3111"/>
      <c r="O229" s="3168"/>
      <c r="P229" s="3113"/>
      <c r="Q229" s="3113"/>
      <c r="R229" s="3113"/>
      <c r="S229" s="3169"/>
      <c r="T229" s="3113"/>
      <c r="V229" s="3008"/>
      <c r="W229" s="2876"/>
      <c r="X229" s="2876"/>
      <c r="AA229" s="3008"/>
      <c r="AB229" s="2991"/>
      <c r="AC229" s="3010"/>
      <c r="AD229" s="3010"/>
      <c r="AF229" s="2730">
        <v>1</v>
      </c>
    </row>
    <row r="230" spans="2:32" ht="30" customHeight="1">
      <c r="B230" s="2998"/>
      <c r="C230" s="2840"/>
      <c r="D230" s="3132"/>
      <c r="E230" s="3154"/>
      <c r="F230" s="3132"/>
      <c r="G230" s="3155"/>
      <c r="H230" s="3132"/>
      <c r="I230" s="1"/>
      <c r="M230" s="1"/>
      <c r="N230" s="3111"/>
      <c r="O230" s="3168"/>
      <c r="P230" s="3113"/>
      <c r="Q230" s="3113"/>
      <c r="R230" s="3113"/>
      <c r="S230" s="3169"/>
      <c r="T230" s="3113"/>
      <c r="V230" s="3008">
        <v>3</v>
      </c>
      <c r="W230" s="716" t="s">
        <v>9301</v>
      </c>
      <c r="X230" s="2876"/>
      <c r="AA230" s="3008"/>
      <c r="AB230" s="2991"/>
      <c r="AC230" s="3010"/>
      <c r="AD230" s="3010"/>
      <c r="AF230" s="2730">
        <v>1</v>
      </c>
    </row>
    <row r="231" spans="2:32" ht="30" customHeight="1">
      <c r="B231" s="2998"/>
      <c r="C231" s="2840"/>
      <c r="D231" s="3132"/>
      <c r="E231" s="3154"/>
      <c r="F231" s="3132"/>
      <c r="G231" s="3155"/>
      <c r="H231" s="3132"/>
      <c r="I231" s="1"/>
      <c r="M231" s="1"/>
      <c r="N231" s="3111"/>
      <c r="O231" s="3168"/>
      <c r="P231" s="3113"/>
      <c r="Q231" s="3113"/>
      <c r="R231" s="3113"/>
      <c r="S231" s="3169"/>
      <c r="T231" s="3113"/>
      <c r="V231" s="3008"/>
      <c r="W231" s="716" t="s">
        <v>9307</v>
      </c>
      <c r="X231" s="2876"/>
      <c r="AA231" s="3008"/>
      <c r="AB231" s="2991"/>
      <c r="AC231" s="3010"/>
      <c r="AD231" s="3010"/>
      <c r="AF231" s="2730">
        <v>1</v>
      </c>
    </row>
    <row r="232" spans="2:32" ht="30" customHeight="1">
      <c r="B232" s="2998"/>
      <c r="C232" s="2840"/>
      <c r="D232" s="3132"/>
      <c r="E232" s="3154"/>
      <c r="F232" s="3132"/>
      <c r="G232" s="3155"/>
      <c r="H232" s="3132"/>
      <c r="I232" s="1"/>
      <c r="M232" s="1"/>
      <c r="N232" s="3111"/>
      <c r="O232" s="3168"/>
      <c r="P232" s="3113"/>
      <c r="Q232" s="3113"/>
      <c r="R232" s="3113"/>
      <c r="S232" s="3169"/>
      <c r="T232" s="3113"/>
      <c r="V232" s="3008"/>
      <c r="W232" s="2964"/>
      <c r="X232" s="2964"/>
      <c r="Y232" s="2964"/>
      <c r="AA232" s="3008"/>
      <c r="AB232" s="2991"/>
      <c r="AC232" s="3010"/>
      <c r="AD232" s="3010"/>
      <c r="AF232" s="2730">
        <v>1</v>
      </c>
    </row>
    <row r="233" spans="2:32" ht="30" customHeight="1">
      <c r="B233" s="2998"/>
      <c r="C233" s="2840"/>
      <c r="D233" s="3132"/>
      <c r="E233" s="3154"/>
      <c r="F233" s="3132"/>
      <c r="G233" s="3155"/>
      <c r="H233" s="3132"/>
      <c r="I233" s="1"/>
      <c r="M233" s="1"/>
      <c r="N233" s="3111"/>
      <c r="O233" s="3168"/>
      <c r="P233" s="3113"/>
      <c r="Q233" s="3113"/>
      <c r="R233" s="3113"/>
      <c r="S233" s="3169"/>
      <c r="T233" s="3113"/>
      <c r="V233" s="3008"/>
      <c r="W233" s="2964"/>
      <c r="X233" s="2964"/>
      <c r="Y233" s="2964"/>
      <c r="AA233" s="3008"/>
      <c r="AB233" s="2991"/>
      <c r="AC233" s="3010"/>
      <c r="AD233" s="3010"/>
      <c r="AF233" s="2730">
        <v>1</v>
      </c>
    </row>
    <row r="234" spans="2:32" ht="30" customHeight="1">
      <c r="B234" s="2998"/>
      <c r="C234" s="2840"/>
      <c r="D234" s="3132"/>
      <c r="E234" s="3154"/>
      <c r="F234" s="3132"/>
      <c r="G234" s="3155"/>
      <c r="H234" s="3132"/>
      <c r="I234" s="1"/>
      <c r="M234" s="1"/>
      <c r="N234" s="3111"/>
      <c r="O234" s="3168"/>
      <c r="P234" s="3113"/>
      <c r="Q234" s="3113"/>
      <c r="R234" s="3113"/>
      <c r="S234" s="3169"/>
      <c r="T234" s="3113"/>
      <c r="V234" s="3008"/>
      <c r="W234" s="2964"/>
      <c r="X234" s="2964"/>
      <c r="Y234" s="2964"/>
      <c r="AA234" s="3008"/>
      <c r="AB234" s="2991"/>
      <c r="AC234" s="3010"/>
      <c r="AD234" s="3010"/>
      <c r="AF234" s="2730">
        <v>1</v>
      </c>
    </row>
    <row r="235" spans="2:32" ht="30" customHeight="1">
      <c r="B235" s="2998"/>
      <c r="C235" s="2840"/>
      <c r="D235" s="3132"/>
      <c r="E235" s="3154"/>
      <c r="F235" s="3132"/>
      <c r="G235" s="3155"/>
      <c r="H235" s="3132"/>
      <c r="I235" s="1"/>
      <c r="M235" s="1"/>
      <c r="N235" s="3111"/>
      <c r="O235" s="3168"/>
      <c r="P235" s="3113"/>
      <c r="Q235" s="3113"/>
      <c r="R235" s="3113"/>
      <c r="S235" s="3169"/>
      <c r="T235" s="3113"/>
      <c r="V235" s="3008"/>
      <c r="W235" s="2964"/>
      <c r="X235" s="2964"/>
      <c r="Y235" s="2964"/>
      <c r="AA235" s="3008"/>
      <c r="AB235" s="2991"/>
      <c r="AC235" s="3010"/>
      <c r="AD235" s="3010"/>
      <c r="AF235" s="2730">
        <v>1</v>
      </c>
    </row>
    <row r="236" spans="2:32" ht="30" customHeight="1">
      <c r="B236" s="2998"/>
      <c r="C236" s="2840"/>
      <c r="D236" s="3132"/>
      <c r="E236" s="3154"/>
      <c r="F236" s="3132"/>
      <c r="G236" s="3155"/>
      <c r="H236" s="3132"/>
      <c r="I236" s="1"/>
      <c r="M236" s="1"/>
      <c r="N236" s="3111"/>
      <c r="O236" s="3168"/>
      <c r="P236" s="3113"/>
      <c r="Q236" s="3113"/>
      <c r="R236" s="3113"/>
      <c r="S236" s="3169"/>
      <c r="T236" s="3113"/>
      <c r="V236" s="3008"/>
      <c r="W236" s="2964"/>
      <c r="X236" s="2964"/>
      <c r="Y236" s="2964"/>
      <c r="AA236" s="3008"/>
      <c r="AB236" s="2991"/>
      <c r="AC236" s="3010"/>
      <c r="AD236" s="3010"/>
      <c r="AF236" s="2730">
        <v>1</v>
      </c>
    </row>
    <row r="237" spans="2:32" ht="30" customHeight="1">
      <c r="B237" s="2998"/>
      <c r="C237" s="2840"/>
      <c r="D237" s="3132"/>
      <c r="E237" s="3154"/>
      <c r="F237" s="3132"/>
      <c r="G237" s="3155"/>
      <c r="H237" s="3132"/>
      <c r="I237" s="1"/>
      <c r="M237" s="1"/>
      <c r="N237" s="3111"/>
      <c r="O237" s="3168"/>
      <c r="P237" s="3113"/>
      <c r="Q237" s="3113"/>
      <c r="R237" s="3113"/>
      <c r="S237" s="3169"/>
      <c r="T237" s="3113"/>
      <c r="V237" s="3008"/>
      <c r="W237" s="2964"/>
      <c r="X237" s="2964"/>
      <c r="Y237" s="2964"/>
      <c r="AA237" s="3008"/>
      <c r="AB237" s="2991"/>
      <c r="AC237" s="3010"/>
      <c r="AD237" s="3010"/>
      <c r="AF237" s="2730">
        <v>1</v>
      </c>
    </row>
    <row r="238" spans="2:32" ht="30" customHeight="1">
      <c r="B238" s="2998"/>
      <c r="C238" s="2840"/>
      <c r="D238" s="3132"/>
      <c r="E238" s="3154"/>
      <c r="F238" s="3132"/>
      <c r="G238" s="3155"/>
      <c r="H238" s="3132"/>
      <c r="I238" s="1"/>
      <c r="M238" s="1"/>
      <c r="N238" s="3111"/>
      <c r="O238" s="3168"/>
      <c r="P238" s="3113"/>
      <c r="Q238" s="3113"/>
      <c r="R238" s="3113"/>
      <c r="S238" s="3169"/>
      <c r="T238" s="3113"/>
      <c r="V238" s="3008"/>
      <c r="W238" s="2964"/>
      <c r="X238" s="2964"/>
      <c r="Y238" s="2964"/>
      <c r="AA238" s="3008"/>
      <c r="AB238" s="2991"/>
      <c r="AC238" s="3010"/>
      <c r="AD238" s="3010"/>
      <c r="AF238" s="2730">
        <v>1</v>
      </c>
    </row>
    <row r="239" spans="2:32" ht="30" customHeight="1">
      <c r="B239" s="2998"/>
      <c r="C239" s="2840"/>
      <c r="D239" s="3132"/>
      <c r="E239" s="3154"/>
      <c r="F239" s="3132"/>
      <c r="G239" s="3155"/>
      <c r="H239" s="3132"/>
      <c r="I239" s="1"/>
      <c r="M239" s="1"/>
      <c r="N239" s="3111"/>
      <c r="O239" s="3168"/>
      <c r="P239" s="3113"/>
      <c r="Q239" s="3113"/>
      <c r="R239" s="3113"/>
      <c r="S239" s="3169"/>
      <c r="T239" s="3113"/>
      <c r="V239" s="3008"/>
      <c r="W239" s="2964"/>
      <c r="X239" s="2964"/>
      <c r="Y239" s="2964"/>
      <c r="AA239" s="3008"/>
      <c r="AB239" s="2991"/>
      <c r="AC239" s="3010"/>
      <c r="AD239" s="3010"/>
      <c r="AF239" s="2730">
        <v>1</v>
      </c>
    </row>
    <row r="240" spans="2:32" ht="30" customHeight="1">
      <c r="B240" s="2998"/>
      <c r="C240" s="2840"/>
      <c r="D240" s="3132"/>
      <c r="E240" s="3154"/>
      <c r="F240" s="3132"/>
      <c r="G240" s="3155"/>
      <c r="H240" s="3132"/>
      <c r="I240" s="1"/>
      <c r="M240" s="1"/>
      <c r="N240" s="3111"/>
      <c r="O240" s="3168"/>
      <c r="P240" s="3113"/>
      <c r="Q240" s="3113"/>
      <c r="R240" s="3113"/>
      <c r="S240" s="3169"/>
      <c r="T240" s="3113"/>
      <c r="V240" s="3008"/>
      <c r="W240" s="2964"/>
      <c r="X240" s="2964"/>
      <c r="Y240" s="2964"/>
      <c r="AA240" s="3008"/>
      <c r="AB240" s="2991"/>
      <c r="AC240" s="3010"/>
      <c r="AD240" s="3010"/>
      <c r="AF240" s="2730">
        <v>1</v>
      </c>
    </row>
    <row r="241" spans="2:32" ht="30" customHeight="1">
      <c r="B241" s="2998"/>
      <c r="C241" s="2840"/>
      <c r="D241" s="3132"/>
      <c r="E241" s="3154"/>
      <c r="F241" s="3132"/>
      <c r="G241" s="3155"/>
      <c r="H241" s="3132"/>
      <c r="I241" s="1"/>
      <c r="M241" s="1"/>
      <c r="N241" s="3111"/>
      <c r="O241" s="3168"/>
      <c r="P241" s="3113"/>
      <c r="Q241" s="3113"/>
      <c r="R241" s="3113"/>
      <c r="S241" s="3169"/>
      <c r="T241" s="3113"/>
      <c r="V241" s="3008"/>
      <c r="W241" s="2964"/>
      <c r="X241" s="2964"/>
      <c r="Y241" s="2964"/>
      <c r="AA241" s="3008"/>
      <c r="AB241" s="2991"/>
      <c r="AC241" s="3010"/>
      <c r="AD241" s="3010"/>
      <c r="AF241" s="2730">
        <v>1</v>
      </c>
    </row>
    <row r="242" spans="2:32" ht="30" customHeight="1">
      <c r="B242" s="2998"/>
      <c r="C242" s="2840"/>
      <c r="D242" s="3132"/>
      <c r="E242" s="3154"/>
      <c r="F242" s="3132"/>
      <c r="G242" s="3155"/>
      <c r="H242" s="3132"/>
      <c r="I242" s="1"/>
      <c r="M242" s="1"/>
      <c r="N242" s="3111"/>
      <c r="O242" s="3168"/>
      <c r="P242" s="3113"/>
      <c r="Q242" s="3113"/>
      <c r="R242" s="3113"/>
      <c r="S242" s="3169"/>
      <c r="T242" s="3113"/>
      <c r="V242" s="3008"/>
      <c r="W242" s="2964"/>
      <c r="X242" s="2964"/>
      <c r="Y242" s="2964"/>
      <c r="AA242" s="3008"/>
      <c r="AB242" s="2991"/>
      <c r="AC242" s="3010"/>
      <c r="AD242" s="3010"/>
      <c r="AF242" s="2730">
        <v>1</v>
      </c>
    </row>
    <row r="243" spans="2:32" ht="30" customHeight="1">
      <c r="B243" s="2998"/>
      <c r="C243" s="2840"/>
      <c r="D243" s="3132"/>
      <c r="E243" s="3154"/>
      <c r="F243" s="3132"/>
      <c r="G243" s="3155"/>
      <c r="H243" s="3132"/>
      <c r="I243" s="1"/>
      <c r="M243" s="1"/>
      <c r="N243" s="3111"/>
      <c r="O243" s="3168"/>
      <c r="P243" s="3113"/>
      <c r="Q243" s="3113"/>
      <c r="R243" s="3113"/>
      <c r="S243" s="3169"/>
      <c r="T243" s="3113"/>
      <c r="V243" s="3008"/>
      <c r="W243" s="2964"/>
      <c r="X243" s="2964"/>
      <c r="Y243" s="2964"/>
      <c r="AA243" s="3008"/>
      <c r="AB243" s="2991"/>
      <c r="AC243" s="3010"/>
      <c r="AD243" s="3010"/>
      <c r="AF243" s="2730">
        <v>1</v>
      </c>
    </row>
    <row r="244" spans="2:32" ht="30" customHeight="1">
      <c r="B244" s="2998"/>
      <c r="C244" s="2840"/>
      <c r="D244" s="3132"/>
      <c r="E244" s="3154"/>
      <c r="F244" s="3132"/>
      <c r="G244" s="3155"/>
      <c r="H244" s="3132"/>
      <c r="I244" s="1"/>
      <c r="M244" s="1"/>
      <c r="N244" s="3111"/>
      <c r="O244" s="3168"/>
      <c r="P244" s="3113"/>
      <c r="Q244" s="3113"/>
      <c r="R244" s="3113"/>
      <c r="S244" s="3169"/>
      <c r="T244" s="3113"/>
      <c r="V244" s="3008"/>
      <c r="W244" s="2964"/>
      <c r="X244" s="2964"/>
      <c r="Y244" s="2964"/>
      <c r="AA244" s="3008"/>
      <c r="AB244" s="2991"/>
      <c r="AC244" s="3010"/>
      <c r="AD244" s="3010"/>
      <c r="AF244" s="2730">
        <v>1</v>
      </c>
    </row>
    <row r="245" spans="2:32" ht="30" customHeight="1">
      <c r="B245" s="2998"/>
      <c r="C245" s="2840"/>
      <c r="D245" s="3132"/>
      <c r="E245" s="3154"/>
      <c r="F245" s="3132"/>
      <c r="G245" s="3155"/>
      <c r="H245" s="3132"/>
      <c r="I245" s="1"/>
      <c r="M245" s="1"/>
      <c r="N245" s="3111"/>
      <c r="O245" s="3168"/>
      <c r="P245" s="3113"/>
      <c r="Q245" s="3113"/>
      <c r="R245" s="3113"/>
      <c r="S245" s="3169"/>
      <c r="T245" s="3113"/>
      <c r="V245" s="3008"/>
      <c r="W245" s="2964"/>
      <c r="X245" s="2964"/>
      <c r="Y245" s="2964"/>
      <c r="AA245" s="3008"/>
      <c r="AB245" s="2991"/>
      <c r="AC245" s="3010"/>
      <c r="AD245" s="3010"/>
      <c r="AF245" s="2730">
        <v>1</v>
      </c>
    </row>
    <row r="246" spans="2:32" ht="30" customHeight="1">
      <c r="B246" s="2998"/>
      <c r="C246" s="2840"/>
      <c r="D246" s="3132"/>
      <c r="E246" s="3154"/>
      <c r="F246" s="3132"/>
      <c r="G246" s="3155"/>
      <c r="H246" s="3132"/>
      <c r="I246" s="1"/>
      <c r="M246" s="1"/>
      <c r="N246" s="3111"/>
      <c r="O246" s="3168"/>
      <c r="P246" s="3113"/>
      <c r="Q246" s="3113"/>
      <c r="R246" s="3113"/>
      <c r="S246" s="3169"/>
      <c r="T246" s="3113"/>
      <c r="V246" s="3008"/>
      <c r="W246" s="2964"/>
      <c r="X246" s="2964"/>
      <c r="Y246" s="2964"/>
      <c r="AA246" s="3008"/>
      <c r="AB246" s="2991"/>
      <c r="AC246" s="3010"/>
      <c r="AD246" s="3010"/>
      <c r="AF246" s="2730">
        <v>1</v>
      </c>
    </row>
    <row r="247" spans="2:32" ht="30" customHeight="1">
      <c r="B247" s="2998"/>
      <c r="C247" s="2840"/>
      <c r="D247" s="3132"/>
      <c r="E247" s="3154"/>
      <c r="F247" s="3132"/>
      <c r="G247" s="3155"/>
      <c r="H247" s="3132"/>
      <c r="I247" s="1"/>
      <c r="M247" s="1"/>
      <c r="N247" s="3111"/>
      <c r="O247" s="3168"/>
      <c r="P247" s="3113"/>
      <c r="Q247" s="3113"/>
      <c r="R247" s="3113"/>
      <c r="S247" s="3169"/>
      <c r="T247" s="3113"/>
      <c r="V247" s="3008"/>
      <c r="W247" s="2964"/>
      <c r="X247" s="2964"/>
      <c r="Y247" s="2964"/>
      <c r="AA247" s="3008"/>
      <c r="AB247" s="2991"/>
      <c r="AC247" s="3010"/>
      <c r="AD247" s="3010"/>
      <c r="AF247" s="2730">
        <v>1</v>
      </c>
    </row>
    <row r="248" spans="2:32" ht="30" customHeight="1">
      <c r="B248" s="2998"/>
      <c r="C248" s="2840"/>
      <c r="D248" s="3132"/>
      <c r="E248" s="3154"/>
      <c r="F248" s="3132"/>
      <c r="G248" s="3155"/>
      <c r="H248" s="3132"/>
      <c r="I248" s="1"/>
      <c r="M248" s="1"/>
      <c r="N248" s="3111"/>
      <c r="O248" s="3168"/>
      <c r="P248" s="3113"/>
      <c r="Q248" s="3113"/>
      <c r="R248" s="3113"/>
      <c r="S248" s="3169"/>
      <c r="T248" s="3113"/>
      <c r="V248" s="3008"/>
      <c r="W248" s="2964"/>
      <c r="X248" s="2964"/>
      <c r="Y248" s="2964"/>
      <c r="AA248" s="3008"/>
      <c r="AB248" s="2991"/>
      <c r="AC248" s="3010"/>
      <c r="AD248" s="3010"/>
      <c r="AF248" s="2730">
        <v>1</v>
      </c>
    </row>
    <row r="249" spans="2:32" ht="30" customHeight="1">
      <c r="B249" s="2998"/>
      <c r="C249" s="2840"/>
      <c r="D249" s="3132"/>
      <c r="E249" s="3154"/>
      <c r="F249" s="3132"/>
      <c r="G249" s="3155"/>
      <c r="H249" s="3132"/>
      <c r="I249" s="1"/>
      <c r="M249" s="1"/>
      <c r="N249" s="3111"/>
      <c r="O249" s="3168"/>
      <c r="P249" s="3113"/>
      <c r="Q249" s="3113"/>
      <c r="R249" s="3113"/>
      <c r="S249" s="3169"/>
      <c r="T249" s="3113"/>
      <c r="V249" s="3008"/>
      <c r="W249" s="2964"/>
      <c r="X249" s="2964"/>
      <c r="Y249" s="2964"/>
      <c r="AA249" s="3008"/>
      <c r="AB249" s="2991"/>
      <c r="AC249" s="3010"/>
      <c r="AD249" s="3010"/>
      <c r="AF249" s="2730">
        <v>1</v>
      </c>
    </row>
    <row r="250" spans="2:32" ht="30" customHeight="1">
      <c r="B250" s="2998"/>
      <c r="C250" s="2840"/>
      <c r="D250" s="3132"/>
      <c r="E250" s="3154"/>
      <c r="F250" s="3132"/>
      <c r="G250" s="3155"/>
      <c r="H250" s="3132"/>
      <c r="I250" s="1"/>
      <c r="M250" s="1"/>
      <c r="N250" s="3111"/>
      <c r="O250" s="3168"/>
      <c r="P250" s="3113"/>
      <c r="Q250" s="3113"/>
      <c r="R250" s="3113"/>
      <c r="S250" s="3169"/>
      <c r="T250" s="3113"/>
      <c r="V250" s="3008"/>
      <c r="W250" s="2964"/>
      <c r="X250" s="2964"/>
      <c r="Y250" s="2964"/>
      <c r="AA250" s="3008"/>
      <c r="AB250" s="2991"/>
      <c r="AC250" s="3010"/>
      <c r="AD250" s="3010"/>
      <c r="AF250" s="2730">
        <v>1</v>
      </c>
    </row>
    <row r="251" spans="2:32" ht="30" customHeight="1">
      <c r="B251" s="2998"/>
      <c r="C251" s="2840"/>
      <c r="D251" s="3132"/>
      <c r="E251" s="3154"/>
      <c r="F251" s="3132"/>
      <c r="G251" s="3155"/>
      <c r="H251" s="3132"/>
      <c r="I251" s="1"/>
      <c r="M251" s="1"/>
      <c r="N251" s="3111"/>
      <c r="O251" s="3168"/>
      <c r="P251" s="3113"/>
      <c r="Q251" s="3113"/>
      <c r="R251" s="3113"/>
      <c r="S251" s="3169"/>
      <c r="T251" s="3113"/>
      <c r="V251" s="3008"/>
      <c r="W251" s="2964"/>
      <c r="X251" s="2964"/>
      <c r="Y251" s="2964"/>
      <c r="AA251" s="3008"/>
      <c r="AB251" s="2991"/>
      <c r="AC251" s="3010"/>
      <c r="AD251" s="3010"/>
      <c r="AF251" s="2730">
        <v>1</v>
      </c>
    </row>
    <row r="252" spans="2:32" ht="30" customHeight="1">
      <c r="B252" s="2998"/>
      <c r="C252" s="2840"/>
      <c r="D252" s="3132"/>
      <c r="E252" s="3154"/>
      <c r="F252" s="3132"/>
      <c r="G252" s="3155"/>
      <c r="H252" s="3132"/>
      <c r="I252" s="1"/>
      <c r="M252" s="1"/>
      <c r="N252" s="3111"/>
      <c r="O252" s="3168"/>
      <c r="P252" s="3113"/>
      <c r="Q252" s="3113"/>
      <c r="R252" s="3113"/>
      <c r="S252" s="3169"/>
      <c r="T252" s="3113"/>
      <c r="V252" s="3008"/>
      <c r="W252" s="2964"/>
      <c r="X252" s="2964"/>
      <c r="Y252" s="2964"/>
      <c r="AA252" s="3008"/>
      <c r="AB252" s="2991"/>
      <c r="AC252" s="3010"/>
      <c r="AD252" s="3010"/>
      <c r="AF252" s="2730">
        <v>1</v>
      </c>
    </row>
    <row r="253" spans="2:32" ht="30" customHeight="1">
      <c r="B253" s="2998"/>
      <c r="C253" s="2840"/>
      <c r="D253" s="3132"/>
      <c r="E253" s="3154"/>
      <c r="F253" s="3132"/>
      <c r="G253" s="3155"/>
      <c r="H253" s="3132"/>
      <c r="I253" s="1"/>
      <c r="M253" s="1"/>
      <c r="N253" s="3111"/>
      <c r="O253" s="3168"/>
      <c r="P253" s="3113"/>
      <c r="Q253" s="3113"/>
      <c r="R253" s="3113"/>
      <c r="S253" s="3169"/>
      <c r="T253" s="3113"/>
      <c r="V253" s="3008"/>
      <c r="W253" s="2964"/>
      <c r="X253" s="2964"/>
      <c r="Y253" s="2964"/>
      <c r="AA253" s="3008"/>
      <c r="AB253" s="2991"/>
      <c r="AC253" s="3010"/>
      <c r="AD253" s="3010"/>
      <c r="AF253" s="2730">
        <v>1</v>
      </c>
    </row>
    <row r="254" spans="2:32" ht="30" customHeight="1">
      <c r="B254" s="2998"/>
      <c r="C254" s="2840"/>
      <c r="D254" s="3132"/>
      <c r="E254" s="3154"/>
      <c r="F254" s="3132"/>
      <c r="G254" s="3155"/>
      <c r="H254" s="3132"/>
      <c r="I254" s="1"/>
      <c r="M254" s="1"/>
      <c r="N254" s="3111"/>
      <c r="O254" s="3168"/>
      <c r="P254" s="3113"/>
      <c r="Q254" s="3113"/>
      <c r="R254" s="3113"/>
      <c r="S254" s="3169"/>
      <c r="T254" s="3113"/>
      <c r="V254" s="3008"/>
      <c r="W254" s="2964"/>
      <c r="X254" s="2964"/>
      <c r="Y254" s="2964"/>
      <c r="AA254" s="3008"/>
      <c r="AB254" s="2991"/>
      <c r="AC254" s="3010"/>
      <c r="AD254" s="3010"/>
      <c r="AF254" s="2730">
        <v>1</v>
      </c>
    </row>
    <row r="255" spans="2:32" ht="30" customHeight="1">
      <c r="B255" s="2998"/>
      <c r="C255" s="2840"/>
      <c r="D255" s="3132"/>
      <c r="E255" s="3154"/>
      <c r="F255" s="3132"/>
      <c r="G255" s="3155"/>
      <c r="H255" s="3132"/>
      <c r="I255" s="1"/>
      <c r="M255" s="1"/>
      <c r="N255" s="3111"/>
      <c r="O255" s="3168"/>
      <c r="P255" s="3113"/>
      <c r="Q255" s="3113"/>
      <c r="R255" s="3113"/>
      <c r="S255" s="3169"/>
      <c r="T255" s="3113"/>
      <c r="V255" s="3008"/>
      <c r="W255" s="2964"/>
      <c r="X255" s="2964"/>
      <c r="Y255" s="2964"/>
      <c r="AA255" s="3008"/>
      <c r="AB255" s="2991"/>
      <c r="AC255" s="3010"/>
      <c r="AD255" s="3010"/>
      <c r="AF255" s="2730">
        <v>1</v>
      </c>
    </row>
    <row r="256" spans="2:32" ht="30" customHeight="1">
      <c r="B256" s="2998"/>
      <c r="C256" s="2840"/>
      <c r="D256" s="3132"/>
      <c r="E256" s="3154"/>
      <c r="F256" s="3132"/>
      <c r="G256" s="3155"/>
      <c r="H256" s="3132"/>
      <c r="I256" s="1"/>
      <c r="M256" s="1"/>
      <c r="N256" s="3111"/>
      <c r="O256" s="3168"/>
      <c r="P256" s="3113"/>
      <c r="Q256" s="3113"/>
      <c r="R256" s="3113"/>
      <c r="S256" s="3169"/>
      <c r="T256" s="3113"/>
      <c r="V256" s="3008"/>
      <c r="W256" s="2964"/>
      <c r="X256" s="2964"/>
      <c r="Y256" s="2964"/>
      <c r="AA256" s="3008"/>
      <c r="AB256" s="2991"/>
      <c r="AC256" s="3010"/>
      <c r="AD256" s="3010"/>
      <c r="AF256" s="2730">
        <v>1</v>
      </c>
    </row>
    <row r="257" spans="2:32" ht="30" customHeight="1">
      <c r="B257" s="2998"/>
      <c r="C257" s="2840"/>
      <c r="D257" s="3132"/>
      <c r="E257" s="3154"/>
      <c r="F257" s="3132"/>
      <c r="G257" s="3155"/>
      <c r="H257" s="3132"/>
      <c r="I257" s="1"/>
      <c r="M257" s="1"/>
      <c r="N257" s="3111"/>
      <c r="O257" s="3168"/>
      <c r="P257" s="3113"/>
      <c r="Q257" s="3113"/>
      <c r="R257" s="3113"/>
      <c r="S257" s="3169"/>
      <c r="T257" s="3113"/>
      <c r="V257" s="3008"/>
      <c r="W257" s="2964"/>
      <c r="X257" s="2964"/>
      <c r="Y257" s="2964"/>
      <c r="AA257" s="3008"/>
      <c r="AB257" s="2991"/>
      <c r="AC257" s="3010"/>
      <c r="AD257" s="3010"/>
      <c r="AF257" s="2730">
        <v>1</v>
      </c>
    </row>
    <row r="258" spans="2:32" ht="30" customHeight="1">
      <c r="B258" s="2998"/>
      <c r="C258" s="2840"/>
      <c r="D258" s="3132"/>
      <c r="E258" s="3154"/>
      <c r="F258" s="3132"/>
      <c r="G258" s="3155"/>
      <c r="H258" s="3132"/>
      <c r="I258" s="1"/>
      <c r="M258" s="1"/>
      <c r="N258" s="3111"/>
      <c r="O258" s="3168"/>
      <c r="P258" s="3113"/>
      <c r="Q258" s="3113"/>
      <c r="R258" s="3113"/>
      <c r="S258" s="3169"/>
      <c r="T258" s="3113"/>
      <c r="V258" s="3008"/>
      <c r="W258" s="2964"/>
      <c r="X258" s="2964"/>
      <c r="Y258" s="2964"/>
      <c r="AA258" s="3008"/>
      <c r="AB258" s="2991"/>
      <c r="AC258" s="3010"/>
      <c r="AD258" s="3010"/>
      <c r="AF258" s="2730">
        <v>1</v>
      </c>
    </row>
    <row r="259" spans="2:32" ht="30" customHeight="1">
      <c r="B259" s="2998"/>
      <c r="C259" s="2840"/>
      <c r="D259" s="3132"/>
      <c r="E259" s="3154"/>
      <c r="F259" s="3132"/>
      <c r="G259" s="3155"/>
      <c r="H259" s="3132"/>
      <c r="I259" s="1"/>
      <c r="M259" s="1"/>
      <c r="N259" s="3111"/>
      <c r="O259" s="3168"/>
      <c r="P259" s="3113"/>
      <c r="Q259" s="3113"/>
      <c r="R259" s="3113"/>
      <c r="S259" s="3169"/>
      <c r="T259" s="3113"/>
      <c r="V259" s="3008"/>
      <c r="W259" s="2964"/>
      <c r="X259" s="2964"/>
      <c r="Y259" s="2964"/>
      <c r="AA259" s="3008"/>
      <c r="AB259" s="2991"/>
      <c r="AC259" s="3010"/>
      <c r="AD259" s="3010"/>
      <c r="AF259" s="2730">
        <v>1</v>
      </c>
    </row>
    <row r="260" spans="2:32" ht="30" customHeight="1">
      <c r="B260" s="2998"/>
      <c r="C260" s="2840"/>
      <c r="D260" s="3132"/>
      <c r="E260" s="3154"/>
      <c r="F260" s="3132"/>
      <c r="G260" s="3155"/>
      <c r="H260" s="3132"/>
      <c r="I260" s="1"/>
      <c r="M260" s="1"/>
      <c r="N260" s="3111"/>
      <c r="O260" s="3168"/>
      <c r="P260" s="3113"/>
      <c r="Q260" s="3113"/>
      <c r="R260" s="3113"/>
      <c r="S260" s="3169"/>
      <c r="T260" s="3113"/>
      <c r="V260" s="3008"/>
      <c r="W260" s="2964"/>
      <c r="X260" s="2964"/>
      <c r="Y260" s="2964"/>
      <c r="AA260" s="3008"/>
      <c r="AB260" s="2991"/>
      <c r="AC260" s="3010"/>
      <c r="AD260" s="3010"/>
      <c r="AF260" s="2730">
        <v>1</v>
      </c>
    </row>
    <row r="261" spans="2:32" ht="30" customHeight="1">
      <c r="B261" s="2998"/>
      <c r="C261" s="2840"/>
      <c r="D261" s="3132"/>
      <c r="E261" s="3154"/>
      <c r="F261" s="3132"/>
      <c r="G261" s="3155"/>
      <c r="H261" s="3132"/>
      <c r="I261" s="1"/>
      <c r="M261" s="1"/>
      <c r="N261" s="3111"/>
      <c r="O261" s="3168"/>
      <c r="P261" s="3113"/>
      <c r="Q261" s="3113"/>
      <c r="R261" s="3113"/>
      <c r="S261" s="3169"/>
      <c r="T261" s="3113"/>
      <c r="V261" s="3008"/>
      <c r="W261" s="2964"/>
      <c r="X261" s="2964"/>
      <c r="Y261" s="2964"/>
      <c r="AA261" s="3008"/>
      <c r="AB261" s="2991"/>
      <c r="AC261" s="3010"/>
      <c r="AD261" s="3010"/>
      <c r="AF261" s="2730">
        <v>1</v>
      </c>
    </row>
    <row r="262" spans="2:32" ht="30" customHeight="1">
      <c r="B262" s="2998"/>
      <c r="C262" s="2840"/>
      <c r="D262" s="3132"/>
      <c r="E262" s="3154"/>
      <c r="F262" s="3132"/>
      <c r="G262" s="3155"/>
      <c r="H262" s="3132"/>
      <c r="I262" s="1"/>
      <c r="M262" s="1"/>
      <c r="N262" s="3111"/>
      <c r="O262" s="3168"/>
      <c r="P262" s="3113"/>
      <c r="Q262" s="3113"/>
      <c r="R262" s="3113"/>
      <c r="S262" s="3169"/>
      <c r="T262" s="3113"/>
      <c r="V262" s="3008"/>
      <c r="W262" s="2964"/>
      <c r="X262" s="2964"/>
      <c r="Y262" s="2964"/>
      <c r="AA262" s="3008"/>
      <c r="AB262" s="2991"/>
      <c r="AC262" s="3010"/>
      <c r="AD262" s="3010"/>
      <c r="AF262" s="2730">
        <v>1</v>
      </c>
    </row>
    <row r="263" spans="2:32" ht="30" customHeight="1">
      <c r="B263" s="2998"/>
      <c r="C263" s="2840"/>
      <c r="D263" s="3132"/>
      <c r="E263" s="3154"/>
      <c r="F263" s="3132"/>
      <c r="G263" s="3155"/>
      <c r="H263" s="3132"/>
      <c r="I263" s="1"/>
      <c r="M263" s="1"/>
      <c r="N263" s="3111"/>
      <c r="O263" s="3168"/>
      <c r="P263" s="3113"/>
      <c r="Q263" s="3113"/>
      <c r="R263" s="3113"/>
      <c r="S263" s="3169"/>
      <c r="T263" s="3113"/>
      <c r="V263" s="3008"/>
      <c r="W263" s="2964"/>
      <c r="X263" s="2964"/>
      <c r="Y263" s="2964"/>
      <c r="AA263" s="3008"/>
      <c r="AB263" s="2991"/>
      <c r="AC263" s="3010"/>
      <c r="AD263" s="3010"/>
      <c r="AF263" s="2730">
        <v>1</v>
      </c>
    </row>
    <row r="264" spans="2:32" ht="30" customHeight="1">
      <c r="B264" s="2998"/>
      <c r="C264" s="2840"/>
      <c r="D264" s="3132"/>
      <c r="E264" s="3154"/>
      <c r="F264" s="3132"/>
      <c r="G264" s="3155"/>
      <c r="H264" s="3132"/>
      <c r="I264" s="1"/>
      <c r="M264" s="1"/>
      <c r="N264" s="3111"/>
      <c r="O264" s="3168"/>
      <c r="P264" s="3113"/>
      <c r="Q264" s="3113"/>
      <c r="R264" s="3113"/>
      <c r="S264" s="3169"/>
      <c r="T264" s="3113"/>
      <c r="V264" s="3008"/>
      <c r="W264" s="2964"/>
      <c r="X264" s="2964"/>
      <c r="Y264" s="2964"/>
      <c r="AA264" s="3008"/>
      <c r="AB264" s="2991"/>
      <c r="AC264" s="3010"/>
      <c r="AD264" s="3010"/>
      <c r="AF264" s="2730">
        <v>1</v>
      </c>
    </row>
    <row r="265" spans="2:32" ht="30" customHeight="1">
      <c r="B265" s="2998"/>
      <c r="C265" s="2840"/>
      <c r="D265" s="3132"/>
      <c r="E265" s="3154"/>
      <c r="F265" s="3132"/>
      <c r="G265" s="3155"/>
      <c r="H265" s="3132"/>
      <c r="I265" s="1"/>
      <c r="M265" s="1"/>
      <c r="N265" s="3111"/>
      <c r="O265" s="3168"/>
      <c r="P265" s="3113"/>
      <c r="Q265" s="3113"/>
      <c r="R265" s="3113"/>
      <c r="S265" s="3169"/>
      <c r="T265" s="3113"/>
      <c r="V265" s="3008"/>
      <c r="W265" s="2964"/>
      <c r="X265" s="2964"/>
      <c r="Y265" s="2964"/>
      <c r="AA265" s="3008"/>
      <c r="AB265" s="2991"/>
      <c r="AC265" s="3010"/>
      <c r="AD265" s="3010"/>
      <c r="AF265" s="2730">
        <v>1</v>
      </c>
    </row>
    <row r="266" spans="2:32" ht="30" customHeight="1">
      <c r="B266" s="2998"/>
      <c r="C266" s="2840"/>
      <c r="D266" s="3132"/>
      <c r="E266" s="3154"/>
      <c r="F266" s="3132"/>
      <c r="G266" s="3155"/>
      <c r="H266" s="3132"/>
      <c r="I266" s="1"/>
      <c r="M266" s="1"/>
      <c r="N266" s="3111"/>
      <c r="O266" s="3168"/>
      <c r="P266" s="3113"/>
      <c r="Q266" s="3113"/>
      <c r="R266" s="3113"/>
      <c r="S266" s="3169"/>
      <c r="T266" s="3113"/>
      <c r="V266" s="3008"/>
      <c r="W266" s="2964"/>
      <c r="X266" s="2964"/>
      <c r="Y266" s="2964"/>
      <c r="AA266" s="3008"/>
      <c r="AB266" s="2991"/>
      <c r="AC266" s="3010"/>
      <c r="AD266" s="3010"/>
      <c r="AF266" s="2730">
        <v>1</v>
      </c>
    </row>
    <row r="267" spans="2:32" ht="30" customHeight="1">
      <c r="B267" s="2998"/>
      <c r="C267" s="2840"/>
      <c r="D267" s="3132"/>
      <c r="E267" s="3154"/>
      <c r="F267" s="3132"/>
      <c r="G267" s="3155"/>
      <c r="H267" s="3132"/>
      <c r="I267" s="1"/>
      <c r="M267" s="1"/>
      <c r="N267" s="3111"/>
      <c r="O267" s="3168"/>
      <c r="P267" s="3113"/>
      <c r="Q267" s="3113"/>
      <c r="R267" s="3113"/>
      <c r="S267" s="3169"/>
      <c r="T267" s="3113"/>
      <c r="V267" s="3008"/>
      <c r="W267" s="2964"/>
      <c r="X267" s="2964"/>
      <c r="Y267" s="2964"/>
      <c r="AA267" s="3008"/>
      <c r="AB267" s="2991"/>
      <c r="AC267" s="3010"/>
      <c r="AD267" s="3010"/>
      <c r="AF267" s="2730">
        <v>1</v>
      </c>
    </row>
    <row r="268" spans="2:32" ht="30" customHeight="1">
      <c r="B268" s="2998"/>
      <c r="C268" s="2840"/>
      <c r="D268" s="3132"/>
      <c r="E268" s="3154"/>
      <c r="F268" s="3132"/>
      <c r="G268" s="3155"/>
      <c r="H268" s="3132"/>
      <c r="I268" s="1"/>
      <c r="M268" s="1"/>
      <c r="N268" s="3111"/>
      <c r="O268" s="3168"/>
      <c r="P268" s="3113"/>
      <c r="Q268" s="3113"/>
      <c r="R268" s="3113"/>
      <c r="S268" s="3169"/>
      <c r="T268" s="3113"/>
      <c r="V268" s="3008"/>
      <c r="W268" s="2964"/>
      <c r="X268" s="2964"/>
      <c r="Y268" s="2964"/>
      <c r="AA268" s="3008"/>
      <c r="AB268" s="2991"/>
      <c r="AC268" s="3010"/>
      <c r="AD268" s="3010"/>
      <c r="AF268" s="2730">
        <v>1</v>
      </c>
    </row>
    <row r="269" spans="2:32" ht="30" customHeight="1">
      <c r="B269" s="2998"/>
      <c r="C269" s="2840"/>
      <c r="D269" s="3132"/>
      <c r="E269" s="3154"/>
      <c r="F269" s="3132"/>
      <c r="G269" s="3155"/>
      <c r="H269" s="3132"/>
      <c r="I269" s="1"/>
      <c r="M269" s="1"/>
      <c r="N269" s="3111"/>
      <c r="O269" s="3168"/>
      <c r="P269" s="3113"/>
      <c r="Q269" s="3113"/>
      <c r="R269" s="3113"/>
      <c r="S269" s="3169"/>
      <c r="T269" s="3113"/>
      <c r="V269" s="3008"/>
      <c r="W269" s="2964"/>
      <c r="X269" s="2964"/>
      <c r="Y269" s="2964"/>
      <c r="AA269" s="3008"/>
      <c r="AB269" s="2991"/>
      <c r="AC269" s="3010"/>
      <c r="AD269" s="3010"/>
      <c r="AF269" s="2730">
        <v>1</v>
      </c>
    </row>
    <row r="270" spans="2:32" ht="30" customHeight="1">
      <c r="B270" s="2998"/>
      <c r="C270" s="2840"/>
      <c r="D270" s="3132"/>
      <c r="E270" s="3154"/>
      <c r="F270" s="3132"/>
      <c r="G270" s="3155"/>
      <c r="H270" s="3132"/>
      <c r="I270" s="1"/>
      <c r="M270" s="1"/>
      <c r="N270" s="3111"/>
      <c r="O270" s="3168"/>
      <c r="P270" s="3113"/>
      <c r="Q270" s="3113"/>
      <c r="R270" s="3113"/>
      <c r="S270" s="3169"/>
      <c r="T270" s="3113"/>
      <c r="V270" s="3008"/>
      <c r="W270" s="2964"/>
      <c r="X270" s="2964"/>
      <c r="Y270" s="2964"/>
      <c r="AA270" s="3008"/>
      <c r="AB270" s="2991"/>
      <c r="AC270" s="3010"/>
      <c r="AD270" s="3010"/>
      <c r="AF270" s="2730">
        <v>1</v>
      </c>
    </row>
    <row r="271" spans="2:32" ht="30" customHeight="1">
      <c r="B271" s="2998"/>
      <c r="C271" s="2840"/>
      <c r="D271" s="3132"/>
      <c r="E271" s="3154"/>
      <c r="F271" s="3132"/>
      <c r="G271" s="3155"/>
      <c r="H271" s="3132"/>
      <c r="I271" s="1"/>
      <c r="M271" s="1"/>
      <c r="N271" s="3111"/>
      <c r="O271" s="3168"/>
      <c r="P271" s="3113"/>
      <c r="Q271" s="3113"/>
      <c r="R271" s="3113"/>
      <c r="S271" s="3169"/>
      <c r="T271" s="3113"/>
      <c r="V271" s="3008"/>
      <c r="W271" s="2964"/>
      <c r="X271" s="2964"/>
      <c r="Y271" s="2964"/>
      <c r="AA271" s="3008"/>
      <c r="AB271" s="2991"/>
      <c r="AC271" s="3010"/>
      <c r="AD271" s="3010"/>
      <c r="AF271" s="2730">
        <v>1</v>
      </c>
    </row>
    <row r="272" spans="2:32" ht="30" customHeight="1">
      <c r="B272" s="2998"/>
      <c r="C272" s="2840"/>
      <c r="D272" s="3132"/>
      <c r="E272" s="3154"/>
      <c r="F272" s="3132"/>
      <c r="G272" s="3155"/>
      <c r="H272" s="3132"/>
      <c r="I272" s="1"/>
      <c r="M272" s="1"/>
      <c r="N272" s="3111"/>
      <c r="O272" s="3168"/>
      <c r="P272" s="3113"/>
      <c r="Q272" s="3113"/>
      <c r="R272" s="3113"/>
      <c r="S272" s="3169"/>
      <c r="T272" s="3113"/>
      <c r="V272" s="3008"/>
      <c r="W272" s="2964"/>
      <c r="X272" s="2964"/>
      <c r="Y272" s="2964"/>
      <c r="AA272" s="3008"/>
      <c r="AB272" s="2991"/>
      <c r="AC272" s="3010"/>
      <c r="AD272" s="3010"/>
      <c r="AF272" s="2730">
        <v>1</v>
      </c>
    </row>
    <row r="273" spans="2:32" ht="30" customHeight="1">
      <c r="B273" s="2998"/>
      <c r="C273" s="2840"/>
      <c r="D273" s="3132"/>
      <c r="E273" s="3154"/>
      <c r="F273" s="3132"/>
      <c r="G273" s="3155"/>
      <c r="H273" s="3132"/>
      <c r="I273" s="1"/>
      <c r="M273" s="1"/>
      <c r="N273" s="3111"/>
      <c r="O273" s="3168"/>
      <c r="P273" s="3113"/>
      <c r="Q273" s="3113"/>
      <c r="R273" s="3113"/>
      <c r="S273" s="3169"/>
      <c r="T273" s="3113"/>
      <c r="V273" s="3008"/>
      <c r="W273" s="2964"/>
      <c r="X273" s="2964"/>
      <c r="Y273" s="2964"/>
      <c r="AA273" s="3008"/>
      <c r="AB273" s="2991"/>
      <c r="AC273" s="3010"/>
      <c r="AD273" s="3010"/>
      <c r="AF273" s="2730">
        <v>1</v>
      </c>
    </row>
    <row r="274" spans="2:32" ht="30" customHeight="1">
      <c r="B274" s="2998"/>
      <c r="C274" s="2840"/>
      <c r="D274" s="3132"/>
      <c r="E274" s="3154"/>
      <c r="F274" s="3132"/>
      <c r="G274" s="3155"/>
      <c r="H274" s="3132"/>
      <c r="I274" s="1"/>
      <c r="M274" s="1"/>
      <c r="N274" s="3111"/>
      <c r="O274" s="3168"/>
      <c r="P274" s="3113"/>
      <c r="Q274" s="3113"/>
      <c r="R274" s="3113"/>
      <c r="S274" s="3169"/>
      <c r="T274" s="3113"/>
      <c r="V274" s="3008"/>
      <c r="W274" s="2964"/>
      <c r="X274" s="2964"/>
      <c r="Y274" s="2964"/>
      <c r="AA274" s="3008"/>
      <c r="AB274" s="2991"/>
      <c r="AC274" s="3010"/>
      <c r="AD274" s="3010"/>
      <c r="AF274" s="2730">
        <v>1</v>
      </c>
    </row>
    <row r="275" spans="2:32" ht="30" customHeight="1">
      <c r="B275" s="2998"/>
      <c r="C275" s="2840"/>
      <c r="D275" s="3132"/>
      <c r="E275" s="3154"/>
      <c r="F275" s="3132"/>
      <c r="G275" s="3155"/>
      <c r="H275" s="3132"/>
      <c r="I275" s="1"/>
      <c r="M275" s="1"/>
      <c r="N275" s="3111"/>
      <c r="O275" s="3168"/>
      <c r="P275" s="3113"/>
      <c r="Q275" s="3113"/>
      <c r="R275" s="3113"/>
      <c r="S275" s="3169"/>
      <c r="T275" s="3113"/>
      <c r="V275" s="3008"/>
      <c r="W275" s="2964"/>
      <c r="X275" s="2964"/>
      <c r="Y275" s="2964"/>
      <c r="AA275" s="3008"/>
      <c r="AB275" s="2991"/>
      <c r="AC275" s="3010"/>
      <c r="AD275" s="3010"/>
      <c r="AF275" s="2730">
        <v>1</v>
      </c>
    </row>
    <row r="276" spans="2:32" ht="30" customHeight="1">
      <c r="B276" s="2998"/>
      <c r="C276" s="2840"/>
      <c r="D276" s="3132"/>
      <c r="E276" s="3154"/>
      <c r="F276" s="3132"/>
      <c r="G276" s="3155"/>
      <c r="H276" s="3132"/>
      <c r="I276" s="1"/>
      <c r="M276" s="1"/>
      <c r="N276" s="3111"/>
      <c r="O276" s="3168"/>
      <c r="P276" s="3113"/>
      <c r="Q276" s="3113"/>
      <c r="R276" s="3113"/>
      <c r="S276" s="3169"/>
      <c r="T276" s="3113"/>
      <c r="V276" s="3008"/>
      <c r="W276" s="2964"/>
      <c r="X276" s="2964"/>
      <c r="Y276" s="2964"/>
      <c r="AA276" s="3008"/>
      <c r="AB276" s="2991"/>
      <c r="AC276" s="3010"/>
      <c r="AD276" s="3010"/>
      <c r="AF276" s="2730">
        <v>1</v>
      </c>
    </row>
    <row r="277" spans="2:32" ht="30" customHeight="1">
      <c r="B277" s="2998"/>
      <c r="C277" s="2840"/>
      <c r="D277" s="3132"/>
      <c r="E277" s="3154"/>
      <c r="F277" s="3132"/>
      <c r="G277" s="3155"/>
      <c r="H277" s="3132"/>
      <c r="I277" s="1"/>
      <c r="M277" s="1"/>
      <c r="N277" s="3111"/>
      <c r="O277" s="3168"/>
      <c r="P277" s="3113"/>
      <c r="Q277" s="3113"/>
      <c r="R277" s="3113"/>
      <c r="S277" s="3169"/>
      <c r="T277" s="3113"/>
      <c r="V277" s="3008"/>
      <c r="W277" s="2964"/>
      <c r="X277" s="2964"/>
      <c r="Y277" s="2964"/>
      <c r="AA277" s="3008"/>
      <c r="AB277" s="2991"/>
      <c r="AC277" s="3010"/>
      <c r="AD277" s="3010"/>
      <c r="AF277" s="2730">
        <v>1</v>
      </c>
    </row>
    <row r="278" spans="2:32" ht="30" customHeight="1">
      <c r="B278" s="2998"/>
      <c r="C278" s="2840"/>
      <c r="D278" s="3132"/>
      <c r="E278" s="3154"/>
      <c r="F278" s="3132"/>
      <c r="G278" s="3155"/>
      <c r="H278" s="3132"/>
      <c r="I278" s="1"/>
      <c r="M278" s="1"/>
      <c r="N278" s="3111"/>
      <c r="O278" s="3168"/>
      <c r="P278" s="3113"/>
      <c r="Q278" s="3113"/>
      <c r="R278" s="3113"/>
      <c r="S278" s="3169"/>
      <c r="T278" s="3113"/>
      <c r="V278" s="3008"/>
      <c r="W278" s="2964"/>
      <c r="X278" s="2964"/>
      <c r="Y278" s="2964"/>
      <c r="AA278" s="3008"/>
      <c r="AB278" s="2991"/>
      <c r="AC278" s="3010"/>
      <c r="AD278" s="3010"/>
      <c r="AF278" s="2730">
        <v>1</v>
      </c>
    </row>
    <row r="279" spans="2:32" ht="30" customHeight="1">
      <c r="B279" s="2998"/>
      <c r="C279" s="2840"/>
      <c r="D279" s="3132"/>
      <c r="E279" s="3154"/>
      <c r="F279" s="3132"/>
      <c r="G279" s="3155"/>
      <c r="H279" s="3132"/>
      <c r="I279" s="1"/>
      <c r="M279" s="1"/>
      <c r="N279" s="3111"/>
      <c r="O279" s="3168"/>
      <c r="P279" s="3113"/>
      <c r="Q279" s="3113"/>
      <c r="R279" s="3113"/>
      <c r="S279" s="3169"/>
      <c r="T279" s="3113"/>
      <c r="V279" s="3008"/>
      <c r="W279" s="2964"/>
      <c r="X279" s="2964"/>
      <c r="Y279" s="2964"/>
      <c r="AA279" s="3008"/>
      <c r="AB279" s="2991"/>
      <c r="AC279" s="3010"/>
      <c r="AD279" s="3010"/>
      <c r="AF279" s="2730">
        <v>1</v>
      </c>
    </row>
    <row r="280" spans="2:32" ht="30" customHeight="1">
      <c r="B280" s="2998"/>
      <c r="C280" s="2840"/>
      <c r="D280" s="3132"/>
      <c r="E280" s="3154"/>
      <c r="F280" s="3132"/>
      <c r="G280" s="3155"/>
      <c r="H280" s="3132"/>
      <c r="I280" s="1"/>
      <c r="M280" s="1"/>
      <c r="N280" s="3111"/>
      <c r="O280" s="3168"/>
      <c r="P280" s="3113"/>
      <c r="Q280" s="3113"/>
      <c r="R280" s="3113"/>
      <c r="S280" s="3169"/>
      <c r="T280" s="3113"/>
      <c r="V280" s="3008"/>
      <c r="W280" s="2964"/>
      <c r="X280" s="2964"/>
      <c r="Y280" s="2964"/>
      <c r="AA280" s="3008"/>
      <c r="AB280" s="2991"/>
      <c r="AC280" s="3010"/>
      <c r="AD280" s="3010"/>
      <c r="AF280" s="2730">
        <v>1</v>
      </c>
    </row>
    <row r="281" spans="2:32" ht="30" customHeight="1">
      <c r="B281" s="2998"/>
      <c r="C281" s="2840"/>
      <c r="D281" s="3132"/>
      <c r="E281" s="3154"/>
      <c r="F281" s="3132"/>
      <c r="G281" s="3155"/>
      <c r="H281" s="3132"/>
      <c r="I281" s="1"/>
      <c r="M281" s="1"/>
      <c r="N281" s="3111"/>
      <c r="O281" s="3168"/>
      <c r="P281" s="3113"/>
      <c r="Q281" s="3113"/>
      <c r="R281" s="3113"/>
      <c r="S281" s="3169"/>
      <c r="T281" s="3113"/>
      <c r="V281" s="3008"/>
      <c r="W281" s="2964"/>
      <c r="X281" s="2964"/>
      <c r="Y281" s="2964"/>
      <c r="AA281" s="3008"/>
      <c r="AB281" s="2991"/>
      <c r="AC281" s="3010"/>
      <c r="AD281" s="3010"/>
      <c r="AF281" s="2730">
        <v>1</v>
      </c>
    </row>
    <row r="282" spans="2:32" ht="30" customHeight="1">
      <c r="B282" s="2998"/>
      <c r="C282" s="2840"/>
      <c r="D282" s="3132"/>
      <c r="E282" s="3154"/>
      <c r="F282" s="3132"/>
      <c r="G282" s="3155"/>
      <c r="H282" s="3132"/>
      <c r="I282" s="1"/>
      <c r="M282" s="1"/>
      <c r="N282" s="3111"/>
      <c r="O282" s="3168"/>
      <c r="P282" s="3113"/>
      <c r="Q282" s="3113"/>
      <c r="R282" s="3113"/>
      <c r="S282" s="3169"/>
      <c r="T282" s="3113"/>
      <c r="V282" s="3008"/>
      <c r="W282" s="2964"/>
      <c r="X282" s="2964"/>
      <c r="Y282" s="2964"/>
      <c r="AA282" s="3008"/>
      <c r="AB282" s="2991"/>
      <c r="AC282" s="3010"/>
      <c r="AD282" s="3010"/>
      <c r="AF282" s="2730">
        <v>1</v>
      </c>
    </row>
    <row r="283" spans="2:32" ht="30" customHeight="1">
      <c r="B283" s="2998"/>
      <c r="C283" s="2840"/>
      <c r="D283" s="3132"/>
      <c r="E283" s="3154"/>
      <c r="F283" s="3132"/>
      <c r="G283" s="3155"/>
      <c r="H283" s="3132"/>
      <c r="I283" s="1"/>
      <c r="M283" s="1"/>
      <c r="N283" s="3111"/>
      <c r="O283" s="3168"/>
      <c r="P283" s="3113"/>
      <c r="Q283" s="3113"/>
      <c r="R283" s="3113"/>
      <c r="S283" s="3169"/>
      <c r="T283" s="3113"/>
      <c r="V283" s="3008"/>
      <c r="W283" s="2964"/>
      <c r="X283" s="2964"/>
      <c r="Y283" s="2964"/>
      <c r="AA283" s="3008"/>
      <c r="AB283" s="2991"/>
      <c r="AC283" s="3010"/>
      <c r="AD283" s="3010"/>
      <c r="AF283" s="2730">
        <v>1</v>
      </c>
    </row>
    <row r="284" spans="2:32" ht="30" customHeight="1">
      <c r="B284" s="2998"/>
      <c r="C284" s="2840"/>
      <c r="D284" s="3132"/>
      <c r="E284" s="3154"/>
      <c r="F284" s="3132"/>
      <c r="G284" s="3155"/>
      <c r="H284" s="3132"/>
      <c r="I284" s="1"/>
      <c r="M284" s="1"/>
      <c r="N284" s="3111"/>
      <c r="O284" s="3168"/>
      <c r="P284" s="3113"/>
      <c r="Q284" s="3113"/>
      <c r="R284" s="3113"/>
      <c r="S284" s="3169"/>
      <c r="T284" s="3113"/>
      <c r="V284" s="3008"/>
      <c r="W284" s="2964"/>
      <c r="X284" s="2964"/>
      <c r="Y284" s="2964"/>
      <c r="AA284" s="3008"/>
      <c r="AB284" s="2991"/>
      <c r="AC284" s="3010"/>
      <c r="AD284" s="3010"/>
      <c r="AF284" s="2730">
        <v>1</v>
      </c>
    </row>
    <row r="285" spans="2:32" ht="30" customHeight="1">
      <c r="B285" s="2998"/>
      <c r="C285" s="2840"/>
      <c r="D285" s="3132"/>
      <c r="E285" s="3154"/>
      <c r="F285" s="3132"/>
      <c r="G285" s="3155"/>
      <c r="H285" s="3132"/>
      <c r="I285" s="1"/>
      <c r="M285" s="1"/>
      <c r="N285" s="3111"/>
      <c r="O285" s="3168"/>
      <c r="P285" s="3113"/>
      <c r="Q285" s="3113"/>
      <c r="R285" s="3113"/>
      <c r="S285" s="3169"/>
      <c r="T285" s="3113"/>
      <c r="V285" s="3008"/>
      <c r="W285" s="2964"/>
      <c r="X285" s="2964"/>
      <c r="Y285" s="2964"/>
      <c r="AA285" s="3008"/>
      <c r="AB285" s="2991"/>
      <c r="AC285" s="3010"/>
      <c r="AD285" s="3010"/>
      <c r="AF285" s="2730">
        <v>1</v>
      </c>
    </row>
    <row r="286" spans="2:32" ht="30" customHeight="1">
      <c r="B286" s="2998"/>
      <c r="C286" s="2840"/>
      <c r="D286" s="3132"/>
      <c r="E286" s="3154"/>
      <c r="F286" s="3132"/>
      <c r="G286" s="3155"/>
      <c r="H286" s="3132"/>
      <c r="I286" s="1"/>
      <c r="M286" s="1"/>
      <c r="N286" s="3111"/>
      <c r="O286" s="3168"/>
      <c r="P286" s="3113"/>
      <c r="Q286" s="3113"/>
      <c r="R286" s="3113"/>
      <c r="S286" s="3169"/>
      <c r="T286" s="3113"/>
      <c r="V286" s="3008"/>
      <c r="W286" s="2964"/>
      <c r="X286" s="2964"/>
      <c r="Y286" s="2964"/>
      <c r="AA286" s="3008"/>
      <c r="AB286" s="2991"/>
      <c r="AC286" s="3010"/>
      <c r="AD286" s="3010"/>
      <c r="AF286" s="2730">
        <v>1</v>
      </c>
    </row>
    <row r="287" spans="2:32" ht="30" customHeight="1">
      <c r="B287" s="2998"/>
      <c r="C287" s="2840"/>
      <c r="D287" s="3132"/>
      <c r="E287" s="3154"/>
      <c r="F287" s="3132"/>
      <c r="G287" s="3155"/>
      <c r="H287" s="3132"/>
      <c r="I287" s="1"/>
      <c r="M287" s="1"/>
      <c r="N287" s="3111"/>
      <c r="O287" s="3168"/>
      <c r="P287" s="3113"/>
      <c r="Q287" s="3113"/>
      <c r="R287" s="3113"/>
      <c r="S287" s="3169"/>
      <c r="T287" s="3113"/>
      <c r="V287" s="3008"/>
      <c r="W287" s="2964"/>
      <c r="X287" s="2964"/>
      <c r="Y287" s="2964"/>
      <c r="AA287" s="3008"/>
      <c r="AB287" s="2991"/>
      <c r="AC287" s="3010"/>
      <c r="AD287" s="3010"/>
      <c r="AF287" s="2730">
        <v>1</v>
      </c>
    </row>
    <row r="288" spans="2:32" ht="30" customHeight="1">
      <c r="B288" s="2998"/>
      <c r="C288" s="2840"/>
      <c r="D288" s="3132"/>
      <c r="E288" s="3154"/>
      <c r="F288" s="3132"/>
      <c r="G288" s="3155"/>
      <c r="H288" s="3132"/>
      <c r="I288" s="1"/>
      <c r="M288" s="1"/>
      <c r="N288" s="3111"/>
      <c r="O288" s="3168"/>
      <c r="P288" s="3113"/>
      <c r="Q288" s="3113"/>
      <c r="R288" s="3113"/>
      <c r="S288" s="3169"/>
      <c r="T288" s="3113"/>
      <c r="V288" s="3008"/>
      <c r="W288" s="2964"/>
      <c r="X288" s="2964"/>
      <c r="Y288" s="2964"/>
      <c r="AA288" s="3008"/>
      <c r="AB288" s="2991"/>
      <c r="AC288" s="3010"/>
      <c r="AD288" s="3010"/>
      <c r="AF288" s="2730">
        <v>1</v>
      </c>
    </row>
    <row r="289" spans="2:32" ht="30" customHeight="1">
      <c r="B289" s="2998"/>
      <c r="C289" s="2840"/>
      <c r="D289" s="3132"/>
      <c r="E289" s="3154"/>
      <c r="F289" s="3132"/>
      <c r="G289" s="3155"/>
      <c r="H289" s="3132"/>
      <c r="I289" s="1"/>
      <c r="M289" s="1"/>
      <c r="N289" s="3111"/>
      <c r="O289" s="3168"/>
      <c r="P289" s="3113"/>
      <c r="Q289" s="3113"/>
      <c r="R289" s="3113"/>
      <c r="S289" s="3169"/>
      <c r="T289" s="3113"/>
      <c r="V289" s="3008"/>
      <c r="W289" s="2964"/>
      <c r="X289" s="2964"/>
      <c r="Y289" s="2964"/>
      <c r="AA289" s="3008"/>
      <c r="AB289" s="2991"/>
      <c r="AC289" s="3010"/>
      <c r="AD289" s="3010"/>
      <c r="AF289" s="2730">
        <v>1</v>
      </c>
    </row>
    <row r="290" spans="2:32" ht="30" customHeight="1">
      <c r="B290" s="2998"/>
      <c r="C290" s="2840"/>
      <c r="D290" s="3132"/>
      <c r="E290" s="3154"/>
      <c r="F290" s="3132"/>
      <c r="G290" s="3155"/>
      <c r="H290" s="3132"/>
      <c r="I290" s="1"/>
      <c r="M290" s="1"/>
      <c r="N290" s="3111"/>
      <c r="O290" s="3168"/>
      <c r="P290" s="3113"/>
      <c r="Q290" s="3113"/>
      <c r="R290" s="3113"/>
      <c r="S290" s="3169"/>
      <c r="T290" s="3113"/>
      <c r="V290" s="3008"/>
      <c r="W290" s="2964"/>
      <c r="X290" s="2964"/>
      <c r="Y290" s="2964"/>
      <c r="AA290" s="3008"/>
      <c r="AB290" s="2991"/>
      <c r="AC290" s="3010"/>
      <c r="AD290" s="3010"/>
      <c r="AF290" s="2730">
        <v>1</v>
      </c>
    </row>
    <row r="291" spans="2:32" ht="30" customHeight="1">
      <c r="B291" s="2998"/>
      <c r="C291" s="2840"/>
      <c r="D291" s="3132"/>
      <c r="E291" s="3154"/>
      <c r="F291" s="3132"/>
      <c r="G291" s="3155"/>
      <c r="H291" s="3132"/>
      <c r="I291" s="1"/>
      <c r="M291" s="1"/>
      <c r="N291" s="3111"/>
      <c r="O291" s="3168"/>
      <c r="P291" s="3113"/>
      <c r="Q291" s="3113"/>
      <c r="R291" s="3113"/>
      <c r="S291" s="3169"/>
      <c r="T291" s="3113"/>
      <c r="V291" s="3008"/>
      <c r="W291" s="2964"/>
      <c r="X291" s="2964"/>
      <c r="Y291" s="2964"/>
      <c r="AA291" s="3008"/>
      <c r="AB291" s="2991"/>
      <c r="AC291" s="3010"/>
      <c r="AD291" s="3010"/>
      <c r="AF291" s="2730">
        <v>1</v>
      </c>
    </row>
    <row r="292" spans="2:32" ht="30" customHeight="1">
      <c r="B292" s="2998"/>
      <c r="C292" s="2840"/>
      <c r="D292" s="3132"/>
      <c r="E292" s="3154"/>
      <c r="F292" s="3132"/>
      <c r="G292" s="3155"/>
      <c r="H292" s="3132"/>
      <c r="I292" s="1"/>
      <c r="M292" s="1"/>
      <c r="N292" s="3111"/>
      <c r="O292" s="3168"/>
      <c r="P292" s="3113"/>
      <c r="Q292" s="3113"/>
      <c r="R292" s="3113"/>
      <c r="S292" s="3169"/>
      <c r="T292" s="3113"/>
      <c r="V292" s="3008"/>
      <c r="W292" s="2964"/>
      <c r="X292" s="2964"/>
      <c r="Y292" s="2964"/>
      <c r="AA292" s="3008"/>
      <c r="AB292" s="2991"/>
      <c r="AC292" s="3010"/>
      <c r="AD292" s="3010"/>
      <c r="AF292" s="2730">
        <v>1</v>
      </c>
    </row>
    <row r="293" spans="2:32" ht="30" customHeight="1">
      <c r="B293" s="2998"/>
      <c r="C293" s="2840"/>
      <c r="D293" s="3132"/>
      <c r="E293" s="3154"/>
      <c r="F293" s="3132"/>
      <c r="G293" s="3155"/>
      <c r="H293" s="3132"/>
      <c r="I293" s="1"/>
      <c r="M293" s="1"/>
      <c r="N293" s="3111"/>
      <c r="O293" s="3168"/>
      <c r="P293" s="3113"/>
      <c r="Q293" s="3113"/>
      <c r="R293" s="3113"/>
      <c r="S293" s="3169"/>
      <c r="T293" s="3113"/>
      <c r="V293" s="3008"/>
      <c r="W293" s="2964"/>
      <c r="X293" s="2964"/>
      <c r="Y293" s="2964"/>
      <c r="AA293" s="3008"/>
      <c r="AB293" s="2991"/>
      <c r="AC293" s="3010"/>
      <c r="AD293" s="3010"/>
      <c r="AF293" s="2730">
        <v>1</v>
      </c>
    </row>
    <row r="294" spans="2:32" ht="30" customHeight="1">
      <c r="B294" s="2998"/>
      <c r="C294" s="2840"/>
      <c r="D294" s="3132"/>
      <c r="E294" s="3154"/>
      <c r="F294" s="3132"/>
      <c r="G294" s="3155"/>
      <c r="H294" s="3132"/>
      <c r="I294" s="1"/>
      <c r="M294" s="1"/>
      <c r="N294" s="3111"/>
      <c r="O294" s="3168"/>
      <c r="P294" s="3113"/>
      <c r="Q294" s="3113"/>
      <c r="R294" s="3113"/>
      <c r="S294" s="3169"/>
      <c r="T294" s="3113"/>
      <c r="V294" s="3008"/>
      <c r="W294" s="2964"/>
      <c r="X294" s="2964"/>
      <c r="Y294" s="2964"/>
      <c r="AA294" s="3008"/>
      <c r="AB294" s="2991"/>
      <c r="AC294" s="3010"/>
      <c r="AD294" s="3010"/>
      <c r="AF294" s="2730">
        <v>1</v>
      </c>
    </row>
    <row r="295" spans="2:32" ht="30" customHeight="1">
      <c r="B295" s="2998"/>
      <c r="C295" s="2840"/>
      <c r="D295" s="3132"/>
      <c r="E295" s="3154"/>
      <c r="F295" s="3132"/>
      <c r="G295" s="3155"/>
      <c r="H295" s="3132"/>
      <c r="I295" s="1"/>
      <c r="M295" s="1"/>
      <c r="N295" s="3111"/>
      <c r="O295" s="3168"/>
      <c r="P295" s="3113"/>
      <c r="Q295" s="3113"/>
      <c r="R295" s="3113"/>
      <c r="S295" s="3169"/>
      <c r="T295" s="3113"/>
      <c r="V295" s="3008"/>
      <c r="W295" s="2964"/>
      <c r="X295" s="2964"/>
      <c r="Y295" s="2964"/>
      <c r="AA295" s="3008"/>
      <c r="AB295" s="2991"/>
      <c r="AC295" s="3010"/>
      <c r="AD295" s="3010"/>
      <c r="AF295" s="2730">
        <v>1</v>
      </c>
    </row>
    <row r="296" spans="2:32" ht="30" customHeight="1">
      <c r="B296" s="2998"/>
      <c r="C296" s="2840"/>
      <c r="D296" s="3132"/>
      <c r="E296" s="3154"/>
      <c r="F296" s="3132"/>
      <c r="G296" s="3155"/>
      <c r="H296" s="3132"/>
      <c r="I296" s="1"/>
      <c r="M296" s="1"/>
      <c r="N296" s="3111"/>
      <c r="O296" s="3168"/>
      <c r="P296" s="3113"/>
      <c r="Q296" s="3113"/>
      <c r="R296" s="3113"/>
      <c r="S296" s="3169"/>
      <c r="T296" s="3113"/>
      <c r="V296" s="3008"/>
      <c r="W296" s="2964"/>
      <c r="X296" s="2964"/>
      <c r="Y296" s="2964"/>
      <c r="AA296" s="3008"/>
      <c r="AB296" s="2991"/>
      <c r="AC296" s="3010"/>
      <c r="AD296" s="3010"/>
      <c r="AF296" s="2730">
        <v>1</v>
      </c>
    </row>
    <row r="297" spans="2:32" ht="30" customHeight="1">
      <c r="B297" s="2998"/>
      <c r="C297" s="2840"/>
      <c r="D297" s="3132"/>
      <c r="E297" s="3154"/>
      <c r="F297" s="3132"/>
      <c r="G297" s="3155"/>
      <c r="H297" s="3132"/>
      <c r="I297" s="1"/>
      <c r="M297" s="1"/>
      <c r="N297" s="3111"/>
      <c r="O297" s="3168"/>
      <c r="P297" s="3113"/>
      <c r="Q297" s="3113"/>
      <c r="R297" s="3113"/>
      <c r="S297" s="3169"/>
      <c r="T297" s="3113"/>
      <c r="V297" s="3008"/>
      <c r="W297" s="3013"/>
      <c r="X297" s="3004"/>
      <c r="Y297" s="3004"/>
      <c r="AA297" s="3008"/>
      <c r="AB297" s="2991"/>
      <c r="AC297" s="3010"/>
      <c r="AD297" s="3010"/>
      <c r="AF297" s="2730">
        <v>1</v>
      </c>
    </row>
    <row r="298" spans="2:32" ht="30" customHeight="1">
      <c r="B298" s="2998"/>
      <c r="C298" s="2840"/>
      <c r="D298" s="3132"/>
      <c r="E298" s="3154"/>
      <c r="F298" s="3132"/>
      <c r="G298" s="3155"/>
      <c r="H298" s="3132"/>
      <c r="I298" s="1"/>
      <c r="M298" s="1"/>
      <c r="N298" s="3111"/>
      <c r="O298" s="3168"/>
      <c r="P298" s="3113"/>
      <c r="Q298" s="3113"/>
      <c r="R298" s="3113"/>
      <c r="S298" s="3169"/>
      <c r="T298" s="3113"/>
      <c r="V298" s="3008"/>
      <c r="W298" s="3013"/>
      <c r="X298" s="3004"/>
      <c r="Y298" s="3004"/>
      <c r="AA298" s="3008"/>
      <c r="AB298" s="2991"/>
      <c r="AC298" s="3010"/>
      <c r="AD298" s="3010"/>
      <c r="AF298" s="2730">
        <v>1</v>
      </c>
    </row>
    <row r="299" spans="2:32" ht="30" customHeight="1">
      <c r="B299" s="2998"/>
      <c r="C299" s="2840"/>
      <c r="D299" s="3132"/>
      <c r="E299" s="3154"/>
      <c r="F299" s="3132"/>
      <c r="G299" s="3155"/>
      <c r="H299" s="3132"/>
      <c r="I299" s="1"/>
      <c r="M299" s="1"/>
      <c r="N299" s="3111"/>
      <c r="O299" s="3168"/>
      <c r="P299" s="3113"/>
      <c r="Q299" s="3113"/>
      <c r="R299" s="3113"/>
      <c r="S299" s="3169"/>
      <c r="T299" s="3113"/>
      <c r="V299" s="3008"/>
      <c r="W299" s="3013"/>
      <c r="X299" s="3004"/>
      <c r="Y299" s="3004"/>
      <c r="AA299" s="3008"/>
      <c r="AB299" s="2991"/>
      <c r="AC299" s="3010"/>
      <c r="AD299" s="3010"/>
      <c r="AF299" s="2730">
        <v>1</v>
      </c>
    </row>
    <row r="300" spans="2:32" ht="30" customHeight="1">
      <c r="B300" s="2998"/>
      <c r="C300" s="2840"/>
      <c r="D300" s="3132"/>
      <c r="E300" s="3154"/>
      <c r="F300" s="3132"/>
      <c r="G300" s="3155"/>
      <c r="H300" s="3132"/>
      <c r="I300" s="1"/>
      <c r="M300" s="1"/>
      <c r="N300" s="3111"/>
      <c r="O300" s="3168"/>
      <c r="P300" s="3113"/>
      <c r="Q300" s="3113"/>
      <c r="R300" s="3113"/>
      <c r="S300" s="3169"/>
      <c r="T300" s="3113"/>
      <c r="V300" s="3008"/>
      <c r="W300" s="3013"/>
      <c r="X300" s="3004"/>
      <c r="Y300" s="3004"/>
      <c r="AA300" s="3008"/>
      <c r="AB300" s="2991"/>
      <c r="AC300" s="3010"/>
      <c r="AD300" s="3010"/>
      <c r="AF300" s="2730">
        <v>1</v>
      </c>
    </row>
    <row r="301" spans="2:32" ht="30" customHeight="1">
      <c r="B301" s="2998"/>
      <c r="C301" s="2840"/>
      <c r="D301" s="3132"/>
      <c r="E301" s="3154"/>
      <c r="F301" s="3132"/>
      <c r="G301" s="3155"/>
      <c r="H301" s="3132"/>
      <c r="I301" s="1"/>
      <c r="M301" s="1"/>
      <c r="N301" s="3111"/>
      <c r="O301" s="3168"/>
      <c r="P301" s="3113"/>
      <c r="Q301" s="3113"/>
      <c r="R301" s="3113"/>
      <c r="S301" s="3169"/>
      <c r="T301" s="3113"/>
      <c r="V301" s="3008"/>
      <c r="W301" s="3013"/>
      <c r="X301" s="3004"/>
      <c r="Y301" s="3004"/>
      <c r="AA301" s="3008"/>
      <c r="AB301" s="2991"/>
      <c r="AC301" s="3010"/>
      <c r="AD301" s="3010"/>
      <c r="AF301" s="2730">
        <v>1</v>
      </c>
    </row>
    <row r="302" spans="2:32" ht="30" customHeight="1">
      <c r="B302" s="2998"/>
      <c r="C302" s="2840"/>
      <c r="D302" s="3132"/>
      <c r="E302" s="3154"/>
      <c r="F302" s="3132"/>
      <c r="G302" s="3155"/>
      <c r="H302" s="3132"/>
      <c r="I302" s="1"/>
      <c r="M302" s="1"/>
      <c r="N302" s="3111"/>
      <c r="O302" s="3168"/>
      <c r="P302" s="3113"/>
      <c r="Q302" s="3113"/>
      <c r="R302" s="3113"/>
      <c r="S302" s="3169"/>
      <c r="T302" s="3113"/>
      <c r="V302" s="3008"/>
      <c r="W302" s="3013"/>
      <c r="X302" s="3004"/>
      <c r="Y302" s="3004"/>
      <c r="AA302" s="3008"/>
      <c r="AB302" s="2991"/>
      <c r="AC302" s="3010"/>
      <c r="AD302" s="3010"/>
      <c r="AF302" s="2730">
        <v>1</v>
      </c>
    </row>
    <row r="303" spans="2:32" ht="30" customHeight="1">
      <c r="B303" s="2998"/>
      <c r="C303" s="2840"/>
      <c r="D303" s="3132"/>
      <c r="E303" s="3154"/>
      <c r="F303" s="3132"/>
      <c r="G303" s="3155"/>
      <c r="H303" s="3132"/>
      <c r="I303" s="1"/>
      <c r="M303" s="1"/>
      <c r="N303" s="3111"/>
      <c r="O303" s="3168"/>
      <c r="P303" s="3113"/>
      <c r="Q303" s="3113"/>
      <c r="R303" s="3113"/>
      <c r="S303" s="3169"/>
      <c r="T303" s="3113"/>
      <c r="V303" s="3008"/>
      <c r="W303" s="3013"/>
      <c r="X303" s="3004"/>
      <c r="Y303" s="3004"/>
      <c r="AA303" s="3008"/>
      <c r="AB303" s="2991"/>
      <c r="AC303" s="3010"/>
      <c r="AD303" s="3010"/>
      <c r="AF303" s="2730">
        <v>1</v>
      </c>
    </row>
    <row r="304" spans="2:32" ht="30" customHeight="1">
      <c r="B304" s="2998"/>
      <c r="C304" s="2840"/>
      <c r="D304" s="3132"/>
      <c r="E304" s="3154"/>
      <c r="F304" s="3132"/>
      <c r="G304" s="3155"/>
      <c r="H304" s="3132"/>
      <c r="I304" s="1"/>
      <c r="M304" s="1"/>
      <c r="N304" s="3111"/>
      <c r="O304" s="3168"/>
      <c r="P304" s="3113"/>
      <c r="Q304" s="3113"/>
      <c r="R304" s="3113"/>
      <c r="S304" s="3169"/>
      <c r="T304" s="3113"/>
      <c r="V304" s="3008"/>
      <c r="W304" s="3013"/>
      <c r="X304" s="3004"/>
      <c r="Y304" s="3004"/>
      <c r="AA304" s="3008"/>
      <c r="AB304" s="2991"/>
      <c r="AC304" s="3010"/>
      <c r="AD304" s="3010"/>
      <c r="AF304" s="2730">
        <v>1</v>
      </c>
    </row>
    <row r="305" spans="2:32" ht="30" customHeight="1">
      <c r="B305" s="2998"/>
      <c r="C305" s="2840"/>
      <c r="D305" s="3132"/>
      <c r="E305" s="3154"/>
      <c r="F305" s="3132"/>
      <c r="G305" s="3155"/>
      <c r="H305" s="3132"/>
      <c r="I305" s="1"/>
      <c r="M305" s="1"/>
      <c r="N305" s="3111"/>
      <c r="O305" s="3168"/>
      <c r="P305" s="3113"/>
      <c r="Q305" s="3113"/>
      <c r="R305" s="3113"/>
      <c r="S305" s="3169"/>
      <c r="T305" s="3113"/>
      <c r="V305" s="3008"/>
      <c r="W305" s="3013"/>
      <c r="X305" s="3004"/>
      <c r="Y305" s="3004"/>
      <c r="AA305" s="3008"/>
      <c r="AB305" s="2991"/>
      <c r="AC305" s="3010"/>
      <c r="AD305" s="3010"/>
      <c r="AF305" s="2730">
        <v>1</v>
      </c>
    </row>
    <row r="306" spans="2:32" ht="30" customHeight="1">
      <c r="B306" s="2998"/>
      <c r="C306" s="2840"/>
      <c r="D306" s="3132"/>
      <c r="E306" s="3154"/>
      <c r="F306" s="3132"/>
      <c r="G306" s="3155"/>
      <c r="H306" s="3132"/>
      <c r="I306" s="1"/>
      <c r="M306" s="1"/>
      <c r="N306" s="3111"/>
      <c r="O306" s="3168"/>
      <c r="P306" s="3113"/>
      <c r="Q306" s="3113"/>
      <c r="R306" s="3113"/>
      <c r="S306" s="3169"/>
      <c r="T306" s="3113"/>
      <c r="V306" s="3008"/>
      <c r="W306" s="3013"/>
      <c r="X306" s="3004"/>
      <c r="Y306" s="3004"/>
      <c r="AA306" s="3008"/>
      <c r="AB306" s="2991"/>
      <c r="AC306" s="3010"/>
      <c r="AD306" s="3010"/>
      <c r="AF306" s="2730">
        <v>1</v>
      </c>
    </row>
    <row r="307" spans="2:32" ht="30" customHeight="1">
      <c r="B307" s="2998"/>
      <c r="C307" s="2840"/>
      <c r="D307" s="3132"/>
      <c r="E307" s="3154"/>
      <c r="F307" s="3132"/>
      <c r="G307" s="3155"/>
      <c r="H307" s="3132"/>
      <c r="I307" s="1"/>
      <c r="M307" s="1"/>
      <c r="N307" s="3111"/>
      <c r="O307" s="3168"/>
      <c r="P307" s="3113"/>
      <c r="Q307" s="3113"/>
      <c r="R307" s="3113"/>
      <c r="S307" s="3169"/>
      <c r="T307" s="3113"/>
      <c r="V307" s="3008"/>
      <c r="W307" s="3013"/>
      <c r="X307" s="3004"/>
      <c r="Y307" s="3004"/>
      <c r="AA307" s="3008"/>
      <c r="AB307" s="2991"/>
      <c r="AC307" s="3010"/>
      <c r="AD307" s="3010"/>
      <c r="AF307" s="2730">
        <v>1</v>
      </c>
    </row>
    <row r="308" spans="2:32" ht="30" customHeight="1">
      <c r="B308" s="2998"/>
      <c r="C308" s="2840"/>
      <c r="D308" s="3132"/>
      <c r="E308" s="3154"/>
      <c r="F308" s="3132"/>
      <c r="G308" s="3155"/>
      <c r="H308" s="3132"/>
      <c r="I308" s="1"/>
      <c r="M308" s="1"/>
      <c r="N308" s="3111"/>
      <c r="O308" s="3168"/>
      <c r="P308" s="3113"/>
      <c r="Q308" s="3113"/>
      <c r="R308" s="3113"/>
      <c r="S308" s="3169"/>
      <c r="T308" s="3113"/>
      <c r="V308" s="3008"/>
      <c r="W308" s="3013"/>
      <c r="X308" s="3004"/>
      <c r="Y308" s="3004"/>
      <c r="AA308" s="3008"/>
      <c r="AB308" s="2991"/>
      <c r="AC308" s="3010"/>
      <c r="AD308" s="3010"/>
      <c r="AF308" s="2730">
        <v>1</v>
      </c>
    </row>
    <row r="309" spans="2:32" ht="30" customHeight="1">
      <c r="B309" s="2998"/>
      <c r="C309" s="2840"/>
      <c r="D309" s="3132"/>
      <c r="E309" s="3154"/>
      <c r="F309" s="3132"/>
      <c r="G309" s="3155"/>
      <c r="H309" s="3132"/>
      <c r="I309" s="1"/>
      <c r="M309" s="1"/>
      <c r="N309" s="3111"/>
      <c r="O309" s="3168"/>
      <c r="P309" s="3113"/>
      <c r="Q309" s="3113"/>
      <c r="R309" s="3113"/>
      <c r="S309" s="3169"/>
      <c r="T309" s="3113"/>
      <c r="V309" s="3008"/>
      <c r="W309" s="3013"/>
      <c r="X309" s="3004"/>
      <c r="Y309" s="3004"/>
      <c r="AA309" s="3008"/>
      <c r="AB309" s="2991"/>
      <c r="AC309" s="3010"/>
      <c r="AD309" s="3010"/>
      <c r="AF309" s="2730">
        <v>1</v>
      </c>
    </row>
    <row r="310" spans="2:32" ht="30" customHeight="1">
      <c r="B310" s="2998"/>
      <c r="C310" s="2840"/>
      <c r="D310" s="3132"/>
      <c r="E310" s="3154"/>
      <c r="F310" s="3132"/>
      <c r="G310" s="3155"/>
      <c r="H310" s="3132"/>
      <c r="I310" s="1"/>
      <c r="M310" s="1"/>
      <c r="N310" s="3111"/>
      <c r="O310" s="3168"/>
      <c r="P310" s="3113"/>
      <c r="Q310" s="3113"/>
      <c r="R310" s="3113"/>
      <c r="S310" s="3169"/>
      <c r="T310" s="3113"/>
      <c r="V310" s="3008"/>
      <c r="W310" s="3013"/>
      <c r="X310" s="3004"/>
      <c r="Y310" s="3004"/>
      <c r="AA310" s="3008"/>
      <c r="AB310" s="2991"/>
      <c r="AC310" s="3010"/>
      <c r="AD310" s="3010"/>
      <c r="AF310" s="2730">
        <v>1</v>
      </c>
    </row>
    <row r="311" spans="2:32" ht="30" customHeight="1">
      <c r="B311" s="2998"/>
      <c r="C311" s="2840"/>
      <c r="D311" s="3132"/>
      <c r="E311" s="3154"/>
      <c r="F311" s="3132"/>
      <c r="G311" s="3155"/>
      <c r="H311" s="3132"/>
      <c r="I311" s="1"/>
      <c r="M311" s="1"/>
      <c r="N311" s="3111"/>
      <c r="O311" s="3168"/>
      <c r="P311" s="3113"/>
      <c r="Q311" s="3113"/>
      <c r="R311" s="3113"/>
      <c r="S311" s="3169"/>
      <c r="T311" s="3113"/>
      <c r="V311" s="3008"/>
      <c r="W311" s="3013"/>
      <c r="X311" s="3004"/>
      <c r="Y311" s="3004"/>
      <c r="AA311" s="3008"/>
      <c r="AB311" s="2991"/>
      <c r="AC311" s="3010"/>
      <c r="AD311" s="3010"/>
      <c r="AF311" s="2730">
        <v>1</v>
      </c>
    </row>
    <row r="312" spans="2:32" ht="30" customHeight="1">
      <c r="B312" s="2998"/>
      <c r="C312" s="2840"/>
      <c r="D312" s="3132"/>
      <c r="E312" s="3154"/>
      <c r="F312" s="3132"/>
      <c r="G312" s="3155"/>
      <c r="H312" s="3132"/>
      <c r="I312" s="1"/>
      <c r="M312" s="1"/>
      <c r="N312" s="3111"/>
      <c r="O312" s="3168"/>
      <c r="P312" s="3113"/>
      <c r="Q312" s="3113"/>
      <c r="R312" s="3113"/>
      <c r="S312" s="3169"/>
      <c r="T312" s="3113"/>
      <c r="V312" s="3008"/>
      <c r="W312" s="3013"/>
      <c r="X312" s="3004"/>
      <c r="Y312" s="3004"/>
      <c r="AA312" s="3008"/>
      <c r="AB312" s="2991"/>
      <c r="AC312" s="3010"/>
      <c r="AD312" s="3010"/>
      <c r="AF312" s="2730">
        <v>1</v>
      </c>
    </row>
    <row r="313" spans="2:32" ht="30" customHeight="1">
      <c r="B313" s="2998"/>
      <c r="C313" s="2840"/>
      <c r="D313" s="3132"/>
      <c r="E313" s="3154"/>
      <c r="F313" s="3132"/>
      <c r="G313" s="3155"/>
      <c r="H313" s="3132"/>
      <c r="I313" s="1"/>
      <c r="M313" s="1"/>
      <c r="N313" s="3111"/>
      <c r="O313" s="3168"/>
      <c r="P313" s="3113"/>
      <c r="Q313" s="3113"/>
      <c r="R313" s="3113"/>
      <c r="S313" s="3169"/>
      <c r="T313" s="3113"/>
      <c r="V313" s="3008"/>
      <c r="W313" s="3013"/>
      <c r="X313" s="3004"/>
      <c r="Y313" s="3004"/>
      <c r="AA313" s="3008"/>
      <c r="AB313" s="2991"/>
      <c r="AC313" s="3010"/>
      <c r="AD313" s="3010"/>
      <c r="AF313" s="2730">
        <v>1</v>
      </c>
    </row>
    <row r="314" spans="2:32" ht="30" customHeight="1">
      <c r="B314" s="2998"/>
      <c r="C314" s="2840"/>
      <c r="D314" s="3132"/>
      <c r="E314" s="3154"/>
      <c r="F314" s="3132"/>
      <c r="G314" s="3155"/>
      <c r="H314" s="3132"/>
      <c r="I314" s="1"/>
      <c r="M314" s="1"/>
      <c r="N314" s="3111"/>
      <c r="O314" s="3168"/>
      <c r="P314" s="3113"/>
      <c r="Q314" s="3113"/>
      <c r="R314" s="3113"/>
      <c r="S314" s="3169"/>
      <c r="T314" s="3113"/>
      <c r="V314" s="3008"/>
      <c r="W314" s="3013"/>
      <c r="X314" s="3004"/>
      <c r="Y314" s="3004"/>
      <c r="AA314" s="3008"/>
      <c r="AB314" s="2991"/>
      <c r="AC314" s="3010"/>
      <c r="AD314" s="3010"/>
      <c r="AF314" s="2730">
        <v>1</v>
      </c>
    </row>
    <row r="315" spans="2:32" ht="30" customHeight="1">
      <c r="B315" s="2998"/>
      <c r="C315" s="2840"/>
      <c r="D315" s="3132"/>
      <c r="E315" s="3154"/>
      <c r="F315" s="3132"/>
      <c r="G315" s="3155"/>
      <c r="H315" s="3132"/>
      <c r="I315" s="1"/>
      <c r="M315" s="1"/>
      <c r="N315" s="3111"/>
      <c r="O315" s="3168"/>
      <c r="P315" s="3113"/>
      <c r="Q315" s="3113"/>
      <c r="R315" s="3113"/>
      <c r="S315" s="3169"/>
      <c r="T315" s="3113"/>
      <c r="V315" s="3008"/>
      <c r="W315" s="3013"/>
      <c r="X315" s="3004"/>
      <c r="Y315" s="3004"/>
      <c r="AA315" s="3008"/>
      <c r="AB315" s="2991"/>
      <c r="AC315" s="3010"/>
      <c r="AD315" s="3010"/>
      <c r="AF315" s="2730">
        <v>1</v>
      </c>
    </row>
    <row r="316" spans="2:32" ht="30" customHeight="1">
      <c r="B316" s="2998"/>
      <c r="C316" s="2840"/>
      <c r="D316" s="3132"/>
      <c r="E316" s="3154"/>
      <c r="F316" s="3132"/>
      <c r="G316" s="3155"/>
      <c r="H316" s="3132"/>
      <c r="I316" s="1"/>
      <c r="M316" s="1"/>
      <c r="N316" s="3111"/>
      <c r="O316" s="3168"/>
      <c r="P316" s="3113"/>
      <c r="Q316" s="3113"/>
      <c r="R316" s="3113"/>
      <c r="S316" s="3169"/>
      <c r="T316" s="3113"/>
      <c r="V316" s="3008"/>
      <c r="W316" s="3013"/>
      <c r="X316" s="3004"/>
      <c r="Y316" s="3004"/>
      <c r="AA316" s="3008"/>
      <c r="AB316" s="2991"/>
      <c r="AC316" s="3010"/>
      <c r="AD316" s="3010"/>
      <c r="AF316" s="2730">
        <v>1</v>
      </c>
    </row>
    <row r="317" spans="2:32" ht="30" customHeight="1">
      <c r="B317" s="2998"/>
      <c r="C317" s="2840"/>
      <c r="D317" s="3132"/>
      <c r="E317" s="3154"/>
      <c r="F317" s="3132"/>
      <c r="G317" s="3155"/>
      <c r="H317" s="3132"/>
      <c r="I317" s="1"/>
      <c r="M317" s="1"/>
      <c r="N317" s="3111"/>
      <c r="O317" s="3168"/>
      <c r="P317" s="3113"/>
      <c r="Q317" s="3113"/>
      <c r="R317" s="3113"/>
      <c r="S317" s="3169"/>
      <c r="T317" s="3113"/>
      <c r="V317" s="3008"/>
      <c r="W317" s="3013"/>
      <c r="X317" s="3004"/>
      <c r="Y317" s="3004"/>
      <c r="AA317" s="3008"/>
      <c r="AB317" s="2991"/>
      <c r="AC317" s="3010"/>
      <c r="AD317" s="3010"/>
      <c r="AF317" s="2730">
        <v>1</v>
      </c>
    </row>
    <row r="318" spans="2:32" ht="30" customHeight="1">
      <c r="B318" s="2998"/>
      <c r="C318" s="2840"/>
      <c r="D318" s="3132"/>
      <c r="E318" s="3154"/>
      <c r="F318" s="3132"/>
      <c r="G318" s="3155"/>
      <c r="H318" s="3132"/>
      <c r="I318" s="1"/>
      <c r="M318" s="1"/>
      <c r="N318" s="3111"/>
      <c r="O318" s="3168"/>
      <c r="P318" s="3113"/>
      <c r="Q318" s="3113"/>
      <c r="R318" s="3113"/>
      <c r="S318" s="3169"/>
      <c r="T318" s="3113"/>
      <c r="V318" s="3008"/>
      <c r="W318" s="3013"/>
      <c r="X318" s="3004"/>
      <c r="Y318" s="3004"/>
      <c r="AA318" s="3008"/>
      <c r="AB318" s="2991"/>
      <c r="AC318" s="3010"/>
      <c r="AD318" s="3010"/>
      <c r="AF318" s="2730">
        <v>1</v>
      </c>
    </row>
    <row r="319" spans="2:32" ht="30" customHeight="1">
      <c r="B319" s="2998"/>
      <c r="C319" s="2840"/>
      <c r="D319" s="3132"/>
      <c r="E319" s="3154"/>
      <c r="F319" s="3132"/>
      <c r="G319" s="3155"/>
      <c r="H319" s="3132"/>
      <c r="I319" s="1"/>
      <c r="M319" s="1"/>
      <c r="N319" s="3111"/>
      <c r="O319" s="3168"/>
      <c r="P319" s="3113"/>
      <c r="Q319" s="3113"/>
      <c r="R319" s="3113"/>
      <c r="S319" s="3169"/>
      <c r="T319" s="3113"/>
      <c r="V319" s="3008"/>
      <c r="W319" s="3013"/>
      <c r="X319" s="3004"/>
      <c r="Y319" s="3004"/>
      <c r="AA319" s="3008"/>
      <c r="AB319" s="2991"/>
      <c r="AC319" s="3010"/>
      <c r="AD319" s="3010"/>
      <c r="AF319" s="2730">
        <v>1</v>
      </c>
    </row>
    <row r="320" spans="2:32" ht="30" customHeight="1">
      <c r="B320" s="2998"/>
      <c r="C320" s="2840"/>
      <c r="D320" s="3132"/>
      <c r="E320" s="3154"/>
      <c r="F320" s="3132"/>
      <c r="G320" s="3155"/>
      <c r="H320" s="3132"/>
      <c r="I320" s="1"/>
      <c r="M320" s="1"/>
      <c r="N320" s="3111"/>
      <c r="O320" s="3168"/>
      <c r="P320" s="3113"/>
      <c r="Q320" s="3113"/>
      <c r="R320" s="3113"/>
      <c r="S320" s="3169"/>
      <c r="T320" s="3113"/>
      <c r="V320" s="3008"/>
      <c r="W320" s="3013"/>
      <c r="X320" s="3004"/>
      <c r="Y320" s="3004"/>
      <c r="AA320" s="3008"/>
      <c r="AB320" s="2991"/>
      <c r="AC320" s="3010"/>
      <c r="AD320" s="3010"/>
      <c r="AF320" s="2730">
        <v>1</v>
      </c>
    </row>
    <row r="321" spans="2:32" ht="30" customHeight="1">
      <c r="B321" s="2998"/>
      <c r="C321" s="2840"/>
      <c r="D321" s="3132"/>
      <c r="E321" s="3154"/>
      <c r="F321" s="3132"/>
      <c r="G321" s="3155"/>
      <c r="H321" s="3132"/>
      <c r="I321" s="1"/>
      <c r="M321" s="1"/>
      <c r="N321" s="3111"/>
      <c r="O321" s="3168"/>
      <c r="P321" s="3113"/>
      <c r="Q321" s="3113"/>
      <c r="R321" s="3113"/>
      <c r="S321" s="3169"/>
      <c r="T321" s="3113"/>
      <c r="V321" s="3008"/>
      <c r="W321" s="3013"/>
      <c r="X321" s="3004"/>
      <c r="Y321" s="3004"/>
      <c r="AA321" s="3008"/>
      <c r="AB321" s="2991"/>
      <c r="AC321" s="3010"/>
      <c r="AD321" s="3010"/>
      <c r="AF321" s="2730">
        <v>1</v>
      </c>
    </row>
    <row r="322" spans="2:32" ht="30" customHeight="1">
      <c r="B322" s="2998"/>
      <c r="C322" s="2840"/>
      <c r="D322" s="3132"/>
      <c r="E322" s="3154"/>
      <c r="F322" s="3132"/>
      <c r="G322" s="3155"/>
      <c r="H322" s="3132"/>
      <c r="I322" s="1"/>
      <c r="M322" s="1"/>
      <c r="N322" s="3111"/>
      <c r="O322" s="3168"/>
      <c r="P322" s="3113"/>
      <c r="Q322" s="3113"/>
      <c r="R322" s="3113"/>
      <c r="S322" s="3169"/>
      <c r="T322" s="3113"/>
      <c r="V322" s="3008"/>
      <c r="W322" s="3013"/>
      <c r="X322" s="3004"/>
      <c r="Y322" s="3004"/>
      <c r="AA322" s="3008"/>
      <c r="AB322" s="2991"/>
      <c r="AC322" s="3010"/>
      <c r="AD322" s="3010"/>
      <c r="AF322" s="2730">
        <v>1</v>
      </c>
    </row>
    <row r="323" spans="2:32" ht="30" customHeight="1">
      <c r="B323" s="2998"/>
      <c r="C323" s="2840"/>
      <c r="D323" s="3132"/>
      <c r="E323" s="3154"/>
      <c r="F323" s="3132"/>
      <c r="G323" s="3155"/>
      <c r="H323" s="3132"/>
      <c r="I323" s="1"/>
      <c r="M323" s="1"/>
      <c r="N323" s="3111"/>
      <c r="O323" s="3168"/>
      <c r="P323" s="3113"/>
      <c r="Q323" s="3113"/>
      <c r="R323" s="3113"/>
      <c r="S323" s="3169"/>
      <c r="T323" s="3113"/>
      <c r="V323" s="3008"/>
      <c r="W323" s="3013"/>
      <c r="X323" s="3004"/>
      <c r="Y323" s="3004"/>
      <c r="AA323" s="3008"/>
      <c r="AB323" s="2991"/>
      <c r="AC323" s="3010"/>
      <c r="AD323" s="3010"/>
      <c r="AF323" s="2730">
        <v>1</v>
      </c>
    </row>
    <row r="324" spans="2:32" ht="30" customHeight="1">
      <c r="B324" s="2998"/>
      <c r="C324" s="2840"/>
      <c r="D324" s="3132"/>
      <c r="E324" s="3154"/>
      <c r="F324" s="3132"/>
      <c r="G324" s="3155"/>
      <c r="H324" s="3132"/>
      <c r="I324" s="1"/>
      <c r="M324" s="1"/>
      <c r="N324" s="3111"/>
      <c r="O324" s="3168"/>
      <c r="P324" s="3113"/>
      <c r="Q324" s="3113"/>
      <c r="R324" s="3113"/>
      <c r="S324" s="3169"/>
      <c r="T324" s="3113"/>
      <c r="V324" s="3008"/>
      <c r="W324" s="3013"/>
      <c r="X324" s="3004"/>
      <c r="Y324" s="3004"/>
      <c r="AA324" s="3008"/>
      <c r="AB324" s="2991"/>
      <c r="AC324" s="3010"/>
      <c r="AD324" s="3010"/>
      <c r="AF324" s="2730">
        <v>1</v>
      </c>
    </row>
    <row r="325" spans="2:32" ht="30" customHeight="1">
      <c r="B325" s="2998"/>
      <c r="C325" s="2840"/>
      <c r="D325" s="3132"/>
      <c r="E325" s="3154"/>
      <c r="F325" s="3132"/>
      <c r="G325" s="3155"/>
      <c r="H325" s="3132"/>
      <c r="I325" s="1"/>
      <c r="M325" s="1"/>
      <c r="N325" s="3111"/>
      <c r="O325" s="3168"/>
      <c r="P325" s="3113"/>
      <c r="Q325" s="3113"/>
      <c r="R325" s="3113"/>
      <c r="S325" s="3169"/>
      <c r="T325" s="3113"/>
      <c r="V325" s="3008"/>
      <c r="W325" s="3013"/>
      <c r="X325" s="3004"/>
      <c r="Y325" s="3004"/>
      <c r="AA325" s="3008"/>
      <c r="AB325" s="2991"/>
      <c r="AC325" s="3010"/>
      <c r="AD325" s="3010"/>
      <c r="AF325" s="2730">
        <v>1</v>
      </c>
    </row>
    <row r="326" spans="2:32" ht="30" customHeight="1">
      <c r="B326" s="2998"/>
      <c r="C326" s="2840"/>
      <c r="D326" s="3132"/>
      <c r="E326" s="3154"/>
      <c r="F326" s="3132"/>
      <c r="G326" s="3155"/>
      <c r="H326" s="3132"/>
      <c r="I326" s="1"/>
      <c r="M326" s="1"/>
      <c r="N326" s="3111"/>
      <c r="O326" s="3168"/>
      <c r="P326" s="3113"/>
      <c r="Q326" s="3113"/>
      <c r="R326" s="3113"/>
      <c r="S326" s="3169"/>
      <c r="T326" s="3113"/>
      <c r="V326" s="3008"/>
      <c r="W326" s="3013"/>
      <c r="X326" s="3004"/>
      <c r="Y326" s="3004"/>
      <c r="AA326" s="3008"/>
      <c r="AB326" s="2991"/>
      <c r="AC326" s="3010"/>
      <c r="AD326" s="3010"/>
      <c r="AF326" s="2730">
        <v>1</v>
      </c>
    </row>
    <row r="327" spans="2:32" ht="30" customHeight="1">
      <c r="B327" s="2998"/>
      <c r="C327" s="2840"/>
      <c r="D327" s="3132"/>
      <c r="E327" s="3154"/>
      <c r="F327" s="3132"/>
      <c r="G327" s="3155"/>
      <c r="H327" s="3132"/>
      <c r="I327" s="1"/>
      <c r="M327" s="1"/>
      <c r="N327" s="3111"/>
      <c r="O327" s="3168"/>
      <c r="P327" s="3113"/>
      <c r="Q327" s="3113"/>
      <c r="R327" s="3113"/>
      <c r="S327" s="3169"/>
      <c r="T327" s="3113"/>
      <c r="V327" s="3008"/>
      <c r="W327" s="3013"/>
      <c r="X327" s="3004"/>
      <c r="Y327" s="3004"/>
      <c r="AA327" s="3008"/>
      <c r="AB327" s="2991"/>
      <c r="AC327" s="3010"/>
      <c r="AD327" s="3010"/>
      <c r="AF327" s="2730">
        <v>1</v>
      </c>
    </row>
    <row r="328" spans="2:32" ht="30" customHeight="1">
      <c r="B328" s="2998"/>
      <c r="C328" s="2840"/>
      <c r="D328" s="3132"/>
      <c r="E328" s="3154"/>
      <c r="F328" s="3132"/>
      <c r="G328" s="3155"/>
      <c r="H328" s="3132"/>
      <c r="I328" s="1"/>
      <c r="M328" s="1"/>
      <c r="N328" s="3111"/>
      <c r="O328" s="3168"/>
      <c r="P328" s="3113"/>
      <c r="Q328" s="3113"/>
      <c r="R328" s="3113"/>
      <c r="S328" s="3169"/>
      <c r="T328" s="3113"/>
      <c r="V328" s="3008"/>
      <c r="W328" s="3013"/>
      <c r="X328" s="3004"/>
      <c r="Y328" s="3004"/>
      <c r="AA328" s="3008"/>
      <c r="AB328" s="2991"/>
      <c r="AC328" s="3010"/>
      <c r="AD328" s="3010"/>
      <c r="AF328" s="2730">
        <v>1</v>
      </c>
    </row>
    <row r="329" spans="2:32" ht="30" customHeight="1">
      <c r="B329" s="2998"/>
      <c r="C329" s="2840"/>
      <c r="D329" s="3132"/>
      <c r="E329" s="3154"/>
      <c r="F329" s="3132"/>
      <c r="G329" s="3155"/>
      <c r="H329" s="3132"/>
      <c r="I329" s="1"/>
      <c r="M329" s="1"/>
      <c r="N329" s="3111"/>
      <c r="O329" s="3168"/>
      <c r="P329" s="3113"/>
      <c r="Q329" s="3113"/>
      <c r="R329" s="3113"/>
      <c r="S329" s="3169"/>
      <c r="T329" s="3113"/>
      <c r="V329" s="3008"/>
      <c r="W329" s="3013"/>
      <c r="X329" s="3004"/>
      <c r="Y329" s="3004"/>
      <c r="AA329" s="3008"/>
      <c r="AB329" s="2991"/>
      <c r="AC329" s="3010"/>
      <c r="AD329" s="3010"/>
      <c r="AF329" s="2730">
        <v>1</v>
      </c>
    </row>
    <row r="330" spans="2:32" ht="30" customHeight="1">
      <c r="B330" s="2998"/>
      <c r="C330" s="2840"/>
      <c r="D330" s="3132"/>
      <c r="E330" s="3154"/>
      <c r="F330" s="3132"/>
      <c r="G330" s="3155"/>
      <c r="H330" s="3132"/>
      <c r="I330" s="1"/>
      <c r="M330" s="1"/>
      <c r="N330" s="3111"/>
      <c r="O330" s="3168"/>
      <c r="P330" s="3113"/>
      <c r="Q330" s="3113"/>
      <c r="R330" s="3113"/>
      <c r="S330" s="3169"/>
      <c r="T330" s="3113"/>
      <c r="V330" s="3008"/>
      <c r="W330" s="3013"/>
      <c r="X330" s="3004"/>
      <c r="Y330" s="3004"/>
      <c r="AA330" s="3008"/>
      <c r="AB330" s="2991"/>
      <c r="AC330" s="3010"/>
      <c r="AD330" s="3010"/>
      <c r="AF330" s="2730">
        <v>1</v>
      </c>
    </row>
    <row r="331" spans="2:32" ht="30" customHeight="1">
      <c r="B331" s="2998"/>
      <c r="C331" s="2840"/>
      <c r="D331" s="3132"/>
      <c r="E331" s="3154"/>
      <c r="F331" s="3132"/>
      <c r="G331" s="3155"/>
      <c r="H331" s="3132"/>
      <c r="I331" s="1"/>
      <c r="M331" s="1"/>
      <c r="N331" s="3111"/>
      <c r="O331" s="3168"/>
      <c r="P331" s="3113"/>
      <c r="Q331" s="3113"/>
      <c r="R331" s="3113"/>
      <c r="S331" s="3169"/>
      <c r="T331" s="3113"/>
      <c r="V331" s="3008"/>
      <c r="W331" s="3013"/>
      <c r="X331" s="3004"/>
      <c r="Y331" s="3004"/>
      <c r="AA331" s="3008"/>
      <c r="AB331" s="2991"/>
      <c r="AC331" s="3010"/>
      <c r="AD331" s="3010"/>
      <c r="AF331" s="2730">
        <v>1</v>
      </c>
    </row>
    <row r="332" spans="2:32" ht="30" customHeight="1">
      <c r="B332" s="2998"/>
      <c r="C332" s="2840"/>
      <c r="D332" s="3132"/>
      <c r="E332" s="3154"/>
      <c r="F332" s="3132"/>
      <c r="G332" s="3155"/>
      <c r="H332" s="3132"/>
      <c r="I332" s="1"/>
      <c r="M332" s="1"/>
      <c r="N332" s="3111"/>
      <c r="O332" s="3168"/>
      <c r="P332" s="3113"/>
      <c r="Q332" s="3113"/>
      <c r="R332" s="3113"/>
      <c r="S332" s="3169"/>
      <c r="T332" s="3113"/>
      <c r="V332" s="3008"/>
      <c r="W332" s="3013"/>
      <c r="X332" s="3004"/>
      <c r="Y332" s="3004"/>
      <c r="AA332" s="3008"/>
      <c r="AB332" s="2991"/>
      <c r="AC332" s="3010"/>
      <c r="AD332" s="3010"/>
      <c r="AF332" s="2730">
        <v>1</v>
      </c>
    </row>
    <row r="333" spans="2:32" ht="30" customHeight="1">
      <c r="B333" s="2998"/>
      <c r="C333" s="2840"/>
      <c r="D333" s="3132"/>
      <c r="E333" s="3154"/>
      <c r="F333" s="3132"/>
      <c r="G333" s="3155"/>
      <c r="H333" s="3132"/>
      <c r="I333" s="1"/>
      <c r="M333" s="1"/>
      <c r="N333" s="3111"/>
      <c r="O333" s="3168"/>
      <c r="P333" s="3113"/>
      <c r="Q333" s="3113"/>
      <c r="R333" s="3113"/>
      <c r="S333" s="3169"/>
      <c r="T333" s="3113"/>
      <c r="V333" s="3008"/>
      <c r="W333" s="3013"/>
      <c r="X333" s="3004"/>
      <c r="Y333" s="3004"/>
      <c r="AA333" s="3008"/>
      <c r="AB333" s="2991"/>
      <c r="AC333" s="3010"/>
      <c r="AD333" s="3010"/>
      <c r="AF333" s="2730">
        <v>1</v>
      </c>
    </row>
    <row r="334" spans="2:32" ht="30" customHeight="1">
      <c r="B334" s="2998"/>
      <c r="C334" s="2840"/>
      <c r="D334" s="3132"/>
      <c r="E334" s="3154"/>
      <c r="F334" s="3132"/>
      <c r="G334" s="3155"/>
      <c r="H334" s="3132"/>
      <c r="I334" s="1"/>
      <c r="M334" s="1"/>
      <c r="N334" s="3111"/>
      <c r="O334" s="3168"/>
      <c r="P334" s="3113"/>
      <c r="Q334" s="3113"/>
      <c r="R334" s="3113"/>
      <c r="S334" s="3169"/>
      <c r="T334" s="3113"/>
      <c r="V334" s="3008"/>
      <c r="W334" s="3013"/>
      <c r="X334" s="3004"/>
      <c r="Y334" s="3004"/>
      <c r="AA334" s="3008"/>
      <c r="AB334" s="2991"/>
      <c r="AC334" s="3010"/>
      <c r="AD334" s="3010"/>
      <c r="AF334" s="2730">
        <v>1</v>
      </c>
    </row>
    <row r="335" spans="2:32" ht="30" customHeight="1">
      <c r="B335" s="2998"/>
      <c r="C335" s="2840"/>
      <c r="D335" s="3132"/>
      <c r="E335" s="3154"/>
      <c r="F335" s="3132"/>
      <c r="G335" s="3155"/>
      <c r="H335" s="3132"/>
      <c r="I335" s="1"/>
      <c r="M335" s="1"/>
      <c r="N335" s="3111"/>
      <c r="O335" s="3168"/>
      <c r="P335" s="3113"/>
      <c r="Q335" s="3113"/>
      <c r="R335" s="3113"/>
      <c r="S335" s="3169"/>
      <c r="T335" s="3113"/>
      <c r="V335" s="3008"/>
      <c r="W335" s="3013"/>
      <c r="X335" s="3004"/>
      <c r="Y335" s="3004"/>
      <c r="AA335" s="3008"/>
      <c r="AB335" s="2991"/>
      <c r="AC335" s="3010"/>
      <c r="AD335" s="3010"/>
      <c r="AF335" s="2730">
        <v>1</v>
      </c>
    </row>
    <row r="336" spans="2:32" ht="30" customHeight="1">
      <c r="B336" s="2998"/>
      <c r="C336" s="2840"/>
      <c r="D336" s="3132"/>
      <c r="E336" s="3154"/>
      <c r="F336" s="3132"/>
      <c r="G336" s="3155"/>
      <c r="H336" s="3132"/>
      <c r="I336" s="1"/>
      <c r="M336" s="1"/>
      <c r="N336" s="3111"/>
      <c r="O336" s="3168"/>
      <c r="P336" s="3113"/>
      <c r="Q336" s="3113"/>
      <c r="R336" s="3113"/>
      <c r="S336" s="3169"/>
      <c r="T336" s="3113"/>
      <c r="V336" s="3008"/>
      <c r="W336" s="3013"/>
      <c r="X336" s="3004"/>
      <c r="Y336" s="3004"/>
      <c r="AA336" s="3008"/>
      <c r="AB336" s="2991"/>
      <c r="AC336" s="3010"/>
      <c r="AD336" s="3010"/>
      <c r="AF336" s="2730">
        <v>1</v>
      </c>
    </row>
    <row r="337" spans="2:32" ht="30" customHeight="1">
      <c r="B337" s="2998"/>
      <c r="C337" s="2840"/>
      <c r="D337" s="3132"/>
      <c r="E337" s="3154"/>
      <c r="F337" s="3132"/>
      <c r="G337" s="3155"/>
      <c r="H337" s="3132"/>
      <c r="I337" s="1"/>
      <c r="M337" s="1"/>
      <c r="N337" s="3111"/>
      <c r="O337" s="3168"/>
      <c r="P337" s="3113"/>
      <c r="Q337" s="3113"/>
      <c r="R337" s="3113"/>
      <c r="S337" s="3169"/>
      <c r="T337" s="3113"/>
      <c r="V337" s="3008"/>
      <c r="W337" s="3013"/>
      <c r="X337" s="3004"/>
      <c r="Y337" s="3004"/>
      <c r="AA337" s="3008"/>
      <c r="AB337" s="2991"/>
      <c r="AC337" s="3010"/>
      <c r="AD337" s="3010"/>
      <c r="AF337" s="2730">
        <v>1</v>
      </c>
    </row>
    <row r="338" spans="2:32" ht="30" customHeight="1">
      <c r="B338" s="2998"/>
      <c r="C338" s="2840"/>
      <c r="D338" s="3132"/>
      <c r="E338" s="3154"/>
      <c r="F338" s="3132"/>
      <c r="G338" s="3155"/>
      <c r="H338" s="3132"/>
      <c r="I338" s="1"/>
      <c r="M338" s="1"/>
      <c r="N338" s="3111"/>
      <c r="O338" s="3168"/>
      <c r="P338" s="3113"/>
      <c r="Q338" s="3113"/>
      <c r="R338" s="3113"/>
      <c r="S338" s="3169"/>
      <c r="T338" s="3113"/>
      <c r="V338" s="3008"/>
      <c r="W338" s="3013"/>
      <c r="X338" s="3004"/>
      <c r="Y338" s="3004"/>
      <c r="AA338" s="3008"/>
      <c r="AB338" s="2991"/>
      <c r="AC338" s="3010"/>
      <c r="AD338" s="3010"/>
      <c r="AF338" s="2730">
        <v>1</v>
      </c>
    </row>
    <row r="339" spans="2:32" ht="30" customHeight="1">
      <c r="B339" s="2998"/>
      <c r="C339" s="2840"/>
      <c r="D339" s="3132"/>
      <c r="E339" s="3154"/>
      <c r="F339" s="3132"/>
      <c r="G339" s="3155"/>
      <c r="H339" s="3132"/>
      <c r="I339" s="1"/>
      <c r="M339" s="1"/>
      <c r="N339" s="3111"/>
      <c r="O339" s="3168"/>
      <c r="P339" s="3113"/>
      <c r="Q339" s="3113"/>
      <c r="R339" s="3113"/>
      <c r="S339" s="3169"/>
      <c r="T339" s="3113"/>
      <c r="V339" s="3008"/>
      <c r="W339" s="3013"/>
      <c r="X339" s="3004"/>
      <c r="Y339" s="3004"/>
      <c r="AA339" s="3008"/>
      <c r="AB339" s="2991"/>
      <c r="AC339" s="3010"/>
      <c r="AD339" s="3010"/>
      <c r="AF339" s="2730">
        <v>1</v>
      </c>
    </row>
    <row r="340" spans="2:32" ht="30" customHeight="1">
      <c r="B340" s="2998"/>
      <c r="C340" s="2840"/>
      <c r="D340" s="3132"/>
      <c r="E340" s="3154"/>
      <c r="F340" s="3132"/>
      <c r="G340" s="3155"/>
      <c r="H340" s="3132"/>
      <c r="I340" s="1"/>
      <c r="M340" s="1"/>
      <c r="N340" s="3111"/>
      <c r="O340" s="3168"/>
      <c r="P340" s="3113"/>
      <c r="Q340" s="3113"/>
      <c r="R340" s="3113"/>
      <c r="S340" s="3169"/>
      <c r="T340" s="3113"/>
      <c r="V340" s="3008"/>
      <c r="W340" s="3013"/>
      <c r="X340" s="3004"/>
      <c r="Y340" s="3004"/>
      <c r="AA340" s="3008"/>
      <c r="AB340" s="2991"/>
      <c r="AC340" s="3010"/>
      <c r="AD340" s="3010"/>
      <c r="AF340" s="2730">
        <v>1</v>
      </c>
    </row>
    <row r="341" spans="2:32" ht="30" customHeight="1">
      <c r="B341" s="2998"/>
      <c r="C341" s="2840"/>
      <c r="D341" s="3132"/>
      <c r="E341" s="3154"/>
      <c r="F341" s="3132"/>
      <c r="G341" s="3155"/>
      <c r="H341" s="3132"/>
      <c r="I341" s="1"/>
      <c r="M341" s="1"/>
      <c r="N341" s="3111"/>
      <c r="O341" s="3168"/>
      <c r="P341" s="3113"/>
      <c r="Q341" s="3113"/>
      <c r="R341" s="3113"/>
      <c r="S341" s="3169"/>
      <c r="T341" s="3113"/>
      <c r="V341" s="3008"/>
      <c r="W341" s="3013"/>
      <c r="X341" s="3004"/>
      <c r="Y341" s="3004"/>
      <c r="AA341" s="3008"/>
      <c r="AB341" s="2991"/>
      <c r="AC341" s="3010"/>
      <c r="AD341" s="3010"/>
      <c r="AF341" s="2730">
        <v>1</v>
      </c>
    </row>
    <row r="342" spans="2:32" ht="30" customHeight="1">
      <c r="B342" s="2998"/>
      <c r="C342" s="2840"/>
      <c r="D342" s="3132"/>
      <c r="E342" s="3154"/>
      <c r="F342" s="3132"/>
      <c r="G342" s="3155"/>
      <c r="H342" s="3132"/>
      <c r="I342" s="1"/>
      <c r="M342" s="1"/>
      <c r="N342" s="3111"/>
      <c r="O342" s="3168"/>
      <c r="P342" s="3113"/>
      <c r="Q342" s="3113"/>
      <c r="R342" s="3113"/>
      <c r="S342" s="3169"/>
      <c r="T342" s="3113"/>
      <c r="V342" s="3008"/>
      <c r="W342" s="3013"/>
      <c r="X342" s="3004"/>
      <c r="Y342" s="3004"/>
      <c r="AA342" s="3008"/>
      <c r="AB342" s="2991"/>
      <c r="AC342" s="3010"/>
      <c r="AD342" s="3010"/>
      <c r="AF342" s="2730">
        <v>1</v>
      </c>
    </row>
    <row r="343" spans="2:32" ht="30" customHeight="1">
      <c r="B343" s="2998"/>
      <c r="C343" s="2840"/>
      <c r="D343" s="3132"/>
      <c r="E343" s="3154"/>
      <c r="F343" s="3132"/>
      <c r="G343" s="3155"/>
      <c r="H343" s="3132"/>
      <c r="I343" s="1"/>
      <c r="M343" s="1"/>
      <c r="N343" s="3111"/>
      <c r="O343" s="3168"/>
      <c r="P343" s="3113"/>
      <c r="Q343" s="3113"/>
      <c r="R343" s="3113"/>
      <c r="S343" s="3169"/>
      <c r="T343" s="3113"/>
      <c r="V343" s="3008"/>
      <c r="W343" s="3013"/>
      <c r="X343" s="3004"/>
      <c r="Y343" s="3004"/>
      <c r="AA343" s="3008"/>
      <c r="AB343" s="2991"/>
      <c r="AC343" s="3010"/>
      <c r="AD343" s="3010"/>
      <c r="AF343" s="2730">
        <v>1</v>
      </c>
    </row>
    <row r="344" spans="2:32" ht="30" customHeight="1">
      <c r="B344" s="2998"/>
      <c r="C344" s="2840"/>
      <c r="D344" s="3132"/>
      <c r="E344" s="3154"/>
      <c r="F344" s="3132"/>
      <c r="G344" s="3155"/>
      <c r="H344" s="3132"/>
      <c r="I344" s="1"/>
      <c r="M344" s="1"/>
      <c r="N344" s="3111"/>
      <c r="O344" s="3168"/>
      <c r="P344" s="3113"/>
      <c r="Q344" s="3113"/>
      <c r="R344" s="3113"/>
      <c r="S344" s="3169"/>
      <c r="T344" s="3113"/>
      <c r="V344" s="3008"/>
      <c r="W344" s="3013"/>
      <c r="X344" s="3004"/>
      <c r="Y344" s="3004"/>
      <c r="AA344" s="3008"/>
      <c r="AB344" s="2991"/>
      <c r="AC344" s="3010"/>
      <c r="AD344" s="3010"/>
      <c r="AF344" s="2730">
        <v>1</v>
      </c>
    </row>
    <row r="345" spans="2:32" ht="30" customHeight="1">
      <c r="B345" s="2998"/>
      <c r="C345" s="2840"/>
      <c r="D345" s="3132"/>
      <c r="E345" s="3154"/>
      <c r="F345" s="3132"/>
      <c r="G345" s="3155"/>
      <c r="H345" s="3132"/>
      <c r="I345" s="1"/>
      <c r="M345" s="1"/>
      <c r="N345" s="3111"/>
      <c r="O345" s="3168"/>
      <c r="P345" s="3113"/>
      <c r="Q345" s="3113"/>
      <c r="R345" s="3113"/>
      <c r="S345" s="3169"/>
      <c r="T345" s="3113"/>
      <c r="V345" s="3008"/>
      <c r="W345" s="3013"/>
      <c r="X345" s="3004"/>
      <c r="Y345" s="3004"/>
      <c r="AA345" s="3008"/>
      <c r="AB345" s="2991"/>
      <c r="AC345" s="3010"/>
      <c r="AD345" s="3010"/>
      <c r="AF345" s="2730">
        <v>1</v>
      </c>
    </row>
    <row r="346" spans="2:32" ht="30" customHeight="1">
      <c r="B346" s="2998"/>
      <c r="C346" s="2840"/>
      <c r="D346" s="3132"/>
      <c r="E346" s="3154"/>
      <c r="F346" s="3132"/>
      <c r="G346" s="3155"/>
      <c r="H346" s="3132"/>
      <c r="I346" s="1"/>
      <c r="M346" s="1"/>
      <c r="N346" s="3111"/>
      <c r="O346" s="3168"/>
      <c r="P346" s="3113"/>
      <c r="Q346" s="3113"/>
      <c r="R346" s="3113"/>
      <c r="S346" s="3169"/>
      <c r="T346" s="3113"/>
      <c r="V346" s="3008"/>
      <c r="W346" s="3013"/>
      <c r="X346" s="3004"/>
      <c r="Y346" s="3004"/>
      <c r="AA346" s="3008"/>
      <c r="AB346" s="2991"/>
      <c r="AC346" s="3010"/>
      <c r="AD346" s="3010"/>
      <c r="AF346" s="2730">
        <v>1</v>
      </c>
    </row>
    <row r="347" spans="2:32" ht="30" customHeight="1">
      <c r="B347" s="2998"/>
      <c r="C347" s="2840"/>
      <c r="D347" s="3132"/>
      <c r="E347" s="3154"/>
      <c r="F347" s="3132"/>
      <c r="G347" s="3155"/>
      <c r="H347" s="3132"/>
      <c r="I347" s="1"/>
      <c r="M347" s="1"/>
      <c r="N347" s="3111"/>
      <c r="O347" s="3168"/>
      <c r="P347" s="3113"/>
      <c r="Q347" s="3113"/>
      <c r="R347" s="3113"/>
      <c r="S347" s="3169"/>
      <c r="T347" s="3113"/>
      <c r="V347" s="3008"/>
      <c r="W347" s="3013"/>
      <c r="X347" s="3004"/>
      <c r="Y347" s="3004"/>
      <c r="AA347" s="3008"/>
      <c r="AB347" s="2991"/>
      <c r="AC347" s="3010"/>
      <c r="AD347" s="3010"/>
      <c r="AF347" s="2730">
        <v>1</v>
      </c>
    </row>
    <row r="348" spans="2:32" ht="30" customHeight="1">
      <c r="B348" s="2998"/>
      <c r="C348" s="2840"/>
      <c r="D348" s="3132"/>
      <c r="E348" s="3154"/>
      <c r="F348" s="3132"/>
      <c r="G348" s="3155"/>
      <c r="H348" s="3132"/>
      <c r="I348" s="1"/>
      <c r="M348" s="1"/>
      <c r="N348" s="3111"/>
      <c r="O348" s="3168"/>
      <c r="P348" s="3113"/>
      <c r="Q348" s="3113"/>
      <c r="R348" s="3113"/>
      <c r="S348" s="3169"/>
      <c r="T348" s="3113"/>
      <c r="V348" s="3008"/>
      <c r="W348" s="3013"/>
      <c r="X348" s="3004"/>
      <c r="Y348" s="3004"/>
      <c r="AA348" s="3008"/>
      <c r="AB348" s="2991"/>
      <c r="AC348" s="3010"/>
      <c r="AD348" s="3010"/>
      <c r="AF348" s="2730">
        <v>1</v>
      </c>
    </row>
    <row r="349" spans="2:32" ht="30" customHeight="1">
      <c r="B349" s="2998"/>
      <c r="C349" s="2840"/>
      <c r="D349" s="3132"/>
      <c r="E349" s="3154"/>
      <c r="F349" s="3132"/>
      <c r="G349" s="3155"/>
      <c r="H349" s="3132"/>
      <c r="I349" s="1"/>
      <c r="M349" s="1"/>
      <c r="N349" s="3111"/>
      <c r="O349" s="3168"/>
      <c r="P349" s="3113"/>
      <c r="Q349" s="3113"/>
      <c r="R349" s="3113"/>
      <c r="S349" s="3169"/>
      <c r="T349" s="3113"/>
      <c r="V349" s="3008"/>
      <c r="W349" s="3013"/>
      <c r="X349" s="3004"/>
      <c r="Y349" s="3004"/>
      <c r="AA349" s="3008"/>
      <c r="AB349" s="2991"/>
      <c r="AC349" s="3010"/>
      <c r="AD349" s="3010"/>
      <c r="AF349" s="2730">
        <v>1</v>
      </c>
    </row>
    <row r="350" spans="2:32" ht="30" customHeight="1">
      <c r="B350" s="2998"/>
      <c r="C350" s="2840"/>
      <c r="D350" s="3132"/>
      <c r="E350" s="3154"/>
      <c r="F350" s="3132"/>
      <c r="G350" s="3155"/>
      <c r="H350" s="3132"/>
      <c r="I350" s="1"/>
      <c r="M350" s="1"/>
      <c r="N350" s="3111"/>
      <c r="O350" s="3168"/>
      <c r="P350" s="3113"/>
      <c r="Q350" s="3113"/>
      <c r="R350" s="3113"/>
      <c r="S350" s="3169"/>
      <c r="T350" s="3113"/>
      <c r="V350" s="3008"/>
      <c r="W350" s="3013"/>
      <c r="X350" s="3004"/>
      <c r="Y350" s="3004"/>
      <c r="AA350" s="3008"/>
      <c r="AB350" s="2991"/>
      <c r="AC350" s="3010"/>
      <c r="AD350" s="3010"/>
      <c r="AF350" s="2730">
        <v>1</v>
      </c>
    </row>
    <row r="351" spans="2:32" ht="30" customHeight="1">
      <c r="B351" s="2998"/>
      <c r="C351" s="2840"/>
      <c r="D351" s="3132"/>
      <c r="E351" s="3154"/>
      <c r="F351" s="3132"/>
      <c r="G351" s="3155"/>
      <c r="H351" s="3132"/>
      <c r="I351" s="1"/>
      <c r="M351" s="1"/>
      <c r="N351" s="3111"/>
      <c r="O351" s="3168"/>
      <c r="P351" s="3113"/>
      <c r="Q351" s="3113"/>
      <c r="R351" s="3113"/>
      <c r="S351" s="3169"/>
      <c r="T351" s="3113"/>
      <c r="V351" s="3008"/>
      <c r="W351" s="3013"/>
      <c r="X351" s="3004"/>
      <c r="Y351" s="3004"/>
      <c r="AA351" s="3008"/>
      <c r="AB351" s="2991"/>
      <c r="AC351" s="3010"/>
      <c r="AD351" s="3010"/>
      <c r="AF351" s="2730">
        <v>1</v>
      </c>
    </row>
    <row r="352" spans="2:32" ht="30" customHeight="1">
      <c r="B352" s="2998"/>
      <c r="C352" s="2840"/>
      <c r="D352" s="3132"/>
      <c r="E352" s="3154"/>
      <c r="F352" s="3132"/>
      <c r="G352" s="3155"/>
      <c r="H352" s="3132"/>
      <c r="I352" s="1"/>
      <c r="M352" s="1"/>
      <c r="N352" s="3111"/>
      <c r="O352" s="3168"/>
      <c r="P352" s="3113"/>
      <c r="Q352" s="3113"/>
      <c r="R352" s="3113"/>
      <c r="S352" s="3169"/>
      <c r="T352" s="3113"/>
      <c r="V352" s="3008"/>
      <c r="W352" s="3013"/>
      <c r="X352" s="3004"/>
      <c r="Y352" s="3004"/>
      <c r="AA352" s="3008"/>
      <c r="AB352" s="2991"/>
      <c r="AC352" s="3010"/>
      <c r="AD352" s="3010"/>
      <c r="AF352" s="2730">
        <v>1</v>
      </c>
    </row>
    <row r="353" spans="2:32" ht="30" customHeight="1">
      <c r="B353" s="2998"/>
      <c r="C353" s="2840"/>
      <c r="D353" s="3132"/>
      <c r="E353" s="3154"/>
      <c r="F353" s="3132"/>
      <c r="G353" s="3155"/>
      <c r="H353" s="3132"/>
      <c r="I353" s="1"/>
      <c r="M353" s="1"/>
      <c r="N353" s="3111"/>
      <c r="O353" s="3168"/>
      <c r="P353" s="3113"/>
      <c r="Q353" s="3113"/>
      <c r="R353" s="3113"/>
      <c r="S353" s="3169"/>
      <c r="T353" s="3113"/>
      <c r="V353" s="3008"/>
      <c r="W353" s="3013"/>
      <c r="X353" s="3004"/>
      <c r="Y353" s="3004"/>
      <c r="AA353" s="3008"/>
      <c r="AB353" s="2991"/>
      <c r="AC353" s="3010"/>
      <c r="AD353" s="3010"/>
      <c r="AF353" s="2730">
        <v>1</v>
      </c>
    </row>
    <row r="354" spans="2:32" ht="30" customHeight="1">
      <c r="B354" s="2998"/>
      <c r="C354" s="2840"/>
      <c r="D354" s="3132"/>
      <c r="E354" s="3154"/>
      <c r="F354" s="3132"/>
      <c r="G354" s="3155"/>
      <c r="H354" s="3132"/>
      <c r="I354" s="1"/>
      <c r="M354" s="1"/>
      <c r="N354" s="3111"/>
      <c r="O354" s="3168"/>
      <c r="P354" s="3113"/>
      <c r="Q354" s="3113"/>
      <c r="R354" s="3113"/>
      <c r="S354" s="3169"/>
      <c r="T354" s="3113"/>
      <c r="V354" s="3008"/>
      <c r="W354" s="3013"/>
      <c r="X354" s="3004"/>
      <c r="Y354" s="3004"/>
      <c r="AA354" s="3008"/>
      <c r="AB354" s="2991"/>
      <c r="AC354" s="3010"/>
      <c r="AD354" s="3010"/>
      <c r="AF354" s="2730">
        <v>1</v>
      </c>
    </row>
    <row r="355" spans="2:32" ht="30" customHeight="1">
      <c r="B355" s="2998"/>
      <c r="C355" s="2840"/>
      <c r="D355" s="3132"/>
      <c r="E355" s="3154"/>
      <c r="F355" s="3132"/>
      <c r="G355" s="3155"/>
      <c r="H355" s="3132"/>
      <c r="I355" s="1"/>
      <c r="M355" s="1"/>
      <c r="N355" s="3111"/>
      <c r="O355" s="3168"/>
      <c r="P355" s="3113"/>
      <c r="Q355" s="3113"/>
      <c r="R355" s="3113"/>
      <c r="S355" s="3169"/>
      <c r="T355" s="3113"/>
      <c r="V355" s="3008"/>
      <c r="W355" s="3013"/>
      <c r="X355" s="3004"/>
      <c r="Y355" s="3004"/>
      <c r="AA355" s="3008"/>
      <c r="AB355" s="2991"/>
      <c r="AC355" s="3010"/>
      <c r="AD355" s="3010"/>
      <c r="AF355" s="2730">
        <v>1</v>
      </c>
    </row>
    <row r="356" spans="2:32" ht="30" customHeight="1">
      <c r="B356" s="2998"/>
      <c r="C356" s="2840"/>
      <c r="D356" s="3132"/>
      <c r="E356" s="3154"/>
      <c r="F356" s="3132"/>
      <c r="G356" s="3155"/>
      <c r="H356" s="3132"/>
      <c r="I356" s="1"/>
      <c r="M356" s="1"/>
      <c r="N356" s="3111"/>
      <c r="O356" s="3168"/>
      <c r="P356" s="3113"/>
      <c r="Q356" s="3113"/>
      <c r="R356" s="3113"/>
      <c r="S356" s="3169"/>
      <c r="T356" s="3113"/>
      <c r="V356" s="3008"/>
      <c r="W356" s="3013"/>
      <c r="X356" s="3004"/>
      <c r="Y356" s="3004"/>
      <c r="AA356" s="3008"/>
      <c r="AB356" s="2991"/>
      <c r="AC356" s="3010"/>
      <c r="AD356" s="3010"/>
      <c r="AF356" s="2730">
        <v>1</v>
      </c>
    </row>
    <row r="357" spans="2:32" ht="30" customHeight="1">
      <c r="B357" s="2998"/>
      <c r="C357" s="2840"/>
      <c r="D357" s="3132"/>
      <c r="E357" s="3154"/>
      <c r="F357" s="3132"/>
      <c r="G357" s="3155"/>
      <c r="H357" s="3132"/>
      <c r="I357" s="1"/>
      <c r="M357" s="1"/>
      <c r="N357" s="3111"/>
      <c r="O357" s="3168"/>
      <c r="P357" s="3113"/>
      <c r="Q357" s="3113"/>
      <c r="R357" s="3113"/>
      <c r="S357" s="3169"/>
      <c r="T357" s="3113"/>
      <c r="V357" s="3008"/>
      <c r="W357" s="3013"/>
      <c r="X357" s="3004"/>
      <c r="Y357" s="3004"/>
      <c r="AA357" s="3008"/>
      <c r="AB357" s="2991"/>
      <c r="AC357" s="3010"/>
      <c r="AD357" s="3010"/>
      <c r="AF357" s="2730">
        <v>1</v>
      </c>
    </row>
    <row r="358" spans="2:32" ht="30" customHeight="1">
      <c r="B358" s="2998"/>
      <c r="C358" s="2840"/>
      <c r="D358" s="3132"/>
      <c r="E358" s="3154"/>
      <c r="F358" s="3132"/>
      <c r="G358" s="3155"/>
      <c r="H358" s="3132"/>
      <c r="I358" s="1"/>
      <c r="M358" s="1"/>
      <c r="N358" s="3111"/>
      <c r="O358" s="3168"/>
      <c r="P358" s="3113"/>
      <c r="Q358" s="3113"/>
      <c r="R358" s="3113"/>
      <c r="S358" s="3169"/>
      <c r="T358" s="3113"/>
      <c r="V358" s="3008"/>
      <c r="W358" s="3013"/>
      <c r="X358" s="3004"/>
      <c r="Y358" s="3004"/>
      <c r="AA358" s="3008"/>
      <c r="AB358" s="2991"/>
      <c r="AC358" s="3010"/>
      <c r="AD358" s="3010"/>
      <c r="AF358" s="2730">
        <v>1</v>
      </c>
    </row>
    <row r="359" spans="2:32" ht="30" customHeight="1">
      <c r="B359" s="2998"/>
      <c r="C359" s="2840"/>
      <c r="D359" s="3132"/>
      <c r="E359" s="3154"/>
      <c r="F359" s="3132"/>
      <c r="G359" s="3155"/>
      <c r="H359" s="3132"/>
      <c r="I359" s="1"/>
      <c r="M359" s="1"/>
      <c r="N359" s="3111"/>
      <c r="O359" s="3168"/>
      <c r="P359" s="3113"/>
      <c r="Q359" s="3113"/>
      <c r="R359" s="3113"/>
      <c r="S359" s="3169"/>
      <c r="T359" s="3113"/>
      <c r="V359" s="3008"/>
      <c r="W359" s="3013"/>
      <c r="X359" s="3004"/>
      <c r="Y359" s="3004"/>
      <c r="AA359" s="3008"/>
      <c r="AB359" s="2991"/>
      <c r="AC359" s="3010"/>
      <c r="AD359" s="3010"/>
      <c r="AF359" s="2730">
        <v>1</v>
      </c>
    </row>
    <row r="360" spans="2:32" ht="30" customHeight="1">
      <c r="B360" s="2998"/>
      <c r="C360" s="2840"/>
      <c r="D360" s="3132"/>
      <c r="E360" s="3154"/>
      <c r="F360" s="3132"/>
      <c r="G360" s="3155"/>
      <c r="H360" s="3132"/>
      <c r="I360" s="1"/>
      <c r="M360" s="1"/>
      <c r="N360" s="3111"/>
      <c r="O360" s="3168"/>
      <c r="P360" s="3113"/>
      <c r="Q360" s="3113"/>
      <c r="R360" s="3113"/>
      <c r="S360" s="3169"/>
      <c r="T360" s="3113"/>
      <c r="V360" s="3008"/>
      <c r="W360" s="3013"/>
      <c r="X360" s="3004"/>
      <c r="Y360" s="3004"/>
      <c r="AA360" s="3008"/>
      <c r="AB360" s="2991"/>
      <c r="AC360" s="3010"/>
      <c r="AD360" s="3010"/>
      <c r="AF360" s="2730">
        <v>1</v>
      </c>
    </row>
    <row r="361" spans="2:32" ht="30" customHeight="1">
      <c r="B361" s="2998"/>
      <c r="C361" s="2840"/>
      <c r="D361" s="3132"/>
      <c r="E361" s="3154"/>
      <c r="F361" s="3132"/>
      <c r="G361" s="3155"/>
      <c r="H361" s="3132"/>
      <c r="I361" s="1"/>
      <c r="M361" s="1"/>
      <c r="N361" s="3111"/>
      <c r="O361" s="3168"/>
      <c r="P361" s="3113"/>
      <c r="Q361" s="3113"/>
      <c r="R361" s="3113"/>
      <c r="S361" s="3169"/>
      <c r="T361" s="3113"/>
      <c r="V361" s="3008"/>
      <c r="W361" s="3013"/>
      <c r="X361" s="3004"/>
      <c r="Y361" s="3004"/>
      <c r="AA361" s="3008"/>
      <c r="AB361" s="2991"/>
      <c r="AC361" s="3010"/>
      <c r="AD361" s="3010"/>
      <c r="AF361" s="2730">
        <v>1</v>
      </c>
    </row>
    <row r="362" spans="2:32" ht="30" customHeight="1">
      <c r="B362" s="2998"/>
      <c r="C362" s="2840"/>
      <c r="D362" s="3132"/>
      <c r="E362" s="3154"/>
      <c r="F362" s="3132"/>
      <c r="G362" s="3155"/>
      <c r="H362" s="3132"/>
      <c r="I362" s="1"/>
      <c r="M362" s="1"/>
      <c r="N362" s="3111"/>
      <c r="O362" s="3168"/>
      <c r="P362" s="3113"/>
      <c r="Q362" s="3113"/>
      <c r="R362" s="3113"/>
      <c r="S362" s="3169"/>
      <c r="T362" s="3113"/>
      <c r="V362" s="3008"/>
      <c r="W362" s="3013"/>
      <c r="X362" s="3004"/>
      <c r="Y362" s="3004"/>
      <c r="AA362" s="3008"/>
      <c r="AB362" s="2991"/>
      <c r="AC362" s="3010"/>
      <c r="AD362" s="3010"/>
      <c r="AF362" s="2730">
        <v>1</v>
      </c>
    </row>
    <row r="363" spans="2:32" ht="30" customHeight="1">
      <c r="B363" s="2998"/>
      <c r="C363" s="2840"/>
      <c r="D363" s="3132"/>
      <c r="E363" s="3154"/>
      <c r="F363" s="3132"/>
      <c r="G363" s="3155"/>
      <c r="H363" s="3132"/>
      <c r="I363" s="1"/>
      <c r="M363" s="1"/>
      <c r="N363" s="3111"/>
      <c r="O363" s="3168"/>
      <c r="P363" s="3113"/>
      <c r="Q363" s="3113"/>
      <c r="R363" s="3113"/>
      <c r="S363" s="3169"/>
      <c r="T363" s="3113"/>
      <c r="V363" s="3008"/>
      <c r="W363" s="3013"/>
      <c r="X363" s="3004"/>
      <c r="Y363" s="3004"/>
      <c r="AA363" s="3008"/>
      <c r="AB363" s="2991"/>
      <c r="AC363" s="3010"/>
      <c r="AD363" s="3010"/>
      <c r="AF363" s="2730">
        <v>1</v>
      </c>
    </row>
    <row r="364" spans="2:32" ht="30" customHeight="1">
      <c r="B364" s="2998"/>
      <c r="C364" s="2840"/>
      <c r="D364" s="3132"/>
      <c r="E364" s="3154"/>
      <c r="F364" s="3132"/>
      <c r="G364" s="3155"/>
      <c r="H364" s="3132"/>
      <c r="I364" s="1"/>
      <c r="M364" s="1"/>
      <c r="N364" s="3111"/>
      <c r="O364" s="3168"/>
      <c r="P364" s="3113"/>
      <c r="Q364" s="3113"/>
      <c r="R364" s="3113"/>
      <c r="S364" s="3169"/>
      <c r="T364" s="3113"/>
      <c r="V364" s="3008"/>
      <c r="W364" s="3013"/>
      <c r="X364" s="3004"/>
      <c r="Y364" s="3004"/>
      <c r="AA364" s="3008"/>
      <c r="AB364" s="2991"/>
      <c r="AC364" s="3010"/>
      <c r="AD364" s="3010"/>
      <c r="AF364" s="2730">
        <v>1</v>
      </c>
    </row>
    <row r="365" spans="2:32" ht="30" customHeight="1">
      <c r="B365" s="2998"/>
      <c r="C365" s="2840"/>
      <c r="D365" s="3132"/>
      <c r="E365" s="3154"/>
      <c r="F365" s="3132"/>
      <c r="G365" s="3155"/>
      <c r="H365" s="3132"/>
      <c r="I365" s="1"/>
      <c r="M365" s="1"/>
      <c r="N365" s="3111"/>
      <c r="O365" s="3168"/>
      <c r="P365" s="3113"/>
      <c r="Q365" s="3113"/>
      <c r="R365" s="3113"/>
      <c r="S365" s="3169"/>
      <c r="T365" s="3113"/>
      <c r="V365" s="3008"/>
      <c r="W365" s="3013"/>
      <c r="X365" s="3004"/>
      <c r="Y365" s="3004"/>
      <c r="AA365" s="3008"/>
      <c r="AB365" s="2991"/>
      <c r="AC365" s="3010"/>
      <c r="AD365" s="3010"/>
      <c r="AF365" s="2730">
        <v>1</v>
      </c>
    </row>
    <row r="366" spans="2:32" ht="30" customHeight="1">
      <c r="B366" s="2998"/>
      <c r="C366" s="2840"/>
      <c r="D366" s="3132"/>
      <c r="E366" s="3154"/>
      <c r="F366" s="3132"/>
      <c r="G366" s="3155"/>
      <c r="H366" s="3132"/>
      <c r="I366" s="1"/>
      <c r="M366" s="1"/>
      <c r="N366" s="3111"/>
      <c r="O366" s="3168"/>
      <c r="P366" s="3113"/>
      <c r="Q366" s="3113"/>
      <c r="R366" s="3113"/>
      <c r="S366" s="3169"/>
      <c r="T366" s="3113"/>
      <c r="V366" s="3008"/>
      <c r="W366" s="3013"/>
      <c r="X366" s="3004"/>
      <c r="Y366" s="3004"/>
      <c r="AA366" s="3008"/>
      <c r="AB366" s="2991"/>
      <c r="AC366" s="3010"/>
      <c r="AD366" s="3010"/>
      <c r="AF366" s="2730">
        <v>1</v>
      </c>
    </row>
    <row r="367" spans="2:32" ht="30" customHeight="1">
      <c r="B367" s="2998"/>
      <c r="C367" s="2840"/>
      <c r="D367" s="3132"/>
      <c r="E367" s="3154"/>
      <c r="F367" s="3132"/>
      <c r="G367" s="3155"/>
      <c r="H367" s="3132"/>
      <c r="I367" s="1"/>
      <c r="M367" s="1"/>
      <c r="N367" s="3111"/>
      <c r="O367" s="3168"/>
      <c r="P367" s="3113"/>
      <c r="Q367" s="3113"/>
      <c r="R367" s="3113"/>
      <c r="S367" s="3169"/>
      <c r="T367" s="3113"/>
      <c r="V367" s="3008"/>
      <c r="W367" s="3013"/>
      <c r="X367" s="3004"/>
      <c r="Y367" s="3004"/>
      <c r="AA367" s="3008"/>
      <c r="AB367" s="2991"/>
      <c r="AC367" s="3010"/>
      <c r="AD367" s="3010"/>
      <c r="AF367" s="2730">
        <v>1</v>
      </c>
    </row>
    <row r="368" spans="2:32" ht="30" customHeight="1">
      <c r="B368" s="2998"/>
      <c r="C368" s="2840"/>
      <c r="D368" s="3132"/>
      <c r="E368" s="3154"/>
      <c r="F368" s="3132"/>
      <c r="G368" s="3155"/>
      <c r="H368" s="3132"/>
      <c r="I368" s="1"/>
      <c r="M368" s="1"/>
      <c r="N368" s="3111"/>
      <c r="O368" s="3168"/>
      <c r="P368" s="3113"/>
      <c r="Q368" s="3113"/>
      <c r="R368" s="3113"/>
      <c r="S368" s="3169"/>
      <c r="T368" s="3113"/>
      <c r="V368" s="3008"/>
      <c r="W368" s="3013"/>
      <c r="X368" s="3004"/>
      <c r="Y368" s="3004"/>
      <c r="AA368" s="3008"/>
      <c r="AB368" s="2991"/>
      <c r="AC368" s="3010"/>
      <c r="AD368" s="3010"/>
      <c r="AF368" s="2730">
        <v>1</v>
      </c>
    </row>
    <row r="369" spans="2:32" ht="30" customHeight="1">
      <c r="B369" s="2998"/>
      <c r="C369" s="2840"/>
      <c r="D369" s="3132"/>
      <c r="E369" s="3154"/>
      <c r="F369" s="3132"/>
      <c r="G369" s="3155"/>
      <c r="H369" s="3132"/>
      <c r="I369" s="1"/>
      <c r="M369" s="1"/>
      <c r="N369" s="3111"/>
      <c r="O369" s="3168"/>
      <c r="P369" s="3113"/>
      <c r="Q369" s="3113"/>
      <c r="R369" s="3113"/>
      <c r="S369" s="3169"/>
      <c r="T369" s="3113"/>
      <c r="V369" s="3008"/>
      <c r="W369" s="3013"/>
      <c r="X369" s="3004"/>
      <c r="Y369" s="3004"/>
      <c r="AA369" s="3008"/>
      <c r="AB369" s="2991"/>
      <c r="AC369" s="3010"/>
      <c r="AD369" s="3010"/>
      <c r="AF369" s="2730">
        <v>1</v>
      </c>
    </row>
    <row r="370" spans="2:32" ht="30" customHeight="1">
      <c r="B370" s="2998"/>
      <c r="C370" s="2840"/>
      <c r="D370" s="3132"/>
      <c r="E370" s="3154"/>
      <c r="F370" s="3132"/>
      <c r="G370" s="3155"/>
      <c r="H370" s="3132"/>
      <c r="I370" s="1"/>
      <c r="M370" s="1"/>
      <c r="N370" s="3111"/>
      <c r="O370" s="3168"/>
      <c r="P370" s="3113"/>
      <c r="Q370" s="3113"/>
      <c r="R370" s="3113"/>
      <c r="S370" s="3169"/>
      <c r="T370" s="3113"/>
      <c r="V370" s="3008"/>
      <c r="W370" s="3013"/>
      <c r="X370" s="3004"/>
      <c r="Y370" s="3004"/>
      <c r="AA370" s="3008"/>
      <c r="AB370" s="2991"/>
      <c r="AC370" s="3010"/>
      <c r="AD370" s="3010"/>
      <c r="AF370" s="2730">
        <v>1</v>
      </c>
    </row>
    <row r="371" spans="2:32" ht="30" customHeight="1">
      <c r="B371" s="2998"/>
      <c r="C371" s="2840"/>
      <c r="D371" s="3132"/>
      <c r="E371" s="3154"/>
      <c r="F371" s="3132"/>
      <c r="G371" s="3155"/>
      <c r="H371" s="3132"/>
      <c r="I371" s="1"/>
      <c r="M371" s="1"/>
      <c r="N371" s="3111"/>
      <c r="O371" s="3168"/>
      <c r="P371" s="3113"/>
      <c r="Q371" s="3113"/>
      <c r="R371" s="3113"/>
      <c r="S371" s="3169"/>
      <c r="T371" s="3113"/>
      <c r="V371" s="3008"/>
      <c r="W371" s="3013"/>
      <c r="X371" s="3004"/>
      <c r="Y371" s="3004"/>
      <c r="AA371" s="3008"/>
      <c r="AB371" s="2991"/>
      <c r="AC371" s="3010"/>
      <c r="AD371" s="3010"/>
      <c r="AF371" s="2730">
        <v>1</v>
      </c>
    </row>
    <row r="372" spans="2:32" ht="30" customHeight="1">
      <c r="B372" s="2998"/>
      <c r="C372" s="2840"/>
      <c r="D372" s="3132"/>
      <c r="E372" s="3154"/>
      <c r="F372" s="3132"/>
      <c r="G372" s="3155"/>
      <c r="H372" s="3132"/>
      <c r="I372" s="1"/>
      <c r="M372" s="1"/>
      <c r="N372" s="3111"/>
      <c r="O372" s="3168"/>
      <c r="P372" s="3113"/>
      <c r="Q372" s="3113"/>
      <c r="R372" s="3113"/>
      <c r="S372" s="3169"/>
      <c r="T372" s="3113"/>
      <c r="V372" s="3008"/>
      <c r="W372" s="3013"/>
      <c r="X372" s="3004"/>
      <c r="Y372" s="3004"/>
      <c r="AA372" s="3008"/>
      <c r="AB372" s="2991"/>
      <c r="AC372" s="3010"/>
      <c r="AD372" s="3010"/>
      <c r="AF372" s="2730">
        <v>1</v>
      </c>
    </row>
    <row r="373" spans="2:32" ht="30" customHeight="1">
      <c r="B373" s="2998"/>
      <c r="C373" s="2840"/>
      <c r="D373" s="3132"/>
      <c r="E373" s="3154"/>
      <c r="F373" s="3132"/>
      <c r="G373" s="3155"/>
      <c r="H373" s="3132"/>
      <c r="I373" s="1"/>
      <c r="M373" s="1"/>
      <c r="N373" s="3111"/>
      <c r="O373" s="3168"/>
      <c r="P373" s="3113"/>
      <c r="Q373" s="3113"/>
      <c r="R373" s="3113"/>
      <c r="S373" s="3169"/>
      <c r="T373" s="3113"/>
      <c r="V373" s="3008"/>
      <c r="W373" s="3013"/>
      <c r="X373" s="3004"/>
      <c r="Y373" s="3004"/>
      <c r="AA373" s="3008"/>
      <c r="AB373" s="2991"/>
      <c r="AC373" s="3010"/>
      <c r="AD373" s="3010"/>
      <c r="AF373" s="2730">
        <v>1</v>
      </c>
    </row>
    <row r="374" spans="2:32" ht="30" customHeight="1">
      <c r="B374" s="2998"/>
      <c r="C374" s="2840"/>
      <c r="D374" s="3132"/>
      <c r="E374" s="3154"/>
      <c r="F374" s="3132"/>
      <c r="G374" s="3155"/>
      <c r="H374" s="3132"/>
      <c r="I374" s="1"/>
      <c r="M374" s="1"/>
      <c r="N374" s="3111"/>
      <c r="O374" s="3168"/>
      <c r="P374" s="3113"/>
      <c r="Q374" s="3113"/>
      <c r="R374" s="3113"/>
      <c r="S374" s="3169"/>
      <c r="T374" s="3113"/>
      <c r="V374" s="3008"/>
      <c r="W374" s="3013"/>
      <c r="X374" s="3004"/>
      <c r="Y374" s="3004"/>
      <c r="AA374" s="3008"/>
      <c r="AB374" s="2991"/>
      <c r="AC374" s="3010"/>
      <c r="AD374" s="3010"/>
      <c r="AF374" s="2730">
        <v>1</v>
      </c>
    </row>
    <row r="375" spans="2:32" ht="30" customHeight="1">
      <c r="B375" s="2998"/>
      <c r="C375" s="2840"/>
      <c r="D375" s="3132"/>
      <c r="E375" s="3154"/>
      <c r="F375" s="3132"/>
      <c r="G375" s="3155"/>
      <c r="H375" s="3132"/>
      <c r="I375" s="1"/>
      <c r="M375" s="1"/>
      <c r="N375" s="3111"/>
      <c r="O375" s="3168"/>
      <c r="P375" s="3113"/>
      <c r="Q375" s="3113"/>
      <c r="R375" s="3113"/>
      <c r="S375" s="3169"/>
      <c r="T375" s="3113"/>
      <c r="V375" s="3008"/>
      <c r="W375" s="3013"/>
      <c r="X375" s="3004"/>
      <c r="Y375" s="3004"/>
      <c r="AA375" s="3008"/>
      <c r="AB375" s="2991"/>
      <c r="AC375" s="3010"/>
      <c r="AD375" s="3010"/>
      <c r="AF375" s="2730">
        <v>1</v>
      </c>
    </row>
    <row r="376" spans="2:32" ht="30" customHeight="1">
      <c r="B376" s="2998"/>
      <c r="C376" s="2840"/>
      <c r="D376" s="3132"/>
      <c r="E376" s="3154"/>
      <c r="F376" s="3132"/>
      <c r="G376" s="3155"/>
      <c r="H376" s="3132"/>
      <c r="I376" s="1"/>
      <c r="M376" s="1"/>
      <c r="N376" s="3111"/>
      <c r="O376" s="3168"/>
      <c r="P376" s="3113"/>
      <c r="Q376" s="3113"/>
      <c r="R376" s="3113"/>
      <c r="S376" s="3169"/>
      <c r="T376" s="3113"/>
      <c r="V376" s="3008"/>
      <c r="W376" s="3013"/>
      <c r="X376" s="3004"/>
      <c r="Y376" s="3004"/>
      <c r="AA376" s="3008"/>
      <c r="AB376" s="2991"/>
      <c r="AC376" s="3010"/>
      <c r="AD376" s="3010"/>
      <c r="AF376" s="2730">
        <v>1</v>
      </c>
    </row>
    <row r="377" spans="2:32" ht="30" customHeight="1">
      <c r="B377" s="2998"/>
      <c r="C377" s="2840"/>
      <c r="D377" s="3132"/>
      <c r="E377" s="3154"/>
      <c r="F377" s="3132"/>
      <c r="G377" s="3155"/>
      <c r="H377" s="3132"/>
      <c r="I377" s="1"/>
      <c r="M377" s="1"/>
      <c r="N377" s="3111"/>
      <c r="O377" s="3168"/>
      <c r="P377" s="3113"/>
      <c r="Q377" s="3113"/>
      <c r="R377" s="3113"/>
      <c r="S377" s="3169"/>
      <c r="T377" s="3113"/>
      <c r="V377" s="3008"/>
      <c r="W377" s="3013"/>
      <c r="X377" s="3004"/>
      <c r="Y377" s="3004"/>
      <c r="AA377" s="3008"/>
      <c r="AB377" s="2991"/>
      <c r="AC377" s="3010"/>
      <c r="AD377" s="3010"/>
      <c r="AF377" s="2730">
        <v>1</v>
      </c>
    </row>
    <row r="378" spans="2:32" ht="30" customHeight="1">
      <c r="B378" s="2998"/>
      <c r="C378" s="2840"/>
      <c r="D378" s="3132"/>
      <c r="E378" s="3154"/>
      <c r="F378" s="3132"/>
      <c r="G378" s="3155"/>
      <c r="H378" s="3132"/>
      <c r="I378" s="1"/>
      <c r="M378" s="1"/>
      <c r="N378" s="3111"/>
      <c r="O378" s="3168"/>
      <c r="P378" s="3113"/>
      <c r="Q378" s="3113"/>
      <c r="R378" s="3113"/>
      <c r="S378" s="3169"/>
      <c r="T378" s="3113"/>
      <c r="V378" s="3008"/>
      <c r="W378" s="3013"/>
      <c r="X378" s="3004"/>
      <c r="Y378" s="3004"/>
      <c r="AA378" s="3008"/>
      <c r="AB378" s="2991"/>
      <c r="AC378" s="3010"/>
      <c r="AD378" s="3010"/>
      <c r="AF378" s="2730">
        <v>1</v>
      </c>
    </row>
    <row r="379" spans="2:32" ht="30" customHeight="1">
      <c r="B379" s="2998"/>
      <c r="C379" s="2840"/>
      <c r="D379" s="3132"/>
      <c r="E379" s="3154"/>
      <c r="F379" s="3132"/>
      <c r="G379" s="3155"/>
      <c r="H379" s="3132"/>
      <c r="I379" s="1"/>
      <c r="M379" s="1"/>
      <c r="N379" s="3111"/>
      <c r="O379" s="3168"/>
      <c r="P379" s="3113"/>
      <c r="Q379" s="3113"/>
      <c r="R379" s="3113"/>
      <c r="S379" s="3169"/>
      <c r="T379" s="3113"/>
      <c r="V379" s="3008"/>
      <c r="W379" s="3013"/>
      <c r="X379" s="3004"/>
      <c r="Y379" s="3004"/>
      <c r="AA379" s="3008"/>
      <c r="AB379" s="2991"/>
      <c r="AC379" s="3010"/>
      <c r="AD379" s="3010"/>
      <c r="AF379" s="2730">
        <v>1</v>
      </c>
    </row>
    <row r="380" spans="2:32" ht="30" customHeight="1">
      <c r="B380" s="2998"/>
      <c r="C380" s="2840"/>
      <c r="D380" s="3132"/>
      <c r="E380" s="3154"/>
      <c r="F380" s="3132"/>
      <c r="G380" s="3155"/>
      <c r="H380" s="3132"/>
      <c r="I380" s="1"/>
      <c r="M380" s="1"/>
      <c r="N380" s="3111"/>
      <c r="O380" s="3168"/>
      <c r="P380" s="3113"/>
      <c r="Q380" s="3113"/>
      <c r="R380" s="3113"/>
      <c r="S380" s="3169"/>
      <c r="T380" s="3113"/>
      <c r="V380" s="3008"/>
      <c r="W380" s="3013"/>
      <c r="X380" s="3004"/>
      <c r="Y380" s="3004"/>
      <c r="AA380" s="3008"/>
      <c r="AB380" s="2991"/>
      <c r="AC380" s="3010"/>
      <c r="AD380" s="3010"/>
      <c r="AF380" s="2730">
        <v>1</v>
      </c>
    </row>
    <row r="381" spans="2:32" ht="30" customHeight="1">
      <c r="B381" s="2998"/>
      <c r="C381" s="2840"/>
      <c r="D381" s="3132"/>
      <c r="E381" s="3154"/>
      <c r="F381" s="3132"/>
      <c r="G381" s="3155"/>
      <c r="H381" s="3132"/>
      <c r="I381" s="1"/>
      <c r="M381" s="1"/>
      <c r="N381" s="3111"/>
      <c r="O381" s="3168"/>
      <c r="P381" s="3113"/>
      <c r="Q381" s="3113"/>
      <c r="R381" s="3113"/>
      <c r="S381" s="3169"/>
      <c r="T381" s="3113"/>
      <c r="V381" s="3008"/>
      <c r="W381" s="3013"/>
      <c r="X381" s="3004"/>
      <c r="Y381" s="3004"/>
      <c r="AA381" s="3008"/>
      <c r="AB381" s="2991"/>
      <c r="AC381" s="3010"/>
      <c r="AD381" s="3010"/>
      <c r="AF381" s="2730">
        <v>1</v>
      </c>
    </row>
    <row r="382" spans="2:32" ht="30" customHeight="1">
      <c r="B382" s="2998"/>
      <c r="C382" s="2840"/>
      <c r="D382" s="3132"/>
      <c r="E382" s="3154"/>
      <c r="F382" s="3132"/>
      <c r="G382" s="3155"/>
      <c r="H382" s="3132"/>
      <c r="I382" s="1"/>
      <c r="M382" s="1"/>
      <c r="N382" s="3111"/>
      <c r="O382" s="3168"/>
      <c r="P382" s="3113"/>
      <c r="Q382" s="3113"/>
      <c r="R382" s="3113"/>
      <c r="S382" s="3169"/>
      <c r="T382" s="3113"/>
      <c r="V382" s="3008"/>
      <c r="W382" s="3013"/>
      <c r="X382" s="3004"/>
      <c r="Y382" s="3004"/>
      <c r="AA382" s="3008"/>
      <c r="AB382" s="2991"/>
      <c r="AC382" s="3010"/>
      <c r="AD382" s="3010"/>
      <c r="AF382" s="2730">
        <v>1</v>
      </c>
    </row>
    <row r="383" spans="2:32" ht="30" customHeight="1">
      <c r="B383" s="2998"/>
      <c r="C383" s="2840"/>
      <c r="D383" s="3132"/>
      <c r="E383" s="3154"/>
      <c r="F383" s="3132"/>
      <c r="G383" s="3155"/>
      <c r="H383" s="3132"/>
      <c r="I383" s="1"/>
      <c r="M383" s="1"/>
      <c r="N383" s="3111"/>
      <c r="O383" s="3168"/>
      <c r="P383" s="3113"/>
      <c r="Q383" s="3113"/>
      <c r="R383" s="3113"/>
      <c r="S383" s="3169"/>
      <c r="T383" s="3113"/>
      <c r="V383" s="3008"/>
      <c r="W383" s="3013"/>
      <c r="X383" s="3004"/>
      <c r="Y383" s="3004"/>
      <c r="AA383" s="3008"/>
      <c r="AB383" s="2991"/>
      <c r="AC383" s="3010"/>
      <c r="AD383" s="3010"/>
      <c r="AF383" s="2730">
        <v>1</v>
      </c>
    </row>
    <row r="384" spans="2:32" ht="30" customHeight="1">
      <c r="B384" s="2998"/>
      <c r="C384" s="2840"/>
      <c r="D384" s="3132"/>
      <c r="E384" s="3154"/>
      <c r="F384" s="3132"/>
      <c r="G384" s="3155"/>
      <c r="H384" s="3132"/>
      <c r="I384" s="1"/>
      <c r="M384" s="1"/>
      <c r="N384" s="3111"/>
      <c r="O384" s="3168"/>
      <c r="P384" s="3113"/>
      <c r="Q384" s="3113"/>
      <c r="R384" s="3113"/>
      <c r="S384" s="3169"/>
      <c r="T384" s="3113"/>
      <c r="V384" s="3008"/>
      <c r="W384" s="3013"/>
      <c r="X384" s="3004"/>
      <c r="Y384" s="3004"/>
      <c r="AA384" s="3008"/>
      <c r="AB384" s="2991"/>
      <c r="AC384" s="3010"/>
      <c r="AD384" s="3010"/>
      <c r="AF384" s="2730">
        <v>1</v>
      </c>
    </row>
    <row r="385" spans="2:32" ht="30" customHeight="1">
      <c r="B385" s="2998"/>
      <c r="C385" s="2840"/>
      <c r="D385" s="3132"/>
      <c r="E385" s="3154"/>
      <c r="F385" s="3132"/>
      <c r="G385" s="3155"/>
      <c r="H385" s="3132"/>
      <c r="I385" s="1"/>
      <c r="M385" s="1"/>
      <c r="N385" s="3111"/>
      <c r="O385" s="3168"/>
      <c r="P385" s="3113"/>
      <c r="Q385" s="3113"/>
      <c r="R385" s="3113"/>
      <c r="S385" s="3169"/>
      <c r="T385" s="3113"/>
      <c r="V385" s="3008"/>
      <c r="W385" s="3013"/>
      <c r="X385" s="3004"/>
      <c r="Y385" s="3004"/>
      <c r="AA385" s="3008"/>
      <c r="AB385" s="2991"/>
      <c r="AC385" s="3010"/>
      <c r="AD385" s="3010"/>
      <c r="AF385" s="2730">
        <v>1</v>
      </c>
    </row>
    <row r="386" spans="2:32" ht="30" customHeight="1">
      <c r="B386" s="2998"/>
      <c r="C386" s="2840"/>
      <c r="D386" s="3132"/>
      <c r="E386" s="3154"/>
      <c r="F386" s="3132"/>
      <c r="G386" s="3155"/>
      <c r="H386" s="3132"/>
      <c r="I386" s="1"/>
      <c r="M386" s="1"/>
      <c r="N386" s="3111"/>
      <c r="O386" s="3168"/>
      <c r="P386" s="3113"/>
      <c r="Q386" s="3113"/>
      <c r="R386" s="3113"/>
      <c r="S386" s="3169"/>
      <c r="T386" s="3113"/>
      <c r="V386" s="3008"/>
      <c r="W386" s="3013"/>
      <c r="X386" s="3004"/>
      <c r="Y386" s="3004"/>
      <c r="AA386" s="3008"/>
      <c r="AB386" s="2991"/>
      <c r="AC386" s="3010"/>
      <c r="AD386" s="3010"/>
      <c r="AF386" s="2730">
        <v>1</v>
      </c>
    </row>
    <row r="387" spans="2:32" ht="30" customHeight="1">
      <c r="B387" s="2998"/>
      <c r="C387" s="2840"/>
      <c r="D387" s="3132"/>
      <c r="E387" s="3154"/>
      <c r="F387" s="3132"/>
      <c r="G387" s="3155"/>
      <c r="H387" s="3132"/>
      <c r="I387" s="1"/>
      <c r="M387" s="1"/>
      <c r="N387" s="3111"/>
      <c r="O387" s="3168"/>
      <c r="P387" s="3113"/>
      <c r="Q387" s="3113"/>
      <c r="R387" s="3113"/>
      <c r="S387" s="3169"/>
      <c r="T387" s="3113"/>
      <c r="V387" s="3008"/>
      <c r="W387" s="3013"/>
      <c r="X387" s="3004"/>
      <c r="Y387" s="3004"/>
      <c r="AA387" s="3008"/>
      <c r="AB387" s="2991"/>
      <c r="AC387" s="3010"/>
      <c r="AD387" s="3010"/>
      <c r="AF387" s="2730">
        <v>1</v>
      </c>
    </row>
    <row r="388" spans="2:32" ht="30" customHeight="1">
      <c r="B388" s="2998"/>
      <c r="C388" s="2840"/>
      <c r="D388" s="3132"/>
      <c r="E388" s="3154"/>
      <c r="F388" s="3132"/>
      <c r="G388" s="3155"/>
      <c r="H388" s="3132"/>
      <c r="I388" s="1"/>
      <c r="M388" s="1"/>
      <c r="N388" s="3111"/>
      <c r="O388" s="3168"/>
      <c r="P388" s="3113"/>
      <c r="Q388" s="3113"/>
      <c r="R388" s="3113"/>
      <c r="S388" s="3169"/>
      <c r="T388" s="3113"/>
      <c r="V388" s="3008"/>
      <c r="W388" s="3013"/>
      <c r="X388" s="3004"/>
      <c r="Y388" s="3004"/>
      <c r="AA388" s="3008"/>
      <c r="AB388" s="2991"/>
      <c r="AC388" s="3010"/>
      <c r="AD388" s="3010"/>
      <c r="AF388" s="2730">
        <v>1</v>
      </c>
    </row>
    <row r="389" spans="2:32" ht="30" customHeight="1">
      <c r="B389" s="2998"/>
      <c r="C389" s="2840"/>
      <c r="D389" s="3132"/>
      <c r="E389" s="3154"/>
      <c r="F389" s="3132"/>
      <c r="G389" s="3155"/>
      <c r="H389" s="3132"/>
      <c r="I389" s="1"/>
      <c r="M389" s="1"/>
      <c r="N389" s="3111"/>
      <c r="O389" s="3168"/>
      <c r="P389" s="3113"/>
      <c r="Q389" s="3113"/>
      <c r="R389" s="3113"/>
      <c r="S389" s="3169"/>
      <c r="T389" s="3113"/>
      <c r="V389" s="3008"/>
      <c r="W389" s="3013"/>
      <c r="X389" s="3004"/>
      <c r="Y389" s="3004"/>
      <c r="AA389" s="3008"/>
      <c r="AB389" s="2991"/>
      <c r="AC389" s="3010"/>
      <c r="AD389" s="3010"/>
      <c r="AF389" s="2730">
        <v>1</v>
      </c>
    </row>
    <row r="390" spans="2:32" ht="30" customHeight="1">
      <c r="B390" s="2998"/>
      <c r="C390" s="2840"/>
      <c r="D390" s="3132"/>
      <c r="E390" s="3154"/>
      <c r="F390" s="3132"/>
      <c r="G390" s="3155"/>
      <c r="H390" s="3132"/>
      <c r="I390" s="1"/>
      <c r="M390" s="1"/>
      <c r="N390" s="3111"/>
      <c r="O390" s="3168"/>
      <c r="P390" s="3113"/>
      <c r="Q390" s="3113"/>
      <c r="R390" s="3113"/>
      <c r="S390" s="3169"/>
      <c r="T390" s="3113"/>
      <c r="V390" s="3008"/>
      <c r="W390" s="3013"/>
      <c r="X390" s="3004"/>
      <c r="Y390" s="3004"/>
      <c r="AA390" s="3008"/>
      <c r="AB390" s="2991"/>
      <c r="AC390" s="3010"/>
      <c r="AD390" s="3010"/>
      <c r="AF390" s="2730">
        <v>1</v>
      </c>
    </row>
    <row r="391" spans="2:32" ht="30" customHeight="1">
      <c r="B391" s="2998"/>
      <c r="C391" s="2840"/>
      <c r="D391" s="3132"/>
      <c r="E391" s="3154"/>
      <c r="F391" s="3132"/>
      <c r="G391" s="3155"/>
      <c r="H391" s="3132"/>
      <c r="I391" s="1"/>
      <c r="M391" s="1"/>
      <c r="N391" s="3111"/>
      <c r="O391" s="3168"/>
      <c r="P391" s="3113"/>
      <c r="Q391" s="3113"/>
      <c r="R391" s="3113"/>
      <c r="S391" s="3169"/>
      <c r="T391" s="3113"/>
      <c r="V391" s="3008"/>
      <c r="W391" s="3013"/>
      <c r="X391" s="3004"/>
      <c r="Y391" s="3004"/>
      <c r="AA391" s="3008"/>
      <c r="AB391" s="2991"/>
      <c r="AC391" s="3010"/>
      <c r="AD391" s="3010"/>
      <c r="AF391" s="2730">
        <v>1</v>
      </c>
    </row>
    <row r="392" spans="2:32" ht="30" customHeight="1">
      <c r="B392" s="2998"/>
      <c r="C392" s="2840"/>
      <c r="D392" s="3132"/>
      <c r="E392" s="3154"/>
      <c r="F392" s="3132"/>
      <c r="G392" s="3155"/>
      <c r="H392" s="3132"/>
      <c r="I392" s="1"/>
      <c r="M392" s="1"/>
      <c r="N392" s="3111"/>
      <c r="O392" s="3168"/>
      <c r="P392" s="3113"/>
      <c r="Q392" s="3113"/>
      <c r="R392" s="3113"/>
      <c r="S392" s="3169"/>
      <c r="T392" s="3113"/>
      <c r="V392" s="3008"/>
      <c r="W392" s="3013"/>
      <c r="X392" s="3004"/>
      <c r="Y392" s="3004"/>
      <c r="AA392" s="3008"/>
      <c r="AB392" s="2991"/>
      <c r="AC392" s="3010"/>
      <c r="AD392" s="3010"/>
      <c r="AF392" s="2730">
        <v>1</v>
      </c>
    </row>
    <row r="393" spans="2:32" ht="30" customHeight="1">
      <c r="B393" s="2998"/>
      <c r="C393" s="2840"/>
      <c r="D393" s="3132"/>
      <c r="E393" s="3154"/>
      <c r="F393" s="3132"/>
      <c r="G393" s="3155"/>
      <c r="H393" s="3132"/>
      <c r="I393" s="1"/>
      <c r="M393" s="1"/>
      <c r="N393" s="3111"/>
      <c r="O393" s="3168"/>
      <c r="P393" s="3113"/>
      <c r="Q393" s="3113"/>
      <c r="R393" s="3113"/>
      <c r="S393" s="3169"/>
      <c r="T393" s="3113"/>
      <c r="V393" s="3008"/>
      <c r="W393" s="3013"/>
      <c r="X393" s="3004"/>
      <c r="Y393" s="3004"/>
      <c r="AA393" s="3008"/>
      <c r="AB393" s="2991"/>
      <c r="AC393" s="3010"/>
      <c r="AD393" s="3010"/>
      <c r="AF393" s="2730">
        <v>1</v>
      </c>
    </row>
    <row r="394" spans="2:32" ht="30" customHeight="1">
      <c r="B394" s="2998"/>
      <c r="C394" s="2840"/>
      <c r="D394" s="3132"/>
      <c r="E394" s="3154"/>
      <c r="F394" s="3132"/>
      <c r="G394" s="3155"/>
      <c r="H394" s="3132"/>
      <c r="I394" s="1"/>
      <c r="M394" s="1"/>
      <c r="N394" s="3111"/>
      <c r="O394" s="3168"/>
      <c r="P394" s="3113"/>
      <c r="Q394" s="3113"/>
      <c r="R394" s="3113"/>
      <c r="S394" s="3169"/>
      <c r="T394" s="3113"/>
      <c r="V394" s="3008"/>
      <c r="W394" s="3013"/>
      <c r="X394" s="3004"/>
      <c r="Y394" s="3004"/>
      <c r="AA394" s="3008"/>
      <c r="AB394" s="2991"/>
      <c r="AC394" s="3010"/>
      <c r="AD394" s="3010"/>
      <c r="AF394" s="2730">
        <v>1</v>
      </c>
    </row>
    <row r="395" spans="2:32" ht="30" customHeight="1">
      <c r="B395" s="2998"/>
      <c r="C395" s="2840"/>
      <c r="D395" s="3132"/>
      <c r="E395" s="3154"/>
      <c r="F395" s="3132"/>
      <c r="G395" s="3155"/>
      <c r="H395" s="3132"/>
      <c r="I395" s="1"/>
      <c r="M395" s="1"/>
      <c r="N395" s="3111"/>
      <c r="O395" s="3168"/>
      <c r="P395" s="3113"/>
      <c r="Q395" s="3113"/>
      <c r="R395" s="3113"/>
      <c r="S395" s="3169"/>
      <c r="T395" s="3113"/>
      <c r="V395" s="3008"/>
      <c r="W395" s="3013"/>
      <c r="X395" s="3004"/>
      <c r="Y395" s="3004"/>
      <c r="AA395" s="3008"/>
      <c r="AB395" s="2991"/>
      <c r="AC395" s="3010"/>
      <c r="AD395" s="3010"/>
      <c r="AF395" s="2730">
        <v>1</v>
      </c>
    </row>
    <row r="396" spans="2:32" ht="30" customHeight="1">
      <c r="B396" s="2998"/>
      <c r="C396" s="2840"/>
      <c r="D396" s="3132"/>
      <c r="E396" s="3154"/>
      <c r="F396" s="3132"/>
      <c r="G396" s="3155"/>
      <c r="H396" s="3132"/>
      <c r="I396" s="1"/>
      <c r="M396" s="1"/>
      <c r="N396" s="3111"/>
      <c r="O396" s="3168"/>
      <c r="P396" s="3113"/>
      <c r="Q396" s="3113"/>
      <c r="R396" s="3113"/>
      <c r="S396" s="3169"/>
      <c r="T396" s="3113"/>
      <c r="V396" s="3008"/>
      <c r="W396" s="3013"/>
      <c r="X396" s="3004"/>
      <c r="Y396" s="3004"/>
      <c r="AA396" s="3008"/>
      <c r="AB396" s="2991"/>
      <c r="AC396" s="3010"/>
      <c r="AD396" s="3010"/>
      <c r="AF396" s="2730">
        <v>1</v>
      </c>
    </row>
    <row r="397" spans="2:32" ht="30" customHeight="1">
      <c r="B397" s="2998"/>
      <c r="C397" s="2840"/>
      <c r="D397" s="3132"/>
      <c r="E397" s="3154"/>
      <c r="F397" s="3132"/>
      <c r="G397" s="3155"/>
      <c r="H397" s="3132"/>
      <c r="I397" s="1"/>
      <c r="M397" s="1"/>
      <c r="N397" s="3111"/>
      <c r="O397" s="3168"/>
      <c r="P397" s="3113"/>
      <c r="Q397" s="3113"/>
      <c r="R397" s="3113"/>
      <c r="S397" s="3169"/>
      <c r="T397" s="3113"/>
      <c r="V397" s="3008"/>
      <c r="W397" s="3013"/>
      <c r="X397" s="3004"/>
      <c r="Y397" s="3004"/>
      <c r="AA397" s="3008"/>
      <c r="AB397" s="2991"/>
      <c r="AC397" s="3010"/>
      <c r="AD397" s="3010"/>
      <c r="AF397" s="2730">
        <v>1</v>
      </c>
    </row>
    <row r="398" spans="2:32" ht="30" customHeight="1">
      <c r="B398" s="2998"/>
      <c r="C398" s="2840"/>
      <c r="D398" s="3132"/>
      <c r="E398" s="3154"/>
      <c r="F398" s="3132"/>
      <c r="G398" s="3155"/>
      <c r="H398" s="3132"/>
      <c r="I398" s="1"/>
      <c r="M398" s="1"/>
      <c r="N398" s="3111"/>
      <c r="O398" s="3168"/>
      <c r="P398" s="3113"/>
      <c r="Q398" s="3113"/>
      <c r="R398" s="3113"/>
      <c r="S398" s="3169"/>
      <c r="T398" s="3113"/>
      <c r="V398" s="3008"/>
      <c r="W398" s="3013"/>
      <c r="X398" s="3004"/>
      <c r="Y398" s="3004"/>
      <c r="AA398" s="3008"/>
      <c r="AB398" s="2991"/>
      <c r="AC398" s="3010"/>
      <c r="AD398" s="3010"/>
      <c r="AF398" s="2730">
        <v>1</v>
      </c>
    </row>
    <row r="399" spans="2:32" ht="30" customHeight="1">
      <c r="B399" s="2998"/>
      <c r="C399" s="2840"/>
      <c r="D399" s="3132"/>
      <c r="E399" s="3154"/>
      <c r="F399" s="3132"/>
      <c r="G399" s="3155"/>
      <c r="H399" s="3132"/>
      <c r="I399" s="1"/>
      <c r="M399" s="1"/>
      <c r="N399" s="3111"/>
      <c r="O399" s="3168"/>
      <c r="P399" s="3113"/>
      <c r="Q399" s="3113"/>
      <c r="R399" s="3113"/>
      <c r="S399" s="3169"/>
      <c r="T399" s="3113"/>
      <c r="V399" s="3008"/>
      <c r="W399" s="3013"/>
      <c r="X399" s="3004"/>
      <c r="Y399" s="3004"/>
      <c r="AA399" s="3008"/>
      <c r="AB399" s="2991"/>
      <c r="AC399" s="3010"/>
      <c r="AD399" s="3010"/>
      <c r="AF399" s="2730">
        <v>1</v>
      </c>
    </row>
    <row r="400" spans="2:32" ht="30" customHeight="1">
      <c r="B400" s="2998"/>
      <c r="C400" s="2840"/>
      <c r="D400" s="3132"/>
      <c r="E400" s="3154"/>
      <c r="F400" s="3132"/>
      <c r="G400" s="3155"/>
      <c r="H400" s="3132"/>
      <c r="I400" s="1"/>
      <c r="M400" s="1"/>
      <c r="N400" s="3111"/>
      <c r="O400" s="3168"/>
      <c r="P400" s="3113"/>
      <c r="Q400" s="3113"/>
      <c r="R400" s="3113"/>
      <c r="S400" s="3169"/>
      <c r="T400" s="3113"/>
      <c r="V400" s="3008"/>
      <c r="W400" s="3013"/>
      <c r="X400" s="3004"/>
      <c r="Y400" s="3004"/>
      <c r="AA400" s="3008"/>
      <c r="AB400" s="2991"/>
      <c r="AC400" s="3010"/>
      <c r="AD400" s="3010"/>
      <c r="AF400" s="2730">
        <v>1</v>
      </c>
    </row>
    <row r="401" spans="2:32" ht="30" customHeight="1">
      <c r="B401" s="2998"/>
      <c r="C401" s="2840"/>
      <c r="D401" s="3132"/>
      <c r="E401" s="3154"/>
      <c r="F401" s="3132"/>
      <c r="G401" s="3155"/>
      <c r="H401" s="3132"/>
      <c r="I401" s="1"/>
      <c r="M401" s="1"/>
      <c r="N401" s="3111"/>
      <c r="O401" s="3168"/>
      <c r="P401" s="3113"/>
      <c r="Q401" s="3113"/>
      <c r="R401" s="3113"/>
      <c r="S401" s="3169"/>
      <c r="T401" s="3113"/>
      <c r="V401" s="3008"/>
      <c r="W401" s="3013"/>
      <c r="X401" s="3004"/>
      <c r="Y401" s="3004"/>
      <c r="AA401" s="3008"/>
      <c r="AB401" s="2991"/>
      <c r="AC401" s="3010"/>
      <c r="AD401" s="3010"/>
      <c r="AF401" s="2730">
        <v>1</v>
      </c>
    </row>
    <row r="402" spans="2:32" ht="30" customHeight="1">
      <c r="B402" s="2998"/>
      <c r="C402" s="2840"/>
      <c r="D402" s="3132"/>
      <c r="E402" s="3154"/>
      <c r="F402" s="3132"/>
      <c r="G402" s="3155"/>
      <c r="H402" s="3132"/>
      <c r="I402" s="1"/>
      <c r="M402" s="1"/>
      <c r="N402" s="3111"/>
      <c r="O402" s="3168"/>
      <c r="P402" s="3113"/>
      <c r="Q402" s="3113"/>
      <c r="R402" s="3113"/>
      <c r="S402" s="3169"/>
      <c r="T402" s="3113"/>
      <c r="V402" s="3008"/>
      <c r="W402" s="3013"/>
      <c r="X402" s="3004"/>
      <c r="Y402" s="3004"/>
      <c r="AA402" s="3008"/>
      <c r="AB402" s="2991"/>
      <c r="AC402" s="3010"/>
      <c r="AD402" s="3010"/>
      <c r="AF402" s="2730">
        <v>1</v>
      </c>
    </row>
    <row r="403" spans="2:32" ht="30" customHeight="1">
      <c r="B403" s="2998"/>
      <c r="C403" s="2840"/>
      <c r="D403" s="3132"/>
      <c r="E403" s="3154"/>
      <c r="F403" s="3132"/>
      <c r="G403" s="3155"/>
      <c r="H403" s="3132"/>
      <c r="I403" s="1"/>
      <c r="M403" s="1"/>
      <c r="N403" s="3111"/>
      <c r="O403" s="3168"/>
      <c r="P403" s="3113"/>
      <c r="Q403" s="3113"/>
      <c r="R403" s="3113"/>
      <c r="S403" s="3169"/>
      <c r="T403" s="3113"/>
      <c r="V403" s="3008"/>
      <c r="W403" s="3013"/>
      <c r="X403" s="3004"/>
      <c r="Y403" s="3004"/>
      <c r="AA403" s="3008"/>
      <c r="AB403" s="2991"/>
      <c r="AC403" s="3010"/>
      <c r="AD403" s="3010"/>
      <c r="AF403" s="2730">
        <v>1</v>
      </c>
    </row>
    <row r="404" spans="2:32" ht="30" customHeight="1">
      <c r="B404" s="2998"/>
      <c r="C404" s="2840"/>
      <c r="D404" s="3132"/>
      <c r="E404" s="3154"/>
      <c r="F404" s="3132"/>
      <c r="G404" s="3155"/>
      <c r="H404" s="3132"/>
      <c r="I404" s="1"/>
      <c r="M404" s="1"/>
      <c r="N404" s="3111"/>
      <c r="O404" s="3168"/>
      <c r="P404" s="3113"/>
      <c r="Q404" s="3113"/>
      <c r="R404" s="3113"/>
      <c r="S404" s="3169"/>
      <c r="T404" s="3113"/>
      <c r="V404" s="3008"/>
      <c r="W404" s="3013"/>
      <c r="X404" s="3004"/>
      <c r="Y404" s="3004"/>
      <c r="AA404" s="3008"/>
      <c r="AB404" s="2991"/>
      <c r="AC404" s="3010"/>
      <c r="AD404" s="3010"/>
      <c r="AF404" s="2730">
        <v>1</v>
      </c>
    </row>
    <row r="405" spans="2:32" ht="30" customHeight="1">
      <c r="B405" s="2998"/>
      <c r="C405" s="2840"/>
      <c r="D405" s="3132"/>
      <c r="E405" s="3154"/>
      <c r="F405" s="3132"/>
      <c r="G405" s="3155"/>
      <c r="H405" s="3132"/>
      <c r="I405" s="1"/>
      <c r="M405" s="1"/>
      <c r="N405" s="3111"/>
      <c r="O405" s="3168"/>
      <c r="P405" s="3113"/>
      <c r="Q405" s="3113"/>
      <c r="R405" s="3113"/>
      <c r="S405" s="3169"/>
      <c r="T405" s="3113"/>
      <c r="V405" s="3008"/>
      <c r="W405" s="3013"/>
      <c r="X405" s="3004"/>
      <c r="Y405" s="3004"/>
      <c r="AA405" s="3008"/>
      <c r="AB405" s="2991"/>
      <c r="AC405" s="3010"/>
      <c r="AD405" s="3010"/>
      <c r="AF405" s="2730">
        <v>1</v>
      </c>
    </row>
    <row r="406" spans="2:32" ht="30" customHeight="1">
      <c r="B406" s="2998"/>
      <c r="C406" s="2840"/>
      <c r="D406" s="3132"/>
      <c r="E406" s="3154"/>
      <c r="F406" s="3132"/>
      <c r="G406" s="3155"/>
      <c r="H406" s="3132"/>
      <c r="I406" s="1"/>
      <c r="M406" s="1"/>
      <c r="N406" s="3111"/>
      <c r="O406" s="3168"/>
      <c r="P406" s="3113"/>
      <c r="Q406" s="3113"/>
      <c r="R406" s="3113"/>
      <c r="S406" s="3169"/>
      <c r="T406" s="3113"/>
      <c r="V406" s="3008"/>
      <c r="W406" s="3013"/>
      <c r="X406" s="3004"/>
      <c r="Y406" s="3004"/>
      <c r="AA406" s="3008"/>
      <c r="AB406" s="2991"/>
      <c r="AC406" s="3010"/>
      <c r="AD406" s="3010"/>
      <c r="AF406" s="2730">
        <v>1</v>
      </c>
    </row>
    <row r="407" spans="2:32" ht="30" customHeight="1">
      <c r="B407" s="2998"/>
      <c r="C407" s="2840"/>
      <c r="D407" s="3132"/>
      <c r="E407" s="3154"/>
      <c r="F407" s="3132"/>
      <c r="G407" s="3155"/>
      <c r="H407" s="3132"/>
      <c r="I407" s="1"/>
      <c r="M407" s="1"/>
      <c r="N407" s="3111"/>
      <c r="O407" s="3168"/>
      <c r="P407" s="3113"/>
      <c r="Q407" s="3113"/>
      <c r="R407" s="3113"/>
      <c r="S407" s="3169"/>
      <c r="T407" s="3113"/>
      <c r="V407" s="3008"/>
      <c r="W407" s="3013"/>
      <c r="X407" s="3004"/>
      <c r="Y407" s="3004"/>
      <c r="AA407" s="3008"/>
      <c r="AB407" s="2991"/>
      <c r="AC407" s="3010"/>
      <c r="AD407" s="3010"/>
      <c r="AF407" s="2730">
        <v>1</v>
      </c>
    </row>
    <row r="408" spans="2:32" ht="30" customHeight="1">
      <c r="B408" s="2998"/>
      <c r="C408" s="2840"/>
      <c r="D408" s="3132"/>
      <c r="E408" s="3154"/>
      <c r="F408" s="3132"/>
      <c r="G408" s="3155"/>
      <c r="H408" s="3132"/>
      <c r="I408" s="1"/>
      <c r="M408" s="1"/>
      <c r="N408" s="3111"/>
      <c r="O408" s="3168"/>
      <c r="P408" s="3113"/>
      <c r="Q408" s="3113"/>
      <c r="R408" s="3113"/>
      <c r="S408" s="3169"/>
      <c r="T408" s="3113"/>
      <c r="V408" s="3008"/>
      <c r="W408" s="3013"/>
      <c r="X408" s="3004"/>
      <c r="Y408" s="3004"/>
      <c r="AA408" s="3008"/>
      <c r="AB408" s="2991"/>
      <c r="AC408" s="3010"/>
      <c r="AD408" s="3010"/>
      <c r="AF408" s="2730">
        <v>1</v>
      </c>
    </row>
    <row r="409" spans="2:32" ht="30" customHeight="1">
      <c r="B409" s="2998"/>
      <c r="C409" s="2840"/>
      <c r="D409" s="3132"/>
      <c r="E409" s="3154"/>
      <c r="F409" s="3132"/>
      <c r="G409" s="3155"/>
      <c r="H409" s="3132"/>
      <c r="I409" s="1"/>
      <c r="M409" s="1"/>
      <c r="N409" s="3111"/>
      <c r="O409" s="3168"/>
      <c r="P409" s="3113"/>
      <c r="Q409" s="3113"/>
      <c r="R409" s="3113"/>
      <c r="S409" s="3169"/>
      <c r="T409" s="3113"/>
      <c r="V409" s="3008"/>
      <c r="W409" s="3013"/>
      <c r="X409" s="3004"/>
      <c r="Y409" s="3004"/>
      <c r="AA409" s="3008"/>
      <c r="AB409" s="2991"/>
      <c r="AC409" s="3010"/>
      <c r="AD409" s="3010"/>
      <c r="AF409" s="2730">
        <v>1</v>
      </c>
    </row>
    <row r="410" spans="2:32" ht="30" customHeight="1">
      <c r="B410" s="2998"/>
      <c r="C410" s="2840"/>
      <c r="D410" s="3132"/>
      <c r="E410" s="3154"/>
      <c r="F410" s="3132"/>
      <c r="G410" s="3155"/>
      <c r="H410" s="3132"/>
      <c r="I410" s="1"/>
      <c r="M410" s="1"/>
      <c r="N410" s="3111"/>
      <c r="O410" s="3168"/>
      <c r="P410" s="3113"/>
      <c r="Q410" s="3113"/>
      <c r="R410" s="3113"/>
      <c r="S410" s="3169"/>
      <c r="T410" s="3113"/>
      <c r="V410" s="3008"/>
      <c r="W410" s="3013"/>
      <c r="X410" s="3004"/>
      <c r="Y410" s="3004"/>
      <c r="AA410" s="3008"/>
      <c r="AB410" s="2991"/>
      <c r="AC410" s="3010"/>
      <c r="AD410" s="3010"/>
      <c r="AF410" s="2730">
        <v>1</v>
      </c>
    </row>
    <row r="411" spans="2:32" ht="30" customHeight="1">
      <c r="B411" s="2998"/>
      <c r="C411" s="2840"/>
      <c r="D411" s="3132"/>
      <c r="E411" s="3154"/>
      <c r="F411" s="3132"/>
      <c r="G411" s="3155"/>
      <c r="H411" s="3132"/>
      <c r="I411" s="1"/>
      <c r="M411" s="1"/>
      <c r="N411" s="3111"/>
      <c r="O411" s="3168"/>
      <c r="P411" s="3113"/>
      <c r="Q411" s="3113"/>
      <c r="R411" s="3113"/>
      <c r="S411" s="3169"/>
      <c r="T411" s="3113"/>
      <c r="V411" s="3008"/>
      <c r="W411" s="3013"/>
      <c r="X411" s="3004"/>
      <c r="Y411" s="3004"/>
      <c r="AA411" s="3008"/>
      <c r="AB411" s="2991"/>
      <c r="AC411" s="3010"/>
      <c r="AD411" s="3010"/>
      <c r="AF411" s="2730">
        <v>1</v>
      </c>
    </row>
    <row r="412" spans="2:32" ht="30" customHeight="1">
      <c r="B412" s="2998"/>
      <c r="C412" s="2840"/>
      <c r="D412" s="3132"/>
      <c r="E412" s="3154"/>
      <c r="F412" s="3132"/>
      <c r="G412" s="3155"/>
      <c r="H412" s="3132"/>
      <c r="I412" s="1"/>
      <c r="M412" s="1"/>
      <c r="N412" s="3111"/>
      <c r="O412" s="3168"/>
      <c r="P412" s="3113"/>
      <c r="Q412" s="3113"/>
      <c r="R412" s="3113"/>
      <c r="S412" s="3169"/>
      <c r="T412" s="3113"/>
      <c r="V412" s="3008"/>
      <c r="W412" s="3013"/>
      <c r="X412" s="3004"/>
      <c r="Y412" s="3004"/>
      <c r="AA412" s="3008"/>
      <c r="AB412" s="2991"/>
      <c r="AC412" s="3010"/>
      <c r="AD412" s="3010"/>
      <c r="AF412" s="2730">
        <v>1</v>
      </c>
    </row>
    <row r="413" spans="2:32" ht="30" customHeight="1">
      <c r="B413" s="2998"/>
      <c r="C413" s="2840"/>
      <c r="D413" s="3132"/>
      <c r="E413" s="3154"/>
      <c r="F413" s="3132"/>
      <c r="G413" s="3155"/>
      <c r="H413" s="3132"/>
      <c r="I413" s="1"/>
      <c r="M413" s="1"/>
      <c r="N413" s="3111"/>
      <c r="O413" s="3168"/>
      <c r="P413" s="3113"/>
      <c r="Q413" s="3113"/>
      <c r="R413" s="3113"/>
      <c r="S413" s="3169"/>
      <c r="T413" s="3113"/>
      <c r="V413" s="3008"/>
      <c r="W413" s="3013"/>
      <c r="X413" s="3004"/>
      <c r="Y413" s="3004"/>
      <c r="AA413" s="3008"/>
      <c r="AB413" s="2991"/>
      <c r="AC413" s="3010"/>
      <c r="AD413" s="3010"/>
      <c r="AF413" s="2730">
        <v>1</v>
      </c>
    </row>
    <row r="414" spans="2:32" ht="30" customHeight="1">
      <c r="B414" s="2998"/>
      <c r="C414" s="2840"/>
      <c r="D414" s="3132"/>
      <c r="E414" s="3154"/>
      <c r="F414" s="3132"/>
      <c r="G414" s="3155"/>
      <c r="H414" s="3132"/>
      <c r="I414" s="1"/>
      <c r="M414" s="1"/>
      <c r="N414" s="3111"/>
      <c r="O414" s="3168"/>
      <c r="P414" s="3113"/>
      <c r="Q414" s="3113"/>
      <c r="R414" s="3113"/>
      <c r="S414" s="3169"/>
      <c r="T414" s="3113"/>
      <c r="V414" s="3008"/>
      <c r="W414" s="3013"/>
      <c r="X414" s="3004"/>
      <c r="Y414" s="3004"/>
      <c r="AA414" s="3008"/>
      <c r="AB414" s="2991"/>
      <c r="AC414" s="3010"/>
      <c r="AD414" s="3010"/>
      <c r="AF414" s="2730">
        <v>1</v>
      </c>
    </row>
    <row r="415" spans="2:32" ht="30" customHeight="1">
      <c r="B415" s="2998"/>
      <c r="C415" s="2840"/>
      <c r="D415" s="3132"/>
      <c r="E415" s="3154"/>
      <c r="F415" s="3132"/>
      <c r="G415" s="3155"/>
      <c r="H415" s="3132"/>
      <c r="I415" s="1"/>
      <c r="M415" s="1"/>
      <c r="N415" s="3111"/>
      <c r="O415" s="3168"/>
      <c r="P415" s="3113"/>
      <c r="Q415" s="3113"/>
      <c r="R415" s="3113"/>
      <c r="S415" s="3169"/>
      <c r="T415" s="3113"/>
      <c r="V415" s="3008"/>
      <c r="W415" s="3013"/>
      <c r="X415" s="3004"/>
      <c r="Y415" s="3004"/>
      <c r="AA415" s="3008"/>
      <c r="AB415" s="2991"/>
      <c r="AC415" s="3010"/>
      <c r="AD415" s="3010"/>
      <c r="AF415" s="2730">
        <v>1</v>
      </c>
    </row>
    <row r="416" spans="2:32" ht="30" customHeight="1">
      <c r="B416" s="2998"/>
      <c r="C416" s="2840"/>
      <c r="D416" s="3132"/>
      <c r="E416" s="3154"/>
      <c r="F416" s="3132"/>
      <c r="G416" s="3155"/>
      <c r="H416" s="3132"/>
      <c r="I416" s="1"/>
      <c r="M416" s="1"/>
      <c r="N416" s="3111"/>
      <c r="O416" s="3168"/>
      <c r="P416" s="3113"/>
      <c r="Q416" s="3113"/>
      <c r="R416" s="3113"/>
      <c r="S416" s="3169"/>
      <c r="T416" s="3113"/>
      <c r="V416" s="3008"/>
      <c r="W416" s="3013"/>
      <c r="X416" s="3004"/>
      <c r="Y416" s="3004"/>
      <c r="AA416" s="3008"/>
      <c r="AB416" s="2991"/>
      <c r="AC416" s="3010"/>
      <c r="AD416" s="3010"/>
      <c r="AF416" s="2730">
        <v>1</v>
      </c>
    </row>
    <row r="417" spans="2:32" ht="30" customHeight="1">
      <c r="B417" s="2998"/>
      <c r="C417" s="2840"/>
      <c r="D417" s="3132"/>
      <c r="E417" s="3154"/>
      <c r="F417" s="3132"/>
      <c r="G417" s="3155"/>
      <c r="H417" s="3132"/>
      <c r="I417" s="1"/>
      <c r="M417" s="1"/>
      <c r="N417" s="3111"/>
      <c r="O417" s="3168"/>
      <c r="P417" s="3113"/>
      <c r="Q417" s="3113"/>
      <c r="R417" s="3113"/>
      <c r="S417" s="3169"/>
      <c r="T417" s="3113"/>
      <c r="V417" s="3008"/>
      <c r="W417" s="3013"/>
      <c r="X417" s="3004"/>
      <c r="Y417" s="3004"/>
      <c r="AA417" s="3008"/>
      <c r="AB417" s="2991"/>
      <c r="AC417" s="3010"/>
      <c r="AD417" s="3010"/>
      <c r="AF417" s="2730">
        <v>1</v>
      </c>
    </row>
    <row r="418" spans="2:32" ht="30" customHeight="1">
      <c r="B418" s="2998"/>
      <c r="C418" s="2840"/>
      <c r="D418" s="3132"/>
      <c r="E418" s="3154"/>
      <c r="F418" s="3132"/>
      <c r="G418" s="3155"/>
      <c r="H418" s="3132"/>
      <c r="I418" s="1"/>
      <c r="M418" s="1"/>
      <c r="N418" s="3111"/>
      <c r="O418" s="3168"/>
      <c r="P418" s="3113"/>
      <c r="Q418" s="3113"/>
      <c r="R418" s="3113"/>
      <c r="S418" s="3169"/>
      <c r="T418" s="3113"/>
      <c r="V418" s="3008"/>
      <c r="W418" s="3013"/>
      <c r="X418" s="3004"/>
      <c r="Y418" s="3004"/>
      <c r="AA418" s="3008"/>
      <c r="AB418" s="2991"/>
      <c r="AC418" s="3010"/>
      <c r="AD418" s="3010"/>
      <c r="AF418" s="2730">
        <v>1</v>
      </c>
    </row>
    <row r="419" spans="2:32" ht="30" customHeight="1">
      <c r="B419" s="2998"/>
      <c r="C419" s="2840"/>
      <c r="D419" s="3132"/>
      <c r="E419" s="3154"/>
      <c r="F419" s="3132"/>
      <c r="G419" s="3155"/>
      <c r="H419" s="3132"/>
      <c r="I419" s="1"/>
      <c r="M419" s="1"/>
      <c r="N419" s="3111"/>
      <c r="O419" s="3168"/>
      <c r="P419" s="3113"/>
      <c r="Q419" s="3113"/>
      <c r="R419" s="3113"/>
      <c r="S419" s="3169"/>
      <c r="T419" s="3113"/>
      <c r="V419" s="3008"/>
      <c r="W419" s="3013"/>
      <c r="X419" s="3004"/>
      <c r="Y419" s="3004"/>
      <c r="AA419" s="3008"/>
      <c r="AB419" s="2991"/>
      <c r="AC419" s="3010"/>
      <c r="AD419" s="3010"/>
      <c r="AF419" s="2730">
        <v>1</v>
      </c>
    </row>
    <row r="420" spans="2:32" ht="30" customHeight="1">
      <c r="B420" s="2998"/>
      <c r="C420" s="2840"/>
      <c r="D420" s="3132"/>
      <c r="E420" s="3154"/>
      <c r="F420" s="3132"/>
      <c r="G420" s="3155"/>
      <c r="H420" s="3132"/>
      <c r="I420" s="1"/>
      <c r="M420" s="1"/>
      <c r="N420" s="3111"/>
      <c r="O420" s="3168"/>
      <c r="P420" s="3113"/>
      <c r="Q420" s="3113"/>
      <c r="R420" s="3113"/>
      <c r="S420" s="3169"/>
      <c r="T420" s="3113"/>
      <c r="V420" s="3008"/>
      <c r="W420" s="3013"/>
      <c r="X420" s="3004"/>
      <c r="Y420" s="3004"/>
      <c r="AA420" s="3008"/>
      <c r="AB420" s="2991"/>
      <c r="AC420" s="3010"/>
      <c r="AD420" s="3010"/>
      <c r="AF420" s="2730">
        <v>1</v>
      </c>
    </row>
    <row r="421" spans="2:32" ht="30" customHeight="1">
      <c r="B421" s="2998"/>
      <c r="C421" s="2840"/>
      <c r="D421" s="3132"/>
      <c r="E421" s="3154"/>
      <c r="F421" s="3132"/>
      <c r="G421" s="3155"/>
      <c r="H421" s="3132"/>
      <c r="I421" s="1"/>
      <c r="M421" s="1"/>
      <c r="N421" s="3111"/>
      <c r="O421" s="3168"/>
      <c r="P421" s="3113"/>
      <c r="Q421" s="3113"/>
      <c r="R421" s="3113"/>
      <c r="S421" s="3169"/>
      <c r="T421" s="3113"/>
      <c r="V421" s="3008"/>
      <c r="W421" s="3013"/>
      <c r="X421" s="3004"/>
      <c r="Y421" s="3004"/>
      <c r="AA421" s="3008"/>
      <c r="AB421" s="2991"/>
      <c r="AC421" s="3010"/>
      <c r="AD421" s="3010"/>
      <c r="AF421" s="2730">
        <v>1</v>
      </c>
    </row>
    <row r="422" spans="2:32" ht="30" customHeight="1">
      <c r="B422" s="2998"/>
      <c r="C422" s="2840"/>
      <c r="D422" s="3132"/>
      <c r="E422" s="3154"/>
      <c r="F422" s="3132"/>
      <c r="G422" s="3155"/>
      <c r="H422" s="3132"/>
      <c r="I422" s="1"/>
      <c r="M422" s="1"/>
      <c r="N422" s="3111"/>
      <c r="O422" s="3168"/>
      <c r="P422" s="3113"/>
      <c r="Q422" s="3113"/>
      <c r="R422" s="3113"/>
      <c r="S422" s="3169"/>
      <c r="T422" s="3113"/>
      <c r="V422" s="3008"/>
      <c r="W422" s="3013"/>
      <c r="X422" s="3004"/>
      <c r="Y422" s="3004"/>
      <c r="AA422" s="3008"/>
      <c r="AB422" s="2991"/>
      <c r="AC422" s="3010"/>
      <c r="AD422" s="3010"/>
      <c r="AF422" s="2730">
        <v>1</v>
      </c>
    </row>
    <row r="423" spans="2:32" ht="30" customHeight="1">
      <c r="B423" s="2998"/>
      <c r="C423" s="2840"/>
      <c r="D423" s="3132"/>
      <c r="E423" s="3154"/>
      <c r="F423" s="3132"/>
      <c r="G423" s="3155"/>
      <c r="H423" s="3132"/>
      <c r="I423" s="1"/>
      <c r="M423" s="1"/>
      <c r="N423" s="3111"/>
      <c r="O423" s="3168"/>
      <c r="P423" s="3113"/>
      <c r="Q423" s="3113"/>
      <c r="R423" s="3113"/>
      <c r="S423" s="3169"/>
      <c r="T423" s="3113"/>
      <c r="V423" s="3008"/>
      <c r="W423" s="3013"/>
      <c r="X423" s="3004"/>
      <c r="Y423" s="3004"/>
      <c r="AA423" s="3008"/>
      <c r="AB423" s="2991"/>
      <c r="AC423" s="3010"/>
      <c r="AD423" s="3010"/>
      <c r="AF423" s="2730">
        <v>1</v>
      </c>
    </row>
    <row r="424" spans="2:32" ht="30" customHeight="1">
      <c r="B424" s="2998"/>
      <c r="C424" s="2840"/>
      <c r="D424" s="3132"/>
      <c r="E424" s="3154"/>
      <c r="F424" s="3132"/>
      <c r="G424" s="3155"/>
      <c r="H424" s="3132"/>
      <c r="I424" s="1"/>
      <c r="M424" s="1"/>
      <c r="N424" s="3111"/>
      <c r="O424" s="3168"/>
      <c r="P424" s="3113"/>
      <c r="Q424" s="3113"/>
      <c r="R424" s="3113"/>
      <c r="S424" s="3169"/>
      <c r="T424" s="3113"/>
      <c r="V424" s="3008"/>
      <c r="W424" s="3013"/>
      <c r="X424" s="3004"/>
      <c r="Y424" s="3004"/>
      <c r="AA424" s="3008"/>
      <c r="AB424" s="2991"/>
      <c r="AC424" s="3010"/>
      <c r="AD424" s="3010"/>
      <c r="AF424" s="2730">
        <v>1</v>
      </c>
    </row>
    <row r="425" spans="2:32" ht="30" customHeight="1">
      <c r="B425" s="2998"/>
      <c r="C425" s="2840"/>
      <c r="D425" s="3132"/>
      <c r="E425" s="3154"/>
      <c r="F425" s="3132"/>
      <c r="G425" s="3155"/>
      <c r="H425" s="3132"/>
      <c r="I425" s="1"/>
      <c r="M425" s="1"/>
      <c r="N425" s="3111"/>
      <c r="O425" s="3168"/>
      <c r="P425" s="3113"/>
      <c r="Q425" s="3113"/>
      <c r="R425" s="3113"/>
      <c r="S425" s="3169"/>
      <c r="T425" s="3113"/>
      <c r="V425" s="3008"/>
      <c r="W425" s="3013"/>
      <c r="X425" s="3004"/>
      <c r="Y425" s="3004"/>
      <c r="AA425" s="3008"/>
      <c r="AB425" s="2991"/>
      <c r="AC425" s="3010"/>
      <c r="AD425" s="3010"/>
      <c r="AF425" s="2730">
        <v>1</v>
      </c>
    </row>
    <row r="426" spans="2:32" ht="30" customHeight="1">
      <c r="B426" s="2998"/>
      <c r="C426" s="2840"/>
      <c r="D426" s="3132"/>
      <c r="E426" s="3154"/>
      <c r="F426" s="3132"/>
      <c r="G426" s="3155"/>
      <c r="H426" s="3132"/>
      <c r="I426" s="1"/>
      <c r="M426" s="1"/>
      <c r="N426" s="3111"/>
      <c r="O426" s="3168"/>
      <c r="P426" s="3113"/>
      <c r="Q426" s="3113"/>
      <c r="R426" s="3113"/>
      <c r="S426" s="3169"/>
      <c r="T426" s="3113"/>
      <c r="V426" s="3008"/>
      <c r="W426" s="3013"/>
      <c r="X426" s="3004"/>
      <c r="Y426" s="3004"/>
      <c r="AA426" s="3008"/>
      <c r="AB426" s="2991"/>
      <c r="AC426" s="3010"/>
      <c r="AD426" s="3010"/>
      <c r="AF426" s="2730">
        <v>1</v>
      </c>
    </row>
    <row r="427" spans="2:32" ht="30" customHeight="1">
      <c r="B427" s="2998"/>
      <c r="C427" s="2840"/>
      <c r="D427" s="3132"/>
      <c r="E427" s="3154"/>
      <c r="F427" s="3132"/>
      <c r="G427" s="3155"/>
      <c r="H427" s="3132"/>
      <c r="I427" s="1"/>
      <c r="M427" s="1"/>
      <c r="N427" s="3111"/>
      <c r="O427" s="3168"/>
      <c r="P427" s="3113"/>
      <c r="Q427" s="3113"/>
      <c r="R427" s="3113"/>
      <c r="S427" s="3169"/>
      <c r="T427" s="3113"/>
      <c r="V427" s="3008"/>
      <c r="W427" s="3013"/>
      <c r="X427" s="3004"/>
      <c r="Y427" s="3004"/>
      <c r="AA427" s="3008"/>
      <c r="AB427" s="2991"/>
      <c r="AC427" s="3010"/>
      <c r="AD427" s="3010"/>
      <c r="AF427" s="2730">
        <v>1</v>
      </c>
    </row>
    <row r="428" spans="2:32" ht="30" customHeight="1">
      <c r="B428" s="2998"/>
      <c r="C428" s="2840"/>
      <c r="D428" s="3132"/>
      <c r="E428" s="3154"/>
      <c r="F428" s="3132"/>
      <c r="G428" s="3155"/>
      <c r="H428" s="3132"/>
      <c r="I428" s="1"/>
      <c r="M428" s="1"/>
      <c r="N428" s="3111"/>
      <c r="O428" s="3168"/>
      <c r="P428" s="3113"/>
      <c r="Q428" s="3113"/>
      <c r="R428" s="3113"/>
      <c r="S428" s="3169"/>
      <c r="T428" s="3113"/>
      <c r="V428" s="3008"/>
      <c r="W428" s="3013"/>
      <c r="X428" s="3004"/>
      <c r="Y428" s="3004"/>
      <c r="AA428" s="3008"/>
      <c r="AB428" s="2991"/>
      <c r="AC428" s="3010"/>
      <c r="AD428" s="3010"/>
      <c r="AF428" s="2730">
        <v>1</v>
      </c>
    </row>
    <row r="429" spans="2:32" ht="30" customHeight="1">
      <c r="B429" s="2998"/>
      <c r="C429" s="2840"/>
      <c r="D429" s="3132"/>
      <c r="E429" s="3154"/>
      <c r="F429" s="3132"/>
      <c r="G429" s="3155"/>
      <c r="H429" s="3132"/>
      <c r="I429" s="1"/>
      <c r="M429" s="1"/>
      <c r="N429" s="3111"/>
      <c r="O429" s="3168"/>
      <c r="P429" s="3113"/>
      <c r="Q429" s="3113"/>
      <c r="R429" s="3113"/>
      <c r="S429" s="3169"/>
      <c r="T429" s="3113"/>
      <c r="V429" s="3008"/>
      <c r="W429" s="3013"/>
      <c r="X429" s="3004"/>
      <c r="Y429" s="3004"/>
      <c r="AA429" s="3008"/>
      <c r="AB429" s="2991"/>
      <c r="AC429" s="3010"/>
      <c r="AD429" s="3010"/>
      <c r="AF429" s="2730">
        <v>1</v>
      </c>
    </row>
    <row r="430" spans="2:32" ht="30" customHeight="1">
      <c r="B430" s="2998"/>
      <c r="C430" s="2840"/>
      <c r="D430" s="3132"/>
      <c r="E430" s="3154"/>
      <c r="F430" s="3132"/>
      <c r="G430" s="3155"/>
      <c r="H430" s="3132"/>
      <c r="I430" s="1"/>
      <c r="M430" s="1"/>
      <c r="N430" s="3111"/>
      <c r="O430" s="3168"/>
      <c r="P430" s="3113"/>
      <c r="Q430" s="3113"/>
      <c r="R430" s="3113"/>
      <c r="S430" s="3169"/>
      <c r="T430" s="3113"/>
      <c r="V430" s="3008"/>
      <c r="W430" s="3013"/>
      <c r="X430" s="3004"/>
      <c r="Y430" s="3004"/>
      <c r="AA430" s="3008"/>
      <c r="AB430" s="2991"/>
      <c r="AC430" s="3010"/>
      <c r="AD430" s="3010"/>
      <c r="AF430" s="2730">
        <v>1</v>
      </c>
    </row>
    <row r="431" spans="2:32" ht="30" customHeight="1">
      <c r="B431" s="2998"/>
      <c r="C431" s="2840"/>
      <c r="D431" s="3132"/>
      <c r="E431" s="3154"/>
      <c r="F431" s="3132"/>
      <c r="G431" s="3155"/>
      <c r="H431" s="3132"/>
      <c r="I431" s="1"/>
      <c r="M431" s="1"/>
      <c r="N431" s="3111"/>
      <c r="O431" s="3168"/>
      <c r="P431" s="3113"/>
      <c r="Q431" s="3113"/>
      <c r="R431" s="3113"/>
      <c r="S431" s="3169"/>
      <c r="T431" s="3113"/>
      <c r="V431" s="3008"/>
      <c r="W431" s="3013"/>
      <c r="X431" s="3004"/>
      <c r="Y431" s="3004"/>
      <c r="AA431" s="3008"/>
      <c r="AB431" s="2991"/>
      <c r="AC431" s="3010"/>
      <c r="AD431" s="3010"/>
      <c r="AF431" s="2730">
        <v>1</v>
      </c>
    </row>
    <row r="432" spans="2:32" ht="30" customHeight="1">
      <c r="B432" s="2998"/>
      <c r="C432" s="2840"/>
      <c r="D432" s="3132"/>
      <c r="E432" s="3154"/>
      <c r="F432" s="3132"/>
      <c r="G432" s="3155"/>
      <c r="H432" s="3132"/>
      <c r="I432" s="1"/>
      <c r="M432" s="1"/>
      <c r="N432" s="3111"/>
      <c r="O432" s="3168"/>
      <c r="P432" s="3113"/>
      <c r="Q432" s="3113"/>
      <c r="R432" s="3113"/>
      <c r="S432" s="3169"/>
      <c r="T432" s="3113"/>
      <c r="V432" s="3008"/>
      <c r="W432" s="3013"/>
      <c r="X432" s="3004"/>
      <c r="Y432" s="3004"/>
      <c r="AA432" s="3008"/>
      <c r="AB432" s="2991"/>
      <c r="AC432" s="3010"/>
      <c r="AD432" s="3010"/>
      <c r="AF432" s="2730">
        <v>1</v>
      </c>
    </row>
    <row r="433" spans="2:32" ht="30" customHeight="1">
      <c r="B433" s="2998"/>
      <c r="C433" s="2840"/>
      <c r="D433" s="3132"/>
      <c r="E433" s="3154"/>
      <c r="F433" s="3132"/>
      <c r="G433" s="3155"/>
      <c r="H433" s="3132"/>
      <c r="I433" s="1"/>
      <c r="M433" s="1"/>
      <c r="N433" s="3111"/>
      <c r="O433" s="3168"/>
      <c r="P433" s="3113"/>
      <c r="Q433" s="3113"/>
      <c r="R433" s="3113"/>
      <c r="S433" s="3169"/>
      <c r="T433" s="3113"/>
      <c r="V433" s="3008"/>
      <c r="W433" s="3013"/>
      <c r="X433" s="3004"/>
      <c r="Y433" s="3004"/>
      <c r="AA433" s="3008"/>
      <c r="AB433" s="2991"/>
      <c r="AC433" s="3010"/>
      <c r="AD433" s="3010"/>
      <c r="AF433" s="2730">
        <v>1</v>
      </c>
    </row>
    <row r="434" spans="2:32" ht="30" customHeight="1">
      <c r="B434" s="2998"/>
      <c r="C434" s="2840"/>
      <c r="D434" s="3132"/>
      <c r="E434" s="3154"/>
      <c r="F434" s="3132"/>
      <c r="G434" s="3155"/>
      <c r="H434" s="3132"/>
      <c r="I434" s="1"/>
      <c r="M434" s="1"/>
      <c r="N434" s="3111"/>
      <c r="O434" s="3168"/>
      <c r="P434" s="3113"/>
      <c r="Q434" s="3113"/>
      <c r="R434" s="3113"/>
      <c r="S434" s="3169"/>
      <c r="T434" s="3113"/>
      <c r="V434" s="3008"/>
      <c r="W434" s="3013"/>
      <c r="X434" s="3004"/>
      <c r="Y434" s="3004"/>
      <c r="AA434" s="3008"/>
      <c r="AB434" s="2991"/>
      <c r="AC434" s="3010"/>
      <c r="AD434" s="3010"/>
      <c r="AF434" s="2730">
        <v>1</v>
      </c>
    </row>
    <row r="435" spans="2:32" ht="30" customHeight="1">
      <c r="B435" s="2998"/>
      <c r="C435" s="2840"/>
      <c r="D435" s="3132"/>
      <c r="E435" s="3154"/>
      <c r="F435" s="3132"/>
      <c r="G435" s="3155"/>
      <c r="H435" s="3132"/>
      <c r="I435" s="1"/>
      <c r="M435" s="1"/>
      <c r="N435" s="3111"/>
      <c r="O435" s="3168"/>
      <c r="P435" s="3113"/>
      <c r="Q435" s="3113"/>
      <c r="R435" s="3113"/>
      <c r="S435" s="3169"/>
      <c r="T435" s="3113"/>
      <c r="V435" s="3008"/>
      <c r="W435" s="3013"/>
      <c r="X435" s="3004"/>
      <c r="Y435" s="3004"/>
      <c r="AA435" s="3008"/>
      <c r="AB435" s="2991"/>
      <c r="AC435" s="3010"/>
      <c r="AD435" s="3010"/>
      <c r="AF435" s="2730">
        <v>1</v>
      </c>
    </row>
    <row r="436" spans="2:32" ht="30" customHeight="1">
      <c r="B436" s="2998"/>
      <c r="C436" s="2840"/>
      <c r="D436" s="3132"/>
      <c r="E436" s="3154"/>
      <c r="F436" s="3132"/>
      <c r="G436" s="3155"/>
      <c r="H436" s="3132"/>
      <c r="I436" s="1"/>
      <c r="M436" s="1"/>
      <c r="N436" s="3111"/>
      <c r="O436" s="3168"/>
      <c r="P436" s="3113"/>
      <c r="Q436" s="3113"/>
      <c r="R436" s="3113"/>
      <c r="S436" s="3169"/>
      <c r="T436" s="3113"/>
      <c r="V436" s="3008"/>
      <c r="W436" s="3013"/>
      <c r="X436" s="3004"/>
      <c r="Y436" s="3004"/>
      <c r="AA436" s="3008"/>
      <c r="AB436" s="2991"/>
      <c r="AC436" s="3010"/>
      <c r="AD436" s="3010"/>
      <c r="AF436" s="2730">
        <v>1</v>
      </c>
    </row>
    <row r="437" spans="2:32" ht="30" customHeight="1">
      <c r="B437" s="2998"/>
      <c r="C437" s="2840"/>
      <c r="D437" s="3132"/>
      <c r="E437" s="3154"/>
      <c r="F437" s="3132"/>
      <c r="G437" s="3155"/>
      <c r="H437" s="3132"/>
      <c r="I437" s="1"/>
      <c r="M437" s="1"/>
      <c r="N437" s="3111"/>
      <c r="O437" s="3168"/>
      <c r="P437" s="3113"/>
      <c r="Q437" s="3113"/>
      <c r="R437" s="3113"/>
      <c r="S437" s="3169"/>
      <c r="T437" s="3113"/>
      <c r="V437" s="3008"/>
      <c r="W437" s="3013"/>
      <c r="X437" s="3004"/>
      <c r="Y437" s="3004"/>
      <c r="AA437" s="3008"/>
      <c r="AB437" s="2991"/>
      <c r="AC437" s="3010"/>
      <c r="AD437" s="3010"/>
      <c r="AF437" s="2730">
        <v>1</v>
      </c>
    </row>
    <row r="438" spans="2:32" ht="30" customHeight="1">
      <c r="B438" s="2998"/>
      <c r="C438" s="2840"/>
      <c r="D438" s="3132"/>
      <c r="E438" s="3154"/>
      <c r="F438" s="3132"/>
      <c r="G438" s="3155"/>
      <c r="H438" s="3132"/>
      <c r="I438" s="1"/>
      <c r="M438" s="1"/>
      <c r="N438" s="3111"/>
      <c r="O438" s="3168"/>
      <c r="P438" s="3113"/>
      <c r="Q438" s="3113"/>
      <c r="R438" s="3113"/>
      <c r="S438" s="3169"/>
      <c r="T438" s="3113"/>
      <c r="V438" s="3008"/>
      <c r="W438" s="3013"/>
      <c r="X438" s="3004"/>
      <c r="Y438" s="3004"/>
      <c r="AA438" s="3008"/>
      <c r="AB438" s="2991"/>
      <c r="AC438" s="3010"/>
      <c r="AD438" s="3010"/>
      <c r="AF438" s="2730">
        <v>1</v>
      </c>
    </row>
    <row r="439" spans="2:32" ht="30" customHeight="1">
      <c r="B439" s="2998"/>
      <c r="C439" s="2840"/>
      <c r="D439" s="3132"/>
      <c r="E439" s="3154"/>
      <c r="F439" s="3132"/>
      <c r="G439" s="3155"/>
      <c r="H439" s="3132"/>
      <c r="I439" s="1"/>
      <c r="M439" s="1"/>
      <c r="N439" s="3111"/>
      <c r="O439" s="3168"/>
      <c r="P439" s="3113"/>
      <c r="Q439" s="3113"/>
      <c r="R439" s="3113"/>
      <c r="S439" s="3169"/>
      <c r="T439" s="3113"/>
      <c r="V439" s="3008"/>
      <c r="W439" s="3013"/>
      <c r="X439" s="3004"/>
      <c r="Y439" s="3004"/>
      <c r="AA439" s="3008"/>
      <c r="AB439" s="2991"/>
      <c r="AC439" s="3010"/>
      <c r="AD439" s="3010"/>
      <c r="AF439" s="2730">
        <v>1</v>
      </c>
    </row>
    <row r="440" spans="2:32" ht="30" customHeight="1">
      <c r="B440" s="2998"/>
      <c r="C440" s="2840"/>
      <c r="D440" s="3132"/>
      <c r="E440" s="3154"/>
      <c r="F440" s="3132"/>
      <c r="G440" s="3155"/>
      <c r="H440" s="3132"/>
      <c r="I440" s="1"/>
      <c r="M440" s="1"/>
      <c r="N440" s="3111"/>
      <c r="O440" s="3168"/>
      <c r="P440" s="3113"/>
      <c r="Q440" s="3113"/>
      <c r="R440" s="3113"/>
      <c r="S440" s="3169"/>
      <c r="T440" s="3113"/>
      <c r="V440" s="3008"/>
      <c r="W440" s="3013"/>
      <c r="X440" s="3004"/>
      <c r="Y440" s="3004"/>
      <c r="AA440" s="3008"/>
      <c r="AB440" s="2991"/>
      <c r="AC440" s="3010"/>
      <c r="AD440" s="3010"/>
      <c r="AF440" s="2730">
        <v>1</v>
      </c>
    </row>
    <row r="441" spans="2:32" ht="30" customHeight="1">
      <c r="B441" s="2998"/>
      <c r="C441" s="2840"/>
      <c r="D441" s="3132"/>
      <c r="E441" s="3154"/>
      <c r="F441" s="3132"/>
      <c r="G441" s="3155"/>
      <c r="H441" s="3132"/>
      <c r="I441" s="1"/>
      <c r="M441" s="1"/>
      <c r="N441" s="3111"/>
      <c r="O441" s="3168"/>
      <c r="P441" s="3113"/>
      <c r="Q441" s="3113"/>
      <c r="R441" s="3113"/>
      <c r="S441" s="3169"/>
      <c r="T441" s="3113"/>
      <c r="V441" s="3008"/>
      <c r="W441" s="3013"/>
      <c r="X441" s="3004"/>
      <c r="Y441" s="3004"/>
      <c r="AA441" s="3008"/>
      <c r="AB441" s="2991"/>
      <c r="AC441" s="3010"/>
      <c r="AD441" s="3010"/>
      <c r="AF441" s="2730">
        <v>1</v>
      </c>
    </row>
    <row r="442" spans="2:32" ht="30" customHeight="1">
      <c r="B442" s="2998"/>
      <c r="C442" s="2840"/>
      <c r="D442" s="3132"/>
      <c r="E442" s="3154"/>
      <c r="F442" s="3132"/>
      <c r="G442" s="3155"/>
      <c r="H442" s="3132"/>
      <c r="I442" s="1"/>
      <c r="M442" s="1"/>
      <c r="N442" s="3111"/>
      <c r="O442" s="3168"/>
      <c r="P442" s="3113"/>
      <c r="Q442" s="3113"/>
      <c r="R442" s="3113"/>
      <c r="S442" s="3169"/>
      <c r="T442" s="3113"/>
      <c r="V442" s="3008"/>
      <c r="W442" s="3013"/>
      <c r="X442" s="3004"/>
      <c r="Y442" s="3004"/>
      <c r="AA442" s="3008"/>
      <c r="AB442" s="2991"/>
      <c r="AC442" s="3010"/>
      <c r="AD442" s="3010"/>
      <c r="AF442" s="2730">
        <v>1</v>
      </c>
    </row>
    <row r="443" spans="2:32" ht="30" customHeight="1">
      <c r="B443" s="2998"/>
      <c r="C443" s="2840"/>
      <c r="D443" s="3132"/>
      <c r="E443" s="3154"/>
      <c r="F443" s="3132"/>
      <c r="G443" s="3155"/>
      <c r="H443" s="3132"/>
      <c r="I443" s="1"/>
      <c r="M443" s="1"/>
      <c r="N443" s="3111"/>
      <c r="O443" s="3168"/>
      <c r="P443" s="3113"/>
      <c r="Q443" s="3113"/>
      <c r="R443" s="3113"/>
      <c r="S443" s="3169"/>
      <c r="T443" s="3113"/>
      <c r="V443" s="3008"/>
      <c r="W443" s="3013"/>
      <c r="X443" s="3004"/>
      <c r="Y443" s="3004"/>
      <c r="AA443" s="3008"/>
      <c r="AB443" s="2991"/>
      <c r="AC443" s="3010"/>
      <c r="AD443" s="3010"/>
      <c r="AF443" s="2730">
        <v>1</v>
      </c>
    </row>
    <row r="444" spans="2:32" ht="30" customHeight="1">
      <c r="B444" s="2998"/>
      <c r="C444" s="2840"/>
      <c r="D444" s="3132"/>
      <c r="E444" s="3154"/>
      <c r="F444" s="3132"/>
      <c r="G444" s="3155"/>
      <c r="H444" s="3132"/>
      <c r="I444" s="1"/>
      <c r="M444" s="1"/>
      <c r="N444" s="3111"/>
      <c r="O444" s="3168"/>
      <c r="P444" s="3113"/>
      <c r="Q444" s="3113"/>
      <c r="R444" s="3113"/>
      <c r="S444" s="3169"/>
      <c r="T444" s="3113"/>
      <c r="V444" s="3008"/>
      <c r="W444" s="3013"/>
      <c r="X444" s="3004"/>
      <c r="Y444" s="3004"/>
      <c r="AA444" s="3008"/>
      <c r="AB444" s="2991"/>
      <c r="AC444" s="3010"/>
      <c r="AD444" s="3010"/>
      <c r="AF444" s="2730">
        <v>1</v>
      </c>
    </row>
    <row r="445" spans="2:32" ht="30" customHeight="1">
      <c r="B445" s="2998"/>
      <c r="C445" s="2840"/>
      <c r="D445" s="3132"/>
      <c r="E445" s="3154"/>
      <c r="F445" s="3132"/>
      <c r="G445" s="3155"/>
      <c r="H445" s="3132"/>
      <c r="I445" s="1"/>
      <c r="M445" s="1"/>
      <c r="N445" s="3111"/>
      <c r="O445" s="3168"/>
      <c r="P445" s="3113"/>
      <c r="Q445" s="3113"/>
      <c r="R445" s="3113"/>
      <c r="S445" s="3169"/>
      <c r="T445" s="3113"/>
      <c r="V445" s="3008"/>
      <c r="W445" s="3013"/>
      <c r="X445" s="3004"/>
      <c r="Y445" s="3004"/>
      <c r="AA445" s="3008"/>
      <c r="AB445" s="2991"/>
      <c r="AC445" s="3010"/>
      <c r="AD445" s="3010"/>
      <c r="AF445" s="2730">
        <v>1</v>
      </c>
    </row>
    <row r="446" spans="2:32" ht="30" customHeight="1">
      <c r="B446" s="2998"/>
      <c r="C446" s="2840"/>
      <c r="D446" s="3132"/>
      <c r="E446" s="3154"/>
      <c r="F446" s="3132"/>
      <c r="G446" s="3155"/>
      <c r="H446" s="3132"/>
      <c r="I446" s="1"/>
      <c r="M446" s="1"/>
      <c r="N446" s="3111"/>
      <c r="O446" s="3168"/>
      <c r="P446" s="3113"/>
      <c r="Q446" s="3113"/>
      <c r="R446" s="3113"/>
      <c r="S446" s="3169"/>
      <c r="T446" s="3113"/>
      <c r="V446" s="3008"/>
      <c r="W446" s="3013"/>
      <c r="X446" s="3004"/>
      <c r="Y446" s="3004"/>
      <c r="AA446" s="3008"/>
      <c r="AB446" s="2991"/>
      <c r="AC446" s="3010"/>
      <c r="AD446" s="3010"/>
      <c r="AF446" s="2730">
        <v>1</v>
      </c>
    </row>
    <row r="447" spans="2:32" ht="30" customHeight="1">
      <c r="B447" s="2998"/>
      <c r="C447" s="2840"/>
      <c r="D447" s="3132"/>
      <c r="E447" s="3154"/>
      <c r="F447" s="3132"/>
      <c r="G447" s="3155"/>
      <c r="H447" s="3132"/>
      <c r="I447" s="1"/>
      <c r="M447" s="1"/>
      <c r="N447" s="3111"/>
      <c r="O447" s="3168"/>
      <c r="P447" s="3113"/>
      <c r="Q447" s="3113"/>
      <c r="R447" s="3113"/>
      <c r="S447" s="3169"/>
      <c r="T447" s="3113"/>
      <c r="V447" s="3008"/>
      <c r="W447" s="3013"/>
      <c r="X447" s="3004"/>
      <c r="Y447" s="3004"/>
      <c r="AA447" s="3008"/>
      <c r="AB447" s="2991"/>
      <c r="AC447" s="3010"/>
      <c r="AD447" s="3010"/>
      <c r="AF447" s="2730">
        <v>1</v>
      </c>
    </row>
    <row r="448" spans="2:32" ht="30" customHeight="1">
      <c r="B448" s="2998"/>
      <c r="C448" s="2840"/>
      <c r="D448" s="3132"/>
      <c r="E448" s="3154"/>
      <c r="F448" s="3132"/>
      <c r="G448" s="3155"/>
      <c r="H448" s="3132"/>
      <c r="I448" s="1"/>
      <c r="M448" s="1"/>
      <c r="N448" s="3111"/>
      <c r="O448" s="3168"/>
      <c r="P448" s="3113"/>
      <c r="Q448" s="3113"/>
      <c r="R448" s="3113"/>
      <c r="S448" s="3169"/>
      <c r="T448" s="3113"/>
      <c r="V448" s="3008"/>
      <c r="W448" s="3013"/>
      <c r="X448" s="3004"/>
      <c r="Y448" s="3004"/>
      <c r="AA448" s="3008"/>
      <c r="AB448" s="2991"/>
      <c r="AC448" s="3010"/>
      <c r="AD448" s="3010"/>
      <c r="AF448" s="2730">
        <v>1</v>
      </c>
    </row>
    <row r="449" spans="2:32" ht="30" customHeight="1">
      <c r="B449" s="2998"/>
      <c r="C449" s="2840"/>
      <c r="D449" s="3132"/>
      <c r="E449" s="3154"/>
      <c r="F449" s="3132"/>
      <c r="G449" s="3155"/>
      <c r="H449" s="3132"/>
      <c r="I449" s="1"/>
      <c r="M449" s="1"/>
      <c r="N449" s="3111"/>
      <c r="O449" s="3168"/>
      <c r="P449" s="3113"/>
      <c r="Q449" s="3113"/>
      <c r="R449" s="3113"/>
      <c r="S449" s="3169"/>
      <c r="T449" s="3113"/>
      <c r="V449" s="3008"/>
      <c r="W449" s="3013"/>
      <c r="X449" s="3004"/>
      <c r="Y449" s="3004"/>
      <c r="AA449" s="3008"/>
      <c r="AB449" s="2991"/>
      <c r="AC449" s="3010"/>
      <c r="AD449" s="3010"/>
      <c r="AF449" s="2730">
        <v>1</v>
      </c>
    </row>
    <row r="450" spans="2:32" ht="30" customHeight="1">
      <c r="B450" s="2998"/>
      <c r="C450" s="2840"/>
      <c r="D450" s="3132"/>
      <c r="E450" s="3154"/>
      <c r="F450" s="3132"/>
      <c r="G450" s="3155"/>
      <c r="H450" s="3132"/>
      <c r="I450" s="1"/>
      <c r="M450" s="1"/>
      <c r="N450" s="3111"/>
      <c r="O450" s="3168"/>
      <c r="P450" s="3113"/>
      <c r="Q450" s="3113"/>
      <c r="R450" s="3113"/>
      <c r="S450" s="3169"/>
      <c r="T450" s="3113"/>
      <c r="V450" s="3008"/>
      <c r="W450" s="3013"/>
      <c r="X450" s="3004"/>
      <c r="Y450" s="3004"/>
      <c r="AA450" s="3008"/>
      <c r="AB450" s="2991"/>
      <c r="AC450" s="3010"/>
      <c r="AD450" s="3010"/>
      <c r="AF450" s="2730">
        <v>1</v>
      </c>
    </row>
    <row r="451" spans="2:32" ht="30" customHeight="1">
      <c r="B451" s="2998"/>
      <c r="C451" s="2840"/>
      <c r="D451" s="3132"/>
      <c r="E451" s="3154"/>
      <c r="F451" s="3132"/>
      <c r="G451" s="3155"/>
      <c r="H451" s="3132"/>
      <c r="I451" s="1"/>
      <c r="M451" s="1"/>
      <c r="N451" s="3111"/>
      <c r="O451" s="3168"/>
      <c r="P451" s="3113"/>
      <c r="Q451" s="3113"/>
      <c r="R451" s="3113"/>
      <c r="S451" s="3169"/>
      <c r="T451" s="3113"/>
      <c r="V451" s="3008"/>
      <c r="W451" s="3013"/>
      <c r="X451" s="3004"/>
      <c r="Y451" s="3004"/>
      <c r="AA451" s="3008"/>
      <c r="AB451" s="2991"/>
      <c r="AC451" s="3010"/>
      <c r="AD451" s="3010"/>
      <c r="AF451" s="2730">
        <v>1</v>
      </c>
    </row>
    <row r="452" spans="2:32" ht="30" customHeight="1">
      <c r="B452" s="2998"/>
      <c r="C452" s="2840"/>
      <c r="D452" s="3132"/>
      <c r="E452" s="3154"/>
      <c r="F452" s="3132"/>
      <c r="G452" s="3155"/>
      <c r="H452" s="3132"/>
      <c r="I452" s="1"/>
      <c r="M452" s="1"/>
      <c r="N452" s="3111"/>
      <c r="O452" s="3168"/>
      <c r="P452" s="3113"/>
      <c r="Q452" s="3113"/>
      <c r="R452" s="3113"/>
      <c r="S452" s="3169"/>
      <c r="T452" s="3113"/>
      <c r="V452" s="3008"/>
      <c r="W452" s="3013"/>
      <c r="X452" s="3004"/>
      <c r="Y452" s="3004"/>
      <c r="AA452" s="3008"/>
      <c r="AB452" s="2991"/>
      <c r="AC452" s="3010"/>
      <c r="AD452" s="3010"/>
      <c r="AF452" s="2730">
        <v>1</v>
      </c>
    </row>
    <row r="453" spans="2:32" ht="30" customHeight="1">
      <c r="B453" s="2998"/>
      <c r="C453" s="2840"/>
      <c r="D453" s="3132"/>
      <c r="E453" s="3154"/>
      <c r="F453" s="3132"/>
      <c r="G453" s="3155"/>
      <c r="H453" s="3132"/>
      <c r="I453" s="1"/>
      <c r="M453" s="1"/>
      <c r="N453" s="3111"/>
      <c r="O453" s="3168"/>
      <c r="P453" s="3113"/>
      <c r="Q453" s="3113"/>
      <c r="R453" s="3113"/>
      <c r="S453" s="3169"/>
      <c r="T453" s="3113"/>
      <c r="V453" s="3008"/>
      <c r="W453" s="3013"/>
      <c r="X453" s="3004"/>
      <c r="Y453" s="3004"/>
      <c r="AA453" s="3008"/>
      <c r="AB453" s="2991"/>
      <c r="AC453" s="3010"/>
      <c r="AD453" s="3010"/>
      <c r="AF453" s="2730">
        <v>1</v>
      </c>
    </row>
    <row r="454" spans="2:32" ht="30" customHeight="1">
      <c r="B454" s="2998"/>
      <c r="C454" s="2840"/>
      <c r="D454" s="3132"/>
      <c r="E454" s="3154"/>
      <c r="F454" s="3132"/>
      <c r="G454" s="3155"/>
      <c r="H454" s="3132"/>
      <c r="I454" s="1"/>
      <c r="M454" s="1"/>
      <c r="N454" s="3111"/>
      <c r="O454" s="3168"/>
      <c r="P454" s="3113"/>
      <c r="Q454" s="3113"/>
      <c r="R454" s="3113"/>
      <c r="S454" s="3169"/>
      <c r="T454" s="3113"/>
      <c r="V454" s="3008"/>
      <c r="W454" s="3013"/>
      <c r="X454" s="3004"/>
      <c r="Y454" s="3004"/>
      <c r="AA454" s="3008"/>
      <c r="AB454" s="2991"/>
      <c r="AC454" s="3010"/>
      <c r="AD454" s="3010"/>
      <c r="AF454" s="2730">
        <v>1</v>
      </c>
    </row>
    <row r="455" spans="2:32" ht="30" customHeight="1">
      <c r="B455" s="2998"/>
      <c r="C455" s="2840"/>
      <c r="D455" s="3132"/>
      <c r="E455" s="3154"/>
      <c r="F455" s="3132"/>
      <c r="G455" s="3155"/>
      <c r="H455" s="3132"/>
      <c r="I455" s="1"/>
      <c r="M455" s="1"/>
      <c r="N455" s="3111"/>
      <c r="O455" s="3168"/>
      <c r="P455" s="3113"/>
      <c r="Q455" s="3113"/>
      <c r="R455" s="3113"/>
      <c r="S455" s="3169"/>
      <c r="T455" s="3113"/>
      <c r="V455" s="3008"/>
      <c r="W455" s="3013"/>
      <c r="X455" s="3004"/>
      <c r="Y455" s="3004"/>
      <c r="AA455" s="3008"/>
      <c r="AB455" s="2991"/>
      <c r="AC455" s="3010"/>
      <c r="AD455" s="3010"/>
      <c r="AF455" s="2730">
        <v>1</v>
      </c>
    </row>
    <row r="456" spans="2:32" ht="30" customHeight="1">
      <c r="B456" s="2998"/>
      <c r="C456" s="2840"/>
      <c r="D456" s="3132"/>
      <c r="E456" s="3154"/>
      <c r="F456" s="3132"/>
      <c r="G456" s="3155"/>
      <c r="H456" s="3132"/>
      <c r="I456" s="1"/>
      <c r="M456" s="1"/>
      <c r="N456" s="3111"/>
      <c r="O456" s="3168"/>
      <c r="P456" s="3113"/>
      <c r="Q456" s="3113"/>
      <c r="R456" s="3113"/>
      <c r="S456" s="3169"/>
      <c r="T456" s="3113"/>
      <c r="V456" s="3008"/>
      <c r="W456" s="3013"/>
      <c r="X456" s="3004"/>
      <c r="Y456" s="3004"/>
      <c r="AA456" s="3008"/>
      <c r="AB456" s="2991"/>
      <c r="AC456" s="3010"/>
      <c r="AD456" s="3010"/>
      <c r="AF456" s="2730">
        <v>1</v>
      </c>
    </row>
    <row r="457" spans="2:32" ht="30" customHeight="1">
      <c r="B457" s="2998"/>
      <c r="C457" s="2840"/>
      <c r="D457" s="3132"/>
      <c r="E457" s="3154"/>
      <c r="F457" s="3132"/>
      <c r="G457" s="3155"/>
      <c r="H457" s="3132"/>
      <c r="I457" s="1"/>
      <c r="M457" s="1"/>
      <c r="N457" s="3111"/>
      <c r="O457" s="3168"/>
      <c r="P457" s="3113"/>
      <c r="Q457" s="3113"/>
      <c r="R457" s="3113"/>
      <c r="S457" s="3169"/>
      <c r="T457" s="3113"/>
      <c r="V457" s="3008"/>
      <c r="W457" s="3013"/>
      <c r="X457" s="3004"/>
      <c r="Y457" s="3004"/>
      <c r="AA457" s="3008"/>
      <c r="AB457" s="2991"/>
      <c r="AC457" s="3010"/>
      <c r="AD457" s="3010"/>
      <c r="AF457" s="2730">
        <v>1</v>
      </c>
    </row>
    <row r="458" spans="2:32" ht="30" customHeight="1">
      <c r="B458" s="2998"/>
      <c r="C458" s="2840"/>
      <c r="D458" s="3132"/>
      <c r="E458" s="3154"/>
      <c r="F458" s="3132"/>
      <c r="G458" s="3155"/>
      <c r="H458" s="3132"/>
      <c r="I458" s="1"/>
      <c r="M458" s="1"/>
      <c r="N458" s="3111"/>
      <c r="O458" s="3168"/>
      <c r="P458" s="3113"/>
      <c r="Q458" s="3113"/>
      <c r="R458" s="3113"/>
      <c r="S458" s="3169"/>
      <c r="T458" s="3113"/>
      <c r="V458" s="3008"/>
      <c r="W458" s="3013"/>
      <c r="X458" s="3004"/>
      <c r="Y458" s="3004"/>
      <c r="AA458" s="3008"/>
      <c r="AB458" s="2991"/>
      <c r="AC458" s="3010"/>
      <c r="AD458" s="3010"/>
      <c r="AF458" s="2730">
        <v>1</v>
      </c>
    </row>
    <row r="459" spans="2:32" ht="30" customHeight="1">
      <c r="B459" s="2998"/>
      <c r="C459" s="2840"/>
      <c r="D459" s="3132"/>
      <c r="E459" s="3154"/>
      <c r="F459" s="3132"/>
      <c r="G459" s="3155"/>
      <c r="H459" s="3132"/>
      <c r="I459" s="1"/>
      <c r="M459" s="1"/>
      <c r="N459" s="3111"/>
      <c r="O459" s="3168"/>
      <c r="P459" s="3113"/>
      <c r="Q459" s="3113"/>
      <c r="R459" s="3113"/>
      <c r="S459" s="3169"/>
      <c r="T459" s="3113"/>
      <c r="V459" s="3008"/>
      <c r="W459" s="3013"/>
      <c r="X459" s="3004"/>
      <c r="Y459" s="3004"/>
      <c r="AA459" s="3008"/>
      <c r="AB459" s="2991"/>
      <c r="AC459" s="3010"/>
      <c r="AD459" s="3010"/>
      <c r="AF459" s="2730">
        <v>1</v>
      </c>
    </row>
    <row r="460" spans="2:32" ht="30" customHeight="1">
      <c r="B460" s="2998"/>
      <c r="C460" s="2840"/>
      <c r="D460" s="3132"/>
      <c r="E460" s="3154"/>
      <c r="F460" s="3132"/>
      <c r="G460" s="3155"/>
      <c r="H460" s="3132"/>
      <c r="I460" s="1"/>
      <c r="M460" s="1"/>
      <c r="N460" s="3111"/>
      <c r="O460" s="3168"/>
      <c r="P460" s="3113"/>
      <c r="Q460" s="3113"/>
      <c r="R460" s="3113"/>
      <c r="S460" s="3169"/>
      <c r="T460" s="3113"/>
      <c r="V460" s="3008"/>
      <c r="W460" s="3013"/>
      <c r="X460" s="3004"/>
      <c r="Y460" s="3004"/>
      <c r="AA460" s="3008"/>
      <c r="AB460" s="2991"/>
      <c r="AC460" s="3010"/>
      <c r="AD460" s="3010"/>
      <c r="AF460" s="2730">
        <v>1</v>
      </c>
    </row>
    <row r="461" spans="2:32" ht="30" customHeight="1">
      <c r="B461" s="2998"/>
      <c r="C461" s="2840"/>
      <c r="D461" s="3132"/>
      <c r="E461" s="3154"/>
      <c r="F461" s="3132"/>
      <c r="G461" s="3155"/>
      <c r="H461" s="3132"/>
      <c r="I461" s="1"/>
      <c r="M461" s="1"/>
      <c r="N461" s="3111"/>
      <c r="O461" s="3168"/>
      <c r="P461" s="3113"/>
      <c r="Q461" s="3113"/>
      <c r="R461" s="3113"/>
      <c r="S461" s="3169"/>
      <c r="T461" s="3113"/>
      <c r="V461" s="3008"/>
      <c r="W461" s="3013"/>
      <c r="X461" s="3004"/>
      <c r="Y461" s="3004"/>
      <c r="AA461" s="3008"/>
      <c r="AB461" s="2991"/>
      <c r="AC461" s="3010"/>
      <c r="AD461" s="3010"/>
      <c r="AF461" s="2730">
        <v>1</v>
      </c>
    </row>
    <row r="462" spans="2:32" ht="30" customHeight="1">
      <c r="B462" s="2998"/>
      <c r="C462" s="2840"/>
      <c r="D462" s="3132"/>
      <c r="E462" s="3154"/>
      <c r="F462" s="3132"/>
      <c r="G462" s="3155"/>
      <c r="H462" s="3132"/>
      <c r="I462" s="1"/>
      <c r="M462" s="1"/>
      <c r="N462" s="3111"/>
      <c r="O462" s="3168"/>
      <c r="P462" s="3113"/>
      <c r="Q462" s="3113"/>
      <c r="R462" s="3113"/>
      <c r="S462" s="3169"/>
      <c r="T462" s="3113"/>
      <c r="V462" s="3008"/>
      <c r="W462" s="3013"/>
      <c r="X462" s="3004"/>
      <c r="Y462" s="3004"/>
      <c r="AA462" s="3008"/>
      <c r="AB462" s="2991"/>
      <c r="AC462" s="3010"/>
      <c r="AD462" s="3010"/>
      <c r="AF462" s="2730">
        <v>1</v>
      </c>
    </row>
    <row r="463" spans="2:32" ht="30" customHeight="1">
      <c r="B463" s="2998"/>
      <c r="C463" s="2840"/>
      <c r="D463" s="3132"/>
      <c r="E463" s="3154"/>
      <c r="F463" s="3132"/>
      <c r="G463" s="3155"/>
      <c r="H463" s="3132"/>
      <c r="I463" s="1"/>
      <c r="M463" s="1"/>
      <c r="N463" s="3111"/>
      <c r="O463" s="3168"/>
      <c r="P463" s="3113"/>
      <c r="Q463" s="3113"/>
      <c r="R463" s="3113"/>
      <c r="S463" s="3169"/>
      <c r="T463" s="3113"/>
      <c r="V463" s="3008"/>
      <c r="W463" s="3013"/>
      <c r="X463" s="3004"/>
      <c r="Y463" s="3004"/>
      <c r="AA463" s="3008"/>
      <c r="AB463" s="2991"/>
      <c r="AC463" s="3010"/>
      <c r="AD463" s="3010"/>
      <c r="AF463" s="2730">
        <v>1</v>
      </c>
    </row>
    <row r="464" spans="2:32" ht="30" customHeight="1">
      <c r="B464" s="2998"/>
      <c r="C464" s="2840"/>
      <c r="D464" s="3132"/>
      <c r="E464" s="3154"/>
      <c r="F464" s="3132"/>
      <c r="G464" s="3155"/>
      <c r="H464" s="3132"/>
      <c r="I464" s="1"/>
      <c r="M464" s="1"/>
      <c r="N464" s="3111"/>
      <c r="O464" s="3168"/>
      <c r="P464" s="3113"/>
      <c r="Q464" s="3113"/>
      <c r="R464" s="3113"/>
      <c r="S464" s="3169"/>
      <c r="T464" s="3113"/>
      <c r="V464" s="3008"/>
      <c r="W464" s="3013"/>
      <c r="X464" s="3004"/>
      <c r="Y464" s="3004"/>
      <c r="AA464" s="3008"/>
      <c r="AB464" s="2991"/>
      <c r="AC464" s="3010"/>
      <c r="AD464" s="3010"/>
      <c r="AF464" s="2730">
        <v>1</v>
      </c>
    </row>
    <row r="465" spans="1:34" ht="30" customHeight="1">
      <c r="B465" s="2998"/>
      <c r="C465" s="2840"/>
      <c r="D465" s="3132"/>
      <c r="E465" s="3154"/>
      <c r="F465" s="3132"/>
      <c r="G465" s="3155"/>
      <c r="H465" s="3132"/>
      <c r="I465" s="1"/>
      <c r="M465" s="1"/>
      <c r="N465" s="3111"/>
      <c r="O465" s="3168"/>
      <c r="P465" s="3113"/>
      <c r="Q465" s="3113"/>
      <c r="R465" s="3113"/>
      <c r="S465" s="3169"/>
      <c r="T465" s="3113"/>
      <c r="V465" s="3008"/>
      <c r="W465" s="3013"/>
      <c r="X465" s="3004"/>
      <c r="Y465" s="3004"/>
      <c r="AA465" s="3008"/>
      <c r="AB465" s="2991"/>
      <c r="AC465" s="3010"/>
      <c r="AD465" s="3010"/>
      <c r="AF465" s="2730">
        <v>1</v>
      </c>
    </row>
    <row r="466" spans="1:34" ht="30" customHeight="1">
      <c r="B466" s="2998"/>
      <c r="C466" s="2840"/>
      <c r="D466" s="3132"/>
      <c r="E466" s="3154"/>
      <c r="F466" s="3132"/>
      <c r="G466" s="3155"/>
      <c r="H466" s="3132"/>
      <c r="I466" s="1"/>
      <c r="M466" s="1"/>
      <c r="N466" s="3111"/>
      <c r="O466" s="3168"/>
      <c r="P466" s="3113"/>
      <c r="Q466" s="3113"/>
      <c r="R466" s="3113"/>
      <c r="S466" s="3169"/>
      <c r="T466" s="3113"/>
      <c r="V466" s="3008"/>
      <c r="W466" s="3013"/>
      <c r="X466" s="3004"/>
      <c r="Y466" s="3004"/>
      <c r="AA466" s="3008"/>
      <c r="AB466" s="2991"/>
      <c r="AC466" s="3010"/>
      <c r="AD466" s="3010"/>
      <c r="AF466" s="2730">
        <v>1</v>
      </c>
    </row>
    <row r="467" spans="1:34" ht="30" customHeight="1">
      <c r="B467" s="2998"/>
      <c r="C467" s="2840"/>
      <c r="D467" s="3132"/>
      <c r="E467" s="3154"/>
      <c r="F467" s="3132"/>
      <c r="G467" s="3155"/>
      <c r="H467" s="3132"/>
      <c r="I467" s="1"/>
      <c r="M467" s="1"/>
      <c r="N467" s="3111"/>
      <c r="O467" s="3168"/>
      <c r="P467" s="3113"/>
      <c r="Q467" s="3113"/>
      <c r="R467" s="3113"/>
      <c r="S467" s="3169"/>
      <c r="T467" s="3113"/>
      <c r="V467" s="3008"/>
      <c r="W467" s="3013"/>
      <c r="X467" s="3004"/>
      <c r="Y467" s="3004"/>
      <c r="AA467" s="3008"/>
      <c r="AB467" s="2991"/>
      <c r="AC467" s="3010"/>
      <c r="AD467" s="3010"/>
      <c r="AF467" s="2730">
        <v>1</v>
      </c>
    </row>
    <row r="468" spans="1:34" ht="30" customHeight="1">
      <c r="B468" s="2998"/>
      <c r="C468" s="2840"/>
      <c r="D468" s="3132"/>
      <c r="E468" s="3154"/>
      <c r="F468" s="3132"/>
      <c r="G468" s="3155"/>
      <c r="H468" s="3132"/>
      <c r="I468" s="1"/>
      <c r="M468" s="1"/>
      <c r="N468" s="3111"/>
      <c r="O468" s="3168"/>
      <c r="P468" s="3113"/>
      <c r="Q468" s="3113"/>
      <c r="R468" s="3113"/>
      <c r="S468" s="3169"/>
      <c r="T468" s="3113"/>
      <c r="V468" s="3008"/>
      <c r="W468" s="3013"/>
      <c r="X468" s="3004"/>
      <c r="Y468" s="3004"/>
      <c r="AA468" s="3008"/>
      <c r="AB468" s="2991"/>
      <c r="AC468" s="3010"/>
      <c r="AD468" s="3010"/>
      <c r="AF468" s="2731" t="s">
        <v>7037</v>
      </c>
    </row>
    <row r="469" spans="1:34">
      <c r="A469" s="2730">
        <v>1</v>
      </c>
      <c r="B469" s="2730">
        <v>1</v>
      </c>
      <c r="C469" s="2730">
        <v>1</v>
      </c>
      <c r="D469" s="2730">
        <v>1</v>
      </c>
      <c r="E469" s="2730">
        <v>1</v>
      </c>
      <c r="F469" s="2730">
        <v>1</v>
      </c>
      <c r="G469" s="2730">
        <v>1</v>
      </c>
      <c r="H469" s="2730">
        <v>1</v>
      </c>
      <c r="I469" s="2730">
        <v>1</v>
      </c>
      <c r="J469" s="2730">
        <v>1</v>
      </c>
      <c r="K469" s="2730">
        <v>1</v>
      </c>
      <c r="L469" s="2730">
        <v>1</v>
      </c>
      <c r="M469" s="2730">
        <v>1</v>
      </c>
      <c r="N469" s="2730">
        <v>1</v>
      </c>
      <c r="O469" s="2730">
        <v>1</v>
      </c>
      <c r="P469" s="2730">
        <v>1</v>
      </c>
      <c r="Q469" s="2730">
        <v>1</v>
      </c>
      <c r="R469" s="2730">
        <v>1</v>
      </c>
      <c r="S469" s="2730">
        <v>1</v>
      </c>
      <c r="T469" s="2730">
        <v>1</v>
      </c>
      <c r="U469" s="2730">
        <v>1</v>
      </c>
      <c r="V469" s="2730">
        <v>1</v>
      </c>
      <c r="W469" s="2730">
        <v>1</v>
      </c>
      <c r="X469" s="2730">
        <v>1</v>
      </c>
      <c r="Y469" s="2730">
        <v>1</v>
      </c>
      <c r="Z469" s="2730">
        <v>1</v>
      </c>
      <c r="AA469" s="2730">
        <v>1</v>
      </c>
      <c r="AB469" s="2730">
        <v>1</v>
      </c>
      <c r="AC469" s="2730">
        <v>1</v>
      </c>
      <c r="AD469" s="2730">
        <v>1</v>
      </c>
      <c r="AE469" s="2730">
        <v>1</v>
      </c>
      <c r="AF469" s="2732" t="str">
        <f>ADDRESS(ROW(),COLUMN(),4)</f>
        <v>AF469</v>
      </c>
      <c r="AG469" s="3095"/>
      <c r="AH469" s="3096" t="str">
        <f>ADDRESS(ROW(),COLUMN(),4)</f>
        <v>AH469</v>
      </c>
    </row>
  </sheetData>
  <mergeCells count="40">
    <mergeCell ref="K8:L8"/>
    <mergeCell ref="AB8:AD8"/>
    <mergeCell ref="C4:H5"/>
    <mergeCell ref="K4:L5"/>
    <mergeCell ref="N4:T5"/>
    <mergeCell ref="V4:Y5"/>
    <mergeCell ref="AA4:AD5"/>
    <mergeCell ref="AB10:AD10"/>
    <mergeCell ref="K22:L22"/>
    <mergeCell ref="AB32:AB33"/>
    <mergeCell ref="AC32:AC33"/>
    <mergeCell ref="AD32:AD33"/>
    <mergeCell ref="K33:L33"/>
    <mergeCell ref="AB37:AB38"/>
    <mergeCell ref="AC37:AC38"/>
    <mergeCell ref="AD37:AD38"/>
    <mergeCell ref="K43:L43"/>
    <mergeCell ref="AB46:AB47"/>
    <mergeCell ref="AC46:AC47"/>
    <mergeCell ref="AD46:AD47"/>
    <mergeCell ref="AA73:AA74"/>
    <mergeCell ref="AB73:AB74"/>
    <mergeCell ref="AC73:AC74"/>
    <mergeCell ref="AD73:AD74"/>
    <mergeCell ref="K48:L48"/>
    <mergeCell ref="K51:L51"/>
    <mergeCell ref="K54:L54"/>
    <mergeCell ref="K57:L57"/>
    <mergeCell ref="K59:L59"/>
    <mergeCell ref="AA65:AA66"/>
    <mergeCell ref="AB65:AB66"/>
    <mergeCell ref="AC65:AC66"/>
    <mergeCell ref="AD65:AD66"/>
    <mergeCell ref="K67:L67"/>
    <mergeCell ref="K69:L69"/>
    <mergeCell ref="AB76:AB77"/>
    <mergeCell ref="K77:L77"/>
    <mergeCell ref="K91:L91"/>
    <mergeCell ref="K97:L97"/>
    <mergeCell ref="K102:L102"/>
  </mergeCells>
  <hyperlinks>
    <hyperlink ref="AB78" r:id="rId1" xr:uid="{532B6C24-E004-4C57-8E91-4D690A5F8D09}"/>
  </hyperlinks>
  <pageMargins left="0.7" right="0.7" top="0.75" bottom="0.75" header="0.3" footer="0.3"/>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1ADE2-29FF-41A8-AE74-CF55F1C56303}">
  <dimension ref="A1:R165"/>
  <sheetViews>
    <sheetView workbookViewId="0">
      <selection activeCell="A8" sqref="A8"/>
    </sheetView>
  </sheetViews>
  <sheetFormatPr baseColWidth="10" defaultColWidth="11.42578125" defaultRowHeight="15.75"/>
  <cols>
    <col min="1" max="1" width="6.85546875" style="5227" customWidth="1"/>
    <col min="2" max="2" width="16.7109375" style="5227" customWidth="1"/>
    <col min="3" max="3" width="11.42578125" style="5227"/>
    <col min="4" max="4" width="16.85546875" style="5227" customWidth="1"/>
    <col min="5" max="5" width="11.42578125" style="5227"/>
    <col min="6" max="6" width="14.42578125" style="5227" customWidth="1"/>
    <col min="7" max="10" width="11.42578125" style="5227"/>
    <col min="11" max="11" width="13.42578125" style="5227" customWidth="1"/>
    <col min="12" max="12" width="11.42578125" style="5227"/>
    <col min="13" max="13" width="18.7109375" style="5227" customWidth="1"/>
    <col min="14" max="14" width="11.42578125" style="5227"/>
    <col min="15" max="15" width="13.85546875" style="5227" customWidth="1"/>
    <col min="16" max="16" width="11.42578125" style="5227"/>
    <col min="17" max="17" width="36.5703125" style="5227" customWidth="1"/>
    <col min="18" max="16384" width="11.42578125" style="5227"/>
  </cols>
  <sheetData>
    <row r="1" spans="1:18" ht="16.5" thickTop="1">
      <c r="A1" s="2952" t="str">
        <f t="shared" ref="A1:Q1" si="0">SUBSTITUTE(ADDRESS(1,COLUMN(),4),"1","")</f>
        <v>A</v>
      </c>
      <c r="B1" s="2952" t="str">
        <f t="shared" si="0"/>
        <v>B</v>
      </c>
      <c r="C1" s="2952" t="str">
        <f t="shared" si="0"/>
        <v>C</v>
      </c>
      <c r="D1" s="2952" t="str">
        <f t="shared" si="0"/>
        <v>D</v>
      </c>
      <c r="E1" s="2952" t="str">
        <f t="shared" si="0"/>
        <v>E</v>
      </c>
      <c r="F1" s="2952" t="str">
        <f t="shared" si="0"/>
        <v>F</v>
      </c>
      <c r="G1" s="2952" t="str">
        <f t="shared" si="0"/>
        <v>G</v>
      </c>
      <c r="H1" s="2952" t="str">
        <f t="shared" si="0"/>
        <v>H</v>
      </c>
      <c r="I1" s="2952" t="str">
        <f t="shared" si="0"/>
        <v>I</v>
      </c>
      <c r="J1" s="2952" t="str">
        <f t="shared" si="0"/>
        <v>J</v>
      </c>
      <c r="K1" s="2952" t="str">
        <f t="shared" si="0"/>
        <v>K</v>
      </c>
      <c r="L1" s="2952" t="str">
        <f t="shared" si="0"/>
        <v>L</v>
      </c>
      <c r="M1" s="2952" t="str">
        <f t="shared" si="0"/>
        <v>M</v>
      </c>
      <c r="N1" s="2952" t="str">
        <f t="shared" si="0"/>
        <v>N</v>
      </c>
      <c r="O1" s="2952" t="str">
        <f t="shared" si="0"/>
        <v>O</v>
      </c>
      <c r="P1" s="2952" t="str">
        <f t="shared" si="0"/>
        <v>P</v>
      </c>
      <c r="Q1" s="2952" t="str">
        <f t="shared" si="0"/>
        <v>Q</v>
      </c>
      <c r="R1" s="2730">
        <v>1</v>
      </c>
    </row>
    <row r="2" spans="1:18">
      <c r="A2" s="2727">
        <f t="shared" ref="A2:Q2" ca="1" si="1">CELL("largeur",A2)</f>
        <v>6</v>
      </c>
      <c r="B2" s="2727">
        <f t="shared" ca="1" si="1"/>
        <v>16</v>
      </c>
      <c r="C2" s="2727">
        <f t="shared" ca="1" si="1"/>
        <v>11</v>
      </c>
      <c r="D2" s="2727">
        <f t="shared" ca="1" si="1"/>
        <v>16</v>
      </c>
      <c r="E2" s="2727">
        <f t="shared" ca="1" si="1"/>
        <v>11</v>
      </c>
      <c r="F2" s="2727">
        <f t="shared" ca="1" si="1"/>
        <v>14</v>
      </c>
      <c r="G2" s="2727">
        <f t="shared" ca="1" si="1"/>
        <v>11</v>
      </c>
      <c r="H2" s="2727">
        <f t="shared" ca="1" si="1"/>
        <v>11</v>
      </c>
      <c r="I2" s="2727">
        <f t="shared" ca="1" si="1"/>
        <v>11</v>
      </c>
      <c r="J2" s="2727">
        <f t="shared" ca="1" si="1"/>
        <v>11</v>
      </c>
      <c r="K2" s="2727">
        <f t="shared" ca="1" si="1"/>
        <v>13</v>
      </c>
      <c r="L2" s="2727">
        <f t="shared" ca="1" si="1"/>
        <v>11</v>
      </c>
      <c r="M2" s="2727">
        <f t="shared" ca="1" si="1"/>
        <v>18</v>
      </c>
      <c r="N2" s="2727">
        <f t="shared" ca="1" si="1"/>
        <v>11</v>
      </c>
      <c r="O2" s="2727">
        <f t="shared" ca="1" si="1"/>
        <v>13</v>
      </c>
      <c r="P2" s="2727">
        <f t="shared" ca="1" si="1"/>
        <v>11</v>
      </c>
      <c r="Q2" s="2727">
        <f t="shared" ca="1" si="1"/>
        <v>36</v>
      </c>
      <c r="R2" s="2730">
        <v>1</v>
      </c>
    </row>
    <row r="3" spans="1:18">
      <c r="A3" s="2728">
        <v>6</v>
      </c>
      <c r="B3" s="2728">
        <v>16</v>
      </c>
      <c r="C3" s="2728">
        <v>11</v>
      </c>
      <c r="D3" s="2728">
        <v>16</v>
      </c>
      <c r="E3" s="2728">
        <v>11</v>
      </c>
      <c r="F3" s="2728">
        <v>14</v>
      </c>
      <c r="G3" s="2728">
        <v>11</v>
      </c>
      <c r="H3" s="2728">
        <v>11</v>
      </c>
      <c r="I3" s="2728">
        <v>11</v>
      </c>
      <c r="J3" s="2728">
        <v>11</v>
      </c>
      <c r="K3" s="2728">
        <v>13</v>
      </c>
      <c r="L3" s="2728">
        <v>11</v>
      </c>
      <c r="M3" s="2728">
        <v>18</v>
      </c>
      <c r="N3" s="2728">
        <v>11</v>
      </c>
      <c r="O3" s="2728">
        <v>13</v>
      </c>
      <c r="P3" s="2728">
        <v>11</v>
      </c>
      <c r="Q3" s="2728">
        <v>11</v>
      </c>
      <c r="R3" s="2730">
        <v>1</v>
      </c>
    </row>
    <row r="4" spans="1:18" s="5229" customFormat="1" ht="33.75">
      <c r="A4" s="5228">
        <f>(ROW())</f>
        <v>4</v>
      </c>
      <c r="B4" s="9171" t="s">
        <v>14786</v>
      </c>
      <c r="C4" s="9171"/>
      <c r="D4" s="9171"/>
      <c r="E4" s="9171"/>
      <c r="F4" s="9171"/>
      <c r="G4" s="9171"/>
      <c r="H4" s="9171"/>
      <c r="I4" s="9171"/>
      <c r="J4" s="9171"/>
      <c r="K4" s="9171"/>
      <c r="L4" s="9171"/>
      <c r="M4" s="9171"/>
      <c r="N4" s="9171"/>
      <c r="O4" s="9171"/>
      <c r="P4" s="9171"/>
      <c r="Q4" s="9171"/>
      <c r="R4" s="2730">
        <v>1</v>
      </c>
    </row>
    <row r="5" spans="1:18" s="5229" customFormat="1" ht="18.75">
      <c r="A5" s="5230"/>
      <c r="B5" s="5231"/>
      <c r="C5" s="5232"/>
      <c r="D5" s="5232"/>
      <c r="E5" s="5232"/>
      <c r="F5" s="5232"/>
      <c r="G5" s="5232"/>
      <c r="H5" s="5233"/>
      <c r="I5" s="5233"/>
      <c r="J5" s="5233"/>
      <c r="K5" s="5233"/>
      <c r="L5" s="5233"/>
      <c r="M5" s="5233"/>
      <c r="N5" s="5233"/>
      <c r="O5" s="5233"/>
      <c r="P5" s="5234" t="s">
        <v>7044</v>
      </c>
      <c r="Q5" s="2732" t="str">
        <f>R165</f>
        <v>R165</v>
      </c>
      <c r="R5" s="2730">
        <v>1</v>
      </c>
    </row>
    <row r="6" spans="1:18" s="5229" customFormat="1" ht="27" customHeight="1">
      <c r="A6" s="5235" t="s">
        <v>67</v>
      </c>
      <c r="B6" s="9259" t="s">
        <v>14787</v>
      </c>
      <c r="C6" s="9259"/>
      <c r="D6" s="9259"/>
      <c r="E6" s="9259"/>
      <c r="F6" s="9259"/>
      <c r="G6" s="9259"/>
      <c r="H6" s="9259"/>
      <c r="I6" s="9259"/>
      <c r="J6" s="9259"/>
      <c r="K6" s="9259"/>
      <c r="L6" s="9259"/>
      <c r="M6" s="9259"/>
      <c r="N6" s="9259"/>
      <c r="O6" s="9259"/>
      <c r="P6" s="9259"/>
      <c r="Q6" s="9259"/>
      <c r="R6" s="2730">
        <v>1</v>
      </c>
    </row>
    <row r="7" spans="1:18" s="5229" customFormat="1" ht="27" customHeight="1">
      <c r="A7" s="5236"/>
      <c r="B7" s="9259"/>
      <c r="C7" s="9259"/>
      <c r="D7" s="9259"/>
      <c r="E7" s="9259"/>
      <c r="F7" s="9259"/>
      <c r="G7" s="9259"/>
      <c r="H7" s="9259"/>
      <c r="I7" s="9259"/>
      <c r="J7" s="9259"/>
      <c r="K7" s="9259"/>
      <c r="L7" s="9259"/>
      <c r="M7" s="9259"/>
      <c r="N7" s="9259"/>
      <c r="O7" s="9259"/>
      <c r="P7" s="9259"/>
      <c r="Q7" s="9259"/>
      <c r="R7" s="2730">
        <v>1</v>
      </c>
    </row>
    <row r="8" spans="1:18" s="5229" customFormat="1">
      <c r="A8" s="5230"/>
      <c r="B8" s="5231"/>
      <c r="C8" s="5232"/>
      <c r="D8" s="5232"/>
      <c r="E8" s="5232"/>
      <c r="F8" s="5232"/>
      <c r="G8" s="5232"/>
      <c r="H8" s="5233"/>
      <c r="I8" s="5233"/>
      <c r="J8" s="5233"/>
      <c r="K8" s="5233"/>
      <c r="L8" s="5233"/>
      <c r="M8" s="5233"/>
      <c r="N8" s="5233"/>
      <c r="O8" s="5233"/>
      <c r="P8" s="5233"/>
      <c r="Q8" s="5237" t="str">
        <f ca="1">"Page N°"&amp;_xlfn.SHEET()</f>
        <v>Page N°32</v>
      </c>
      <c r="R8" s="2730">
        <v>1</v>
      </c>
    </row>
    <row r="9" spans="1:18" s="5229" customFormat="1" ht="21">
      <c r="A9" s="5230"/>
      <c r="B9" s="5231"/>
      <c r="C9" s="5238" t="s">
        <v>323</v>
      </c>
      <c r="D9" s="5238"/>
      <c r="E9" s="5233"/>
      <c r="F9" s="5233"/>
      <c r="G9" s="5233"/>
      <c r="H9" s="5233"/>
      <c r="I9" s="5233"/>
      <c r="J9" s="5233"/>
      <c r="K9" s="5233"/>
      <c r="L9" s="5233"/>
      <c r="M9" s="5233"/>
      <c r="N9" s="5233"/>
      <c r="O9" s="5233"/>
      <c r="P9" s="5233"/>
      <c r="Q9" s="5230"/>
      <c r="R9" s="2730">
        <v>1</v>
      </c>
    </row>
    <row r="10" spans="1:18" s="5229" customFormat="1" ht="21">
      <c r="A10" s="5230"/>
      <c r="B10" s="5231"/>
      <c r="C10" s="5239" t="str">
        <f>B23</f>
        <v>B23</v>
      </c>
      <c r="D10" s="5240" t="s">
        <v>14788</v>
      </c>
      <c r="E10" s="5241"/>
      <c r="F10" s="5241"/>
      <c r="G10" s="5241"/>
      <c r="H10" s="5241"/>
      <c r="I10" s="5241"/>
      <c r="J10" s="5241"/>
      <c r="K10" s="5233"/>
      <c r="L10" s="5233"/>
      <c r="M10" s="5233"/>
      <c r="N10" s="5233"/>
      <c r="O10" s="5233"/>
      <c r="P10" s="5233"/>
      <c r="Q10" s="5230"/>
      <c r="R10" s="2730">
        <v>1</v>
      </c>
    </row>
    <row r="11" spans="1:18" s="5229" customFormat="1">
      <c r="A11" s="5230"/>
      <c r="B11" s="5231"/>
      <c r="C11" s="5231"/>
      <c r="D11" s="5232"/>
      <c r="E11" s="5232"/>
      <c r="F11" s="5232"/>
      <c r="G11" s="5232"/>
      <c r="H11" s="5233"/>
      <c r="I11" s="5233"/>
      <c r="J11" s="5233"/>
      <c r="K11" s="5233"/>
      <c r="L11" s="5233"/>
      <c r="M11" s="5233"/>
      <c r="N11" s="5233"/>
      <c r="O11" s="5233"/>
      <c r="P11" s="5233"/>
      <c r="Q11" s="5230"/>
      <c r="R11" s="2730">
        <v>1</v>
      </c>
    </row>
    <row r="12" spans="1:18" s="5229" customFormat="1" ht="21">
      <c r="A12" s="5230"/>
      <c r="B12" s="5231"/>
      <c r="C12" s="5238" t="s">
        <v>56</v>
      </c>
      <c r="D12" s="5238"/>
      <c r="E12" s="5238" t="s">
        <v>55</v>
      </c>
      <c r="F12" s="5242"/>
      <c r="G12" s="5243"/>
      <c r="H12" s="5233"/>
      <c r="I12" s="5233"/>
      <c r="J12" s="5238" t="s">
        <v>370</v>
      </c>
      <c r="K12" s="5238"/>
      <c r="L12" s="5238" t="s">
        <v>55</v>
      </c>
      <c r="M12" s="5242"/>
      <c r="N12" s="5242"/>
      <c r="O12" s="5243"/>
      <c r="P12" s="5233"/>
      <c r="Q12" s="5230"/>
      <c r="R12" s="2730">
        <v>1</v>
      </c>
    </row>
    <row r="13" spans="1:18" s="5229" customFormat="1" ht="21">
      <c r="A13" s="5230"/>
      <c r="B13" s="5231"/>
      <c r="C13" s="5239" t="str">
        <f>B38</f>
        <v>B38</v>
      </c>
      <c r="D13" s="5240" t="s">
        <v>14788</v>
      </c>
      <c r="E13" s="5241"/>
      <c r="F13" s="5241"/>
      <c r="G13" s="5241"/>
      <c r="H13" s="5233"/>
      <c r="I13" s="5233"/>
      <c r="J13" s="5239" t="str">
        <f>K38</f>
        <v>K38</v>
      </c>
      <c r="K13" s="5240" t="s">
        <v>14788</v>
      </c>
      <c r="L13" s="5241"/>
      <c r="M13" s="5241"/>
      <c r="N13" s="5241"/>
      <c r="O13" s="5241"/>
      <c r="P13" s="5233"/>
      <c r="Q13" s="5230"/>
      <c r="R13" s="2730">
        <v>1</v>
      </c>
    </row>
    <row r="14" spans="1:18" s="5229" customFormat="1">
      <c r="A14" s="5230"/>
      <c r="B14" s="5231"/>
      <c r="C14" s="5231"/>
      <c r="D14" s="5232"/>
      <c r="E14" s="5232"/>
      <c r="F14" s="5232"/>
      <c r="G14" s="5232"/>
      <c r="H14" s="5233"/>
      <c r="I14" s="5233"/>
      <c r="J14" s="5233"/>
      <c r="K14" s="5233"/>
      <c r="L14" s="5233"/>
      <c r="M14" s="5233"/>
      <c r="N14" s="5233"/>
      <c r="O14" s="5233"/>
      <c r="P14" s="5233"/>
      <c r="Q14" s="5230"/>
      <c r="R14" s="2730">
        <v>1</v>
      </c>
    </row>
    <row r="15" spans="1:18" s="5229" customFormat="1" ht="15" customHeight="1">
      <c r="A15" s="5230"/>
      <c r="B15" s="5231"/>
      <c r="C15" s="5238" t="s">
        <v>452</v>
      </c>
      <c r="D15" s="5238"/>
      <c r="E15" s="5232"/>
      <c r="F15" s="5232"/>
      <c r="G15" s="5232"/>
      <c r="H15" s="5233"/>
      <c r="I15" s="5233"/>
      <c r="J15" s="5238" t="s">
        <v>453</v>
      </c>
      <c r="K15" s="5238"/>
      <c r="L15" s="5233"/>
      <c r="M15" s="5233"/>
      <c r="N15" s="5233"/>
      <c r="O15" s="5233"/>
      <c r="P15" s="5233"/>
      <c r="Q15" s="5230"/>
      <c r="R15" s="2730">
        <v>1</v>
      </c>
    </row>
    <row r="16" spans="1:18" s="5229" customFormat="1" ht="21">
      <c r="A16" s="5230"/>
      <c r="B16" s="5231"/>
      <c r="C16" s="5239" t="str">
        <f>B53</f>
        <v>B53</v>
      </c>
      <c r="D16" s="5240" t="s">
        <v>14788</v>
      </c>
      <c r="E16" s="5232"/>
      <c r="F16" s="5232"/>
      <c r="G16" s="5232"/>
      <c r="H16" s="5233"/>
      <c r="I16" s="5233"/>
      <c r="J16" s="5239" t="str">
        <f>K53</f>
        <v>K53</v>
      </c>
      <c r="K16" s="5240" t="s">
        <v>14788</v>
      </c>
      <c r="L16" s="5233"/>
      <c r="M16" s="5233"/>
      <c r="N16" s="5233"/>
      <c r="O16" s="5233"/>
      <c r="P16" s="5233"/>
      <c r="Q16" s="5230"/>
      <c r="R16" s="2730">
        <v>1</v>
      </c>
    </row>
    <row r="17" spans="1:18" s="5229" customFormat="1">
      <c r="A17" s="5230"/>
      <c r="B17" s="5231"/>
      <c r="C17" s="5232"/>
      <c r="D17" s="5232"/>
      <c r="E17" s="5232"/>
      <c r="F17" s="5232"/>
      <c r="G17" s="5232"/>
      <c r="H17" s="5233"/>
      <c r="I17" s="5233"/>
      <c r="J17" s="5233"/>
      <c r="K17" s="5233"/>
      <c r="L17" s="5233"/>
      <c r="M17" s="5233"/>
      <c r="N17" s="5233"/>
      <c r="O17" s="5233"/>
      <c r="P17" s="5233"/>
      <c r="Q17" s="5230"/>
      <c r="R17" s="2730">
        <v>1</v>
      </c>
    </row>
    <row r="18" spans="1:18" s="5229" customFormat="1" ht="15.75" customHeight="1">
      <c r="A18" s="5230"/>
      <c r="B18" s="5231"/>
      <c r="C18" s="5238" t="s">
        <v>442</v>
      </c>
      <c r="D18" s="5238"/>
      <c r="E18" s="5232"/>
      <c r="F18" s="5232"/>
      <c r="G18" s="5232"/>
      <c r="H18" s="5233"/>
      <c r="I18" s="5233"/>
      <c r="J18" s="5238" t="s">
        <v>449</v>
      </c>
      <c r="K18" s="5238"/>
      <c r="L18" s="5233"/>
      <c r="M18" s="5233"/>
      <c r="N18" s="5233"/>
      <c r="O18" s="5233"/>
      <c r="P18" s="5233"/>
      <c r="Q18" s="5230"/>
      <c r="R18" s="2730">
        <v>1</v>
      </c>
    </row>
    <row r="19" spans="1:18" s="5229" customFormat="1" ht="21">
      <c r="A19" s="5230"/>
      <c r="B19" s="5231"/>
      <c r="C19" s="5239" t="str">
        <f>B61</f>
        <v>B61</v>
      </c>
      <c r="D19" s="5240" t="s">
        <v>14788</v>
      </c>
      <c r="E19" s="5232"/>
      <c r="F19" s="5232"/>
      <c r="G19" s="5232"/>
      <c r="H19" s="5233"/>
      <c r="I19" s="5233"/>
      <c r="J19" s="5239" t="str">
        <f>K61</f>
        <v>K61</v>
      </c>
      <c r="K19" s="5240" t="s">
        <v>14788</v>
      </c>
      <c r="L19" s="5233"/>
      <c r="M19" s="5233"/>
      <c r="N19" s="5233"/>
      <c r="O19" s="5233"/>
      <c r="P19" s="5233"/>
      <c r="Q19" s="5230"/>
      <c r="R19" s="2730">
        <v>1</v>
      </c>
    </row>
    <row r="20" spans="1:18" s="5229" customFormat="1">
      <c r="A20" s="5230"/>
      <c r="B20" s="5231"/>
      <c r="C20" s="5232"/>
      <c r="D20" s="5232"/>
      <c r="E20" s="5232"/>
      <c r="F20" s="5232"/>
      <c r="G20" s="5232"/>
      <c r="H20" s="5233"/>
      <c r="I20" s="5233"/>
      <c r="J20" s="5233"/>
      <c r="K20" s="5233"/>
      <c r="L20" s="5233"/>
      <c r="M20" s="5233"/>
      <c r="N20" s="5233"/>
      <c r="O20" s="5233"/>
      <c r="P20" s="5233"/>
      <c r="Q20" s="5230"/>
      <c r="R20" s="2730">
        <v>1</v>
      </c>
    </row>
    <row r="21" spans="1:18" s="5229" customFormat="1" ht="16.5" thickBot="1">
      <c r="A21" s="5230"/>
      <c r="B21" s="5231"/>
      <c r="C21" s="5232"/>
      <c r="D21" s="5232"/>
      <c r="E21" s="5232"/>
      <c r="F21" s="5232"/>
      <c r="G21" s="5232"/>
      <c r="H21" s="5233"/>
      <c r="I21" s="5233"/>
      <c r="J21" s="5233"/>
      <c r="K21" s="5233"/>
      <c r="L21" s="5233"/>
      <c r="M21" s="5233"/>
      <c r="N21" s="5233"/>
      <c r="O21" s="5233"/>
      <c r="P21" s="5233"/>
      <c r="Q21" s="5230"/>
      <c r="R21" s="2730">
        <v>1</v>
      </c>
    </row>
    <row r="22" spans="1:18" s="5229" customFormat="1">
      <c r="A22" s="5244" t="s">
        <v>67</v>
      </c>
      <c r="B22" s="5245"/>
      <c r="C22" s="5246"/>
      <c r="D22" s="5246"/>
      <c r="E22" s="5246"/>
      <c r="F22" s="5246"/>
      <c r="G22" s="5247"/>
      <c r="H22" s="5246"/>
      <c r="I22" s="5246"/>
      <c r="J22" s="5248" t="s">
        <v>323</v>
      </c>
      <c r="K22" s="5233"/>
      <c r="L22" s="5233"/>
      <c r="M22" s="5233"/>
      <c r="N22" s="5233"/>
      <c r="O22" s="5233"/>
      <c r="P22" s="5233"/>
      <c r="Q22" s="5230"/>
      <c r="R22" s="2730">
        <v>1</v>
      </c>
    </row>
    <row r="23" spans="1:18" s="5229" customFormat="1" ht="15" customHeight="1">
      <c r="A23" s="9186" t="str">
        <f>J22</f>
        <v>Prix D'ACHAT / Prix de VENTE</v>
      </c>
      <c r="B23" s="5249" t="str">
        <f>ADDRESS(ROW(),COLUMN(),4)</f>
        <v>B23</v>
      </c>
      <c r="C23" s="5250" t="s">
        <v>14788</v>
      </c>
      <c r="D23" s="5251"/>
      <c r="E23" s="5251"/>
      <c r="F23" s="5251"/>
      <c r="G23" s="5251"/>
      <c r="H23" s="5251"/>
      <c r="I23" s="5251"/>
      <c r="J23" s="5252"/>
      <c r="K23" s="5233"/>
      <c r="L23" s="5233"/>
      <c r="M23" s="5233"/>
      <c r="N23" s="5233"/>
      <c r="O23" s="5233"/>
      <c r="P23" s="5233"/>
      <c r="Q23" s="5230"/>
      <c r="R23" s="2730">
        <v>1</v>
      </c>
    </row>
    <row r="24" spans="1:18" s="5229" customFormat="1" ht="20.100000000000001" customHeight="1">
      <c r="A24" s="9186"/>
      <c r="B24" s="5253"/>
      <c r="C24" s="5254" t="s">
        <v>324</v>
      </c>
      <c r="D24" s="5255">
        <v>0.44</v>
      </c>
      <c r="E24" s="5233"/>
      <c r="F24" s="5256" t="s">
        <v>324</v>
      </c>
      <c r="G24" s="5255">
        <v>100</v>
      </c>
      <c r="H24" s="5233"/>
      <c r="I24" s="5257" t="s">
        <v>325</v>
      </c>
      <c r="J24" s="5258">
        <v>115</v>
      </c>
      <c r="K24" s="5233"/>
      <c r="L24" s="5233"/>
      <c r="M24" s="5230"/>
      <c r="N24" s="5230"/>
      <c r="O24" s="5230"/>
      <c r="P24" s="5230"/>
      <c r="Q24" s="5230"/>
      <c r="R24" s="2730">
        <v>1</v>
      </c>
    </row>
    <row r="25" spans="1:18" s="5229" customFormat="1" ht="20.100000000000001" customHeight="1">
      <c r="A25" s="9186"/>
      <c r="B25" s="5259"/>
      <c r="C25" s="5260" t="s">
        <v>326</v>
      </c>
      <c r="D25" s="5261">
        <v>60</v>
      </c>
      <c r="E25" s="5233"/>
      <c r="F25" s="5260" t="s">
        <v>327</v>
      </c>
      <c r="G25" s="5262">
        <v>10</v>
      </c>
      <c r="H25" s="5233"/>
      <c r="I25" s="5256" t="s">
        <v>324</v>
      </c>
      <c r="J25" s="5263">
        <v>133</v>
      </c>
      <c r="K25" s="5233"/>
      <c r="L25" s="5233"/>
      <c r="M25" s="5230"/>
      <c r="N25" s="5230"/>
      <c r="O25" s="5230"/>
      <c r="P25" s="5230"/>
      <c r="Q25" s="5230"/>
      <c r="R25" s="2730">
        <v>1</v>
      </c>
    </row>
    <row r="26" spans="1:18" s="5229" customFormat="1" ht="20.100000000000001" customHeight="1">
      <c r="A26" s="9186"/>
      <c r="B26" s="5264"/>
      <c r="C26" s="5265" t="s">
        <v>327</v>
      </c>
      <c r="D26" s="5266">
        <f>D24*D25%</f>
        <v>0.26400000000000001</v>
      </c>
      <c r="E26" s="5233"/>
      <c r="F26" s="5267" t="s">
        <v>325</v>
      </c>
      <c r="G26" s="5266">
        <f>IF(G24=0,0,G24+G25)</f>
        <v>110</v>
      </c>
      <c r="H26" s="5233"/>
      <c r="I26" s="5265" t="s">
        <v>327</v>
      </c>
      <c r="J26" s="5268">
        <f>IF(J24=0,0,IF(J25=0,0,J24-J25))</f>
        <v>-18</v>
      </c>
      <c r="K26" s="5233"/>
      <c r="L26" s="5233"/>
      <c r="M26" s="5230"/>
      <c r="N26" s="5230"/>
      <c r="O26" s="5230"/>
      <c r="P26" s="5230"/>
      <c r="Q26" s="5230"/>
      <c r="R26" s="2730">
        <v>1</v>
      </c>
    </row>
    <row r="27" spans="1:18" s="5229" customFormat="1" ht="20.100000000000001" customHeight="1">
      <c r="A27" s="9186"/>
      <c r="B27" s="5269"/>
      <c r="C27" s="5267" t="s">
        <v>325</v>
      </c>
      <c r="D27" s="5266">
        <f>((D24*D25)/100)+D24</f>
        <v>0.70399999999999996</v>
      </c>
      <c r="E27" s="5233"/>
      <c r="F27" s="5270" t="s">
        <v>326</v>
      </c>
      <c r="G27" s="5271">
        <f>IF(G24=0,0,IF(ISBLANK(G24),0,(G25/G24)*100))</f>
        <v>10</v>
      </c>
      <c r="H27" s="5233"/>
      <c r="I27" s="5270" t="s">
        <v>326</v>
      </c>
      <c r="J27" s="5272">
        <f>IF(J25=0,0,IF(ISBLANK(J25),0,(J26/J25)*100))</f>
        <v>-13.533834586466165</v>
      </c>
      <c r="K27" s="5233"/>
      <c r="L27" s="5233"/>
      <c r="M27" s="5230"/>
      <c r="N27" s="5230"/>
      <c r="O27" s="5230"/>
      <c r="P27" s="5230"/>
      <c r="Q27" s="5230"/>
      <c r="R27" s="2730">
        <v>1</v>
      </c>
    </row>
    <row r="28" spans="1:18" s="5229" customFormat="1" ht="20.100000000000001" customHeight="1">
      <c r="A28" s="9186"/>
      <c r="B28" s="5273"/>
      <c r="C28" s="5274"/>
      <c r="D28" s="5275"/>
      <c r="E28" s="5276"/>
      <c r="F28" s="5277"/>
      <c r="G28" s="5278"/>
      <c r="H28" s="5276"/>
      <c r="I28" s="5277"/>
      <c r="J28" s="5279"/>
      <c r="K28" s="5233"/>
      <c r="L28" s="5233"/>
      <c r="M28" s="5230"/>
      <c r="N28" s="5230"/>
      <c r="O28" s="5230"/>
      <c r="P28" s="5230"/>
      <c r="Q28" s="5230"/>
      <c r="R28" s="2730">
        <v>1</v>
      </c>
    </row>
    <row r="29" spans="1:18" s="5229" customFormat="1" ht="20.100000000000001" customHeight="1">
      <c r="A29" s="9186"/>
      <c r="B29" s="5253"/>
      <c r="C29" s="5256" t="s">
        <v>324</v>
      </c>
      <c r="D29" s="5255">
        <v>5.8970000000000002</v>
      </c>
      <c r="E29" s="5233"/>
      <c r="F29" s="5257" t="s">
        <v>325</v>
      </c>
      <c r="G29" s="5262">
        <v>9.64</v>
      </c>
      <c r="H29" s="5233"/>
      <c r="I29" s="5257" t="s">
        <v>325</v>
      </c>
      <c r="J29" s="5258">
        <v>100</v>
      </c>
      <c r="K29" s="5233"/>
      <c r="L29" s="5233"/>
      <c r="M29" s="5230"/>
      <c r="N29" s="5230"/>
      <c r="O29" s="5230"/>
      <c r="P29" s="5230"/>
      <c r="Q29" s="5230"/>
      <c r="R29" s="2730">
        <v>1</v>
      </c>
    </row>
    <row r="30" spans="1:18" s="5229" customFormat="1" ht="25.5" customHeight="1">
      <c r="A30" s="9186"/>
      <c r="B30" s="5280"/>
      <c r="C30" s="5257" t="s">
        <v>325</v>
      </c>
      <c r="D30" s="5262">
        <v>9.64</v>
      </c>
      <c r="E30" s="5233"/>
      <c r="F30" s="5281" t="s">
        <v>326</v>
      </c>
      <c r="G30" s="5282">
        <v>63.5</v>
      </c>
      <c r="H30" s="5233"/>
      <c r="I30" s="5283" t="s">
        <v>327</v>
      </c>
      <c r="J30" s="5258">
        <v>50</v>
      </c>
      <c r="K30" s="5233"/>
      <c r="L30" s="5233"/>
      <c r="M30" s="5230"/>
      <c r="N30" s="5230"/>
      <c r="O30" s="5230"/>
      <c r="P30" s="5230"/>
      <c r="Q30" s="5230"/>
      <c r="R30" s="2730">
        <v>1</v>
      </c>
    </row>
    <row r="31" spans="1:18" s="5229" customFormat="1" ht="20.100000000000001" customHeight="1">
      <c r="A31" s="9186"/>
      <c r="B31" s="5264"/>
      <c r="C31" s="5265" t="s">
        <v>327</v>
      </c>
      <c r="D31" s="5266">
        <f>IF(D29=0,0,IF(D30=0,0,D30-D29))</f>
        <v>3.7430000000000003</v>
      </c>
      <c r="E31" s="5233"/>
      <c r="F31" s="5265" t="s">
        <v>327</v>
      </c>
      <c r="G31" s="5266">
        <f>G29-G32</f>
        <v>3.7439755351681958</v>
      </c>
      <c r="H31" s="5233"/>
      <c r="I31" s="5267" t="s">
        <v>324</v>
      </c>
      <c r="J31" s="5268">
        <f>IF(J29=0,0,IF(ISBLANK(J29),0,J29-J30))</f>
        <v>50</v>
      </c>
      <c r="K31" s="5233"/>
      <c r="L31" s="5233"/>
      <c r="M31" s="5230"/>
      <c r="N31" s="5230"/>
      <c r="O31" s="5230"/>
      <c r="P31" s="5230"/>
      <c r="Q31" s="5230"/>
      <c r="R31" s="2730">
        <v>1</v>
      </c>
    </row>
    <row r="32" spans="1:18" s="5229" customFormat="1" ht="20.100000000000001" customHeight="1">
      <c r="A32" s="9186"/>
      <c r="B32" s="5284"/>
      <c r="C32" s="5285" t="s">
        <v>326</v>
      </c>
      <c r="D32" s="5286">
        <f>IF(D29=0,0,IF(ISBLANK(D29),0,(D31/D29)*100))</f>
        <v>63.472952348651859</v>
      </c>
      <c r="E32" s="5233"/>
      <c r="F32" s="5287" t="s">
        <v>324</v>
      </c>
      <c r="G32" s="5288">
        <f>(G29/(100+G30)*100)</f>
        <v>5.8960244648318048</v>
      </c>
      <c r="H32" s="5233"/>
      <c r="I32" s="5285" t="s">
        <v>326</v>
      </c>
      <c r="J32" s="5289">
        <f>IF(J31=0,0,IF(ISBLANK(J30),0,(J30/J31)*100))</f>
        <v>100</v>
      </c>
      <c r="K32" s="5233"/>
      <c r="L32" s="5233"/>
      <c r="M32" s="5230"/>
      <c r="N32" s="5230"/>
      <c r="O32" s="5230"/>
      <c r="P32" s="5230"/>
      <c r="Q32" s="5230"/>
      <c r="R32" s="2730">
        <v>1</v>
      </c>
    </row>
    <row r="33" spans="1:18" s="5229" customFormat="1" ht="20.100000000000001" customHeight="1">
      <c r="A33" s="9186"/>
      <c r="B33" s="9260" t="s">
        <v>205</v>
      </c>
      <c r="C33" s="9261"/>
      <c r="D33" s="9261"/>
      <c r="E33" s="9261"/>
      <c r="F33" s="9261"/>
      <c r="G33" s="9261"/>
      <c r="H33" s="9261"/>
      <c r="I33" s="9261"/>
      <c r="J33" s="9261"/>
      <c r="K33" s="5233"/>
      <c r="L33" s="5233"/>
      <c r="M33" s="5230"/>
      <c r="N33" s="5230"/>
      <c r="O33" s="5230"/>
      <c r="P33" s="5230"/>
      <c r="Q33" s="5230"/>
      <c r="R33" s="2730">
        <v>1</v>
      </c>
    </row>
    <row r="34" spans="1:18" s="5229" customFormat="1" ht="15">
      <c r="A34" s="5230"/>
      <c r="B34" s="5290"/>
      <c r="C34" s="5290"/>
      <c r="D34" s="5290"/>
      <c r="E34" s="5290"/>
      <c r="F34" s="5290"/>
      <c r="G34" s="5290"/>
      <c r="H34" s="5233"/>
      <c r="I34" s="5291"/>
      <c r="J34" s="5291"/>
      <c r="K34" s="5292"/>
      <c r="L34" s="5292"/>
      <c r="M34" s="5291"/>
      <c r="N34" s="5230"/>
      <c r="O34" s="5230"/>
      <c r="P34" s="5230"/>
      <c r="Q34" s="5230"/>
      <c r="R34" s="2730">
        <v>1</v>
      </c>
    </row>
    <row r="35" spans="1:18" s="5229" customFormat="1" ht="15">
      <c r="A35" s="5230"/>
      <c r="B35" s="5290"/>
      <c r="C35" s="5290"/>
      <c r="D35" s="5290"/>
      <c r="E35" s="5290"/>
      <c r="F35" s="5290"/>
      <c r="G35" s="5290"/>
      <c r="H35" s="5233"/>
      <c r="I35" s="5291"/>
      <c r="J35" s="5291"/>
      <c r="K35" s="5292"/>
      <c r="L35" s="5292"/>
      <c r="M35" s="5291"/>
      <c r="N35" s="5230"/>
      <c r="O35" s="5230"/>
      <c r="P35" s="5230"/>
      <c r="Q35" s="5230"/>
      <c r="R35" s="2730">
        <v>1</v>
      </c>
    </row>
    <row r="36" spans="1:18" s="5229" customFormat="1" ht="15">
      <c r="A36" s="5230"/>
      <c r="B36" s="5293">
        <v>15</v>
      </c>
      <c r="C36" s="5293">
        <v>15</v>
      </c>
      <c r="D36" s="5293">
        <v>15</v>
      </c>
      <c r="E36" s="5293">
        <v>15</v>
      </c>
      <c r="F36" s="5293">
        <v>15</v>
      </c>
      <c r="G36" s="5293">
        <v>15</v>
      </c>
      <c r="H36" s="5230"/>
      <c r="I36" s="5230"/>
      <c r="J36" s="5294" t="s">
        <v>369</v>
      </c>
      <c r="K36" s="5293">
        <v>15</v>
      </c>
      <c r="L36" s="5293">
        <v>15</v>
      </c>
      <c r="M36" s="5293">
        <v>15</v>
      </c>
      <c r="N36" s="5293">
        <v>15</v>
      </c>
      <c r="O36" s="5293">
        <v>15</v>
      </c>
      <c r="P36" s="5293">
        <v>15</v>
      </c>
      <c r="Q36" s="5295" t="s">
        <v>369</v>
      </c>
      <c r="R36" s="2730">
        <v>1</v>
      </c>
    </row>
    <row r="37" spans="1:18" s="5229" customFormat="1" ht="18.75">
      <c r="A37" s="5296" t="s">
        <v>67</v>
      </c>
      <c r="B37" s="5297" t="s">
        <v>56</v>
      </c>
      <c r="C37" s="5298"/>
      <c r="D37" s="5298"/>
      <c r="E37" s="5298"/>
      <c r="F37" s="5298"/>
      <c r="G37" s="5299" t="s">
        <v>55</v>
      </c>
      <c r="H37" s="5230"/>
      <c r="I37" s="5230"/>
      <c r="J37" s="5296" t="s">
        <v>67</v>
      </c>
      <c r="K37" s="5300" t="s">
        <v>370</v>
      </c>
      <c r="L37" s="5298"/>
      <c r="M37" s="5298"/>
      <c r="N37" s="5298"/>
      <c r="O37" s="5298"/>
      <c r="P37" s="5299" t="s">
        <v>55</v>
      </c>
      <c r="Q37" s="5230"/>
      <c r="R37" s="2730">
        <v>1</v>
      </c>
    </row>
    <row r="38" spans="1:18" s="5229" customFormat="1" ht="19.5" customHeight="1">
      <c r="A38" s="9262" t="str">
        <f>B37</f>
        <v>Aide à la décision en Gr</v>
      </c>
      <c r="B38" s="5249" t="str">
        <f>ADDRESS(ROW(),COLUMN(),4)</f>
        <v>B38</v>
      </c>
      <c r="C38" s="5250" t="s">
        <v>14788</v>
      </c>
      <c r="D38" s="5251"/>
      <c r="E38" s="5251"/>
      <c r="F38" s="5251"/>
      <c r="G38" s="5301"/>
      <c r="H38" s="5230"/>
      <c r="I38" s="5230"/>
      <c r="J38" s="9262" t="str">
        <f>K37</f>
        <v>Aide à la décision en Kg</v>
      </c>
      <c r="K38" s="5249" t="str">
        <f>ADDRESS(ROW(),COLUMN(),4)</f>
        <v>K38</v>
      </c>
      <c r="L38" s="5250" t="s">
        <v>14788</v>
      </c>
      <c r="M38" s="5251"/>
      <c r="N38" s="5251"/>
      <c r="O38" s="5251"/>
      <c r="P38" s="5301"/>
      <c r="Q38" s="5230"/>
      <c r="R38" s="2730">
        <v>1</v>
      </c>
    </row>
    <row r="39" spans="1:18" s="5229" customFormat="1" ht="19.5" customHeight="1">
      <c r="A39" s="9262"/>
      <c r="B39" s="5302" t="s">
        <v>52</v>
      </c>
      <c r="C39" s="5303">
        <v>1000</v>
      </c>
      <c r="D39" s="5304" t="s">
        <v>52</v>
      </c>
      <c r="E39" s="5303">
        <v>1000</v>
      </c>
      <c r="F39" s="5302" t="s">
        <v>52</v>
      </c>
      <c r="G39" s="5303">
        <v>100</v>
      </c>
      <c r="H39" s="5230"/>
      <c r="I39" s="5230"/>
      <c r="J39" s="9262"/>
      <c r="K39" s="5302" t="s">
        <v>52</v>
      </c>
      <c r="L39" s="5305">
        <v>1</v>
      </c>
      <c r="M39" s="5304" t="s">
        <v>52</v>
      </c>
      <c r="N39" s="5305">
        <v>1</v>
      </c>
      <c r="O39" s="5302" t="s">
        <v>52</v>
      </c>
      <c r="P39" s="5305">
        <v>1</v>
      </c>
      <c r="Q39" s="5230"/>
      <c r="R39" s="2730">
        <v>1</v>
      </c>
    </row>
    <row r="40" spans="1:18" s="5229" customFormat="1">
      <c r="A40" s="9262"/>
      <c r="B40" s="5306" t="s">
        <v>53</v>
      </c>
      <c r="C40" s="5307">
        <v>2000</v>
      </c>
      <c r="D40" s="5308" t="s">
        <v>51</v>
      </c>
      <c r="E40" s="5307">
        <v>327</v>
      </c>
      <c r="F40" s="5306" t="s">
        <v>50</v>
      </c>
      <c r="G40" s="5309">
        <v>40</v>
      </c>
      <c r="H40" s="5230"/>
      <c r="I40" s="5230"/>
      <c r="J40" s="9262"/>
      <c r="K40" s="5306" t="s">
        <v>53</v>
      </c>
      <c r="L40" s="5310">
        <v>2</v>
      </c>
      <c r="M40" s="5308" t="s">
        <v>51</v>
      </c>
      <c r="N40" s="5310">
        <v>2</v>
      </c>
      <c r="O40" s="5306" t="s">
        <v>50</v>
      </c>
      <c r="P40" s="5309">
        <v>50</v>
      </c>
      <c r="Q40" s="5230"/>
      <c r="R40" s="2730">
        <v>1</v>
      </c>
    </row>
    <row r="41" spans="1:18" s="5229" customFormat="1">
      <c r="A41" s="9262"/>
      <c r="B41" s="5311" t="s">
        <v>49</v>
      </c>
      <c r="C41" s="5312">
        <f>IF(C39=0,0,IF(C40=0,0,C40-C39))</f>
        <v>1000</v>
      </c>
      <c r="D41" s="5311" t="s">
        <v>54</v>
      </c>
      <c r="E41" s="5312">
        <f>IF(E39=0,0,E39+E40)</f>
        <v>1327</v>
      </c>
      <c r="F41" s="5311" t="s">
        <v>49</v>
      </c>
      <c r="G41" s="5313">
        <f>G42*G40%</f>
        <v>66.666666666666671</v>
      </c>
      <c r="H41" s="5230"/>
      <c r="I41" s="5230"/>
      <c r="J41" s="9262"/>
      <c r="K41" s="5311" t="s">
        <v>49</v>
      </c>
      <c r="L41" s="5314">
        <f>IF(L39=0,0,IF(L40=0,0,L40-L39))</f>
        <v>1</v>
      </c>
      <c r="M41" s="5311" t="s">
        <v>54</v>
      </c>
      <c r="N41" s="5314">
        <f>IF(N39=0,0,N39+N40)</f>
        <v>3</v>
      </c>
      <c r="O41" s="5311" t="s">
        <v>49</v>
      </c>
      <c r="P41" s="5314">
        <f>P42*P40%</f>
        <v>1</v>
      </c>
      <c r="Q41" s="5230"/>
      <c r="R41" s="2730">
        <v>1</v>
      </c>
    </row>
    <row r="42" spans="1:18" s="5229" customFormat="1">
      <c r="A42" s="9262"/>
      <c r="B42" s="5315" t="s">
        <v>48</v>
      </c>
      <c r="C42" s="5316">
        <f>IF(C39=0,0,IF(C40=0,0,C41/C40))</f>
        <v>0.5</v>
      </c>
      <c r="D42" s="5315" t="s">
        <v>48</v>
      </c>
      <c r="E42" s="5316">
        <f>IF(E39=0,0,E40/E41)</f>
        <v>0.24642049736247174</v>
      </c>
      <c r="F42" s="5311" t="s">
        <v>54</v>
      </c>
      <c r="G42" s="5313">
        <f>G39/(100-G40)*100</f>
        <v>166.66666666666669</v>
      </c>
      <c r="H42" s="5230"/>
      <c r="I42" s="5230"/>
      <c r="J42" s="9262"/>
      <c r="K42" s="5315" t="s">
        <v>48</v>
      </c>
      <c r="L42" s="5316">
        <f>IF(L39=0,0,IF(L40=0,0,L41/L40))</f>
        <v>0.5</v>
      </c>
      <c r="M42" s="5315" t="s">
        <v>48</v>
      </c>
      <c r="N42" s="5316">
        <f>IF(N39=0,0,N40/N41)</f>
        <v>0.66666666666666663</v>
      </c>
      <c r="O42" s="5311" t="s">
        <v>54</v>
      </c>
      <c r="P42" s="5317">
        <f>P39/(100-P40)*100</f>
        <v>2</v>
      </c>
      <c r="Q42" s="5230"/>
      <c r="R42" s="2730">
        <v>1</v>
      </c>
    </row>
    <row r="43" spans="1:18" s="5229" customFormat="1">
      <c r="A43" s="9262"/>
      <c r="B43" s="5318" t="s">
        <v>53</v>
      </c>
      <c r="C43" s="5307">
        <v>1780</v>
      </c>
      <c r="D43" s="5319" t="s">
        <v>53</v>
      </c>
      <c r="E43" s="5307">
        <v>2310</v>
      </c>
      <c r="F43" s="5320" t="s">
        <v>53</v>
      </c>
      <c r="G43" s="5321">
        <v>500</v>
      </c>
      <c r="H43" s="5230"/>
      <c r="I43" s="5230"/>
      <c r="J43" s="9262"/>
      <c r="K43" s="5318" t="s">
        <v>53</v>
      </c>
      <c r="L43" s="5322">
        <v>2</v>
      </c>
      <c r="M43" s="5319" t="s">
        <v>53</v>
      </c>
      <c r="N43" s="5323">
        <v>2</v>
      </c>
      <c r="O43" s="5319" t="s">
        <v>53</v>
      </c>
      <c r="P43" s="5322">
        <v>1</v>
      </c>
      <c r="Q43" s="5230"/>
      <c r="R43" s="2730">
        <v>1</v>
      </c>
    </row>
    <row r="44" spans="1:18" s="5229" customFormat="1">
      <c r="A44" s="9262"/>
      <c r="B44" s="5302" t="s">
        <v>52</v>
      </c>
      <c r="C44" s="5303">
        <v>1000</v>
      </c>
      <c r="D44" s="5324" t="s">
        <v>51</v>
      </c>
      <c r="E44" s="5303">
        <v>720</v>
      </c>
      <c r="F44" s="5324" t="s">
        <v>50</v>
      </c>
      <c r="G44" s="5325">
        <v>50</v>
      </c>
      <c r="H44" s="5230"/>
      <c r="I44" s="5230"/>
      <c r="J44" s="9262"/>
      <c r="K44" s="5302" t="s">
        <v>52</v>
      </c>
      <c r="L44" s="5326">
        <v>1</v>
      </c>
      <c r="M44" s="5324" t="s">
        <v>51</v>
      </c>
      <c r="N44" s="5326">
        <v>1</v>
      </c>
      <c r="O44" s="5324" t="s">
        <v>50</v>
      </c>
      <c r="P44" s="5325">
        <v>50</v>
      </c>
      <c r="Q44" s="5230"/>
      <c r="R44" s="2730">
        <v>1</v>
      </c>
    </row>
    <row r="45" spans="1:18" s="5229" customFormat="1">
      <c r="A45" s="9262"/>
      <c r="B45" s="5311" t="s">
        <v>49</v>
      </c>
      <c r="C45" s="5312">
        <f>IF(C43=0,0,IF(C44=0,0,C43-C44))</f>
        <v>780</v>
      </c>
      <c r="D45" s="5311" t="s">
        <v>47</v>
      </c>
      <c r="E45" s="5312">
        <f>IF(E43=0,0,IF(E44=0,0,E43-E44))</f>
        <v>1590</v>
      </c>
      <c r="F45" s="5311" t="s">
        <v>49</v>
      </c>
      <c r="G45" s="5312">
        <f>G43*G44%</f>
        <v>250</v>
      </c>
      <c r="H45" s="5230"/>
      <c r="I45" s="5230"/>
      <c r="J45" s="9262"/>
      <c r="K45" s="5311" t="s">
        <v>49</v>
      </c>
      <c r="L45" s="5314">
        <f>IF(L43=0,0,IF(L44=0,0,L43-L44))</f>
        <v>1</v>
      </c>
      <c r="M45" s="5311" t="s">
        <v>47</v>
      </c>
      <c r="N45" s="5314">
        <f>IF(N43=0,0,IF(N44=0,0,N43-N44))</f>
        <v>1</v>
      </c>
      <c r="O45" s="5311" t="s">
        <v>49</v>
      </c>
      <c r="P45" s="5314">
        <f>P43*P44%</f>
        <v>0.5</v>
      </c>
      <c r="Q45" s="5230"/>
      <c r="R45" s="2730">
        <v>1</v>
      </c>
    </row>
    <row r="46" spans="1:18" s="5229" customFormat="1">
      <c r="A46" s="9262"/>
      <c r="B46" s="5315" t="s">
        <v>48</v>
      </c>
      <c r="C46" s="5316">
        <f>IF(C43=0,0,C45/C43)</f>
        <v>0.43820224719101125</v>
      </c>
      <c r="D46" s="5315" t="s">
        <v>48</v>
      </c>
      <c r="E46" s="5316">
        <f>IF(E43=0,0,IF(E44=0,0,E44/E43))</f>
        <v>0.31168831168831168</v>
      </c>
      <c r="F46" s="5315" t="s">
        <v>47</v>
      </c>
      <c r="G46" s="5327">
        <f>G43-G45</f>
        <v>250</v>
      </c>
      <c r="H46" s="5230"/>
      <c r="I46" s="5230"/>
      <c r="J46" s="9262"/>
      <c r="K46" s="5315" t="s">
        <v>48</v>
      </c>
      <c r="L46" s="5316">
        <f>IF(L43=0,0,L45/L43)</f>
        <v>0.5</v>
      </c>
      <c r="M46" s="5315" t="s">
        <v>48</v>
      </c>
      <c r="N46" s="5316">
        <f>IF(N43=0,0,IF(N44=0,0,N44/N43))</f>
        <v>0.5</v>
      </c>
      <c r="O46" s="5315" t="s">
        <v>47</v>
      </c>
      <c r="P46" s="5328">
        <f>P43-P45</f>
        <v>0.5</v>
      </c>
      <c r="Q46" s="5230"/>
      <c r="R46" s="2730">
        <v>1</v>
      </c>
    </row>
    <row r="47" spans="1:18" s="5229" customFormat="1" ht="15">
      <c r="A47" s="9262"/>
      <c r="B47" s="9263" t="s">
        <v>205</v>
      </c>
      <c r="C47" s="9264"/>
      <c r="D47" s="9264"/>
      <c r="E47" s="9264"/>
      <c r="F47" s="9264"/>
      <c r="G47" s="9264"/>
      <c r="H47" s="5230"/>
      <c r="I47" s="5230"/>
      <c r="J47" s="9262"/>
      <c r="K47" s="9263" t="s">
        <v>205</v>
      </c>
      <c r="L47" s="9264"/>
      <c r="M47" s="9264"/>
      <c r="N47" s="9264"/>
      <c r="O47" s="9264"/>
      <c r="P47" s="9264"/>
      <c r="Q47" s="5230"/>
      <c r="R47" s="2730">
        <v>1</v>
      </c>
    </row>
    <row r="48" spans="1:18" s="5229" customFormat="1" ht="15">
      <c r="A48" s="5290"/>
      <c r="B48" s="5290"/>
      <c r="C48" s="5290"/>
      <c r="D48" s="5290"/>
      <c r="E48" s="5290"/>
      <c r="F48" s="5290"/>
      <c r="G48" s="5290"/>
      <c r="H48" s="5233"/>
      <c r="I48" s="5291"/>
      <c r="J48" s="5291"/>
      <c r="K48" s="5292"/>
      <c r="L48" s="5292"/>
      <c r="M48" s="5291"/>
      <c r="N48" s="5291"/>
      <c r="O48" s="5230"/>
      <c r="P48" s="5230"/>
      <c r="Q48" s="5233"/>
      <c r="R48" s="2730">
        <v>1</v>
      </c>
    </row>
    <row r="49" spans="1:18" s="5229" customFormat="1">
      <c r="A49" s="5230"/>
      <c r="B49" s="5329"/>
      <c r="C49" s="5230"/>
      <c r="D49" s="5330"/>
      <c r="E49" s="5330"/>
      <c r="F49" s="5290"/>
      <c r="G49" s="5290"/>
      <c r="H49" s="5233"/>
      <c r="I49" s="5230"/>
      <c r="J49" s="5331"/>
      <c r="K49" s="5331"/>
      <c r="L49" s="5331"/>
      <c r="M49" s="5331"/>
      <c r="N49" s="5331"/>
      <c r="O49" s="5230"/>
      <c r="P49" s="5230"/>
      <c r="Q49" s="5230"/>
      <c r="R49" s="2730">
        <v>1</v>
      </c>
    </row>
    <row r="50" spans="1:18" s="5229" customFormat="1" ht="16.5" thickBot="1">
      <c r="A50" s="5230"/>
      <c r="B50" s="5329"/>
      <c r="C50" s="5230"/>
      <c r="D50" s="5330" t="s">
        <v>414</v>
      </c>
      <c r="E50" s="5332"/>
      <c r="F50" s="5290"/>
      <c r="G50" s="5290"/>
      <c r="H50" s="5233"/>
      <c r="I50" s="5230"/>
      <c r="J50" s="5331"/>
      <c r="K50" s="5230"/>
      <c r="L50" s="5230"/>
      <c r="M50" s="5230"/>
      <c r="N50" s="5230"/>
      <c r="O50" s="5332"/>
      <c r="P50" s="5230"/>
      <c r="Q50" s="5230"/>
      <c r="R50" s="2730">
        <v>1</v>
      </c>
    </row>
    <row r="51" spans="1:18" s="5229" customFormat="1" ht="15">
      <c r="A51" s="5296" t="s">
        <v>67</v>
      </c>
      <c r="B51" s="9237" t="s">
        <v>452</v>
      </c>
      <c r="C51" s="9238"/>
      <c r="D51" s="5333" t="s">
        <v>452</v>
      </c>
      <c r="E51" s="5331"/>
      <c r="F51" s="5290"/>
      <c r="G51" s="5290"/>
      <c r="H51" s="5233"/>
      <c r="I51" s="5230"/>
      <c r="J51" s="5296" t="s">
        <v>67</v>
      </c>
      <c r="K51" s="9237" t="s">
        <v>453</v>
      </c>
      <c r="L51" s="9238"/>
      <c r="M51" s="5333" t="s">
        <v>453</v>
      </c>
      <c r="O51" s="5331"/>
      <c r="P51" s="5230"/>
      <c r="Q51" s="5230"/>
      <c r="R51" s="2730">
        <v>1</v>
      </c>
    </row>
    <row r="52" spans="1:18" s="5229" customFormat="1">
      <c r="A52" s="9241" t="str">
        <f>B51</f>
        <v>Pour prendre, par exemple, le 5 % de 87 Kg</v>
      </c>
      <c r="B52" s="9239"/>
      <c r="C52" s="9240"/>
      <c r="D52" s="5331" t="s">
        <v>415</v>
      </c>
      <c r="E52" s="5331"/>
      <c r="F52" s="5290"/>
      <c r="G52" s="5290"/>
      <c r="H52" s="5233"/>
      <c r="I52" s="5230"/>
      <c r="J52" s="9242" t="str">
        <f>K51</f>
        <v>Pour déduire, par exemple, le 5 % de 87 Kg</v>
      </c>
      <c r="K52" s="9239"/>
      <c r="L52" s="9240"/>
      <c r="M52" s="5331" t="s">
        <v>419</v>
      </c>
      <c r="O52" s="5330"/>
      <c r="P52" s="5230"/>
      <c r="Q52" s="5230"/>
      <c r="R52" s="2730">
        <v>1</v>
      </c>
    </row>
    <row r="53" spans="1:18" s="5229" customFormat="1">
      <c r="A53" s="9241"/>
      <c r="B53" s="5334" t="str">
        <f>ADDRESS(ROW(),COLUMN(),4)</f>
        <v>B53</v>
      </c>
      <c r="C53" s="5335" t="s">
        <v>14788</v>
      </c>
      <c r="D53" s="5331" t="s">
        <v>417</v>
      </c>
      <c r="E53" s="5331"/>
      <c r="F53" s="5290"/>
      <c r="G53" s="5290"/>
      <c r="H53" s="5233"/>
      <c r="I53" s="5230"/>
      <c r="J53" s="9242"/>
      <c r="K53" s="5334" t="str">
        <f>ADDRESS(ROW(),COLUMN(),4)</f>
        <v>K53</v>
      </c>
      <c r="L53" s="5335" t="s">
        <v>14788</v>
      </c>
      <c r="M53" s="5330" t="s">
        <v>420</v>
      </c>
      <c r="O53" s="5330"/>
      <c r="P53" s="5230"/>
      <c r="Q53" s="5230"/>
      <c r="R53" s="2730">
        <v>1</v>
      </c>
    </row>
    <row r="54" spans="1:18" s="5229" customFormat="1">
      <c r="A54" s="9241"/>
      <c r="B54" s="5336" t="s">
        <v>53</v>
      </c>
      <c r="C54" s="5337">
        <v>87</v>
      </c>
      <c r="D54" s="5330" t="s">
        <v>424</v>
      </c>
      <c r="E54" s="5330"/>
      <c r="F54" s="5290"/>
      <c r="G54" s="5290"/>
      <c r="H54" s="5233"/>
      <c r="I54" s="5230"/>
      <c r="J54" s="9242"/>
      <c r="K54" s="5336" t="s">
        <v>53</v>
      </c>
      <c r="L54" s="5338">
        <v>87</v>
      </c>
      <c r="M54" s="5331" t="s">
        <v>421</v>
      </c>
      <c r="O54" s="5331"/>
      <c r="P54" s="5230"/>
      <c r="Q54" s="5230"/>
      <c r="R54" s="2730">
        <v>1</v>
      </c>
    </row>
    <row r="55" spans="1:18" s="5229" customFormat="1">
      <c r="A55" s="9241"/>
      <c r="B55" s="5339" t="s">
        <v>50</v>
      </c>
      <c r="C55" s="5340">
        <v>5</v>
      </c>
      <c r="D55" s="5331" t="s">
        <v>418</v>
      </c>
      <c r="E55" s="5331"/>
      <c r="F55" s="5290"/>
      <c r="G55" s="5290"/>
      <c r="H55" s="5233"/>
      <c r="I55" s="5230"/>
      <c r="J55" s="9242"/>
      <c r="K55" s="5339" t="s">
        <v>50</v>
      </c>
      <c r="L55" s="5340">
        <v>5</v>
      </c>
      <c r="M55" s="5330" t="s">
        <v>425</v>
      </c>
      <c r="O55" s="5330"/>
      <c r="P55" s="5230"/>
      <c r="Q55" s="5230"/>
      <c r="R55" s="2730">
        <v>1</v>
      </c>
    </row>
    <row r="56" spans="1:18" s="5229" customFormat="1">
      <c r="A56" s="9241"/>
      <c r="B56" s="5341" t="s">
        <v>461</v>
      </c>
      <c r="C56" s="5342">
        <f>C55/100</f>
        <v>0.05</v>
      </c>
      <c r="D56" s="5331" t="s">
        <v>416</v>
      </c>
      <c r="E56" s="5331"/>
      <c r="F56" s="5290"/>
      <c r="G56" s="5290"/>
      <c r="H56" s="5233"/>
      <c r="I56" s="5230"/>
      <c r="J56" s="9242"/>
      <c r="K56" s="5341" t="s">
        <v>461</v>
      </c>
      <c r="L56" s="5342">
        <f>(100-L55)/100</f>
        <v>0.95</v>
      </c>
      <c r="M56" s="5331" t="s">
        <v>422</v>
      </c>
      <c r="O56" s="5331"/>
      <c r="P56" s="5230"/>
      <c r="Q56" s="5230"/>
      <c r="R56" s="2730">
        <v>1</v>
      </c>
    </row>
    <row r="57" spans="1:18" s="5229" customFormat="1" ht="16.5" thickBot="1">
      <c r="A57" s="9241"/>
      <c r="B57" s="5343" t="s">
        <v>49</v>
      </c>
      <c r="C57" s="5344">
        <f>C54*C56</f>
        <v>4.3500000000000005</v>
      </c>
      <c r="D57" s="5330" t="s">
        <v>426</v>
      </c>
      <c r="E57" s="5330"/>
      <c r="F57" s="5290"/>
      <c r="G57" s="5290"/>
      <c r="H57" s="5233"/>
      <c r="I57" s="5230"/>
      <c r="J57" s="9242"/>
      <c r="K57" s="5343" t="s">
        <v>47</v>
      </c>
      <c r="L57" s="5344">
        <f>L54*L56</f>
        <v>82.649999999999991</v>
      </c>
      <c r="M57" s="5331"/>
      <c r="N57" s="5331"/>
      <c r="O57" s="5230"/>
      <c r="P57" s="5230"/>
      <c r="Q57" s="5230"/>
      <c r="R57" s="2730">
        <v>1</v>
      </c>
    </row>
    <row r="58" spans="1:18" s="5229" customFormat="1" ht="35.25" customHeight="1" thickBot="1">
      <c r="A58" s="5329"/>
      <c r="B58" s="5329"/>
      <c r="C58" s="5230"/>
      <c r="D58" s="5230"/>
      <c r="F58" s="5290"/>
      <c r="G58" s="5290"/>
      <c r="H58" s="5233"/>
      <c r="I58" s="5291"/>
      <c r="J58" s="5331"/>
      <c r="K58" s="5331"/>
      <c r="L58" s="5331"/>
      <c r="M58" s="5331"/>
      <c r="N58" s="5331"/>
      <c r="O58" s="5230"/>
      <c r="P58" s="5230"/>
      <c r="Q58" s="5230"/>
      <c r="R58" s="2730">
        <v>1</v>
      </c>
    </row>
    <row r="59" spans="1:18" s="5229" customFormat="1">
      <c r="A59" s="5296" t="s">
        <v>67</v>
      </c>
      <c r="B59" s="9243" t="s">
        <v>442</v>
      </c>
      <c r="C59" s="9244"/>
      <c r="D59" s="5331" t="s">
        <v>442</v>
      </c>
      <c r="E59" s="5230"/>
      <c r="F59" s="5290"/>
      <c r="G59" s="5290"/>
      <c r="H59" s="5233"/>
      <c r="I59" s="5291"/>
      <c r="J59" s="5296" t="s">
        <v>67</v>
      </c>
      <c r="K59" s="9245" t="s">
        <v>449</v>
      </c>
      <c r="L59" s="9246"/>
      <c r="M59" s="5331" t="s">
        <v>449</v>
      </c>
      <c r="N59" s="5331"/>
      <c r="O59" s="5230"/>
      <c r="P59" s="5230"/>
      <c r="Q59" s="5230"/>
      <c r="R59" s="2730">
        <v>1</v>
      </c>
    </row>
    <row r="60" spans="1:18" s="5229" customFormat="1" ht="15">
      <c r="A60" s="9186" t="str">
        <f>B59</f>
        <v>Pour prendre 20% de 140</v>
      </c>
      <c r="B60" s="9249" t="s">
        <v>443</v>
      </c>
      <c r="C60" s="9250"/>
      <c r="D60" s="5331" t="s">
        <v>443</v>
      </c>
      <c r="E60" s="5230"/>
      <c r="F60" s="5290"/>
      <c r="G60" s="5290"/>
      <c r="H60" s="5233"/>
      <c r="I60" s="5291"/>
      <c r="J60" s="9242" t="str">
        <f>K59</f>
        <v xml:space="preserve">Voici la formule pour calculer un pourcentage, </v>
      </c>
      <c r="K60" s="9247"/>
      <c r="L60" s="9248"/>
      <c r="M60" s="5331" t="s">
        <v>450</v>
      </c>
      <c r="N60" s="5331"/>
      <c r="O60" s="5230"/>
      <c r="P60" s="5230"/>
      <c r="Q60" s="5230"/>
      <c r="R60" s="2730">
        <v>1</v>
      </c>
    </row>
    <row r="61" spans="1:18" s="5229" customFormat="1" ht="15">
      <c r="A61" s="9186"/>
      <c r="B61" s="5334" t="str">
        <f>ADDRESS(ROW(),COLUMN(),4)</f>
        <v>B61</v>
      </c>
      <c r="C61" s="5335" t="s">
        <v>14788</v>
      </c>
      <c r="D61" s="5331" t="s">
        <v>444</v>
      </c>
      <c r="E61" s="5230"/>
      <c r="F61" s="5290"/>
      <c r="G61" s="5290"/>
      <c r="H61" s="5233"/>
      <c r="I61" s="5291"/>
      <c r="J61" s="9242"/>
      <c r="K61" s="5334" t="str">
        <f>ADDRESS(ROW(),COLUMN(),4)</f>
        <v>K61</v>
      </c>
      <c r="L61" s="5335" t="s">
        <v>14788</v>
      </c>
      <c r="M61" s="5331" t="s">
        <v>399</v>
      </c>
      <c r="N61" s="5331"/>
      <c r="O61" s="5230"/>
      <c r="P61" s="5230"/>
      <c r="Q61" s="5230"/>
      <c r="R61" s="2730">
        <v>1</v>
      </c>
    </row>
    <row r="62" spans="1:18" s="5229" customFormat="1">
      <c r="A62" s="9186"/>
      <c r="B62" s="5345" t="s">
        <v>53</v>
      </c>
      <c r="C62" s="5346">
        <v>140</v>
      </c>
      <c r="D62" s="5330" t="s">
        <v>445</v>
      </c>
      <c r="E62" s="5230"/>
      <c r="F62" s="5290"/>
      <c r="G62" s="5290"/>
      <c r="H62" s="5233"/>
      <c r="I62" s="5291"/>
      <c r="J62" s="9242"/>
      <c r="K62" s="9251" t="s">
        <v>450</v>
      </c>
      <c r="L62" s="9252"/>
      <c r="M62" s="5331" t="s">
        <v>400</v>
      </c>
      <c r="N62" s="5331"/>
      <c r="O62" s="5230"/>
      <c r="P62" s="5230"/>
      <c r="Q62" s="5230"/>
      <c r="R62" s="2730">
        <v>1</v>
      </c>
    </row>
    <row r="63" spans="1:18" s="5229" customFormat="1">
      <c r="A63" s="9186"/>
      <c r="B63" s="5347" t="s">
        <v>50</v>
      </c>
      <c r="C63" s="5348">
        <v>20</v>
      </c>
      <c r="D63" s="5331" t="s">
        <v>446</v>
      </c>
      <c r="E63" s="5230"/>
      <c r="F63" s="5290"/>
      <c r="G63" s="5290"/>
      <c r="H63" s="5233"/>
      <c r="I63" s="5291"/>
      <c r="J63" s="9242"/>
      <c r="K63" s="9253" t="s">
        <v>399</v>
      </c>
      <c r="L63" s="9254"/>
      <c r="M63" s="5331" t="s">
        <v>401</v>
      </c>
      <c r="N63" s="5331"/>
      <c r="O63" s="5230"/>
      <c r="P63" s="5230"/>
      <c r="Q63" s="5230"/>
      <c r="R63" s="2730">
        <v>1</v>
      </c>
    </row>
    <row r="64" spans="1:18" s="5229" customFormat="1">
      <c r="A64" s="9186"/>
      <c r="B64" s="5349" t="s">
        <v>49</v>
      </c>
      <c r="C64" s="5350">
        <f>(C62*C63)/100</f>
        <v>28</v>
      </c>
      <c r="D64" s="5330" t="s">
        <v>447</v>
      </c>
      <c r="E64" s="5230"/>
      <c r="F64" s="5290"/>
      <c r="G64" s="5290"/>
      <c r="H64" s="5233"/>
      <c r="I64" s="5291"/>
      <c r="J64" s="9242"/>
      <c r="K64" s="5351" t="s">
        <v>53</v>
      </c>
      <c r="L64" s="5352">
        <v>500</v>
      </c>
      <c r="M64" s="5331" t="s">
        <v>402</v>
      </c>
      <c r="N64" s="5331"/>
      <c r="O64" s="5230"/>
      <c r="P64" s="5230"/>
      <c r="Q64" s="5230"/>
      <c r="R64" s="2730">
        <v>1</v>
      </c>
    </row>
    <row r="65" spans="1:18" s="5229" customFormat="1">
      <c r="A65" s="9186"/>
      <c r="B65" s="5349" t="s">
        <v>461</v>
      </c>
      <c r="C65" s="5353">
        <f>C63/100</f>
        <v>0.2</v>
      </c>
      <c r="D65" s="5331" t="s">
        <v>448</v>
      </c>
      <c r="E65" s="5230"/>
      <c r="F65" s="5290"/>
      <c r="G65" s="5290"/>
      <c r="H65" s="5233"/>
      <c r="I65" s="5291"/>
      <c r="J65" s="9242"/>
      <c r="K65" s="5354" t="s">
        <v>50</v>
      </c>
      <c r="L65" s="5355">
        <v>8</v>
      </c>
      <c r="M65" s="5230"/>
      <c r="N65" s="5331"/>
      <c r="O65" s="5230"/>
      <c r="P65" s="5230"/>
      <c r="Q65" s="5230"/>
      <c r="R65" s="2730">
        <v>1</v>
      </c>
    </row>
    <row r="66" spans="1:18" s="5229" customFormat="1">
      <c r="A66" s="9186"/>
      <c r="B66" s="5341" t="s">
        <v>49</v>
      </c>
      <c r="C66" s="5356">
        <f>C62*C65</f>
        <v>28</v>
      </c>
      <c r="D66" s="5330" t="s">
        <v>378</v>
      </c>
      <c r="E66" s="5230"/>
      <c r="F66" s="5290"/>
      <c r="G66" s="5290"/>
      <c r="H66" s="5233"/>
      <c r="I66" s="5291"/>
      <c r="J66" s="9242"/>
      <c r="K66" s="5341" t="s">
        <v>49</v>
      </c>
      <c r="L66" s="5356">
        <f>L64*(L65/100)</f>
        <v>40</v>
      </c>
      <c r="M66" s="5230"/>
      <c r="N66" s="5331"/>
      <c r="O66" s="5230"/>
      <c r="P66" s="5230"/>
      <c r="Q66" s="5230"/>
      <c r="R66" s="2730">
        <v>1</v>
      </c>
    </row>
    <row r="67" spans="1:18" s="5229" customFormat="1">
      <c r="A67" s="9186"/>
      <c r="B67" s="9255" t="s">
        <v>445</v>
      </c>
      <c r="C67" s="9256"/>
      <c r="D67" s="5230"/>
      <c r="E67" s="5230"/>
      <c r="F67" s="5290"/>
      <c r="G67" s="5290"/>
      <c r="H67" s="5233"/>
      <c r="I67" s="5291"/>
      <c r="J67" s="9242"/>
      <c r="K67" s="9257" t="s">
        <v>400</v>
      </c>
      <c r="L67" s="9258"/>
      <c r="M67" s="5230"/>
      <c r="N67" s="5331"/>
      <c r="O67" s="5230"/>
      <c r="P67" s="5230"/>
      <c r="Q67" s="5230"/>
      <c r="R67" s="2730">
        <v>1</v>
      </c>
    </row>
    <row r="68" spans="1:18" s="5229" customFormat="1" ht="15">
      <c r="A68" s="9186"/>
      <c r="B68" s="9227" t="s">
        <v>446</v>
      </c>
      <c r="C68" s="9228"/>
      <c r="D68" s="5230"/>
      <c r="E68" s="5230"/>
      <c r="F68" s="5290"/>
      <c r="G68" s="5290"/>
      <c r="H68" s="5233"/>
      <c r="I68" s="5291"/>
      <c r="J68" s="9242"/>
      <c r="K68" s="9253" t="s">
        <v>401</v>
      </c>
      <c r="L68" s="9254"/>
      <c r="M68" s="5230"/>
      <c r="N68" s="5331"/>
      <c r="O68" s="5230"/>
      <c r="P68" s="5230"/>
      <c r="Q68" s="5230"/>
      <c r="R68" s="2730">
        <v>1</v>
      </c>
    </row>
    <row r="69" spans="1:18" s="5229" customFormat="1" ht="16.5" thickBot="1">
      <c r="A69" s="9186"/>
      <c r="B69" s="5357">
        <f>C65</f>
        <v>0.2</v>
      </c>
      <c r="C69" s="5358">
        <f>C62*B69</f>
        <v>28</v>
      </c>
      <c r="D69" s="5230"/>
      <c r="E69" s="5230"/>
      <c r="F69" s="5290"/>
      <c r="G69" s="5290"/>
      <c r="H69" s="5233"/>
      <c r="I69" s="5291"/>
      <c r="J69" s="9242"/>
      <c r="K69" s="5359">
        <f>L65/100</f>
        <v>0.08</v>
      </c>
      <c r="L69" s="5360">
        <f>L64*K69</f>
        <v>40</v>
      </c>
      <c r="M69" s="5331"/>
      <c r="N69" s="5331"/>
      <c r="O69" s="5230"/>
      <c r="P69" s="5230"/>
      <c r="Q69" s="5230"/>
      <c r="R69" s="2730">
        <v>1</v>
      </c>
    </row>
    <row r="70" spans="1:18" s="5229" customFormat="1" ht="15">
      <c r="A70" s="9186"/>
      <c r="B70" s="9235" t="s">
        <v>447</v>
      </c>
      <c r="C70" s="9236"/>
      <c r="D70" s="5230"/>
      <c r="E70" s="5230"/>
      <c r="F70" s="5290"/>
      <c r="G70" s="5290"/>
      <c r="H70" s="5233"/>
      <c r="I70" s="5291"/>
      <c r="J70" s="5331"/>
      <c r="K70" s="5230"/>
      <c r="L70" s="5230"/>
      <c r="M70" s="5331"/>
      <c r="N70" s="5331"/>
      <c r="O70" s="5230"/>
      <c r="P70" s="5230"/>
      <c r="Q70" s="5230"/>
      <c r="R70" s="2730">
        <v>1</v>
      </c>
    </row>
    <row r="71" spans="1:18" s="5229" customFormat="1" ht="15.75" customHeight="1">
      <c r="A71" s="9186"/>
      <c r="B71" s="5361" t="s">
        <v>448</v>
      </c>
      <c r="C71" s="5362"/>
      <c r="D71" s="5230"/>
      <c r="E71" s="5230"/>
      <c r="F71" s="5230"/>
      <c r="G71" s="5290"/>
      <c r="H71" s="5233"/>
      <c r="I71" s="5291"/>
      <c r="J71" s="5291"/>
      <c r="K71" s="5230"/>
      <c r="L71" s="5230"/>
      <c r="M71" s="5291"/>
      <c r="N71" s="5291"/>
      <c r="O71" s="5230"/>
      <c r="P71" s="5230"/>
      <c r="Q71" s="5230"/>
      <c r="R71" s="2730">
        <v>1</v>
      </c>
    </row>
    <row r="72" spans="1:18" s="5229" customFormat="1" ht="15">
      <c r="A72" s="9186"/>
      <c r="B72" s="5354" t="s">
        <v>50</v>
      </c>
      <c r="C72" s="5355">
        <v>40</v>
      </c>
      <c r="D72" s="5230"/>
      <c r="E72" s="5230"/>
      <c r="F72" s="5230"/>
      <c r="G72" s="5290"/>
      <c r="H72" s="5233"/>
      <c r="I72" s="5291"/>
      <c r="J72" s="5291"/>
      <c r="K72" s="5230"/>
      <c r="L72" s="5230"/>
      <c r="M72" s="5291"/>
      <c r="N72" s="5291"/>
      <c r="O72" s="5230"/>
      <c r="P72" s="5230"/>
      <c r="Q72" s="5230"/>
      <c r="R72" s="2730">
        <v>1</v>
      </c>
    </row>
    <row r="73" spans="1:18" s="5229" customFormat="1">
      <c r="A73" s="9186"/>
      <c r="B73" s="5357">
        <f>C72/100</f>
        <v>0.4</v>
      </c>
      <c r="C73" s="5358">
        <f>C62*B73</f>
        <v>56</v>
      </c>
      <c r="D73" s="5230"/>
      <c r="E73" s="5230"/>
      <c r="F73" s="5230"/>
      <c r="G73" s="5290"/>
      <c r="H73" s="5233"/>
      <c r="I73" s="5291"/>
      <c r="J73" s="5291"/>
      <c r="K73" s="5230"/>
      <c r="L73" s="5230"/>
      <c r="M73" s="5291"/>
      <c r="N73" s="5291"/>
      <c r="O73" s="5230"/>
      <c r="P73" s="5230"/>
      <c r="Q73" s="5230"/>
      <c r="R73" s="2730">
        <v>1</v>
      </c>
    </row>
    <row r="74" spans="1:18" s="5229" customFormat="1" ht="15">
      <c r="A74" s="9186"/>
      <c r="B74" s="5354" t="s">
        <v>50</v>
      </c>
      <c r="C74" s="5355">
        <v>90</v>
      </c>
      <c r="D74" s="5230"/>
      <c r="E74" s="5230"/>
      <c r="F74" s="5230"/>
      <c r="G74" s="5290"/>
      <c r="H74" s="5233"/>
      <c r="I74" s="5291"/>
      <c r="J74" s="5291"/>
      <c r="K74" s="5230"/>
      <c r="L74" s="5230"/>
      <c r="M74" s="5291"/>
      <c r="N74" s="5291"/>
      <c r="O74" s="5230"/>
      <c r="P74" s="5230"/>
      <c r="Q74" s="5230"/>
      <c r="R74" s="2730">
        <v>1</v>
      </c>
    </row>
    <row r="75" spans="1:18" s="5229" customFormat="1" ht="15">
      <c r="A75" s="9186"/>
      <c r="B75" s="9227" t="s">
        <v>378</v>
      </c>
      <c r="C75" s="9228"/>
      <c r="D75" s="5230"/>
      <c r="E75" s="5230"/>
      <c r="F75" s="5230"/>
      <c r="G75" s="5290"/>
      <c r="H75" s="5233"/>
      <c r="I75" s="5291"/>
      <c r="J75" s="5291"/>
      <c r="K75" s="5230"/>
      <c r="L75" s="5230"/>
      <c r="M75" s="5291"/>
      <c r="N75" s="5291"/>
      <c r="O75" s="5230"/>
      <c r="P75" s="5230"/>
      <c r="Q75" s="5230"/>
      <c r="R75" s="2730">
        <v>1</v>
      </c>
    </row>
    <row r="76" spans="1:18" s="5229" customFormat="1" ht="16.5" thickBot="1">
      <c r="A76" s="9186"/>
      <c r="B76" s="5363">
        <f>C74/100</f>
        <v>0.9</v>
      </c>
      <c r="C76" s="5360">
        <f>C62*B76</f>
        <v>126</v>
      </c>
      <c r="D76" s="5230"/>
      <c r="E76" s="5230"/>
      <c r="F76" s="5230"/>
      <c r="G76" s="5290"/>
      <c r="H76" s="5233"/>
      <c r="I76" s="5291"/>
      <c r="J76" s="5291"/>
      <c r="K76" s="5230"/>
      <c r="L76" s="5230"/>
      <c r="M76" s="5291"/>
      <c r="N76" s="5291"/>
      <c r="O76" s="5230"/>
      <c r="P76" s="5230"/>
      <c r="Q76" s="5230"/>
      <c r="R76" s="2730">
        <v>1</v>
      </c>
    </row>
    <row r="77" spans="1:18" s="5229" customFormat="1" ht="15">
      <c r="A77" s="5290"/>
      <c r="B77" s="5290"/>
      <c r="C77" s="5290"/>
      <c r="D77" s="5290"/>
      <c r="E77" s="5290"/>
      <c r="F77" s="5290"/>
      <c r="G77" s="5290"/>
      <c r="H77" s="5233"/>
      <c r="I77" s="5291"/>
      <c r="J77" s="5291"/>
      <c r="K77" s="5292"/>
      <c r="L77" s="5292"/>
      <c r="M77" s="5291"/>
      <c r="N77" s="5291"/>
      <c r="O77" s="5230"/>
      <c r="P77" s="5230"/>
      <c r="Q77" s="5233"/>
      <c r="R77" s="2730">
        <v>1</v>
      </c>
    </row>
    <row r="78" spans="1:18" s="5229" customFormat="1" ht="33.75">
      <c r="A78" s="5228">
        <f>(ROW())</f>
        <v>78</v>
      </c>
      <c r="B78" s="9171" t="s">
        <v>14789</v>
      </c>
      <c r="C78" s="9171"/>
      <c r="D78" s="9171"/>
      <c r="E78" s="9171"/>
      <c r="F78" s="9171"/>
      <c r="G78" s="9171"/>
      <c r="H78" s="9171"/>
      <c r="I78" s="9171"/>
      <c r="J78" s="9171"/>
      <c r="K78" s="9171"/>
      <c r="L78" s="9171"/>
      <c r="M78" s="9171"/>
      <c r="N78" s="9171"/>
      <c r="O78" s="9171"/>
      <c r="P78" s="9171"/>
      <c r="Q78" s="9171"/>
      <c r="R78" s="2730">
        <v>1</v>
      </c>
    </row>
    <row r="79" spans="1:18" s="5229" customFormat="1" ht="15">
      <c r="A79" s="5230"/>
      <c r="B79" s="5290"/>
      <c r="C79" s="5290"/>
      <c r="D79" s="5290"/>
      <c r="E79" s="5290"/>
      <c r="F79" s="5290"/>
      <c r="G79" s="5290"/>
      <c r="H79" s="5233"/>
      <c r="I79" s="5291"/>
      <c r="J79" s="5291"/>
      <c r="K79" s="5292"/>
      <c r="L79" s="5292"/>
      <c r="M79" s="5291"/>
      <c r="N79" s="5291"/>
      <c r="O79" s="5230"/>
      <c r="P79" s="5230"/>
      <c r="Q79" s="5233"/>
      <c r="R79" s="2730">
        <v>1</v>
      </c>
    </row>
    <row r="80" spans="1:18" s="5229" customFormat="1" ht="15">
      <c r="A80" s="5230"/>
      <c r="B80" s="5290"/>
      <c r="C80" s="5290"/>
      <c r="D80" s="5290"/>
      <c r="E80" s="5290"/>
      <c r="F80" s="5290"/>
      <c r="G80" s="5290"/>
      <c r="H80" s="5233"/>
      <c r="I80" s="5291"/>
      <c r="J80" s="5291"/>
      <c r="K80" s="5292"/>
      <c r="L80" s="5292"/>
      <c r="M80" s="5291"/>
      <c r="N80" s="5291"/>
      <c r="O80" s="5230"/>
      <c r="P80" s="5230"/>
      <c r="Q80" s="5233"/>
      <c r="R80" s="2730">
        <v>1</v>
      </c>
    </row>
    <row r="81" spans="1:18" s="5229" customFormat="1" ht="21">
      <c r="A81" s="5230"/>
      <c r="B81" s="5290"/>
      <c r="C81" s="5238" t="s">
        <v>14790</v>
      </c>
      <c r="D81" s="5238"/>
      <c r="E81" s="5233"/>
      <c r="F81" s="5233"/>
      <c r="G81" s="5233"/>
      <c r="H81" s="5233"/>
      <c r="I81" s="5291"/>
      <c r="J81" s="5238" t="s">
        <v>1297</v>
      </c>
      <c r="K81" s="5238"/>
      <c r="L81" s="5233"/>
      <c r="M81" s="5238"/>
      <c r="N81" s="5238"/>
      <c r="O81" s="5233"/>
      <c r="P81" s="5238"/>
      <c r="Q81" s="5233"/>
      <c r="R81" s="2730">
        <v>1</v>
      </c>
    </row>
    <row r="82" spans="1:18" s="5229" customFormat="1" ht="21">
      <c r="A82" s="5230"/>
      <c r="B82" s="5290"/>
      <c r="C82" s="5239" t="str">
        <f>B111</f>
        <v>B111</v>
      </c>
      <c r="D82" s="5240" t="s">
        <v>14788</v>
      </c>
      <c r="E82" s="5364"/>
      <c r="F82" s="5331"/>
      <c r="G82" s="5230"/>
      <c r="H82" s="5233"/>
      <c r="I82" s="5291"/>
      <c r="J82" s="5239" t="str">
        <f>J111</f>
        <v>J111</v>
      </c>
      <c r="K82" s="5240" t="s">
        <v>14788</v>
      </c>
      <c r="L82" s="5241"/>
      <c r="M82" s="5241"/>
      <c r="N82" s="5241"/>
      <c r="O82" s="5241"/>
      <c r="P82" s="5241"/>
      <c r="Q82" s="5233"/>
      <c r="R82" s="2730">
        <v>1</v>
      </c>
    </row>
    <row r="83" spans="1:18" s="5229" customFormat="1" ht="15">
      <c r="A83" s="5230"/>
      <c r="B83" s="5290"/>
      <c r="C83" s="5290"/>
      <c r="D83" s="5290"/>
      <c r="E83" s="5290"/>
      <c r="F83" s="5290"/>
      <c r="G83" s="5290"/>
      <c r="H83" s="5233"/>
      <c r="I83" s="5291"/>
      <c r="J83" s="5291"/>
      <c r="K83" s="5292"/>
      <c r="L83" s="5292"/>
      <c r="M83" s="5291"/>
      <c r="N83" s="5291"/>
      <c r="O83" s="5230"/>
      <c r="P83" s="5230"/>
      <c r="Q83" s="5233"/>
      <c r="R83" s="2730">
        <v>1</v>
      </c>
    </row>
    <row r="84" spans="1:18" s="5229" customFormat="1" ht="15">
      <c r="A84" s="5230"/>
      <c r="B84" s="5290"/>
      <c r="C84" s="5290"/>
      <c r="D84" s="5290"/>
      <c r="E84" s="5290"/>
      <c r="F84" s="5290"/>
      <c r="G84" s="5290"/>
      <c r="H84" s="5233"/>
      <c r="I84" s="5291"/>
      <c r="J84" s="5291"/>
      <c r="K84" s="5292"/>
      <c r="L84" s="5292"/>
      <c r="M84" s="5291"/>
      <c r="N84" s="5291"/>
      <c r="O84" s="5230"/>
      <c r="P84" s="5230"/>
      <c r="Q84" s="5233"/>
      <c r="R84" s="2730">
        <v>1</v>
      </c>
    </row>
    <row r="85" spans="1:18" s="5229" customFormat="1" ht="15">
      <c r="A85" s="5230"/>
      <c r="B85" s="5290"/>
      <c r="C85" s="5290"/>
      <c r="D85" s="5290"/>
      <c r="E85" s="5290"/>
      <c r="F85" s="5290"/>
      <c r="G85" s="5290"/>
      <c r="H85" s="5233"/>
      <c r="I85" s="5291"/>
      <c r="J85" s="5230"/>
      <c r="K85" s="5230"/>
      <c r="L85" s="5230"/>
      <c r="M85" s="5230"/>
      <c r="N85" s="5230"/>
      <c r="O85" s="5230"/>
      <c r="P85" s="5230"/>
      <c r="Q85" s="5233"/>
      <c r="R85" s="2730">
        <v>1</v>
      </c>
    </row>
    <row r="86" spans="1:18" s="5229" customFormat="1" ht="15">
      <c r="A86" s="5230"/>
      <c r="B86" s="5290"/>
      <c r="C86" s="5290"/>
      <c r="D86" s="5290"/>
      <c r="E86" s="5290"/>
      <c r="F86" s="5290"/>
      <c r="G86" s="5290"/>
      <c r="H86" s="5233"/>
      <c r="I86" s="5291"/>
      <c r="J86" s="5230"/>
      <c r="K86" s="5230"/>
      <c r="L86" s="5230"/>
      <c r="M86" s="5230"/>
      <c r="N86" s="5230"/>
      <c r="O86" s="5230"/>
      <c r="P86" s="5230"/>
      <c r="Q86" s="5233"/>
      <c r="R86" s="2730">
        <v>1</v>
      </c>
    </row>
    <row r="87" spans="1:18" s="5229" customFormat="1" ht="15">
      <c r="A87" s="5230"/>
      <c r="B87" s="5290"/>
      <c r="C87" s="5290"/>
      <c r="D87" s="5290"/>
      <c r="E87" s="5290"/>
      <c r="F87" s="5290"/>
      <c r="G87" s="5290"/>
      <c r="H87" s="5233"/>
      <c r="I87" s="5291"/>
      <c r="J87" s="5230"/>
      <c r="K87" s="5230"/>
      <c r="L87" s="5230"/>
      <c r="M87" s="5230"/>
      <c r="N87" s="5230"/>
      <c r="O87" s="5230"/>
      <c r="P87" s="5230"/>
      <c r="Q87" s="5233"/>
      <c r="R87" s="2730">
        <v>1</v>
      </c>
    </row>
    <row r="88" spans="1:18" s="5229" customFormat="1" ht="15">
      <c r="A88" s="5230"/>
      <c r="B88" s="5290"/>
      <c r="C88" s="5290"/>
      <c r="D88" s="5290"/>
      <c r="E88" s="5290"/>
      <c r="F88" s="5290"/>
      <c r="G88" s="5290"/>
      <c r="H88" s="5233"/>
      <c r="I88" s="5291"/>
      <c r="J88" s="5230"/>
      <c r="K88" s="5230"/>
      <c r="L88" s="5230"/>
      <c r="M88" s="5230"/>
      <c r="N88" s="5230"/>
      <c r="O88" s="5230"/>
      <c r="P88" s="5230"/>
      <c r="Q88" s="5233"/>
      <c r="R88" s="2730">
        <v>1</v>
      </c>
    </row>
    <row r="89" spans="1:18" s="5229" customFormat="1" ht="15">
      <c r="A89" s="5230"/>
      <c r="B89" s="5290"/>
      <c r="C89" s="5290"/>
      <c r="D89" s="5290"/>
      <c r="E89" s="5290"/>
      <c r="F89" s="5290"/>
      <c r="G89" s="5290"/>
      <c r="H89" s="5233"/>
      <c r="I89" s="5291"/>
      <c r="J89" s="5230"/>
      <c r="K89" s="5230"/>
      <c r="L89" s="5230"/>
      <c r="M89" s="5230"/>
      <c r="N89" s="5230"/>
      <c r="O89" s="5230"/>
      <c r="P89" s="5230"/>
      <c r="Q89" s="5233"/>
      <c r="R89" s="2730">
        <v>1</v>
      </c>
    </row>
    <row r="90" spans="1:18" s="5229" customFormat="1" ht="15">
      <c r="A90" s="5230"/>
      <c r="B90" s="5290"/>
      <c r="C90" s="5290"/>
      <c r="D90" s="5290"/>
      <c r="E90" s="5290"/>
      <c r="F90" s="5290"/>
      <c r="G90" s="5290"/>
      <c r="H90" s="5233"/>
      <c r="I90" s="5291"/>
      <c r="J90" s="5230"/>
      <c r="K90" s="5230"/>
      <c r="L90" s="5230"/>
      <c r="M90" s="5230"/>
      <c r="N90" s="5230"/>
      <c r="O90" s="5230"/>
      <c r="P90" s="5230"/>
      <c r="Q90" s="5233"/>
      <c r="R90" s="2730">
        <v>1</v>
      </c>
    </row>
    <row r="91" spans="1:18" s="5229" customFormat="1" ht="15">
      <c r="A91" s="5230"/>
      <c r="B91" s="5290"/>
      <c r="C91" s="5290"/>
      <c r="D91" s="5290"/>
      <c r="E91" s="5290"/>
      <c r="F91" s="5290"/>
      <c r="G91" s="5290"/>
      <c r="H91" s="5233"/>
      <c r="I91" s="5291"/>
      <c r="J91" s="5230"/>
      <c r="K91" s="5230"/>
      <c r="L91" s="5230"/>
      <c r="M91" s="5230"/>
      <c r="N91" s="5230"/>
      <c r="O91" s="5230"/>
      <c r="P91" s="5230"/>
      <c r="Q91" s="5233"/>
      <c r="R91" s="2730">
        <v>1</v>
      </c>
    </row>
    <row r="92" spans="1:18" s="5229" customFormat="1">
      <c r="A92" s="5230"/>
      <c r="B92" s="5365" t="s">
        <v>409</v>
      </c>
      <c r="C92" s="5290"/>
      <c r="D92" s="5290"/>
      <c r="E92" s="5290"/>
      <c r="F92" s="5290"/>
      <c r="G92" s="5290"/>
      <c r="H92" s="5233"/>
      <c r="I92" s="5291"/>
      <c r="J92" s="5230"/>
      <c r="K92" s="5230"/>
      <c r="L92" s="5230"/>
      <c r="M92" s="5230"/>
      <c r="N92" s="5230"/>
      <c r="O92" s="5230"/>
      <c r="P92" s="5230"/>
      <c r="Q92" s="5233"/>
      <c r="R92" s="2730">
        <v>1</v>
      </c>
    </row>
    <row r="93" spans="1:18" s="5229" customFormat="1">
      <c r="A93" s="5230"/>
      <c r="B93" s="5365" t="s">
        <v>410</v>
      </c>
      <c r="C93" s="5290"/>
      <c r="D93" s="5290"/>
      <c r="E93" s="5290"/>
      <c r="F93" s="5290"/>
      <c r="G93" s="5290"/>
      <c r="H93" s="5233"/>
      <c r="I93" s="5291"/>
      <c r="J93" s="5230"/>
      <c r="K93" s="5230"/>
      <c r="L93" s="5230"/>
      <c r="M93" s="5230"/>
      <c r="N93" s="5230"/>
      <c r="O93" s="5230"/>
      <c r="P93" s="5230"/>
      <c r="Q93" s="5233"/>
      <c r="R93" s="2730">
        <v>1</v>
      </c>
    </row>
    <row r="94" spans="1:18" s="5229" customFormat="1" ht="15">
      <c r="A94" s="5230"/>
      <c r="B94" s="5290"/>
      <c r="C94" s="5290"/>
      <c r="D94" s="5290"/>
      <c r="E94" s="5290"/>
      <c r="F94" s="5290"/>
      <c r="G94" s="5290"/>
      <c r="H94" s="5233"/>
      <c r="I94" s="5291"/>
      <c r="J94" s="5230"/>
      <c r="K94" s="5230"/>
      <c r="L94" s="5230"/>
      <c r="M94" s="5230"/>
      <c r="N94" s="5230"/>
      <c r="O94" s="5230"/>
      <c r="P94" s="5230"/>
      <c r="Q94" s="5233"/>
      <c r="R94" s="2730">
        <v>1</v>
      </c>
    </row>
    <row r="95" spans="1:18" s="5229" customFormat="1" ht="18.75">
      <c r="A95" s="5230"/>
      <c r="B95" s="5366" t="s">
        <v>454</v>
      </c>
      <c r="C95" s="5230"/>
      <c r="D95" s="5230"/>
      <c r="E95" s="5230"/>
      <c r="F95" s="5290"/>
      <c r="G95" s="5290"/>
      <c r="H95" s="5233"/>
      <c r="I95" s="5291"/>
      <c r="J95" s="5230"/>
      <c r="K95" s="5230"/>
      <c r="L95" s="5230"/>
      <c r="M95" s="5230"/>
      <c r="N95" s="5230"/>
      <c r="O95" s="5230"/>
      <c r="P95" s="5230"/>
      <c r="Q95" s="5233"/>
      <c r="R95" s="2730">
        <v>1</v>
      </c>
    </row>
    <row r="96" spans="1:18" s="5229" customFormat="1" ht="15">
      <c r="A96" s="5230"/>
      <c r="C96" s="5230"/>
      <c r="D96" s="5230"/>
      <c r="E96" s="5230"/>
      <c r="F96" s="5290"/>
      <c r="G96" s="5290"/>
      <c r="H96" s="5233"/>
      <c r="I96" s="5291"/>
      <c r="J96" s="5291"/>
      <c r="K96" s="5292"/>
      <c r="L96" s="5292"/>
      <c r="M96" s="5291"/>
      <c r="N96" s="5291"/>
      <c r="O96" s="5230"/>
      <c r="P96" s="5230"/>
      <c r="Q96" s="5233"/>
      <c r="R96" s="2730">
        <v>1</v>
      </c>
    </row>
    <row r="97" spans="1:18" s="5229" customFormat="1" ht="18.75">
      <c r="A97" s="5230"/>
      <c r="B97" s="5367" t="s">
        <v>1283</v>
      </c>
      <c r="C97" s="9229" t="s">
        <v>14791</v>
      </c>
      <c r="D97" s="9230"/>
      <c r="E97" s="9230"/>
      <c r="F97" s="9230"/>
      <c r="G97" s="9230"/>
      <c r="H97" s="9230"/>
      <c r="I97" s="9230"/>
      <c r="J97" s="9230"/>
      <c r="K97" s="9230"/>
      <c r="L97" s="9230"/>
      <c r="M97" s="5291"/>
      <c r="N97" s="5291"/>
      <c r="O97" s="5230"/>
      <c r="P97" s="5230"/>
      <c r="Q97" s="5233"/>
      <c r="R97" s="2730">
        <v>1</v>
      </c>
    </row>
    <row r="98" spans="1:18" s="5229" customFormat="1" ht="31.5" customHeight="1">
      <c r="A98" s="5230"/>
      <c r="B98" s="5365"/>
      <c r="C98" s="5331"/>
      <c r="D98" s="5331"/>
      <c r="E98" s="5331"/>
      <c r="F98" s="5290"/>
      <c r="G98" s="5368"/>
      <c r="H98" s="5368"/>
      <c r="I98" s="5368"/>
      <c r="J98" s="5368"/>
      <c r="K98" s="5368"/>
      <c r="L98" s="5368"/>
      <c r="M98" s="5368"/>
      <c r="N98" s="5368"/>
      <c r="O98" s="5368"/>
      <c r="P98" s="5368"/>
      <c r="Q98" s="5368"/>
      <c r="R98" s="2730">
        <v>1</v>
      </c>
    </row>
    <row r="99" spans="1:18" s="5229" customFormat="1" ht="16.5" customHeight="1">
      <c r="A99" s="5230"/>
      <c r="B99" s="5369" t="s">
        <v>451</v>
      </c>
      <c r="C99" s="5370"/>
      <c r="D99" s="5370"/>
      <c r="E99" s="5371"/>
      <c r="F99" s="5371"/>
      <c r="G99" s="5368"/>
      <c r="H99" s="5368"/>
      <c r="I99" s="5368"/>
      <c r="J99" s="5368"/>
      <c r="K99" s="5368"/>
      <c r="L99" s="5368"/>
      <c r="M99" s="5368"/>
      <c r="N99" s="5368"/>
      <c r="O99" s="5368"/>
      <c r="P99" s="5368"/>
      <c r="Q99" s="5368"/>
      <c r="R99" s="2730">
        <v>1</v>
      </c>
    </row>
    <row r="100" spans="1:18" s="5229" customFormat="1" ht="15">
      <c r="A100" s="5230"/>
      <c r="B100" s="5291"/>
      <c r="C100" s="5292"/>
      <c r="D100" s="5292"/>
      <c r="E100" s="5291"/>
      <c r="F100" s="5291"/>
      <c r="G100" s="5368"/>
      <c r="H100" s="5368"/>
      <c r="I100" s="5368"/>
      <c r="J100" s="5368"/>
      <c r="K100" s="5368"/>
      <c r="L100" s="5368"/>
      <c r="M100" s="5368"/>
      <c r="N100" s="5368"/>
      <c r="O100" s="5368"/>
      <c r="P100" s="5368"/>
      <c r="Q100" s="5368"/>
      <c r="R100" s="2730">
        <v>1</v>
      </c>
    </row>
    <row r="101" spans="1:18" s="5229" customFormat="1" ht="21">
      <c r="A101" s="5230"/>
      <c r="B101" s="5372" t="s">
        <v>376</v>
      </c>
      <c r="C101" s="5230"/>
      <c r="D101" s="5230"/>
      <c r="E101" s="5230"/>
      <c r="F101" s="5230"/>
      <c r="G101" s="5368"/>
      <c r="H101" s="5368"/>
      <c r="I101" s="5368"/>
      <c r="J101" s="5368"/>
      <c r="K101" s="5368"/>
      <c r="L101" s="5368"/>
      <c r="M101" s="5368"/>
      <c r="N101" s="5368"/>
      <c r="O101" s="5368"/>
      <c r="P101" s="5368"/>
      <c r="Q101" s="5368"/>
      <c r="R101" s="2730">
        <v>1</v>
      </c>
    </row>
    <row r="102" spans="1:18" s="5229" customFormat="1" ht="15.75" customHeight="1">
      <c r="A102" s="5230"/>
      <c r="B102" s="9231" t="s">
        <v>375</v>
      </c>
      <c r="C102" s="9231"/>
      <c r="D102" s="9231"/>
      <c r="E102" s="9231"/>
      <c r="F102" s="9231"/>
      <c r="G102" s="5368"/>
      <c r="H102" s="5368"/>
      <c r="I102" s="5368"/>
      <c r="J102" s="5368"/>
      <c r="K102" s="5368"/>
      <c r="L102" s="5368"/>
      <c r="M102" s="5368"/>
      <c r="N102" s="5368"/>
      <c r="O102" s="5368"/>
      <c r="P102" s="5368"/>
      <c r="Q102" s="5368"/>
      <c r="R102" s="2730">
        <v>1</v>
      </c>
    </row>
    <row r="103" spans="1:18" s="5229" customFormat="1" ht="21" customHeight="1">
      <c r="A103" s="5230"/>
      <c r="B103" s="5367" t="s">
        <v>1283</v>
      </c>
      <c r="C103" s="9230" t="s">
        <v>430</v>
      </c>
      <c r="D103" s="9230"/>
      <c r="E103" s="9230"/>
      <c r="F103" s="9230"/>
      <c r="G103" s="9230"/>
      <c r="H103" s="9230"/>
      <c r="I103" s="5368"/>
      <c r="J103" s="5368"/>
      <c r="K103" s="5368"/>
      <c r="L103" s="5368"/>
      <c r="M103" s="5368"/>
      <c r="N103" s="5368"/>
      <c r="O103" s="5368"/>
      <c r="P103" s="5368"/>
      <c r="Q103" s="5368"/>
      <c r="R103" s="2730">
        <v>1</v>
      </c>
    </row>
    <row r="104" spans="1:18" s="5229" customFormat="1" ht="21">
      <c r="A104" s="5230"/>
      <c r="B104" s="5373"/>
      <c r="C104" s="9229" t="s">
        <v>411</v>
      </c>
      <c r="D104" s="9229"/>
      <c r="E104" s="9229"/>
      <c r="F104" s="9229"/>
      <c r="G104" s="9229"/>
      <c r="H104" s="5374"/>
      <c r="I104" s="5368"/>
      <c r="J104" s="5368"/>
      <c r="K104" s="5368"/>
      <c r="L104" s="5368"/>
      <c r="M104" s="5368"/>
      <c r="N104" s="5368"/>
      <c r="O104" s="5368"/>
      <c r="P104" s="5368"/>
      <c r="Q104" s="5368"/>
      <c r="R104" s="2730">
        <v>1</v>
      </c>
    </row>
    <row r="105" spans="1:18" s="5229" customFormat="1" ht="21">
      <c r="A105" s="5230"/>
      <c r="B105" s="5373"/>
      <c r="C105" s="9230" t="s">
        <v>439</v>
      </c>
      <c r="D105" s="9230"/>
      <c r="E105" s="9230"/>
      <c r="F105" s="9230"/>
      <c r="G105" s="9230"/>
      <c r="H105" s="9230"/>
      <c r="I105" s="5368"/>
      <c r="J105" s="5368"/>
      <c r="K105" s="5368"/>
      <c r="L105" s="5368"/>
      <c r="M105" s="5368"/>
      <c r="N105" s="5368"/>
      <c r="O105" s="5368"/>
      <c r="P105" s="5368"/>
      <c r="Q105" s="5368"/>
      <c r="R105" s="2730">
        <v>1</v>
      </c>
    </row>
    <row r="106" spans="1:18" s="5229" customFormat="1" ht="21">
      <c r="A106" s="5230"/>
      <c r="B106" s="5373"/>
      <c r="C106" s="9230" t="s">
        <v>428</v>
      </c>
      <c r="D106" s="9230"/>
      <c r="E106" s="9230"/>
      <c r="F106" s="9230"/>
      <c r="G106" s="9230"/>
      <c r="H106" s="9230"/>
      <c r="I106" s="5368"/>
      <c r="J106" s="5368"/>
      <c r="K106" s="5368"/>
      <c r="L106" s="5368"/>
      <c r="M106" s="5368"/>
      <c r="N106" s="5368"/>
      <c r="O106" s="5368"/>
      <c r="P106" s="5368"/>
      <c r="Q106" s="5368"/>
      <c r="R106" s="2730">
        <v>1</v>
      </c>
    </row>
    <row r="107" spans="1:18" s="5229" customFormat="1" ht="21">
      <c r="A107" s="5230"/>
      <c r="B107" s="5373"/>
      <c r="C107" s="9230" t="s">
        <v>429</v>
      </c>
      <c r="D107" s="9230"/>
      <c r="E107" s="9230"/>
      <c r="F107" s="9230"/>
      <c r="G107" s="9230"/>
      <c r="H107" s="9230"/>
      <c r="I107" s="5368"/>
      <c r="J107" s="5368"/>
      <c r="K107" s="5368"/>
      <c r="L107" s="5368"/>
      <c r="M107" s="5368"/>
      <c r="N107" s="5368"/>
      <c r="O107" s="5368"/>
      <c r="P107" s="5368"/>
      <c r="Q107" s="5368"/>
      <c r="R107" s="2730">
        <v>1</v>
      </c>
    </row>
    <row r="108" spans="1:18" s="5229" customFormat="1" ht="21">
      <c r="A108" s="5230"/>
      <c r="B108" s="5373"/>
      <c r="C108" s="9230" t="s">
        <v>432</v>
      </c>
      <c r="D108" s="9230"/>
      <c r="E108" s="9230"/>
      <c r="F108" s="9230"/>
      <c r="G108" s="9230"/>
      <c r="H108" s="9230"/>
      <c r="I108" s="5368"/>
      <c r="J108" s="5368"/>
      <c r="K108" s="5368"/>
      <c r="L108" s="5368"/>
      <c r="M108" s="5368"/>
      <c r="N108" s="5368"/>
      <c r="O108" s="5368"/>
      <c r="P108" s="5368"/>
      <c r="Q108" s="5368"/>
      <c r="R108" s="2730">
        <v>1</v>
      </c>
    </row>
    <row r="109" spans="1:18" s="5229" customFormat="1" ht="16.5" thickBot="1">
      <c r="A109" s="5230"/>
      <c r="B109" s="5329"/>
      <c r="C109" s="5230"/>
      <c r="D109" s="5230"/>
      <c r="E109" s="5230"/>
      <c r="F109" s="5290"/>
      <c r="G109" s="5290"/>
      <c r="H109" s="5233"/>
      <c r="I109" s="5368"/>
      <c r="J109" s="5368"/>
      <c r="K109" s="5368"/>
      <c r="L109" s="5368"/>
      <c r="M109" s="5368"/>
      <c r="N109" s="5368"/>
      <c r="O109" s="5368"/>
      <c r="P109" s="5368"/>
      <c r="Q109" s="5368"/>
      <c r="R109" s="2730">
        <v>1</v>
      </c>
    </row>
    <row r="110" spans="1:18" s="5229" customFormat="1" ht="21">
      <c r="A110" s="5296" t="s">
        <v>67</v>
      </c>
      <c r="B110" s="9232" t="s">
        <v>14790</v>
      </c>
      <c r="C110" s="9233"/>
      <c r="D110" s="9233"/>
      <c r="E110" s="9233"/>
      <c r="F110" s="9234"/>
      <c r="G110" s="5368"/>
      <c r="H110" s="5368"/>
      <c r="I110" s="5296" t="s">
        <v>67</v>
      </c>
      <c r="J110" s="9226" t="s">
        <v>1297</v>
      </c>
      <c r="K110" s="7766"/>
      <c r="L110" s="7766"/>
      <c r="M110" s="7766"/>
      <c r="N110" s="7766"/>
      <c r="O110" s="7766"/>
      <c r="P110" s="7767"/>
      <c r="Q110" s="5368"/>
      <c r="R110" s="2730">
        <v>1</v>
      </c>
    </row>
    <row r="111" spans="1:18" s="5229" customFormat="1">
      <c r="A111" s="9186" t="str">
        <f>B110</f>
        <v>Formule avec DONT</v>
      </c>
      <c r="B111" s="5375" t="str">
        <f>ADDRESS(ROW(),COLUMN(),4)</f>
        <v>B111</v>
      </c>
      <c r="C111" s="5250" t="s">
        <v>14788</v>
      </c>
      <c r="D111" s="5364"/>
      <c r="E111" s="5331"/>
      <c r="F111" s="5362"/>
      <c r="G111" s="5368"/>
      <c r="H111" s="5368"/>
      <c r="I111" s="9186" t="str">
        <f>J110</f>
        <v>Décriptage d'une recette par les pourcentages</v>
      </c>
      <c r="J111" s="5375" t="str">
        <f>ADDRESS(ROW(),COLUMN(),4)</f>
        <v>J111</v>
      </c>
      <c r="K111" s="5250" t="s">
        <v>14788</v>
      </c>
      <c r="L111" s="5251"/>
      <c r="M111" s="5251"/>
      <c r="N111" s="5251"/>
      <c r="O111" s="5251"/>
      <c r="P111" s="5252"/>
      <c r="Q111" s="5368"/>
      <c r="R111" s="2730">
        <v>1</v>
      </c>
    </row>
    <row r="112" spans="1:18" s="5229" customFormat="1" ht="15">
      <c r="A112" s="9186"/>
      <c r="B112" s="9187" t="s">
        <v>14792</v>
      </c>
      <c r="C112" s="9189" t="s">
        <v>14793</v>
      </c>
      <c r="D112" s="9189"/>
      <c r="E112" s="9189"/>
      <c r="F112" s="9190"/>
      <c r="G112" s="5368"/>
      <c r="H112" s="5368"/>
      <c r="I112" s="9186"/>
      <c r="J112" s="9193" t="s">
        <v>14792</v>
      </c>
      <c r="K112" s="9189" t="s">
        <v>14794</v>
      </c>
      <c r="L112" s="9189"/>
      <c r="M112" s="9189"/>
      <c r="N112" s="9189"/>
      <c r="O112" s="9189"/>
      <c r="P112" s="9190"/>
      <c r="Q112" s="5368"/>
      <c r="R112" s="2730">
        <v>1</v>
      </c>
    </row>
    <row r="113" spans="1:18" s="5229" customFormat="1" ht="15">
      <c r="A113" s="9186"/>
      <c r="B113" s="9188"/>
      <c r="C113" s="9191"/>
      <c r="D113" s="9191"/>
      <c r="E113" s="9191"/>
      <c r="F113" s="9192"/>
      <c r="G113" s="5368"/>
      <c r="H113" s="5368"/>
      <c r="I113" s="9186"/>
      <c r="J113" s="9194"/>
      <c r="K113" s="9211"/>
      <c r="L113" s="9211"/>
      <c r="M113" s="9211"/>
      <c r="N113" s="9211"/>
      <c r="O113" s="9211"/>
      <c r="P113" s="9212"/>
      <c r="Q113" s="5368"/>
      <c r="R113" s="2730">
        <v>1</v>
      </c>
    </row>
    <row r="114" spans="1:18" s="5229" customFormat="1" ht="15" customHeight="1">
      <c r="A114" s="9186"/>
      <c r="B114" s="9213" t="s">
        <v>14795</v>
      </c>
      <c r="C114" s="9214"/>
      <c r="D114" s="9214"/>
      <c r="E114" s="9217">
        <v>1000</v>
      </c>
      <c r="F114" s="9219">
        <f>(F116+F122)/E114*100</f>
        <v>100</v>
      </c>
      <c r="G114" s="5368"/>
      <c r="H114" s="5368"/>
      <c r="I114" s="9186"/>
      <c r="J114" s="9221" t="s">
        <v>14796</v>
      </c>
      <c r="K114" s="7778">
        <f>SUM(J118:J127)</f>
        <v>0.97000000000000008</v>
      </c>
      <c r="L114" s="7780" t="str">
        <f>IF(J117&lt;O117,"Recette incomplète, il manque",IF(J117&gt;O117,"Trop de produits dans la recette",IF(J117=O117,"OK")))</f>
        <v>Recette incomplète, il manque</v>
      </c>
      <c r="M114" s="7780"/>
      <c r="N114" s="7780"/>
      <c r="O114" s="7780"/>
      <c r="P114" s="9224">
        <f>IF(J117=O117,"",IF(J117&lt;O117,O117-J117,IF(J117&gt;O117,J117-O117)))</f>
        <v>2.9999999999999916E-2</v>
      </c>
      <c r="Q114" s="5368"/>
      <c r="R114" s="2730">
        <v>1</v>
      </c>
    </row>
    <row r="115" spans="1:18" s="5229" customFormat="1" ht="15" customHeight="1">
      <c r="A115" s="9186"/>
      <c r="B115" s="9215"/>
      <c r="C115" s="9216"/>
      <c r="D115" s="9216"/>
      <c r="E115" s="9218"/>
      <c r="F115" s="9220"/>
      <c r="G115" s="5368"/>
      <c r="H115" s="5368"/>
      <c r="I115" s="9186"/>
      <c r="J115" s="9222"/>
      <c r="K115" s="7779"/>
      <c r="L115" s="9223"/>
      <c r="M115" s="9223"/>
      <c r="N115" s="9223"/>
      <c r="O115" s="9223"/>
      <c r="P115" s="9225"/>
      <c r="Q115" s="5368"/>
      <c r="R115" s="2730">
        <v>1</v>
      </c>
    </row>
    <row r="116" spans="1:18" s="5229" customFormat="1" ht="30">
      <c r="A116" s="9186"/>
      <c r="B116" s="9195" t="s">
        <v>66</v>
      </c>
      <c r="C116" s="9197" t="s">
        <v>14797</v>
      </c>
      <c r="D116" s="9197"/>
      <c r="E116" s="9199">
        <v>20</v>
      </c>
      <c r="F116" s="9178">
        <f>(E114*E116)/100</f>
        <v>200</v>
      </c>
      <c r="G116" s="5368"/>
      <c r="H116" s="5368"/>
      <c r="I116" s="9186"/>
      <c r="J116" s="5376" t="s">
        <v>1298</v>
      </c>
      <c r="K116" s="5377"/>
      <c r="L116" s="5377"/>
      <c r="M116" s="5377"/>
      <c r="N116" s="5378" t="s">
        <v>368</v>
      </c>
      <c r="O116" s="5379" t="s">
        <v>371</v>
      </c>
      <c r="P116" s="5380" t="s">
        <v>367</v>
      </c>
      <c r="Q116" s="5368"/>
      <c r="R116" s="2730">
        <v>1</v>
      </c>
    </row>
    <row r="117" spans="1:18" s="5229" customFormat="1">
      <c r="A117" s="9186"/>
      <c r="B117" s="9195"/>
      <c r="C117" s="9197"/>
      <c r="D117" s="9197"/>
      <c r="E117" s="9199"/>
      <c r="F117" s="9178"/>
      <c r="G117" s="5368"/>
      <c r="H117" s="5368"/>
      <c r="I117" s="9186"/>
      <c r="J117" s="5381">
        <f>SUM(J118:J127)</f>
        <v>0.97000000000000008</v>
      </c>
      <c r="K117" s="5382"/>
      <c r="L117" s="5383"/>
      <c r="M117" s="5384" t="s">
        <v>14795</v>
      </c>
      <c r="N117" s="5385">
        <v>7</v>
      </c>
      <c r="O117" s="5386">
        <v>1</v>
      </c>
      <c r="P117" s="5387">
        <f>SUM(P118:P127)</f>
        <v>6.9300000000000006</v>
      </c>
      <c r="Q117" s="5368"/>
      <c r="R117" s="2730">
        <v>1</v>
      </c>
    </row>
    <row r="118" spans="1:18" s="5229" customFormat="1" ht="15.75" customHeight="1">
      <c r="A118" s="9186"/>
      <c r="B118" s="9196"/>
      <c r="C118" s="9198"/>
      <c r="D118" s="9198"/>
      <c r="E118" s="9200"/>
      <c r="F118" s="9201"/>
      <c r="G118" s="5368"/>
      <c r="H118" s="5368"/>
      <c r="I118" s="9186"/>
      <c r="J118" s="5388">
        <v>0.12</v>
      </c>
      <c r="K118" s="5389" t="s">
        <v>1264</v>
      </c>
      <c r="L118" s="5389"/>
      <c r="M118" s="5389"/>
      <c r="N118" s="5390">
        <f>N117*J118</f>
        <v>0.84</v>
      </c>
      <c r="O118" s="5391">
        <v>0</v>
      </c>
      <c r="P118" s="5392">
        <f t="shared" ref="P118:P127" si="2">IF(O118=0,N118,IF(N118="","",N118/(100-O118)*100))</f>
        <v>0.84</v>
      </c>
      <c r="Q118" s="5368"/>
      <c r="R118" s="2730">
        <v>1</v>
      </c>
    </row>
    <row r="119" spans="1:18" s="5229" customFormat="1" ht="16.5" customHeight="1">
      <c r="A119" s="9186"/>
      <c r="B119" s="9208" t="s">
        <v>81</v>
      </c>
      <c r="C119" s="9209" t="s">
        <v>14798</v>
      </c>
      <c r="D119" s="9209"/>
      <c r="E119" s="9210">
        <v>26.5</v>
      </c>
      <c r="F119" s="9178">
        <f>(E116*E119)/10</f>
        <v>53</v>
      </c>
      <c r="G119" s="5368"/>
      <c r="H119" s="5368"/>
      <c r="I119" s="9186"/>
      <c r="J119" s="5388">
        <v>0.08</v>
      </c>
      <c r="K119" s="5389" t="s">
        <v>1300</v>
      </c>
      <c r="L119" s="5389"/>
      <c r="M119" s="5389"/>
      <c r="N119" s="5393">
        <f>N117*J119</f>
        <v>0.56000000000000005</v>
      </c>
      <c r="O119" s="5394">
        <v>0</v>
      </c>
      <c r="P119" s="5392">
        <f t="shared" si="2"/>
        <v>0.56000000000000005</v>
      </c>
      <c r="Q119" s="5368"/>
      <c r="R119" s="2730">
        <v>1</v>
      </c>
    </row>
    <row r="120" spans="1:18" s="5229" customFormat="1" ht="16.5" customHeight="1">
      <c r="A120" s="9186"/>
      <c r="B120" s="9208"/>
      <c r="C120" s="9209"/>
      <c r="D120" s="9209"/>
      <c r="E120" s="9210"/>
      <c r="F120" s="9178"/>
      <c r="G120" s="5368"/>
      <c r="H120" s="5368"/>
      <c r="I120" s="9186"/>
      <c r="J120" s="5388">
        <v>0.2</v>
      </c>
      <c r="K120" s="5389" t="s">
        <v>1301</v>
      </c>
      <c r="L120" s="5389"/>
      <c r="M120" s="5389"/>
      <c r="N120" s="5393">
        <f>N117*J120</f>
        <v>1.4000000000000001</v>
      </c>
      <c r="O120" s="5394">
        <v>0</v>
      </c>
      <c r="P120" s="5392">
        <f t="shared" si="2"/>
        <v>1.4000000000000001</v>
      </c>
      <c r="Q120" s="5368"/>
      <c r="R120" s="2730">
        <v>1</v>
      </c>
    </row>
    <row r="121" spans="1:18" s="5229" customFormat="1" ht="16.5" customHeight="1" thickBot="1">
      <c r="A121" s="9186"/>
      <c r="B121" s="9208"/>
      <c r="C121" s="9209"/>
      <c r="D121" s="9209"/>
      <c r="E121" s="9210"/>
      <c r="F121" s="9178"/>
      <c r="G121" s="5368"/>
      <c r="H121" s="5368"/>
      <c r="I121" s="9186"/>
      <c r="J121" s="5388">
        <v>0.55000000000000004</v>
      </c>
      <c r="K121" s="5389" t="s">
        <v>1278</v>
      </c>
      <c r="L121" s="5389"/>
      <c r="M121" s="5389"/>
      <c r="N121" s="5393">
        <f>N117*J121</f>
        <v>3.8500000000000005</v>
      </c>
      <c r="O121" s="5394">
        <v>0</v>
      </c>
      <c r="P121" s="5392">
        <f t="shared" si="2"/>
        <v>3.8500000000000005</v>
      </c>
      <c r="Q121" s="5368"/>
      <c r="R121" s="2730">
        <v>1</v>
      </c>
    </row>
    <row r="122" spans="1:18" s="5229" customFormat="1" ht="20.25" customHeight="1">
      <c r="A122" s="9186"/>
      <c r="B122" s="9179" t="s">
        <v>84</v>
      </c>
      <c r="C122" s="9180" t="s">
        <v>14799</v>
      </c>
      <c r="D122" s="9180"/>
      <c r="E122" s="9182">
        <f>(F114/E114)*F122</f>
        <v>80</v>
      </c>
      <c r="F122" s="9184">
        <f>E114-F116</f>
        <v>800</v>
      </c>
      <c r="G122" s="5368"/>
      <c r="H122" s="5368"/>
      <c r="I122" s="9186"/>
      <c r="J122" s="5388">
        <v>0.02</v>
      </c>
      <c r="K122" s="5389" t="s">
        <v>1302</v>
      </c>
      <c r="L122" s="5389"/>
      <c r="M122" s="5389"/>
      <c r="N122" s="5393">
        <f>N117*J122</f>
        <v>0.14000000000000001</v>
      </c>
      <c r="O122" s="5394">
        <v>50</v>
      </c>
      <c r="P122" s="5392">
        <f t="shared" si="2"/>
        <v>0.28000000000000003</v>
      </c>
      <c r="Q122" s="5368"/>
      <c r="R122" s="2730">
        <v>1</v>
      </c>
    </row>
    <row r="123" spans="1:18" s="5229" customFormat="1" ht="15.75" customHeight="1">
      <c r="A123" s="9186"/>
      <c r="B123" s="9172"/>
      <c r="C123" s="9181"/>
      <c r="D123" s="9181"/>
      <c r="E123" s="9183"/>
      <c r="F123" s="9185"/>
      <c r="G123" s="5368"/>
      <c r="H123" s="5368"/>
      <c r="I123" s="9186"/>
      <c r="J123" s="5388"/>
      <c r="K123" s="5389"/>
      <c r="L123" s="5389"/>
      <c r="M123" s="5389"/>
      <c r="N123" s="5393">
        <f>N117*J123</f>
        <v>0</v>
      </c>
      <c r="O123" s="5394"/>
      <c r="P123" s="5392">
        <f t="shared" si="2"/>
        <v>0</v>
      </c>
      <c r="Q123" s="5368"/>
      <c r="R123" s="2730">
        <v>1</v>
      </c>
    </row>
    <row r="124" spans="1:18" s="5229" customFormat="1" ht="15.75" customHeight="1">
      <c r="A124" s="9186"/>
      <c r="B124" s="9172" t="s">
        <v>85</v>
      </c>
      <c r="C124" s="9173" t="s">
        <v>14800</v>
      </c>
      <c r="D124" s="9174" t="s">
        <v>14801</v>
      </c>
      <c r="E124" s="9176">
        <f>(F114/E114)*F124</f>
        <v>14.700000000000001</v>
      </c>
      <c r="F124" s="9177">
        <f>F116-F126</f>
        <v>147</v>
      </c>
      <c r="G124" s="5368"/>
      <c r="H124" s="5368"/>
      <c r="I124" s="9186"/>
      <c r="J124" s="5388"/>
      <c r="K124" s="5389"/>
      <c r="L124" s="5389"/>
      <c r="M124" s="5389"/>
      <c r="N124" s="5393">
        <f>N117*J124</f>
        <v>0</v>
      </c>
      <c r="O124" s="5394"/>
      <c r="P124" s="5392">
        <f t="shared" si="2"/>
        <v>0</v>
      </c>
      <c r="Q124" s="5368"/>
      <c r="R124" s="2730">
        <v>1</v>
      </c>
    </row>
    <row r="125" spans="1:18" s="5229" customFormat="1" ht="15.75" customHeight="1">
      <c r="A125" s="9186"/>
      <c r="B125" s="9172"/>
      <c r="C125" s="9173"/>
      <c r="D125" s="9175"/>
      <c r="E125" s="9176"/>
      <c r="F125" s="9177"/>
      <c r="G125" s="5368"/>
      <c r="H125" s="5368"/>
      <c r="I125" s="9186"/>
      <c r="J125" s="5388"/>
      <c r="K125" s="5389"/>
      <c r="L125" s="5389"/>
      <c r="M125" s="5389"/>
      <c r="N125" s="5393">
        <f>N117*J125</f>
        <v>0</v>
      </c>
      <c r="O125" s="5394"/>
      <c r="P125" s="5392">
        <f t="shared" si="2"/>
        <v>0</v>
      </c>
      <c r="Q125" s="5368"/>
      <c r="R125" s="2730">
        <v>1</v>
      </c>
    </row>
    <row r="126" spans="1:18" s="5229" customFormat="1" ht="15.75" customHeight="1">
      <c r="A126" s="9186"/>
      <c r="B126" s="9172" t="s">
        <v>87</v>
      </c>
      <c r="C126" s="9203" t="s">
        <v>14802</v>
      </c>
      <c r="D126" s="9204"/>
      <c r="E126" s="9176">
        <f>(F114/E114)*F126</f>
        <v>5.3000000000000007</v>
      </c>
      <c r="F126" s="9177">
        <f>(F116*E119)/100</f>
        <v>53</v>
      </c>
      <c r="G126" s="5368"/>
      <c r="H126" s="5368"/>
      <c r="I126" s="9186"/>
      <c r="J126" s="5388"/>
      <c r="K126" s="5389"/>
      <c r="L126" s="5389"/>
      <c r="M126" s="5389"/>
      <c r="N126" s="5393">
        <f>N117*J126</f>
        <v>0</v>
      </c>
      <c r="O126" s="5394"/>
      <c r="P126" s="5392">
        <f t="shared" si="2"/>
        <v>0</v>
      </c>
      <c r="Q126" s="5368"/>
      <c r="R126" s="2730">
        <v>1</v>
      </c>
    </row>
    <row r="127" spans="1:18" s="5229" customFormat="1" ht="15.75" customHeight="1">
      <c r="A127" s="9186"/>
      <c r="B127" s="9202"/>
      <c r="C127" s="9205"/>
      <c r="D127" s="9205"/>
      <c r="E127" s="9206"/>
      <c r="F127" s="9207"/>
      <c r="G127" s="5368"/>
      <c r="H127" s="5368"/>
      <c r="I127" s="9186"/>
      <c r="J127" s="5395"/>
      <c r="K127" s="5396"/>
      <c r="L127" s="5396"/>
      <c r="M127" s="5396"/>
      <c r="N127" s="5397">
        <f>N117*J127</f>
        <v>0</v>
      </c>
      <c r="O127" s="5398"/>
      <c r="P127" s="5399">
        <f t="shared" si="2"/>
        <v>0</v>
      </c>
      <c r="Q127" s="5368"/>
      <c r="R127" s="2730">
        <v>1</v>
      </c>
    </row>
    <row r="128" spans="1:18" s="5229" customFormat="1" ht="15.75" customHeight="1">
      <c r="A128" s="9186"/>
      <c r="B128" s="5400"/>
      <c r="C128" s="5401"/>
      <c r="D128" s="5401"/>
      <c r="E128" s="5402">
        <f>SUM(E122:E127)</f>
        <v>100</v>
      </c>
      <c r="F128" s="5403">
        <f>SUM(F122:F127)</f>
        <v>1000</v>
      </c>
      <c r="G128" s="5368"/>
      <c r="H128" s="5368"/>
      <c r="I128" s="9186"/>
      <c r="J128" s="9167" t="s">
        <v>14803</v>
      </c>
      <c r="K128" s="7786"/>
      <c r="L128" s="7786"/>
      <c r="M128" s="7786"/>
      <c r="N128" s="7786"/>
      <c r="O128" s="7786"/>
      <c r="P128" s="7787"/>
      <c r="Q128" s="5368"/>
      <c r="R128" s="2730">
        <v>1</v>
      </c>
    </row>
    <row r="129" spans="1:18" s="5229" customFormat="1" ht="15.75" customHeight="1">
      <c r="A129" s="9186"/>
      <c r="B129" s="9168" t="s">
        <v>14803</v>
      </c>
      <c r="C129" s="9169"/>
      <c r="D129" s="9169"/>
      <c r="E129" s="9169"/>
      <c r="F129" s="9170"/>
      <c r="G129" s="5368"/>
      <c r="H129" s="5368"/>
      <c r="I129" s="9186"/>
      <c r="J129" s="5406"/>
      <c r="K129" s="2868" t="s">
        <v>14804</v>
      </c>
      <c r="L129" s="5230"/>
      <c r="M129" s="5407" t="s">
        <v>1299</v>
      </c>
      <c r="N129" s="5404"/>
      <c r="O129" s="5404"/>
      <c r="P129" s="5405"/>
      <c r="Q129" s="5368"/>
      <c r="R129" s="2730">
        <v>1</v>
      </c>
    </row>
    <row r="130" spans="1:18" s="5229" customFormat="1" ht="15.75" customHeight="1" thickBot="1">
      <c r="A130" s="9186"/>
      <c r="B130" s="5408" t="s">
        <v>66</v>
      </c>
      <c r="C130" s="5230" t="s">
        <v>14805</v>
      </c>
      <c r="D130" s="5230"/>
      <c r="E130" s="5331"/>
      <c r="F130" s="5362"/>
      <c r="G130" s="5368"/>
      <c r="H130" s="5368"/>
      <c r="I130" s="9186"/>
      <c r="J130" s="5409"/>
      <c r="K130" s="5410" t="s">
        <v>14806</v>
      </c>
      <c r="L130" s="5410"/>
      <c r="M130" s="5410" t="s">
        <v>14807</v>
      </c>
      <c r="N130" s="5411"/>
      <c r="O130" s="5410" t="s">
        <v>371</v>
      </c>
      <c r="P130" s="5412"/>
      <c r="Q130" s="5368"/>
      <c r="R130" s="2730">
        <v>1</v>
      </c>
    </row>
    <row r="131" spans="1:18" s="5229" customFormat="1" ht="15.75" customHeight="1">
      <c r="A131" s="9186"/>
      <c r="B131" s="5408" t="s">
        <v>81</v>
      </c>
      <c r="C131" s="5230" t="s">
        <v>14808</v>
      </c>
      <c r="D131" s="5230"/>
      <c r="E131" s="5230"/>
      <c r="F131" s="5362"/>
      <c r="G131" s="5368"/>
      <c r="H131" s="5368"/>
      <c r="I131" s="5368"/>
      <c r="J131" s="5368"/>
      <c r="K131" s="5368"/>
      <c r="L131" s="5368"/>
      <c r="M131" s="5368"/>
      <c r="N131" s="5368"/>
      <c r="O131" s="5368"/>
      <c r="P131" s="5368"/>
      <c r="Q131" s="5368"/>
      <c r="R131" s="2730">
        <v>1</v>
      </c>
    </row>
    <row r="132" spans="1:18" s="5229" customFormat="1" ht="15.75" customHeight="1" thickBot="1">
      <c r="A132" s="9186"/>
      <c r="B132" s="5413" t="s">
        <v>84</v>
      </c>
      <c r="C132" s="5414" t="s">
        <v>14809</v>
      </c>
      <c r="D132" s="5414"/>
      <c r="E132" s="5415"/>
      <c r="F132" s="5416"/>
      <c r="G132" s="5368"/>
      <c r="H132" s="5368"/>
      <c r="I132" s="5368"/>
      <c r="J132" s="5368"/>
      <c r="K132" s="5368"/>
      <c r="L132" s="5368"/>
      <c r="M132" s="5368"/>
      <c r="N132" s="5368"/>
      <c r="O132" s="5368"/>
      <c r="P132" s="5368"/>
      <c r="Q132" s="5368"/>
      <c r="R132" s="2730">
        <v>1</v>
      </c>
    </row>
    <row r="133" spans="1:18" s="5229" customFormat="1" ht="18.75" customHeight="1">
      <c r="A133" s="9186"/>
      <c r="B133" s="5417"/>
      <c r="C133" s="5418" t="s">
        <v>14804</v>
      </c>
      <c r="D133" s="5418"/>
      <c r="E133" s="5419" t="s">
        <v>14807</v>
      </c>
      <c r="F133" s="5420"/>
      <c r="G133" s="5368"/>
      <c r="H133" s="5368"/>
      <c r="I133" s="5368"/>
      <c r="J133" s="5368"/>
      <c r="K133" s="5368"/>
      <c r="L133" s="5368"/>
      <c r="M133" s="5368"/>
      <c r="N133" s="5368"/>
      <c r="O133" s="5368"/>
      <c r="P133" s="5368"/>
      <c r="Q133" s="5368"/>
      <c r="R133" s="2730">
        <v>1</v>
      </c>
    </row>
    <row r="134" spans="1:18" s="5229" customFormat="1" ht="16.5" customHeight="1" thickBot="1">
      <c r="A134" s="9186"/>
      <c r="B134" s="5409"/>
      <c r="C134" s="5421" t="s">
        <v>1299</v>
      </c>
      <c r="D134" s="5422"/>
      <c r="E134" s="5410"/>
      <c r="F134" s="5412"/>
      <c r="G134" s="5368"/>
      <c r="H134" s="5368"/>
      <c r="I134" s="5368"/>
      <c r="J134" s="5368"/>
      <c r="K134" s="5368"/>
      <c r="L134" s="5368"/>
      <c r="M134" s="5368"/>
      <c r="N134" s="5368"/>
      <c r="O134" s="5368"/>
      <c r="P134" s="5368"/>
      <c r="Q134" s="5368"/>
      <c r="R134" s="2730">
        <v>1</v>
      </c>
    </row>
    <row r="135" spans="1:18" s="5229" customFormat="1">
      <c r="A135" s="5329"/>
      <c r="B135" s="5329"/>
      <c r="C135" s="5230"/>
      <c r="D135" s="5230"/>
      <c r="E135" s="5230"/>
      <c r="F135" s="5290"/>
      <c r="G135" s="5368"/>
      <c r="H135" s="5368"/>
      <c r="I135" s="5368"/>
      <c r="J135" s="5368"/>
      <c r="K135" s="5368"/>
      <c r="L135" s="5368"/>
      <c r="M135" s="5368"/>
      <c r="N135" s="5368"/>
      <c r="O135" s="5368"/>
      <c r="P135" s="5368"/>
      <c r="Q135" s="5368"/>
      <c r="R135" s="2730">
        <v>1</v>
      </c>
    </row>
    <row r="136" spans="1:18" s="5229" customFormat="1" ht="33.75">
      <c r="A136" s="5228">
        <f>(ROW())</f>
        <v>136</v>
      </c>
      <c r="B136" s="9171" t="s">
        <v>14810</v>
      </c>
      <c r="C136" s="9171"/>
      <c r="D136" s="9171"/>
      <c r="E136" s="9171"/>
      <c r="F136" s="9171"/>
      <c r="G136" s="9171"/>
      <c r="H136" s="9171"/>
      <c r="I136" s="9171"/>
      <c r="J136" s="9171"/>
      <c r="K136" s="9171"/>
      <c r="L136" s="9171"/>
      <c r="M136" s="9171"/>
      <c r="N136" s="9171"/>
      <c r="O136" s="9171"/>
      <c r="P136" s="9171"/>
      <c r="Q136" s="9171"/>
      <c r="R136" s="2730">
        <v>1</v>
      </c>
    </row>
    <row r="137" spans="1:18" s="5229" customFormat="1">
      <c r="A137" s="5230"/>
      <c r="B137" s="5329"/>
      <c r="C137" s="5230"/>
      <c r="D137" s="5230"/>
      <c r="E137" s="5230"/>
      <c r="F137" s="5290"/>
      <c r="G137" s="5290"/>
      <c r="H137" s="5233"/>
      <c r="I137" s="5291"/>
      <c r="J137" s="5331"/>
      <c r="K137" s="5331"/>
      <c r="L137" s="5331"/>
      <c r="M137" s="5331"/>
      <c r="N137" s="5331"/>
      <c r="O137" s="5230"/>
      <c r="P137" s="5230"/>
      <c r="Q137" s="5368"/>
      <c r="R137" s="2730">
        <v>1</v>
      </c>
    </row>
    <row r="138" spans="1:18" s="5229" customFormat="1" ht="18.75">
      <c r="A138" s="5423" t="s">
        <v>66</v>
      </c>
      <c r="B138" s="5424" t="s">
        <v>377</v>
      </c>
      <c r="C138" s="5374"/>
      <c r="D138" s="5374"/>
      <c r="E138" s="5374"/>
      <c r="F138" s="5425"/>
      <c r="G138" s="5425"/>
      <c r="H138" s="5426"/>
      <c r="I138" s="5427"/>
      <c r="J138" s="5374"/>
      <c r="K138" s="5374"/>
      <c r="L138" s="5428"/>
      <c r="M138" s="5429"/>
      <c r="N138" s="5430"/>
      <c r="O138" s="5230"/>
      <c r="P138" s="5230"/>
      <c r="Q138" s="5368"/>
      <c r="R138" s="2730">
        <v>1</v>
      </c>
    </row>
    <row r="139" spans="1:18" s="5229" customFormat="1" ht="18.75">
      <c r="A139" s="5374"/>
      <c r="B139" s="9166" t="s">
        <v>379</v>
      </c>
      <c r="C139" s="9166"/>
      <c r="D139" s="9166"/>
      <c r="E139" s="9166"/>
      <c r="F139" s="9166"/>
      <c r="G139" s="9166"/>
      <c r="H139" s="5426"/>
      <c r="I139" s="5431" t="s">
        <v>89</v>
      </c>
      <c r="J139" s="5432" t="s">
        <v>406</v>
      </c>
      <c r="K139" s="5374"/>
      <c r="L139" s="5428"/>
      <c r="M139" s="5427"/>
      <c r="N139" s="5291"/>
      <c r="O139" s="5230"/>
      <c r="P139" s="5230"/>
      <c r="Q139" s="5368"/>
      <c r="R139" s="2730">
        <v>1</v>
      </c>
    </row>
    <row r="140" spans="1:18" s="5229" customFormat="1" ht="18.75">
      <c r="A140" s="5374"/>
      <c r="B140" s="5374"/>
      <c r="C140" s="5374"/>
      <c r="D140" s="5374"/>
      <c r="E140" s="5374"/>
      <c r="F140" s="5425"/>
      <c r="G140" s="5425"/>
      <c r="H140" s="5426"/>
      <c r="I140" s="5427"/>
      <c r="J140" s="5433" t="s">
        <v>405</v>
      </c>
      <c r="K140" s="5374"/>
      <c r="L140" s="5428"/>
      <c r="M140" s="5427"/>
      <c r="N140" s="5291"/>
      <c r="O140" s="5230"/>
      <c r="P140" s="5230"/>
      <c r="Q140" s="5368"/>
      <c r="R140" s="2730">
        <v>1</v>
      </c>
    </row>
    <row r="141" spans="1:18" s="5229" customFormat="1" ht="18.75">
      <c r="A141" s="5423" t="s">
        <v>81</v>
      </c>
      <c r="B141" s="5374" t="s">
        <v>381</v>
      </c>
      <c r="C141" s="5374"/>
      <c r="D141" s="5374"/>
      <c r="E141" s="5374"/>
      <c r="F141" s="5425"/>
      <c r="G141" s="5425"/>
      <c r="H141" s="5426"/>
      <c r="I141" s="5427"/>
      <c r="J141" s="5374"/>
      <c r="K141" s="5374"/>
      <c r="L141" s="5428"/>
      <c r="M141" s="5427"/>
      <c r="N141" s="5291"/>
      <c r="O141" s="5230"/>
      <c r="P141" s="5230"/>
      <c r="Q141" s="5368"/>
      <c r="R141" s="2730">
        <v>1</v>
      </c>
    </row>
    <row r="142" spans="1:18" s="5229" customFormat="1" ht="18.75">
      <c r="A142" s="5374"/>
      <c r="B142" s="5374" t="s">
        <v>382</v>
      </c>
      <c r="C142" s="5374"/>
      <c r="D142" s="5374"/>
      <c r="E142" s="5374"/>
      <c r="F142" s="5425"/>
      <c r="G142" s="5425"/>
      <c r="H142" s="5426"/>
      <c r="I142" s="5431" t="s">
        <v>90</v>
      </c>
      <c r="J142" s="5432" t="s">
        <v>385</v>
      </c>
      <c r="K142" s="5374"/>
      <c r="L142" s="5428"/>
      <c r="M142" s="5427"/>
      <c r="N142" s="5291"/>
      <c r="O142" s="5230"/>
      <c r="P142" s="5230"/>
      <c r="Q142" s="5368"/>
      <c r="R142" s="2730">
        <v>1</v>
      </c>
    </row>
    <row r="143" spans="1:18" s="5229" customFormat="1" ht="18.75">
      <c r="A143" s="5374"/>
      <c r="B143" s="5374" t="s">
        <v>383</v>
      </c>
      <c r="C143" s="5374"/>
      <c r="D143" s="5374"/>
      <c r="E143" s="5374"/>
      <c r="F143" s="5425"/>
      <c r="G143" s="5425"/>
      <c r="H143" s="5426"/>
      <c r="I143" s="5427"/>
      <c r="J143" s="5374" t="s">
        <v>386</v>
      </c>
      <c r="K143" s="5374"/>
      <c r="L143" s="5428"/>
      <c r="M143" s="5427"/>
      <c r="N143" s="5291"/>
      <c r="O143" s="5230"/>
      <c r="P143" s="5230"/>
      <c r="Q143" s="5368"/>
      <c r="R143" s="2730">
        <v>1</v>
      </c>
    </row>
    <row r="144" spans="1:18" s="5229" customFormat="1" ht="18.75">
      <c r="A144" s="5374"/>
      <c r="B144" s="5374" t="s">
        <v>384</v>
      </c>
      <c r="C144" s="5374"/>
      <c r="D144" s="5374"/>
      <c r="E144" s="5374"/>
      <c r="F144" s="5425"/>
      <c r="G144" s="5425"/>
      <c r="H144" s="5426"/>
      <c r="I144" s="5427"/>
      <c r="J144" s="5374" t="s">
        <v>387</v>
      </c>
      <c r="K144" s="5374"/>
      <c r="L144" s="5428"/>
      <c r="M144" s="5427"/>
      <c r="N144" s="5291"/>
      <c r="O144" s="5230"/>
      <c r="P144" s="5230"/>
      <c r="Q144" s="5368"/>
      <c r="R144" s="2730">
        <v>1</v>
      </c>
    </row>
    <row r="145" spans="1:18" s="5229" customFormat="1" ht="18.75">
      <c r="A145" s="5374"/>
      <c r="B145" s="9166" t="s">
        <v>380</v>
      </c>
      <c r="C145" s="9166"/>
      <c r="D145" s="9166"/>
      <c r="E145" s="9166"/>
      <c r="F145" s="5425"/>
      <c r="G145" s="5425"/>
      <c r="H145" s="5426"/>
      <c r="I145" s="5427"/>
      <c r="J145" s="5374" t="s">
        <v>390</v>
      </c>
      <c r="K145" s="5374"/>
      <c r="L145" s="5428"/>
      <c r="M145" s="5427"/>
      <c r="N145" s="5291"/>
      <c r="O145" s="5230"/>
      <c r="P145" s="5230"/>
      <c r="Q145" s="5368"/>
      <c r="R145" s="2730">
        <v>1</v>
      </c>
    </row>
    <row r="146" spans="1:18" s="5229" customFormat="1" ht="18.75">
      <c r="A146" s="5374"/>
      <c r="B146" s="5374"/>
      <c r="C146" s="5374"/>
      <c r="D146" s="5374"/>
      <c r="E146" s="5374"/>
      <c r="F146" s="5425"/>
      <c r="G146" s="5425"/>
      <c r="H146" s="5426"/>
      <c r="I146" s="5427"/>
      <c r="J146" s="5433" t="s">
        <v>388</v>
      </c>
      <c r="K146" s="5374"/>
      <c r="L146" s="5428"/>
      <c r="M146" s="5427"/>
      <c r="N146" s="5291"/>
      <c r="O146" s="5230"/>
      <c r="P146" s="5230"/>
      <c r="Q146" s="5368"/>
      <c r="R146" s="2730">
        <v>1</v>
      </c>
    </row>
    <row r="147" spans="1:18" s="5229" customFormat="1" ht="18.75">
      <c r="A147" s="5423" t="s">
        <v>84</v>
      </c>
      <c r="B147" s="5432" t="s">
        <v>423</v>
      </c>
      <c r="C147" s="5374"/>
      <c r="D147" s="5374"/>
      <c r="E147" s="5374"/>
      <c r="F147" s="5425"/>
      <c r="G147" s="5425"/>
      <c r="H147" s="5426"/>
      <c r="I147" s="5427"/>
      <c r="J147" s="5433" t="s">
        <v>389</v>
      </c>
      <c r="K147" s="5374"/>
      <c r="L147" s="5428"/>
      <c r="M147" s="5427"/>
      <c r="N147" s="5291"/>
      <c r="O147" s="5230"/>
      <c r="P147" s="5230"/>
      <c r="Q147" s="5368"/>
      <c r="R147" s="2730">
        <v>1</v>
      </c>
    </row>
    <row r="148" spans="1:18" s="5229" customFormat="1" ht="18.75">
      <c r="A148" s="5374"/>
      <c r="B148" s="9166" t="s">
        <v>427</v>
      </c>
      <c r="C148" s="9166"/>
      <c r="D148" s="9166"/>
      <c r="E148" s="9166"/>
      <c r="F148" s="9166"/>
      <c r="G148" s="5425"/>
      <c r="H148" s="5426"/>
      <c r="I148" s="5427"/>
      <c r="J148" s="5374"/>
      <c r="K148" s="5374"/>
      <c r="L148" s="5428"/>
      <c r="M148" s="5427"/>
      <c r="N148" s="5291"/>
      <c r="O148" s="5230"/>
      <c r="P148" s="5230"/>
      <c r="Q148" s="5368"/>
      <c r="R148" s="2730">
        <v>1</v>
      </c>
    </row>
    <row r="149" spans="1:18" s="5229" customFormat="1" ht="18.75">
      <c r="A149" s="5374"/>
      <c r="B149" s="5374"/>
      <c r="C149" s="5374"/>
      <c r="D149" s="5374"/>
      <c r="E149" s="5374"/>
      <c r="F149" s="5425"/>
      <c r="G149" s="5425"/>
      <c r="H149" s="5426"/>
      <c r="I149" s="5431" t="s">
        <v>92</v>
      </c>
      <c r="J149" s="5432" t="s">
        <v>433</v>
      </c>
      <c r="K149" s="5374"/>
      <c r="L149" s="5428"/>
      <c r="M149" s="5427"/>
      <c r="N149" s="5291"/>
      <c r="O149" s="5230"/>
      <c r="P149" s="5230"/>
      <c r="Q149" s="5368"/>
      <c r="R149" s="2730">
        <v>1</v>
      </c>
    </row>
    <row r="150" spans="1:18" s="5229" customFormat="1" ht="18.75">
      <c r="A150" s="5374"/>
      <c r="B150" s="5374"/>
      <c r="C150" s="5374"/>
      <c r="D150" s="5374"/>
      <c r="E150" s="5374"/>
      <c r="F150" s="5425"/>
      <c r="G150" s="5425"/>
      <c r="H150" s="5426"/>
      <c r="I150" s="5427"/>
      <c r="J150" s="5433" t="s">
        <v>434</v>
      </c>
      <c r="K150" s="5374"/>
      <c r="L150" s="5428"/>
      <c r="M150" s="5427"/>
      <c r="N150" s="5291"/>
      <c r="O150" s="5230"/>
      <c r="P150" s="5230"/>
      <c r="Q150" s="5368"/>
      <c r="R150" s="2730">
        <v>1</v>
      </c>
    </row>
    <row r="151" spans="1:18" s="5229" customFormat="1" ht="18.75">
      <c r="A151" s="5423" t="s">
        <v>85</v>
      </c>
      <c r="B151" s="5432" t="s">
        <v>391</v>
      </c>
      <c r="C151" s="5374"/>
      <c r="D151" s="5374"/>
      <c r="E151" s="5374"/>
      <c r="F151" s="5425"/>
      <c r="G151" s="5425"/>
      <c r="H151" s="5426"/>
      <c r="I151" s="5427"/>
      <c r="J151" s="5374"/>
      <c r="K151" s="5374"/>
      <c r="L151" s="5428"/>
      <c r="M151" s="5427"/>
      <c r="N151" s="5291"/>
      <c r="O151" s="5230"/>
      <c r="P151" s="5230"/>
      <c r="Q151" s="5368"/>
      <c r="R151" s="2730">
        <v>1</v>
      </c>
    </row>
    <row r="152" spans="1:18" s="5229" customFormat="1" ht="18.75">
      <c r="A152" s="5374"/>
      <c r="B152" s="9165" t="s">
        <v>393</v>
      </c>
      <c r="C152" s="9165"/>
      <c r="D152" s="9165"/>
      <c r="E152" s="9165"/>
      <c r="F152" s="9165"/>
      <c r="G152" s="9165"/>
      <c r="H152" s="5426"/>
      <c r="I152" s="5431" t="s">
        <v>94</v>
      </c>
      <c r="J152" s="5432" t="s">
        <v>408</v>
      </c>
      <c r="K152" s="5374"/>
      <c r="L152" s="5428"/>
      <c r="M152" s="5427"/>
      <c r="N152" s="5291"/>
      <c r="O152" s="5230"/>
      <c r="P152" s="5230"/>
      <c r="Q152" s="5368"/>
      <c r="R152" s="2730">
        <v>1</v>
      </c>
    </row>
    <row r="153" spans="1:18" s="5229" customFormat="1" ht="18.75">
      <c r="A153" s="5374"/>
      <c r="B153" s="9166" t="s">
        <v>392</v>
      </c>
      <c r="C153" s="9166"/>
      <c r="D153" s="9166"/>
      <c r="E153" s="9166"/>
      <c r="F153" s="9166"/>
      <c r="G153" s="9166"/>
      <c r="H153" s="5426"/>
      <c r="I153" s="5427"/>
      <c r="J153" t="s">
        <v>14811</v>
      </c>
      <c r="K153" s="5374"/>
      <c r="L153" s="5428"/>
      <c r="M153" s="5427"/>
      <c r="N153" s="5291"/>
      <c r="O153" s="5230"/>
      <c r="P153" s="5230"/>
      <c r="Q153" s="5368"/>
      <c r="R153" s="2730">
        <v>1</v>
      </c>
    </row>
    <row r="154" spans="1:18" s="5229" customFormat="1" ht="18.75">
      <c r="A154" s="5374"/>
      <c r="B154" s="5374"/>
      <c r="C154" s="5374"/>
      <c r="D154" s="5374"/>
      <c r="E154" s="5374"/>
      <c r="F154" s="5425"/>
      <c r="G154" s="5425"/>
      <c r="H154" s="5426"/>
      <c r="I154" s="5427"/>
      <c r="J154" s="5374"/>
      <c r="K154" s="5374"/>
      <c r="L154" s="5428"/>
      <c r="M154" s="5427"/>
      <c r="N154" s="5291"/>
      <c r="O154" s="5230"/>
      <c r="P154" s="5230"/>
      <c r="Q154" s="5368"/>
      <c r="R154" s="2730">
        <v>1</v>
      </c>
    </row>
    <row r="155" spans="1:18" s="5229" customFormat="1" ht="18.75">
      <c r="A155" s="5423" t="s">
        <v>87</v>
      </c>
      <c r="B155" s="5432" t="s">
        <v>394</v>
      </c>
      <c r="C155" s="5374"/>
      <c r="D155" s="5374"/>
      <c r="E155" s="5374"/>
      <c r="F155" s="5425"/>
      <c r="G155" s="5425"/>
      <c r="H155" s="5426"/>
      <c r="I155" s="5431" t="s">
        <v>96</v>
      </c>
      <c r="J155" s="5432" t="s">
        <v>441</v>
      </c>
      <c r="K155" s="5374"/>
      <c r="L155" s="5428"/>
      <c r="M155" s="5427"/>
      <c r="N155" s="5291"/>
      <c r="O155" s="5230"/>
      <c r="P155" s="5230"/>
      <c r="Q155" s="5368"/>
      <c r="R155" s="2730">
        <v>1</v>
      </c>
    </row>
    <row r="156" spans="1:18" s="5229" customFormat="1" ht="18.75">
      <c r="A156" s="5374"/>
      <c r="B156" s="5374" t="s">
        <v>396</v>
      </c>
      <c r="C156" s="5374"/>
      <c r="D156" s="5374"/>
      <c r="E156" s="5374"/>
      <c r="F156" s="5425"/>
      <c r="G156" s="5425"/>
      <c r="H156" s="5426"/>
      <c r="I156" s="5427"/>
      <c r="J156" s="5433" t="s">
        <v>440</v>
      </c>
      <c r="K156" s="5374"/>
      <c r="L156" s="5428"/>
      <c r="M156" s="5427"/>
      <c r="N156" s="5291"/>
      <c r="O156" s="5230"/>
      <c r="P156" s="5230"/>
      <c r="Q156" s="5368"/>
      <c r="R156" s="2730">
        <v>1</v>
      </c>
    </row>
    <row r="157" spans="1:18" s="5229" customFormat="1" ht="18.75">
      <c r="A157" s="5374"/>
      <c r="B157" s="5374" t="s">
        <v>397</v>
      </c>
      <c r="C157" s="5374"/>
      <c r="D157" s="5374"/>
      <c r="E157" s="5374"/>
      <c r="F157" s="5425"/>
      <c r="G157" s="5425"/>
      <c r="H157" s="5426"/>
      <c r="I157" s="5427"/>
      <c r="J157" s="5374"/>
      <c r="K157" s="5374"/>
      <c r="L157" s="5428"/>
      <c r="M157" s="5427"/>
      <c r="N157" s="5291"/>
      <c r="O157" s="5230"/>
      <c r="P157" s="5230"/>
      <c r="Q157" s="5368"/>
      <c r="R157" s="2730">
        <v>1</v>
      </c>
    </row>
    <row r="158" spans="1:18" s="5229" customFormat="1" ht="18.75">
      <c r="A158" s="5374"/>
      <c r="B158" s="5374" t="s">
        <v>398</v>
      </c>
      <c r="C158" s="5374"/>
      <c r="D158" s="5374"/>
      <c r="E158" s="5374"/>
      <c r="F158" s="5425"/>
      <c r="G158" s="5425"/>
      <c r="H158" s="5426"/>
      <c r="I158" s="5431" t="s">
        <v>97</v>
      </c>
      <c r="J158" s="5434" t="s">
        <v>412</v>
      </c>
      <c r="K158" s="5374"/>
      <c r="L158" s="5428"/>
      <c r="M158" s="5427"/>
      <c r="N158" s="5291"/>
      <c r="O158" s="5230"/>
      <c r="P158" s="5230"/>
      <c r="Q158" s="5368"/>
      <c r="R158" s="2730">
        <v>1</v>
      </c>
    </row>
    <row r="159" spans="1:18" s="5229" customFormat="1" ht="18.75">
      <c r="A159" s="5374"/>
      <c r="B159" s="9166" t="s">
        <v>395</v>
      </c>
      <c r="C159" s="9166"/>
      <c r="D159" s="9166"/>
      <c r="E159" s="9166"/>
      <c r="F159" s="9166"/>
      <c r="G159" s="5425"/>
      <c r="H159" s="5426"/>
      <c r="I159" s="5427"/>
      <c r="J159" s="5433" t="s">
        <v>413</v>
      </c>
      <c r="K159" s="5374"/>
      <c r="L159" s="5428"/>
      <c r="M159" s="5427"/>
      <c r="N159" s="5291"/>
      <c r="O159" s="5230"/>
      <c r="P159" s="5230"/>
      <c r="Q159" s="5368"/>
      <c r="R159" s="2730">
        <v>1</v>
      </c>
    </row>
    <row r="160" spans="1:18" s="5229" customFormat="1" ht="18.75">
      <c r="A160" s="5374"/>
      <c r="B160" s="5374"/>
      <c r="C160" s="5374"/>
      <c r="D160" s="5374"/>
      <c r="E160" s="5374"/>
      <c r="F160" s="5425"/>
      <c r="G160" s="5425"/>
      <c r="H160" s="5426"/>
      <c r="I160" s="5427"/>
      <c r="J160" s="5433" t="s">
        <v>437</v>
      </c>
      <c r="K160" s="5374"/>
      <c r="L160" s="5428"/>
      <c r="M160" s="5427"/>
      <c r="N160" s="5291"/>
      <c r="O160" s="5230"/>
      <c r="P160" s="5230"/>
      <c r="Q160" s="5368"/>
      <c r="R160" s="2730">
        <v>1</v>
      </c>
    </row>
    <row r="161" spans="1:18" s="5229" customFormat="1" ht="18.75">
      <c r="A161" s="5374"/>
      <c r="B161" s="5374"/>
      <c r="C161" s="5374"/>
      <c r="D161" s="5374"/>
      <c r="E161" s="5374"/>
      <c r="F161" s="5425"/>
      <c r="G161" s="5425"/>
      <c r="H161" s="5426"/>
      <c r="I161" s="5427"/>
      <c r="J161" s="5433" t="s">
        <v>438</v>
      </c>
      <c r="K161" s="5374"/>
      <c r="L161" s="5428"/>
      <c r="M161" s="5427"/>
      <c r="N161" s="5291"/>
      <c r="O161" s="5230"/>
      <c r="P161" s="5230"/>
      <c r="Q161" s="5368"/>
      <c r="R161" s="2730">
        <v>1</v>
      </c>
    </row>
    <row r="162" spans="1:18" s="5229" customFormat="1" ht="18.75">
      <c r="A162" s="5423" t="s">
        <v>6</v>
      </c>
      <c r="B162" s="5432" t="s">
        <v>404</v>
      </c>
      <c r="C162" s="5374"/>
      <c r="D162" s="5374"/>
      <c r="E162" s="5374"/>
      <c r="F162" s="5425"/>
      <c r="G162" s="5425"/>
      <c r="H162" s="5426"/>
      <c r="I162" s="5427"/>
      <c r="J162" s="5374"/>
      <c r="K162" s="5374"/>
      <c r="L162" s="5428"/>
      <c r="M162" s="5427"/>
      <c r="N162" s="5291"/>
      <c r="O162" s="5230"/>
      <c r="P162" s="5230"/>
      <c r="Q162" s="5368"/>
      <c r="R162" s="2730">
        <v>1</v>
      </c>
    </row>
    <row r="163" spans="1:18" s="5229" customFormat="1" ht="18.75">
      <c r="A163" s="5374"/>
      <c r="B163" s="9166" t="s">
        <v>403</v>
      </c>
      <c r="C163" s="9166"/>
      <c r="D163" s="9166"/>
      <c r="E163" s="9166"/>
      <c r="F163" s="5425"/>
      <c r="G163" s="5425"/>
      <c r="H163" s="5426"/>
      <c r="I163" s="5431" t="s">
        <v>99</v>
      </c>
      <c r="J163" s="5432" t="s">
        <v>435</v>
      </c>
      <c r="K163" s="5374"/>
      <c r="L163" s="5428"/>
      <c r="M163" s="5427"/>
      <c r="N163" s="5291"/>
      <c r="O163" s="5230"/>
      <c r="P163" s="5230"/>
      <c r="Q163" s="5368"/>
      <c r="R163" s="2730">
        <v>1</v>
      </c>
    </row>
    <row r="164" spans="1:18" s="5229" customFormat="1" ht="18.75">
      <c r="A164" s="5374"/>
      <c r="B164" s="5374"/>
      <c r="C164" s="5374"/>
      <c r="D164" s="5374"/>
      <c r="E164" s="5374"/>
      <c r="F164" s="5425"/>
      <c r="G164" s="5425"/>
      <c r="H164" s="5426"/>
      <c r="I164" s="5427"/>
      <c r="J164" s="422" t="s">
        <v>436</v>
      </c>
      <c r="K164" s="5374"/>
      <c r="L164" s="5428"/>
      <c r="M164" s="5427"/>
      <c r="N164" s="5291"/>
      <c r="O164" s="5230"/>
      <c r="P164" s="5230"/>
      <c r="Q164" s="5368"/>
      <c r="R164" s="5435" t="s">
        <v>7037</v>
      </c>
    </row>
    <row r="165" spans="1:18">
      <c r="A165" s="2730">
        <v>1</v>
      </c>
      <c r="B165" s="2730">
        <v>1</v>
      </c>
      <c r="C165" s="2730">
        <v>1</v>
      </c>
      <c r="D165" s="2730">
        <v>1</v>
      </c>
      <c r="E165" s="2730">
        <v>1</v>
      </c>
      <c r="F165" s="2730">
        <v>1</v>
      </c>
      <c r="G165" s="2730">
        <v>1</v>
      </c>
      <c r="H165" s="2730">
        <v>1</v>
      </c>
      <c r="I165" s="2730">
        <v>1</v>
      </c>
      <c r="J165" s="2730">
        <v>1</v>
      </c>
      <c r="K165" s="2730">
        <v>1</v>
      </c>
      <c r="L165" s="2730">
        <v>1</v>
      </c>
      <c r="M165" s="2730">
        <v>1</v>
      </c>
      <c r="N165" s="2730">
        <v>1</v>
      </c>
      <c r="O165" s="2730">
        <v>1</v>
      </c>
      <c r="P165" s="2730">
        <v>1</v>
      </c>
      <c r="Q165" s="2730">
        <v>1</v>
      </c>
      <c r="R165" s="2732" t="str">
        <f>ADDRESS(ROW(),COLUMN(),4)</f>
        <v>R165</v>
      </c>
    </row>
  </sheetData>
  <mergeCells count="80">
    <mergeCell ref="B4:Q4"/>
    <mergeCell ref="B6:Q7"/>
    <mergeCell ref="A23:A33"/>
    <mergeCell ref="B33:J33"/>
    <mergeCell ref="A38:A47"/>
    <mergeCell ref="J38:J47"/>
    <mergeCell ref="B47:G47"/>
    <mergeCell ref="K47:P47"/>
    <mergeCell ref="B70:C70"/>
    <mergeCell ref="B51:C52"/>
    <mergeCell ref="K51:L52"/>
    <mergeCell ref="A52:A57"/>
    <mergeCell ref="J52:J57"/>
    <mergeCell ref="B59:C59"/>
    <mergeCell ref="K59:L60"/>
    <mergeCell ref="A60:A76"/>
    <mergeCell ref="B60:C60"/>
    <mergeCell ref="J60:J69"/>
    <mergeCell ref="K62:L62"/>
    <mergeCell ref="K63:L63"/>
    <mergeCell ref="B67:C67"/>
    <mergeCell ref="K67:L67"/>
    <mergeCell ref="B68:C68"/>
    <mergeCell ref="K68:L68"/>
    <mergeCell ref="J110:P110"/>
    <mergeCell ref="B75:C75"/>
    <mergeCell ref="B78:Q78"/>
    <mergeCell ref="C97:L97"/>
    <mergeCell ref="B102:F102"/>
    <mergeCell ref="C103:H103"/>
    <mergeCell ref="C104:G104"/>
    <mergeCell ref="C105:H105"/>
    <mergeCell ref="C106:H106"/>
    <mergeCell ref="C107:H107"/>
    <mergeCell ref="C108:H108"/>
    <mergeCell ref="B110:F110"/>
    <mergeCell ref="K112:P113"/>
    <mergeCell ref="B114:D115"/>
    <mergeCell ref="E114:E115"/>
    <mergeCell ref="F114:F115"/>
    <mergeCell ref="J114:J115"/>
    <mergeCell ref="K114:K115"/>
    <mergeCell ref="L114:O115"/>
    <mergeCell ref="P114:P115"/>
    <mergeCell ref="A111:A134"/>
    <mergeCell ref="I111:I130"/>
    <mergeCell ref="B112:B113"/>
    <mergeCell ref="C112:F113"/>
    <mergeCell ref="J112:J113"/>
    <mergeCell ref="B116:B118"/>
    <mergeCell ref="C116:D118"/>
    <mergeCell ref="E116:E118"/>
    <mergeCell ref="F116:F118"/>
    <mergeCell ref="B126:B127"/>
    <mergeCell ref="C126:D127"/>
    <mergeCell ref="E126:E127"/>
    <mergeCell ref="F126:F127"/>
    <mergeCell ref="B119:B121"/>
    <mergeCell ref="C119:D121"/>
    <mergeCell ref="E119:E121"/>
    <mergeCell ref="F119:F121"/>
    <mergeCell ref="B122:B123"/>
    <mergeCell ref="C122:D123"/>
    <mergeCell ref="E122:E123"/>
    <mergeCell ref="F122:F123"/>
    <mergeCell ref="B124:B125"/>
    <mergeCell ref="C124:C125"/>
    <mergeCell ref="D124:D125"/>
    <mergeCell ref="E124:E125"/>
    <mergeCell ref="F124:F125"/>
    <mergeCell ref="B152:G152"/>
    <mergeCell ref="B153:G153"/>
    <mergeCell ref="B159:F159"/>
    <mergeCell ref="B163:E163"/>
    <mergeCell ref="J128:P128"/>
    <mergeCell ref="B129:F129"/>
    <mergeCell ref="B136:Q136"/>
    <mergeCell ref="B139:G139"/>
    <mergeCell ref="B145:E145"/>
    <mergeCell ref="B148:F148"/>
  </mergeCells>
  <conditionalFormatting sqref="A6">
    <cfRule type="expression" dxfId="23" priority="1" stopIfTrue="1">
      <formula>OR(ROW()=CELL("ligne"),COLUMN()=CELL("colonne"))</formula>
    </cfRule>
  </conditionalFormatting>
  <hyperlinks>
    <hyperlink ref="B139" r:id="rId1" xr:uid="{91E65E7A-E28D-44A4-9B32-29339A032CCD}"/>
    <hyperlink ref="B145" r:id="rId2" xr:uid="{A5159B51-E2D5-4F43-BA74-F076EF12697A}"/>
    <hyperlink ref="B153" r:id="rId3" xr:uid="{39EEBCD1-7F81-40F4-BF8B-4EF9EE5BCA40}"/>
    <hyperlink ref="B159" r:id="rId4" xr:uid="{8DE86ED8-D1F2-45E9-A830-5D62D51F64D9}"/>
    <hyperlink ref="B163" r:id="rId5" xr:uid="{80101E4E-B649-40AB-983F-138B2F232A0F}"/>
    <hyperlink ref="B148" r:id="rId6" xr:uid="{D40AD77D-37F2-4955-A7A0-1B32BC9F8874}"/>
    <hyperlink ref="J146" r:id="rId7" xr:uid="{D18F7DB8-2ABE-4851-8F2A-F51BF4BEF068}"/>
    <hyperlink ref="J147" r:id="rId8" xr:uid="{F48A78FB-641A-43AA-BCA8-C7A7D74F7674}"/>
    <hyperlink ref="J140" r:id="rId9" xr:uid="{2B265001-1883-4F99-82AD-0E05153AFCFB}"/>
    <hyperlink ref="J159" r:id="rId10" xr:uid="{64D4A4B7-D464-45A0-9B03-A08275996F5F}"/>
    <hyperlink ref="J150" r:id="rId11" xr:uid="{5FD0E90E-ACB1-4DD0-8D6F-C01ECE8E0C55}"/>
    <hyperlink ref="J164" r:id="rId12" xr:uid="{99F74089-0BFC-4515-9F1B-8861B6474F61}"/>
    <hyperlink ref="J160" r:id="rId13" xr:uid="{61D520C6-6F1B-4364-8E7E-809E74BBAE56}"/>
    <hyperlink ref="J161" r:id="rId14" xr:uid="{9D5AF711-69A9-474C-9632-1EBAF286B20F}"/>
    <hyperlink ref="J156" r:id="rId15" xr:uid="{4694C8E4-CE78-4082-B6FB-2513FAE94FAE}"/>
    <hyperlink ref="B102" r:id="rId16" xr:uid="{DDC26362-B4B7-4053-B546-A40044641417}"/>
    <hyperlink ref="C104" r:id="rId17" xr:uid="{766E95FC-F36B-46FC-BC67-44506E66C249}"/>
    <hyperlink ref="C106" r:id="rId18" xr:uid="{4DD5E0C2-4F82-4808-8277-5BA81D703ACE}"/>
    <hyperlink ref="C107" r:id="rId19" xr:uid="{80A4C57C-2937-4D09-81C8-F3C7C21AAEDF}"/>
    <hyperlink ref="C103" r:id="rId20" xr:uid="{986B8D50-9F5D-4A04-8322-0E7F8D17F78D}"/>
    <hyperlink ref="C108" r:id="rId21" xr:uid="{529A6C84-053C-4AB2-973C-136B6EB322D1}"/>
    <hyperlink ref="C105" r:id="rId22" xr:uid="{464278EA-3309-46EF-8C75-065E0B4AC875}"/>
    <hyperlink ref="B92" r:id="rId23" xr:uid="{585C5522-4C97-4916-AE7B-4FD6DE0CE71D}"/>
    <hyperlink ref="B93" r:id="rId24" xr:uid="{4940E78B-DBDA-4020-90A0-4AEF6ADB5F7E}"/>
    <hyperlink ref="B152:G152" r:id="rId25" display="http://calc.name/blog/comment-compter-le-pourcentage-de-tete-vite-et-facilement/" xr:uid="{236C871C-1A63-4688-9760-E6F22C3893C8}"/>
    <hyperlink ref="C97" r:id="rId26" display="https://www.google.com/search?client=firefox-b-d&amp;sca_esv=564255901&amp;sxsrf=AB5stBihJ69cL1ng1vQDYXKmUFWjQYd6jQ:1694407722726&amp;q=dgccrf+Poids+brut+ou+poids+net+?+Ne+payer+pas+l%27emballage+!&amp;spell=1&amp;sa=X&amp;ved=2ahUKEwjRtKvT4KGBAxVJWqQEHb3mCrcQBSgAegQICBAB&amp;biw=1564&amp;bih=722&amp;dpr=1.2" xr:uid="{9A74D37A-8E2A-4111-AE32-FB5CED486EFC}"/>
  </hyperlinks>
  <pageMargins left="0.7" right="0.7" top="0.75" bottom="0.75" header="0.3" footer="0.3"/>
  <drawing r:id="rId2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14799-FFA1-4DED-B8A2-FEB1AB770A6B}">
  <dimension ref="A1:AA497"/>
  <sheetViews>
    <sheetView zoomScaleNormal="100" workbookViewId="0">
      <selection activeCell="R12" sqref="R12"/>
    </sheetView>
  </sheetViews>
  <sheetFormatPr baseColWidth="10" defaultColWidth="11.42578125" defaultRowHeight="15.75"/>
  <cols>
    <col min="1" max="1" width="6.5703125" style="5227" customWidth="1"/>
    <col min="2" max="2" width="11.42578125" style="5227"/>
    <col min="3" max="3" width="15.5703125" style="5227" customWidth="1"/>
    <col min="4" max="4" width="11.42578125" style="5227"/>
    <col min="5" max="5" width="16.28515625" style="5227" customWidth="1"/>
    <col min="6" max="6" width="13.85546875" style="5227" customWidth="1"/>
    <col min="7" max="7" width="14.7109375" style="5227" customWidth="1"/>
    <col min="8" max="8" width="13.85546875" style="5227" customWidth="1"/>
    <col min="9" max="14" width="11.42578125" style="5227"/>
    <col min="15" max="15" width="19.42578125" style="5227" customWidth="1"/>
    <col min="16" max="17" width="11.42578125" style="5227"/>
    <col min="18" max="18" width="16.42578125" style="5227" customWidth="1"/>
    <col min="19" max="20" width="11.42578125" style="5227"/>
    <col min="21" max="21" width="13.7109375" style="5227" customWidth="1"/>
    <col min="22" max="16384" width="11.42578125" style="5227"/>
  </cols>
  <sheetData>
    <row r="1" spans="1:27" ht="21" customHeight="1" thickTop="1">
      <c r="A1" s="2952" t="str">
        <f t="shared" ref="A1:Y1" si="0">SUBSTITUTE(ADDRESS(1,COLUMN(),4),"1","")</f>
        <v>A</v>
      </c>
      <c r="B1" s="2952" t="str">
        <f t="shared" si="0"/>
        <v>B</v>
      </c>
      <c r="C1" s="2952" t="str">
        <f t="shared" si="0"/>
        <v>C</v>
      </c>
      <c r="D1" s="2952" t="str">
        <f t="shared" si="0"/>
        <v>D</v>
      </c>
      <c r="E1" s="2952" t="str">
        <f t="shared" si="0"/>
        <v>E</v>
      </c>
      <c r="F1" s="2952" t="str">
        <f t="shared" si="0"/>
        <v>F</v>
      </c>
      <c r="G1" s="2952" t="str">
        <f t="shared" si="0"/>
        <v>G</v>
      </c>
      <c r="H1" s="2952" t="str">
        <f t="shared" si="0"/>
        <v>H</v>
      </c>
      <c r="I1" s="2952" t="str">
        <f t="shared" si="0"/>
        <v>I</v>
      </c>
      <c r="J1" s="2952" t="str">
        <f t="shared" si="0"/>
        <v>J</v>
      </c>
      <c r="K1" s="2952" t="str">
        <f t="shared" si="0"/>
        <v>K</v>
      </c>
      <c r="L1" s="2952" t="str">
        <f t="shared" si="0"/>
        <v>L</v>
      </c>
      <c r="M1" s="2952" t="str">
        <f t="shared" si="0"/>
        <v>M</v>
      </c>
      <c r="N1" s="2952" t="str">
        <f t="shared" si="0"/>
        <v>N</v>
      </c>
      <c r="O1" s="2952" t="str">
        <f t="shared" si="0"/>
        <v>O</v>
      </c>
      <c r="P1" s="2952" t="str">
        <f t="shared" si="0"/>
        <v>P</v>
      </c>
      <c r="Q1" s="2952" t="str">
        <f t="shared" si="0"/>
        <v>Q</v>
      </c>
      <c r="R1" s="2952" t="str">
        <f t="shared" si="0"/>
        <v>R</v>
      </c>
      <c r="S1" s="2952" t="str">
        <f t="shared" si="0"/>
        <v>S</v>
      </c>
      <c r="T1" s="2952" t="str">
        <f t="shared" si="0"/>
        <v>T</v>
      </c>
      <c r="U1" s="2952" t="str">
        <f t="shared" si="0"/>
        <v>U</v>
      </c>
      <c r="V1" s="2952" t="str">
        <f t="shared" si="0"/>
        <v>V</v>
      </c>
      <c r="W1" s="2952" t="str">
        <f t="shared" si="0"/>
        <v>W</v>
      </c>
      <c r="X1" s="2952" t="str">
        <f t="shared" si="0"/>
        <v>X</v>
      </c>
      <c r="Y1" s="2952" t="str">
        <f t="shared" si="0"/>
        <v>Y</v>
      </c>
      <c r="Z1" s="716"/>
      <c r="AA1" s="2730">
        <v>1</v>
      </c>
    </row>
    <row r="2" spans="1:27" ht="21" customHeight="1">
      <c r="A2" s="2727">
        <f t="shared" ref="A2:Y2" ca="1" si="1">CELL("largeur",A2)</f>
        <v>6</v>
      </c>
      <c r="B2" s="2727">
        <f t="shared" ca="1" si="1"/>
        <v>11</v>
      </c>
      <c r="C2" s="2727">
        <f t="shared" ca="1" si="1"/>
        <v>15</v>
      </c>
      <c r="D2" s="2727">
        <f t="shared" ca="1" si="1"/>
        <v>11</v>
      </c>
      <c r="E2" s="2727">
        <f t="shared" ca="1" si="1"/>
        <v>16</v>
      </c>
      <c r="F2" s="2727">
        <f t="shared" ca="1" si="1"/>
        <v>13</v>
      </c>
      <c r="G2" s="2727">
        <f t="shared" ca="1" si="1"/>
        <v>14</v>
      </c>
      <c r="H2" s="2727">
        <f t="shared" ca="1" si="1"/>
        <v>13</v>
      </c>
      <c r="I2" s="2727">
        <f t="shared" ca="1" si="1"/>
        <v>11</v>
      </c>
      <c r="J2" s="2727">
        <f t="shared" ca="1" si="1"/>
        <v>11</v>
      </c>
      <c r="K2" s="2727">
        <f t="shared" ca="1" si="1"/>
        <v>11</v>
      </c>
      <c r="L2" s="2727">
        <f t="shared" ca="1" si="1"/>
        <v>11</v>
      </c>
      <c r="M2" s="2727">
        <f t="shared" ca="1" si="1"/>
        <v>11</v>
      </c>
      <c r="N2" s="2727">
        <f t="shared" ca="1" si="1"/>
        <v>11</v>
      </c>
      <c r="O2" s="2727">
        <f t="shared" ca="1" si="1"/>
        <v>19</v>
      </c>
      <c r="P2" s="2727">
        <f t="shared" ca="1" si="1"/>
        <v>11</v>
      </c>
      <c r="Q2" s="2727">
        <f t="shared" ca="1" si="1"/>
        <v>11</v>
      </c>
      <c r="R2" s="2727">
        <f t="shared" ca="1" si="1"/>
        <v>16</v>
      </c>
      <c r="S2" s="2727">
        <f t="shared" ca="1" si="1"/>
        <v>11</v>
      </c>
      <c r="T2" s="2727">
        <f t="shared" ca="1" si="1"/>
        <v>11</v>
      </c>
      <c r="U2" s="2727">
        <f t="shared" ca="1" si="1"/>
        <v>13</v>
      </c>
      <c r="V2" s="2727">
        <f t="shared" ca="1" si="1"/>
        <v>11</v>
      </c>
      <c r="W2" s="2727">
        <f t="shared" ca="1" si="1"/>
        <v>11</v>
      </c>
      <c r="X2" s="2727">
        <f t="shared" ca="1" si="1"/>
        <v>11</v>
      </c>
      <c r="Y2" s="2727">
        <f t="shared" ca="1" si="1"/>
        <v>11</v>
      </c>
      <c r="Z2" s="716"/>
      <c r="AA2" s="2730">
        <v>1</v>
      </c>
    </row>
    <row r="3" spans="1:27" ht="21" customHeight="1">
      <c r="A3" s="2728">
        <v>6</v>
      </c>
      <c r="B3" s="2728">
        <v>11</v>
      </c>
      <c r="C3" s="2728">
        <v>15</v>
      </c>
      <c r="D3" s="2728">
        <v>11</v>
      </c>
      <c r="E3" s="2728">
        <v>16</v>
      </c>
      <c r="F3" s="2728">
        <v>13</v>
      </c>
      <c r="G3" s="2728">
        <v>14</v>
      </c>
      <c r="H3" s="2728">
        <v>13</v>
      </c>
      <c r="I3" s="2728">
        <v>11</v>
      </c>
      <c r="J3" s="2728">
        <v>11</v>
      </c>
      <c r="K3" s="2728">
        <v>11</v>
      </c>
      <c r="L3" s="2728">
        <v>11</v>
      </c>
      <c r="M3" s="2728">
        <v>11</v>
      </c>
      <c r="N3" s="2728">
        <v>11</v>
      </c>
      <c r="O3" s="2728">
        <v>19</v>
      </c>
      <c r="P3" s="2728">
        <v>11</v>
      </c>
      <c r="Q3" s="2728">
        <v>11</v>
      </c>
      <c r="R3" s="2728">
        <v>16</v>
      </c>
      <c r="S3" s="2728">
        <v>11</v>
      </c>
      <c r="T3" s="2728">
        <v>11</v>
      </c>
      <c r="U3" s="2728">
        <v>13</v>
      </c>
      <c r="V3" s="2728">
        <v>11</v>
      </c>
      <c r="W3" s="2728">
        <v>11</v>
      </c>
      <c r="X3" s="2728">
        <v>11</v>
      </c>
      <c r="Y3" s="2728">
        <v>11</v>
      </c>
      <c r="Z3" s="716"/>
      <c r="AA3" s="2730">
        <v>1</v>
      </c>
    </row>
    <row r="4" spans="1:27" s="5229" customFormat="1" ht="43.5" customHeight="1">
      <c r="A4" s="5228">
        <f>(ROW())</f>
        <v>4</v>
      </c>
      <c r="B4" s="9811" t="s">
        <v>14812</v>
      </c>
      <c r="C4" s="9811"/>
      <c r="D4" s="9811"/>
      <c r="E4" s="9811"/>
      <c r="F4" s="9811"/>
      <c r="G4" s="9811"/>
      <c r="H4" s="9811"/>
      <c r="I4" s="9811"/>
      <c r="J4" s="9811"/>
      <c r="K4" s="9811"/>
      <c r="L4" s="9811"/>
      <c r="M4" s="9811"/>
      <c r="N4" s="9811"/>
      <c r="O4" s="9811"/>
      <c r="P4" s="9811"/>
      <c r="Q4" s="9811"/>
      <c r="R4" s="716"/>
      <c r="S4" s="716"/>
      <c r="V4" s="716"/>
      <c r="W4" s="716"/>
      <c r="X4" s="716"/>
      <c r="Y4" s="716"/>
      <c r="Z4" s="716"/>
      <c r="AA4" s="2730">
        <v>1</v>
      </c>
    </row>
    <row r="5" spans="1:27" s="5229" customFormat="1" ht="21" customHeight="1">
      <c r="A5" s="716"/>
      <c r="B5" s="716"/>
      <c r="C5" s="716"/>
      <c r="D5" s="716"/>
      <c r="E5" s="716"/>
      <c r="F5" s="716"/>
      <c r="G5" s="716"/>
      <c r="H5" s="716"/>
      <c r="I5" s="716"/>
      <c r="J5" s="716"/>
      <c r="K5" s="716"/>
      <c r="L5" s="716"/>
      <c r="M5" s="716"/>
      <c r="N5" s="716"/>
      <c r="O5" s="716"/>
      <c r="P5" s="716"/>
      <c r="Q5" s="716"/>
      <c r="R5" s="716"/>
      <c r="S5" s="716"/>
      <c r="T5" s="716"/>
      <c r="U5" s="716"/>
      <c r="V5" s="716"/>
      <c r="W5" s="716"/>
      <c r="X5" s="716"/>
      <c r="Y5" s="716"/>
      <c r="Z5" s="716"/>
      <c r="AA5" s="2730">
        <v>1</v>
      </c>
    </row>
    <row r="6" spans="1:27" s="5229" customFormat="1" ht="21" customHeight="1">
      <c r="A6" s="716"/>
      <c r="B6" s="716"/>
      <c r="C6" s="5238" t="s">
        <v>148</v>
      </c>
      <c r="D6" s="5238"/>
      <c r="E6" s="716"/>
      <c r="F6" s="716"/>
      <c r="G6" s="716"/>
      <c r="H6" s="716"/>
      <c r="I6" s="716"/>
      <c r="J6" s="5436" t="s">
        <v>1641</v>
      </c>
      <c r="K6" s="5437"/>
      <c r="L6" s="716"/>
      <c r="M6" s="716"/>
      <c r="N6" s="716"/>
      <c r="O6" s="716"/>
      <c r="P6" s="716"/>
      <c r="Q6" s="5237" t="str">
        <f ca="1">"Page N°"&amp;_xlfn.SHEET()</f>
        <v>Page N°33</v>
      </c>
      <c r="R6" s="716"/>
      <c r="S6" s="716"/>
      <c r="T6" s="5438" t="s">
        <v>7044</v>
      </c>
      <c r="U6" s="2732" t="str">
        <f>AA497</f>
        <v>AA497</v>
      </c>
      <c r="V6" s="716"/>
      <c r="W6" s="716"/>
      <c r="X6" s="716"/>
      <c r="Y6" s="716"/>
      <c r="Z6" s="716"/>
      <c r="AA6" s="2730">
        <v>1</v>
      </c>
    </row>
    <row r="7" spans="1:27" s="5229" customFormat="1" ht="21" customHeight="1">
      <c r="A7" s="716"/>
      <c r="B7" s="716"/>
      <c r="C7" s="5239" t="str">
        <f>B56</f>
        <v>B56</v>
      </c>
      <c r="D7" s="5439" t="s">
        <v>14788</v>
      </c>
      <c r="E7" s="716"/>
      <c r="F7" s="716"/>
      <c r="G7" s="716"/>
      <c r="H7" s="716"/>
      <c r="I7" s="716"/>
      <c r="J7" s="5239" t="str">
        <f>J56</f>
        <v>J56</v>
      </c>
      <c r="K7" s="5439" t="s">
        <v>14788</v>
      </c>
      <c r="L7" s="716"/>
      <c r="M7" s="716"/>
      <c r="N7" s="716"/>
      <c r="O7" s="716"/>
      <c r="P7" s="716"/>
      <c r="Q7" s="5230"/>
      <c r="R7" s="716"/>
      <c r="S7" s="716"/>
      <c r="T7" s="716"/>
      <c r="U7" s="716"/>
      <c r="V7" s="716"/>
      <c r="W7" s="716"/>
      <c r="X7" s="716"/>
      <c r="Y7" s="716"/>
      <c r="Z7" s="716"/>
      <c r="AA7" s="2730">
        <v>1</v>
      </c>
    </row>
    <row r="8" spans="1:27" s="5229" customFormat="1" ht="21" customHeight="1">
      <c r="A8" s="716"/>
      <c r="B8" s="716"/>
      <c r="C8" s="716"/>
      <c r="D8" s="716"/>
      <c r="E8" s="716"/>
      <c r="F8" s="716"/>
      <c r="G8" s="716"/>
      <c r="H8" s="716"/>
      <c r="I8" s="716"/>
      <c r="J8" s="716"/>
      <c r="K8" s="716"/>
      <c r="L8" s="716"/>
      <c r="M8" s="716"/>
      <c r="N8" s="716"/>
      <c r="O8" s="716"/>
      <c r="P8" s="716"/>
      <c r="Q8" s="716"/>
      <c r="R8" s="716"/>
      <c r="S8" s="716"/>
      <c r="T8" s="716"/>
      <c r="U8" s="716"/>
      <c r="V8" s="716"/>
      <c r="W8" s="716"/>
      <c r="X8" s="716"/>
      <c r="Y8" s="716"/>
      <c r="Z8" s="716"/>
      <c r="AA8" s="2730">
        <v>1</v>
      </c>
    </row>
    <row r="9" spans="1:27" s="5229" customFormat="1" ht="21" customHeight="1">
      <c r="A9" s="716"/>
      <c r="B9" s="716"/>
      <c r="C9" s="5238" t="s">
        <v>159</v>
      </c>
      <c r="D9" s="5440"/>
      <c r="E9" s="716"/>
      <c r="F9" s="716"/>
      <c r="G9" s="716"/>
      <c r="H9" s="716"/>
      <c r="I9" s="716"/>
      <c r="J9" s="5238" t="s">
        <v>14813</v>
      </c>
      <c r="K9" s="5441"/>
      <c r="L9" s="716"/>
      <c r="M9" s="716"/>
      <c r="N9" s="716"/>
      <c r="O9" s="716"/>
      <c r="P9" s="716"/>
      <c r="Q9" s="5230"/>
      <c r="R9" s="716"/>
      <c r="S9" s="716"/>
      <c r="T9" s="716"/>
      <c r="U9" s="716"/>
      <c r="V9" s="716"/>
      <c r="W9" s="716"/>
      <c r="X9" s="716"/>
      <c r="Y9" s="716"/>
      <c r="Z9" s="716"/>
      <c r="AA9" s="2730">
        <v>1</v>
      </c>
    </row>
    <row r="10" spans="1:27" s="5229" customFormat="1" ht="21" customHeight="1">
      <c r="A10" s="716"/>
      <c r="B10" s="716"/>
      <c r="C10" s="5239" t="str">
        <f>B73</f>
        <v>B73</v>
      </c>
      <c r="D10" s="5439" t="s">
        <v>14788</v>
      </c>
      <c r="E10" s="716"/>
      <c r="F10" s="716"/>
      <c r="G10" s="716"/>
      <c r="H10" s="716"/>
      <c r="I10" s="716"/>
      <c r="J10" s="5239" t="str">
        <f>H187</f>
        <v>H187</v>
      </c>
      <c r="K10" s="5439" t="s">
        <v>14788</v>
      </c>
      <c r="L10" s="716"/>
      <c r="M10" s="716"/>
      <c r="N10" s="716"/>
      <c r="O10" s="716"/>
      <c r="P10" s="716"/>
      <c r="Q10" s="5230"/>
      <c r="R10" s="716"/>
      <c r="S10" s="716"/>
      <c r="T10" s="716"/>
      <c r="U10" s="716"/>
      <c r="V10" s="716"/>
      <c r="W10" s="716"/>
      <c r="X10" s="716"/>
      <c r="Y10" s="716"/>
      <c r="Z10" s="716"/>
      <c r="AA10" s="2730">
        <v>1</v>
      </c>
    </row>
    <row r="11" spans="1:27" s="5229" customFormat="1" ht="21" customHeight="1">
      <c r="A11" s="716"/>
      <c r="B11" s="716"/>
      <c r="C11" s="716"/>
      <c r="D11" s="716"/>
      <c r="E11" s="716"/>
      <c r="F11" s="716"/>
      <c r="G11" s="716"/>
      <c r="H11" s="716"/>
      <c r="I11" s="716"/>
      <c r="J11" s="716"/>
      <c r="K11" s="716"/>
      <c r="L11" s="716"/>
      <c r="M11" s="716"/>
      <c r="N11" s="716"/>
      <c r="O11" s="716"/>
      <c r="P11" s="716"/>
      <c r="Q11" s="716"/>
      <c r="R11" s="716"/>
      <c r="S11" s="716"/>
      <c r="T11" s="716"/>
      <c r="U11" s="716"/>
      <c r="V11" s="716"/>
      <c r="W11" s="716"/>
      <c r="X11" s="716"/>
      <c r="Y11" s="716"/>
      <c r="Z11" s="716"/>
      <c r="AA11" s="2730">
        <v>1</v>
      </c>
    </row>
    <row r="12" spans="1:27" s="5229" customFormat="1" ht="21" customHeight="1">
      <c r="A12" s="716"/>
      <c r="B12" s="716"/>
      <c r="C12" s="5238" t="s">
        <v>1746</v>
      </c>
      <c r="D12" s="5442"/>
      <c r="E12" s="716"/>
      <c r="F12" s="716"/>
      <c r="G12" s="716"/>
      <c r="H12" s="716"/>
      <c r="I12" s="716"/>
      <c r="J12" s="5238" t="s">
        <v>14814</v>
      </c>
      <c r="K12" s="5441"/>
      <c r="L12" s="716"/>
      <c r="M12" s="716"/>
      <c r="N12" s="716"/>
      <c r="O12" s="716"/>
      <c r="P12" s="716"/>
      <c r="Q12" s="5442"/>
      <c r="R12" s="716"/>
      <c r="S12" s="716"/>
      <c r="T12" s="716"/>
      <c r="U12" s="716"/>
      <c r="V12" s="716"/>
      <c r="W12" s="716"/>
      <c r="X12" s="716"/>
      <c r="Y12" s="716"/>
      <c r="Z12" s="716"/>
      <c r="AA12" s="2730">
        <v>1</v>
      </c>
    </row>
    <row r="13" spans="1:27" s="5229" customFormat="1" ht="21" customHeight="1">
      <c r="A13" s="716"/>
      <c r="B13" s="716"/>
      <c r="C13" s="5239" t="str">
        <f>B103</f>
        <v>B103</v>
      </c>
      <c r="D13" s="5439" t="s">
        <v>14788</v>
      </c>
      <c r="E13" s="716"/>
      <c r="F13" s="716"/>
      <c r="G13" s="716"/>
      <c r="H13" s="716"/>
      <c r="I13" s="716"/>
      <c r="J13" s="5239" t="str">
        <f>H202</f>
        <v>H202</v>
      </c>
      <c r="K13" s="5439" t="s">
        <v>14788</v>
      </c>
      <c r="L13" s="716"/>
      <c r="M13" s="716"/>
      <c r="N13" s="716"/>
      <c r="O13" s="716"/>
      <c r="P13" s="716"/>
      <c r="Q13" s="1118"/>
      <c r="R13" s="716"/>
      <c r="S13" s="716"/>
      <c r="T13" s="716"/>
      <c r="U13" s="716"/>
      <c r="V13" s="716"/>
      <c r="W13" s="716"/>
      <c r="X13" s="716"/>
      <c r="Y13" s="716"/>
      <c r="Z13" s="716"/>
      <c r="AA13" s="2730">
        <v>1</v>
      </c>
    </row>
    <row r="14" spans="1:27" s="5229" customFormat="1" ht="21" customHeight="1">
      <c r="A14" s="716"/>
      <c r="B14" s="716"/>
      <c r="C14" s="716"/>
      <c r="D14" s="716"/>
      <c r="E14" s="716"/>
      <c r="F14" s="716"/>
      <c r="G14" s="716"/>
      <c r="H14" s="716"/>
      <c r="I14" s="716"/>
      <c r="J14" s="716"/>
      <c r="K14" s="716"/>
      <c r="L14" s="716"/>
      <c r="M14" s="716"/>
      <c r="N14" s="716"/>
      <c r="O14" s="716"/>
      <c r="P14" s="716"/>
      <c r="Q14" s="716"/>
      <c r="R14" s="716"/>
      <c r="S14" s="716"/>
      <c r="T14" s="716"/>
      <c r="U14" s="716"/>
      <c r="V14" s="716"/>
      <c r="W14" s="716"/>
      <c r="X14" s="716"/>
      <c r="Y14" s="716"/>
      <c r="Z14" s="716"/>
      <c r="AA14" s="2730">
        <v>1</v>
      </c>
    </row>
    <row r="15" spans="1:27" s="5229" customFormat="1" ht="21" customHeight="1">
      <c r="A15" s="716"/>
      <c r="B15" s="716"/>
      <c r="C15" s="5238" t="s">
        <v>1750</v>
      </c>
      <c r="D15" s="5424"/>
      <c r="E15" s="716"/>
      <c r="F15" s="716"/>
      <c r="G15" s="716"/>
      <c r="H15" s="716"/>
      <c r="I15" s="716"/>
      <c r="J15" s="5238" t="s">
        <v>1797</v>
      </c>
      <c r="K15" s="5441"/>
      <c r="L15" s="716"/>
      <c r="M15" s="716"/>
      <c r="N15" s="716"/>
      <c r="O15" s="716"/>
      <c r="P15" s="716"/>
      <c r="Q15" s="5230"/>
      <c r="R15" s="716"/>
      <c r="S15" s="716"/>
      <c r="T15" s="716"/>
      <c r="U15" s="716"/>
      <c r="V15" s="716"/>
      <c r="W15" s="716"/>
      <c r="X15" s="716"/>
      <c r="Y15" s="716"/>
      <c r="Z15" s="716"/>
      <c r="AA15" s="2730">
        <v>1</v>
      </c>
    </row>
    <row r="16" spans="1:27" s="5229" customFormat="1" ht="21" customHeight="1">
      <c r="A16" s="716"/>
      <c r="B16" s="716"/>
      <c r="C16" s="5239" t="str">
        <f>B123</f>
        <v>B123</v>
      </c>
      <c r="D16" s="5439" t="s">
        <v>14788</v>
      </c>
      <c r="E16" s="716"/>
      <c r="F16" s="716"/>
      <c r="G16" s="716"/>
      <c r="H16" s="716"/>
      <c r="I16" s="716"/>
      <c r="J16" s="5239" t="str">
        <f>N221</f>
        <v>N221</v>
      </c>
      <c r="K16" s="5439" t="s">
        <v>14788</v>
      </c>
      <c r="L16" s="716"/>
      <c r="M16" s="716"/>
      <c r="N16" s="716"/>
      <c r="O16" s="716"/>
      <c r="P16" s="716"/>
      <c r="Q16" s="5230"/>
      <c r="R16" s="716"/>
      <c r="S16" s="716"/>
      <c r="T16" s="716"/>
      <c r="U16" s="716"/>
      <c r="V16" s="716"/>
      <c r="W16" s="716"/>
      <c r="X16" s="716"/>
      <c r="Y16" s="716"/>
      <c r="Z16" s="716"/>
      <c r="AA16" s="2730">
        <v>1</v>
      </c>
    </row>
    <row r="17" spans="1:27" s="5229" customFormat="1" ht="21" customHeight="1">
      <c r="A17" s="716"/>
      <c r="B17" s="716"/>
      <c r="C17" s="716"/>
      <c r="D17" s="716"/>
      <c r="E17" s="716"/>
      <c r="F17" s="716"/>
      <c r="G17" s="716"/>
      <c r="H17" s="716"/>
      <c r="I17" s="716"/>
      <c r="J17" s="716"/>
      <c r="K17" s="716"/>
      <c r="L17" s="716"/>
      <c r="M17" s="716"/>
      <c r="N17" s="716"/>
      <c r="O17" s="716"/>
      <c r="P17" s="716"/>
      <c r="Q17" s="716"/>
      <c r="R17" s="716"/>
      <c r="S17" s="716"/>
      <c r="T17" s="716"/>
      <c r="U17" s="716"/>
      <c r="V17" s="716"/>
      <c r="W17" s="716"/>
      <c r="X17" s="716"/>
      <c r="Y17" s="716"/>
      <c r="Z17" s="716"/>
      <c r="AA17" s="2730">
        <v>1</v>
      </c>
    </row>
    <row r="18" spans="1:27" s="5229" customFormat="1" ht="21" customHeight="1">
      <c r="A18" s="716"/>
      <c r="B18" s="716"/>
      <c r="C18" s="5238" t="s">
        <v>14815</v>
      </c>
      <c r="D18" s="5443"/>
      <c r="E18" s="716"/>
      <c r="F18" s="716"/>
      <c r="G18" s="716"/>
      <c r="H18" s="716"/>
      <c r="I18" s="716"/>
      <c r="J18" s="5238" t="s">
        <v>1792</v>
      </c>
      <c r="K18" s="5441"/>
      <c r="L18" s="716"/>
      <c r="M18" s="716"/>
      <c r="N18" s="716"/>
      <c r="O18" s="716"/>
      <c r="P18" s="716"/>
      <c r="Q18" s="5230"/>
      <c r="R18" s="716"/>
      <c r="S18" s="716"/>
      <c r="T18" s="716"/>
      <c r="U18" s="716"/>
      <c r="V18" s="716"/>
      <c r="W18" s="716"/>
      <c r="X18" s="716"/>
      <c r="Y18" s="716"/>
      <c r="Z18" s="716"/>
      <c r="AA18" s="2730">
        <v>1</v>
      </c>
    </row>
    <row r="19" spans="1:27" s="5229" customFormat="1" ht="21" customHeight="1">
      <c r="A19" s="716"/>
      <c r="B19" s="716"/>
      <c r="C19" s="5239" t="str">
        <f>B138</f>
        <v>B138</v>
      </c>
      <c r="D19" s="5439" t="s">
        <v>14788</v>
      </c>
      <c r="E19" s="716"/>
      <c r="F19" s="716"/>
      <c r="G19" s="716"/>
      <c r="H19" s="716"/>
      <c r="I19" s="716"/>
      <c r="J19" s="5239" t="str">
        <f>N233</f>
        <v>N233</v>
      </c>
      <c r="K19" s="5439" t="s">
        <v>14788</v>
      </c>
      <c r="L19" s="716"/>
      <c r="M19" s="716"/>
      <c r="N19" s="716"/>
      <c r="O19" s="716"/>
      <c r="P19" s="716"/>
      <c r="Q19" s="5230"/>
      <c r="R19" s="716"/>
      <c r="S19" s="716"/>
      <c r="T19" s="716"/>
      <c r="U19" s="716"/>
      <c r="V19" s="716"/>
      <c r="W19" s="716"/>
      <c r="X19" s="716"/>
      <c r="Y19" s="716"/>
      <c r="Z19" s="716"/>
      <c r="AA19" s="2730">
        <v>1</v>
      </c>
    </row>
    <row r="20" spans="1:27" s="5229" customFormat="1" ht="21" customHeight="1">
      <c r="A20" s="716"/>
      <c r="B20" s="716"/>
      <c r="C20" s="716"/>
      <c r="D20" s="716"/>
      <c r="E20" s="716"/>
      <c r="F20" s="716"/>
      <c r="G20" s="716"/>
      <c r="H20" s="716"/>
      <c r="I20" s="716"/>
      <c r="J20" s="716"/>
      <c r="K20" s="716"/>
      <c r="L20" s="716"/>
      <c r="M20" s="716"/>
      <c r="N20" s="716"/>
      <c r="O20" s="716"/>
      <c r="P20" s="716"/>
      <c r="Q20" s="716"/>
      <c r="R20" s="716"/>
      <c r="S20" s="716"/>
      <c r="T20" s="716"/>
      <c r="U20" s="716"/>
      <c r="V20" s="716"/>
      <c r="W20" s="716"/>
      <c r="X20" s="716"/>
      <c r="Y20" s="716"/>
      <c r="Z20" s="716"/>
      <c r="AA20" s="2730">
        <v>1</v>
      </c>
    </row>
    <row r="21" spans="1:27" s="5229" customFormat="1" ht="21" customHeight="1">
      <c r="A21" s="716"/>
      <c r="B21" s="716"/>
      <c r="C21" s="5238" t="s">
        <v>14816</v>
      </c>
      <c r="D21" s="5444"/>
      <c r="E21" s="716"/>
      <c r="F21" s="716"/>
      <c r="G21" s="716"/>
      <c r="H21" s="716"/>
      <c r="I21" s="716"/>
      <c r="J21" s="5238" t="s">
        <v>268</v>
      </c>
      <c r="K21" s="5441"/>
      <c r="L21" s="716"/>
      <c r="M21" s="716"/>
      <c r="N21" s="716"/>
      <c r="O21" s="716"/>
      <c r="P21" s="716"/>
      <c r="Q21" s="5230"/>
      <c r="R21" s="716"/>
      <c r="S21" s="716"/>
      <c r="T21" s="716"/>
      <c r="U21" s="716"/>
      <c r="V21" s="716"/>
      <c r="W21" s="716"/>
      <c r="X21" s="716"/>
      <c r="Y21" s="716"/>
      <c r="Z21" s="716"/>
      <c r="AA21" s="2730">
        <v>1</v>
      </c>
    </row>
    <row r="22" spans="1:27" s="5229" customFormat="1" ht="21" customHeight="1">
      <c r="A22" s="716"/>
      <c r="B22" s="716"/>
      <c r="C22" s="5239" t="str">
        <f>B159</f>
        <v>B159</v>
      </c>
      <c r="D22" s="5439" t="s">
        <v>14788</v>
      </c>
      <c r="E22" s="716"/>
      <c r="F22" s="716"/>
      <c r="G22" s="716"/>
      <c r="H22" s="716"/>
      <c r="I22" s="716"/>
      <c r="J22" s="5239" t="str">
        <f>M250</f>
        <v>M250</v>
      </c>
      <c r="K22" s="5439" t="s">
        <v>14788</v>
      </c>
      <c r="L22" s="716"/>
      <c r="M22" s="716"/>
      <c r="N22" s="716"/>
      <c r="O22" s="716"/>
      <c r="P22" s="716"/>
      <c r="Q22" s="5230"/>
      <c r="R22" s="716"/>
      <c r="S22" s="716"/>
      <c r="T22" s="716"/>
      <c r="U22" s="716"/>
      <c r="V22" s="716"/>
      <c r="W22" s="716"/>
      <c r="X22" s="716"/>
      <c r="Y22" s="716"/>
      <c r="Z22" s="716"/>
      <c r="AA22" s="2730">
        <v>1</v>
      </c>
    </row>
    <row r="23" spans="1:27" s="5229" customFormat="1" ht="21" customHeight="1">
      <c r="A23" s="716"/>
      <c r="B23" s="716"/>
      <c r="C23" s="716"/>
      <c r="D23" s="716"/>
      <c r="E23" s="716"/>
      <c r="F23" s="716"/>
      <c r="G23" s="716"/>
      <c r="H23" s="716"/>
      <c r="I23" s="716"/>
      <c r="J23" s="716"/>
      <c r="K23" s="716"/>
      <c r="L23" s="716"/>
      <c r="M23" s="716"/>
      <c r="N23" s="716"/>
      <c r="O23" s="716"/>
      <c r="P23" s="716"/>
      <c r="Q23" s="716"/>
      <c r="R23" s="716"/>
      <c r="S23" s="716"/>
      <c r="T23" s="716"/>
      <c r="U23" s="716"/>
      <c r="V23" s="716"/>
      <c r="W23" s="716"/>
      <c r="X23" s="716"/>
      <c r="Y23" s="716"/>
      <c r="Z23" s="716"/>
      <c r="AA23" s="2730">
        <v>1</v>
      </c>
    </row>
    <row r="24" spans="1:27" s="5229" customFormat="1" ht="21" customHeight="1">
      <c r="A24" s="716"/>
      <c r="B24" s="716"/>
      <c r="C24" s="5238" t="s">
        <v>14817</v>
      </c>
      <c r="D24" s="5444"/>
      <c r="E24" s="716"/>
      <c r="F24" s="716"/>
      <c r="G24" s="716"/>
      <c r="H24" s="716"/>
      <c r="I24" s="716"/>
      <c r="J24" s="5238" t="s">
        <v>1524</v>
      </c>
      <c r="K24" s="5424"/>
      <c r="L24" s="716"/>
      <c r="M24" s="716"/>
      <c r="N24" s="716"/>
      <c r="O24" s="716"/>
      <c r="P24" s="716"/>
      <c r="Q24" s="5230"/>
      <c r="R24" s="716"/>
      <c r="S24" s="716"/>
      <c r="T24" s="716"/>
      <c r="U24" s="716"/>
      <c r="V24" s="716"/>
      <c r="W24" s="716"/>
      <c r="X24" s="716"/>
      <c r="Y24" s="716"/>
      <c r="Z24" s="716"/>
      <c r="AA24" s="2730">
        <v>1</v>
      </c>
    </row>
    <row r="25" spans="1:27" s="5229" customFormat="1" ht="21" customHeight="1">
      <c r="A25" s="716"/>
      <c r="B25" s="716"/>
      <c r="C25" s="5239" t="str">
        <f>B172</f>
        <v>B172</v>
      </c>
      <c r="D25" s="5439" t="s">
        <v>14788</v>
      </c>
      <c r="E25" s="716"/>
      <c r="F25" s="716"/>
      <c r="G25" s="716"/>
      <c r="H25" s="716"/>
      <c r="I25" s="716"/>
      <c r="J25" s="5239" t="str">
        <f>B358</f>
        <v>B358</v>
      </c>
      <c r="K25" s="5439" t="s">
        <v>14788</v>
      </c>
      <c r="L25" s="716"/>
      <c r="M25" s="716"/>
      <c r="N25" s="716"/>
      <c r="O25" s="716"/>
      <c r="P25" s="716"/>
      <c r="Q25" s="5230"/>
      <c r="R25" s="716"/>
      <c r="S25" s="716"/>
      <c r="T25" s="716"/>
      <c r="U25" s="716"/>
      <c r="V25" s="716"/>
      <c r="W25" s="716"/>
      <c r="X25" s="716"/>
      <c r="Y25" s="716"/>
      <c r="Z25" s="716"/>
      <c r="AA25" s="2730">
        <v>1</v>
      </c>
    </row>
    <row r="26" spans="1:27" s="5229" customFormat="1" ht="21" customHeight="1">
      <c r="A26" s="716"/>
      <c r="B26" s="716"/>
      <c r="C26" s="716"/>
      <c r="D26" s="716"/>
      <c r="E26" s="716"/>
      <c r="F26" s="716"/>
      <c r="G26" s="716"/>
      <c r="H26" s="716"/>
      <c r="I26" s="716"/>
      <c r="J26" s="716"/>
      <c r="K26" s="716"/>
      <c r="L26" s="716"/>
      <c r="M26" s="716"/>
      <c r="N26" s="716"/>
      <c r="O26" s="716"/>
      <c r="P26" s="716"/>
      <c r="Q26" s="716"/>
      <c r="R26" s="716"/>
      <c r="S26" s="716"/>
      <c r="T26" s="716"/>
      <c r="U26" s="716"/>
      <c r="V26" s="716"/>
      <c r="W26" s="716"/>
      <c r="X26" s="716"/>
      <c r="Y26" s="716"/>
      <c r="Z26" s="716"/>
      <c r="AA26" s="2730">
        <v>1</v>
      </c>
    </row>
    <row r="27" spans="1:27" s="5229" customFormat="1" ht="21" customHeight="1">
      <c r="A27" s="716"/>
      <c r="B27" s="716"/>
      <c r="C27" s="5238" t="s">
        <v>14813</v>
      </c>
      <c r="D27" s="5441"/>
      <c r="E27" s="716"/>
      <c r="F27" s="716"/>
      <c r="G27" s="716"/>
      <c r="H27" s="716"/>
      <c r="I27" s="716"/>
      <c r="J27" s="5238" t="s">
        <v>188</v>
      </c>
      <c r="K27" s="5424"/>
      <c r="L27" s="716"/>
      <c r="M27" s="716"/>
      <c r="N27" s="716"/>
      <c r="O27" s="716"/>
      <c r="P27" s="716"/>
      <c r="Q27" s="5230"/>
      <c r="R27" s="716"/>
      <c r="S27" s="716"/>
      <c r="T27" s="716"/>
      <c r="U27" s="716"/>
      <c r="V27" s="716"/>
      <c r="W27" s="716"/>
      <c r="X27" s="716"/>
      <c r="Y27" s="716"/>
      <c r="Z27" s="716"/>
      <c r="AA27" s="2730">
        <v>1</v>
      </c>
    </row>
    <row r="28" spans="1:27" s="5229" customFormat="1" ht="21" customHeight="1">
      <c r="A28" s="716"/>
      <c r="B28" s="716"/>
      <c r="C28" s="5239" t="str">
        <f>B187</f>
        <v>B187</v>
      </c>
      <c r="D28" s="5439" t="s">
        <v>14788</v>
      </c>
      <c r="E28" s="716"/>
      <c r="F28" s="716"/>
      <c r="G28" s="716"/>
      <c r="H28" s="716"/>
      <c r="I28" s="716"/>
      <c r="J28" s="5239" t="str">
        <f>H345</f>
        <v>H345</v>
      </c>
      <c r="K28" s="5439" t="s">
        <v>14788</v>
      </c>
      <c r="L28" s="716"/>
      <c r="M28" s="716"/>
      <c r="N28" s="716"/>
      <c r="O28" s="716"/>
      <c r="P28" s="716"/>
      <c r="Q28" s="5230"/>
      <c r="R28" s="716"/>
      <c r="S28" s="716"/>
      <c r="T28" s="716"/>
      <c r="U28" s="716"/>
      <c r="V28" s="716"/>
      <c r="W28" s="716"/>
      <c r="X28" s="716"/>
      <c r="Y28" s="716"/>
      <c r="Z28" s="716"/>
      <c r="AA28" s="2730">
        <v>1</v>
      </c>
    </row>
    <row r="29" spans="1:27" s="5229" customFormat="1" ht="21" customHeight="1">
      <c r="A29" s="716"/>
      <c r="B29" s="716"/>
      <c r="C29" s="5444"/>
      <c r="D29" s="5444"/>
      <c r="E29" s="716"/>
      <c r="F29" s="716"/>
      <c r="G29" s="716"/>
      <c r="H29" s="716"/>
      <c r="I29" s="716"/>
      <c r="L29" s="716"/>
      <c r="M29" s="716"/>
      <c r="N29" s="716"/>
      <c r="O29" s="716"/>
      <c r="P29" s="716"/>
      <c r="Q29" s="5230"/>
      <c r="R29" s="716"/>
      <c r="S29" s="716"/>
      <c r="T29" s="716"/>
      <c r="U29" s="716"/>
      <c r="V29" s="716"/>
      <c r="W29" s="716"/>
      <c r="X29" s="716"/>
      <c r="Y29" s="716"/>
      <c r="Z29" s="716"/>
      <c r="AA29" s="2730">
        <v>1</v>
      </c>
    </row>
    <row r="30" spans="1:27" s="5229" customFormat="1" ht="21" customHeight="1">
      <c r="A30" s="716"/>
      <c r="B30" s="716"/>
      <c r="C30" s="5238" t="s">
        <v>14814</v>
      </c>
      <c r="D30" s="5441"/>
      <c r="E30" s="716"/>
      <c r="F30" s="716"/>
      <c r="G30" s="716"/>
      <c r="H30" s="716"/>
      <c r="I30" s="716"/>
      <c r="J30" s="5238" t="s">
        <v>1544</v>
      </c>
      <c r="K30" s="5424"/>
      <c r="L30" s="716"/>
      <c r="M30" s="716"/>
      <c r="N30" s="716"/>
      <c r="O30" s="716"/>
      <c r="P30" s="716"/>
      <c r="Q30" s="5230"/>
      <c r="R30" s="716"/>
      <c r="S30" s="716"/>
      <c r="T30" s="716"/>
      <c r="U30" s="716"/>
      <c r="V30" s="716"/>
      <c r="W30" s="716"/>
      <c r="X30" s="716"/>
      <c r="Y30" s="716"/>
      <c r="Z30" s="716"/>
      <c r="AA30" s="2730">
        <v>1</v>
      </c>
    </row>
    <row r="31" spans="1:27" s="5229" customFormat="1" ht="21" customHeight="1">
      <c r="A31" s="716"/>
      <c r="B31" s="716"/>
      <c r="C31" s="5239" t="str">
        <f>B202</f>
        <v>B202</v>
      </c>
      <c r="D31" s="5439" t="s">
        <v>14788</v>
      </c>
      <c r="E31" s="716"/>
      <c r="F31" s="716"/>
      <c r="G31" s="716"/>
      <c r="H31" s="716"/>
      <c r="I31" s="716"/>
      <c r="J31" s="5239" t="str">
        <f>B385</f>
        <v>B385</v>
      </c>
      <c r="K31" s="5439" t="s">
        <v>14788</v>
      </c>
      <c r="L31" s="716"/>
      <c r="M31" s="716"/>
      <c r="N31" s="716"/>
      <c r="O31" s="716"/>
      <c r="P31" s="716"/>
      <c r="Q31" s="5230"/>
      <c r="R31" s="716"/>
      <c r="S31" s="716"/>
      <c r="T31" s="716"/>
      <c r="U31" s="716"/>
      <c r="V31" s="716"/>
      <c r="W31" s="716"/>
      <c r="X31" s="716"/>
      <c r="Y31" s="716"/>
      <c r="Z31" s="716"/>
      <c r="AA31" s="2730">
        <v>1</v>
      </c>
    </row>
    <row r="32" spans="1:27" s="5229" customFormat="1" ht="21" customHeight="1">
      <c r="A32" s="716"/>
      <c r="B32" s="716"/>
      <c r="C32" s="5444"/>
      <c r="D32" s="5444"/>
      <c r="E32" s="716"/>
      <c r="F32" s="716"/>
      <c r="G32" s="716"/>
      <c r="H32" s="716"/>
      <c r="I32" s="716"/>
      <c r="J32" s="5444"/>
      <c r="K32" s="5444"/>
      <c r="L32" s="716"/>
      <c r="M32" s="716"/>
      <c r="N32" s="716"/>
      <c r="O32" s="716"/>
      <c r="P32" s="716"/>
      <c r="Q32" s="5230"/>
      <c r="R32" s="716"/>
      <c r="S32" s="716"/>
      <c r="T32" s="716"/>
      <c r="U32" s="716"/>
      <c r="V32" s="716"/>
      <c r="W32" s="716"/>
      <c r="X32" s="716"/>
      <c r="Y32" s="716"/>
      <c r="Z32" s="716"/>
      <c r="AA32" s="2730">
        <v>1</v>
      </c>
    </row>
    <row r="33" spans="1:27" s="5229" customFormat="1" ht="21" customHeight="1">
      <c r="A33" s="716"/>
      <c r="B33" s="716"/>
      <c r="C33" s="5238" t="s">
        <v>1746</v>
      </c>
      <c r="D33" s="5444"/>
      <c r="E33" s="716"/>
      <c r="F33" s="716"/>
      <c r="G33" s="716"/>
      <c r="H33" s="716"/>
      <c r="I33" s="716"/>
      <c r="J33" s="5238" t="s">
        <v>226</v>
      </c>
      <c r="K33" s="5424"/>
      <c r="L33" s="716"/>
      <c r="M33" s="716"/>
      <c r="N33" s="716"/>
      <c r="O33" s="716"/>
      <c r="P33" s="716"/>
      <c r="Q33" s="5230"/>
      <c r="R33" s="716"/>
      <c r="S33" s="716"/>
      <c r="T33" s="716"/>
      <c r="U33" s="716"/>
      <c r="V33" s="716"/>
      <c r="W33" s="716"/>
      <c r="X33" s="716"/>
      <c r="Y33" s="716"/>
      <c r="Z33" s="716"/>
      <c r="AA33" s="2730">
        <v>1</v>
      </c>
    </row>
    <row r="34" spans="1:27" s="5229" customFormat="1" ht="21" customHeight="1">
      <c r="A34" s="716"/>
      <c r="B34" s="716"/>
      <c r="C34" s="5239" t="str">
        <f>B221</f>
        <v>B221</v>
      </c>
      <c r="D34" s="5439" t="s">
        <v>14788</v>
      </c>
      <c r="E34" s="716"/>
      <c r="F34" s="716"/>
      <c r="G34" s="716"/>
      <c r="H34" s="716"/>
      <c r="I34" s="716"/>
      <c r="J34" s="5239" t="str">
        <f>B405</f>
        <v>B405</v>
      </c>
      <c r="K34" s="5439" t="s">
        <v>14788</v>
      </c>
      <c r="L34" s="716"/>
      <c r="M34" s="716"/>
      <c r="N34" s="716"/>
      <c r="O34" s="716"/>
      <c r="P34" s="716"/>
      <c r="Q34" s="5230"/>
      <c r="R34" s="716"/>
      <c r="S34" s="716"/>
      <c r="T34" s="716"/>
      <c r="U34" s="716"/>
      <c r="V34" s="716"/>
      <c r="W34" s="716"/>
      <c r="X34" s="716"/>
      <c r="Y34" s="716"/>
      <c r="Z34" s="716"/>
      <c r="AA34" s="2730">
        <v>1</v>
      </c>
    </row>
    <row r="35" spans="1:27" s="5229" customFormat="1" ht="21" customHeight="1">
      <c r="A35" s="716"/>
      <c r="B35" s="716"/>
      <c r="C35" s="5444"/>
      <c r="D35" s="5444"/>
      <c r="E35" s="716"/>
      <c r="F35" s="716"/>
      <c r="G35" s="716"/>
      <c r="H35" s="716"/>
      <c r="I35" s="716"/>
      <c r="J35" s="5444"/>
      <c r="K35" s="5444"/>
      <c r="L35" s="716"/>
      <c r="M35" s="716"/>
      <c r="N35" s="716"/>
      <c r="O35" s="716"/>
      <c r="P35" s="716"/>
      <c r="Q35" s="5230"/>
      <c r="R35" s="716"/>
      <c r="S35" s="716"/>
      <c r="T35" s="716"/>
      <c r="U35" s="716"/>
      <c r="V35" s="716"/>
      <c r="W35" s="716"/>
      <c r="X35" s="716"/>
      <c r="Y35" s="716"/>
      <c r="Z35" s="716"/>
      <c r="AA35" s="2730">
        <v>1</v>
      </c>
    </row>
    <row r="36" spans="1:27" s="5229" customFormat="1" ht="21" customHeight="1">
      <c r="A36" s="716"/>
      <c r="B36" s="716"/>
      <c r="C36" s="5238" t="s">
        <v>14818</v>
      </c>
      <c r="D36" s="5424"/>
      <c r="E36" s="716"/>
      <c r="F36" s="716"/>
      <c r="G36" s="716"/>
      <c r="H36" s="716"/>
      <c r="I36" s="716"/>
      <c r="J36" s="5238" t="s">
        <v>236</v>
      </c>
      <c r="K36" s="5424"/>
      <c r="L36" s="716"/>
      <c r="M36" s="716"/>
      <c r="N36" s="716"/>
      <c r="O36" s="716"/>
      <c r="P36" s="716"/>
      <c r="Q36" s="5230"/>
      <c r="R36" s="716"/>
      <c r="S36" s="716"/>
      <c r="T36" s="716"/>
      <c r="U36" s="716"/>
      <c r="V36" s="716"/>
      <c r="W36" s="716"/>
      <c r="X36" s="716"/>
      <c r="Y36" s="716"/>
      <c r="Z36" s="716"/>
      <c r="AA36" s="2730">
        <v>1</v>
      </c>
    </row>
    <row r="37" spans="1:27" s="5229" customFormat="1" ht="21" customHeight="1">
      <c r="A37" s="716"/>
      <c r="B37" s="716"/>
      <c r="C37" s="5239" t="str">
        <f>B241</f>
        <v>B241</v>
      </c>
      <c r="D37" s="5439" t="s">
        <v>14788</v>
      </c>
      <c r="E37" s="716"/>
      <c r="F37" s="716"/>
      <c r="G37" s="716"/>
      <c r="H37" s="716"/>
      <c r="I37" s="716"/>
      <c r="J37" s="5239" t="str">
        <f>B419</f>
        <v>B419</v>
      </c>
      <c r="K37" s="5439" t="s">
        <v>14788</v>
      </c>
      <c r="L37" s="716"/>
      <c r="M37" s="716"/>
      <c r="N37" s="716"/>
      <c r="O37" s="716"/>
      <c r="P37" s="716"/>
      <c r="Q37" s="5230"/>
      <c r="R37" s="716"/>
      <c r="S37" s="716"/>
      <c r="T37" s="716"/>
      <c r="U37" s="716"/>
      <c r="V37" s="716"/>
      <c r="W37" s="716"/>
      <c r="X37" s="716"/>
      <c r="Y37" s="716"/>
      <c r="Z37" s="716"/>
      <c r="AA37" s="2730">
        <v>1</v>
      </c>
    </row>
    <row r="38" spans="1:27" s="5229" customFormat="1" ht="21" customHeight="1">
      <c r="A38" s="716"/>
      <c r="B38" s="716"/>
      <c r="C38" s="5444"/>
      <c r="D38" s="5444"/>
      <c r="E38" s="716"/>
      <c r="F38" s="716"/>
      <c r="G38" s="716"/>
      <c r="H38" s="716"/>
      <c r="I38" s="716"/>
      <c r="J38" s="5444"/>
      <c r="K38" s="5444"/>
      <c r="L38" s="716"/>
      <c r="M38" s="716"/>
      <c r="N38" s="716"/>
      <c r="O38" s="716"/>
      <c r="P38" s="716"/>
      <c r="Q38" s="5230"/>
      <c r="R38" s="716"/>
      <c r="S38" s="716"/>
      <c r="T38" s="716"/>
      <c r="U38" s="716"/>
      <c r="V38" s="716"/>
      <c r="W38" s="716"/>
      <c r="X38" s="716"/>
      <c r="Y38" s="716"/>
      <c r="Z38" s="716"/>
      <c r="AA38" s="2730">
        <v>1</v>
      </c>
    </row>
    <row r="39" spans="1:27" s="5229" customFormat="1" ht="21" customHeight="1">
      <c r="A39" s="716"/>
      <c r="B39" s="716"/>
      <c r="C39" s="5238" t="s">
        <v>281</v>
      </c>
      <c r="D39" s="5424"/>
      <c r="E39" s="716"/>
      <c r="F39" s="716"/>
      <c r="G39" s="716"/>
      <c r="H39" s="716"/>
      <c r="I39" s="716"/>
      <c r="J39" s="5238" t="s">
        <v>254</v>
      </c>
      <c r="K39" s="5424"/>
      <c r="L39" s="716"/>
      <c r="M39" s="716"/>
      <c r="N39" s="716"/>
      <c r="O39" s="716"/>
      <c r="P39" s="716"/>
      <c r="Q39" s="5230"/>
      <c r="R39" s="716"/>
      <c r="S39" s="716"/>
      <c r="T39" s="716"/>
      <c r="U39" s="716"/>
      <c r="V39" s="716"/>
      <c r="W39" s="716"/>
      <c r="X39" s="716"/>
      <c r="Y39" s="716"/>
      <c r="Z39" s="716"/>
      <c r="AA39" s="2730">
        <v>1</v>
      </c>
    </row>
    <row r="40" spans="1:27" s="5229" customFormat="1" ht="21" customHeight="1">
      <c r="A40" s="716"/>
      <c r="B40" s="716"/>
      <c r="C40" s="5239" t="str">
        <f>B250</f>
        <v>B250</v>
      </c>
      <c r="D40" s="5439" t="s">
        <v>14788</v>
      </c>
      <c r="E40" s="716"/>
      <c r="F40" s="716"/>
      <c r="G40" s="716"/>
      <c r="H40" s="716"/>
      <c r="I40" s="716"/>
      <c r="J40" s="5239" t="str">
        <f>B449</f>
        <v>B449</v>
      </c>
      <c r="K40" s="5439" t="s">
        <v>14788</v>
      </c>
      <c r="L40" s="716"/>
      <c r="M40" s="716"/>
      <c r="N40" s="716"/>
      <c r="O40" s="716"/>
      <c r="P40" s="716"/>
      <c r="Q40" s="5230"/>
      <c r="R40" s="716"/>
      <c r="S40" s="716"/>
      <c r="T40" s="716"/>
      <c r="U40" s="716"/>
      <c r="V40" s="716"/>
      <c r="W40" s="716"/>
      <c r="X40" s="716"/>
      <c r="Y40" s="716"/>
      <c r="Z40" s="716"/>
      <c r="AA40" s="2730">
        <v>1</v>
      </c>
    </row>
    <row r="41" spans="1:27" s="5229" customFormat="1" ht="21" customHeight="1">
      <c r="A41" s="716"/>
      <c r="B41" s="716"/>
      <c r="C41" s="5444"/>
      <c r="D41" s="5444"/>
      <c r="E41" s="716"/>
      <c r="F41" s="716"/>
      <c r="G41" s="716"/>
      <c r="H41" s="716"/>
      <c r="I41" s="716"/>
      <c r="J41" s="5444"/>
      <c r="K41" s="5444"/>
      <c r="L41" s="716"/>
      <c r="M41" s="716"/>
      <c r="N41" s="716"/>
      <c r="O41" s="716"/>
      <c r="P41" s="716"/>
      <c r="Q41" s="5230"/>
      <c r="R41" s="716"/>
      <c r="S41" s="716"/>
      <c r="T41" s="716"/>
      <c r="U41" s="716"/>
      <c r="V41" s="716"/>
      <c r="W41" s="716"/>
      <c r="X41" s="716"/>
      <c r="Y41" s="716"/>
      <c r="Z41" s="716"/>
      <c r="AA41" s="2730">
        <v>1</v>
      </c>
    </row>
    <row r="42" spans="1:27" s="5229" customFormat="1" ht="21" customHeight="1">
      <c r="A42" s="716"/>
      <c r="B42" s="716"/>
      <c r="C42" s="5238" t="s">
        <v>299</v>
      </c>
      <c r="D42" s="5424"/>
      <c r="E42" s="716"/>
      <c r="F42" s="716"/>
      <c r="G42" s="716"/>
      <c r="H42" s="716"/>
      <c r="I42" s="716"/>
      <c r="J42" s="5238" t="s">
        <v>206</v>
      </c>
      <c r="K42" s="5424"/>
      <c r="L42" s="716"/>
      <c r="M42" s="716"/>
      <c r="N42" s="716"/>
      <c r="O42" s="716"/>
      <c r="P42" s="716"/>
      <c r="Q42" s="5230"/>
      <c r="R42" s="716"/>
      <c r="S42" s="716"/>
      <c r="T42" s="716"/>
      <c r="U42" s="716"/>
      <c r="V42" s="716"/>
      <c r="W42" s="716"/>
      <c r="X42" s="716"/>
      <c r="Y42" s="716"/>
      <c r="Z42" s="716"/>
      <c r="AA42" s="2730">
        <v>1</v>
      </c>
    </row>
    <row r="43" spans="1:27" s="5229" customFormat="1" ht="21" customHeight="1">
      <c r="A43" s="716"/>
      <c r="B43" s="716"/>
      <c r="C43" s="5239" t="str">
        <f>B278</f>
        <v>B278</v>
      </c>
      <c r="D43" s="5439" t="s">
        <v>14788</v>
      </c>
      <c r="E43" s="716"/>
      <c r="F43" s="716"/>
      <c r="G43" s="716"/>
      <c r="H43" s="716"/>
      <c r="I43" s="716"/>
      <c r="J43" s="5239" t="str">
        <f>B482</f>
        <v>B482</v>
      </c>
      <c r="K43" s="5439" t="s">
        <v>14788</v>
      </c>
      <c r="L43" s="716"/>
      <c r="M43" s="716"/>
      <c r="N43" s="716"/>
      <c r="O43" s="716"/>
      <c r="P43" s="716"/>
      <c r="Q43" s="5230"/>
      <c r="R43" s="716"/>
      <c r="S43" s="716"/>
      <c r="T43" s="716"/>
      <c r="U43" s="716"/>
      <c r="V43" s="716"/>
      <c r="W43" s="716"/>
      <c r="X43" s="716"/>
      <c r="Y43" s="716"/>
      <c r="Z43" s="716"/>
      <c r="AA43" s="2730">
        <v>1</v>
      </c>
    </row>
    <row r="44" spans="1:27" s="5229" customFormat="1" ht="21" customHeight="1">
      <c r="A44" s="716"/>
      <c r="B44" s="716"/>
      <c r="D44" s="5230"/>
      <c r="E44" s="716"/>
      <c r="F44" s="716"/>
      <c r="G44" s="716"/>
      <c r="H44" s="716"/>
      <c r="I44" s="716"/>
      <c r="J44" s="5230"/>
      <c r="K44" s="5230"/>
      <c r="L44" s="716"/>
      <c r="M44" s="716"/>
      <c r="N44" s="716"/>
      <c r="O44" s="716"/>
      <c r="P44" s="716"/>
      <c r="Q44" s="5230"/>
      <c r="R44" s="716"/>
      <c r="S44" s="716"/>
      <c r="T44" s="716"/>
      <c r="U44" s="716"/>
      <c r="V44" s="716"/>
      <c r="W44" s="716"/>
      <c r="X44" s="716"/>
      <c r="Y44" s="716"/>
      <c r="Z44" s="716"/>
      <c r="AA44" s="2730">
        <v>1</v>
      </c>
    </row>
    <row r="45" spans="1:27" s="5229" customFormat="1" ht="21" customHeight="1">
      <c r="A45" s="716"/>
      <c r="B45" s="716"/>
      <c r="C45" s="5238" t="s">
        <v>314</v>
      </c>
      <c r="D45" s="5424"/>
      <c r="E45" s="716"/>
      <c r="F45" s="716"/>
      <c r="G45" s="716"/>
      <c r="H45" s="716"/>
      <c r="I45" s="716"/>
      <c r="J45" s="5230"/>
      <c r="K45" s="5230"/>
      <c r="L45" s="716"/>
      <c r="M45" s="716"/>
      <c r="N45" s="716"/>
      <c r="O45" s="716"/>
      <c r="P45" s="716"/>
      <c r="Q45" s="5230"/>
      <c r="R45" s="716"/>
      <c r="S45" s="716"/>
      <c r="T45" s="716"/>
      <c r="U45" s="716"/>
      <c r="V45" s="716"/>
      <c r="W45" s="716"/>
      <c r="X45" s="716"/>
      <c r="Y45" s="716"/>
      <c r="Z45" s="716"/>
      <c r="AA45" s="2730">
        <v>1</v>
      </c>
    </row>
    <row r="46" spans="1:27" s="5229" customFormat="1" ht="21" customHeight="1">
      <c r="A46" s="716"/>
      <c r="B46" s="716"/>
      <c r="C46" s="5239" t="str">
        <f>B308</f>
        <v>B308</v>
      </c>
      <c r="D46" s="5439" t="s">
        <v>14788</v>
      </c>
      <c r="E46" s="716"/>
      <c r="F46" s="716"/>
      <c r="G46" s="716"/>
      <c r="H46" s="716"/>
      <c r="I46" s="716"/>
      <c r="J46" s="5230"/>
      <c r="K46" s="5230"/>
      <c r="L46" s="716"/>
      <c r="M46" s="716"/>
      <c r="N46" s="716"/>
      <c r="O46" s="716"/>
      <c r="P46" s="716"/>
      <c r="Q46" s="5230"/>
      <c r="R46" s="716"/>
      <c r="S46" s="716"/>
      <c r="T46" s="716"/>
      <c r="U46" s="716"/>
      <c r="V46" s="716"/>
      <c r="W46" s="716"/>
      <c r="X46" s="716"/>
      <c r="Y46" s="716"/>
      <c r="Z46" s="716"/>
      <c r="AA46" s="2730">
        <v>1</v>
      </c>
    </row>
    <row r="47" spans="1:27" s="5229" customFormat="1" ht="21" customHeight="1">
      <c r="A47" s="716"/>
      <c r="B47" s="716"/>
      <c r="C47" s="5444"/>
      <c r="D47" s="5444"/>
      <c r="E47" s="716"/>
      <c r="F47" s="716"/>
      <c r="G47" s="716"/>
      <c r="H47" s="716"/>
      <c r="I47" s="716"/>
      <c r="J47" s="5230"/>
      <c r="K47" s="5230"/>
      <c r="L47" s="716"/>
      <c r="M47" s="716"/>
      <c r="N47" s="716"/>
      <c r="O47" s="716"/>
      <c r="P47" s="716"/>
      <c r="Q47" s="5230"/>
      <c r="R47" s="716"/>
      <c r="S47" s="716"/>
      <c r="T47" s="716"/>
      <c r="U47" s="716"/>
      <c r="V47" s="716"/>
      <c r="W47" s="716"/>
      <c r="X47" s="716"/>
      <c r="Y47" s="716"/>
      <c r="Z47" s="716"/>
      <c r="AA47" s="2730">
        <v>1</v>
      </c>
    </row>
    <row r="48" spans="1:27" s="5229" customFormat="1" ht="21" customHeight="1">
      <c r="A48" s="716"/>
      <c r="B48" s="716"/>
      <c r="C48" s="5238" t="s">
        <v>1296</v>
      </c>
      <c r="D48" s="5424"/>
      <c r="E48" s="716"/>
      <c r="F48" s="716"/>
      <c r="G48" s="716"/>
      <c r="H48" s="716"/>
      <c r="I48" s="716"/>
      <c r="J48" s="5230"/>
      <c r="K48" s="5230"/>
      <c r="L48" s="716"/>
      <c r="M48" s="716"/>
      <c r="N48" s="716"/>
      <c r="O48" s="716"/>
      <c r="P48" s="716"/>
      <c r="Q48" s="5230"/>
      <c r="R48" s="716"/>
      <c r="S48" s="716"/>
      <c r="T48" s="716"/>
      <c r="U48" s="716"/>
      <c r="V48" s="716"/>
      <c r="W48" s="716"/>
      <c r="X48" s="716"/>
      <c r="Y48" s="716"/>
      <c r="Z48" s="716"/>
      <c r="AA48" s="2730">
        <v>1</v>
      </c>
    </row>
    <row r="49" spans="1:27" s="5229" customFormat="1" ht="21" customHeight="1">
      <c r="A49" s="716"/>
      <c r="B49" s="716"/>
      <c r="C49" s="5239" t="str">
        <f>B345</f>
        <v>B345</v>
      </c>
      <c r="D49" s="5439" t="s">
        <v>14788</v>
      </c>
      <c r="E49" s="716"/>
      <c r="F49" s="716"/>
      <c r="G49" s="716"/>
      <c r="H49" s="716"/>
      <c r="I49" s="716"/>
      <c r="J49" s="5230"/>
      <c r="K49" s="5230"/>
      <c r="L49" s="716"/>
      <c r="M49" s="716"/>
      <c r="N49" s="716"/>
      <c r="O49" s="716"/>
      <c r="P49" s="716"/>
      <c r="Q49" s="5230"/>
      <c r="R49" s="716"/>
      <c r="S49" s="716"/>
      <c r="T49" s="716"/>
      <c r="U49" s="716"/>
      <c r="V49" s="716"/>
      <c r="W49" s="716"/>
      <c r="X49" s="716"/>
      <c r="Y49" s="716"/>
      <c r="Z49" s="716"/>
      <c r="AA49" s="2730">
        <v>1</v>
      </c>
    </row>
    <row r="50" spans="1:27" s="5229" customFormat="1" ht="21" customHeight="1">
      <c r="A50" s="716"/>
      <c r="B50" s="716"/>
      <c r="C50" s="716"/>
      <c r="D50" s="716"/>
      <c r="E50" s="716"/>
      <c r="F50" s="716"/>
      <c r="G50" s="716"/>
      <c r="H50" s="716"/>
      <c r="I50" s="716"/>
      <c r="J50" s="716"/>
      <c r="K50" s="716"/>
      <c r="L50" s="716"/>
      <c r="M50" s="716"/>
      <c r="N50" s="716"/>
      <c r="O50" s="716"/>
      <c r="P50" s="716"/>
      <c r="Q50" s="716"/>
      <c r="R50" s="716"/>
      <c r="S50" s="716"/>
      <c r="T50" s="716"/>
      <c r="U50" s="716"/>
      <c r="V50" s="716"/>
      <c r="W50" s="716"/>
      <c r="X50" s="716"/>
      <c r="Y50" s="716"/>
      <c r="Z50" s="716"/>
      <c r="AA50" s="2730">
        <v>1</v>
      </c>
    </row>
    <row r="51" spans="1:27" s="5229" customFormat="1" ht="21" customHeight="1">
      <c r="A51" s="5445" t="s">
        <v>67</v>
      </c>
      <c r="B51" s="9259" t="s">
        <v>14787</v>
      </c>
      <c r="C51" s="9259"/>
      <c r="D51" s="9259"/>
      <c r="E51" s="9259"/>
      <c r="F51" s="9259"/>
      <c r="G51" s="9259"/>
      <c r="H51" s="9259"/>
      <c r="I51" s="9259"/>
      <c r="J51" s="9259"/>
      <c r="K51" s="9259"/>
      <c r="L51" s="9259"/>
      <c r="M51" s="9259"/>
      <c r="N51" s="9259"/>
      <c r="O51" s="9259"/>
      <c r="P51" s="9259"/>
      <c r="Q51" s="9259"/>
      <c r="R51" s="716"/>
      <c r="S51" s="716"/>
      <c r="T51" s="716"/>
      <c r="U51" s="716"/>
      <c r="V51" s="716"/>
      <c r="W51" s="716"/>
      <c r="X51" s="716"/>
      <c r="Y51" s="716"/>
      <c r="Z51" s="716"/>
      <c r="AA51" s="2730">
        <v>1</v>
      </c>
    </row>
    <row r="52" spans="1:27" s="5229" customFormat="1" ht="21" customHeight="1">
      <c r="A52" s="5236"/>
      <c r="B52" s="9259"/>
      <c r="C52" s="9259"/>
      <c r="D52" s="9259"/>
      <c r="E52" s="9259"/>
      <c r="F52" s="9259"/>
      <c r="G52" s="9259"/>
      <c r="H52" s="9259"/>
      <c r="I52" s="9259"/>
      <c r="J52" s="9259"/>
      <c r="K52" s="9259"/>
      <c r="L52" s="9259"/>
      <c r="M52" s="9259"/>
      <c r="N52" s="9259"/>
      <c r="O52" s="9259"/>
      <c r="P52" s="9259"/>
      <c r="Q52" s="9259"/>
      <c r="R52" s="716"/>
      <c r="S52" s="716"/>
      <c r="T52" s="716"/>
      <c r="U52" s="716"/>
      <c r="V52" s="716"/>
      <c r="W52" s="716"/>
      <c r="X52" s="716"/>
      <c r="Y52" s="716"/>
      <c r="Z52" s="716"/>
      <c r="AA52" s="2730">
        <v>1</v>
      </c>
    </row>
    <row r="53" spans="1:27" s="5229" customFormat="1" ht="21" customHeight="1" thickBot="1">
      <c r="A53" s="716"/>
      <c r="B53" s="716"/>
      <c r="C53" s="716"/>
      <c r="D53" s="716"/>
      <c r="E53" s="716"/>
      <c r="F53" s="716"/>
      <c r="G53" s="716"/>
      <c r="H53" s="716"/>
      <c r="I53" s="716"/>
      <c r="J53" s="716"/>
      <c r="K53" s="716"/>
      <c r="L53" s="716"/>
      <c r="M53" s="716"/>
      <c r="N53" s="716"/>
      <c r="O53" s="716"/>
      <c r="P53" s="716"/>
      <c r="Q53" s="716"/>
      <c r="R53" s="716"/>
      <c r="S53" s="716"/>
      <c r="T53" s="716"/>
      <c r="U53" s="716"/>
      <c r="V53" s="716"/>
      <c r="W53" s="716"/>
      <c r="X53" s="716"/>
      <c r="Y53" s="716"/>
      <c r="Z53" s="716"/>
      <c r="AA53" s="2730">
        <v>1</v>
      </c>
    </row>
    <row r="54" spans="1:27" s="5229" customFormat="1" ht="21" customHeight="1">
      <c r="A54" s="5446" t="s">
        <v>67</v>
      </c>
      <c r="B54" s="9812" t="s">
        <v>148</v>
      </c>
      <c r="C54" s="9813"/>
      <c r="D54" s="9813"/>
      <c r="E54" s="9813"/>
      <c r="F54" s="9813"/>
      <c r="G54" s="9814"/>
      <c r="H54" s="716"/>
      <c r="I54" s="5447" t="s">
        <v>67</v>
      </c>
      <c r="J54" s="9818" t="s">
        <v>1641</v>
      </c>
      <c r="K54" s="9819"/>
      <c r="L54" s="9819"/>
      <c r="M54" s="9819"/>
      <c r="N54" s="9819"/>
      <c r="O54" s="9820"/>
      <c r="P54" s="716"/>
      <c r="Q54" s="716"/>
      <c r="R54" s="716"/>
      <c r="S54" s="716"/>
      <c r="T54" s="716"/>
      <c r="U54" s="716"/>
      <c r="V54" s="716"/>
      <c r="W54" s="716"/>
      <c r="X54" s="716"/>
      <c r="Y54" s="716"/>
      <c r="Z54" s="716"/>
      <c r="AA54" s="2730">
        <v>1</v>
      </c>
    </row>
    <row r="55" spans="1:27" s="5229" customFormat="1" ht="21" customHeight="1">
      <c r="A55" s="9344" t="str">
        <f>B54</f>
        <v>LIAISON AU TAPIOCA</v>
      </c>
      <c r="B55" s="9815"/>
      <c r="C55" s="9816"/>
      <c r="D55" s="9816"/>
      <c r="E55" s="9816"/>
      <c r="F55" s="9816"/>
      <c r="G55" s="9817"/>
      <c r="H55" s="716"/>
      <c r="I55" s="9186" t="str">
        <f>J54</f>
        <v>Gastro Norm</v>
      </c>
      <c r="J55" s="5448" t="s">
        <v>1283</v>
      </c>
      <c r="K55" s="9821" t="s">
        <v>1642</v>
      </c>
      <c r="L55" s="9821"/>
      <c r="M55" s="9821"/>
      <c r="N55" s="9821"/>
      <c r="O55" s="9822"/>
      <c r="P55" s="716"/>
      <c r="Q55" s="716"/>
      <c r="R55" s="716"/>
      <c r="S55" s="716"/>
      <c r="T55" s="716"/>
      <c r="U55" s="716"/>
      <c r="V55" s="716"/>
      <c r="W55" s="716"/>
      <c r="X55" s="716"/>
      <c r="Y55" s="716"/>
      <c r="Z55" s="716"/>
      <c r="AA55" s="2730">
        <v>1</v>
      </c>
    </row>
    <row r="56" spans="1:27" s="5229" customFormat="1" ht="21" customHeight="1">
      <c r="A56" s="9344"/>
      <c r="B56" s="5449" t="str">
        <f>ADDRESS(ROW(),COLUMN(),4)</f>
        <v>B56</v>
      </c>
      <c r="C56" s="5250" t="s">
        <v>14788</v>
      </c>
      <c r="D56" s="5450"/>
      <c r="E56" s="5451"/>
      <c r="F56" s="5452"/>
      <c r="G56" s="5453"/>
      <c r="H56" s="716"/>
      <c r="I56" s="9186"/>
      <c r="J56" s="5454" t="str">
        <f>ADDRESS(ROW(),COLUMN(),4)</f>
        <v>J56</v>
      </c>
      <c r="K56" s="5250" t="s">
        <v>14788</v>
      </c>
      <c r="L56" s="5450"/>
      <c r="M56" s="5450"/>
      <c r="N56" s="5450"/>
      <c r="O56" s="5455"/>
      <c r="P56" s="716"/>
      <c r="Q56" s="716"/>
      <c r="R56" s="716"/>
      <c r="S56" s="716"/>
      <c r="T56" s="716"/>
      <c r="U56" s="716"/>
      <c r="V56" s="716"/>
      <c r="W56" s="716"/>
      <c r="X56" s="716"/>
      <c r="Y56" s="716"/>
      <c r="Z56" s="716"/>
      <c r="AA56" s="2730">
        <v>1</v>
      </c>
    </row>
    <row r="57" spans="1:27" s="5229" customFormat="1" ht="21" customHeight="1">
      <c r="A57" s="9344"/>
      <c r="B57" s="9823" t="s">
        <v>150</v>
      </c>
      <c r="C57" s="9824"/>
      <c r="D57" s="9824"/>
      <c r="E57" s="9824"/>
      <c r="F57" s="9824"/>
      <c r="G57" s="9825"/>
      <c r="H57" s="716"/>
      <c r="I57" s="9186"/>
      <c r="J57" s="9826" t="s">
        <v>1643</v>
      </c>
      <c r="K57" s="9827"/>
      <c r="L57" s="9827"/>
      <c r="M57" s="9827"/>
      <c r="N57" s="9827"/>
      <c r="O57" s="9828"/>
      <c r="P57" s="716"/>
      <c r="Q57" s="716"/>
      <c r="R57" s="716"/>
      <c r="S57" s="716"/>
      <c r="T57" s="716"/>
      <c r="U57" s="716"/>
      <c r="V57" s="716"/>
      <c r="W57" s="716"/>
      <c r="X57" s="716"/>
      <c r="Y57" s="716"/>
      <c r="Z57" s="716"/>
      <c r="AA57" s="2730">
        <v>1</v>
      </c>
    </row>
    <row r="58" spans="1:27" s="5229" customFormat="1" ht="21" customHeight="1">
      <c r="A58" s="9344"/>
      <c r="B58" s="9823"/>
      <c r="C58" s="9824"/>
      <c r="D58" s="9824"/>
      <c r="E58" s="9824"/>
      <c r="F58" s="9824"/>
      <c r="G58" s="9825"/>
      <c r="H58" s="716"/>
      <c r="I58" s="9186"/>
      <c r="J58" s="9826"/>
      <c r="K58" s="9827"/>
      <c r="L58" s="9827"/>
      <c r="M58" s="9827"/>
      <c r="N58" s="9827"/>
      <c r="O58" s="9828"/>
      <c r="P58" s="716"/>
      <c r="Q58" s="716"/>
      <c r="R58" s="716"/>
      <c r="S58" s="716"/>
      <c r="T58" s="716"/>
      <c r="U58" s="716"/>
      <c r="V58" s="716"/>
      <c r="W58" s="716"/>
      <c r="X58" s="716"/>
      <c r="Y58" s="716"/>
      <c r="Z58" s="716"/>
      <c r="AA58" s="2730">
        <v>1</v>
      </c>
    </row>
    <row r="59" spans="1:27" s="5229" customFormat="1" ht="21" customHeight="1">
      <c r="A59" s="9344"/>
      <c r="B59" s="5456" t="s">
        <v>151</v>
      </c>
      <c r="C59" s="9829" t="s">
        <v>152</v>
      </c>
      <c r="D59" s="9829"/>
      <c r="E59" s="9829"/>
      <c r="F59" s="9829"/>
      <c r="G59" s="9830"/>
      <c r="H59" s="716"/>
      <c r="I59" s="9186"/>
      <c r="J59" s="9826"/>
      <c r="K59" s="9827"/>
      <c r="L59" s="9827"/>
      <c r="M59" s="9827"/>
      <c r="N59" s="9827"/>
      <c r="O59" s="9828"/>
      <c r="P59" s="716"/>
      <c r="Q59" s="716"/>
      <c r="R59" s="716"/>
      <c r="S59" s="716"/>
      <c r="T59" s="716"/>
      <c r="U59" s="716"/>
      <c r="V59" s="716"/>
      <c r="W59" s="716"/>
      <c r="X59" s="716"/>
      <c r="Y59" s="716"/>
      <c r="Z59" s="716"/>
      <c r="AA59" s="2730">
        <v>1</v>
      </c>
    </row>
    <row r="60" spans="1:27" s="5229" customFormat="1" ht="21" customHeight="1">
      <c r="A60" s="9344"/>
      <c r="B60" s="5456" t="s">
        <v>151</v>
      </c>
      <c r="C60" s="9829" t="s">
        <v>153</v>
      </c>
      <c r="D60" s="9829"/>
      <c r="E60" s="9829"/>
      <c r="F60" s="9829"/>
      <c r="G60" s="9830"/>
      <c r="H60" s="716"/>
      <c r="I60" s="9186"/>
      <c r="J60" s="5458"/>
      <c r="K60" s="5459"/>
      <c r="L60" s="5459"/>
      <c r="M60" s="5459"/>
      <c r="N60" s="5459"/>
      <c r="O60" s="5362"/>
      <c r="P60" s="716"/>
      <c r="Q60" s="716"/>
      <c r="R60" s="716"/>
      <c r="S60" s="716"/>
      <c r="T60" s="716"/>
      <c r="U60" s="716"/>
      <c r="V60" s="716"/>
      <c r="W60" s="716"/>
      <c r="X60" s="716"/>
      <c r="Y60" s="716"/>
      <c r="Z60" s="716"/>
      <c r="AA60" s="2730">
        <v>1</v>
      </c>
    </row>
    <row r="61" spans="1:27" s="5229" customFormat="1" ht="21" customHeight="1">
      <c r="A61" s="9344"/>
      <c r="B61" s="5456" t="s">
        <v>151</v>
      </c>
      <c r="C61" s="9829" t="s">
        <v>154</v>
      </c>
      <c r="D61" s="9829"/>
      <c r="E61" s="9829"/>
      <c r="F61" s="9829"/>
      <c r="G61" s="9830"/>
      <c r="H61" s="716"/>
      <c r="I61" s="9186"/>
      <c r="J61" s="5458"/>
      <c r="K61" s="5459"/>
      <c r="L61" s="5459"/>
      <c r="M61" s="5459"/>
      <c r="N61" s="5459"/>
      <c r="O61" s="5362"/>
      <c r="P61" s="716"/>
      <c r="Q61" s="716"/>
      <c r="R61" s="716"/>
      <c r="S61" s="716"/>
      <c r="T61" s="716"/>
      <c r="U61" s="716"/>
      <c r="V61" s="716"/>
      <c r="W61" s="716"/>
      <c r="X61" s="716"/>
      <c r="Y61" s="716"/>
      <c r="Z61" s="716"/>
      <c r="AA61" s="2730">
        <v>1</v>
      </c>
    </row>
    <row r="62" spans="1:27" s="5229" customFormat="1" ht="21" customHeight="1">
      <c r="A62" s="9344"/>
      <c r="B62" s="5456" t="s">
        <v>155</v>
      </c>
      <c r="C62" s="9829" t="s">
        <v>156</v>
      </c>
      <c r="D62" s="9829"/>
      <c r="E62" s="9829"/>
      <c r="F62" s="9829"/>
      <c r="G62" s="9830"/>
      <c r="H62" s="716"/>
      <c r="I62" s="9186"/>
      <c r="J62" s="5458"/>
      <c r="K62" s="5459"/>
      <c r="L62" s="5459"/>
      <c r="M62" s="5459"/>
      <c r="N62" s="5459"/>
      <c r="O62" s="5362"/>
      <c r="P62" s="716"/>
      <c r="Q62" s="716"/>
      <c r="R62" s="716"/>
      <c r="S62" s="716"/>
      <c r="T62" s="716"/>
      <c r="U62" s="716"/>
      <c r="V62" s="716"/>
      <c r="W62" s="716"/>
      <c r="X62" s="716"/>
      <c r="Y62" s="716"/>
      <c r="Z62" s="716"/>
      <c r="AA62" s="2730">
        <v>1</v>
      </c>
    </row>
    <row r="63" spans="1:27" s="5229" customFormat="1" ht="21" customHeight="1">
      <c r="A63" s="9344"/>
      <c r="B63" s="5456" t="s">
        <v>157</v>
      </c>
      <c r="C63" s="9829" t="s">
        <v>158</v>
      </c>
      <c r="D63" s="9829"/>
      <c r="E63" s="9829"/>
      <c r="F63" s="9829"/>
      <c r="G63" s="9830"/>
      <c r="H63" s="716"/>
      <c r="I63" s="9186"/>
      <c r="J63" s="5458"/>
      <c r="K63" s="5459"/>
      <c r="L63" s="5459"/>
      <c r="M63" s="5459"/>
      <c r="N63" s="5459"/>
      <c r="O63" s="5362"/>
      <c r="P63" s="716"/>
      <c r="Q63" s="716"/>
      <c r="R63" s="716"/>
      <c r="S63" s="716"/>
      <c r="T63" s="716"/>
      <c r="U63" s="716"/>
      <c r="V63" s="716"/>
      <c r="W63" s="716"/>
      <c r="X63" s="716"/>
      <c r="Y63" s="716"/>
      <c r="Z63" s="716"/>
      <c r="AA63" s="2730">
        <v>1</v>
      </c>
    </row>
    <row r="64" spans="1:27" s="5229" customFormat="1" ht="21" customHeight="1">
      <c r="A64" s="9344"/>
      <c r="B64" s="5456" t="s">
        <v>163</v>
      </c>
      <c r="C64" s="9829" t="s">
        <v>164</v>
      </c>
      <c r="D64" s="9829"/>
      <c r="E64" s="9829"/>
      <c r="F64" s="9829"/>
      <c r="G64" s="9830"/>
      <c r="H64" s="716"/>
      <c r="I64" s="9186"/>
      <c r="J64" s="5458"/>
      <c r="K64" s="5459"/>
      <c r="L64" s="5459"/>
      <c r="M64" s="5459"/>
      <c r="N64" s="5459"/>
      <c r="O64" s="5362"/>
      <c r="P64" s="716"/>
      <c r="Q64" s="716"/>
      <c r="R64" s="716"/>
      <c r="S64" s="716"/>
      <c r="T64" s="716"/>
      <c r="U64" s="716"/>
      <c r="V64" s="716"/>
      <c r="W64" s="716"/>
      <c r="X64" s="716"/>
      <c r="Y64" s="716"/>
      <c r="Z64" s="716"/>
      <c r="AA64" s="2730">
        <v>1</v>
      </c>
    </row>
    <row r="65" spans="1:27" s="5229" customFormat="1" ht="21" customHeight="1">
      <c r="A65" s="9344"/>
      <c r="B65" s="5456" t="s">
        <v>163</v>
      </c>
      <c r="C65" s="9829" t="s">
        <v>165</v>
      </c>
      <c r="D65" s="9829"/>
      <c r="E65" s="9829"/>
      <c r="F65" s="9829"/>
      <c r="G65" s="9830"/>
      <c r="H65" s="716"/>
      <c r="I65" s="9186"/>
      <c r="J65" s="5458"/>
      <c r="K65" s="5459"/>
      <c r="L65" s="5459"/>
      <c r="M65" s="5459"/>
      <c r="N65" s="5459"/>
      <c r="O65" s="5362"/>
      <c r="P65" s="716"/>
      <c r="Q65" s="716"/>
      <c r="R65" s="716"/>
      <c r="S65" s="716"/>
      <c r="T65" s="716"/>
      <c r="U65" s="716"/>
      <c r="V65" s="716"/>
      <c r="W65" s="716"/>
      <c r="X65" s="716"/>
      <c r="Y65" s="716"/>
      <c r="Z65" s="716"/>
      <c r="AA65" s="2730">
        <v>1</v>
      </c>
    </row>
    <row r="66" spans="1:27" s="5229" customFormat="1" ht="21" customHeight="1">
      <c r="A66" s="9344"/>
      <c r="B66" s="9823" t="s">
        <v>168</v>
      </c>
      <c r="C66" s="9824" t="s">
        <v>169</v>
      </c>
      <c r="D66" s="9824"/>
      <c r="E66" s="9824"/>
      <c r="F66" s="9824"/>
      <c r="G66" s="9825"/>
      <c r="H66" s="716"/>
      <c r="I66" s="9186"/>
      <c r="J66" s="5458"/>
      <c r="K66" s="5459"/>
      <c r="L66" s="5459"/>
      <c r="M66" s="5459"/>
      <c r="N66" s="5459"/>
      <c r="O66" s="5362"/>
      <c r="P66" s="716"/>
      <c r="Q66" s="716"/>
      <c r="R66" s="716"/>
      <c r="S66" s="716"/>
      <c r="T66" s="716"/>
      <c r="U66" s="716"/>
      <c r="V66" s="716"/>
      <c r="W66" s="716"/>
      <c r="X66" s="716"/>
      <c r="Y66" s="716"/>
      <c r="Z66" s="716"/>
      <c r="AA66" s="2730">
        <v>1</v>
      </c>
    </row>
    <row r="67" spans="1:27" s="5229" customFormat="1" ht="21" customHeight="1">
      <c r="A67" s="9344"/>
      <c r="B67" s="9823"/>
      <c r="C67" s="9824"/>
      <c r="D67" s="9824"/>
      <c r="E67" s="9824"/>
      <c r="F67" s="9824"/>
      <c r="G67" s="9825"/>
      <c r="H67" s="716"/>
      <c r="I67" s="9186"/>
      <c r="J67" s="5458"/>
      <c r="K67" s="5459"/>
      <c r="L67" s="5459"/>
      <c r="M67" s="5459"/>
      <c r="N67" s="5459"/>
      <c r="O67" s="5362"/>
      <c r="P67" s="716"/>
      <c r="Q67" s="716"/>
      <c r="R67" s="716"/>
      <c r="S67" s="716"/>
      <c r="T67" s="716"/>
      <c r="U67" s="716"/>
      <c r="V67" s="716"/>
      <c r="W67" s="716"/>
      <c r="X67" s="716"/>
      <c r="Y67" s="716"/>
      <c r="Z67" s="716"/>
      <c r="AA67" s="2730">
        <v>1</v>
      </c>
    </row>
    <row r="68" spans="1:27" s="5229" customFormat="1" ht="21" customHeight="1">
      <c r="A68" s="9344"/>
      <c r="B68" s="9823" t="s">
        <v>178</v>
      </c>
      <c r="C68" s="9824" t="s">
        <v>179</v>
      </c>
      <c r="D68" s="9824"/>
      <c r="E68" s="9824"/>
      <c r="F68" s="9824"/>
      <c r="G68" s="9825"/>
      <c r="H68" s="716"/>
      <c r="I68" s="9186"/>
      <c r="J68" s="5458"/>
      <c r="K68" s="5459"/>
      <c r="L68" s="5459"/>
      <c r="M68" s="5459"/>
      <c r="N68" s="5459"/>
      <c r="O68" s="5362"/>
      <c r="P68" s="716"/>
      <c r="Q68" s="716"/>
      <c r="R68" s="716"/>
      <c r="S68" s="716"/>
      <c r="T68" s="716"/>
      <c r="U68" s="716"/>
      <c r="V68" s="716"/>
      <c r="W68" s="716"/>
      <c r="X68" s="716"/>
      <c r="Y68" s="716"/>
      <c r="Z68" s="716"/>
      <c r="AA68" s="2730">
        <v>1</v>
      </c>
    </row>
    <row r="69" spans="1:27" s="5229" customFormat="1" ht="21" customHeight="1">
      <c r="A69" s="9344"/>
      <c r="B69" s="9831"/>
      <c r="C69" s="9832"/>
      <c r="D69" s="9832"/>
      <c r="E69" s="9832"/>
      <c r="F69" s="9832"/>
      <c r="G69" s="9833"/>
      <c r="H69" s="716"/>
      <c r="I69" s="9186"/>
      <c r="J69" s="5458"/>
      <c r="K69" s="5459"/>
      <c r="L69" s="5459"/>
      <c r="M69" s="5459"/>
      <c r="N69" s="5459"/>
      <c r="O69" s="5362"/>
      <c r="P69" s="716"/>
      <c r="Q69" s="716"/>
      <c r="R69" s="716"/>
      <c r="S69" s="716"/>
      <c r="T69" s="716"/>
      <c r="U69" s="716"/>
      <c r="V69" s="716"/>
      <c r="W69" s="716"/>
      <c r="X69" s="716"/>
      <c r="Y69" s="716"/>
      <c r="Z69" s="716"/>
      <c r="AA69" s="2730">
        <v>1</v>
      </c>
    </row>
    <row r="70" spans="1:27" s="5229" customFormat="1" ht="21" customHeight="1" thickBot="1">
      <c r="A70" s="716"/>
      <c r="B70" s="716"/>
      <c r="C70" s="716"/>
      <c r="D70" s="716"/>
      <c r="E70" s="716"/>
      <c r="F70" s="716"/>
      <c r="G70" s="716"/>
      <c r="H70" s="716"/>
      <c r="I70" s="9186"/>
      <c r="J70" s="5458"/>
      <c r="K70" s="5459"/>
      <c r="L70" s="5459"/>
      <c r="M70" s="5459"/>
      <c r="N70" s="5459"/>
      <c r="O70" s="5362"/>
      <c r="P70" s="716"/>
      <c r="Q70" s="716"/>
      <c r="R70" s="716"/>
      <c r="S70" s="716"/>
      <c r="T70" s="716"/>
      <c r="U70" s="716"/>
      <c r="V70" s="716"/>
      <c r="W70" s="716"/>
      <c r="X70" s="716"/>
      <c r="Y70" s="716"/>
      <c r="Z70" s="716"/>
      <c r="AA70" s="2730">
        <v>1</v>
      </c>
    </row>
    <row r="71" spans="1:27" s="5229" customFormat="1" ht="21" customHeight="1">
      <c r="A71" s="5446" t="s">
        <v>67</v>
      </c>
      <c r="B71" s="9834" t="s">
        <v>159</v>
      </c>
      <c r="C71" s="9835"/>
      <c r="D71" s="9838" t="s">
        <v>160</v>
      </c>
      <c r="E71" s="9838"/>
      <c r="F71" s="9840" t="s">
        <v>161</v>
      </c>
      <c r="G71" s="9842" t="s">
        <v>162</v>
      </c>
      <c r="H71" s="716"/>
      <c r="I71" s="9186"/>
      <c r="J71" s="5361"/>
      <c r="K71" s="5230"/>
      <c r="L71" s="5230"/>
      <c r="M71" s="5230"/>
      <c r="N71" s="5230"/>
      <c r="O71" s="5362"/>
      <c r="P71" s="716"/>
      <c r="Q71" s="716"/>
      <c r="R71" s="716"/>
      <c r="S71" s="716"/>
      <c r="T71" s="716"/>
      <c r="U71" s="716"/>
      <c r="V71" s="716"/>
      <c r="W71" s="716"/>
      <c r="X71" s="716"/>
      <c r="Y71" s="716"/>
      <c r="Z71" s="716"/>
      <c r="AA71" s="2730">
        <v>1</v>
      </c>
    </row>
    <row r="72" spans="1:27" s="5229" customFormat="1" ht="21" customHeight="1">
      <c r="A72" s="9344" t="str">
        <f>B71</f>
        <v>SERVICE DES SAUCES</v>
      </c>
      <c r="B72" s="9836"/>
      <c r="C72" s="9837"/>
      <c r="D72" s="9839"/>
      <c r="E72" s="9839"/>
      <c r="F72" s="9841"/>
      <c r="G72" s="9843"/>
      <c r="H72" s="716"/>
      <c r="I72" s="9186"/>
      <c r="J72" s="5361"/>
      <c r="K72" s="5230"/>
      <c r="L72" s="5230"/>
      <c r="M72" s="5230"/>
      <c r="N72" s="5230"/>
      <c r="O72" s="5362"/>
      <c r="P72" s="716"/>
      <c r="Q72" s="716"/>
      <c r="R72" s="716"/>
      <c r="S72" s="716"/>
      <c r="T72" s="716"/>
      <c r="U72" s="716"/>
      <c r="V72" s="716"/>
      <c r="W72" s="716"/>
      <c r="X72" s="716"/>
      <c r="Y72" s="716"/>
      <c r="Z72" s="716"/>
      <c r="AA72" s="2730">
        <v>1</v>
      </c>
    </row>
    <row r="73" spans="1:27" s="5229" customFormat="1" ht="21" customHeight="1">
      <c r="A73" s="9344"/>
      <c r="B73" s="5375" t="str">
        <f>ADDRESS(ROW(),COLUMN(),4)</f>
        <v>B73</v>
      </c>
      <c r="C73" s="5250" t="s">
        <v>14788</v>
      </c>
      <c r="D73" s="5450"/>
      <c r="E73" s="5451"/>
      <c r="F73" s="5451"/>
      <c r="G73" s="5460"/>
      <c r="H73" s="716"/>
      <c r="I73" s="9186"/>
      <c r="J73" s="5361"/>
      <c r="K73" s="5230"/>
      <c r="L73" s="5230"/>
      <c r="M73" s="5230"/>
      <c r="N73" s="5230"/>
      <c r="O73" s="5362"/>
      <c r="P73" s="716"/>
      <c r="Q73" s="716"/>
      <c r="R73" s="716"/>
      <c r="S73" s="716"/>
      <c r="T73" s="716"/>
      <c r="U73" s="716"/>
      <c r="V73" s="716"/>
      <c r="W73" s="716"/>
      <c r="X73" s="716"/>
      <c r="Y73" s="716"/>
      <c r="Z73" s="716"/>
      <c r="AA73" s="2730">
        <v>1</v>
      </c>
    </row>
    <row r="74" spans="1:27" s="5229" customFormat="1" ht="21" customHeight="1">
      <c r="A74" s="9344"/>
      <c r="B74" s="9801" t="s">
        <v>166</v>
      </c>
      <c r="C74" s="9802"/>
      <c r="D74" s="5461" t="s">
        <v>167</v>
      </c>
      <c r="E74" s="5461"/>
      <c r="F74" s="5462"/>
      <c r="G74" s="5463"/>
      <c r="H74" s="716"/>
      <c r="I74" s="9186"/>
      <c r="J74" s="9803" t="s">
        <v>1644</v>
      </c>
      <c r="K74" s="9804"/>
      <c r="L74" s="9804"/>
      <c r="M74" s="9804"/>
      <c r="N74" s="9804"/>
      <c r="O74" s="5362"/>
      <c r="P74" s="716"/>
      <c r="Q74" s="716"/>
      <c r="R74" s="716"/>
      <c r="S74" s="716"/>
      <c r="T74" s="716"/>
      <c r="U74" s="716"/>
      <c r="V74" s="716"/>
      <c r="W74" s="716"/>
      <c r="X74" s="716"/>
      <c r="Y74" s="716"/>
      <c r="Z74" s="716"/>
      <c r="AA74" s="2730">
        <v>1</v>
      </c>
    </row>
    <row r="75" spans="1:27" s="5229" customFormat="1" ht="21" customHeight="1">
      <c r="A75" s="9344"/>
      <c r="B75" s="9807" t="s">
        <v>170</v>
      </c>
      <c r="C75" s="9808"/>
      <c r="D75" s="5465" t="s">
        <v>171</v>
      </c>
      <c r="E75" s="5465"/>
      <c r="F75" s="5464" t="s">
        <v>172</v>
      </c>
      <c r="G75" s="5466" t="s">
        <v>173</v>
      </c>
      <c r="H75" s="716"/>
      <c r="I75" s="9186"/>
      <c r="J75" s="9803"/>
      <c r="K75" s="9804"/>
      <c r="L75" s="9804"/>
      <c r="M75" s="9804"/>
      <c r="N75" s="9804"/>
      <c r="O75" s="5362"/>
      <c r="P75" s="716"/>
      <c r="Q75" s="716"/>
      <c r="R75" s="716"/>
      <c r="S75" s="716"/>
      <c r="T75" s="716"/>
      <c r="U75" s="716"/>
      <c r="V75" s="716"/>
      <c r="W75" s="716"/>
      <c r="X75" s="716"/>
      <c r="Y75" s="716"/>
      <c r="Z75" s="716"/>
      <c r="AA75" s="2730">
        <v>1</v>
      </c>
    </row>
    <row r="76" spans="1:27" s="5229" customFormat="1" ht="21" customHeight="1" thickBot="1">
      <c r="A76" s="9344"/>
      <c r="B76" s="9807" t="s">
        <v>174</v>
      </c>
      <c r="C76" s="9808"/>
      <c r="D76" s="5465" t="s">
        <v>175</v>
      </c>
      <c r="E76" s="5465"/>
      <c r="F76" s="5464" t="s">
        <v>176</v>
      </c>
      <c r="G76" s="5466" t="s">
        <v>177</v>
      </c>
      <c r="H76" s="716"/>
      <c r="I76" s="9186"/>
      <c r="J76" s="9805"/>
      <c r="K76" s="9806"/>
      <c r="L76" s="9806"/>
      <c r="M76" s="9806"/>
      <c r="N76" s="9806"/>
      <c r="O76" s="5467"/>
      <c r="P76" s="716"/>
      <c r="Q76" s="716"/>
      <c r="R76" s="716"/>
      <c r="S76" s="716"/>
      <c r="T76" s="716"/>
      <c r="U76" s="716"/>
      <c r="V76" s="716"/>
      <c r="W76" s="716"/>
      <c r="X76" s="716"/>
      <c r="Y76" s="716"/>
      <c r="Z76" s="716"/>
      <c r="AA76" s="2730">
        <v>1</v>
      </c>
    </row>
    <row r="77" spans="1:27" s="5229" customFormat="1" ht="21" customHeight="1">
      <c r="A77" s="9344"/>
      <c r="B77" s="9807" t="s">
        <v>180</v>
      </c>
      <c r="C77" s="9808"/>
      <c r="D77" s="5465" t="s">
        <v>181</v>
      </c>
      <c r="E77" s="5465"/>
      <c r="F77" s="5464" t="s">
        <v>182</v>
      </c>
      <c r="G77" s="5466" t="s">
        <v>183</v>
      </c>
      <c r="H77" s="716"/>
      <c r="I77" s="716"/>
      <c r="J77" s="716"/>
      <c r="K77" s="716"/>
      <c r="L77" s="716"/>
      <c r="M77" s="716"/>
      <c r="N77" s="716"/>
      <c r="O77" s="716"/>
      <c r="P77" s="716"/>
      <c r="Q77" s="716"/>
      <c r="R77" s="716"/>
      <c r="S77" s="716"/>
      <c r="T77" s="716"/>
      <c r="U77" s="716"/>
      <c r="V77" s="716"/>
      <c r="W77" s="716"/>
      <c r="X77" s="716"/>
      <c r="Y77" s="716"/>
      <c r="Z77" s="716"/>
      <c r="AA77" s="2730">
        <v>1</v>
      </c>
    </row>
    <row r="78" spans="1:27" s="5229" customFormat="1" ht="21" customHeight="1" thickBot="1">
      <c r="A78" s="9344"/>
      <c r="B78" s="9809" t="s">
        <v>184</v>
      </c>
      <c r="C78" s="9810"/>
      <c r="D78" s="5469" t="s">
        <v>185</v>
      </c>
      <c r="E78" s="5469"/>
      <c r="F78" s="5468" t="s">
        <v>186</v>
      </c>
      <c r="G78" s="5470" t="s">
        <v>187</v>
      </c>
      <c r="H78" s="716"/>
      <c r="I78" s="716"/>
      <c r="J78" s="716"/>
      <c r="K78" s="716"/>
      <c r="L78" s="716"/>
      <c r="M78" s="716"/>
      <c r="N78" s="716"/>
      <c r="O78" s="716"/>
      <c r="P78" s="716"/>
      <c r="Q78" s="716"/>
      <c r="R78" s="716"/>
      <c r="S78" s="716"/>
      <c r="T78" s="716"/>
      <c r="U78" s="716"/>
      <c r="V78" s="716"/>
      <c r="W78" s="716"/>
      <c r="X78" s="716"/>
      <c r="Y78" s="716"/>
      <c r="Z78" s="716"/>
      <c r="AA78" s="2730">
        <v>1</v>
      </c>
    </row>
    <row r="79" spans="1:27" s="5229" customFormat="1" ht="21" customHeight="1">
      <c r="A79" s="716"/>
      <c r="B79" s="716"/>
      <c r="C79" s="716"/>
      <c r="D79" s="716"/>
      <c r="E79" s="716"/>
      <c r="F79" s="716"/>
      <c r="G79" s="716"/>
      <c r="H79" s="716"/>
      <c r="I79" s="716"/>
      <c r="J79" s="716"/>
      <c r="K79" s="716"/>
      <c r="L79" s="716"/>
      <c r="M79" s="716"/>
      <c r="N79" s="716"/>
      <c r="O79" s="716"/>
      <c r="P79" s="716"/>
      <c r="Q79" s="716"/>
      <c r="R79" s="716"/>
      <c r="S79" s="716"/>
      <c r="T79" s="716"/>
      <c r="U79" s="716"/>
      <c r="V79" s="716"/>
      <c r="W79" s="716"/>
      <c r="X79" s="716"/>
      <c r="Y79" s="716"/>
      <c r="Z79" s="716"/>
      <c r="AA79" s="2730">
        <v>1</v>
      </c>
    </row>
    <row r="80" spans="1:27" s="5229" customFormat="1" ht="21" customHeight="1">
      <c r="A80" s="5230"/>
      <c r="B80" s="5471"/>
      <c r="C80" s="5472" t="s">
        <v>143</v>
      </c>
      <c r="D80" s="5230"/>
      <c r="E80" s="5471"/>
      <c r="F80" s="5471"/>
      <c r="G80" s="5230"/>
      <c r="H80" s="5230"/>
      <c r="I80" s="5230"/>
      <c r="J80" s="5230"/>
      <c r="K80" s="5230"/>
      <c r="L80" s="9782" t="s">
        <v>4</v>
      </c>
      <c r="M80" s="9783"/>
      <c r="N80" s="9783"/>
      <c r="O80" s="9784"/>
      <c r="P80" s="716"/>
      <c r="Q80" s="716"/>
      <c r="R80" s="716"/>
      <c r="S80" s="716"/>
      <c r="T80" s="716"/>
      <c r="U80" s="716"/>
      <c r="V80" s="716"/>
      <c r="W80" s="716"/>
      <c r="X80" s="716"/>
      <c r="Y80" s="716"/>
      <c r="Z80" s="716"/>
      <c r="AA80" s="2730">
        <v>1</v>
      </c>
    </row>
    <row r="81" spans="1:27" s="5229" customFormat="1" ht="21" customHeight="1">
      <c r="A81" s="5230"/>
      <c r="B81" s="5471"/>
      <c r="C81" s="5472"/>
      <c r="D81" s="5230"/>
      <c r="E81" s="5471"/>
      <c r="F81" s="5471"/>
      <c r="G81" s="5230"/>
      <c r="H81" s="5230"/>
      <c r="I81" s="5230"/>
      <c r="J81" s="5230"/>
      <c r="K81" s="5230"/>
      <c r="L81" s="9785"/>
      <c r="M81" s="9786"/>
      <c r="N81" s="9786"/>
      <c r="O81" s="9787"/>
      <c r="P81" s="716"/>
      <c r="Q81" s="716"/>
      <c r="R81" s="716"/>
      <c r="S81" s="716"/>
      <c r="T81" s="716"/>
      <c r="U81" s="716"/>
      <c r="V81" s="716"/>
      <c r="W81" s="716"/>
      <c r="X81" s="716"/>
      <c r="Y81" s="716"/>
      <c r="Z81" s="716"/>
      <c r="AA81" s="2730">
        <v>1</v>
      </c>
    </row>
    <row r="82" spans="1:27" s="5229" customFormat="1" ht="21" customHeight="1">
      <c r="A82" s="5230"/>
      <c r="B82" s="5473" t="s">
        <v>1283</v>
      </c>
      <c r="C82" s="5474" t="s">
        <v>144</v>
      </c>
      <c r="D82" s="5230"/>
      <c r="E82" s="5474"/>
      <c r="F82" s="5474"/>
      <c r="G82" s="5475"/>
      <c r="H82" s="5230"/>
      <c r="I82" s="5230"/>
      <c r="J82" s="5230"/>
      <c r="K82" s="5230"/>
      <c r="L82" s="9785"/>
      <c r="M82" s="9786"/>
      <c r="N82" s="9786"/>
      <c r="O82" s="9787"/>
      <c r="P82" s="716"/>
      <c r="Q82" s="716"/>
      <c r="R82" s="716"/>
      <c r="S82" s="716"/>
      <c r="T82" s="716"/>
      <c r="U82" s="716"/>
      <c r="V82" s="716"/>
      <c r="W82" s="716"/>
      <c r="X82" s="716"/>
      <c r="Y82" s="716"/>
      <c r="Z82" s="716"/>
      <c r="AA82" s="2730">
        <v>1</v>
      </c>
    </row>
    <row r="83" spans="1:27" s="5229" customFormat="1" ht="21" customHeight="1">
      <c r="A83" s="5230"/>
      <c r="B83" s="5476"/>
      <c r="C83" s="5476"/>
      <c r="D83" s="5230"/>
      <c r="E83" s="5474"/>
      <c r="F83" s="5474"/>
      <c r="G83" s="5475"/>
      <c r="H83" s="5230"/>
      <c r="I83" s="5230"/>
      <c r="J83" s="5230"/>
      <c r="K83" s="5230"/>
      <c r="L83" s="9785"/>
      <c r="M83" s="9786"/>
      <c r="N83" s="9786"/>
      <c r="O83" s="9787"/>
      <c r="P83" s="716"/>
      <c r="Q83" s="716"/>
      <c r="R83" s="716"/>
      <c r="S83" s="716"/>
      <c r="T83" s="716"/>
      <c r="U83" s="716"/>
      <c r="V83" s="716"/>
      <c r="W83" s="716"/>
      <c r="X83" s="716"/>
      <c r="Y83" s="716"/>
      <c r="Z83" s="716"/>
      <c r="AA83" s="2730">
        <v>1</v>
      </c>
    </row>
    <row r="84" spans="1:27" s="5229" customFormat="1" ht="21" customHeight="1">
      <c r="A84" s="5230"/>
      <c r="B84" s="5473" t="s">
        <v>1283</v>
      </c>
      <c r="C84" s="9788" t="s">
        <v>14819</v>
      </c>
      <c r="D84" s="9789"/>
      <c r="E84" s="9789"/>
      <c r="F84" s="9789"/>
      <c r="G84" s="9789"/>
      <c r="H84" s="9789"/>
      <c r="I84" s="5475"/>
      <c r="J84" s="5444"/>
      <c r="K84" s="5230"/>
      <c r="L84" s="9790" t="s">
        <v>3</v>
      </c>
      <c r="M84" s="9791"/>
      <c r="N84" s="9791"/>
      <c r="O84" s="9792"/>
      <c r="P84" s="716"/>
      <c r="Q84" s="716"/>
      <c r="R84" s="716"/>
      <c r="S84" s="716"/>
      <c r="T84" s="716"/>
      <c r="U84" s="716"/>
      <c r="V84" s="716"/>
      <c r="W84" s="716"/>
      <c r="X84" s="716"/>
      <c r="Y84" s="716"/>
      <c r="Z84" s="716"/>
      <c r="AA84" s="2730">
        <v>1</v>
      </c>
    </row>
    <row r="85" spans="1:27" s="5229" customFormat="1" ht="21" customHeight="1">
      <c r="A85" s="716"/>
      <c r="B85" s="716"/>
      <c r="C85" s="716"/>
      <c r="D85" s="716"/>
      <c r="E85" s="716"/>
      <c r="F85" s="716"/>
      <c r="G85" s="716"/>
      <c r="H85" s="716"/>
      <c r="I85" s="716"/>
      <c r="J85" s="716"/>
      <c r="K85" s="716"/>
      <c r="L85" s="9790"/>
      <c r="M85" s="9791"/>
      <c r="N85" s="9791"/>
      <c r="O85" s="9792"/>
      <c r="P85" s="716"/>
      <c r="Q85" s="716"/>
      <c r="R85" s="716"/>
      <c r="S85" s="716"/>
      <c r="T85" s="716"/>
      <c r="U85" s="716"/>
      <c r="V85" s="716"/>
      <c r="W85" s="716"/>
      <c r="X85" s="716"/>
      <c r="Y85" s="716"/>
      <c r="Z85" s="716"/>
      <c r="AA85" s="2730">
        <v>1</v>
      </c>
    </row>
    <row r="86" spans="1:27" s="5229" customFormat="1" ht="21" customHeight="1">
      <c r="A86" s="5230"/>
      <c r="B86" s="5471"/>
      <c r="C86" s="5472" t="s">
        <v>146</v>
      </c>
      <c r="D86" s="716"/>
      <c r="E86" s="716"/>
      <c r="F86" s="716"/>
      <c r="G86" s="716"/>
      <c r="H86" s="716"/>
      <c r="I86" s="716"/>
      <c r="J86" s="716"/>
      <c r="K86" s="716"/>
      <c r="L86" s="9793"/>
      <c r="M86" s="9794"/>
      <c r="N86" s="9794"/>
      <c r="O86" s="9795"/>
      <c r="P86" s="716"/>
      <c r="Q86" s="716"/>
      <c r="R86" s="716"/>
      <c r="S86" s="716"/>
      <c r="T86" s="716"/>
      <c r="U86" s="716"/>
      <c r="V86" s="716"/>
      <c r="W86" s="716"/>
      <c r="X86" s="716"/>
      <c r="Y86" s="716"/>
      <c r="Z86" s="716"/>
      <c r="AA86" s="2730">
        <v>1</v>
      </c>
    </row>
    <row r="87" spans="1:27" s="5229" customFormat="1" ht="21" customHeight="1">
      <c r="A87" s="5230"/>
      <c r="B87" s="5473" t="s">
        <v>1283</v>
      </c>
      <c r="C87" s="9796" t="s">
        <v>147</v>
      </c>
      <c r="D87" s="9796"/>
      <c r="E87" s="9796"/>
      <c r="F87" s="9796"/>
      <c r="G87" s="9796"/>
      <c r="H87" s="9796"/>
      <c r="I87" s="9796"/>
      <c r="J87" s="9796"/>
      <c r="K87" s="5230"/>
      <c r="L87" s="716"/>
      <c r="M87" s="716"/>
      <c r="N87" s="716"/>
      <c r="O87" s="716"/>
      <c r="P87" s="716"/>
      <c r="Q87" s="716"/>
      <c r="R87" s="716"/>
      <c r="S87" s="716"/>
      <c r="T87" s="716"/>
      <c r="U87" s="716"/>
      <c r="V87" s="716"/>
      <c r="W87" s="716"/>
      <c r="X87" s="716"/>
      <c r="Y87" s="716"/>
      <c r="Z87" s="716"/>
      <c r="AA87" s="2730">
        <v>1</v>
      </c>
    </row>
    <row r="88" spans="1:27" s="5229" customFormat="1" ht="21" customHeight="1">
      <c r="A88" s="716"/>
      <c r="B88" s="716"/>
      <c r="C88" s="716"/>
      <c r="D88" s="716"/>
      <c r="E88" s="716"/>
      <c r="F88" s="716"/>
      <c r="G88" s="716"/>
      <c r="H88" s="716"/>
      <c r="I88" s="716"/>
      <c r="J88" s="716"/>
      <c r="K88" s="716"/>
      <c r="L88" s="716"/>
      <c r="M88" s="716"/>
      <c r="N88" s="716"/>
      <c r="O88" s="716"/>
      <c r="P88" s="716"/>
      <c r="Q88" s="716"/>
      <c r="R88" s="716"/>
      <c r="S88" s="716"/>
      <c r="T88" s="716"/>
      <c r="U88" s="716"/>
      <c r="V88" s="716"/>
      <c r="W88" s="716"/>
      <c r="X88" s="716"/>
      <c r="Y88" s="716"/>
      <c r="Z88" s="716"/>
      <c r="AA88" s="2730">
        <v>1</v>
      </c>
    </row>
    <row r="89" spans="1:27" s="5229" customFormat="1" ht="21" customHeight="1">
      <c r="A89" s="5230"/>
      <c r="B89" s="5473" t="s">
        <v>1283</v>
      </c>
      <c r="C89" s="9797" t="s">
        <v>1291</v>
      </c>
      <c r="D89" s="9797"/>
      <c r="E89" s="9797"/>
      <c r="F89" s="9797"/>
      <c r="G89" s="9797"/>
      <c r="H89" s="9797"/>
      <c r="I89" s="9797"/>
      <c r="J89" s="5444"/>
      <c r="K89" s="5444"/>
      <c r="L89" s="9798" t="s">
        <v>1281</v>
      </c>
      <c r="M89" s="9799"/>
      <c r="N89" s="9799"/>
      <c r="O89" s="9800"/>
      <c r="P89" s="716"/>
      <c r="Q89" s="716"/>
      <c r="R89" s="716"/>
      <c r="S89" s="716"/>
      <c r="T89" s="716"/>
      <c r="U89" s="716"/>
      <c r="V89" s="716"/>
      <c r="W89" s="716"/>
      <c r="X89" s="716"/>
      <c r="Y89" s="716"/>
      <c r="Z89" s="716"/>
      <c r="AA89" s="2730">
        <v>1</v>
      </c>
    </row>
    <row r="90" spans="1:27" s="5229" customFormat="1" ht="21" customHeight="1">
      <c r="A90" s="716"/>
      <c r="B90" s="716"/>
      <c r="C90" s="716"/>
      <c r="D90" s="716"/>
      <c r="E90" s="716"/>
      <c r="F90" s="716"/>
      <c r="G90" s="716"/>
      <c r="H90" s="716"/>
      <c r="I90" s="716"/>
      <c r="J90" s="716"/>
      <c r="K90" s="716"/>
      <c r="L90" s="9735" t="s">
        <v>131</v>
      </c>
      <c r="M90" s="9736"/>
      <c r="N90" s="9736"/>
      <c r="O90" s="9737"/>
      <c r="P90" s="716"/>
      <c r="Q90" s="716"/>
      <c r="R90" s="716"/>
      <c r="S90" s="716"/>
      <c r="T90" s="716"/>
      <c r="U90" s="716"/>
      <c r="V90" s="716"/>
      <c r="W90" s="716"/>
      <c r="X90" s="716"/>
      <c r="Y90" s="716"/>
      <c r="Z90" s="716"/>
      <c r="AA90" s="2730">
        <v>1</v>
      </c>
    </row>
    <row r="91" spans="1:27" s="5229" customFormat="1" ht="21" customHeight="1">
      <c r="A91" s="5230"/>
      <c r="B91" s="5473" t="s">
        <v>1283</v>
      </c>
      <c r="C91" s="5477" t="s">
        <v>14820</v>
      </c>
      <c r="D91" s="5475"/>
      <c r="E91" s="5475"/>
      <c r="F91" s="5475"/>
      <c r="G91" s="5475"/>
      <c r="H91" s="5478"/>
      <c r="I91" s="5475"/>
      <c r="J91" s="5444"/>
      <c r="K91" s="5444"/>
      <c r="L91" s="9735"/>
      <c r="M91" s="9736"/>
      <c r="N91" s="9736"/>
      <c r="O91" s="9737"/>
      <c r="P91" s="716"/>
      <c r="Q91" s="716"/>
      <c r="R91" s="716"/>
      <c r="S91" s="716"/>
      <c r="T91" s="716"/>
      <c r="U91" s="716"/>
      <c r="V91" s="716"/>
      <c r="W91" s="716"/>
      <c r="X91" s="716"/>
      <c r="Y91" s="716"/>
      <c r="Z91" s="716"/>
      <c r="AA91" s="2730">
        <v>1</v>
      </c>
    </row>
    <row r="92" spans="1:27" s="5229" customFormat="1" ht="21" customHeight="1">
      <c r="A92" s="716"/>
      <c r="B92" s="716"/>
      <c r="C92" s="716"/>
      <c r="D92" s="716"/>
      <c r="E92" s="716"/>
      <c r="F92" s="716"/>
      <c r="G92" s="716"/>
      <c r="H92" s="716"/>
      <c r="I92" s="716"/>
      <c r="J92" s="716"/>
      <c r="K92" s="716"/>
      <c r="L92" s="9735"/>
      <c r="M92" s="9736"/>
      <c r="N92" s="9736"/>
      <c r="O92" s="9737"/>
      <c r="P92" s="716"/>
      <c r="Q92" s="716"/>
      <c r="R92" s="716"/>
      <c r="S92" s="716"/>
      <c r="T92" s="716"/>
      <c r="U92" s="716"/>
      <c r="V92" s="716"/>
      <c r="W92" s="716"/>
      <c r="X92" s="716"/>
      <c r="Y92" s="716"/>
      <c r="Z92" s="716"/>
      <c r="AA92" s="2730">
        <v>1</v>
      </c>
    </row>
    <row r="93" spans="1:27" s="5229" customFormat="1" ht="21" customHeight="1">
      <c r="A93" s="5230"/>
      <c r="B93" s="5473" t="s">
        <v>1283</v>
      </c>
      <c r="C93" s="2724" t="s">
        <v>14821</v>
      </c>
      <c r="I93" s="5475"/>
      <c r="J93" s="5444"/>
      <c r="K93" s="5230"/>
      <c r="L93" s="9735"/>
      <c r="M93" s="9736"/>
      <c r="N93" s="9736"/>
      <c r="O93" s="9737"/>
      <c r="P93" s="716"/>
      <c r="Q93" s="716"/>
      <c r="R93" s="716"/>
      <c r="S93" s="716"/>
      <c r="T93" s="716"/>
      <c r="U93" s="716"/>
      <c r="V93" s="716"/>
      <c r="W93" s="716"/>
      <c r="X93" s="716"/>
      <c r="Y93" s="716"/>
      <c r="Z93" s="716"/>
      <c r="AA93" s="2730">
        <v>1</v>
      </c>
    </row>
    <row r="94" spans="1:27" s="5229" customFormat="1" ht="21" customHeight="1">
      <c r="A94" s="716"/>
      <c r="B94" s="716"/>
      <c r="C94" s="716"/>
      <c r="D94" s="716"/>
      <c r="E94" s="716"/>
      <c r="F94" s="716"/>
      <c r="G94" s="716"/>
      <c r="H94" s="716"/>
      <c r="I94" s="716"/>
      <c r="J94" s="716"/>
      <c r="K94" s="716"/>
      <c r="L94" s="9738" t="s">
        <v>135</v>
      </c>
      <c r="M94" s="9739"/>
      <c r="N94" s="9739"/>
      <c r="O94" s="9740"/>
      <c r="P94" s="716"/>
      <c r="Q94" s="716"/>
      <c r="R94" s="716"/>
      <c r="S94" s="716"/>
      <c r="T94" s="716"/>
      <c r="U94" s="716"/>
      <c r="V94" s="716"/>
      <c r="W94" s="716"/>
      <c r="X94" s="716"/>
      <c r="Y94" s="716"/>
      <c r="Z94" s="716"/>
      <c r="AA94" s="2730">
        <v>1</v>
      </c>
    </row>
    <row r="95" spans="1:27" s="5229" customFormat="1" ht="21" customHeight="1">
      <c r="A95" s="716"/>
      <c r="B95" s="716"/>
      <c r="C95" s="716"/>
      <c r="D95" s="716"/>
      <c r="E95" s="716"/>
      <c r="F95" s="716"/>
      <c r="G95" s="716"/>
      <c r="H95" s="716"/>
      <c r="I95" s="716"/>
      <c r="J95" s="716"/>
      <c r="K95" s="716"/>
      <c r="L95" s="9738"/>
      <c r="M95" s="9739"/>
      <c r="N95" s="9739"/>
      <c r="O95" s="9740"/>
      <c r="P95" s="716"/>
      <c r="Q95" s="716"/>
      <c r="R95" s="716"/>
      <c r="S95" s="716"/>
      <c r="T95" s="716"/>
      <c r="U95" s="716"/>
      <c r="V95" s="716"/>
      <c r="W95" s="716"/>
      <c r="X95" s="716"/>
      <c r="Y95" s="716"/>
      <c r="Z95" s="716"/>
      <c r="AA95" s="2730">
        <v>1</v>
      </c>
    </row>
    <row r="96" spans="1:27" s="5229" customFormat="1" ht="21" customHeight="1">
      <c r="A96" s="716"/>
      <c r="B96" s="716"/>
      <c r="C96" s="716"/>
      <c r="D96" s="716"/>
      <c r="E96" s="716"/>
      <c r="F96" s="716"/>
      <c r="G96" s="716"/>
      <c r="H96" s="716"/>
      <c r="I96" s="716"/>
      <c r="J96" s="716"/>
      <c r="K96" s="716"/>
      <c r="L96" s="9738"/>
      <c r="M96" s="9739"/>
      <c r="N96" s="9739"/>
      <c r="O96" s="9740"/>
      <c r="P96" s="716"/>
      <c r="Q96" s="716"/>
      <c r="R96" s="716"/>
      <c r="S96" s="716"/>
      <c r="T96" s="716"/>
      <c r="U96" s="716"/>
      <c r="V96" s="716"/>
      <c r="W96" s="716"/>
      <c r="X96" s="716"/>
      <c r="Y96" s="716"/>
      <c r="Z96" s="716"/>
      <c r="AA96" s="2730">
        <v>1</v>
      </c>
    </row>
    <row r="97" spans="1:27" s="5229" customFormat="1" ht="21" customHeight="1">
      <c r="A97" s="716"/>
      <c r="B97" s="716"/>
      <c r="C97" s="716"/>
      <c r="D97" s="716"/>
      <c r="E97" s="716"/>
      <c r="F97" s="716"/>
      <c r="G97" s="716"/>
      <c r="H97" s="716"/>
      <c r="I97" s="716"/>
      <c r="J97" s="716"/>
      <c r="K97" s="716"/>
      <c r="L97" s="9741" t="s">
        <v>139</v>
      </c>
      <c r="M97" s="9742"/>
      <c r="N97" s="9742"/>
      <c r="O97" s="9743"/>
      <c r="P97" s="716"/>
      <c r="Q97" s="716"/>
      <c r="R97" s="716"/>
      <c r="S97" s="716"/>
      <c r="T97" s="716"/>
      <c r="U97" s="716"/>
      <c r="V97" s="716"/>
      <c r="W97" s="716"/>
      <c r="X97" s="716"/>
      <c r="Y97" s="716"/>
      <c r="Z97" s="716"/>
      <c r="AA97" s="2730">
        <v>1</v>
      </c>
    </row>
    <row r="98" spans="1:27" s="5229" customFormat="1" ht="21" customHeight="1">
      <c r="A98" s="716"/>
      <c r="B98" s="716"/>
      <c r="C98" s="716"/>
      <c r="D98" s="716"/>
      <c r="E98" s="716"/>
      <c r="F98" s="716"/>
      <c r="G98" s="716"/>
      <c r="H98" s="716"/>
      <c r="I98" s="716"/>
      <c r="J98" s="716"/>
      <c r="K98" s="716"/>
      <c r="L98" s="9741"/>
      <c r="M98" s="9742"/>
      <c r="N98" s="9742"/>
      <c r="O98" s="9743"/>
      <c r="P98" s="716"/>
      <c r="Q98" s="716"/>
      <c r="R98" s="716"/>
      <c r="S98" s="716"/>
      <c r="T98" s="716"/>
      <c r="U98" s="716"/>
      <c r="V98" s="716"/>
      <c r="W98" s="716"/>
      <c r="X98" s="716"/>
      <c r="Y98" s="716"/>
      <c r="Z98" s="716"/>
      <c r="AA98" s="2730">
        <v>1</v>
      </c>
    </row>
    <row r="99" spans="1:27" s="5229" customFormat="1" ht="21" customHeight="1">
      <c r="A99" s="716"/>
      <c r="B99" s="716"/>
      <c r="C99" s="716"/>
      <c r="D99" s="716"/>
      <c r="E99" s="716"/>
      <c r="F99" s="716"/>
      <c r="G99" s="716"/>
      <c r="H99" s="716"/>
      <c r="I99" s="716"/>
      <c r="J99" s="716"/>
      <c r="K99" s="716"/>
      <c r="L99" s="9744"/>
      <c r="M99" s="9745"/>
      <c r="N99" s="9745"/>
      <c r="O99" s="9746"/>
      <c r="P99" s="716"/>
      <c r="Q99" s="716"/>
      <c r="R99" s="716"/>
      <c r="S99" s="716"/>
      <c r="T99" s="716"/>
      <c r="U99" s="716"/>
      <c r="V99" s="716"/>
      <c r="W99" s="716"/>
      <c r="X99" s="716"/>
      <c r="Y99" s="716"/>
      <c r="Z99" s="716"/>
      <c r="AA99" s="2730">
        <v>1</v>
      </c>
    </row>
    <row r="100" spans="1:27" s="5229" customFormat="1" ht="21" customHeight="1">
      <c r="A100" s="716"/>
      <c r="B100" s="716"/>
      <c r="C100" s="716"/>
      <c r="D100" s="716"/>
      <c r="E100" s="716"/>
      <c r="F100" s="716"/>
      <c r="G100" s="716"/>
      <c r="H100" s="716"/>
      <c r="I100" s="716"/>
      <c r="J100" s="716"/>
      <c r="K100" s="716"/>
      <c r="L100" s="716"/>
      <c r="M100" s="716"/>
      <c r="N100" s="716"/>
      <c r="O100" s="716"/>
      <c r="P100" s="716"/>
      <c r="Q100" s="716"/>
      <c r="R100" s="716"/>
      <c r="S100" s="716"/>
      <c r="T100" s="716"/>
      <c r="U100" s="716"/>
      <c r="V100" s="716"/>
      <c r="W100" s="716"/>
      <c r="X100" s="716"/>
      <c r="Y100" s="716"/>
      <c r="Z100" s="716"/>
      <c r="AA100" s="2730">
        <v>1</v>
      </c>
    </row>
    <row r="101" spans="1:27" s="5229" customFormat="1" ht="21" customHeight="1">
      <c r="A101" s="716"/>
      <c r="B101" s="716"/>
      <c r="C101" s="716"/>
      <c r="D101" s="716"/>
      <c r="E101" s="716"/>
      <c r="F101" s="716"/>
      <c r="G101" s="716"/>
      <c r="H101" s="716"/>
      <c r="I101" s="716"/>
      <c r="J101" s="716"/>
      <c r="K101" s="716"/>
      <c r="L101" s="716"/>
      <c r="M101" s="716"/>
      <c r="N101" s="716"/>
      <c r="O101" s="716"/>
      <c r="P101" s="716"/>
      <c r="Q101" s="716"/>
      <c r="R101" s="716"/>
      <c r="S101" s="716"/>
      <c r="T101" s="716"/>
      <c r="U101" s="716"/>
      <c r="V101" s="716"/>
      <c r="W101" s="716"/>
      <c r="X101" s="716"/>
      <c r="Y101" s="716"/>
      <c r="Z101" s="716"/>
      <c r="AA101" s="2730">
        <v>1</v>
      </c>
    </row>
    <row r="102" spans="1:27" ht="21" customHeight="1">
      <c r="A102" s="5447" t="s">
        <v>67</v>
      </c>
      <c r="B102" s="9747" t="s">
        <v>1746</v>
      </c>
      <c r="C102" s="9748"/>
      <c r="D102" s="9748"/>
      <c r="E102" s="9748"/>
      <c r="F102" s="9748"/>
      <c r="G102" s="9748"/>
      <c r="H102" s="9748"/>
      <c r="I102" s="9748"/>
      <c r="J102" s="9748"/>
      <c r="K102" s="9748"/>
      <c r="L102" s="9748"/>
      <c r="M102" s="9748"/>
      <c r="N102" s="9748"/>
      <c r="O102" s="9748"/>
      <c r="P102" s="9748"/>
      <c r="Q102" s="9748"/>
      <c r="R102" s="9748"/>
      <c r="S102" s="9748"/>
      <c r="T102" s="9749"/>
      <c r="U102" s="716"/>
      <c r="V102" s="716"/>
      <c r="W102" s="716"/>
      <c r="X102" s="716"/>
      <c r="Y102" s="716"/>
      <c r="Z102" s="716"/>
      <c r="AA102" s="2730">
        <v>1</v>
      </c>
    </row>
    <row r="103" spans="1:27" ht="21" customHeight="1">
      <c r="A103" s="9345" t="str">
        <f>B102</f>
        <v>Gastronormes tableau N° 1</v>
      </c>
      <c r="B103" s="5479" t="str">
        <f>ADDRESS(ROW(),COLUMN(),4)</f>
        <v>B103</v>
      </c>
      <c r="C103" s="5480" t="s">
        <v>14788</v>
      </c>
      <c r="D103" s="1118"/>
      <c r="E103" s="1118"/>
      <c r="F103" s="1118"/>
      <c r="G103" s="1118"/>
      <c r="H103" s="1118"/>
      <c r="I103" s="1118"/>
      <c r="J103" s="1118"/>
      <c r="K103" s="1118"/>
      <c r="L103" s="1118"/>
      <c r="M103" s="1118"/>
      <c r="N103" s="1118"/>
      <c r="O103" s="1117"/>
      <c r="P103" s="1118"/>
      <c r="Q103" s="1117"/>
      <c r="R103" s="1117"/>
      <c r="S103" s="1117"/>
      <c r="T103" s="5481" t="s">
        <v>1747</v>
      </c>
      <c r="U103" s="716"/>
      <c r="V103" s="716"/>
      <c r="W103" s="716"/>
      <c r="X103" s="716"/>
      <c r="Y103" s="716"/>
      <c r="Z103" s="716"/>
      <c r="AA103" s="2730">
        <v>1</v>
      </c>
    </row>
    <row r="104" spans="1:27" ht="21" customHeight="1">
      <c r="A104" s="9345"/>
      <c r="B104" s="9750" t="s">
        <v>1748</v>
      </c>
      <c r="C104" s="9751"/>
      <c r="D104" s="9751"/>
      <c r="E104" s="9751"/>
      <c r="F104" s="9751"/>
      <c r="G104" s="9751"/>
      <c r="H104" s="9751"/>
      <c r="I104" s="9751"/>
      <c r="J104" s="9751"/>
      <c r="K104" s="9751"/>
      <c r="L104" s="9752" t="s">
        <v>1749</v>
      </c>
      <c r="M104" s="9753"/>
      <c r="N104" s="9753"/>
      <c r="O104" s="9753"/>
      <c r="P104" s="9753"/>
      <c r="Q104" s="9753"/>
      <c r="R104" s="9753"/>
      <c r="S104" s="9753"/>
      <c r="T104" s="9754"/>
      <c r="U104" s="716"/>
      <c r="V104" s="716"/>
      <c r="W104" s="716"/>
      <c r="X104" s="716"/>
      <c r="Y104" s="716"/>
      <c r="Z104" s="716"/>
      <c r="AA104" s="2730">
        <v>1</v>
      </c>
    </row>
    <row r="105" spans="1:27" ht="21" customHeight="1">
      <c r="A105" s="9345"/>
      <c r="B105" s="9755" t="s">
        <v>372</v>
      </c>
      <c r="C105" s="9756"/>
      <c r="D105" s="9756"/>
      <c r="E105" s="9760" t="s">
        <v>1750</v>
      </c>
      <c r="F105" s="9762" t="s">
        <v>1751</v>
      </c>
      <c r="G105" s="9764" t="s">
        <v>1752</v>
      </c>
      <c r="H105" s="9765"/>
      <c r="I105" s="9765"/>
      <c r="J105" s="9765"/>
      <c r="K105" s="9766"/>
      <c r="L105" s="9767" t="s">
        <v>1753</v>
      </c>
      <c r="M105" s="9768"/>
      <c r="N105" s="9770" t="s">
        <v>1754</v>
      </c>
      <c r="O105" s="9771"/>
      <c r="P105" s="9771"/>
      <c r="Q105" s="9771"/>
      <c r="R105" s="9771"/>
      <c r="S105" s="9771"/>
      <c r="T105" s="9772"/>
      <c r="U105" s="716"/>
      <c r="V105" s="716"/>
      <c r="W105" s="716"/>
      <c r="X105" s="716"/>
      <c r="Y105" s="716"/>
      <c r="Z105" s="716"/>
      <c r="AA105" s="2730">
        <v>1</v>
      </c>
    </row>
    <row r="106" spans="1:27" ht="21" customHeight="1">
      <c r="A106" s="9345"/>
      <c r="B106" s="9757"/>
      <c r="C106" s="8375"/>
      <c r="D106" s="8375"/>
      <c r="E106" s="8379"/>
      <c r="F106" s="8382"/>
      <c r="G106" s="5482" t="s">
        <v>214</v>
      </c>
      <c r="H106" s="5483" t="s">
        <v>215</v>
      </c>
      <c r="I106" s="5484" t="s">
        <v>216</v>
      </c>
      <c r="J106" s="5484" t="s">
        <v>201</v>
      </c>
      <c r="K106" s="5484" t="s">
        <v>243</v>
      </c>
      <c r="L106" s="9769"/>
      <c r="M106" s="8390"/>
      <c r="N106" s="9773"/>
      <c r="O106" s="8395"/>
      <c r="P106" s="8395"/>
      <c r="Q106" s="8395"/>
      <c r="R106" s="8395"/>
      <c r="S106" s="8395"/>
      <c r="T106" s="8396"/>
      <c r="U106" s="716"/>
      <c r="V106" s="716"/>
      <c r="W106" s="716"/>
      <c r="X106" s="716"/>
      <c r="Y106" s="716"/>
      <c r="Z106" s="716"/>
      <c r="AA106" s="2730">
        <v>1</v>
      </c>
    </row>
    <row r="107" spans="1:27" ht="21" customHeight="1">
      <c r="A107" s="9345"/>
      <c r="B107" s="9757"/>
      <c r="C107" s="8375"/>
      <c r="D107" s="8375"/>
      <c r="E107" s="8379"/>
      <c r="F107" s="8382"/>
      <c r="G107" s="5485">
        <v>12</v>
      </c>
      <c r="H107" s="5485">
        <v>25</v>
      </c>
      <c r="I107" s="5485">
        <v>14</v>
      </c>
      <c r="J107" s="5485">
        <v>7</v>
      </c>
      <c r="K107" s="5485">
        <v>10</v>
      </c>
      <c r="L107" s="9777" t="s">
        <v>244</v>
      </c>
      <c r="M107" s="9778"/>
      <c r="N107" s="9773"/>
      <c r="O107" s="8395"/>
      <c r="P107" s="8395"/>
      <c r="Q107" s="8395"/>
      <c r="R107" s="8395"/>
      <c r="S107" s="8395"/>
      <c r="T107" s="8396"/>
      <c r="U107" s="716"/>
      <c r="V107" s="716"/>
      <c r="W107" s="716"/>
      <c r="X107" s="716"/>
      <c r="Y107" s="716"/>
      <c r="Z107" s="716"/>
      <c r="AA107" s="2730">
        <v>1</v>
      </c>
    </row>
    <row r="108" spans="1:27" ht="21" customHeight="1" thickBot="1">
      <c r="A108" s="9345"/>
      <c r="B108" s="9758"/>
      <c r="C108" s="9759"/>
      <c r="D108" s="9759"/>
      <c r="E108" s="9761"/>
      <c r="F108" s="9763"/>
      <c r="G108" s="9779" t="s">
        <v>1755</v>
      </c>
      <c r="H108" s="9779"/>
      <c r="I108" s="9779"/>
      <c r="J108" s="9779"/>
      <c r="K108" s="9779"/>
      <c r="L108" s="9780">
        <f>SUM(G107:K107)</f>
        <v>68</v>
      </c>
      <c r="M108" s="9781"/>
      <c r="N108" s="9774"/>
      <c r="O108" s="9775"/>
      <c r="P108" s="9775"/>
      <c r="Q108" s="9775"/>
      <c r="R108" s="9775"/>
      <c r="S108" s="9775"/>
      <c r="T108" s="9776"/>
      <c r="U108" s="716"/>
      <c r="V108" s="716"/>
      <c r="W108" s="716"/>
      <c r="X108" s="716"/>
      <c r="Y108" s="716"/>
      <c r="Z108" s="716"/>
      <c r="AA108" s="2730">
        <v>1</v>
      </c>
    </row>
    <row r="109" spans="1:27" ht="21" customHeight="1">
      <c r="A109" s="9345"/>
      <c r="B109" s="5486" t="s">
        <v>1756</v>
      </c>
      <c r="C109" s="5487"/>
      <c r="D109" s="5487"/>
      <c r="E109" s="5487"/>
      <c r="F109" s="5487"/>
      <c r="G109" s="5487"/>
      <c r="H109" s="5487"/>
      <c r="I109" s="5487"/>
      <c r="J109" s="5487"/>
      <c r="K109" s="5487"/>
      <c r="L109" s="5487"/>
      <c r="M109" s="5487"/>
      <c r="N109" s="5487"/>
      <c r="O109" s="5487"/>
      <c r="P109" s="5487"/>
      <c r="Q109" s="5487"/>
      <c r="R109" s="5487"/>
      <c r="S109" s="5487"/>
      <c r="T109" s="5488" t="s">
        <v>1756</v>
      </c>
      <c r="U109" s="716"/>
      <c r="V109" s="716"/>
      <c r="W109" s="716"/>
      <c r="X109" s="716"/>
      <c r="Y109" s="716"/>
      <c r="Z109" s="716"/>
      <c r="AA109" s="2730">
        <v>1</v>
      </c>
    </row>
    <row r="110" spans="1:27" ht="21" customHeight="1">
      <c r="A110" s="9345"/>
      <c r="B110" s="9721" t="s">
        <v>1757</v>
      </c>
      <c r="C110" s="9722"/>
      <c r="D110" s="9722"/>
      <c r="E110" s="5489">
        <v>25</v>
      </c>
      <c r="F110" s="5490" t="s">
        <v>1758</v>
      </c>
      <c r="G110" s="990">
        <v>0.5</v>
      </c>
      <c r="H110" s="990">
        <v>1</v>
      </c>
      <c r="I110" s="990">
        <v>1</v>
      </c>
      <c r="J110" s="990">
        <v>1</v>
      </c>
      <c r="K110" s="990">
        <v>1</v>
      </c>
      <c r="L110" s="991">
        <f>(G110*G107)+(H110*H107)+(I110*I107)+(J110*J107)+(K110*K107)</f>
        <v>62</v>
      </c>
      <c r="M110" s="9725" t="str">
        <f>F110</f>
        <v>paupiettes</v>
      </c>
      <c r="N110" s="9725"/>
      <c r="O110" s="5491">
        <f>IF(L110=0,0,INT(L110/E110))</f>
        <v>2</v>
      </c>
      <c r="P110" s="5492">
        <f>L110-(O110*E110)</f>
        <v>12</v>
      </c>
      <c r="Q110" s="994" t="str">
        <f>IF(P110=0,0,F110)</f>
        <v>paupiettes</v>
      </c>
      <c r="R110" s="995">
        <f>IF(P110=0,0,O110+1)</f>
        <v>3</v>
      </c>
      <c r="S110" s="5492">
        <f>IF(P110=0,0,L110-(R110*E110))</f>
        <v>-13</v>
      </c>
      <c r="T110" s="996" t="str">
        <f>IF(S110=0,0,F110)</f>
        <v>paupiettes</v>
      </c>
      <c r="U110" s="716"/>
      <c r="V110" s="716"/>
      <c r="W110" s="716"/>
      <c r="X110" s="716"/>
      <c r="Y110" s="716"/>
      <c r="Z110" s="716"/>
      <c r="AA110" s="2730">
        <v>1</v>
      </c>
    </row>
    <row r="111" spans="1:27" ht="21" customHeight="1">
      <c r="A111" s="9345"/>
      <c r="B111" s="9721" t="s">
        <v>1759</v>
      </c>
      <c r="C111" s="9722"/>
      <c r="D111" s="9722"/>
      <c r="E111" s="5489">
        <v>12</v>
      </c>
      <c r="F111" s="5490" t="s">
        <v>1760</v>
      </c>
      <c r="G111" s="990">
        <v>1</v>
      </c>
      <c r="H111" s="990">
        <v>1</v>
      </c>
      <c r="I111" s="990">
        <v>1</v>
      </c>
      <c r="J111" s="990">
        <v>1</v>
      </c>
      <c r="K111" s="990">
        <v>1</v>
      </c>
      <c r="L111" s="991">
        <f>(G111*G107)+(H111*H107)+(I111*I107)+(J111*J107)+(K111*K107)</f>
        <v>68</v>
      </c>
      <c r="M111" s="9725" t="str">
        <f>F111</f>
        <v>Cuisses</v>
      </c>
      <c r="N111" s="9725"/>
      <c r="O111" s="5491">
        <f>IF(L111=0,0,INT(L111/E111))</f>
        <v>5</v>
      </c>
      <c r="P111" s="5492">
        <f>L111-(O111*E111)</f>
        <v>8</v>
      </c>
      <c r="Q111" s="994" t="str">
        <f>IF(P111=0,0,F111)</f>
        <v>Cuisses</v>
      </c>
      <c r="R111" s="995">
        <f>IF(P111=0,0,O111+1)</f>
        <v>6</v>
      </c>
      <c r="S111" s="5492">
        <f>IF(P111=0,0,L111-(R111*E111))</f>
        <v>-4</v>
      </c>
      <c r="T111" s="996" t="str">
        <f>IF(S111=0,0,F111)</f>
        <v>Cuisses</v>
      </c>
      <c r="U111" s="716"/>
      <c r="V111" s="716"/>
      <c r="W111" s="716"/>
      <c r="X111" s="716"/>
      <c r="Y111" s="716"/>
      <c r="Z111" s="716"/>
      <c r="AA111" s="2730">
        <v>1</v>
      </c>
    </row>
    <row r="112" spans="1:27" ht="21" customHeight="1">
      <c r="A112" s="9345"/>
      <c r="B112" s="9721" t="s">
        <v>1761</v>
      </c>
      <c r="C112" s="9722"/>
      <c r="D112" s="9722"/>
      <c r="E112" s="5489">
        <v>60</v>
      </c>
      <c r="F112" s="5490" t="s">
        <v>1762</v>
      </c>
      <c r="G112" s="990">
        <v>1</v>
      </c>
      <c r="H112" s="5493">
        <v>1.5</v>
      </c>
      <c r="I112" s="990">
        <v>2</v>
      </c>
      <c r="J112" s="990">
        <v>3</v>
      </c>
      <c r="K112" s="990">
        <v>2</v>
      </c>
      <c r="L112" s="991">
        <f>(G112*G107)+(H112*H107)+(I112*I107)+(J112*J107)+(K112*K107)</f>
        <v>118.5</v>
      </c>
      <c r="M112" s="9725" t="str">
        <f>F112</f>
        <v>tranches</v>
      </c>
      <c r="N112" s="9725"/>
      <c r="O112" s="5491">
        <f>IF(L112=0,0,INT(L112/E112))</f>
        <v>1</v>
      </c>
      <c r="P112" s="5492">
        <f>L112-(O112*E112)</f>
        <v>58.5</v>
      </c>
      <c r="Q112" s="994" t="str">
        <f>IF(P112=0,0,F112)</f>
        <v>tranches</v>
      </c>
      <c r="R112" s="995">
        <f>IF(P112=0,0,O112+1)</f>
        <v>2</v>
      </c>
      <c r="S112" s="5492">
        <f>IF(P112=0,0,L112-(R112*E112))</f>
        <v>-1.5</v>
      </c>
      <c r="T112" s="996" t="str">
        <f>IF(S112=0,0,F112)</f>
        <v>tranches</v>
      </c>
      <c r="U112" s="716"/>
      <c r="V112" s="716"/>
      <c r="W112" s="716"/>
      <c r="X112" s="716"/>
      <c r="Y112" s="716"/>
      <c r="Z112" s="716"/>
      <c r="AA112" s="2730">
        <v>1</v>
      </c>
    </row>
    <row r="113" spans="1:27" ht="21" customHeight="1" thickBot="1">
      <c r="A113" s="9345"/>
      <c r="B113" s="9721" t="s">
        <v>1763</v>
      </c>
      <c r="C113" s="9722"/>
      <c r="D113" s="9722"/>
      <c r="E113" s="5489">
        <v>20</v>
      </c>
      <c r="F113" s="5490" t="s">
        <v>1764</v>
      </c>
      <c r="G113" s="990">
        <v>1</v>
      </c>
      <c r="H113" s="990">
        <v>1.5</v>
      </c>
      <c r="I113" s="990">
        <v>2</v>
      </c>
      <c r="J113" s="990">
        <v>3</v>
      </c>
      <c r="K113" s="990">
        <v>2</v>
      </c>
      <c r="L113" s="5494">
        <f>(G113*G107)+(H113*H107)+(I113*I107)+(J113*J107)+(K113*K107)</f>
        <v>118.5</v>
      </c>
      <c r="M113" s="9723" t="str">
        <f>F113</f>
        <v>tomates</v>
      </c>
      <c r="N113" s="9723"/>
      <c r="O113" s="5495">
        <f>IF(L113=0,0,INT(L113/E113))</f>
        <v>5</v>
      </c>
      <c r="P113" s="5496">
        <f>L113-(O113*E113)</f>
        <v>18.5</v>
      </c>
      <c r="Q113" s="5497" t="str">
        <f>IF(P113=0,0,F113)</f>
        <v>tomates</v>
      </c>
      <c r="R113" s="5498">
        <f>IF(P113=0,0,O113+1)</f>
        <v>6</v>
      </c>
      <c r="S113" s="5496">
        <f>IF(P113=0,0,L113-(R113*E113))</f>
        <v>-1.5</v>
      </c>
      <c r="T113" s="5499" t="str">
        <f>IF(S113=0,0,F113)</f>
        <v>tomates</v>
      </c>
      <c r="U113" s="716"/>
      <c r="V113" s="716"/>
      <c r="W113" s="716"/>
      <c r="X113" s="716"/>
      <c r="Y113" s="716"/>
      <c r="Z113" s="716"/>
      <c r="AA113" s="2730">
        <v>1</v>
      </c>
    </row>
    <row r="114" spans="1:27" ht="21" customHeight="1">
      <c r="A114" s="9345"/>
      <c r="B114" s="5500" t="s">
        <v>1765</v>
      </c>
      <c r="C114" s="5501"/>
      <c r="D114" s="5501"/>
      <c r="E114" s="5501"/>
      <c r="F114" s="5501"/>
      <c r="G114" s="5501"/>
      <c r="H114" s="5501"/>
      <c r="I114" s="5501"/>
      <c r="J114" s="5501"/>
      <c r="K114" s="5501"/>
      <c r="L114" s="5501"/>
      <c r="M114" s="5501"/>
      <c r="N114" s="5501"/>
      <c r="O114" s="5501"/>
      <c r="P114" s="5501"/>
      <c r="Q114" s="5501"/>
      <c r="R114" s="5501"/>
      <c r="S114" s="5501"/>
      <c r="T114" s="5502" t="s">
        <v>1765</v>
      </c>
      <c r="U114" s="716"/>
      <c r="V114" s="716"/>
      <c r="W114" s="716"/>
      <c r="X114" s="716"/>
      <c r="Y114" s="716"/>
      <c r="Z114" s="716"/>
      <c r="AA114" s="2730">
        <v>1</v>
      </c>
    </row>
    <row r="115" spans="1:27" ht="21" customHeight="1">
      <c r="A115" s="9345"/>
      <c r="B115" s="9724" t="s">
        <v>1766</v>
      </c>
      <c r="C115" s="9722"/>
      <c r="D115" s="9722"/>
      <c r="E115" s="5489">
        <v>3</v>
      </c>
      <c r="F115" s="5490" t="s">
        <v>43</v>
      </c>
      <c r="G115" s="990">
        <v>7.4999999999999997E-2</v>
      </c>
      <c r="H115" s="1003">
        <v>0.09</v>
      </c>
      <c r="I115" s="1003">
        <v>0.15</v>
      </c>
      <c r="J115" s="1003">
        <v>0.18</v>
      </c>
      <c r="K115" s="1003">
        <v>0.13</v>
      </c>
      <c r="L115" s="1004">
        <f>(G115*G107)+(H115*H107)+(I115*I107)+(J115*J107)+(K115*K107)</f>
        <v>7.81</v>
      </c>
      <c r="M115" s="9725" t="str">
        <f>F115</f>
        <v>Kg</v>
      </c>
      <c r="N115" s="9725"/>
      <c r="O115" s="5491">
        <f>IF(L115=0,0,INT(L115/E115))</f>
        <v>2</v>
      </c>
      <c r="P115" s="5503">
        <f>L115-(O115*E115)</f>
        <v>1.8099999999999996</v>
      </c>
      <c r="Q115" s="994" t="str">
        <f>IF(P115=0,0,F115)</f>
        <v>Kg</v>
      </c>
      <c r="R115" s="995">
        <f>IF(P115=0,0,O115+1)</f>
        <v>3</v>
      </c>
      <c r="S115" s="5492">
        <f>IF(P115=0,0,L115-(R115*E115))</f>
        <v>-1.1900000000000004</v>
      </c>
      <c r="T115" s="1006" t="str">
        <f>IF(S115=0,0,F115)</f>
        <v>Kg</v>
      </c>
      <c r="U115" s="716"/>
      <c r="V115" s="716"/>
      <c r="W115" s="716"/>
      <c r="X115" s="716"/>
      <c r="Y115" s="716"/>
      <c r="Z115" s="716"/>
      <c r="AA115" s="2730">
        <v>1</v>
      </c>
    </row>
    <row r="116" spans="1:27" ht="21" customHeight="1">
      <c r="A116" s="9345"/>
      <c r="B116" s="9724" t="s">
        <v>1767</v>
      </c>
      <c r="C116" s="9722"/>
      <c r="D116" s="9722"/>
      <c r="E116" s="5489">
        <v>7.2</v>
      </c>
      <c r="F116" s="1007" t="s">
        <v>43</v>
      </c>
      <c r="G116" s="1003">
        <v>0.2</v>
      </c>
      <c r="H116" s="1003">
        <v>0.25</v>
      </c>
      <c r="I116" s="1003">
        <v>0.35</v>
      </c>
      <c r="J116" s="1003">
        <v>0.45</v>
      </c>
      <c r="K116" s="1003">
        <v>0.35</v>
      </c>
      <c r="L116" s="1004">
        <f>(G116*G107)+(H116*H107)+(I116*I107)+(J116*J107)+(K116*K107)</f>
        <v>20.2</v>
      </c>
      <c r="M116" s="9725" t="str">
        <f>F116</f>
        <v>Kg</v>
      </c>
      <c r="N116" s="9725"/>
      <c r="O116" s="5491">
        <f>IF(L116=0,0,INT(L116/E116))</f>
        <v>2</v>
      </c>
      <c r="P116" s="5503">
        <f>L116-(O116*E116)</f>
        <v>5.7999999999999989</v>
      </c>
      <c r="Q116" s="994" t="str">
        <f>IF(P116=0,0,F116)</f>
        <v>Kg</v>
      </c>
      <c r="R116" s="995">
        <f>IF(P116=0,0,O116+1)</f>
        <v>3</v>
      </c>
      <c r="S116" s="5492">
        <f>IF(P116=0,0,L116-(R116*E116))</f>
        <v>-1.4000000000000021</v>
      </c>
      <c r="T116" s="1006" t="str">
        <f>IF(S116=0,0,F116)</f>
        <v>Kg</v>
      </c>
      <c r="U116" s="716"/>
      <c r="V116" s="716"/>
      <c r="W116" s="716"/>
      <c r="X116" s="716"/>
      <c r="Y116" s="716"/>
      <c r="Z116" s="716"/>
      <c r="AA116" s="2730">
        <v>1</v>
      </c>
    </row>
    <row r="117" spans="1:27" ht="21" customHeight="1">
      <c r="A117" s="9345"/>
      <c r="B117" s="9728" t="s">
        <v>1768</v>
      </c>
      <c r="C117" s="9729"/>
      <c r="D117" s="9729"/>
      <c r="E117" s="5504">
        <v>4</v>
      </c>
      <c r="F117" s="5505" t="s">
        <v>43</v>
      </c>
      <c r="G117" s="5506">
        <v>0.2</v>
      </c>
      <c r="H117" s="5506">
        <v>0.25</v>
      </c>
      <c r="I117" s="5506">
        <v>0.35</v>
      </c>
      <c r="J117" s="5506">
        <v>0.45</v>
      </c>
      <c r="K117" s="5506">
        <v>0.35</v>
      </c>
      <c r="L117" s="5507">
        <f>(G117*G107)+(H117*H107)+(I117*I107)+(J117*J107)+(K117*K107)</f>
        <v>20.2</v>
      </c>
      <c r="M117" s="9730" t="str">
        <f>F117</f>
        <v>Kg</v>
      </c>
      <c r="N117" s="9730"/>
      <c r="O117" s="5508">
        <f>IF(L117=0,0,INT(L117/E117))</f>
        <v>5</v>
      </c>
      <c r="P117" s="5509">
        <f>L117-(O117*E117)</f>
        <v>0.19999999999999929</v>
      </c>
      <c r="Q117" s="5510" t="str">
        <f>IF(P117=0,0,F117)</f>
        <v>Kg</v>
      </c>
      <c r="R117" s="5511">
        <f>IF(P117=0,0,O117+1)</f>
        <v>6</v>
      </c>
      <c r="S117" s="5512">
        <f>IF(P117=0,0,L117-(R117*E117))</f>
        <v>-3.8000000000000007</v>
      </c>
      <c r="T117" s="5513" t="str">
        <f>IF(S117=0,0,F117)</f>
        <v>Kg</v>
      </c>
      <c r="U117" s="716"/>
      <c r="V117" s="716"/>
      <c r="W117" s="716"/>
      <c r="X117" s="716"/>
      <c r="Y117" s="716"/>
      <c r="Z117" s="716"/>
      <c r="AA117" s="2730">
        <v>1</v>
      </c>
    </row>
    <row r="118" spans="1:27" ht="21" customHeight="1">
      <c r="A118" s="9345"/>
      <c r="B118" s="5514" t="s">
        <v>14822</v>
      </c>
      <c r="C118" s="5515"/>
      <c r="D118" s="5515"/>
      <c r="E118" s="5516"/>
      <c r="F118" s="5517"/>
      <c r="G118" s="5518"/>
      <c r="H118" s="5518"/>
      <c r="I118" s="5518"/>
      <c r="J118" s="5518"/>
      <c r="K118" s="5518"/>
      <c r="L118" s="5519"/>
      <c r="M118" s="5520"/>
      <c r="N118" s="5520"/>
      <c r="O118" s="5521"/>
      <c r="P118" s="5522"/>
      <c r="Q118" s="5523"/>
      <c r="R118" s="5521"/>
      <c r="S118" s="5524"/>
      <c r="T118" s="5525"/>
      <c r="U118" s="716"/>
      <c r="V118" s="716"/>
      <c r="W118" s="716"/>
      <c r="X118" s="716"/>
      <c r="Y118" s="716"/>
      <c r="Z118" s="716"/>
      <c r="AA118" s="2730">
        <v>1</v>
      </c>
    </row>
    <row r="119" spans="1:27" ht="21" customHeight="1">
      <c r="A119" s="9345"/>
      <c r="B119" s="5526" t="s">
        <v>14823</v>
      </c>
      <c r="C119" s="5527"/>
      <c r="D119" s="5527"/>
      <c r="E119" s="1125"/>
      <c r="F119" s="1126"/>
      <c r="G119" s="5528"/>
      <c r="H119" s="5528"/>
      <c r="I119" s="5528"/>
      <c r="J119" s="5528"/>
      <c r="K119" s="5528"/>
      <c r="L119" s="5529"/>
      <c r="M119" s="5530"/>
      <c r="N119" s="5530"/>
      <c r="O119" s="1129"/>
      <c r="P119" s="5531"/>
      <c r="Q119" s="5532"/>
      <c r="R119" s="1129"/>
      <c r="S119" s="5533"/>
      <c r="T119" s="5534"/>
      <c r="U119" s="716"/>
      <c r="V119" s="716"/>
      <c r="W119" s="716"/>
      <c r="X119" s="716"/>
      <c r="Y119" s="716"/>
      <c r="Z119" s="716"/>
      <c r="AA119" s="2730">
        <v>1</v>
      </c>
    </row>
    <row r="120" spans="1:27" ht="21" customHeight="1">
      <c r="A120" s="9345"/>
      <c r="B120" s="1014"/>
      <c r="C120" s="1014"/>
      <c r="D120" s="1014"/>
      <c r="E120" s="1014"/>
      <c r="F120" s="1014"/>
      <c r="G120" s="9731" t="s">
        <v>14803</v>
      </c>
      <c r="H120" s="9731"/>
      <c r="I120" s="9731"/>
      <c r="J120" s="9731"/>
      <c r="K120" s="9731"/>
      <c r="L120" s="1014"/>
      <c r="M120" s="1014"/>
      <c r="N120" s="1014"/>
      <c r="O120" s="1014"/>
      <c r="P120" s="1014"/>
      <c r="Q120" s="1014"/>
      <c r="R120" s="1014"/>
      <c r="S120" s="5535"/>
      <c r="T120" s="1016"/>
      <c r="U120" s="716"/>
      <c r="V120" s="716"/>
      <c r="W120" s="716"/>
      <c r="X120" s="716"/>
      <c r="Y120" s="716"/>
      <c r="Z120" s="716"/>
      <c r="AA120" s="2730">
        <v>1</v>
      </c>
    </row>
    <row r="121" spans="1:27" s="5229" customFormat="1" ht="21" customHeight="1" thickBot="1">
      <c r="A121" s="716"/>
      <c r="B121" s="716"/>
      <c r="C121" s="716"/>
      <c r="D121" s="716"/>
      <c r="E121" s="716"/>
      <c r="F121" s="716"/>
      <c r="G121" s="716"/>
      <c r="H121" s="716"/>
      <c r="I121" s="716"/>
      <c r="J121" s="716"/>
      <c r="K121" s="716"/>
      <c r="L121" s="716"/>
      <c r="M121" s="716"/>
      <c r="N121" s="716"/>
      <c r="O121" s="716"/>
      <c r="P121" s="716"/>
      <c r="Q121" s="716"/>
      <c r="R121" s="716"/>
      <c r="S121" s="716"/>
      <c r="T121" s="716"/>
      <c r="U121" s="716"/>
      <c r="V121" s="716"/>
      <c r="W121" s="716"/>
      <c r="X121" s="716"/>
      <c r="Y121" s="716"/>
      <c r="Z121" s="716"/>
      <c r="AA121" s="2730">
        <v>1</v>
      </c>
    </row>
    <row r="122" spans="1:27" s="5229" customFormat="1" ht="21" customHeight="1">
      <c r="A122" s="5446" t="s">
        <v>67</v>
      </c>
      <c r="B122" s="9732" t="s">
        <v>1750</v>
      </c>
      <c r="C122" s="9733"/>
      <c r="D122" s="9733"/>
      <c r="E122" s="9733"/>
      <c r="F122" s="9734"/>
      <c r="G122" s="5230"/>
      <c r="H122" s="5230"/>
      <c r="I122" s="5230"/>
      <c r="J122" s="5230"/>
      <c r="K122" s="5444"/>
      <c r="L122" s="5444"/>
      <c r="M122" s="716"/>
      <c r="N122" s="716"/>
      <c r="O122" s="716"/>
      <c r="P122" s="716"/>
      <c r="Q122" s="716"/>
      <c r="R122" s="716"/>
      <c r="S122" s="716"/>
      <c r="T122" s="716"/>
      <c r="U122" s="716"/>
      <c r="V122" s="716"/>
      <c r="W122" s="716"/>
      <c r="X122" s="716"/>
      <c r="Y122" s="716"/>
      <c r="Z122" s="716"/>
      <c r="AA122" s="2730">
        <v>1</v>
      </c>
    </row>
    <row r="123" spans="1:27" s="5229" customFormat="1" ht="21" customHeight="1">
      <c r="A123" s="9648" t="str">
        <f>B122</f>
        <v>Contenance 1 Gastro</v>
      </c>
      <c r="B123" s="5375" t="str">
        <f>ADDRESS(ROW(),COLUMN(),4)</f>
        <v>B123</v>
      </c>
      <c r="C123" s="5250" t="s">
        <v>14788</v>
      </c>
      <c r="D123" s="5536"/>
      <c r="E123" s="5536"/>
      <c r="F123" s="5537"/>
      <c r="G123" s="5230"/>
      <c r="H123" s="5230"/>
      <c r="I123" s="5230"/>
      <c r="J123" s="5230"/>
      <c r="K123" s="5444"/>
      <c r="L123" s="5444"/>
      <c r="M123" s="716"/>
      <c r="N123" s="716"/>
      <c r="O123" s="716"/>
      <c r="P123" s="716"/>
      <c r="Q123" s="716"/>
      <c r="R123" s="716"/>
      <c r="S123" s="716"/>
      <c r="T123" s="716"/>
      <c r="U123" s="716"/>
      <c r="V123" s="716"/>
      <c r="W123" s="716"/>
      <c r="X123" s="716"/>
      <c r="Y123" s="716"/>
      <c r="Z123" s="716"/>
      <c r="AA123" s="2730">
        <v>1</v>
      </c>
    </row>
    <row r="124" spans="1:27" s="5229" customFormat="1" ht="21" customHeight="1">
      <c r="A124" s="9648"/>
      <c r="B124" s="9719" t="s">
        <v>1786</v>
      </c>
      <c r="C124" s="9720"/>
      <c r="D124" s="9720"/>
      <c r="E124" s="5538">
        <v>16</v>
      </c>
      <c r="F124" s="5539" t="s">
        <v>1760</v>
      </c>
      <c r="G124" s="5230"/>
      <c r="H124" s="5230"/>
      <c r="I124" s="5230"/>
      <c r="J124" s="5230"/>
      <c r="K124" s="5444"/>
      <c r="L124" s="5444"/>
      <c r="M124" s="716"/>
      <c r="N124" s="716"/>
      <c r="O124" s="716"/>
      <c r="P124" s="716"/>
      <c r="Q124" s="716"/>
      <c r="R124" s="716"/>
      <c r="S124" s="716"/>
      <c r="T124" s="716"/>
      <c r="U124" s="716"/>
      <c r="V124" s="716"/>
      <c r="W124" s="716"/>
      <c r="X124" s="716"/>
      <c r="Y124" s="716"/>
      <c r="Z124" s="716"/>
      <c r="AA124" s="2730">
        <v>1</v>
      </c>
    </row>
    <row r="125" spans="1:27" s="5229" customFormat="1" ht="21" customHeight="1">
      <c r="A125" s="9648"/>
      <c r="B125" s="9719" t="s">
        <v>1787</v>
      </c>
      <c r="C125" s="9720"/>
      <c r="D125" s="9720"/>
      <c r="E125" s="5538">
        <v>24</v>
      </c>
      <c r="F125" s="5539" t="s">
        <v>1760</v>
      </c>
      <c r="G125" s="5230"/>
      <c r="H125" s="5230"/>
      <c r="I125" s="5230"/>
      <c r="J125" s="5230"/>
      <c r="K125" s="5444"/>
      <c r="L125" s="5444"/>
      <c r="M125" s="716"/>
      <c r="N125" s="716"/>
      <c r="O125" s="716"/>
      <c r="P125" s="716"/>
      <c r="Q125" s="716"/>
      <c r="R125" s="716"/>
      <c r="S125" s="716"/>
      <c r="T125" s="716"/>
      <c r="U125" s="716"/>
      <c r="V125" s="716"/>
      <c r="W125" s="716"/>
      <c r="X125" s="716"/>
      <c r="Y125" s="716"/>
      <c r="Z125" s="716"/>
      <c r="AA125" s="2730">
        <v>1</v>
      </c>
    </row>
    <row r="126" spans="1:27" s="5229" customFormat="1" ht="21" customHeight="1">
      <c r="A126" s="9648"/>
      <c r="B126" s="9719" t="s">
        <v>1788</v>
      </c>
      <c r="C126" s="9720"/>
      <c r="D126" s="9720"/>
      <c r="E126" s="5538">
        <v>20</v>
      </c>
      <c r="F126" s="5539" t="s">
        <v>1760</v>
      </c>
      <c r="G126" s="5230"/>
      <c r="H126" s="5230"/>
      <c r="I126" s="5230"/>
      <c r="J126" s="5230"/>
      <c r="K126" s="5444"/>
      <c r="L126" s="5444"/>
      <c r="M126" s="716"/>
      <c r="N126" s="716"/>
      <c r="O126" s="716"/>
      <c r="P126" s="716"/>
      <c r="Q126" s="716"/>
      <c r="R126" s="716"/>
      <c r="S126" s="716"/>
      <c r="T126" s="716"/>
      <c r="U126" s="716"/>
      <c r="V126" s="716"/>
      <c r="W126" s="716"/>
      <c r="X126" s="716"/>
      <c r="Y126" s="716"/>
      <c r="Z126" s="716"/>
      <c r="AA126" s="2730">
        <v>1</v>
      </c>
    </row>
    <row r="127" spans="1:27" s="5229" customFormat="1" ht="21" customHeight="1">
      <c r="A127" s="9648"/>
      <c r="B127" s="9719" t="s">
        <v>1789</v>
      </c>
      <c r="C127" s="9720"/>
      <c r="D127" s="9720"/>
      <c r="E127" s="5538">
        <v>25</v>
      </c>
      <c r="F127" s="5539" t="s">
        <v>1790</v>
      </c>
      <c r="G127" s="5230"/>
      <c r="H127" s="5230"/>
      <c r="I127" s="5230"/>
      <c r="J127" s="5230"/>
      <c r="K127" s="5444"/>
      <c r="L127" s="5444"/>
      <c r="M127" s="716"/>
      <c r="N127" s="716"/>
      <c r="O127" s="716"/>
      <c r="P127" s="716"/>
      <c r="Q127" s="716"/>
      <c r="R127" s="716"/>
      <c r="S127" s="716"/>
      <c r="T127" s="716"/>
      <c r="U127" s="716"/>
      <c r="V127" s="716"/>
      <c r="W127" s="716"/>
      <c r="X127" s="716"/>
      <c r="Y127" s="716"/>
      <c r="Z127" s="716"/>
      <c r="AA127" s="2730">
        <v>1</v>
      </c>
    </row>
    <row r="128" spans="1:27" s="5229" customFormat="1" ht="21" customHeight="1">
      <c r="A128" s="9648"/>
      <c r="B128" s="9719" t="s">
        <v>1757</v>
      </c>
      <c r="C128" s="9720"/>
      <c r="D128" s="9720"/>
      <c r="E128" s="5538">
        <v>25</v>
      </c>
      <c r="F128" s="5539" t="s">
        <v>1758</v>
      </c>
      <c r="G128" s="5230"/>
      <c r="H128" s="5230"/>
      <c r="I128" s="5230"/>
      <c r="J128" s="5230"/>
      <c r="K128" s="5444"/>
      <c r="L128" s="5444"/>
      <c r="M128" s="716"/>
      <c r="N128" s="716"/>
      <c r="O128" s="716"/>
      <c r="P128" s="716"/>
      <c r="Q128" s="716"/>
      <c r="R128" s="716"/>
      <c r="S128" s="716"/>
      <c r="T128" s="716"/>
      <c r="U128" s="716"/>
      <c r="V128" s="716"/>
      <c r="W128" s="716"/>
      <c r="X128" s="716"/>
      <c r="Y128" s="716"/>
      <c r="Z128" s="716"/>
      <c r="AA128" s="2730">
        <v>1</v>
      </c>
    </row>
    <row r="129" spans="1:27" s="5229" customFormat="1" ht="21" customHeight="1">
      <c r="A129" s="9648"/>
      <c r="B129" s="9719" t="s">
        <v>1759</v>
      </c>
      <c r="C129" s="9720"/>
      <c r="D129" s="9720"/>
      <c r="E129" s="5538">
        <v>12</v>
      </c>
      <c r="F129" s="5539" t="s">
        <v>1760</v>
      </c>
      <c r="G129" s="5230"/>
      <c r="H129" s="5230"/>
      <c r="I129" s="5230"/>
      <c r="J129" s="5230"/>
      <c r="K129" s="5444"/>
      <c r="L129" s="5444"/>
      <c r="M129" s="716"/>
      <c r="N129" s="716"/>
      <c r="O129" s="716"/>
      <c r="P129" s="716"/>
      <c r="Q129" s="716"/>
      <c r="R129" s="716"/>
      <c r="S129" s="716"/>
      <c r="T129" s="716"/>
      <c r="U129" s="716"/>
      <c r="V129" s="716"/>
      <c r="W129" s="716"/>
      <c r="X129" s="716"/>
      <c r="Y129" s="716"/>
      <c r="Z129" s="716"/>
      <c r="AA129" s="2730">
        <v>1</v>
      </c>
    </row>
    <row r="130" spans="1:27" s="5229" customFormat="1" ht="21" customHeight="1">
      <c r="A130" s="9648"/>
      <c r="B130" s="9719" t="s">
        <v>1761</v>
      </c>
      <c r="C130" s="9720"/>
      <c r="D130" s="9720"/>
      <c r="E130" s="5538">
        <v>60</v>
      </c>
      <c r="F130" s="5539" t="s">
        <v>1762</v>
      </c>
      <c r="G130" s="5230"/>
      <c r="H130" s="5230"/>
      <c r="I130" s="5230"/>
      <c r="J130" s="5230"/>
      <c r="K130" s="5444"/>
      <c r="L130" s="5444"/>
      <c r="M130" s="716"/>
      <c r="N130" s="716"/>
      <c r="O130" s="716"/>
      <c r="P130" s="716"/>
      <c r="Q130" s="716"/>
      <c r="R130" s="716"/>
      <c r="S130" s="716"/>
      <c r="T130" s="716"/>
      <c r="U130" s="716"/>
      <c r="V130" s="716"/>
      <c r="W130" s="716"/>
      <c r="X130" s="716"/>
      <c r="Y130" s="716"/>
      <c r="Z130" s="716"/>
      <c r="AA130" s="2730">
        <v>1</v>
      </c>
    </row>
    <row r="131" spans="1:27" s="5229" customFormat="1" ht="21" customHeight="1">
      <c r="A131" s="9648"/>
      <c r="B131" s="9719" t="s">
        <v>1763</v>
      </c>
      <c r="C131" s="9720"/>
      <c r="D131" s="9720"/>
      <c r="E131" s="5538">
        <v>20</v>
      </c>
      <c r="F131" s="5539" t="s">
        <v>1764</v>
      </c>
      <c r="G131" s="5230"/>
      <c r="H131" s="5230"/>
      <c r="I131" s="5230"/>
      <c r="J131" s="5230"/>
      <c r="K131" s="5444"/>
      <c r="L131" s="5444"/>
      <c r="M131" s="716"/>
      <c r="N131" s="716"/>
      <c r="O131" s="716"/>
      <c r="P131" s="716"/>
      <c r="Q131" s="716"/>
      <c r="R131" s="716"/>
      <c r="S131" s="716"/>
      <c r="T131" s="716"/>
      <c r="U131" s="716"/>
      <c r="V131" s="716"/>
      <c r="W131" s="716"/>
      <c r="X131" s="716"/>
      <c r="Y131" s="716"/>
      <c r="Z131" s="716"/>
      <c r="AA131" s="2730">
        <v>1</v>
      </c>
    </row>
    <row r="132" spans="1:27" s="5229" customFormat="1" ht="21" customHeight="1">
      <c r="A132" s="9648"/>
      <c r="B132" s="5540"/>
      <c r="C132" s="5541"/>
      <c r="D132" s="5541"/>
      <c r="E132" s="5541"/>
      <c r="F132" s="5542"/>
      <c r="G132" s="5230"/>
      <c r="H132" s="5230"/>
      <c r="I132" s="5230"/>
      <c r="J132" s="5230"/>
      <c r="K132" s="5444"/>
      <c r="L132" s="5444"/>
      <c r="M132" s="716"/>
      <c r="N132" s="716"/>
      <c r="O132" s="716"/>
      <c r="P132" s="716"/>
      <c r="Q132" s="716"/>
      <c r="R132" s="716"/>
      <c r="S132" s="716"/>
      <c r="T132" s="716"/>
      <c r="U132" s="716"/>
      <c r="V132" s="716"/>
      <c r="W132" s="716"/>
      <c r="X132" s="716"/>
      <c r="Y132" s="716"/>
      <c r="Z132" s="716"/>
      <c r="AA132" s="2730">
        <v>1</v>
      </c>
    </row>
    <row r="133" spans="1:27" s="5229" customFormat="1" ht="21" customHeight="1">
      <c r="A133" s="9648"/>
      <c r="B133" s="9719" t="s">
        <v>1766</v>
      </c>
      <c r="C133" s="9720"/>
      <c r="D133" s="9720"/>
      <c r="E133" s="5538">
        <v>3</v>
      </c>
      <c r="F133" s="5539" t="s">
        <v>43</v>
      </c>
      <c r="G133" s="5230"/>
      <c r="H133" s="5230"/>
      <c r="I133" s="5230"/>
      <c r="J133" s="5230"/>
      <c r="K133" s="5444"/>
      <c r="L133" s="5444"/>
      <c r="M133" s="716"/>
      <c r="N133" s="716"/>
      <c r="O133" s="716"/>
      <c r="P133" s="716"/>
      <c r="Q133" s="716"/>
      <c r="R133" s="716"/>
      <c r="S133" s="716"/>
      <c r="T133" s="716"/>
      <c r="U133" s="716"/>
      <c r="V133" s="716"/>
      <c r="W133" s="716"/>
      <c r="X133" s="716"/>
      <c r="Y133" s="716"/>
      <c r="Z133" s="716"/>
      <c r="AA133" s="2730">
        <v>1</v>
      </c>
    </row>
    <row r="134" spans="1:27" s="5229" customFormat="1" ht="21" customHeight="1">
      <c r="A134" s="9648"/>
      <c r="B134" s="9719" t="s">
        <v>1767</v>
      </c>
      <c r="C134" s="9720"/>
      <c r="D134" s="9720"/>
      <c r="E134" s="5538">
        <v>7.2</v>
      </c>
      <c r="F134" s="5539" t="s">
        <v>43</v>
      </c>
      <c r="G134" s="5230"/>
      <c r="H134" s="5230"/>
      <c r="I134" s="5230"/>
      <c r="J134" s="5230"/>
      <c r="K134" s="5444"/>
      <c r="L134" s="5444"/>
      <c r="M134" s="716"/>
      <c r="N134" s="716"/>
      <c r="O134" s="716"/>
      <c r="P134" s="716"/>
      <c r="Q134" s="716"/>
      <c r="R134" s="716"/>
      <c r="S134" s="716"/>
      <c r="T134" s="716"/>
      <c r="U134" s="716"/>
      <c r="V134" s="716"/>
      <c r="W134" s="716"/>
      <c r="X134" s="716"/>
      <c r="Y134" s="716"/>
      <c r="Z134" s="716"/>
      <c r="AA134" s="2730">
        <v>1</v>
      </c>
    </row>
    <row r="135" spans="1:27" s="5229" customFormat="1" ht="21" customHeight="1" thickBot="1">
      <c r="A135" s="9648"/>
      <c r="B135" s="9726" t="s">
        <v>1768</v>
      </c>
      <c r="C135" s="9727"/>
      <c r="D135" s="9727"/>
      <c r="E135" s="5543">
        <v>4</v>
      </c>
      <c r="F135" s="5544" t="s">
        <v>43</v>
      </c>
      <c r="G135" s="5230"/>
      <c r="H135" s="5230"/>
      <c r="I135" s="5230"/>
      <c r="J135" s="5230"/>
      <c r="K135" s="5444"/>
      <c r="L135" s="5444"/>
      <c r="M135" s="716"/>
      <c r="N135" s="716"/>
      <c r="O135" s="716"/>
      <c r="P135" s="716"/>
      <c r="Q135" s="716"/>
      <c r="R135" s="716"/>
      <c r="S135" s="716"/>
      <c r="T135" s="716"/>
      <c r="U135" s="716"/>
      <c r="V135" s="716"/>
      <c r="W135" s="716"/>
      <c r="X135" s="716"/>
      <c r="Y135" s="716"/>
      <c r="Z135" s="716"/>
      <c r="AA135" s="2730">
        <v>1</v>
      </c>
    </row>
    <row r="136" spans="1:27" s="5229" customFormat="1" ht="21" customHeight="1" thickBot="1">
      <c r="A136" s="716"/>
      <c r="B136" s="716"/>
      <c r="C136" s="716"/>
      <c r="D136" s="716"/>
      <c r="E136" s="716"/>
      <c r="F136" s="716"/>
      <c r="G136" s="716"/>
      <c r="H136" s="716"/>
      <c r="I136" s="716"/>
      <c r="J136" s="716"/>
      <c r="K136" s="716"/>
      <c r="L136" s="716"/>
      <c r="M136" s="716"/>
      <c r="N136" s="716"/>
      <c r="O136" s="716"/>
      <c r="P136" s="716"/>
      <c r="Q136" s="716"/>
      <c r="R136" s="716"/>
      <c r="S136" s="716"/>
      <c r="T136" s="716"/>
      <c r="U136" s="716"/>
      <c r="V136" s="716"/>
      <c r="W136" s="716"/>
      <c r="X136" s="716"/>
      <c r="Y136" s="716"/>
      <c r="Z136" s="716"/>
      <c r="AA136" s="2730">
        <v>1</v>
      </c>
    </row>
    <row r="137" spans="1:27" ht="21" customHeight="1">
      <c r="A137" s="5545" t="s">
        <v>67</v>
      </c>
      <c r="B137" s="9709" t="s">
        <v>14815</v>
      </c>
      <c r="C137" s="9710"/>
      <c r="D137" s="9710"/>
      <c r="E137" s="9710"/>
      <c r="F137" s="9710"/>
      <c r="G137" s="9710"/>
      <c r="H137" s="9710"/>
      <c r="I137" s="9710"/>
      <c r="J137" s="9710"/>
      <c r="K137" s="9710"/>
      <c r="L137" s="9711"/>
      <c r="M137" s="716"/>
      <c r="N137" s="716"/>
      <c r="O137" s="716"/>
      <c r="P137" s="716"/>
      <c r="Q137" s="716"/>
      <c r="R137" s="716"/>
      <c r="S137" s="716"/>
      <c r="T137" s="716"/>
      <c r="U137" s="716"/>
      <c r="V137" s="716"/>
      <c r="W137" s="716"/>
      <c r="X137" s="716"/>
      <c r="Y137" s="716"/>
      <c r="Z137" s="716"/>
      <c r="AA137" s="2730">
        <v>1</v>
      </c>
    </row>
    <row r="138" spans="1:27" ht="21" customHeight="1">
      <c r="A138" s="9648" t="str">
        <f>B137</f>
        <v>une fonction intéressante : MODULO &gt; MOD</v>
      </c>
      <c r="B138" s="5479" t="str">
        <f>ADDRESS(ROW(),COLUMN(),4)</f>
        <v>B138</v>
      </c>
      <c r="C138" s="5480" t="s">
        <v>14788</v>
      </c>
      <c r="D138" s="5546"/>
      <c r="E138" s="5546"/>
      <c r="F138" s="5546"/>
      <c r="G138" s="5546"/>
      <c r="H138" s="5546"/>
      <c r="I138" s="5546"/>
      <c r="J138" s="5546"/>
      <c r="K138" s="5546"/>
      <c r="L138" s="5547"/>
      <c r="M138" s="716"/>
      <c r="N138" s="716"/>
      <c r="O138" s="716"/>
      <c r="P138" s="716"/>
      <c r="Q138" s="716"/>
      <c r="R138" s="716"/>
      <c r="S138" s="716"/>
      <c r="T138" s="716"/>
      <c r="U138" s="716"/>
      <c r="V138" s="716"/>
      <c r="W138" s="716"/>
      <c r="X138" s="716"/>
      <c r="Y138" s="716"/>
      <c r="Z138" s="716"/>
      <c r="AA138" s="2730">
        <v>1</v>
      </c>
    </row>
    <row r="139" spans="1:27" ht="21" customHeight="1">
      <c r="A139" s="9648"/>
      <c r="B139" s="5548" t="s">
        <v>14824</v>
      </c>
      <c r="C139" s="9712" t="s">
        <v>14825</v>
      </c>
      <c r="D139" s="9712"/>
      <c r="E139" s="5550" t="s">
        <v>14826</v>
      </c>
      <c r="F139" s="2209"/>
      <c r="G139" s="9713" t="s">
        <v>14827</v>
      </c>
      <c r="H139" s="9713"/>
      <c r="I139" s="5552"/>
      <c r="J139" s="5552"/>
      <c r="K139" s="5553"/>
      <c r="L139" s="5554"/>
      <c r="M139" s="716"/>
      <c r="N139" s="716"/>
      <c r="O139" s="716"/>
      <c r="P139" s="716"/>
      <c r="Q139" s="716"/>
      <c r="R139" s="716"/>
      <c r="S139" s="716"/>
      <c r="T139" s="716"/>
      <c r="U139" s="716"/>
      <c r="V139" s="716"/>
      <c r="W139" s="716"/>
      <c r="X139" s="716"/>
      <c r="Y139" s="716"/>
      <c r="Z139" s="716"/>
      <c r="AA139" s="2730">
        <v>1</v>
      </c>
    </row>
    <row r="140" spans="1:27" ht="21" customHeight="1">
      <c r="A140" s="9648"/>
      <c r="B140" s="5555" t="s">
        <v>14828</v>
      </c>
      <c r="C140" s="5549"/>
      <c r="D140" s="5549"/>
      <c r="E140" s="5550"/>
      <c r="F140" s="2209"/>
      <c r="G140" s="5551"/>
      <c r="H140" s="5551"/>
      <c r="I140" s="5549"/>
      <c r="J140" s="5549"/>
      <c r="K140" s="5553"/>
      <c r="L140" s="5554"/>
      <c r="M140" s="716"/>
      <c r="N140" s="716"/>
      <c r="O140" s="716"/>
      <c r="P140" s="716"/>
      <c r="Q140" s="716"/>
      <c r="R140" s="716"/>
      <c r="S140" s="716"/>
      <c r="T140" s="716"/>
      <c r="U140" s="716"/>
      <c r="V140" s="716"/>
      <c r="W140" s="716"/>
      <c r="X140" s="716"/>
      <c r="Y140" s="716"/>
      <c r="Z140" s="716"/>
      <c r="AA140" s="2730">
        <v>1</v>
      </c>
    </row>
    <row r="141" spans="1:27" ht="21" customHeight="1">
      <c r="A141" s="9648"/>
      <c r="B141" s="5556"/>
      <c r="C141" s="9714" t="s">
        <v>1753</v>
      </c>
      <c r="D141" s="9715" t="s">
        <v>14829</v>
      </c>
      <c r="E141" s="8846" t="s">
        <v>14830</v>
      </c>
      <c r="F141" s="8846" t="s">
        <v>14831</v>
      </c>
      <c r="G141" s="5557"/>
      <c r="H141" s="5558"/>
      <c r="I141" s="5559"/>
      <c r="J141" s="5560"/>
      <c r="K141" s="5561"/>
      <c r="L141" s="5554"/>
      <c r="M141" s="716"/>
      <c r="N141" s="716"/>
      <c r="O141" s="716"/>
      <c r="P141" s="716"/>
      <c r="Q141" s="716"/>
      <c r="R141" s="716"/>
      <c r="S141" s="716"/>
      <c r="T141" s="716"/>
      <c r="U141" s="716"/>
      <c r="V141" s="716"/>
      <c r="W141" s="716"/>
      <c r="X141" s="716"/>
      <c r="Y141" s="716"/>
      <c r="Z141" s="716"/>
      <c r="AA141" s="2730">
        <v>1</v>
      </c>
    </row>
    <row r="142" spans="1:27" ht="21" customHeight="1">
      <c r="A142" s="9648"/>
      <c r="B142" s="5556"/>
      <c r="C142" s="9714"/>
      <c r="D142" s="9715"/>
      <c r="E142" s="8846"/>
      <c r="F142" s="8846"/>
      <c r="G142" s="5562"/>
      <c r="H142" s="5563"/>
      <c r="I142" s="5563">
        <f>E143</f>
        <v>16</v>
      </c>
      <c r="J142" s="5564"/>
      <c r="K142" s="5564">
        <f>F143</f>
        <v>0.66999999999999993</v>
      </c>
      <c r="L142" s="5554"/>
      <c r="M142" s="716"/>
      <c r="N142" s="716"/>
      <c r="O142" s="716"/>
      <c r="P142" s="716"/>
      <c r="Q142" s="716"/>
      <c r="R142" s="716"/>
      <c r="S142" s="716"/>
      <c r="T142" s="716"/>
      <c r="U142" s="716"/>
      <c r="V142" s="716"/>
      <c r="W142" s="716"/>
      <c r="X142" s="716"/>
      <c r="Y142" s="716"/>
      <c r="Z142" s="716"/>
      <c r="AA142" s="2730">
        <v>1</v>
      </c>
    </row>
    <row r="143" spans="1:27" ht="21" customHeight="1">
      <c r="A143" s="9648"/>
      <c r="B143" s="5556"/>
      <c r="C143" s="5565">
        <v>13.63</v>
      </c>
      <c r="D143" s="5566">
        <v>0.81</v>
      </c>
      <c r="E143" s="5567">
        <f>INT(C143/D143)</f>
        <v>16</v>
      </c>
      <c r="F143" s="5568">
        <f>MOD(C143,D143)</f>
        <v>0.66999999999999993</v>
      </c>
      <c r="G143" s="2209"/>
      <c r="H143" s="5569" t="s">
        <v>14832</v>
      </c>
      <c r="I143" s="5570" t="str">
        <f ca="1">_xlfn.FORMULATEXT(E143)</f>
        <v>=ENT(C143/D143)</v>
      </c>
      <c r="J143" s="5571" t="s">
        <v>14832</v>
      </c>
      <c r="K143" s="5572" t="str">
        <f ca="1">_xlfn.FORMULATEXT(F143)</f>
        <v>=MOD(C143;D143)</v>
      </c>
      <c r="L143" s="5554"/>
      <c r="M143" s="716"/>
      <c r="N143" s="716"/>
      <c r="O143" s="716"/>
      <c r="P143" s="716"/>
      <c r="Q143" s="716"/>
      <c r="R143" s="716"/>
      <c r="S143" s="716"/>
      <c r="T143" s="716"/>
      <c r="U143" s="716"/>
      <c r="V143" s="716"/>
      <c r="W143" s="716"/>
      <c r="X143" s="716"/>
      <c r="Y143" s="716"/>
      <c r="Z143" s="716"/>
      <c r="AA143" s="2730">
        <v>1</v>
      </c>
    </row>
    <row r="144" spans="1:27" ht="21" customHeight="1">
      <c r="A144" s="9648"/>
      <c r="B144" s="5556"/>
      <c r="C144" s="5573" t="str">
        <f>LEFT(ADDRESS(1,COLUMN(),4),LEN(ADDRESS(1,COLUMN(),4))-1)</f>
        <v>C</v>
      </c>
      <c r="D144" s="5573" t="str">
        <f>LEFT(ADDRESS(1,COLUMN(),4),LEN(ADDRESS(1,COLUMN(),4))-1)</f>
        <v>D</v>
      </c>
      <c r="E144" s="5573" t="str">
        <f>LEFT(ADDRESS(1,COLUMN(),4),LEN(ADDRESS(1,COLUMN(),4))-1)</f>
        <v>E</v>
      </c>
      <c r="F144" s="5573" t="str">
        <f>LEFT(ADDRESS(1,COLUMN(),4),LEN(ADDRESS(1,COLUMN(),4))-1)</f>
        <v>F</v>
      </c>
      <c r="G144" s="2209"/>
      <c r="H144" s="5569"/>
      <c r="I144" s="5570"/>
      <c r="J144" s="5571"/>
      <c r="K144" s="5572"/>
      <c r="L144" s="5554"/>
      <c r="M144" s="716"/>
      <c r="N144" s="716"/>
      <c r="O144" s="716"/>
      <c r="P144" s="716"/>
      <c r="Q144" s="716"/>
      <c r="R144" s="716"/>
      <c r="S144" s="716"/>
      <c r="T144" s="716"/>
      <c r="U144" s="716"/>
      <c r="V144" s="716"/>
      <c r="W144" s="716"/>
      <c r="X144" s="716"/>
      <c r="Y144" s="716"/>
      <c r="Z144" s="716"/>
      <c r="AA144" s="2730">
        <v>1</v>
      </c>
    </row>
    <row r="145" spans="1:27" ht="21" customHeight="1">
      <c r="A145" s="9648"/>
      <c r="B145" s="5556"/>
      <c r="C145" s="2886" t="s">
        <v>14833</v>
      </c>
      <c r="D145" s="5559"/>
      <c r="E145" s="5569"/>
      <c r="F145" s="5572"/>
      <c r="G145" s="2209"/>
      <c r="H145" s="5562"/>
      <c r="I145" s="5562"/>
      <c r="J145" s="5562"/>
      <c r="K145" s="5562"/>
      <c r="L145" s="5554"/>
      <c r="M145" s="716"/>
      <c r="N145" s="716"/>
      <c r="O145" s="716"/>
      <c r="P145" s="716"/>
      <c r="Q145" s="716"/>
      <c r="R145" s="716"/>
      <c r="S145" s="716"/>
      <c r="T145" s="716"/>
      <c r="U145" s="716"/>
      <c r="V145" s="716"/>
      <c r="W145" s="716"/>
      <c r="X145" s="716"/>
      <c r="Y145" s="716"/>
      <c r="Z145" s="716"/>
      <c r="AA145" s="2730">
        <v>1</v>
      </c>
    </row>
    <row r="146" spans="1:27" ht="21" customHeight="1">
      <c r="A146" s="9648"/>
      <c r="B146" s="5556"/>
      <c r="C146" s="5574"/>
      <c r="D146" s="5575" t="s">
        <v>1753</v>
      </c>
      <c r="E146" s="5576">
        <v>13.63</v>
      </c>
      <c r="F146" s="5577">
        <f>IF(MOD(E146,E147)&gt;MOD(E146,E147)/2,INT(E146/E147)+1,INT(E146/E147))</f>
        <v>17</v>
      </c>
      <c r="G146" s="5578" t="s">
        <v>14834</v>
      </c>
      <c r="H146" s="5579"/>
      <c r="I146" s="5580"/>
      <c r="J146" s="5562"/>
      <c r="K146" s="5562"/>
      <c r="L146" s="5554"/>
      <c r="M146" s="716"/>
      <c r="N146" s="716"/>
      <c r="O146" s="716"/>
      <c r="P146" s="716"/>
      <c r="Q146" s="716"/>
      <c r="R146" s="716"/>
      <c r="S146" s="716"/>
      <c r="T146" s="716"/>
      <c r="U146" s="716"/>
      <c r="V146" s="716"/>
      <c r="W146" s="716"/>
      <c r="X146" s="716"/>
      <c r="Y146" s="716"/>
      <c r="Z146" s="716"/>
      <c r="AA146" s="2730">
        <v>1</v>
      </c>
    </row>
    <row r="147" spans="1:27" ht="21" customHeight="1">
      <c r="A147" s="9648"/>
      <c r="B147" s="5556"/>
      <c r="C147" s="5581"/>
      <c r="D147" s="5582" t="s">
        <v>14829</v>
      </c>
      <c r="E147" s="5583">
        <v>0.81</v>
      </c>
      <c r="F147" s="5584">
        <f>INT(E146/E147)</f>
        <v>16</v>
      </c>
      <c r="G147" s="5585">
        <f>E147</f>
        <v>0.81</v>
      </c>
      <c r="H147" s="5586" t="str">
        <f>IF(I147&gt;0,"Plus 1 de")</f>
        <v>Plus 1 de</v>
      </c>
      <c r="I147" s="5587">
        <f>MOD(E146,E147)</f>
        <v>0.66999999999999993</v>
      </c>
      <c r="J147" s="5562"/>
      <c r="K147" s="5562"/>
      <c r="L147" s="5554"/>
      <c r="M147" s="716"/>
      <c r="N147" s="716"/>
      <c r="O147" s="716"/>
      <c r="P147" s="716"/>
      <c r="Q147" s="716"/>
      <c r="R147" s="716"/>
      <c r="S147" s="716"/>
      <c r="T147" s="716"/>
      <c r="U147" s="716"/>
      <c r="V147" s="716"/>
      <c r="W147" s="716"/>
      <c r="X147" s="716"/>
      <c r="Y147" s="716"/>
      <c r="Z147" s="716"/>
      <c r="AA147" s="2730">
        <v>1</v>
      </c>
    </row>
    <row r="148" spans="1:27" ht="21" customHeight="1">
      <c r="A148" s="9648"/>
      <c r="B148" s="5556"/>
      <c r="C148" s="9716" t="s">
        <v>14803</v>
      </c>
      <c r="D148" s="9717"/>
      <c r="E148" s="9718"/>
      <c r="F148" s="5588" t="s">
        <v>14835</v>
      </c>
      <c r="G148" s="5589"/>
      <c r="H148" s="5590"/>
      <c r="I148" s="5591"/>
      <c r="J148" s="5562"/>
      <c r="K148" s="5562"/>
      <c r="L148" s="5554"/>
      <c r="M148" s="716"/>
      <c r="N148" s="716"/>
      <c r="O148" s="716"/>
      <c r="P148" s="716"/>
      <c r="Q148" s="716"/>
      <c r="R148" s="716"/>
      <c r="S148" s="716"/>
      <c r="T148" s="716"/>
      <c r="U148" s="716"/>
      <c r="V148" s="716"/>
      <c r="W148" s="716"/>
      <c r="X148" s="716"/>
      <c r="Y148" s="716"/>
      <c r="Z148" s="716"/>
      <c r="AA148" s="2730">
        <v>1</v>
      </c>
    </row>
    <row r="149" spans="1:27" ht="21" customHeight="1">
      <c r="A149" s="9648"/>
      <c r="B149" s="5556"/>
      <c r="C149" s="2886"/>
      <c r="D149" s="5559"/>
      <c r="E149" s="5569"/>
      <c r="F149" s="5572"/>
      <c r="G149" s="5592" t="s">
        <v>14836</v>
      </c>
      <c r="H149" s="5593" t="s">
        <v>14837</v>
      </c>
      <c r="I149" s="5594" t="s">
        <v>14838</v>
      </c>
      <c r="J149" s="5562"/>
      <c r="K149" s="5562"/>
      <c r="L149" s="5554"/>
      <c r="M149" s="716"/>
      <c r="N149" s="716"/>
      <c r="O149" s="716"/>
      <c r="P149" s="716"/>
      <c r="Q149" s="716"/>
      <c r="R149" s="716"/>
      <c r="S149" s="716"/>
      <c r="T149" s="716"/>
      <c r="U149" s="716"/>
      <c r="V149" s="716"/>
      <c r="W149" s="716"/>
      <c r="X149" s="716"/>
      <c r="Y149" s="716"/>
      <c r="Z149" s="716"/>
      <c r="AA149" s="2730">
        <v>1</v>
      </c>
    </row>
    <row r="150" spans="1:27" ht="21" customHeight="1">
      <c r="A150" s="9648"/>
      <c r="B150" s="5556"/>
      <c r="C150" s="5569"/>
      <c r="D150" s="5569"/>
      <c r="E150" s="5569"/>
      <c r="F150" s="5569"/>
      <c r="G150" s="2209"/>
      <c r="H150" s="5586">
        <f>F146</f>
        <v>17</v>
      </c>
      <c r="I150" s="5595" t="str">
        <f ca="1">_xlfn.FORMULATEXT(F146)</f>
        <v>=SI(MOD(E146;E147)&gt;MOD(E146;E147)/2;ENT(E146/E147)+1;ENT(E146/E147))</v>
      </c>
      <c r="J150" s="5562"/>
      <c r="K150" s="5562"/>
      <c r="L150" s="5554"/>
      <c r="M150" s="716"/>
      <c r="N150" s="716"/>
      <c r="O150" s="716"/>
      <c r="P150" s="716"/>
      <c r="Q150" s="716"/>
      <c r="R150" s="716"/>
      <c r="S150" s="716"/>
      <c r="T150" s="716"/>
      <c r="U150" s="716"/>
      <c r="V150" s="716"/>
      <c r="W150" s="716"/>
      <c r="X150" s="716"/>
      <c r="Y150" s="716"/>
      <c r="Z150" s="716"/>
      <c r="AA150" s="2730">
        <v>1</v>
      </c>
    </row>
    <row r="151" spans="1:27" ht="21" customHeight="1">
      <c r="A151" s="9648"/>
      <c r="B151" s="5556"/>
      <c r="C151" s="5569"/>
      <c r="D151" s="5569"/>
      <c r="E151" s="5569"/>
      <c r="F151" s="5569"/>
      <c r="G151" s="2209"/>
      <c r="H151" s="5586">
        <f>F147</f>
        <v>16</v>
      </c>
      <c r="I151" s="5595" t="str">
        <f ca="1">_xlfn.FORMULATEXT(F147)</f>
        <v>=ENT(E146/E147)</v>
      </c>
      <c r="J151" s="5562"/>
      <c r="K151" s="5562"/>
      <c r="L151" s="5554"/>
      <c r="M151" s="716"/>
      <c r="N151" s="716"/>
      <c r="O151" s="716"/>
      <c r="P151" s="716"/>
      <c r="Q151" s="716"/>
      <c r="R151" s="716"/>
      <c r="S151" s="716"/>
      <c r="T151" s="716"/>
      <c r="U151" s="716"/>
      <c r="V151" s="716"/>
      <c r="W151" s="716"/>
      <c r="X151" s="716"/>
      <c r="Y151" s="716"/>
      <c r="Z151" s="716"/>
      <c r="AA151" s="2730">
        <v>1</v>
      </c>
    </row>
    <row r="152" spans="1:27" ht="21" customHeight="1">
      <c r="A152" s="9648"/>
      <c r="B152" s="5556"/>
      <c r="C152" s="5569"/>
      <c r="D152" s="5569"/>
      <c r="E152" s="5569"/>
      <c r="F152" s="5569"/>
      <c r="G152" s="5559"/>
      <c r="H152" s="5585">
        <f>G147</f>
        <v>0.81</v>
      </c>
      <c r="I152" s="5595" t="str">
        <f ca="1">_xlfn.FORMULATEXT(G147)</f>
        <v>=E147</v>
      </c>
      <c r="J152" s="5562"/>
      <c r="K152" s="5562"/>
      <c r="L152" s="5554"/>
      <c r="M152" s="716"/>
      <c r="N152" s="716"/>
      <c r="O152" s="716"/>
      <c r="P152" s="716"/>
      <c r="Q152" s="716"/>
      <c r="R152" s="716"/>
      <c r="S152" s="716"/>
      <c r="T152" s="716"/>
      <c r="U152" s="716"/>
      <c r="V152" s="716"/>
      <c r="W152" s="716"/>
      <c r="X152" s="716"/>
      <c r="Y152" s="716"/>
      <c r="Z152" s="716"/>
      <c r="AA152" s="2730">
        <v>1</v>
      </c>
    </row>
    <row r="153" spans="1:27" ht="21" customHeight="1">
      <c r="A153" s="9648"/>
      <c r="B153" s="5556"/>
      <c r="C153" s="5559"/>
      <c r="D153" s="5559"/>
      <c r="E153" s="5559"/>
      <c r="F153" s="5559"/>
      <c r="G153" s="5559"/>
      <c r="H153" s="5586" t="str">
        <f>H147</f>
        <v>Plus 1 de</v>
      </c>
      <c r="I153" s="5595" t="str">
        <f ca="1">_xlfn.FORMULATEXT(H147)</f>
        <v>=SI(I147&gt;0;"Plus 1 de")</v>
      </c>
      <c r="J153" s="5562"/>
      <c r="K153" s="5562"/>
      <c r="L153" s="5554"/>
      <c r="M153" s="716"/>
      <c r="N153" s="716"/>
      <c r="O153" s="716"/>
      <c r="P153" s="716"/>
      <c r="Q153" s="716"/>
      <c r="R153" s="716"/>
      <c r="S153" s="716"/>
      <c r="T153" s="716"/>
      <c r="U153" s="716"/>
      <c r="V153" s="716"/>
      <c r="W153" s="716"/>
      <c r="X153" s="716"/>
      <c r="Y153" s="716"/>
      <c r="Z153" s="716"/>
      <c r="AA153" s="2730">
        <v>1</v>
      </c>
    </row>
    <row r="154" spans="1:27" ht="21" customHeight="1">
      <c r="A154" s="9648"/>
      <c r="B154" s="5556" t="s">
        <v>14835</v>
      </c>
      <c r="C154" s="5559"/>
      <c r="D154" s="5559"/>
      <c r="E154" s="5559"/>
      <c r="F154" s="5559"/>
      <c r="G154" s="5559"/>
      <c r="H154" s="5596">
        <f>I147</f>
        <v>0.66999999999999993</v>
      </c>
      <c r="I154" s="5597" t="str">
        <f ca="1">_xlfn.FORMULATEXT(I147)</f>
        <v>=MOD(E146;E147)</v>
      </c>
      <c r="J154" s="5562"/>
      <c r="K154" s="5562"/>
      <c r="L154" s="5554"/>
      <c r="M154" s="716"/>
      <c r="N154" s="716"/>
      <c r="O154" s="716"/>
      <c r="P154" s="716"/>
      <c r="Q154" s="716"/>
      <c r="R154" s="716"/>
      <c r="S154" s="716"/>
      <c r="T154" s="716"/>
      <c r="U154" s="716"/>
      <c r="V154" s="716"/>
      <c r="W154" s="716"/>
      <c r="X154" s="716"/>
      <c r="Y154" s="716"/>
      <c r="Z154" s="716"/>
      <c r="AA154" s="2730">
        <v>1</v>
      </c>
    </row>
    <row r="155" spans="1:27" ht="21" customHeight="1">
      <c r="A155" s="9648"/>
      <c r="B155" s="5514" t="s">
        <v>14822</v>
      </c>
      <c r="C155" s="5598"/>
      <c r="D155" s="5598"/>
      <c r="E155" s="5598"/>
      <c r="F155" s="5598"/>
      <c r="G155" s="5598"/>
      <c r="H155" s="5599"/>
      <c r="I155" s="5600"/>
      <c r="J155" s="5601"/>
      <c r="K155" s="5601"/>
      <c r="L155" s="5602"/>
      <c r="M155" s="716"/>
      <c r="N155" s="716"/>
      <c r="O155" s="716"/>
      <c r="P155" s="716"/>
      <c r="Q155" s="716"/>
      <c r="R155" s="716"/>
      <c r="S155" s="716"/>
      <c r="T155" s="716"/>
      <c r="U155" s="716"/>
      <c r="V155" s="716"/>
      <c r="W155" s="716"/>
      <c r="X155" s="716"/>
      <c r="Y155" s="716"/>
      <c r="Z155" s="716"/>
      <c r="AA155" s="2730">
        <v>1</v>
      </c>
    </row>
    <row r="156" spans="1:27" ht="21" customHeight="1" thickBot="1">
      <c r="A156" s="9648"/>
      <c r="B156" s="5603" t="s">
        <v>14823</v>
      </c>
      <c r="C156" s="5604"/>
      <c r="D156" s="5604"/>
      <c r="E156" s="5604"/>
      <c r="F156" s="5604"/>
      <c r="G156" s="5604"/>
      <c r="H156" s="5605"/>
      <c r="I156" s="5606"/>
      <c r="J156" s="5607"/>
      <c r="K156" s="5607"/>
      <c r="L156" s="5608"/>
      <c r="M156" s="716"/>
      <c r="N156" s="716"/>
      <c r="O156" s="716"/>
      <c r="P156" s="716"/>
      <c r="Q156" s="716"/>
      <c r="R156" s="716"/>
      <c r="S156" s="716"/>
      <c r="T156" s="716"/>
      <c r="U156" s="716"/>
      <c r="V156" s="716"/>
      <c r="W156" s="716"/>
      <c r="X156" s="716"/>
      <c r="Y156" s="716"/>
      <c r="Z156" s="716"/>
      <c r="AA156" s="2730">
        <v>1</v>
      </c>
    </row>
    <row r="157" spans="1:27" s="5229" customFormat="1" ht="21" customHeight="1" thickBot="1">
      <c r="A157" s="716"/>
      <c r="B157" s="716"/>
      <c r="C157" s="716"/>
      <c r="D157" s="716"/>
      <c r="E157" s="716"/>
      <c r="F157" s="716"/>
      <c r="G157" s="716"/>
      <c r="H157" s="716"/>
      <c r="I157" s="716"/>
      <c r="J157" s="716"/>
      <c r="K157" s="716"/>
      <c r="L157" s="716"/>
      <c r="M157" s="716"/>
      <c r="N157" s="716"/>
      <c r="O157" s="716"/>
      <c r="P157" s="716"/>
      <c r="Q157" s="716"/>
      <c r="R157" s="716"/>
      <c r="S157" s="716"/>
      <c r="T157" s="716"/>
      <c r="U157" s="716"/>
      <c r="V157" s="716"/>
      <c r="W157" s="716"/>
      <c r="X157" s="716"/>
      <c r="Y157" s="716"/>
      <c r="Z157" s="716"/>
      <c r="AA157" s="2730">
        <v>1</v>
      </c>
    </row>
    <row r="158" spans="1:27" s="5229" customFormat="1" ht="21" customHeight="1">
      <c r="A158" s="5609" t="s">
        <v>67</v>
      </c>
      <c r="B158" s="9696" t="s">
        <v>14816</v>
      </c>
      <c r="C158" s="9697"/>
      <c r="D158" s="9697"/>
      <c r="E158" s="9697"/>
      <c r="F158" s="9697"/>
      <c r="G158" s="9697"/>
      <c r="H158" s="9697"/>
      <c r="I158" s="9697"/>
      <c r="J158" s="9697"/>
      <c r="K158" s="9697"/>
      <c r="L158" s="9698"/>
      <c r="M158" s="716"/>
      <c r="N158" s="716"/>
      <c r="O158" s="716"/>
      <c r="P158" s="716"/>
      <c r="Q158" s="716"/>
      <c r="R158" s="716"/>
      <c r="S158" s="716"/>
      <c r="T158" s="716"/>
      <c r="U158" s="716"/>
      <c r="V158" s="716"/>
      <c r="W158" s="716"/>
      <c r="X158" s="716"/>
      <c r="Y158" s="716"/>
      <c r="Z158" s="716"/>
      <c r="AA158" s="2730">
        <v>1</v>
      </c>
    </row>
    <row r="159" spans="1:27" s="5229" customFormat="1" ht="21" customHeight="1">
      <c r="A159" s="9699" t="str">
        <f>B158</f>
        <v>Nombre de contenants a la pièce avec la fonction MODULO</v>
      </c>
      <c r="B159" s="5610" t="str">
        <f>ADDRESS(ROW(),COLUMN(),4)</f>
        <v>B159</v>
      </c>
      <c r="C159" s="5611" t="s">
        <v>14788</v>
      </c>
      <c r="D159" s="5612"/>
      <c r="E159" s="5612"/>
      <c r="F159" s="5612"/>
      <c r="G159" s="5612"/>
      <c r="H159" s="5612"/>
      <c r="I159" s="5612"/>
      <c r="J159" s="5613"/>
      <c r="K159" s="5614" t="str">
        <f ca="1">MID(CELL("filename",B159),SEARCH("[",CELL("filename",B159))+1,SEARCH("]",CELL("filename",B159))-SEARCH("[",CELL("filename",B159))-1)</f>
        <v>ff-20-CHARCUTERIE-michel-Mariette.BOUDIN.BLANC_-1.xlsx</v>
      </c>
      <c r="L159" s="5615">
        <v>5</v>
      </c>
      <c r="M159" s="716"/>
      <c r="N159" s="716"/>
      <c r="O159" s="716"/>
      <c r="P159" s="716"/>
      <c r="Q159" s="716"/>
      <c r="R159" s="716"/>
      <c r="S159" s="716"/>
      <c r="T159" s="716"/>
      <c r="U159" s="716"/>
      <c r="V159" s="716"/>
      <c r="W159" s="716"/>
      <c r="X159" s="716"/>
      <c r="Y159" s="716"/>
      <c r="Z159" s="716"/>
      <c r="AA159" s="2730">
        <v>1</v>
      </c>
    </row>
    <row r="160" spans="1:27" s="5229" customFormat="1" ht="21" customHeight="1">
      <c r="A160" s="9699"/>
      <c r="B160" s="5616"/>
      <c r="C160" s="5617"/>
      <c r="D160" s="5617"/>
      <c r="E160" s="5617"/>
      <c r="F160" s="5617"/>
      <c r="G160" s="5617"/>
      <c r="H160" s="5617"/>
      <c r="I160" s="5617"/>
      <c r="J160" s="5617"/>
      <c r="K160" s="5617"/>
      <c r="L160" s="5618"/>
      <c r="M160" s="716"/>
      <c r="N160" s="716"/>
      <c r="O160" s="716"/>
      <c r="P160" s="716"/>
      <c r="Q160" s="716"/>
      <c r="R160" s="716"/>
      <c r="S160" s="716"/>
      <c r="T160" s="716"/>
      <c r="U160" s="716"/>
      <c r="V160" s="716"/>
      <c r="W160" s="716"/>
      <c r="X160" s="716"/>
      <c r="Y160" s="716"/>
      <c r="Z160" s="716"/>
      <c r="AA160" s="2730">
        <v>1</v>
      </c>
    </row>
    <row r="161" spans="1:27" s="5229" customFormat="1" ht="21" customHeight="1">
      <c r="A161" s="9699"/>
      <c r="B161" s="5619"/>
      <c r="C161" s="5620"/>
      <c r="D161" s="5621" t="s">
        <v>1753</v>
      </c>
      <c r="E161" s="5622">
        <v>680</v>
      </c>
      <c r="F161" s="5623" t="s">
        <v>14839</v>
      </c>
      <c r="G161" s="5624">
        <f>IF(MOD(E161,E163)&gt;MOD(E161,E163)/2,INT(E161/E163)+1,INT(E161/E163))</f>
        <v>57</v>
      </c>
      <c r="H161" s="5624" t="s">
        <v>14834</v>
      </c>
      <c r="I161" s="5624"/>
      <c r="J161" s="5624"/>
      <c r="K161" s="5624"/>
      <c r="L161" s="5618"/>
      <c r="M161" s="716"/>
      <c r="N161" s="716"/>
      <c r="O161" s="716"/>
      <c r="P161" s="716"/>
      <c r="Q161" s="716"/>
      <c r="R161" s="716"/>
      <c r="S161" s="716"/>
      <c r="T161" s="716"/>
      <c r="U161" s="716"/>
      <c r="V161" s="716"/>
      <c r="W161" s="716"/>
      <c r="X161" s="716"/>
      <c r="Y161" s="716"/>
      <c r="Z161" s="716"/>
      <c r="AA161" s="2730">
        <v>1</v>
      </c>
    </row>
    <row r="162" spans="1:27" s="5229" customFormat="1" ht="21" customHeight="1">
      <c r="A162" s="9699"/>
      <c r="B162" s="5619"/>
      <c r="C162" s="5625"/>
      <c r="D162" s="5626"/>
      <c r="E162" s="5625"/>
      <c r="F162" s="5625"/>
      <c r="G162" s="5625"/>
      <c r="H162" s="5625"/>
      <c r="I162" s="5625"/>
      <c r="J162" s="5625"/>
      <c r="K162" s="5625"/>
      <c r="L162" s="5618"/>
      <c r="M162" s="716"/>
      <c r="N162" s="716"/>
      <c r="O162" s="716"/>
      <c r="P162" s="716"/>
      <c r="Q162" s="716"/>
      <c r="R162" s="716"/>
      <c r="S162" s="716"/>
      <c r="T162" s="716"/>
      <c r="U162" s="716"/>
      <c r="V162" s="716"/>
      <c r="W162" s="716"/>
      <c r="X162" s="716"/>
      <c r="Y162" s="716"/>
      <c r="Z162" s="716"/>
      <c r="AA162" s="2730">
        <v>1</v>
      </c>
    </row>
    <row r="163" spans="1:27" s="5229" customFormat="1" ht="21" customHeight="1">
      <c r="A163" s="9699"/>
      <c r="B163" s="5619"/>
      <c r="C163" s="5627"/>
      <c r="D163" s="5628" t="s">
        <v>14829</v>
      </c>
      <c r="E163" s="5622">
        <v>12</v>
      </c>
      <c r="F163" s="5629" t="str">
        <f>F161</f>
        <v>chouquettes</v>
      </c>
      <c r="G163" s="5624">
        <f>INT(E161/E163)</f>
        <v>56</v>
      </c>
      <c r="H163" s="5630" t="s">
        <v>14840</v>
      </c>
      <c r="I163" s="5631">
        <f>E163</f>
        <v>12</v>
      </c>
      <c r="J163" s="5629" t="str">
        <f>F163</f>
        <v>chouquettes</v>
      </c>
      <c r="K163" s="5630">
        <f>I163*G163</f>
        <v>672</v>
      </c>
      <c r="L163" s="5632"/>
      <c r="M163" s="716"/>
      <c r="N163" s="716"/>
      <c r="O163" s="716"/>
      <c r="P163" s="716"/>
      <c r="Q163" s="716"/>
      <c r="R163" s="716"/>
      <c r="S163" s="716"/>
      <c r="T163" s="716"/>
      <c r="U163" s="716"/>
      <c r="V163" s="716"/>
      <c r="W163" s="716"/>
      <c r="X163" s="716"/>
      <c r="Y163" s="716"/>
      <c r="Z163" s="716"/>
      <c r="AA163" s="2730">
        <v>1</v>
      </c>
    </row>
    <row r="164" spans="1:27" s="5229" customFormat="1" ht="21" customHeight="1">
      <c r="A164" s="9699"/>
      <c r="B164" s="5633"/>
      <c r="C164" s="5625"/>
      <c r="D164" s="5625"/>
      <c r="E164" s="5625"/>
      <c r="F164" s="5625"/>
      <c r="G164" s="5625"/>
      <c r="H164" s="5634" t="str">
        <f>IF(K163=E161,"",IF(I164&gt;0,"Plus 1 de"))</f>
        <v>Plus 1 de</v>
      </c>
      <c r="I164" s="5631">
        <f>IF(K163=E161,"",MOD(E161,E163))</f>
        <v>8</v>
      </c>
      <c r="J164" s="5629" t="str">
        <f>IF(K163=E161,"",J163)</f>
        <v>chouquettes</v>
      </c>
      <c r="K164" s="5630">
        <f>IF(K163=E161,"",K163+I164)</f>
        <v>680</v>
      </c>
      <c r="L164" s="5632"/>
      <c r="M164" s="716"/>
      <c r="N164" s="716"/>
      <c r="O164" s="716"/>
      <c r="P164" s="716"/>
      <c r="Q164" s="716"/>
      <c r="R164" s="716"/>
      <c r="S164" s="716"/>
      <c r="T164" s="716"/>
      <c r="U164" s="716"/>
      <c r="V164" s="716"/>
      <c r="W164" s="716"/>
      <c r="X164" s="716"/>
      <c r="Y164" s="716"/>
      <c r="Z164" s="716"/>
      <c r="AA164" s="2730">
        <v>1</v>
      </c>
    </row>
    <row r="165" spans="1:27" s="5229" customFormat="1" ht="21" customHeight="1">
      <c r="A165" s="9699"/>
      <c r="B165" s="5633"/>
      <c r="C165" s="5625"/>
      <c r="D165" s="5625"/>
      <c r="E165" s="5625"/>
      <c r="F165" s="5625"/>
      <c r="G165" s="5625"/>
      <c r="H165" s="5634"/>
      <c r="I165" s="5635"/>
      <c r="J165" s="5636"/>
      <c r="K165" s="5637"/>
      <c r="L165" s="5632"/>
      <c r="M165" s="716"/>
      <c r="N165" s="716"/>
      <c r="O165" s="716"/>
      <c r="P165" s="716"/>
      <c r="Q165" s="716"/>
      <c r="R165" s="716"/>
      <c r="S165" s="716"/>
      <c r="T165" s="716"/>
      <c r="U165" s="716"/>
      <c r="V165" s="716"/>
      <c r="W165" s="716"/>
      <c r="X165" s="716"/>
      <c r="Y165" s="716"/>
      <c r="Z165" s="716"/>
      <c r="AA165" s="2730">
        <v>1</v>
      </c>
    </row>
    <row r="166" spans="1:27" s="5229" customFormat="1" ht="21" customHeight="1">
      <c r="A166" s="9699"/>
      <c r="B166" s="9701" t="s">
        <v>14841</v>
      </c>
      <c r="C166" s="9702"/>
      <c r="D166" s="9702"/>
      <c r="E166" s="9702"/>
      <c r="F166" s="9702"/>
      <c r="G166" s="9702"/>
      <c r="H166" s="9702"/>
      <c r="I166" s="9702"/>
      <c r="J166" s="9702"/>
      <c r="K166" s="9702"/>
      <c r="L166" s="5618"/>
      <c r="M166" s="716"/>
      <c r="N166" s="716"/>
      <c r="O166" s="716"/>
      <c r="P166" s="716"/>
      <c r="Q166" s="716"/>
      <c r="R166" s="716"/>
      <c r="S166" s="716"/>
      <c r="T166" s="716"/>
      <c r="U166" s="716"/>
      <c r="V166" s="716"/>
      <c r="W166" s="716"/>
      <c r="X166" s="716"/>
      <c r="Y166" s="716"/>
      <c r="Z166" s="716"/>
      <c r="AA166" s="2730">
        <v>1</v>
      </c>
    </row>
    <row r="167" spans="1:27" s="5229" customFormat="1" ht="21" customHeight="1">
      <c r="A167" s="9699"/>
      <c r="B167" s="9703" t="s">
        <v>14803</v>
      </c>
      <c r="C167" s="9704"/>
      <c r="D167" s="9704"/>
      <c r="E167" s="9704"/>
      <c r="F167" s="9704"/>
      <c r="G167" s="9704"/>
      <c r="H167" s="9704"/>
      <c r="I167" s="9704"/>
      <c r="J167" s="9704"/>
      <c r="K167" s="9704"/>
      <c r="L167" s="5618"/>
      <c r="M167" s="716"/>
      <c r="N167" s="716"/>
      <c r="O167" s="716"/>
      <c r="P167" s="716"/>
      <c r="Q167" s="716"/>
      <c r="R167" s="716"/>
      <c r="S167" s="716"/>
      <c r="T167" s="716"/>
      <c r="U167" s="716"/>
      <c r="V167" s="716"/>
      <c r="W167" s="716"/>
      <c r="X167" s="716"/>
      <c r="Y167" s="716"/>
      <c r="Z167" s="716"/>
      <c r="AA167" s="2730">
        <v>1</v>
      </c>
    </row>
    <row r="168" spans="1:27" s="5229" customFormat="1" ht="21" customHeight="1">
      <c r="A168" s="9699"/>
      <c r="B168" s="5638" t="s">
        <v>7</v>
      </c>
      <c r="C168" s="5639" t="str">
        <f ca="1">CELL("nomfichier")</f>
        <v>D:\Données\1.UPRT\0-UPRT.fait\1-UPRT.FR-SITE-WEB\ff-fiches-fabrications\ff.fiches.fabrication.2023\UPRT.23.aout\[ff-20-CHARCUTERIE-michel-Mariette.BOUDIN.BLANC_-1.xlsx]Exemples Michel Mariette</v>
      </c>
      <c r="D168" s="5639"/>
      <c r="E168" s="5639"/>
      <c r="F168" s="5639"/>
      <c r="G168" s="5639"/>
      <c r="H168" s="5639"/>
      <c r="I168" s="5639"/>
      <c r="J168" s="5639"/>
      <c r="K168" s="5639"/>
      <c r="L168" s="5640"/>
      <c r="M168" s="716"/>
      <c r="N168" s="716"/>
      <c r="O168" s="716"/>
      <c r="P168" s="716"/>
      <c r="Q168" s="716"/>
      <c r="R168" s="716"/>
      <c r="S168" s="716"/>
      <c r="T168" s="716"/>
      <c r="U168" s="716"/>
      <c r="V168" s="716"/>
      <c r="W168" s="716"/>
      <c r="X168" s="716"/>
      <c r="Y168" s="716"/>
      <c r="Z168" s="716"/>
      <c r="AA168" s="2730">
        <v>1</v>
      </c>
    </row>
    <row r="169" spans="1:27" s="5229" customFormat="1" ht="21" customHeight="1" thickBot="1">
      <c r="A169" s="9700"/>
      <c r="B169" s="5641" t="s">
        <v>8</v>
      </c>
      <c r="C169" s="5642"/>
      <c r="D169" s="5642"/>
      <c r="E169" s="5642"/>
      <c r="F169" s="5642"/>
      <c r="G169" s="5642"/>
      <c r="H169" s="5642"/>
      <c r="I169" s="5642"/>
      <c r="J169" s="5642"/>
      <c r="K169" s="5642"/>
      <c r="L169" s="5643"/>
      <c r="M169" s="716"/>
      <c r="N169" s="716"/>
      <c r="O169" s="716"/>
      <c r="P169" s="716"/>
      <c r="Q169" s="716"/>
      <c r="R169" s="716"/>
      <c r="S169" s="716"/>
      <c r="T169" s="716"/>
      <c r="U169" s="716"/>
      <c r="V169" s="716"/>
      <c r="W169" s="716"/>
      <c r="X169" s="716"/>
      <c r="Y169" s="716"/>
      <c r="Z169" s="716"/>
      <c r="AA169" s="2730">
        <v>1</v>
      </c>
    </row>
    <row r="170" spans="1:27" s="5229" customFormat="1" ht="21" customHeight="1" thickBot="1">
      <c r="A170" s="716"/>
      <c r="B170" s="716"/>
      <c r="C170" s="716"/>
      <c r="D170" s="716"/>
      <c r="E170" s="716"/>
      <c r="F170" s="716"/>
      <c r="G170" s="716"/>
      <c r="H170" s="716"/>
      <c r="I170" s="716"/>
      <c r="J170" s="716"/>
      <c r="K170" s="716"/>
      <c r="L170" s="716"/>
      <c r="M170" s="716"/>
      <c r="N170" s="716"/>
      <c r="O170" s="716"/>
      <c r="P170" s="716"/>
      <c r="Q170" s="716"/>
      <c r="R170" s="716"/>
      <c r="S170" s="716"/>
      <c r="T170" s="716"/>
      <c r="U170" s="716"/>
      <c r="V170" s="716"/>
      <c r="W170" s="716"/>
      <c r="X170" s="716"/>
      <c r="Y170" s="716"/>
      <c r="Z170" s="716"/>
      <c r="AA170" s="2730">
        <v>1</v>
      </c>
    </row>
    <row r="171" spans="1:27" s="5229" customFormat="1" ht="21" customHeight="1">
      <c r="A171" s="5609" t="s">
        <v>67</v>
      </c>
      <c r="B171" s="9696" t="s">
        <v>14817</v>
      </c>
      <c r="C171" s="9697"/>
      <c r="D171" s="9697"/>
      <c r="E171" s="9697"/>
      <c r="F171" s="9697"/>
      <c r="G171" s="9697"/>
      <c r="H171" s="9697"/>
      <c r="I171" s="9697"/>
      <c r="J171" s="9697"/>
      <c r="K171" s="9698"/>
      <c r="L171" s="716"/>
      <c r="M171" s="716"/>
      <c r="N171" s="716"/>
      <c r="O171" s="716"/>
      <c r="P171" s="716"/>
      <c r="Q171" s="716"/>
      <c r="R171" s="716"/>
      <c r="S171" s="716"/>
      <c r="T171" s="716"/>
      <c r="U171" s="716"/>
      <c r="V171" s="716"/>
      <c r="W171" s="716"/>
      <c r="X171" s="716"/>
      <c r="Y171" s="716"/>
      <c r="Z171" s="716"/>
      <c r="AA171" s="2730">
        <v>1</v>
      </c>
    </row>
    <row r="172" spans="1:27" s="5229" customFormat="1" ht="21" customHeight="1">
      <c r="A172" s="9699" t="str">
        <f>B171</f>
        <v>Nombre de contenants au poids avec la fonction MODULO</v>
      </c>
      <c r="B172" s="5610" t="str">
        <f>ADDRESS(ROW(),COLUMN(),4)</f>
        <v>B172</v>
      </c>
      <c r="C172" s="5611" t="s">
        <v>14788</v>
      </c>
      <c r="D172" s="5612"/>
      <c r="E172" s="5612"/>
      <c r="F172" s="5612"/>
      <c r="G172" s="5612"/>
      <c r="H172" s="5612"/>
      <c r="I172" s="5613"/>
      <c r="J172" s="5614" t="str">
        <f ca="1">MID(CELL("filename",B172),SEARCH("[",CELL("filename",B172))+1,SEARCH("]",CELL("filename",B172))-SEARCH("[",CELL("filename",B172))-1)</f>
        <v>ff-20-CHARCUTERIE-michel-Mariette.BOUDIN.BLANC_-1.xlsx</v>
      </c>
      <c r="K172" s="5615">
        <v>5</v>
      </c>
      <c r="L172" s="716"/>
      <c r="M172" s="716"/>
      <c r="N172" s="716"/>
      <c r="O172" s="716"/>
      <c r="P172" s="716"/>
      <c r="Q172" s="716"/>
      <c r="R172" s="716"/>
      <c r="S172" s="716"/>
      <c r="T172" s="716"/>
      <c r="U172" s="716"/>
      <c r="V172" s="716"/>
      <c r="W172" s="716"/>
      <c r="X172" s="716"/>
      <c r="Y172" s="716"/>
      <c r="Z172" s="716"/>
      <c r="AA172" s="2730">
        <v>1</v>
      </c>
    </row>
    <row r="173" spans="1:27" s="5229" customFormat="1" ht="21" customHeight="1">
      <c r="A173" s="9699"/>
      <c r="B173" s="5616"/>
      <c r="C173" s="5617"/>
      <c r="D173" s="5617"/>
      <c r="E173" s="5617"/>
      <c r="F173" s="5617"/>
      <c r="G173" s="5617"/>
      <c r="H173" s="5617"/>
      <c r="I173" s="5617"/>
      <c r="J173" s="5617"/>
      <c r="K173" s="5618"/>
      <c r="L173" s="716"/>
      <c r="M173" s="716"/>
      <c r="N173" s="716"/>
      <c r="O173" s="716"/>
      <c r="P173" s="716"/>
      <c r="Q173" s="716"/>
      <c r="R173" s="716"/>
      <c r="S173" s="716"/>
      <c r="T173" s="716"/>
      <c r="U173" s="716"/>
      <c r="V173" s="716"/>
      <c r="W173" s="716"/>
      <c r="X173" s="716"/>
      <c r="Y173" s="716"/>
      <c r="Z173" s="716"/>
      <c r="AA173" s="2730">
        <v>1</v>
      </c>
    </row>
    <row r="174" spans="1:27" s="5229" customFormat="1" ht="21" customHeight="1">
      <c r="A174" s="9699"/>
      <c r="B174" s="5619"/>
      <c r="C174" s="5620"/>
      <c r="D174" s="5621" t="s">
        <v>1753</v>
      </c>
      <c r="E174" s="5644">
        <v>11</v>
      </c>
      <c r="F174" s="5624">
        <f>IF(MOD(E174,E176)&gt;MOD(E174,E176)/2,INT(E174/E176)+1,INT(E174/E176))</f>
        <v>37</v>
      </c>
      <c r="G174" s="5624" t="s">
        <v>14834</v>
      </c>
      <c r="H174" s="5624"/>
      <c r="I174" s="5624"/>
      <c r="J174" s="5624"/>
      <c r="K174" s="5618"/>
      <c r="L174" s="716"/>
      <c r="M174" s="716"/>
      <c r="N174" s="716"/>
      <c r="O174" s="716"/>
      <c r="P174" s="716"/>
      <c r="Q174" s="716"/>
      <c r="R174" s="716"/>
      <c r="S174" s="716"/>
      <c r="T174" s="716"/>
      <c r="U174" s="716"/>
      <c r="V174" s="716"/>
      <c r="W174" s="716"/>
      <c r="X174" s="716"/>
      <c r="Y174" s="716"/>
      <c r="Z174" s="716"/>
      <c r="AA174" s="2730">
        <v>1</v>
      </c>
    </row>
    <row r="175" spans="1:27" s="5229" customFormat="1" ht="21" customHeight="1">
      <c r="A175" s="9699"/>
      <c r="B175" s="5619"/>
      <c r="C175" s="5625"/>
      <c r="D175" s="5626"/>
      <c r="E175" s="5625"/>
      <c r="F175" s="5625"/>
      <c r="G175" s="5625"/>
      <c r="H175" s="5625"/>
      <c r="I175" s="5625"/>
      <c r="J175" s="5625"/>
      <c r="K175" s="5618"/>
      <c r="L175" s="716"/>
      <c r="M175" s="716"/>
      <c r="N175" s="716"/>
      <c r="O175" s="716"/>
      <c r="P175" s="716"/>
      <c r="Q175" s="716"/>
      <c r="R175" s="716"/>
      <c r="S175" s="716"/>
      <c r="T175" s="716"/>
      <c r="U175" s="716"/>
      <c r="V175" s="716"/>
      <c r="W175" s="716"/>
      <c r="X175" s="716"/>
      <c r="Y175" s="716"/>
      <c r="Z175" s="716"/>
      <c r="AA175" s="2730">
        <v>1</v>
      </c>
    </row>
    <row r="176" spans="1:27" s="5229" customFormat="1" ht="21" customHeight="1">
      <c r="A176" s="9699"/>
      <c r="B176" s="5619"/>
      <c r="C176" s="5627"/>
      <c r="D176" s="5628" t="s">
        <v>14829</v>
      </c>
      <c r="E176" s="5645">
        <v>0.3</v>
      </c>
      <c r="F176" s="5624">
        <f>INT(E174/E176)</f>
        <v>36</v>
      </c>
      <c r="G176" s="9705">
        <f>E176</f>
        <v>0.3</v>
      </c>
      <c r="H176" s="9705"/>
      <c r="I176" s="5625"/>
      <c r="J176" s="5646">
        <f>E176*F176</f>
        <v>10.799999999999999</v>
      </c>
      <c r="K176" s="5618"/>
      <c r="L176" s="716"/>
      <c r="M176" s="716"/>
      <c r="N176" s="716"/>
      <c r="O176" s="716"/>
      <c r="P176" s="716"/>
      <c r="Q176" s="716"/>
      <c r="R176" s="716"/>
      <c r="S176" s="716"/>
      <c r="T176" s="716"/>
      <c r="U176" s="716"/>
      <c r="V176" s="716"/>
      <c r="W176" s="716"/>
      <c r="X176" s="716"/>
      <c r="Y176" s="716"/>
      <c r="Z176" s="716"/>
      <c r="AA176" s="2730">
        <v>1</v>
      </c>
    </row>
    <row r="177" spans="1:27" s="5229" customFormat="1" ht="21" customHeight="1">
      <c r="A177" s="9699"/>
      <c r="B177" s="5633"/>
      <c r="C177" s="5625"/>
      <c r="D177" s="5625"/>
      <c r="E177" s="5625"/>
      <c r="F177" s="5647"/>
      <c r="G177" s="5634" t="str">
        <f>IF(J176=E174,"","Plus 1 de")</f>
        <v>Plus 1 de</v>
      </c>
      <c r="H177" s="5648">
        <f>IF(J176=E174,"",MOD(E174,E176))</f>
        <v>0.2000000000000004</v>
      </c>
      <c r="I177" s="5636"/>
      <c r="J177" s="5646">
        <f>IF(J176=E174,"",J176+H177)</f>
        <v>11</v>
      </c>
      <c r="K177" s="5618"/>
      <c r="L177" s="716"/>
      <c r="M177" s="716"/>
      <c r="N177" s="716"/>
      <c r="O177" s="716"/>
      <c r="P177" s="716"/>
      <c r="Q177" s="716"/>
      <c r="R177" s="716"/>
      <c r="S177" s="716"/>
      <c r="T177" s="716"/>
      <c r="U177" s="716"/>
      <c r="V177" s="716"/>
      <c r="W177" s="716"/>
      <c r="X177" s="716"/>
      <c r="Y177" s="716"/>
      <c r="Z177" s="716"/>
      <c r="AA177" s="2730">
        <v>1</v>
      </c>
    </row>
    <row r="178" spans="1:27" s="5229" customFormat="1" ht="21" customHeight="1">
      <c r="A178" s="9699"/>
      <c r="B178" s="9701" t="s">
        <v>14841</v>
      </c>
      <c r="C178" s="9702"/>
      <c r="D178" s="9702"/>
      <c r="E178" s="9702"/>
      <c r="F178" s="9702"/>
      <c r="G178" s="9702"/>
      <c r="H178" s="9702"/>
      <c r="I178" s="9702"/>
      <c r="J178" s="9702"/>
      <c r="K178" s="5618"/>
      <c r="L178" s="716"/>
      <c r="M178" s="716"/>
      <c r="N178" s="716"/>
      <c r="O178" s="716"/>
      <c r="P178" s="716"/>
      <c r="Q178" s="716"/>
      <c r="R178" s="716"/>
      <c r="S178" s="716"/>
      <c r="T178" s="716"/>
      <c r="U178" s="716"/>
      <c r="V178" s="716"/>
      <c r="W178" s="716"/>
      <c r="X178" s="716"/>
      <c r="Y178" s="716"/>
      <c r="Z178" s="716"/>
      <c r="AA178" s="2730">
        <v>1</v>
      </c>
    </row>
    <row r="179" spans="1:27" s="5229" customFormat="1" ht="21" customHeight="1">
      <c r="A179" s="9699"/>
      <c r="B179" s="9706" t="s">
        <v>14803</v>
      </c>
      <c r="C179" s="9707"/>
      <c r="D179" s="9707"/>
      <c r="E179" s="9707"/>
      <c r="F179" s="9707"/>
      <c r="G179" s="9707"/>
      <c r="H179" s="9707"/>
      <c r="I179" s="9707"/>
      <c r="J179" s="9707"/>
      <c r="K179" s="9708"/>
      <c r="L179" s="716"/>
      <c r="M179" s="716"/>
      <c r="N179" s="716"/>
      <c r="O179" s="716"/>
      <c r="P179" s="716"/>
      <c r="Q179" s="716"/>
      <c r="R179" s="716"/>
      <c r="S179" s="716"/>
      <c r="T179" s="716"/>
      <c r="U179" s="716"/>
      <c r="V179" s="716"/>
      <c r="W179" s="716"/>
      <c r="X179" s="716"/>
      <c r="Y179" s="716"/>
      <c r="Z179" s="716"/>
      <c r="AA179" s="2730">
        <v>1</v>
      </c>
    </row>
    <row r="180" spans="1:27" s="5229" customFormat="1" ht="21" customHeight="1">
      <c r="A180" s="9699"/>
      <c r="B180" s="5649" t="s">
        <v>14822</v>
      </c>
      <c r="C180" s="5650"/>
      <c r="D180" s="5650"/>
      <c r="E180" s="5650"/>
      <c r="F180" s="5650"/>
      <c r="G180" s="5650"/>
      <c r="H180" s="5650"/>
      <c r="I180" s="5650"/>
      <c r="J180" s="5650"/>
      <c r="K180" s="5618"/>
      <c r="L180" s="716"/>
      <c r="M180" s="716"/>
      <c r="N180" s="716"/>
      <c r="O180" s="716"/>
      <c r="P180" s="716"/>
      <c r="Q180" s="716"/>
      <c r="R180" s="716"/>
      <c r="S180" s="716"/>
      <c r="T180" s="716"/>
      <c r="U180" s="716"/>
      <c r="V180" s="716"/>
      <c r="W180" s="716"/>
      <c r="X180" s="716"/>
      <c r="Y180" s="716"/>
      <c r="Z180" s="716"/>
      <c r="AA180" s="2730">
        <v>1</v>
      </c>
    </row>
    <row r="181" spans="1:27" s="5229" customFormat="1" ht="21" customHeight="1">
      <c r="A181" s="9699"/>
      <c r="B181" s="5526" t="s">
        <v>14823</v>
      </c>
      <c r="C181" s="5651"/>
      <c r="D181" s="5651"/>
      <c r="E181" s="5651"/>
      <c r="F181" s="5651"/>
      <c r="G181" s="5651"/>
      <c r="H181" s="5651"/>
      <c r="I181" s="5651"/>
      <c r="J181" s="5651"/>
      <c r="K181" s="5652"/>
      <c r="L181" s="716"/>
      <c r="M181" s="716"/>
      <c r="N181" s="716"/>
      <c r="O181" s="716"/>
      <c r="P181" s="716"/>
      <c r="Q181" s="716"/>
      <c r="R181" s="716"/>
      <c r="S181" s="716"/>
      <c r="T181" s="716"/>
      <c r="U181" s="716"/>
      <c r="V181" s="716"/>
      <c r="W181" s="716"/>
      <c r="X181" s="716"/>
      <c r="Y181" s="716"/>
      <c r="Z181" s="716"/>
      <c r="AA181" s="2730">
        <v>1</v>
      </c>
    </row>
    <row r="182" spans="1:27" s="5229" customFormat="1" ht="21" customHeight="1">
      <c r="A182" s="9699"/>
      <c r="B182" s="5638" t="s">
        <v>7</v>
      </c>
      <c r="C182" s="5639" t="str">
        <f ca="1">CELL("nomfichier")</f>
        <v>D:\Données\1.UPRT\0-UPRT.fait\1-UPRT.FR-SITE-WEB\ff-fiches-fabrications\ff.fiches.fabrication.2023\UPRT.23.aout\[ff-20-CHARCUTERIE-michel-Mariette.BOUDIN.BLANC_-1.xlsx]Exemples Michel Mariette</v>
      </c>
      <c r="D182" s="5639"/>
      <c r="E182" s="5639"/>
      <c r="F182" s="5639"/>
      <c r="G182" s="5639"/>
      <c r="H182" s="5639"/>
      <c r="I182" s="5639"/>
      <c r="J182" s="5639"/>
      <c r="K182" s="5640"/>
      <c r="L182" s="716"/>
      <c r="M182" s="716"/>
      <c r="N182" s="716"/>
      <c r="O182" s="716"/>
      <c r="P182" s="716"/>
      <c r="Q182" s="716"/>
      <c r="R182" s="716"/>
      <c r="S182" s="716"/>
      <c r="T182" s="716"/>
      <c r="U182" s="716"/>
      <c r="V182" s="716"/>
      <c r="W182" s="716"/>
      <c r="X182" s="716"/>
      <c r="Y182" s="716"/>
      <c r="Z182" s="716"/>
      <c r="AA182" s="2730">
        <v>1</v>
      </c>
    </row>
    <row r="183" spans="1:27" s="5229" customFormat="1" ht="21" customHeight="1" thickBot="1">
      <c r="A183" s="9700"/>
      <c r="B183" s="5641" t="s">
        <v>8</v>
      </c>
      <c r="C183" s="5642"/>
      <c r="D183" s="5642"/>
      <c r="E183" s="5642"/>
      <c r="F183" s="5642"/>
      <c r="G183" s="5642"/>
      <c r="H183" s="5642"/>
      <c r="I183" s="5642"/>
      <c r="J183" s="5642"/>
      <c r="K183" s="5643"/>
      <c r="L183" s="716"/>
      <c r="M183" s="716"/>
      <c r="N183" s="716"/>
      <c r="O183" s="716"/>
      <c r="P183" s="716"/>
      <c r="Q183" s="716"/>
      <c r="R183" s="716"/>
      <c r="S183" s="716"/>
      <c r="T183" s="716"/>
      <c r="U183" s="716"/>
      <c r="V183" s="716"/>
      <c r="W183" s="716"/>
      <c r="X183" s="716"/>
      <c r="Y183" s="716"/>
      <c r="Z183" s="716"/>
      <c r="AA183" s="2730">
        <v>1</v>
      </c>
    </row>
    <row r="184" spans="1:27" s="5229" customFormat="1" ht="21" customHeight="1">
      <c r="A184" s="716"/>
      <c r="B184" s="716"/>
      <c r="C184" s="716"/>
      <c r="D184" s="716"/>
      <c r="E184" s="716"/>
      <c r="F184" s="716"/>
      <c r="G184" s="716"/>
      <c r="H184" s="716"/>
      <c r="I184" s="716"/>
      <c r="J184" s="716"/>
      <c r="K184" s="716"/>
      <c r="L184" s="716"/>
      <c r="M184" s="716"/>
      <c r="N184" s="716"/>
      <c r="O184" s="716"/>
      <c r="P184" s="716"/>
      <c r="Q184" s="716"/>
      <c r="R184" s="716"/>
      <c r="S184" s="716"/>
      <c r="T184" s="716"/>
      <c r="U184" s="716"/>
      <c r="V184" s="716"/>
      <c r="W184" s="716"/>
      <c r="X184" s="716"/>
      <c r="Y184" s="716"/>
      <c r="Z184" s="716"/>
      <c r="AA184" s="2730">
        <v>1</v>
      </c>
    </row>
    <row r="185" spans="1:27" s="5229" customFormat="1" ht="21" customHeight="1" thickBot="1">
      <c r="A185" s="716"/>
      <c r="B185" s="716"/>
      <c r="C185" s="716"/>
      <c r="D185" s="716"/>
      <c r="E185" s="716"/>
      <c r="F185" s="716"/>
      <c r="G185" s="716"/>
      <c r="H185" s="716"/>
      <c r="I185" s="716"/>
      <c r="J185" s="716"/>
      <c r="K185" s="716"/>
      <c r="L185" s="716"/>
      <c r="M185" s="716"/>
      <c r="N185" s="716"/>
      <c r="O185" s="716"/>
      <c r="P185" s="716"/>
      <c r="Q185" s="716"/>
      <c r="R185" s="716"/>
      <c r="S185" s="716"/>
      <c r="T185" s="716"/>
      <c r="U185" s="716"/>
      <c r="V185" s="716"/>
      <c r="W185" s="716"/>
      <c r="X185" s="716"/>
      <c r="Y185" s="716"/>
      <c r="Z185" s="716"/>
      <c r="AA185" s="2730">
        <v>1</v>
      </c>
    </row>
    <row r="186" spans="1:27" s="5229" customFormat="1" ht="21" customHeight="1">
      <c r="A186" s="5446" t="s">
        <v>67</v>
      </c>
      <c r="B186" s="9642" t="s">
        <v>14813</v>
      </c>
      <c r="C186" s="9643"/>
      <c r="D186" s="9643"/>
      <c r="E186" s="9644"/>
      <c r="F186" s="716"/>
      <c r="G186" s="5447" t="s">
        <v>67</v>
      </c>
      <c r="H186" s="9645" t="s">
        <v>14813</v>
      </c>
      <c r="I186" s="9646"/>
      <c r="J186" s="9646"/>
      <c r="K186" s="9646"/>
      <c r="L186" s="9646"/>
      <c r="M186" s="9646"/>
      <c r="N186" s="9646"/>
      <c r="O186" s="9646"/>
      <c r="P186" s="9646"/>
      <c r="Q186" s="9646"/>
      <c r="R186" s="9646"/>
      <c r="S186" s="9647"/>
      <c r="T186" s="716"/>
      <c r="U186" s="716"/>
      <c r="V186" s="716"/>
      <c r="W186" s="716"/>
      <c r="X186" s="716"/>
      <c r="Y186" s="716"/>
      <c r="Z186" s="716"/>
      <c r="AA186" s="2730">
        <v>1</v>
      </c>
    </row>
    <row r="187" spans="1:27" s="5229" customFormat="1" ht="21" customHeight="1">
      <c r="A187" s="9648" t="str">
        <f>B186</f>
        <v>CONDITIONNEMENT AU POIDS</v>
      </c>
      <c r="B187" s="5479" t="str">
        <f>ADDRESS(ROW(),COLUMN(),4)</f>
        <v>B187</v>
      </c>
      <c r="C187" s="5480" t="s">
        <v>14788</v>
      </c>
      <c r="D187" s="5546"/>
      <c r="E187" s="5653"/>
      <c r="F187" s="716"/>
      <c r="G187" s="9648" t="str">
        <f>H186</f>
        <v>CONDITIONNEMENT AU POIDS</v>
      </c>
      <c r="H187" s="5654" t="str">
        <f>ADDRESS(ROW(),COLUMN(),4)</f>
        <v>H187</v>
      </c>
      <c r="I187" s="5364" t="s">
        <v>14788</v>
      </c>
      <c r="J187" s="5241"/>
      <c r="K187" s="5655"/>
      <c r="L187" s="5655"/>
      <c r="M187" s="5655"/>
      <c r="N187" s="5655"/>
      <c r="O187" s="5655"/>
      <c r="P187" s="5656"/>
      <c r="Q187" s="5657" t="s">
        <v>14842</v>
      </c>
      <c r="R187" s="5658">
        <f>M188+Q188</f>
        <v>2</v>
      </c>
      <c r="S187" s="5659"/>
      <c r="T187" s="716"/>
      <c r="U187" s="716"/>
      <c r="V187" s="716"/>
      <c r="W187" s="716"/>
      <c r="X187" s="716"/>
      <c r="Y187" s="716"/>
      <c r="Z187" s="716"/>
      <c r="AA187" s="2730">
        <v>1</v>
      </c>
    </row>
    <row r="188" spans="1:27" s="5229" customFormat="1" ht="21" customHeight="1">
      <c r="A188" s="9648"/>
      <c r="B188" s="9669" t="s">
        <v>14843</v>
      </c>
      <c r="C188" s="9670" t="s">
        <v>14844</v>
      </c>
      <c r="D188" s="9671" t="s">
        <v>14845</v>
      </c>
      <c r="E188" s="9666" t="s">
        <v>14846</v>
      </c>
      <c r="F188" s="716"/>
      <c r="G188" s="9648"/>
      <c r="H188" s="9669" t="s">
        <v>14843</v>
      </c>
      <c r="I188" s="9670" t="s">
        <v>14844</v>
      </c>
      <c r="J188" s="9671" t="s">
        <v>14845</v>
      </c>
      <c r="K188" s="9686" t="s">
        <v>14846</v>
      </c>
      <c r="L188" s="9688" t="s">
        <v>14830</v>
      </c>
      <c r="M188" s="9691">
        <f>IF(ISBLANK(I190),0,INT(H190/I190))</f>
        <v>1</v>
      </c>
      <c r="N188" s="5660" t="s">
        <v>14840</v>
      </c>
      <c r="O188" s="5661" t="s">
        <v>14847</v>
      </c>
      <c r="P188" s="9692" t="s">
        <v>14848</v>
      </c>
      <c r="Q188" s="9691">
        <f>IF(ISBLANK(I190),0,ROUNDUP((H190/I190)-INT(H190/I190),0))</f>
        <v>1</v>
      </c>
      <c r="R188" s="5660" t="s">
        <v>14840</v>
      </c>
      <c r="S188" s="5662" t="s">
        <v>14847</v>
      </c>
      <c r="T188" s="716"/>
      <c r="U188" s="716"/>
      <c r="V188" s="716"/>
      <c r="W188" s="716"/>
      <c r="X188" s="716"/>
      <c r="Y188" s="716"/>
      <c r="Z188" s="716"/>
      <c r="AA188" s="2730">
        <v>1</v>
      </c>
    </row>
    <row r="189" spans="1:27" s="5229" customFormat="1" ht="21" customHeight="1">
      <c r="A189" s="9648"/>
      <c r="B189" s="9653"/>
      <c r="C189" s="9656"/>
      <c r="D189" s="9658"/>
      <c r="E189" s="9666"/>
      <c r="F189" s="716"/>
      <c r="G189" s="9648"/>
      <c r="H189" s="9654"/>
      <c r="I189" s="9656"/>
      <c r="J189" s="9658"/>
      <c r="K189" s="9687"/>
      <c r="L189" s="9689"/>
      <c r="M189" s="9613"/>
      <c r="N189" s="9672">
        <f>IF(J190*I190&gt;K190,0,J190*I190)</f>
        <v>0.84000000000000008</v>
      </c>
      <c r="O189" s="9667">
        <f>M188*I190</f>
        <v>12</v>
      </c>
      <c r="P189" s="9693"/>
      <c r="Q189" s="9613"/>
      <c r="R189" s="9672">
        <f>(J190*H190)-(J190*I190)*M188</f>
        <v>7.0000000000000062E-2</v>
      </c>
      <c r="S189" s="9674">
        <f>IF(J190=0,0,R189/J190)</f>
        <v>1.0000000000000009</v>
      </c>
      <c r="T189" s="716"/>
      <c r="U189" s="716"/>
      <c r="V189" s="716"/>
      <c r="W189" s="716"/>
      <c r="X189" s="716"/>
      <c r="Y189" s="716"/>
      <c r="Z189" s="716"/>
      <c r="AA189" s="2730">
        <v>1</v>
      </c>
    </row>
    <row r="190" spans="1:27" s="5229" customFormat="1" ht="21" customHeight="1">
      <c r="A190" s="9648"/>
      <c r="B190" s="5665">
        <v>13</v>
      </c>
      <c r="C190" s="5666">
        <v>12</v>
      </c>
      <c r="D190" s="5667">
        <v>7.0000000000000007E-2</v>
      </c>
      <c r="E190" s="5668">
        <f>D190*B190</f>
        <v>0.91000000000000014</v>
      </c>
      <c r="F190" s="716"/>
      <c r="G190" s="9648"/>
      <c r="H190" s="5665">
        <v>13</v>
      </c>
      <c r="I190" s="5666">
        <v>12</v>
      </c>
      <c r="J190" s="5667">
        <v>7.0000000000000007E-2</v>
      </c>
      <c r="K190" s="5669">
        <f>J190*H190</f>
        <v>0.91000000000000014</v>
      </c>
      <c r="L190" s="9690"/>
      <c r="M190" s="5670" t="s">
        <v>14849</v>
      </c>
      <c r="N190" s="9673"/>
      <c r="O190" s="9695"/>
      <c r="P190" s="9694"/>
      <c r="Q190" s="5670" t="s">
        <v>14849</v>
      </c>
      <c r="R190" s="9673"/>
      <c r="S190" s="9675"/>
      <c r="T190" s="716"/>
      <c r="U190" s="716"/>
      <c r="V190" s="716"/>
      <c r="W190" s="716"/>
      <c r="X190" s="716"/>
      <c r="Y190" s="716"/>
      <c r="Z190" s="716"/>
      <c r="AA190" s="2730">
        <v>1</v>
      </c>
    </row>
    <row r="191" spans="1:27" s="5229" customFormat="1" ht="21" customHeight="1" thickBot="1">
      <c r="A191" s="9648"/>
      <c r="B191" s="9676" t="s">
        <v>14830</v>
      </c>
      <c r="C191" s="5672">
        <f>IF(ISBLANK(C190),0,INT(B190/C190))</f>
        <v>1</v>
      </c>
      <c r="D191" s="5673" t="s">
        <v>14840</v>
      </c>
      <c r="E191" s="5674" t="s">
        <v>14847</v>
      </c>
      <c r="F191" s="716"/>
      <c r="G191" s="9648"/>
      <c r="H191" s="9678" t="s">
        <v>14803</v>
      </c>
      <c r="I191" s="9679"/>
      <c r="J191" s="9679"/>
      <c r="K191" s="9680"/>
      <c r="L191" s="5675"/>
      <c r="M191" s="5607"/>
      <c r="N191" s="5607"/>
      <c r="O191" s="5607"/>
      <c r="P191" s="5607"/>
      <c r="Q191" s="5607"/>
      <c r="R191" s="5607"/>
      <c r="S191" s="5676"/>
      <c r="T191" s="716"/>
      <c r="U191" s="716"/>
      <c r="V191" s="716"/>
      <c r="W191" s="716"/>
      <c r="X191" s="716"/>
      <c r="Y191" s="716"/>
      <c r="Z191" s="716"/>
      <c r="AA191" s="2730">
        <v>1</v>
      </c>
    </row>
    <row r="192" spans="1:27" s="5229" customFormat="1" ht="21" customHeight="1">
      <c r="A192" s="9648"/>
      <c r="B192" s="9677"/>
      <c r="C192" s="5670" t="s">
        <v>14849</v>
      </c>
      <c r="D192" s="5671">
        <f>IF(D190*C190&gt;E190,0,D190*C190)</f>
        <v>0.84000000000000008</v>
      </c>
      <c r="E192" s="5677">
        <f>C191*C190</f>
        <v>12</v>
      </c>
      <c r="F192" s="716"/>
      <c r="G192" s="716"/>
      <c r="H192" s="716"/>
      <c r="I192" s="716"/>
      <c r="J192" s="716"/>
      <c r="K192" s="716"/>
      <c r="L192" s="716"/>
      <c r="M192" s="716"/>
      <c r="N192" s="716"/>
      <c r="O192" s="716"/>
      <c r="P192" s="716"/>
      <c r="Q192" s="716"/>
      <c r="R192" s="716"/>
      <c r="S192" s="716"/>
      <c r="T192" s="716"/>
      <c r="U192" s="716"/>
      <c r="V192" s="716"/>
      <c r="W192" s="716"/>
      <c r="X192" s="716"/>
      <c r="Y192" s="716"/>
      <c r="Z192" s="716"/>
      <c r="AA192" s="2730">
        <v>1</v>
      </c>
    </row>
    <row r="193" spans="1:27" s="5229" customFormat="1" ht="21" customHeight="1">
      <c r="A193" s="9648"/>
      <c r="B193" s="9676" t="s">
        <v>14848</v>
      </c>
      <c r="C193" s="5672">
        <f>IF(ISBLANK(C190),0,ROUNDUP((B190/C190)-INT(B190/C190),0))</f>
        <v>1</v>
      </c>
      <c r="D193" s="5673" t="s">
        <v>14840</v>
      </c>
      <c r="E193" s="5674" t="s">
        <v>14847</v>
      </c>
      <c r="F193" s="716"/>
      <c r="G193" s="716"/>
      <c r="H193" s="716"/>
      <c r="I193" s="716"/>
      <c r="J193" s="716"/>
      <c r="K193" s="716"/>
      <c r="L193" s="716"/>
      <c r="M193" s="716"/>
      <c r="N193" s="716"/>
      <c r="O193" s="716"/>
      <c r="P193" s="716"/>
      <c r="Q193" s="716"/>
      <c r="R193" s="716"/>
      <c r="S193" s="716"/>
      <c r="T193" s="716"/>
      <c r="U193" s="716"/>
      <c r="V193" s="716"/>
      <c r="W193" s="716"/>
      <c r="X193" s="716"/>
      <c r="Y193" s="716"/>
      <c r="Z193" s="716"/>
      <c r="AA193" s="2730">
        <v>1</v>
      </c>
    </row>
    <row r="194" spans="1:27" s="5229" customFormat="1" ht="21" customHeight="1">
      <c r="A194" s="9648"/>
      <c r="B194" s="9681"/>
      <c r="C194" s="5670" t="s">
        <v>14849</v>
      </c>
      <c r="D194" s="5663">
        <f>(D190*B190)-(D190*C190)*C191</f>
        <v>7.0000000000000062E-2</v>
      </c>
      <c r="E194" s="5664">
        <f>IF(D190=0,0,D194/D190)</f>
        <v>1.0000000000000009</v>
      </c>
      <c r="F194" s="716"/>
      <c r="G194" s="716"/>
      <c r="H194" s="716"/>
      <c r="I194" s="716"/>
      <c r="J194" s="716"/>
      <c r="K194" s="716"/>
      <c r="L194" s="716"/>
      <c r="M194" s="716"/>
      <c r="N194" s="716"/>
      <c r="O194" s="716"/>
      <c r="P194" s="716"/>
      <c r="Q194" s="716"/>
      <c r="R194" s="716"/>
      <c r="S194" s="716"/>
      <c r="T194" s="716"/>
      <c r="U194" s="716"/>
      <c r="V194" s="716"/>
      <c r="W194" s="716"/>
      <c r="X194" s="716"/>
      <c r="Y194" s="716"/>
      <c r="Z194" s="716"/>
      <c r="AA194" s="2730">
        <v>1</v>
      </c>
    </row>
    <row r="195" spans="1:27" s="5229" customFormat="1" ht="21" customHeight="1" thickBot="1">
      <c r="A195" s="9648"/>
      <c r="B195" s="5679"/>
      <c r="C195" s="5680" t="s">
        <v>14842</v>
      </c>
      <c r="D195" s="5681">
        <f>C191+C193</f>
        <v>2</v>
      </c>
      <c r="E195" s="5682"/>
      <c r="F195" s="716"/>
      <c r="G195" s="716"/>
      <c r="H195" s="716"/>
      <c r="I195" s="716"/>
      <c r="J195" s="716"/>
      <c r="K195" s="716"/>
      <c r="L195" s="716"/>
      <c r="M195" s="716"/>
      <c r="N195" s="716"/>
      <c r="O195" s="716"/>
      <c r="P195" s="716"/>
      <c r="Q195" s="716"/>
      <c r="R195" s="716"/>
      <c r="S195" s="716"/>
      <c r="T195" s="716"/>
      <c r="U195" s="716"/>
      <c r="V195" s="716"/>
      <c r="W195" s="716"/>
      <c r="X195" s="716"/>
      <c r="Y195" s="716"/>
      <c r="Z195" s="716"/>
      <c r="AA195" s="2730">
        <v>1</v>
      </c>
    </row>
    <row r="196" spans="1:27" s="5229" customFormat="1" ht="21" customHeight="1">
      <c r="A196" s="9648"/>
      <c r="B196" s="9682" t="s">
        <v>14822</v>
      </c>
      <c r="C196" s="9683"/>
      <c r="D196" s="9683"/>
      <c r="E196" s="9684"/>
      <c r="F196" s="716"/>
      <c r="G196" s="716"/>
      <c r="H196" s="716"/>
      <c r="I196" s="716"/>
      <c r="J196" s="716"/>
      <c r="K196" s="716"/>
      <c r="L196" s="716"/>
      <c r="M196" s="716"/>
      <c r="N196" s="716"/>
      <c r="O196" s="716"/>
      <c r="P196" s="716"/>
      <c r="Q196" s="716"/>
      <c r="R196" s="716"/>
      <c r="S196" s="716"/>
      <c r="T196" s="716"/>
      <c r="U196" s="716"/>
      <c r="V196" s="716"/>
      <c r="W196" s="716"/>
      <c r="X196" s="716"/>
      <c r="Y196" s="716"/>
      <c r="Z196" s="716"/>
      <c r="AA196" s="2730">
        <v>1</v>
      </c>
    </row>
    <row r="197" spans="1:27" s="5229" customFormat="1" ht="21" customHeight="1">
      <c r="A197" s="9648"/>
      <c r="B197" s="9685"/>
      <c r="C197" s="7830"/>
      <c r="D197" s="7830"/>
      <c r="E197" s="7831"/>
      <c r="F197" s="716"/>
      <c r="G197" s="716"/>
      <c r="H197" s="716"/>
      <c r="I197" s="716"/>
      <c r="J197" s="716"/>
      <c r="K197" s="716"/>
      <c r="L197" s="716"/>
      <c r="M197" s="716"/>
      <c r="N197" s="716"/>
      <c r="O197" s="716"/>
      <c r="P197" s="716"/>
      <c r="Q197" s="716"/>
      <c r="R197" s="716"/>
      <c r="S197" s="716"/>
      <c r="T197" s="716"/>
      <c r="U197" s="716"/>
      <c r="V197" s="716"/>
      <c r="W197" s="716"/>
      <c r="X197" s="716"/>
      <c r="Y197" s="716"/>
      <c r="Z197" s="716"/>
      <c r="AA197" s="2730">
        <v>1</v>
      </c>
    </row>
    <row r="198" spans="1:27" s="5229" customFormat="1" ht="21" customHeight="1">
      <c r="A198" s="9648"/>
      <c r="B198" s="9638" t="s">
        <v>14823</v>
      </c>
      <c r="C198" s="7826"/>
      <c r="D198" s="7826"/>
      <c r="E198" s="7827"/>
      <c r="F198" s="716"/>
      <c r="G198" s="716"/>
      <c r="H198" s="716"/>
      <c r="I198" s="716"/>
      <c r="J198" s="716"/>
      <c r="K198" s="716"/>
      <c r="L198" s="716"/>
      <c r="M198" s="716"/>
      <c r="N198" s="716"/>
      <c r="O198" s="716"/>
      <c r="P198" s="716"/>
      <c r="Q198" s="716"/>
      <c r="R198" s="716"/>
      <c r="S198" s="716"/>
      <c r="T198" s="716"/>
      <c r="U198" s="716"/>
      <c r="V198" s="716"/>
      <c r="W198" s="716"/>
      <c r="X198" s="716"/>
      <c r="Y198" s="716"/>
      <c r="Z198" s="716"/>
      <c r="AA198" s="2730">
        <v>1</v>
      </c>
    </row>
    <row r="199" spans="1:27" s="5229" customFormat="1" ht="21" customHeight="1" thickBot="1">
      <c r="A199" s="9648"/>
      <c r="B199" s="9639"/>
      <c r="C199" s="9640"/>
      <c r="D199" s="9640"/>
      <c r="E199" s="9641"/>
      <c r="F199" s="716"/>
      <c r="G199" s="716"/>
      <c r="H199" s="716"/>
      <c r="I199" s="716"/>
      <c r="J199" s="716"/>
      <c r="K199" s="716"/>
      <c r="L199" s="716"/>
      <c r="M199" s="716"/>
      <c r="N199" s="716"/>
      <c r="O199" s="716"/>
      <c r="P199" s="716"/>
      <c r="Q199" s="716"/>
      <c r="R199" s="716"/>
      <c r="S199" s="716"/>
      <c r="T199" s="716"/>
      <c r="U199" s="716"/>
      <c r="V199" s="716"/>
      <c r="W199" s="716"/>
      <c r="X199" s="716"/>
      <c r="Y199" s="716"/>
      <c r="Z199" s="716"/>
      <c r="AA199" s="2730">
        <v>1</v>
      </c>
    </row>
    <row r="200" spans="1:27" s="5229" customFormat="1" ht="21" customHeight="1" thickBot="1">
      <c r="A200" s="716"/>
      <c r="B200" s="716"/>
      <c r="C200" s="716"/>
      <c r="D200" s="716"/>
      <c r="E200" s="716"/>
      <c r="F200" s="716"/>
      <c r="G200" s="716"/>
      <c r="H200" s="716"/>
      <c r="I200" s="716"/>
      <c r="J200" s="716"/>
      <c r="K200" s="716"/>
      <c r="L200" s="716"/>
      <c r="M200" s="716"/>
      <c r="N200" s="716"/>
      <c r="O200" s="716"/>
      <c r="P200" s="716"/>
      <c r="Q200" s="716"/>
      <c r="R200" s="716"/>
      <c r="S200" s="716"/>
      <c r="T200" s="716"/>
      <c r="U200" s="716"/>
      <c r="V200" s="716"/>
      <c r="W200" s="716"/>
      <c r="X200" s="716"/>
      <c r="Y200" s="716"/>
      <c r="Z200" s="716"/>
      <c r="AA200" s="2730">
        <v>1</v>
      </c>
    </row>
    <row r="201" spans="1:27" s="5229" customFormat="1" ht="21" customHeight="1">
      <c r="A201" s="5446" t="s">
        <v>67</v>
      </c>
      <c r="B201" s="9642" t="s">
        <v>14814</v>
      </c>
      <c r="C201" s="9643"/>
      <c r="D201" s="9643"/>
      <c r="E201" s="9644"/>
      <c r="F201" s="716"/>
      <c r="G201" s="5447" t="s">
        <v>67</v>
      </c>
      <c r="H201" s="9645" t="s">
        <v>14814</v>
      </c>
      <c r="I201" s="9646"/>
      <c r="J201" s="9646"/>
      <c r="K201" s="9646"/>
      <c r="L201" s="9646"/>
      <c r="M201" s="9646"/>
      <c r="N201" s="9646"/>
      <c r="O201" s="9646"/>
      <c r="P201" s="9646"/>
      <c r="Q201" s="9646"/>
      <c r="R201" s="9646"/>
      <c r="S201" s="9647"/>
      <c r="T201" s="716"/>
      <c r="U201" s="716"/>
      <c r="V201" s="716"/>
      <c r="W201" s="716"/>
      <c r="X201" s="716"/>
      <c r="Y201" s="716"/>
      <c r="Z201" s="716"/>
      <c r="AA201" s="2730">
        <v>1</v>
      </c>
    </row>
    <row r="202" spans="1:27" s="5229" customFormat="1" ht="21" customHeight="1">
      <c r="A202" s="9648" t="str">
        <f>B201</f>
        <v>CONDITIONNEMENT A LA PIÈCE</v>
      </c>
      <c r="B202" s="5375" t="str">
        <f>ADDRESS(ROW(),COLUMN(),4)</f>
        <v>B202</v>
      </c>
      <c r="C202" s="5250" t="s">
        <v>14788</v>
      </c>
      <c r="D202" s="5450"/>
      <c r="E202" s="5683"/>
      <c r="F202" s="716"/>
      <c r="G202" s="9648" t="str">
        <f>H201</f>
        <v>CONDITIONNEMENT A LA PIÈCE</v>
      </c>
      <c r="H202" s="5375" t="str">
        <f>ADDRESS(ROW(),COLUMN(),4)</f>
        <v>H202</v>
      </c>
      <c r="I202" s="5250" t="s">
        <v>14788</v>
      </c>
      <c r="J202" s="5450"/>
      <c r="K202" s="5684"/>
      <c r="L202" s="5685" t="s">
        <v>14850</v>
      </c>
      <c r="M202" s="9649" t="s">
        <v>14851</v>
      </c>
      <c r="N202" s="9649"/>
      <c r="O202" s="9650"/>
      <c r="P202" s="5686"/>
      <c r="Q202" s="5687" t="s">
        <v>14842</v>
      </c>
      <c r="R202" s="5688">
        <f>M203+Q203</f>
        <v>24</v>
      </c>
      <c r="S202" s="5689"/>
      <c r="T202" s="716"/>
      <c r="U202" s="716"/>
      <c r="V202" s="716"/>
      <c r="W202" s="716"/>
      <c r="X202" s="716"/>
      <c r="Y202" s="716"/>
      <c r="Z202" s="716"/>
      <c r="AA202" s="2730">
        <v>1</v>
      </c>
    </row>
    <row r="203" spans="1:27" s="5229" customFormat="1" ht="21" customHeight="1">
      <c r="A203" s="9648"/>
      <c r="B203" s="5690" t="s">
        <v>14850</v>
      </c>
      <c r="C203" s="9651" t="s">
        <v>14851</v>
      </c>
      <c r="D203" s="9651"/>
      <c r="E203" s="9652"/>
      <c r="F203" s="716"/>
      <c r="G203" s="9648"/>
      <c r="H203" s="9653" t="s">
        <v>14843</v>
      </c>
      <c r="I203" s="9655" t="s">
        <v>14844</v>
      </c>
      <c r="J203" s="9657" t="s">
        <v>14852</v>
      </c>
      <c r="K203" s="9659" t="s">
        <v>20</v>
      </c>
      <c r="L203" s="9660" t="s">
        <v>14830</v>
      </c>
      <c r="M203" s="9613">
        <f>IF(ISBLANK(I205),0,INT(H205/I205))</f>
        <v>23</v>
      </c>
      <c r="N203" s="5691" t="s">
        <v>14840</v>
      </c>
      <c r="O203" s="5692" t="s">
        <v>14847</v>
      </c>
      <c r="P203" s="9662" t="s">
        <v>14848</v>
      </c>
      <c r="Q203" s="9613">
        <f>IF(ISBLANK(I205),0,ROUNDUP((H205/I205)-INT(H205/I205),0))</f>
        <v>1</v>
      </c>
      <c r="R203" s="5691" t="s">
        <v>14840</v>
      </c>
      <c r="S203" s="5693" t="s">
        <v>14847</v>
      </c>
      <c r="T203" s="716"/>
      <c r="U203" s="716"/>
      <c r="V203" s="716"/>
      <c r="W203" s="716"/>
      <c r="X203" s="716"/>
      <c r="Y203" s="716"/>
      <c r="Z203" s="716"/>
      <c r="AA203" s="2730">
        <v>1</v>
      </c>
    </row>
    <row r="204" spans="1:27" s="5229" customFormat="1" ht="21" customHeight="1">
      <c r="A204" s="9648"/>
      <c r="B204" s="9663" t="s">
        <v>14843</v>
      </c>
      <c r="C204" s="9664" t="s">
        <v>14844</v>
      </c>
      <c r="D204" s="9657" t="s">
        <v>14852</v>
      </c>
      <c r="E204" s="9666" t="s">
        <v>20</v>
      </c>
      <c r="F204" s="716"/>
      <c r="G204" s="9648"/>
      <c r="H204" s="9654"/>
      <c r="I204" s="9656"/>
      <c r="J204" s="9658"/>
      <c r="K204" s="9659"/>
      <c r="L204" s="9660"/>
      <c r="M204" s="9613"/>
      <c r="N204" s="5694">
        <f>IF(J205*I205&gt;K205,0,J205*I205)</f>
        <v>9</v>
      </c>
      <c r="O204" s="9667">
        <f>M203*I205</f>
        <v>69</v>
      </c>
      <c r="P204" s="9662"/>
      <c r="Q204" s="9613"/>
      <c r="R204" s="5694">
        <f>(J205*H205)-(J205*I205)*M203</f>
        <v>3</v>
      </c>
      <c r="S204" s="5695">
        <f>IF(J205=0,0,R204/J205)</f>
        <v>1</v>
      </c>
      <c r="T204" s="716"/>
      <c r="U204" s="716"/>
      <c r="V204" s="716"/>
      <c r="W204" s="716"/>
      <c r="X204" s="716"/>
      <c r="Y204" s="716"/>
      <c r="Z204" s="716"/>
      <c r="AA204" s="2730">
        <v>1</v>
      </c>
    </row>
    <row r="205" spans="1:27" s="5229" customFormat="1" ht="21" customHeight="1">
      <c r="A205" s="9648"/>
      <c r="B205" s="9654"/>
      <c r="C205" s="9665"/>
      <c r="D205" s="9658"/>
      <c r="E205" s="9666"/>
      <c r="F205" s="716"/>
      <c r="G205" s="9648"/>
      <c r="H205" s="5665">
        <v>70</v>
      </c>
      <c r="I205" s="5696">
        <v>3</v>
      </c>
      <c r="J205" s="5697">
        <v>3</v>
      </c>
      <c r="K205" s="5698">
        <f>J205*H205</f>
        <v>210</v>
      </c>
      <c r="L205" s="9661"/>
      <c r="M205" s="5699" t="s">
        <v>14849</v>
      </c>
      <c r="N205" s="5700" t="str">
        <f>M202</f>
        <v>Tranches</v>
      </c>
      <c r="O205" s="9668"/>
      <c r="P205" s="5701"/>
      <c r="Q205" s="5699" t="s">
        <v>14849</v>
      </c>
      <c r="R205" s="5700" t="str">
        <f>M202</f>
        <v>Tranches</v>
      </c>
      <c r="S205" s="5702"/>
      <c r="T205" s="716"/>
      <c r="U205" s="716"/>
      <c r="V205" s="716"/>
      <c r="W205" s="716"/>
      <c r="X205" s="716"/>
      <c r="Y205" s="716"/>
      <c r="Z205" s="716"/>
      <c r="AA205" s="2730">
        <v>1</v>
      </c>
    </row>
    <row r="206" spans="1:27" s="5229" customFormat="1" ht="21" customHeight="1">
      <c r="A206" s="9648"/>
      <c r="B206" s="5665">
        <v>70</v>
      </c>
      <c r="C206" s="5666">
        <v>3</v>
      </c>
      <c r="D206" s="5703">
        <v>3</v>
      </c>
      <c r="E206" s="5704">
        <f>D206*B206</f>
        <v>210</v>
      </c>
      <c r="F206" s="716"/>
      <c r="G206" s="9648"/>
      <c r="H206" s="9608" t="s">
        <v>14803</v>
      </c>
      <c r="I206" s="7788"/>
      <c r="J206" s="7788"/>
      <c r="K206" s="7788"/>
      <c r="L206" s="5705" t="s">
        <v>14850</v>
      </c>
      <c r="M206" s="5706" t="s">
        <v>14853</v>
      </c>
      <c r="N206" s="5562"/>
      <c r="O206" s="5707"/>
      <c r="P206" s="5708"/>
      <c r="Q206" s="5709"/>
      <c r="R206" s="5709"/>
      <c r="S206" s="5710"/>
      <c r="T206" s="716"/>
      <c r="U206" s="716"/>
      <c r="V206" s="716"/>
      <c r="W206" s="716"/>
      <c r="X206" s="716"/>
      <c r="Y206" s="716"/>
      <c r="Z206" s="716"/>
      <c r="AA206" s="2730">
        <v>1</v>
      </c>
    </row>
    <row r="207" spans="1:27" s="5229" customFormat="1" ht="21" customHeight="1" thickBot="1">
      <c r="A207" s="9648"/>
      <c r="B207" s="9609" t="s">
        <v>14830</v>
      </c>
      <c r="C207" s="9612">
        <f>IF(ISBLANK(C206),0,INT(B206/C206))</f>
        <v>23</v>
      </c>
      <c r="D207" s="5673" t="s">
        <v>14840</v>
      </c>
      <c r="E207" s="5674" t="s">
        <v>14847</v>
      </c>
      <c r="F207" s="716"/>
      <c r="G207" s="9648"/>
      <c r="H207" s="5711" t="s">
        <v>14854</v>
      </c>
      <c r="I207" s="5607"/>
      <c r="J207" s="5607"/>
      <c r="K207" s="5607"/>
      <c r="L207" s="5712" t="s">
        <v>14855</v>
      </c>
      <c r="M207" s="5713"/>
      <c r="N207" s="5713"/>
      <c r="O207" s="5714"/>
      <c r="P207" s="5715"/>
      <c r="Q207" s="5715"/>
      <c r="R207" s="5715"/>
      <c r="S207" s="5716"/>
      <c r="T207" s="716"/>
      <c r="U207" s="716"/>
      <c r="V207" s="716"/>
      <c r="W207" s="716"/>
      <c r="X207" s="716"/>
      <c r="Y207" s="716"/>
      <c r="Z207" s="716"/>
      <c r="AA207" s="2730">
        <v>1</v>
      </c>
    </row>
    <row r="208" spans="1:27" s="5229" customFormat="1" ht="21" customHeight="1">
      <c r="A208" s="9648"/>
      <c r="B208" s="9610"/>
      <c r="C208" s="9613"/>
      <c r="D208" s="5694">
        <f>IF(D206*C206&gt;E206,0,D206*C206)</f>
        <v>9</v>
      </c>
      <c r="E208" s="9614">
        <f>C207*C206</f>
        <v>69</v>
      </c>
      <c r="F208" s="716"/>
      <c r="G208" s="716"/>
      <c r="H208" s="716"/>
      <c r="I208" s="716"/>
      <c r="J208" s="716"/>
      <c r="K208" s="716"/>
      <c r="L208" s="716"/>
      <c r="M208" s="716"/>
      <c r="N208" s="716"/>
      <c r="O208" s="716"/>
      <c r="P208" s="716"/>
      <c r="Q208" s="716"/>
      <c r="R208" s="716"/>
      <c r="S208" s="716"/>
      <c r="T208" s="716"/>
      <c r="U208" s="716"/>
      <c r="V208" s="716"/>
      <c r="W208" s="716"/>
      <c r="X208" s="716"/>
      <c r="Y208" s="716"/>
      <c r="Z208" s="716"/>
      <c r="AA208" s="2730">
        <v>1</v>
      </c>
    </row>
    <row r="209" spans="1:27" s="5229" customFormat="1" ht="21" customHeight="1">
      <c r="A209" s="9648"/>
      <c r="B209" s="9611"/>
      <c r="C209" s="5670" t="s">
        <v>14849</v>
      </c>
      <c r="D209" s="5717" t="str">
        <f>C203</f>
        <v>Tranches</v>
      </c>
      <c r="E209" s="9615"/>
      <c r="F209" s="716"/>
      <c r="G209" s="716"/>
      <c r="H209" s="716"/>
      <c r="I209" s="716"/>
      <c r="J209" s="716"/>
      <c r="K209" s="716"/>
      <c r="L209" s="716"/>
      <c r="M209" s="716"/>
      <c r="N209" s="716"/>
      <c r="O209" s="716"/>
      <c r="P209" s="716"/>
      <c r="Q209" s="716"/>
      <c r="R209" s="716"/>
      <c r="S209" s="716"/>
      <c r="T209" s="716"/>
      <c r="U209" s="716"/>
      <c r="V209" s="716"/>
      <c r="W209" s="716"/>
      <c r="X209" s="716"/>
      <c r="Y209" s="716"/>
      <c r="Z209" s="716"/>
      <c r="AA209" s="2730">
        <v>1</v>
      </c>
    </row>
    <row r="210" spans="1:27" s="5229" customFormat="1" ht="21" customHeight="1">
      <c r="A210" s="9648"/>
      <c r="B210" s="9616" t="s">
        <v>14848</v>
      </c>
      <c r="C210" s="9612">
        <f>IF(ISBLANK(C206),0,ROUNDUP((B206/C206)-INT(B206/C206),0))</f>
        <v>1</v>
      </c>
      <c r="D210" s="5673" t="s">
        <v>14840</v>
      </c>
      <c r="E210" s="5674" t="s">
        <v>14847</v>
      </c>
      <c r="F210" s="716"/>
      <c r="G210" s="716"/>
      <c r="H210" s="716"/>
      <c r="I210" s="716"/>
      <c r="J210" s="716"/>
      <c r="K210" s="716"/>
      <c r="L210" s="716"/>
      <c r="M210" s="716"/>
      <c r="N210" s="716"/>
      <c r="O210" s="716"/>
      <c r="P210" s="716"/>
      <c r="Q210" s="716"/>
      <c r="R210" s="716"/>
      <c r="S210" s="716"/>
      <c r="T210" s="716"/>
      <c r="U210" s="716"/>
      <c r="V210" s="716"/>
      <c r="W210" s="716"/>
      <c r="X210" s="716"/>
      <c r="Y210" s="716"/>
      <c r="Z210" s="716"/>
      <c r="AA210" s="2730">
        <v>1</v>
      </c>
    </row>
    <row r="211" spans="1:27" s="5229" customFormat="1" ht="21" customHeight="1">
      <c r="A211" s="9648"/>
      <c r="B211" s="9617"/>
      <c r="C211" s="9613"/>
      <c r="D211" s="5694">
        <f>(D206*B206)-(D206*C206)*C207</f>
        <v>3</v>
      </c>
      <c r="E211" s="5695">
        <f>IF(D206=0,0,D211/D206)</f>
        <v>1</v>
      </c>
      <c r="F211" s="716"/>
      <c r="G211" s="716"/>
      <c r="H211" s="716"/>
      <c r="I211" s="716"/>
      <c r="J211" s="716"/>
      <c r="K211" s="716"/>
      <c r="L211" s="716"/>
      <c r="M211" s="716"/>
      <c r="N211" s="716"/>
      <c r="O211" s="716"/>
      <c r="P211" s="716"/>
      <c r="Q211" s="716"/>
      <c r="R211" s="716"/>
      <c r="S211" s="716"/>
      <c r="T211" s="716"/>
      <c r="U211" s="716"/>
      <c r="V211" s="716"/>
      <c r="W211" s="716"/>
      <c r="X211" s="716"/>
      <c r="Y211" s="716"/>
      <c r="Z211" s="716"/>
      <c r="AA211" s="2730">
        <v>1</v>
      </c>
    </row>
    <row r="212" spans="1:27" s="5229" customFormat="1" ht="21" customHeight="1">
      <c r="A212" s="9648"/>
      <c r="B212" s="5678"/>
      <c r="C212" s="5670" t="s">
        <v>14849</v>
      </c>
      <c r="D212" s="5717" t="str">
        <f>C203</f>
        <v>Tranches</v>
      </c>
      <c r="E212" s="5702"/>
      <c r="F212" s="716"/>
      <c r="G212" s="716"/>
      <c r="H212" s="716"/>
      <c r="I212" s="716"/>
      <c r="J212" s="716"/>
      <c r="K212" s="716"/>
      <c r="L212" s="716"/>
      <c r="M212" s="716"/>
      <c r="N212" s="716"/>
      <c r="O212" s="716"/>
      <c r="P212" s="716"/>
      <c r="Q212" s="716"/>
      <c r="R212" s="716"/>
      <c r="S212" s="716"/>
      <c r="T212" s="716"/>
      <c r="U212" s="716"/>
      <c r="V212" s="716"/>
      <c r="W212" s="716"/>
      <c r="X212" s="716"/>
      <c r="Y212" s="716"/>
      <c r="Z212" s="716"/>
      <c r="AA212" s="2730">
        <v>1</v>
      </c>
    </row>
    <row r="213" spans="1:27" s="5229" customFormat="1" ht="21" customHeight="1">
      <c r="A213" s="9648"/>
      <c r="B213" s="5718"/>
      <c r="C213" s="5719" t="s">
        <v>14842</v>
      </c>
      <c r="D213" s="5720">
        <f>C207+C210</f>
        <v>24</v>
      </c>
      <c r="E213" s="5721"/>
      <c r="F213" s="716"/>
      <c r="G213" s="716"/>
      <c r="H213" s="716"/>
      <c r="I213" s="716"/>
      <c r="J213" s="716"/>
      <c r="K213" s="716"/>
      <c r="L213" s="716"/>
      <c r="M213" s="716"/>
      <c r="N213" s="716"/>
      <c r="O213" s="716"/>
      <c r="P213" s="716"/>
      <c r="Q213" s="716"/>
      <c r="R213" s="716"/>
      <c r="S213" s="716"/>
      <c r="T213" s="716"/>
      <c r="U213" s="716"/>
      <c r="V213" s="716"/>
      <c r="W213" s="716"/>
      <c r="X213" s="716"/>
      <c r="Y213" s="716"/>
      <c r="Z213" s="716"/>
      <c r="AA213" s="2730">
        <v>1</v>
      </c>
    </row>
    <row r="214" spans="1:27" s="5229" customFormat="1" ht="21" customHeight="1">
      <c r="A214" s="9648"/>
      <c r="B214" s="9608" t="s">
        <v>14803</v>
      </c>
      <c r="C214" s="7788"/>
      <c r="D214" s="7788"/>
      <c r="E214" s="9631"/>
      <c r="F214" s="716"/>
      <c r="G214" s="716"/>
      <c r="H214" s="716"/>
      <c r="I214" s="716"/>
      <c r="J214" s="716"/>
      <c r="K214" s="716"/>
      <c r="L214" s="716"/>
      <c r="M214" s="716"/>
      <c r="N214" s="716"/>
      <c r="O214" s="716"/>
      <c r="P214" s="716"/>
      <c r="Q214" s="716"/>
      <c r="R214" s="716"/>
      <c r="S214" s="716"/>
      <c r="T214" s="716"/>
      <c r="U214" s="716"/>
      <c r="V214" s="716"/>
      <c r="W214" s="716"/>
      <c r="X214" s="716"/>
      <c r="Y214" s="716"/>
      <c r="Z214" s="716"/>
      <c r="AA214" s="2730">
        <v>1</v>
      </c>
    </row>
    <row r="215" spans="1:27" s="5229" customFormat="1" ht="21" customHeight="1">
      <c r="A215" s="9648"/>
      <c r="B215" s="5722" t="s">
        <v>14850</v>
      </c>
      <c r="C215" s="5562" t="s">
        <v>14853</v>
      </c>
      <c r="D215" s="5562"/>
      <c r="E215" s="5723"/>
      <c r="F215" s="716"/>
      <c r="G215" s="716"/>
      <c r="H215" s="716"/>
      <c r="I215" s="716"/>
      <c r="J215" s="716"/>
      <c r="K215" s="716"/>
      <c r="L215" s="716"/>
      <c r="M215" s="716"/>
      <c r="N215" s="716"/>
      <c r="O215" s="716"/>
      <c r="P215" s="716"/>
      <c r="Q215" s="716"/>
      <c r="R215" s="716"/>
      <c r="S215" s="716"/>
      <c r="T215" s="716"/>
      <c r="U215" s="716"/>
      <c r="V215" s="716"/>
      <c r="W215" s="716"/>
      <c r="X215" s="716"/>
      <c r="Y215" s="716"/>
      <c r="Z215" s="716"/>
      <c r="AA215" s="2730">
        <v>1</v>
      </c>
    </row>
    <row r="216" spans="1:27" s="5229" customFormat="1" ht="21" customHeight="1">
      <c r="A216" s="9648"/>
      <c r="B216" s="5724" t="s">
        <v>14855</v>
      </c>
      <c r="C216" s="5562"/>
      <c r="D216" s="5562"/>
      <c r="E216" s="5723"/>
      <c r="F216" s="716"/>
      <c r="G216" s="716"/>
      <c r="H216" s="716"/>
      <c r="I216" s="716"/>
      <c r="J216" s="716"/>
      <c r="K216" s="716"/>
      <c r="L216" s="716"/>
      <c r="M216" s="716"/>
      <c r="N216" s="716"/>
      <c r="O216" s="716"/>
      <c r="P216" s="716"/>
      <c r="Q216" s="716"/>
      <c r="R216" s="716"/>
      <c r="S216" s="716"/>
      <c r="T216" s="716"/>
      <c r="U216" s="716"/>
      <c r="V216" s="716"/>
      <c r="W216" s="716"/>
      <c r="X216" s="716"/>
      <c r="Y216" s="716"/>
      <c r="Z216" s="716"/>
      <c r="AA216" s="2730">
        <v>1</v>
      </c>
    </row>
    <row r="217" spans="1:27" s="5229" customFormat="1" ht="21" customHeight="1" thickBot="1">
      <c r="A217" s="9648"/>
      <c r="B217" s="5711" t="s">
        <v>14854</v>
      </c>
      <c r="C217" s="5607"/>
      <c r="D217" s="5607"/>
      <c r="E217" s="5676"/>
      <c r="F217" s="716"/>
      <c r="G217" s="716"/>
      <c r="H217" s="716"/>
      <c r="I217" s="716"/>
      <c r="J217" s="716"/>
      <c r="K217" s="716"/>
      <c r="L217" s="716"/>
      <c r="M217" s="716"/>
      <c r="N217" s="716"/>
      <c r="O217" s="716"/>
      <c r="P217" s="716"/>
      <c r="Q217" s="716"/>
      <c r="R217" s="716"/>
      <c r="S217" s="716"/>
      <c r="T217" s="716"/>
      <c r="U217" s="716"/>
      <c r="V217" s="716"/>
      <c r="W217" s="716"/>
      <c r="X217" s="716"/>
      <c r="Y217" s="716"/>
      <c r="Z217" s="716"/>
      <c r="AA217" s="2730">
        <v>1</v>
      </c>
    </row>
    <row r="218" spans="1:27" s="5229" customFormat="1" ht="21" customHeight="1">
      <c r="A218" s="716"/>
      <c r="B218" s="716"/>
      <c r="C218" s="716"/>
      <c r="D218" s="716"/>
      <c r="E218" s="716"/>
      <c r="F218" s="716"/>
      <c r="G218" s="716"/>
      <c r="H218" s="716"/>
      <c r="I218" s="716"/>
      <c r="J218" s="716"/>
      <c r="K218" s="716"/>
      <c r="L218" s="716"/>
      <c r="M218" s="716"/>
      <c r="N218" s="716"/>
      <c r="O218" s="716"/>
      <c r="P218" s="716"/>
      <c r="Q218" s="716"/>
      <c r="R218" s="716"/>
      <c r="S218" s="716"/>
      <c r="T218" s="716"/>
      <c r="U218" s="716"/>
      <c r="V218" s="716"/>
      <c r="W218" s="716"/>
      <c r="X218" s="716"/>
      <c r="Y218" s="716"/>
      <c r="Z218" s="716"/>
      <c r="AA218" s="2730">
        <v>1</v>
      </c>
    </row>
    <row r="219" spans="1:27" s="5229" customFormat="1" ht="21" customHeight="1" thickBot="1">
      <c r="A219" s="716"/>
      <c r="B219" s="716"/>
      <c r="C219" s="716"/>
      <c r="D219" s="716"/>
      <c r="E219" s="716"/>
      <c r="F219" s="716"/>
      <c r="G219" s="716"/>
      <c r="H219" s="716"/>
      <c r="I219" s="716"/>
      <c r="J219" s="716"/>
      <c r="K219" s="716"/>
      <c r="L219" s="716"/>
      <c r="M219" s="716"/>
      <c r="N219" s="716"/>
      <c r="O219" s="716"/>
      <c r="P219" s="716"/>
      <c r="Q219" s="716"/>
      <c r="R219" s="716"/>
      <c r="S219" s="716"/>
      <c r="T219" s="716"/>
      <c r="U219" s="716"/>
      <c r="V219" s="716"/>
      <c r="W219" s="716"/>
      <c r="X219" s="716"/>
      <c r="Y219" s="716"/>
      <c r="Z219" s="716"/>
      <c r="AA219" s="2730">
        <v>1</v>
      </c>
    </row>
    <row r="220" spans="1:27" s="5229" customFormat="1" ht="21" customHeight="1">
      <c r="A220" s="5447" t="s">
        <v>67</v>
      </c>
      <c r="B220" s="9632" t="s">
        <v>1746</v>
      </c>
      <c r="C220" s="9633"/>
      <c r="D220" s="9633"/>
      <c r="E220" s="9633"/>
      <c r="F220" s="9633"/>
      <c r="G220" s="9633"/>
      <c r="H220" s="9633"/>
      <c r="I220" s="9633"/>
      <c r="J220" s="9633"/>
      <c r="K220" s="9634"/>
      <c r="L220" s="716"/>
      <c r="M220" s="5447" t="s">
        <v>67</v>
      </c>
      <c r="N220" s="9635" t="s">
        <v>1797</v>
      </c>
      <c r="O220" s="9636"/>
      <c r="P220" s="9636"/>
      <c r="Q220" s="9636"/>
      <c r="R220" s="9636"/>
      <c r="S220" s="9636"/>
      <c r="T220" s="9636"/>
      <c r="U220" s="9636"/>
      <c r="V220" s="9636"/>
      <c r="W220" s="9637"/>
      <c r="X220" s="716"/>
      <c r="Y220" s="716"/>
      <c r="Z220" s="716"/>
      <c r="AA220" s="2730">
        <v>1</v>
      </c>
    </row>
    <row r="221" spans="1:27" s="5229" customFormat="1" ht="21" customHeight="1">
      <c r="A221" s="9470" t="str">
        <f>B220</f>
        <v>Gastronormes tableau N° 1</v>
      </c>
      <c r="B221" s="5375" t="str">
        <f>ADDRESS(ROW(),COLUMN(),4)</f>
        <v>B221</v>
      </c>
      <c r="C221" s="5250" t="s">
        <v>14788</v>
      </c>
      <c r="D221" s="5536"/>
      <c r="E221" s="5536"/>
      <c r="F221" s="5536"/>
      <c r="G221" s="5536"/>
      <c r="H221" s="5536"/>
      <c r="I221" s="5536"/>
      <c r="J221" s="5536"/>
      <c r="K221" s="5537"/>
      <c r="L221" s="716"/>
      <c r="M221" s="9470" t="str">
        <f>N220</f>
        <v>Gastronormes tableau N° 2</v>
      </c>
      <c r="N221" s="5375" t="str">
        <f>ADDRESS(ROW(),COLUMN(),4)</f>
        <v>N221</v>
      </c>
      <c r="O221" s="5250" t="s">
        <v>14788</v>
      </c>
      <c r="P221" s="5536"/>
      <c r="Q221" s="5536"/>
      <c r="R221" s="5536"/>
      <c r="S221" s="5536"/>
      <c r="T221" s="5536"/>
      <c r="U221" s="5536"/>
      <c r="V221" s="5536"/>
      <c r="W221" s="5537"/>
      <c r="X221" s="716"/>
      <c r="Y221" s="716"/>
      <c r="Z221" s="716"/>
      <c r="AA221" s="2730">
        <v>1</v>
      </c>
    </row>
    <row r="222" spans="1:27" s="5229" customFormat="1" ht="21" customHeight="1">
      <c r="A222" s="9470"/>
      <c r="B222" s="9588" t="s">
        <v>1805</v>
      </c>
      <c r="C222" s="9589"/>
      <c r="D222" s="9589"/>
      <c r="E222" s="9589"/>
      <c r="F222" s="9589"/>
      <c r="G222" s="5725"/>
      <c r="H222" s="5725"/>
      <c r="I222" s="5725"/>
      <c r="J222" s="5726"/>
      <c r="K222" s="5727" t="s">
        <v>1747</v>
      </c>
      <c r="L222" s="716"/>
      <c r="M222" s="9470"/>
      <c r="N222" s="9592" t="s">
        <v>1798</v>
      </c>
      <c r="O222" s="9593"/>
      <c r="P222" s="9593"/>
      <c r="Q222" s="9593"/>
      <c r="R222" s="9593"/>
      <c r="S222" s="5728"/>
      <c r="T222" s="5728"/>
      <c r="U222" s="5728"/>
      <c r="V222" s="5729"/>
      <c r="W222" s="5730" t="s">
        <v>1747</v>
      </c>
      <c r="X222" s="716"/>
      <c r="Y222" s="716"/>
      <c r="Z222" s="716"/>
      <c r="AA222" s="2730">
        <v>1</v>
      </c>
    </row>
    <row r="223" spans="1:27" s="5229" customFormat="1" ht="21" customHeight="1">
      <c r="A223" s="9470"/>
      <c r="B223" s="9590"/>
      <c r="C223" s="9591"/>
      <c r="D223" s="9591"/>
      <c r="E223" s="9591"/>
      <c r="F223" s="9591"/>
      <c r="G223" s="5731"/>
      <c r="H223" s="5731"/>
      <c r="I223" s="5731"/>
      <c r="J223" s="5732"/>
      <c r="K223" s="5733" t="s">
        <v>1806</v>
      </c>
      <c r="L223" s="716"/>
      <c r="M223" s="9470"/>
      <c r="N223" s="9594"/>
      <c r="O223" s="9595"/>
      <c r="P223" s="9595"/>
      <c r="Q223" s="9595"/>
      <c r="R223" s="9595"/>
      <c r="S223" s="5728"/>
      <c r="T223" s="5728"/>
      <c r="U223" s="5728"/>
      <c r="V223" s="5729"/>
      <c r="W223" s="5734" t="s">
        <v>1799</v>
      </c>
      <c r="X223" s="716"/>
      <c r="Y223" s="716"/>
      <c r="Z223" s="716"/>
      <c r="AA223" s="2730">
        <v>1</v>
      </c>
    </row>
    <row r="224" spans="1:27" s="5229" customFormat="1" ht="21" customHeight="1">
      <c r="A224" s="9470"/>
      <c r="B224" s="9596" t="s">
        <v>1748</v>
      </c>
      <c r="C224" s="9597"/>
      <c r="D224" s="9597"/>
      <c r="E224" s="9597"/>
      <c r="F224" s="9597"/>
      <c r="G224" s="9597"/>
      <c r="H224" s="9597"/>
      <c r="I224" s="9597"/>
      <c r="J224" s="9597"/>
      <c r="K224" s="9598"/>
      <c r="L224" s="716"/>
      <c r="M224" s="9470"/>
      <c r="N224" s="9599" t="s">
        <v>1748</v>
      </c>
      <c r="O224" s="9600"/>
      <c r="P224" s="9600"/>
      <c r="Q224" s="9600"/>
      <c r="R224" s="9600"/>
      <c r="S224" s="9600"/>
      <c r="T224" s="9600"/>
      <c r="U224" s="9600"/>
      <c r="V224" s="9600"/>
      <c r="W224" s="9601"/>
      <c r="X224" s="716"/>
      <c r="Y224" s="716"/>
      <c r="Z224" s="716"/>
      <c r="AA224" s="2730">
        <v>1</v>
      </c>
    </row>
    <row r="225" spans="1:27" s="5229" customFormat="1" ht="21" customHeight="1">
      <c r="A225" s="9470"/>
      <c r="B225" s="9602" t="s">
        <v>372</v>
      </c>
      <c r="C225" s="9603"/>
      <c r="D225" s="9603"/>
      <c r="E225" s="9604"/>
      <c r="F225" s="9618" t="s">
        <v>1750</v>
      </c>
      <c r="G225" s="9620" t="s">
        <v>1751</v>
      </c>
      <c r="H225" s="9621" t="s">
        <v>1807</v>
      </c>
      <c r="I225" s="9622"/>
      <c r="J225" s="9618" t="s">
        <v>1801</v>
      </c>
      <c r="K225" s="9625"/>
      <c r="L225" s="716"/>
      <c r="M225" s="9470"/>
      <c r="N225" s="9605" t="s">
        <v>372</v>
      </c>
      <c r="O225" s="9606"/>
      <c r="P225" s="9606"/>
      <c r="Q225" s="9606"/>
      <c r="R225" s="5735" t="s">
        <v>1750</v>
      </c>
      <c r="S225" s="9627" t="s">
        <v>1751</v>
      </c>
      <c r="T225" s="9627"/>
      <c r="U225" s="5737" t="s">
        <v>1800</v>
      </c>
      <c r="V225" s="5736" t="s">
        <v>1801</v>
      </c>
      <c r="W225" s="5738"/>
      <c r="X225" s="716"/>
      <c r="Y225" s="716"/>
      <c r="Z225" s="716"/>
      <c r="AA225" s="2730">
        <v>1</v>
      </c>
    </row>
    <row r="226" spans="1:27" s="5229" customFormat="1" ht="21" customHeight="1">
      <c r="A226" s="9470"/>
      <c r="B226" s="9605"/>
      <c r="C226" s="9606"/>
      <c r="D226" s="9606"/>
      <c r="E226" s="9607"/>
      <c r="F226" s="9619"/>
      <c r="G226" s="9554"/>
      <c r="H226" s="9623"/>
      <c r="I226" s="9624"/>
      <c r="J226" s="9619"/>
      <c r="K226" s="9626"/>
      <c r="L226" s="716"/>
      <c r="M226" s="9470"/>
      <c r="N226" s="9628" t="s">
        <v>1803</v>
      </c>
      <c r="O226" s="9629"/>
      <c r="P226" s="9629"/>
      <c r="Q226" s="9629"/>
      <c r="R226" s="5739">
        <v>16</v>
      </c>
      <c r="S226" s="9630" t="s">
        <v>1760</v>
      </c>
      <c r="T226" s="9630"/>
      <c r="U226" s="5740">
        <v>1</v>
      </c>
      <c r="V226" s="5741">
        <v>1250</v>
      </c>
      <c r="W226" s="5742"/>
      <c r="X226" s="716"/>
      <c r="Y226" s="716"/>
      <c r="Z226" s="716"/>
      <c r="AA226" s="2730">
        <v>1</v>
      </c>
    </row>
    <row r="227" spans="1:27" s="5229" customFormat="1" ht="21" customHeight="1">
      <c r="A227" s="9470"/>
      <c r="B227" s="9566" t="s">
        <v>1766</v>
      </c>
      <c r="C227" s="9567"/>
      <c r="D227" s="9567"/>
      <c r="E227" s="9568"/>
      <c r="F227" s="9572">
        <v>3</v>
      </c>
      <c r="G227" s="9574" t="s">
        <v>43</v>
      </c>
      <c r="H227" s="9576">
        <v>23</v>
      </c>
      <c r="I227" s="9576"/>
      <c r="J227" s="9578">
        <v>100</v>
      </c>
      <c r="K227" s="9579"/>
      <c r="L227" s="716"/>
      <c r="M227" s="9470"/>
      <c r="N227" s="9582" t="s">
        <v>1749</v>
      </c>
      <c r="O227" s="9583"/>
      <c r="P227" s="9583"/>
      <c r="Q227" s="9583"/>
      <c r="R227" s="9583"/>
      <c r="S227" s="9583"/>
      <c r="T227" s="9583"/>
      <c r="U227" s="9583"/>
      <c r="V227" s="9583"/>
      <c r="W227" s="9584"/>
      <c r="X227" s="716"/>
      <c r="Y227" s="716"/>
      <c r="Z227" s="716"/>
      <c r="AA227" s="2730">
        <v>1</v>
      </c>
    </row>
    <row r="228" spans="1:27" s="5229" customFormat="1" ht="21" customHeight="1">
      <c r="A228" s="9470"/>
      <c r="B228" s="9569"/>
      <c r="C228" s="9570"/>
      <c r="D228" s="9570"/>
      <c r="E228" s="9571"/>
      <c r="F228" s="9573"/>
      <c r="G228" s="9575"/>
      <c r="H228" s="9577"/>
      <c r="I228" s="9577"/>
      <c r="J228" s="9580"/>
      <c r="K228" s="9581"/>
      <c r="L228" s="716"/>
      <c r="M228" s="9470"/>
      <c r="N228" s="5743" t="s">
        <v>1802</v>
      </c>
      <c r="O228" s="9585" t="s">
        <v>1753</v>
      </c>
      <c r="P228" s="9586"/>
      <c r="Q228" s="9586"/>
      <c r="R228" s="9585" t="s">
        <v>1754</v>
      </c>
      <c r="S228" s="9586"/>
      <c r="T228" s="9586"/>
      <c r="U228" s="9586"/>
      <c r="V228" s="9586"/>
      <c r="W228" s="9587"/>
      <c r="X228" s="716"/>
      <c r="Y228" s="716"/>
      <c r="Z228" s="716"/>
      <c r="AA228" s="2730">
        <v>1</v>
      </c>
    </row>
    <row r="229" spans="1:27" s="5229" customFormat="1" ht="21" customHeight="1">
      <c r="A229" s="9470"/>
      <c r="B229" s="9544" t="s">
        <v>1749</v>
      </c>
      <c r="C229" s="9545"/>
      <c r="D229" s="9545"/>
      <c r="E229" s="9545"/>
      <c r="F229" s="9545"/>
      <c r="G229" s="9545"/>
      <c r="H229" s="9545"/>
      <c r="I229" s="9545"/>
      <c r="J229" s="9545"/>
      <c r="K229" s="9546"/>
      <c r="L229" s="716"/>
      <c r="M229" s="9470"/>
      <c r="N229" s="5744">
        <f>R226/U226</f>
        <v>16</v>
      </c>
      <c r="O229" s="5745">
        <f>U226*V226</f>
        <v>1250</v>
      </c>
      <c r="P229" s="9550" t="str">
        <f>S226</f>
        <v>Cuisses</v>
      </c>
      <c r="Q229" s="9550"/>
      <c r="R229" s="5746">
        <f>IF(O229=0,0,INT(O229/R226))</f>
        <v>78</v>
      </c>
      <c r="S229" s="5747">
        <f>O229-(R229*R226)</f>
        <v>2</v>
      </c>
      <c r="T229" s="5748" t="str">
        <f>IF(S229=0,0,S226)</f>
        <v>Cuisses</v>
      </c>
      <c r="U229" s="5749">
        <f>IF(S229=0,0,R229+1)</f>
        <v>79</v>
      </c>
      <c r="V229" s="5747">
        <f>IF(S229=0,0,O229-(U229*R226))</f>
        <v>-14</v>
      </c>
      <c r="W229" s="5750" t="str">
        <f>IF(V229=0,0,S226)</f>
        <v>Cuisses</v>
      </c>
      <c r="X229" s="716"/>
      <c r="Y229" s="716"/>
      <c r="Z229" s="716"/>
      <c r="AA229" s="2730">
        <v>1</v>
      </c>
    </row>
    <row r="230" spans="1:27" s="5229" customFormat="1" ht="21" customHeight="1" thickBot="1">
      <c r="A230" s="9470"/>
      <c r="B230" s="9547"/>
      <c r="C230" s="9548"/>
      <c r="D230" s="9548"/>
      <c r="E230" s="9548"/>
      <c r="F230" s="9548"/>
      <c r="G230" s="9548"/>
      <c r="H230" s="9548"/>
      <c r="I230" s="9548"/>
      <c r="J230" s="9548"/>
      <c r="K230" s="9549"/>
      <c r="L230" s="716"/>
      <c r="M230" s="9470"/>
      <c r="N230" s="9502" t="s">
        <v>14828</v>
      </c>
      <c r="O230" s="9503"/>
      <c r="P230" s="9503"/>
      <c r="Q230" s="9503"/>
      <c r="R230" s="9503"/>
      <c r="S230" s="9503"/>
      <c r="T230" s="9503"/>
      <c r="U230" s="9503"/>
      <c r="V230" s="9503"/>
      <c r="W230" s="9504"/>
      <c r="X230" s="716"/>
      <c r="Y230" s="716"/>
      <c r="Z230" s="716"/>
      <c r="AA230" s="2730">
        <v>1</v>
      </c>
    </row>
    <row r="231" spans="1:27" s="5229" customFormat="1" ht="21" customHeight="1" thickBot="1">
      <c r="A231" s="9470"/>
      <c r="B231" s="9551" t="s">
        <v>1800</v>
      </c>
      <c r="C231" s="9552"/>
      <c r="D231" s="9555" t="s">
        <v>1753</v>
      </c>
      <c r="E231" s="9556"/>
      <c r="F231" s="9559" t="s">
        <v>1754</v>
      </c>
      <c r="G231" s="9559"/>
      <c r="H231" s="9559"/>
      <c r="I231" s="9559"/>
      <c r="J231" s="9559"/>
      <c r="K231" s="9560"/>
      <c r="L231" s="716"/>
      <c r="M231" s="716"/>
      <c r="N231" s="716"/>
      <c r="O231" s="716"/>
      <c r="P231" s="716"/>
      <c r="Q231" s="716"/>
      <c r="R231" s="716"/>
      <c r="S231" s="716"/>
      <c r="T231" s="716"/>
      <c r="U231" s="716"/>
      <c r="V231" s="716"/>
      <c r="W231" s="716"/>
      <c r="X231" s="716"/>
      <c r="Y231" s="716"/>
      <c r="Z231" s="716"/>
      <c r="AA231" s="2730">
        <v>1</v>
      </c>
    </row>
    <row r="232" spans="1:27" s="5229" customFormat="1" ht="21" customHeight="1">
      <c r="A232" s="9470"/>
      <c r="B232" s="9553"/>
      <c r="C232" s="9554"/>
      <c r="D232" s="9557"/>
      <c r="E232" s="9558"/>
      <c r="F232" s="9561"/>
      <c r="G232" s="9561"/>
      <c r="H232" s="9561"/>
      <c r="I232" s="9561"/>
      <c r="J232" s="9561"/>
      <c r="K232" s="9562"/>
      <c r="L232" s="716"/>
      <c r="M232" s="5447" t="s">
        <v>67</v>
      </c>
      <c r="N232" s="9563" t="s">
        <v>1792</v>
      </c>
      <c r="O232" s="9564"/>
      <c r="P232" s="9564"/>
      <c r="Q232" s="9564"/>
      <c r="R232" s="9564"/>
      <c r="S232" s="9564"/>
      <c r="T232" s="9564"/>
      <c r="U232" s="9564"/>
      <c r="V232" s="9564"/>
      <c r="W232" s="9564"/>
      <c r="X232" s="9564"/>
      <c r="Y232" s="9564"/>
      <c r="Z232" s="9565"/>
      <c r="AA232" s="2730">
        <v>1</v>
      </c>
    </row>
    <row r="233" spans="1:27" s="5229" customFormat="1" ht="21" customHeight="1">
      <c r="A233" s="9470"/>
      <c r="B233" s="9534">
        <f>F227/H227</f>
        <v>0.13043478260869565</v>
      </c>
      <c r="C233" s="9535"/>
      <c r="D233" s="9538">
        <f>B233*J227</f>
        <v>13.043478260869565</v>
      </c>
      <c r="E233" s="9540" t="str">
        <f>G227</f>
        <v>Kg</v>
      </c>
      <c r="F233" s="9516">
        <f>IF(D233=0,0,INT(D233/F227))</f>
        <v>4</v>
      </c>
      <c r="G233" s="9518">
        <f>D233-(F233*F227)</f>
        <v>1.0434782608695645</v>
      </c>
      <c r="H233" s="9542" t="str">
        <f>IF(G233=0,0,G227)</f>
        <v>Kg</v>
      </c>
      <c r="I233" s="9516">
        <f>IF(G233=0,0,F233+1)</f>
        <v>5</v>
      </c>
      <c r="J233" s="9518">
        <f>IF(G233=0,0,D233-(I233*F227))</f>
        <v>-1.9565217391304355</v>
      </c>
      <c r="K233" s="9520" t="str">
        <f>IF(J233=0,0,G227)</f>
        <v>Kg</v>
      </c>
      <c r="L233" s="716"/>
      <c r="M233" s="9470" t="str">
        <f>N232</f>
        <v>Service au choix : au poids ou à la portion</v>
      </c>
      <c r="N233" s="5654" t="str">
        <f>ADDRESS(ROW(),COLUMN(),4)</f>
        <v>N233</v>
      </c>
      <c r="O233" s="5364" t="s">
        <v>14788</v>
      </c>
      <c r="P233" s="5751"/>
      <c r="Q233" s="5751"/>
      <c r="R233" s="5751"/>
      <c r="S233" s="5751"/>
      <c r="T233" s="5751"/>
      <c r="U233" s="5751"/>
      <c r="V233" s="5751"/>
      <c r="W233" s="5751"/>
      <c r="X233" s="5751"/>
      <c r="Y233" s="5751"/>
      <c r="Z233" s="5752"/>
      <c r="AA233" s="2730">
        <v>1</v>
      </c>
    </row>
    <row r="234" spans="1:27" s="5229" customFormat="1" ht="21" customHeight="1" thickBot="1">
      <c r="A234" s="9470"/>
      <c r="B234" s="9536"/>
      <c r="C234" s="9537"/>
      <c r="D234" s="9539"/>
      <c r="E234" s="9541"/>
      <c r="F234" s="9517"/>
      <c r="G234" s="9519"/>
      <c r="H234" s="9543"/>
      <c r="I234" s="9517"/>
      <c r="J234" s="9519"/>
      <c r="K234" s="9521"/>
      <c r="L234" s="716"/>
      <c r="M234" s="9470"/>
      <c r="N234" s="9522" t="s">
        <v>1791</v>
      </c>
      <c r="O234" s="9523"/>
      <c r="P234" s="9523"/>
      <c r="Q234" s="9523"/>
      <c r="R234" s="9523"/>
      <c r="S234" s="9523"/>
      <c r="T234" s="5753"/>
      <c r="U234" s="5754"/>
      <c r="V234" s="5754"/>
      <c r="W234" s="5754"/>
      <c r="X234" s="5754"/>
      <c r="Y234" s="5754"/>
      <c r="Z234" s="5755"/>
      <c r="AA234" s="2730">
        <v>1</v>
      </c>
    </row>
    <row r="235" spans="1:27" s="5229" customFormat="1" ht="21" customHeight="1">
      <c r="A235" s="9470"/>
      <c r="B235" s="9524" t="str">
        <f ca="1">_xlfn.FORMULATEXT(B233)</f>
        <v>=F227/H227</v>
      </c>
      <c r="C235" s="9525"/>
      <c r="D235" s="5756" t="str">
        <f ca="1">_xlfn.FORMULATEXT(D233)</f>
        <v>=B233*J227</v>
      </c>
      <c r="E235" s="5757"/>
      <c r="F235" s="5758" t="str">
        <f ca="1">_xlfn.FORMULATEXT(F233)</f>
        <v>=SI(D233=0;0;ENT(D233/F227))</v>
      </c>
      <c r="G235" s="5759"/>
      <c r="H235" s="5760" t="str">
        <f ca="1">_xlfn.FORMULATEXT(H233)</f>
        <v>=SI(G233=0;0;G227)</v>
      </c>
      <c r="I235" s="5761"/>
      <c r="J235" s="5759" t="str">
        <f ca="1">_xlfn.FORMULATEXT(I233)</f>
        <v>=SI(G233=0;0;F233+1)</v>
      </c>
      <c r="K235" s="5762"/>
      <c r="L235" s="716"/>
      <c r="M235" s="9470"/>
      <c r="N235" s="5763"/>
      <c r="O235" s="5764"/>
      <c r="P235" s="5765"/>
      <c r="Q235" s="9526" t="s">
        <v>1752</v>
      </c>
      <c r="R235" s="9526"/>
      <c r="S235" s="5766"/>
      <c r="T235" s="5765"/>
      <c r="U235" s="5765"/>
      <c r="V235" s="5765"/>
      <c r="W235" s="5765"/>
      <c r="X235" s="5765"/>
      <c r="Y235" s="5767"/>
      <c r="Z235" s="5768"/>
      <c r="AA235" s="2730">
        <v>1</v>
      </c>
    </row>
    <row r="236" spans="1:27" s="5229" customFormat="1" ht="21" customHeight="1">
      <c r="A236" s="9470"/>
      <c r="B236" s="5769" t="s">
        <v>11645</v>
      </c>
      <c r="C236" s="5233"/>
      <c r="D236" s="5233"/>
      <c r="E236" s="5233"/>
      <c r="F236" s="5233"/>
      <c r="G236" s="5770" t="str">
        <f ca="1">_xlfn.FORMULATEXT(G233)</f>
        <v>=D233-(F233*F227)</v>
      </c>
      <c r="H236" s="5233"/>
      <c r="I236" s="5758" t="str">
        <f ca="1">_xlfn.FORMULATEXT(J233)</f>
        <v>=SI(G233=0;0;D233-(I233*F227))</v>
      </c>
      <c r="J236" s="5233"/>
      <c r="K236" s="5762"/>
      <c r="L236" s="716"/>
      <c r="M236" s="9470"/>
      <c r="N236" s="5763"/>
      <c r="O236" s="5765"/>
      <c r="P236" s="5764" t="s">
        <v>14856</v>
      </c>
      <c r="Q236" s="5771" t="s">
        <v>216</v>
      </c>
      <c r="R236" s="5771" t="s">
        <v>303</v>
      </c>
      <c r="S236" s="5766"/>
      <c r="T236" s="9511" t="s">
        <v>14857</v>
      </c>
      <c r="U236" s="9511"/>
      <c r="V236" s="9511"/>
      <c r="W236" s="9511"/>
      <c r="X236" s="9512">
        <v>10</v>
      </c>
      <c r="Y236" s="9513" t="s">
        <v>365</v>
      </c>
      <c r="Z236" s="9514">
        <f>O237*X236</f>
        <v>4.5</v>
      </c>
      <c r="AA236" s="2730">
        <v>1</v>
      </c>
    </row>
    <row r="237" spans="1:27" s="5229" customFormat="1" ht="21" customHeight="1" thickBot="1">
      <c r="A237" s="9470"/>
      <c r="B237" s="9502" t="s">
        <v>14828</v>
      </c>
      <c r="C237" s="9503"/>
      <c r="D237" s="9503"/>
      <c r="E237" s="9503"/>
      <c r="F237" s="9503"/>
      <c r="G237" s="9503"/>
      <c r="H237" s="9503"/>
      <c r="I237" s="9503"/>
      <c r="J237" s="9503"/>
      <c r="K237" s="9504"/>
      <c r="L237" s="716"/>
      <c r="M237" s="9470"/>
      <c r="N237" s="5772"/>
      <c r="O237" s="5773">
        <v>0.45</v>
      </c>
      <c r="P237" s="5774" t="s">
        <v>43</v>
      </c>
      <c r="Q237" s="5775">
        <v>25</v>
      </c>
      <c r="R237" s="5775">
        <v>7</v>
      </c>
      <c r="S237" s="5766"/>
      <c r="T237" s="9511"/>
      <c r="U237" s="9511"/>
      <c r="V237" s="9511"/>
      <c r="W237" s="9511"/>
      <c r="X237" s="9512"/>
      <c r="Y237" s="9513"/>
      <c r="Z237" s="9514"/>
      <c r="AA237" s="2730">
        <v>1</v>
      </c>
    </row>
    <row r="238" spans="1:27" s="5229" customFormat="1" ht="21" customHeight="1">
      <c r="A238" s="716"/>
      <c r="B238" s="716"/>
      <c r="C238" s="716"/>
      <c r="D238" s="716"/>
      <c r="E238" s="716"/>
      <c r="F238" s="716"/>
      <c r="G238" s="716"/>
      <c r="H238" s="716"/>
      <c r="I238" s="716"/>
      <c r="J238" s="716"/>
      <c r="K238" s="716"/>
      <c r="L238" s="716"/>
      <c r="M238" s="9470"/>
      <c r="N238" s="5772"/>
      <c r="O238" s="5766"/>
      <c r="P238" s="5766"/>
      <c r="Q238" s="5776" t="s">
        <v>216</v>
      </c>
      <c r="R238" s="5776" t="s">
        <v>303</v>
      </c>
      <c r="S238" s="5766"/>
      <c r="T238" s="5765"/>
      <c r="U238" s="9515" t="s">
        <v>14858</v>
      </c>
      <c r="V238" s="9515"/>
      <c r="W238" s="9515"/>
      <c r="X238" s="9515"/>
      <c r="Y238" s="9515"/>
      <c r="Z238" s="5768"/>
      <c r="AA238" s="2730">
        <v>1</v>
      </c>
    </row>
    <row r="239" spans="1:27" s="5229" customFormat="1" ht="21" customHeight="1" thickBot="1">
      <c r="A239" s="716"/>
      <c r="B239" s="716"/>
      <c r="C239" s="716"/>
      <c r="D239" s="716"/>
      <c r="E239" s="716"/>
      <c r="F239" s="716"/>
      <c r="G239" s="716"/>
      <c r="H239" s="716"/>
      <c r="I239" s="716"/>
      <c r="J239" s="716"/>
      <c r="K239" s="716"/>
      <c r="L239" s="716"/>
      <c r="M239" s="9470"/>
      <c r="N239" s="5777"/>
      <c r="O239" s="5778" t="s">
        <v>14859</v>
      </c>
      <c r="P239" s="5778"/>
      <c r="Q239" s="5779">
        <v>0.2</v>
      </c>
      <c r="R239" s="5779">
        <v>0.25</v>
      </c>
      <c r="S239" s="5780">
        <f>(Q239*Q237)+(R239*R237)</f>
        <v>6.75</v>
      </c>
      <c r="T239" s="5781" t="str">
        <f>P237</f>
        <v>Kg</v>
      </c>
      <c r="U239" s="5782">
        <f>IF(S239=0,0,INT(S239/(O237*X236)))</f>
        <v>1</v>
      </c>
      <c r="V239" s="5783">
        <f>S239-(U239*(O237*X236))</f>
        <v>2.25</v>
      </c>
      <c r="W239" s="5784" t="str">
        <f>IF(V239=0,0,P237)</f>
        <v>Kg</v>
      </c>
      <c r="X239" s="5782">
        <f>IF(V239=0,0,U239+1)</f>
        <v>2</v>
      </c>
      <c r="Y239" s="5783">
        <f>IF(V239=0,0,S239-(X239*Z236))</f>
        <v>-2.25</v>
      </c>
      <c r="Z239" s="5785" t="str">
        <f>IF(Y239=0,0,P237)</f>
        <v>Kg</v>
      </c>
      <c r="AA239" s="2730">
        <v>1</v>
      </c>
    </row>
    <row r="240" spans="1:27" s="5229" customFormat="1" ht="21" customHeight="1">
      <c r="A240" s="5447" t="s">
        <v>67</v>
      </c>
      <c r="B240" s="9527" t="s">
        <v>14818</v>
      </c>
      <c r="C240" s="9528"/>
      <c r="D240" s="9528"/>
      <c r="E240" s="9528"/>
      <c r="F240" s="9528"/>
      <c r="G240" s="9528"/>
      <c r="H240" s="9528"/>
      <c r="I240" s="9528"/>
      <c r="J240" s="9528"/>
      <c r="K240" s="9529"/>
      <c r="L240" s="716"/>
      <c r="M240" s="9470"/>
      <c r="N240" s="9530" t="s">
        <v>1796</v>
      </c>
      <c r="O240" s="9531"/>
      <c r="P240" s="9531"/>
      <c r="Q240" s="9486">
        <f>Q239/O237</f>
        <v>0.44444444444444448</v>
      </c>
      <c r="R240" s="9486">
        <f>R239/O237</f>
        <v>0.55555555555555558</v>
      </c>
      <c r="S240" s="9488">
        <f>(Q240*Q237)+(R240*R237)</f>
        <v>15.000000000000002</v>
      </c>
      <c r="T240" s="9490" t="str">
        <f>Y236</f>
        <v>portions</v>
      </c>
      <c r="U240" s="9492">
        <f>IF(S240=0,0,INT(S240/X236))</f>
        <v>1</v>
      </c>
      <c r="V240" s="9494">
        <f>S240-(U240*X236)</f>
        <v>5.0000000000000018</v>
      </c>
      <c r="W240" s="9496" t="str">
        <f>IF(V240=0,0,Y236)</f>
        <v>portions</v>
      </c>
      <c r="X240" s="9505">
        <f>IF(V240=0,0,U240+1)</f>
        <v>2</v>
      </c>
      <c r="Y240" s="9507">
        <f>IF(V240=0,0,S240-(X240*X236))</f>
        <v>-4.9999999999999982</v>
      </c>
      <c r="Z240" s="9509" t="str">
        <f>IF(Y240=0,0,Y236)</f>
        <v>portions</v>
      </c>
      <c r="AA240" s="2730">
        <v>1</v>
      </c>
    </row>
    <row r="241" spans="1:27" s="5229" customFormat="1" ht="21" customHeight="1">
      <c r="A241" s="9470" t="str">
        <f>B240</f>
        <v>Poids de sauce à servir</v>
      </c>
      <c r="B241" s="5375" t="str">
        <f>ADDRESS(ROW(),COLUMN(),4)</f>
        <v>B241</v>
      </c>
      <c r="C241" s="5250" t="s">
        <v>14788</v>
      </c>
      <c r="D241" s="5536"/>
      <c r="E241" s="5536"/>
      <c r="F241" s="5536"/>
      <c r="G241" s="5536"/>
      <c r="H241" s="5536"/>
      <c r="I241" s="5536"/>
      <c r="J241" s="5536"/>
      <c r="K241" s="5537"/>
      <c r="L241" s="716"/>
      <c r="M241" s="9470"/>
      <c r="N241" s="9532"/>
      <c r="O241" s="9533"/>
      <c r="P241" s="9533"/>
      <c r="Q241" s="9487"/>
      <c r="R241" s="9487"/>
      <c r="S241" s="9489"/>
      <c r="T241" s="9491"/>
      <c r="U241" s="9493"/>
      <c r="V241" s="9495"/>
      <c r="W241" s="9497"/>
      <c r="X241" s="9506"/>
      <c r="Y241" s="9508"/>
      <c r="Z241" s="9510"/>
      <c r="AA241" s="2730">
        <v>1</v>
      </c>
    </row>
    <row r="242" spans="1:27" s="5229" customFormat="1" ht="21" customHeight="1" thickBot="1">
      <c r="A242" s="9470"/>
      <c r="B242" s="9471" t="s">
        <v>1840</v>
      </c>
      <c r="C242" s="9472"/>
      <c r="D242" s="9472"/>
      <c r="E242" s="9472"/>
      <c r="F242" s="9475" t="s">
        <v>1841</v>
      </c>
      <c r="G242" s="9475"/>
      <c r="H242" s="9475"/>
      <c r="I242" s="9475"/>
      <c r="J242" s="9477">
        <v>0.15</v>
      </c>
      <c r="K242" s="9478"/>
      <c r="L242" s="716"/>
      <c r="M242" s="9470"/>
      <c r="N242" s="9481" t="s">
        <v>14828</v>
      </c>
      <c r="O242" s="9482"/>
      <c r="P242" s="9482"/>
      <c r="Q242" s="9482"/>
      <c r="R242" s="9482"/>
      <c r="S242" s="9482"/>
      <c r="T242" s="9482"/>
      <c r="U242" s="9482"/>
      <c r="V242" s="9482"/>
      <c r="W242" s="9482"/>
      <c r="X242" s="9482"/>
      <c r="Y242" s="9482"/>
      <c r="Z242" s="9483"/>
      <c r="AA242" s="2730">
        <v>1</v>
      </c>
    </row>
    <row r="243" spans="1:27" s="5229" customFormat="1" ht="21" customHeight="1">
      <c r="A243" s="9470"/>
      <c r="B243" s="9473"/>
      <c r="C243" s="9474"/>
      <c r="D243" s="9474"/>
      <c r="E243" s="9474"/>
      <c r="F243" s="9476"/>
      <c r="G243" s="9476"/>
      <c r="H243" s="9476"/>
      <c r="I243" s="9476"/>
      <c r="J243" s="9479"/>
      <c r="K243" s="9480"/>
      <c r="L243" s="716"/>
      <c r="M243" s="716"/>
      <c r="N243" s="716"/>
      <c r="O243" s="716"/>
      <c r="P243" s="716"/>
      <c r="Q243" s="716"/>
      <c r="R243" s="716"/>
      <c r="S243" s="716"/>
      <c r="T243" s="716"/>
      <c r="U243" s="716"/>
      <c r="V243" s="716"/>
      <c r="W243" s="716"/>
      <c r="X243" s="716"/>
      <c r="Y243" s="716"/>
      <c r="Z243" s="716"/>
      <c r="AA243" s="2730">
        <v>1</v>
      </c>
    </row>
    <row r="244" spans="1:27" s="5229" customFormat="1" ht="21" customHeight="1">
      <c r="A244" s="9470"/>
      <c r="B244" s="9484" t="s">
        <v>1801</v>
      </c>
      <c r="C244" s="9485" t="s">
        <v>1815</v>
      </c>
      <c r="D244" s="9498" t="s">
        <v>1817</v>
      </c>
      <c r="E244" s="9499" t="s">
        <v>1818</v>
      </c>
      <c r="F244" s="9499"/>
      <c r="G244" s="9500" t="s">
        <v>1842</v>
      </c>
      <c r="H244" s="9499" t="s">
        <v>1843</v>
      </c>
      <c r="I244" s="9499"/>
      <c r="J244" s="9499" t="s">
        <v>1820</v>
      </c>
      <c r="K244" s="9501"/>
      <c r="L244" s="716"/>
      <c r="M244" s="716"/>
      <c r="N244" s="716"/>
      <c r="O244" s="716"/>
      <c r="P244" s="716"/>
      <c r="Q244" s="716"/>
      <c r="R244" s="716"/>
      <c r="S244" s="716"/>
      <c r="T244" s="716"/>
      <c r="U244" s="716"/>
      <c r="V244" s="716"/>
      <c r="W244" s="716"/>
      <c r="X244" s="716"/>
      <c r="Y244" s="716"/>
      <c r="Z244" s="716"/>
      <c r="AA244" s="2730">
        <v>1</v>
      </c>
    </row>
    <row r="245" spans="1:27" s="5229" customFormat="1" ht="21" customHeight="1">
      <c r="A245" s="9470"/>
      <c r="B245" s="9484"/>
      <c r="C245" s="9485"/>
      <c r="D245" s="9498"/>
      <c r="E245" s="9499"/>
      <c r="F245" s="9499"/>
      <c r="G245" s="9500"/>
      <c r="H245" s="9499"/>
      <c r="I245" s="9499"/>
      <c r="J245" s="9499"/>
      <c r="K245" s="9501"/>
      <c r="L245" s="716"/>
      <c r="M245" s="716"/>
      <c r="N245" s="716"/>
      <c r="O245" s="716"/>
      <c r="P245" s="716"/>
      <c r="Q245" s="716"/>
      <c r="R245" s="716"/>
      <c r="S245" s="716"/>
      <c r="T245" s="716"/>
      <c r="U245" s="716"/>
      <c r="V245" s="716"/>
      <c r="W245" s="716"/>
      <c r="X245" s="716"/>
      <c r="Y245" s="716"/>
      <c r="Z245" s="716"/>
      <c r="AA245" s="2730">
        <v>1</v>
      </c>
    </row>
    <row r="246" spans="1:27" s="5229" customFormat="1" ht="21" customHeight="1">
      <c r="A246" s="9470"/>
      <c r="B246" s="5786">
        <v>50</v>
      </c>
      <c r="C246" s="5787">
        <v>0.03</v>
      </c>
      <c r="D246" s="5788">
        <v>2</v>
      </c>
      <c r="E246" s="5789">
        <f>IF(B246=0,0,(C246/(100-D246)*100))</f>
        <v>3.0612244897959183E-2</v>
      </c>
      <c r="F246" s="5790" t="s">
        <v>43</v>
      </c>
      <c r="G246" s="5791">
        <f>J242/C246</f>
        <v>5</v>
      </c>
      <c r="H246" s="5792">
        <f>C246*B246</f>
        <v>1.5</v>
      </c>
      <c r="I246" s="5790" t="s">
        <v>43</v>
      </c>
      <c r="J246" s="5793">
        <f>E246*B246</f>
        <v>1.5306122448979591</v>
      </c>
      <c r="K246" s="5794" t="s">
        <v>43</v>
      </c>
      <c r="L246" s="716"/>
      <c r="M246" s="716"/>
      <c r="N246" s="716"/>
      <c r="O246" s="716"/>
      <c r="P246" s="716"/>
      <c r="Q246" s="716"/>
      <c r="R246" s="716"/>
      <c r="S246" s="716"/>
      <c r="T246" s="716"/>
      <c r="U246" s="716"/>
      <c r="V246" s="716"/>
      <c r="W246" s="716"/>
      <c r="X246" s="716"/>
      <c r="Y246" s="716"/>
      <c r="Z246" s="716"/>
      <c r="AA246" s="2730">
        <v>1</v>
      </c>
    </row>
    <row r="247" spans="1:27" s="5229" customFormat="1" ht="21" customHeight="1" thickBot="1">
      <c r="A247" s="9470"/>
      <c r="B247" s="9502" t="s">
        <v>14828</v>
      </c>
      <c r="C247" s="9503"/>
      <c r="D247" s="9503"/>
      <c r="E247" s="9503"/>
      <c r="F247" s="9503"/>
      <c r="G247" s="9503"/>
      <c r="H247" s="9503"/>
      <c r="I247" s="9503"/>
      <c r="J247" s="9503"/>
      <c r="K247" s="9504"/>
      <c r="L247" s="716"/>
      <c r="M247" s="716"/>
      <c r="N247" s="716"/>
      <c r="O247" s="716"/>
      <c r="P247" s="716"/>
      <c r="Q247" s="716"/>
      <c r="R247" s="716"/>
      <c r="S247" s="716"/>
      <c r="T247" s="716"/>
      <c r="U247" s="716"/>
      <c r="V247" s="716"/>
      <c r="W247" s="716"/>
      <c r="X247" s="716"/>
      <c r="Y247" s="716"/>
      <c r="Z247" s="716"/>
      <c r="AA247" s="2730">
        <v>1</v>
      </c>
    </row>
    <row r="248" spans="1:27" s="5229" customFormat="1" ht="21" customHeight="1" thickBot="1">
      <c r="A248" s="5230"/>
      <c r="B248" s="5457"/>
      <c r="C248" s="5457"/>
      <c r="D248" s="5457"/>
      <c r="E248" s="5457"/>
      <c r="F248" s="5457"/>
      <c r="G248" s="5457"/>
      <c r="H248" s="5444"/>
      <c r="I248" s="5464"/>
      <c r="J248" s="5464"/>
      <c r="K248" s="5465"/>
      <c r="L248" s="716"/>
      <c r="M248" s="716"/>
      <c r="N248" s="716"/>
      <c r="O248" s="716"/>
      <c r="P248" s="716"/>
      <c r="Q248" s="716"/>
      <c r="R248" s="716"/>
      <c r="S248" s="716"/>
      <c r="T248" s="716"/>
      <c r="U248" s="716"/>
      <c r="V248" s="716"/>
      <c r="W248" s="716"/>
      <c r="X248" s="716"/>
      <c r="Y248" s="716"/>
      <c r="Z248" s="716"/>
      <c r="AA248" s="2730">
        <v>1</v>
      </c>
    </row>
    <row r="249" spans="1:27" s="5229" customFormat="1" ht="21" customHeight="1">
      <c r="A249" s="5447" t="s">
        <v>67</v>
      </c>
      <c r="B249" s="9460" t="s">
        <v>281</v>
      </c>
      <c r="C249" s="9461"/>
      <c r="D249" s="9461"/>
      <c r="E249" s="9461"/>
      <c r="F249" s="9461"/>
      <c r="G249" s="9461"/>
      <c r="H249" s="9461"/>
      <c r="I249" s="9461"/>
      <c r="J249" s="9462"/>
      <c r="K249" s="5230"/>
      <c r="L249" s="5447" t="s">
        <v>67</v>
      </c>
      <c r="M249" s="9460" t="s">
        <v>268</v>
      </c>
      <c r="N249" s="9461"/>
      <c r="O249" s="9461"/>
      <c r="P249" s="9461"/>
      <c r="Q249" s="9462"/>
      <c r="R249" s="716"/>
      <c r="S249" s="716"/>
      <c r="T249" s="716"/>
      <c r="U249" s="716"/>
      <c r="V249" s="716"/>
      <c r="W249" s="716"/>
      <c r="X249" s="716"/>
      <c r="Y249" s="716"/>
      <c r="Z249" s="716"/>
      <c r="AA249" s="2730">
        <v>1</v>
      </c>
    </row>
    <row r="250" spans="1:27" s="5229" customFormat="1" ht="21" customHeight="1">
      <c r="A250" s="9262" t="str">
        <f>B249</f>
        <v>Total Mx dans 1 contenant</v>
      </c>
      <c r="B250" s="5375" t="str">
        <f>ADDRESS(ROW(),COLUMN(),4)</f>
        <v>B250</v>
      </c>
      <c r="C250" s="5250" t="s">
        <v>14788</v>
      </c>
      <c r="D250" s="5450"/>
      <c r="E250" s="5450"/>
      <c r="F250" s="5450"/>
      <c r="G250" s="5450"/>
      <c r="H250" s="5450"/>
      <c r="I250" s="5450"/>
      <c r="J250" s="5455"/>
      <c r="K250" s="5230"/>
      <c r="L250" s="9262"/>
      <c r="M250" s="5375" t="str">
        <f>ADDRESS(ROW(),COLUMN(),4)</f>
        <v>M250</v>
      </c>
      <c r="N250" s="5250" t="s">
        <v>14788</v>
      </c>
      <c r="O250" s="5450"/>
      <c r="P250" s="5450"/>
      <c r="Q250" s="5455"/>
      <c r="R250" s="716"/>
      <c r="S250" s="716"/>
      <c r="T250" s="716"/>
      <c r="U250" s="716"/>
      <c r="V250" s="716"/>
      <c r="W250" s="716"/>
      <c r="X250" s="716"/>
      <c r="Y250" s="716"/>
      <c r="Z250" s="716"/>
      <c r="AA250" s="2730">
        <v>1</v>
      </c>
    </row>
    <row r="251" spans="1:27" s="5229" customFormat="1" ht="21" customHeight="1">
      <c r="A251" s="9262"/>
      <c r="B251" s="9463" t="s">
        <v>281</v>
      </c>
      <c r="C251" s="9465" t="s">
        <v>282</v>
      </c>
      <c r="D251" s="9467" t="s">
        <v>283</v>
      </c>
      <c r="E251" s="5795" t="s">
        <v>271</v>
      </c>
      <c r="F251" s="5795"/>
      <c r="G251" s="5795"/>
      <c r="H251" s="5795"/>
      <c r="I251" s="5795"/>
      <c r="J251" s="5796"/>
      <c r="K251" s="5230"/>
      <c r="L251" s="9262"/>
      <c r="M251" s="9453" t="s">
        <v>272</v>
      </c>
      <c r="N251" s="5798"/>
      <c r="O251" s="8542" t="s">
        <v>273</v>
      </c>
      <c r="P251" s="5799"/>
      <c r="Q251" s="9468" t="s">
        <v>274</v>
      </c>
      <c r="R251" s="716"/>
      <c r="S251" s="716"/>
      <c r="T251" s="716"/>
      <c r="U251" s="716"/>
      <c r="V251" s="716"/>
      <c r="W251" s="716"/>
      <c r="X251" s="716"/>
      <c r="Y251" s="716"/>
      <c r="Z251" s="716"/>
      <c r="AA251" s="2730">
        <v>1</v>
      </c>
    </row>
    <row r="252" spans="1:27" s="5229" customFormat="1" ht="21" customHeight="1">
      <c r="A252" s="9262"/>
      <c r="B252" s="9464"/>
      <c r="C252" s="9466"/>
      <c r="D252" s="8537"/>
      <c r="E252" s="5800"/>
      <c r="F252" s="5800"/>
      <c r="G252" s="5800"/>
      <c r="H252" s="5800"/>
      <c r="I252" s="5800"/>
      <c r="J252" s="5801"/>
      <c r="K252" s="5230"/>
      <c r="L252" s="9262"/>
      <c r="M252" s="9453"/>
      <c r="N252" s="5798"/>
      <c r="O252" s="8542"/>
      <c r="P252" s="5799"/>
      <c r="Q252" s="9468"/>
      <c r="R252" s="716"/>
      <c r="S252" s="716"/>
      <c r="T252" s="716"/>
      <c r="U252" s="716"/>
      <c r="V252" s="716"/>
      <c r="W252" s="716"/>
      <c r="X252" s="716"/>
      <c r="Y252" s="716"/>
      <c r="Z252" s="716"/>
      <c r="AA252" s="2730">
        <v>1</v>
      </c>
    </row>
    <row r="253" spans="1:27" s="5229" customFormat="1" ht="21" customHeight="1">
      <c r="A253" s="9262"/>
      <c r="B253" s="9464"/>
      <c r="C253" s="9466"/>
      <c r="D253" s="8537"/>
      <c r="E253" s="178"/>
      <c r="F253" s="178"/>
      <c r="G253" s="178"/>
      <c r="H253" s="178"/>
      <c r="I253" s="178"/>
      <c r="J253" s="179"/>
      <c r="K253" s="5230"/>
      <c r="L253" s="9262"/>
      <c r="M253" s="9453"/>
      <c r="N253" s="5798"/>
      <c r="O253" s="8542"/>
      <c r="P253" s="5799"/>
      <c r="Q253" s="9468"/>
      <c r="R253" s="716"/>
      <c r="S253" s="716"/>
      <c r="T253" s="716"/>
      <c r="U253" s="716"/>
      <c r="V253" s="716"/>
      <c r="W253" s="716"/>
      <c r="X253" s="716"/>
      <c r="Y253" s="716"/>
      <c r="Z253" s="716"/>
      <c r="AA253" s="2730">
        <v>1</v>
      </c>
    </row>
    <row r="254" spans="1:27" s="5229" customFormat="1" ht="21" customHeight="1">
      <c r="A254" s="9262"/>
      <c r="B254" s="2718">
        <v>32</v>
      </c>
      <c r="C254" s="2719">
        <v>1.45</v>
      </c>
      <c r="D254" s="733">
        <f>B254/C254</f>
        <v>22.068965517241381</v>
      </c>
      <c r="E254" s="5802" t="s">
        <v>284</v>
      </c>
      <c r="F254" s="5803"/>
      <c r="G254" s="5803"/>
      <c r="H254" s="5803"/>
      <c r="I254" s="5803"/>
      <c r="J254" s="5804"/>
      <c r="K254" s="5230"/>
      <c r="L254" s="9262"/>
      <c r="M254" s="5805">
        <v>10</v>
      </c>
      <c r="N254" s="5806"/>
      <c r="O254" s="5806">
        <v>0.1</v>
      </c>
      <c r="P254" s="5806"/>
      <c r="Q254" s="5807">
        <f>M254/O254</f>
        <v>100</v>
      </c>
      <c r="R254" s="716"/>
      <c r="S254" s="716"/>
      <c r="T254" s="716"/>
      <c r="U254" s="716"/>
      <c r="V254" s="716"/>
      <c r="W254" s="716"/>
      <c r="X254" s="716"/>
      <c r="Y254" s="716"/>
      <c r="Z254" s="716"/>
      <c r="AA254" s="2730">
        <v>1</v>
      </c>
    </row>
    <row r="255" spans="1:27" s="5229" customFormat="1" ht="21" customHeight="1">
      <c r="A255" s="9262"/>
      <c r="B255" s="5808"/>
      <c r="C255" s="5809"/>
      <c r="D255" s="5810"/>
      <c r="E255" s="5803"/>
      <c r="F255" s="5803"/>
      <c r="G255" s="5803"/>
      <c r="H255" s="5803"/>
      <c r="I255" s="5803"/>
      <c r="J255" s="5804"/>
      <c r="K255" s="5230"/>
      <c r="L255" s="9262"/>
      <c r="M255" s="5805">
        <v>1</v>
      </c>
      <c r="N255" s="5806"/>
      <c r="O255" s="5806">
        <v>7.0000000000000007E-2</v>
      </c>
      <c r="P255" s="5806"/>
      <c r="Q255" s="5807">
        <f>M255/O255</f>
        <v>14.285714285714285</v>
      </c>
      <c r="R255" s="716"/>
      <c r="S255" s="716"/>
      <c r="T255" s="716"/>
      <c r="U255" s="716"/>
      <c r="V255" s="716"/>
      <c r="W255" s="716"/>
      <c r="X255" s="716"/>
      <c r="Y255" s="716"/>
      <c r="Z255" s="716"/>
      <c r="AA255" s="2730">
        <v>1</v>
      </c>
    </row>
    <row r="256" spans="1:27" s="5229" customFormat="1" ht="21" customHeight="1">
      <c r="A256" s="9262"/>
      <c r="B256" s="5811" t="s">
        <v>285</v>
      </c>
      <c r="C256" s="5812"/>
      <c r="D256" s="5812"/>
      <c r="E256" s="5812"/>
      <c r="F256" s="5812"/>
      <c r="G256" s="5812"/>
      <c r="H256" s="5812"/>
      <c r="I256" s="5812"/>
      <c r="J256" s="5813"/>
      <c r="K256" s="5230"/>
      <c r="L256" s="9262"/>
      <c r="M256" s="5814"/>
      <c r="N256" s="5815"/>
      <c r="O256" s="172"/>
      <c r="P256" s="5815"/>
      <c r="Q256" s="5362"/>
      <c r="R256" s="716"/>
      <c r="S256" s="716"/>
      <c r="T256" s="716"/>
      <c r="U256" s="716"/>
      <c r="V256" s="716"/>
      <c r="W256" s="716"/>
      <c r="X256" s="716"/>
      <c r="Y256" s="716"/>
      <c r="Z256" s="716"/>
      <c r="AA256" s="2730">
        <v>1</v>
      </c>
    </row>
    <row r="257" spans="1:27" s="5229" customFormat="1" ht="21" customHeight="1">
      <c r="A257" s="9262"/>
      <c r="B257" s="5816">
        <v>32</v>
      </c>
      <c r="C257" s="5817">
        <v>1.2</v>
      </c>
      <c r="D257" s="733">
        <f t="shared" ref="D257:D268" si="2">B257/C257</f>
        <v>26.666666666666668</v>
      </c>
      <c r="E257" s="5818" t="s">
        <v>286</v>
      </c>
      <c r="F257" s="5819"/>
      <c r="G257" s="5819"/>
      <c r="H257" s="5819"/>
      <c r="I257" s="5820"/>
      <c r="J257" s="5821"/>
      <c r="K257" s="5230"/>
      <c r="L257" s="9262"/>
      <c r="M257" s="5822" t="s">
        <v>14860</v>
      </c>
      <c r="N257" s="5823"/>
      <c r="O257" s="172"/>
      <c r="P257" s="5444"/>
      <c r="Q257" s="5362"/>
      <c r="R257" s="716"/>
      <c r="S257" s="716"/>
      <c r="T257" s="716"/>
      <c r="U257" s="716"/>
      <c r="V257" s="716"/>
      <c r="W257" s="716"/>
      <c r="X257" s="716"/>
      <c r="Y257" s="716"/>
      <c r="Z257" s="716"/>
      <c r="AA257" s="2730">
        <v>1</v>
      </c>
    </row>
    <row r="258" spans="1:27" s="5229" customFormat="1" ht="21" customHeight="1">
      <c r="A258" s="9262"/>
      <c r="B258" s="5816">
        <v>12</v>
      </c>
      <c r="C258" s="5817">
        <v>1</v>
      </c>
      <c r="D258" s="733">
        <f t="shared" si="2"/>
        <v>12</v>
      </c>
      <c r="E258" s="5818" t="s">
        <v>287</v>
      </c>
      <c r="F258" s="5819"/>
      <c r="G258" s="5819"/>
      <c r="H258" s="5819"/>
      <c r="I258" s="5820"/>
      <c r="J258" s="5821"/>
      <c r="K258" s="5230"/>
      <c r="L258" s="9262"/>
      <c r="M258" s="5824" t="s">
        <v>14861</v>
      </c>
      <c r="N258" s="5823"/>
      <c r="O258" s="172"/>
      <c r="P258" s="5444"/>
      <c r="Q258" s="5362"/>
      <c r="R258" s="716"/>
      <c r="S258" s="716"/>
      <c r="T258" s="716"/>
      <c r="U258" s="716"/>
      <c r="V258" s="716"/>
      <c r="W258" s="716"/>
      <c r="X258" s="716"/>
      <c r="Y258" s="716"/>
      <c r="Z258" s="716"/>
      <c r="AA258" s="2730">
        <v>1</v>
      </c>
    </row>
    <row r="259" spans="1:27" s="5229" customFormat="1" ht="21" customHeight="1">
      <c r="A259" s="9262"/>
      <c r="B259" s="5816">
        <v>32</v>
      </c>
      <c r="C259" s="5817">
        <v>2</v>
      </c>
      <c r="D259" s="733">
        <f t="shared" si="2"/>
        <v>16</v>
      </c>
      <c r="E259" s="5818" t="s">
        <v>288</v>
      </c>
      <c r="F259" s="5819"/>
      <c r="G259" s="5819"/>
      <c r="H259" s="5819"/>
      <c r="I259" s="5820"/>
      <c r="J259" s="5821"/>
      <c r="K259" s="5230"/>
      <c r="L259" s="9262"/>
      <c r="M259" s="5825"/>
      <c r="N259" s="5826"/>
      <c r="O259" s="5826"/>
      <c r="P259" s="5826"/>
      <c r="Q259" s="5827"/>
      <c r="R259" s="716"/>
      <c r="S259" s="716"/>
      <c r="T259" s="716"/>
      <c r="U259" s="716"/>
      <c r="V259" s="716"/>
      <c r="W259" s="716"/>
      <c r="X259" s="716"/>
      <c r="Y259" s="716"/>
      <c r="Z259" s="716"/>
      <c r="AA259" s="2730">
        <v>1</v>
      </c>
    </row>
    <row r="260" spans="1:27" s="5229" customFormat="1" ht="21" customHeight="1">
      <c r="A260" s="9262"/>
      <c r="B260" s="5816">
        <v>32</v>
      </c>
      <c r="C260" s="5817">
        <v>1.2</v>
      </c>
      <c r="D260" s="733">
        <f t="shared" si="2"/>
        <v>26.666666666666668</v>
      </c>
      <c r="E260" s="5818" t="s">
        <v>288</v>
      </c>
      <c r="F260" s="5819"/>
      <c r="G260" s="5819"/>
      <c r="H260" s="5819"/>
      <c r="I260" s="5820"/>
      <c r="J260" s="5821"/>
      <c r="K260" s="5230"/>
      <c r="L260" s="9262"/>
      <c r="M260" s="9453" t="s">
        <v>272</v>
      </c>
      <c r="N260" s="8541"/>
      <c r="O260" s="8542" t="s">
        <v>276</v>
      </c>
      <c r="P260" s="8542"/>
      <c r="Q260" s="9454" t="s">
        <v>278</v>
      </c>
      <c r="R260" s="716"/>
      <c r="S260" s="716"/>
      <c r="T260" s="716"/>
      <c r="U260" s="716"/>
      <c r="V260" s="716"/>
      <c r="W260" s="716"/>
      <c r="X260" s="716"/>
      <c r="Y260" s="716"/>
      <c r="Z260" s="716"/>
      <c r="AA260" s="2730">
        <v>1</v>
      </c>
    </row>
    <row r="261" spans="1:27" s="5229" customFormat="1" ht="21" customHeight="1">
      <c r="A261" s="9262"/>
      <c r="B261" s="5816">
        <v>33</v>
      </c>
      <c r="C261" s="5817">
        <v>1.3</v>
      </c>
      <c r="D261" s="733">
        <f t="shared" si="2"/>
        <v>25.384615384615383</v>
      </c>
      <c r="E261" s="5818" t="s">
        <v>289</v>
      </c>
      <c r="F261" s="5819"/>
      <c r="G261" s="5819"/>
      <c r="H261" s="5819"/>
      <c r="I261" s="5820"/>
      <c r="J261" s="5821"/>
      <c r="K261" s="5230"/>
      <c r="L261" s="9262"/>
      <c r="M261" s="9453"/>
      <c r="N261" s="8541"/>
      <c r="O261" s="8542"/>
      <c r="P261" s="8542"/>
      <c r="Q261" s="9454"/>
      <c r="R261" s="716"/>
      <c r="S261" s="716"/>
      <c r="T261" s="716"/>
      <c r="U261" s="716"/>
      <c r="V261" s="716"/>
      <c r="W261" s="716"/>
      <c r="X261" s="716"/>
      <c r="Y261" s="716"/>
      <c r="Z261" s="716"/>
      <c r="AA261" s="2730">
        <v>1</v>
      </c>
    </row>
    <row r="262" spans="1:27" s="5229" customFormat="1" ht="21" customHeight="1">
      <c r="A262" s="9262"/>
      <c r="B262" s="5816">
        <v>33</v>
      </c>
      <c r="C262" s="5817">
        <v>1.5</v>
      </c>
      <c r="D262" s="733">
        <f t="shared" si="2"/>
        <v>22</v>
      </c>
      <c r="E262" s="5818" t="s">
        <v>290</v>
      </c>
      <c r="F262" s="5819"/>
      <c r="G262" s="5819"/>
      <c r="H262" s="5819"/>
      <c r="I262" s="5820"/>
      <c r="J262" s="5821"/>
      <c r="K262" s="5230"/>
      <c r="L262" s="9262"/>
      <c r="M262" s="5797"/>
      <c r="N262" s="2722"/>
      <c r="O262" s="2723"/>
      <c r="P262" s="2723"/>
      <c r="Q262" s="5828"/>
      <c r="R262" s="716"/>
      <c r="S262" s="716"/>
      <c r="T262" s="716"/>
      <c r="U262" s="716"/>
      <c r="V262" s="716"/>
      <c r="W262" s="716"/>
      <c r="X262" s="716"/>
      <c r="Y262" s="716"/>
      <c r="Z262" s="716"/>
      <c r="AA262" s="2730">
        <v>1</v>
      </c>
    </row>
    <row r="263" spans="1:27" s="5229" customFormat="1" ht="21" customHeight="1">
      <c r="A263" s="9262"/>
      <c r="B263" s="5816">
        <v>30</v>
      </c>
      <c r="C263" s="5817">
        <v>1.2</v>
      </c>
      <c r="D263" s="733">
        <f t="shared" si="2"/>
        <v>25</v>
      </c>
      <c r="E263" s="5818" t="s">
        <v>291</v>
      </c>
      <c r="F263" s="5819"/>
      <c r="G263" s="5819"/>
      <c r="H263" s="5819"/>
      <c r="I263" s="5820"/>
      <c r="J263" s="5821"/>
      <c r="K263" s="5230"/>
      <c r="L263" s="9262"/>
      <c r="M263" s="5829">
        <v>0.25</v>
      </c>
      <c r="N263" s="5830"/>
      <c r="O263" s="5831">
        <v>2</v>
      </c>
      <c r="P263" s="5832"/>
      <c r="Q263" s="5833">
        <f>M263/O263</f>
        <v>0.125</v>
      </c>
      <c r="R263" s="716"/>
      <c r="S263" s="716"/>
      <c r="T263" s="716"/>
      <c r="U263" s="716"/>
      <c r="V263" s="716"/>
      <c r="W263" s="716"/>
      <c r="X263" s="716"/>
      <c r="Y263" s="716"/>
      <c r="Z263" s="716"/>
      <c r="AA263" s="2730">
        <v>1</v>
      </c>
    </row>
    <row r="264" spans="1:27" s="5229" customFormat="1" ht="21" customHeight="1">
      <c r="A264" s="9262"/>
      <c r="B264" s="5816">
        <v>33</v>
      </c>
      <c r="C264" s="5817">
        <v>1.6</v>
      </c>
      <c r="D264" s="733">
        <f t="shared" si="2"/>
        <v>20.625</v>
      </c>
      <c r="E264" s="5818" t="s">
        <v>292</v>
      </c>
      <c r="F264" s="5819"/>
      <c r="G264" s="5819"/>
      <c r="H264" s="5819"/>
      <c r="I264" s="5820"/>
      <c r="J264" s="5821"/>
      <c r="K264" s="5230"/>
      <c r="L264" s="9262"/>
      <c r="M264" s="5829">
        <v>3.5</v>
      </c>
      <c r="N264" s="5830"/>
      <c r="O264" s="5831">
        <v>20</v>
      </c>
      <c r="P264" s="5832"/>
      <c r="Q264" s="5833">
        <f>M264/O264</f>
        <v>0.17499999999999999</v>
      </c>
      <c r="R264" s="716"/>
      <c r="S264" s="716"/>
      <c r="T264" s="716"/>
      <c r="U264" s="716"/>
      <c r="V264" s="716"/>
      <c r="W264" s="716"/>
      <c r="X264" s="716"/>
      <c r="Y264" s="716"/>
      <c r="Z264" s="716"/>
      <c r="AA264" s="2730">
        <v>1</v>
      </c>
    </row>
    <row r="265" spans="1:27" s="5229" customFormat="1" ht="21" customHeight="1">
      <c r="A265" s="9262"/>
      <c r="B265" s="5816">
        <v>33</v>
      </c>
      <c r="C265" s="5817">
        <v>2</v>
      </c>
      <c r="D265" s="733">
        <f t="shared" si="2"/>
        <v>16.5</v>
      </c>
      <c r="E265" s="5818" t="s">
        <v>293</v>
      </c>
      <c r="F265" s="5819"/>
      <c r="G265" s="5819"/>
      <c r="H265" s="5819"/>
      <c r="I265" s="5820"/>
      <c r="J265" s="5821"/>
      <c r="K265" s="5230"/>
      <c r="L265" s="9262"/>
      <c r="M265" s="5834"/>
      <c r="N265" s="2720"/>
      <c r="O265" s="2721"/>
      <c r="P265" s="2721"/>
      <c r="Q265" s="5835"/>
      <c r="R265" s="716"/>
      <c r="S265" s="716"/>
      <c r="T265" s="716"/>
      <c r="U265" s="716"/>
      <c r="V265" s="716"/>
      <c r="W265" s="716"/>
      <c r="X265" s="716"/>
      <c r="Y265" s="716"/>
      <c r="Z265" s="716"/>
      <c r="AA265" s="2730">
        <v>1</v>
      </c>
    </row>
    <row r="266" spans="1:27" s="5229" customFormat="1" ht="21" customHeight="1">
      <c r="A266" s="9262"/>
      <c r="B266" s="5816">
        <v>48</v>
      </c>
      <c r="C266" s="5817">
        <v>6</v>
      </c>
      <c r="D266" s="733">
        <f t="shared" si="2"/>
        <v>8</v>
      </c>
      <c r="E266" s="5818" t="s">
        <v>294</v>
      </c>
      <c r="F266" s="5819"/>
      <c r="G266" s="5819"/>
      <c r="H266" s="5819"/>
      <c r="I266" s="5820"/>
      <c r="J266" s="5821"/>
      <c r="K266" s="5230"/>
      <c r="L266" s="9262"/>
      <c r="M266" s="5836" t="s">
        <v>14860</v>
      </c>
      <c r="N266" s="5837"/>
      <c r="O266" s="5838"/>
      <c r="P266" s="5839"/>
      <c r="Q266" s="5840"/>
      <c r="R266" s="716"/>
      <c r="S266" s="716"/>
      <c r="T266" s="716"/>
      <c r="U266" s="716"/>
      <c r="V266" s="716"/>
      <c r="W266" s="716"/>
      <c r="X266" s="716"/>
      <c r="Y266" s="716"/>
      <c r="Z266" s="716"/>
      <c r="AA266" s="2730">
        <v>1</v>
      </c>
    </row>
    <row r="267" spans="1:27" s="5229" customFormat="1" ht="21" customHeight="1">
      <c r="A267" s="9262"/>
      <c r="B267" s="5816">
        <v>1</v>
      </c>
      <c r="C267" s="5817">
        <v>0.25</v>
      </c>
      <c r="D267" s="733">
        <f t="shared" si="2"/>
        <v>4</v>
      </c>
      <c r="E267" s="5818" t="s">
        <v>295</v>
      </c>
      <c r="F267" s="5819"/>
      <c r="G267" s="5819"/>
      <c r="H267" s="5819"/>
      <c r="I267" s="5820"/>
      <c r="J267" s="5821"/>
      <c r="K267" s="5230"/>
      <c r="L267" s="9262"/>
      <c r="M267" s="5841" t="s">
        <v>14862</v>
      </c>
      <c r="N267" s="5837"/>
      <c r="O267" s="5838"/>
      <c r="P267" s="5839"/>
      <c r="Q267" s="5840"/>
      <c r="R267" s="716"/>
      <c r="S267" s="716"/>
      <c r="T267" s="716"/>
      <c r="U267" s="716"/>
      <c r="V267" s="716"/>
      <c r="W267" s="716"/>
      <c r="X267" s="716"/>
      <c r="Y267" s="716"/>
      <c r="Z267" s="716"/>
      <c r="AA267" s="2730">
        <v>1</v>
      </c>
    </row>
    <row r="268" spans="1:27" s="5229" customFormat="1" ht="21" customHeight="1">
      <c r="A268" s="9262"/>
      <c r="B268" s="5816">
        <v>25</v>
      </c>
      <c r="C268" s="5817">
        <v>1</v>
      </c>
      <c r="D268" s="733">
        <f t="shared" si="2"/>
        <v>25</v>
      </c>
      <c r="E268" s="5818" t="s">
        <v>296</v>
      </c>
      <c r="F268" s="5819"/>
      <c r="G268" s="5819"/>
      <c r="H268" s="5819"/>
      <c r="I268" s="5820"/>
      <c r="J268" s="5821"/>
      <c r="K268" s="5230"/>
      <c r="L268" s="9262"/>
      <c r="M268" s="9455" t="s">
        <v>277</v>
      </c>
      <c r="N268" s="9456"/>
      <c r="O268" s="9456"/>
      <c r="P268" s="5842"/>
      <c r="Q268" s="9459" t="s">
        <v>278</v>
      </c>
      <c r="R268" s="716"/>
      <c r="S268" s="716"/>
      <c r="T268" s="716"/>
      <c r="U268" s="716"/>
      <c r="V268" s="716"/>
      <c r="W268" s="716"/>
      <c r="X268" s="716"/>
      <c r="Y268" s="716"/>
      <c r="Z268" s="716"/>
      <c r="AA268" s="2730">
        <v>1</v>
      </c>
    </row>
    <row r="269" spans="1:27" s="5229" customFormat="1" ht="21" customHeight="1">
      <c r="A269" s="9262"/>
      <c r="B269" s="735"/>
      <c r="C269" s="737"/>
      <c r="D269" s="733"/>
      <c r="E269" s="734"/>
      <c r="F269" s="5819"/>
      <c r="G269" s="5819"/>
      <c r="H269" s="5819"/>
      <c r="I269" s="5820"/>
      <c r="J269" s="5821"/>
      <c r="K269" s="5230"/>
      <c r="L269" s="9262"/>
      <c r="M269" s="9457"/>
      <c r="N269" s="9458"/>
      <c r="O269" s="9458"/>
      <c r="P269" s="5843" t="s">
        <v>70</v>
      </c>
      <c r="Q269" s="9454"/>
      <c r="R269" s="716"/>
      <c r="S269" s="716"/>
      <c r="T269" s="716"/>
      <c r="U269" s="716"/>
      <c r="V269" s="716"/>
      <c r="W269" s="716"/>
      <c r="X269" s="716"/>
      <c r="Y269" s="716"/>
      <c r="Z269" s="716"/>
      <c r="AA269" s="2730">
        <v>1</v>
      </c>
    </row>
    <row r="270" spans="1:27" s="5229" customFormat="1" ht="21" customHeight="1">
      <c r="A270" s="9262"/>
      <c r="B270" s="183" t="s">
        <v>297</v>
      </c>
      <c r="C270" s="737"/>
      <c r="D270" s="733"/>
      <c r="E270" s="734"/>
      <c r="F270" s="5819"/>
      <c r="G270" s="5819"/>
      <c r="H270" s="5819"/>
      <c r="I270" s="5820"/>
      <c r="J270" s="5821"/>
      <c r="K270" s="5230"/>
      <c r="L270" s="9262"/>
      <c r="M270" s="5844" t="s">
        <v>279</v>
      </c>
      <c r="N270" s="5845"/>
      <c r="O270" s="5838">
        <v>0.9</v>
      </c>
      <c r="P270" s="5839">
        <v>7</v>
      </c>
      <c r="Q270" s="5840">
        <f>O270/P270</f>
        <v>0.12857142857142859</v>
      </c>
      <c r="R270" s="716"/>
      <c r="S270" s="716"/>
      <c r="T270" s="716"/>
      <c r="U270" s="716"/>
      <c r="V270" s="716"/>
      <c r="W270" s="716"/>
      <c r="X270" s="716"/>
      <c r="Y270" s="716"/>
      <c r="Z270" s="716"/>
      <c r="AA270" s="2730">
        <v>1</v>
      </c>
    </row>
    <row r="271" spans="1:27" s="5229" customFormat="1" ht="21" customHeight="1">
      <c r="A271" s="9262"/>
      <c r="B271" s="8510" t="s">
        <v>298</v>
      </c>
      <c r="C271" s="8511"/>
      <c r="D271" s="8511"/>
      <c r="E271" s="8511"/>
      <c r="F271" s="8511"/>
      <c r="G271" s="8511"/>
      <c r="H271" s="8511"/>
      <c r="I271" s="8511"/>
      <c r="J271" s="9469"/>
      <c r="K271" s="5230"/>
      <c r="L271" s="9262"/>
      <c r="M271" s="5844" t="s">
        <v>280</v>
      </c>
      <c r="N271" s="5845"/>
      <c r="O271" s="5838">
        <v>3.5</v>
      </c>
      <c r="P271" s="5839">
        <v>20</v>
      </c>
      <c r="Q271" s="5840">
        <f>O271/P271</f>
        <v>0.17499999999999999</v>
      </c>
      <c r="R271" s="716"/>
      <c r="S271" s="716"/>
      <c r="T271" s="716"/>
      <c r="U271" s="716"/>
      <c r="V271" s="716"/>
      <c r="W271" s="716"/>
      <c r="X271" s="716"/>
      <c r="Y271" s="716"/>
      <c r="Z271" s="716"/>
      <c r="AA271" s="2730">
        <v>1</v>
      </c>
    </row>
    <row r="272" spans="1:27" s="5229" customFormat="1" ht="21" customHeight="1">
      <c r="A272" s="9262"/>
      <c r="B272" s="8510"/>
      <c r="C272" s="8511"/>
      <c r="D272" s="8511"/>
      <c r="E272" s="8511"/>
      <c r="F272" s="8511"/>
      <c r="G272" s="8511"/>
      <c r="H272" s="8511"/>
      <c r="I272" s="8511"/>
      <c r="J272" s="9469"/>
      <c r="K272" s="5230"/>
      <c r="L272" s="9262"/>
      <c r="M272" s="5834"/>
      <c r="N272" s="2720"/>
      <c r="O272" s="2721"/>
      <c r="P272" s="2721"/>
      <c r="Q272" s="5835"/>
      <c r="R272" s="716"/>
      <c r="S272" s="716"/>
      <c r="T272" s="716"/>
      <c r="U272" s="716"/>
      <c r="V272" s="716"/>
      <c r="W272" s="716"/>
      <c r="X272" s="716"/>
      <c r="Y272" s="716"/>
      <c r="Z272" s="716"/>
      <c r="AA272" s="2730">
        <v>1</v>
      </c>
    </row>
    <row r="273" spans="1:27" s="5229" customFormat="1" ht="21" customHeight="1" thickBot="1">
      <c r="A273" s="9262"/>
      <c r="B273" s="8513"/>
      <c r="C273" s="8514"/>
      <c r="D273" s="8514"/>
      <c r="E273" s="8514"/>
      <c r="F273" s="8514"/>
      <c r="G273" s="8514"/>
      <c r="H273" s="8514"/>
      <c r="I273" s="8514"/>
      <c r="J273" s="8515"/>
      <c r="K273" s="5230"/>
      <c r="L273" s="9262"/>
      <c r="M273" s="5846" t="s">
        <v>271</v>
      </c>
      <c r="N273" s="5847"/>
      <c r="O273" s="5847"/>
      <c r="P273" s="5847"/>
      <c r="Q273" s="5848"/>
      <c r="R273" s="716"/>
      <c r="S273" s="716"/>
      <c r="T273" s="716"/>
      <c r="U273" s="716"/>
      <c r="V273" s="716"/>
      <c r="W273" s="716"/>
      <c r="X273" s="716"/>
      <c r="Y273" s="716"/>
      <c r="Z273" s="716"/>
      <c r="AA273" s="2730">
        <v>1</v>
      </c>
    </row>
    <row r="274" spans="1:27" s="5229" customFormat="1" ht="21" customHeight="1" thickBot="1">
      <c r="A274" s="5230"/>
      <c r="B274" s="5444"/>
      <c r="C274" s="5444"/>
      <c r="D274" s="5444"/>
      <c r="E274" s="5444"/>
      <c r="F274" s="5444"/>
      <c r="G274" s="5444"/>
      <c r="H274" s="5444"/>
      <c r="I274" s="5444"/>
      <c r="J274" s="5444"/>
      <c r="K274" s="5444"/>
      <c r="L274" s="9262"/>
      <c r="M274" s="5409"/>
      <c r="N274" s="5849"/>
      <c r="O274" s="5410"/>
      <c r="P274" s="5849"/>
      <c r="Q274" s="5467"/>
      <c r="R274" s="716"/>
      <c r="S274" s="716"/>
      <c r="T274" s="716"/>
      <c r="U274" s="716"/>
      <c r="V274" s="716"/>
      <c r="W274" s="716"/>
      <c r="X274" s="716"/>
      <c r="Y274" s="716"/>
      <c r="Z274" s="716"/>
      <c r="AA274" s="2730">
        <v>1</v>
      </c>
    </row>
    <row r="275" spans="1:27" s="5229" customFormat="1" ht="21" customHeight="1" thickBot="1">
      <c r="A275" s="5230"/>
      <c r="B275" s="5457"/>
      <c r="C275" s="5457"/>
      <c r="D275" s="5457"/>
      <c r="E275" s="5457"/>
      <c r="F275" s="5457"/>
      <c r="G275" s="5457"/>
      <c r="H275" s="5444"/>
      <c r="I275" s="5464"/>
      <c r="J275" s="5464"/>
      <c r="K275" s="5465"/>
      <c r="L275" s="5465"/>
      <c r="M275" s="5464"/>
      <c r="N275" s="5464"/>
      <c r="O275" s="5230"/>
      <c r="P275" s="5230"/>
      <c r="Q275" s="5230"/>
      <c r="R275" s="716"/>
      <c r="S275" s="716"/>
      <c r="T275" s="716"/>
      <c r="U275" s="716"/>
      <c r="V275" s="716"/>
      <c r="W275" s="716"/>
      <c r="X275" s="716"/>
      <c r="Y275" s="716"/>
      <c r="Z275" s="716"/>
      <c r="AA275" s="2730">
        <v>1</v>
      </c>
    </row>
    <row r="276" spans="1:27" s="5229" customFormat="1" ht="21" customHeight="1">
      <c r="A276" s="9428" t="s">
        <v>67</v>
      </c>
      <c r="B276" s="9430" t="s">
        <v>299</v>
      </c>
      <c r="C276" s="9431"/>
      <c r="D276" s="9431"/>
      <c r="E276" s="9431"/>
      <c r="F276" s="9431"/>
      <c r="G276" s="9431"/>
      <c r="H276" s="9431"/>
      <c r="I276" s="9431"/>
      <c r="J276" s="9431"/>
      <c r="K276" s="9431"/>
      <c r="L276" s="9431"/>
      <c r="M276" s="9431"/>
      <c r="N276" s="9434">
        <v>1</v>
      </c>
      <c r="O276" s="5230"/>
      <c r="P276" s="5230"/>
      <c r="Q276" s="5230"/>
      <c r="R276" s="716"/>
      <c r="S276" s="716"/>
      <c r="T276" s="716"/>
      <c r="U276" s="716"/>
      <c r="V276" s="716"/>
      <c r="W276" s="716"/>
      <c r="X276" s="716"/>
      <c r="Y276" s="716"/>
      <c r="Z276" s="716"/>
      <c r="AA276" s="2730">
        <v>1</v>
      </c>
    </row>
    <row r="277" spans="1:27" s="5229" customFormat="1" ht="21" customHeight="1">
      <c r="A277" s="9429"/>
      <c r="B277" s="9432"/>
      <c r="C277" s="9433"/>
      <c r="D277" s="9433"/>
      <c r="E277" s="9433"/>
      <c r="F277" s="9433"/>
      <c r="G277" s="9433"/>
      <c r="H277" s="9433"/>
      <c r="I277" s="9433"/>
      <c r="J277" s="9433"/>
      <c r="K277" s="9433"/>
      <c r="L277" s="9433"/>
      <c r="M277" s="9433"/>
      <c r="N277" s="9435"/>
      <c r="O277" s="5230"/>
      <c r="P277" s="5230"/>
      <c r="Q277" s="5230"/>
      <c r="R277" s="716"/>
      <c r="S277" s="716"/>
      <c r="T277" s="716"/>
      <c r="U277" s="716"/>
      <c r="V277" s="716"/>
      <c r="W277" s="716"/>
      <c r="X277" s="716"/>
      <c r="Y277" s="716"/>
      <c r="Z277" s="716"/>
      <c r="AA277" s="2730">
        <v>1</v>
      </c>
    </row>
    <row r="278" spans="1:27" s="5229" customFormat="1" ht="21" customHeight="1">
      <c r="A278" s="9436" t="str">
        <f>B276</f>
        <v>QUANTITÉS A SERVIR OU A COMMANDER</v>
      </c>
      <c r="B278" s="5249" t="str">
        <f>ADDRESS(ROW(),COLUMN(),4)</f>
        <v>B278</v>
      </c>
      <c r="C278" s="5850" t="s">
        <v>14788</v>
      </c>
      <c r="D278" s="5851"/>
      <c r="E278" s="5851"/>
      <c r="F278" s="5851"/>
      <c r="G278" s="5851"/>
      <c r="H278" s="5851"/>
      <c r="I278" s="5851"/>
      <c r="J278" s="5851"/>
      <c r="K278" s="5851"/>
      <c r="L278" s="5851"/>
      <c r="M278" s="5851"/>
      <c r="N278" s="5852"/>
      <c r="O278" s="5230"/>
      <c r="P278" s="5230"/>
      <c r="Q278" s="5230"/>
      <c r="R278" s="716"/>
      <c r="S278" s="716"/>
      <c r="T278" s="716"/>
      <c r="U278" s="716"/>
      <c r="V278" s="716"/>
      <c r="W278" s="716"/>
      <c r="X278" s="716"/>
      <c r="Y278" s="716"/>
      <c r="Z278" s="716"/>
      <c r="AA278" s="2730">
        <v>1</v>
      </c>
    </row>
    <row r="279" spans="1:27" s="5229" customFormat="1" ht="21" customHeight="1">
      <c r="A279" s="9436"/>
      <c r="B279" s="8477" t="s">
        <v>300</v>
      </c>
      <c r="C279" s="8478"/>
      <c r="D279" s="8478"/>
      <c r="E279" s="8478"/>
      <c r="F279" s="8478"/>
      <c r="G279" s="8478"/>
      <c r="H279" s="8478"/>
      <c r="I279" s="8478"/>
      <c r="J279" s="8478"/>
      <c r="K279" s="8478"/>
      <c r="L279" s="8478"/>
      <c r="M279" s="8478"/>
      <c r="N279" s="9437"/>
      <c r="O279" s="5230"/>
      <c r="P279" s="5230"/>
      <c r="Q279" s="5230"/>
      <c r="R279" s="716"/>
      <c r="S279" s="716"/>
      <c r="T279" s="716"/>
      <c r="U279" s="716"/>
      <c r="V279" s="716"/>
      <c r="W279" s="716"/>
      <c r="X279" s="716"/>
      <c r="Y279" s="716"/>
      <c r="Z279" s="716"/>
      <c r="AA279" s="2730">
        <v>1</v>
      </c>
    </row>
    <row r="280" spans="1:27" s="5229" customFormat="1" ht="21" customHeight="1">
      <c r="A280" s="9436"/>
      <c r="B280" s="8480" t="s">
        <v>301</v>
      </c>
      <c r="C280" s="8481"/>
      <c r="D280" s="8481"/>
      <c r="E280" s="8481"/>
      <c r="F280" s="8481"/>
      <c r="G280" s="8481"/>
      <c r="H280" s="8481"/>
      <c r="I280" s="8481"/>
      <c r="J280" s="8481"/>
      <c r="K280" s="8481"/>
      <c r="L280" s="8481"/>
      <c r="M280" s="8481"/>
      <c r="N280" s="9438"/>
      <c r="O280" s="5230"/>
      <c r="P280" s="5230"/>
      <c r="Q280" s="5230"/>
      <c r="R280" s="716"/>
      <c r="S280" s="716"/>
      <c r="T280" s="716"/>
      <c r="U280" s="716"/>
      <c r="V280" s="716"/>
      <c r="W280" s="716"/>
      <c r="X280" s="716"/>
      <c r="Y280" s="716"/>
      <c r="Z280" s="716"/>
      <c r="AA280" s="2730">
        <v>1</v>
      </c>
    </row>
    <row r="281" spans="1:27" s="5229" customFormat="1" ht="21" customHeight="1">
      <c r="A281" s="9436"/>
      <c r="B281" s="8480"/>
      <c r="C281" s="8481"/>
      <c r="D281" s="8481"/>
      <c r="E281" s="8481"/>
      <c r="F281" s="8481"/>
      <c r="G281" s="8481"/>
      <c r="H281" s="8481"/>
      <c r="I281" s="8481"/>
      <c r="J281" s="8481"/>
      <c r="K281" s="8481"/>
      <c r="L281" s="8481"/>
      <c r="M281" s="8481"/>
      <c r="N281" s="9438"/>
      <c r="O281" s="5230"/>
      <c r="P281" s="5230"/>
      <c r="Q281" s="5230"/>
      <c r="R281" s="716"/>
      <c r="S281" s="716"/>
      <c r="T281" s="716"/>
      <c r="U281" s="716"/>
      <c r="V281" s="716"/>
      <c r="W281" s="716"/>
      <c r="X281" s="716"/>
      <c r="Y281" s="716"/>
      <c r="Z281" s="716"/>
      <c r="AA281" s="2730">
        <v>1</v>
      </c>
    </row>
    <row r="282" spans="1:27" s="5229" customFormat="1" ht="21" customHeight="1">
      <c r="A282" s="9436"/>
      <c r="B282" s="8480"/>
      <c r="C282" s="8481"/>
      <c r="D282" s="8481"/>
      <c r="E282" s="8481"/>
      <c r="F282" s="8481"/>
      <c r="G282" s="8481"/>
      <c r="H282" s="8481"/>
      <c r="I282" s="8481"/>
      <c r="J282" s="8481"/>
      <c r="K282" s="8481"/>
      <c r="L282" s="8481"/>
      <c r="M282" s="8481"/>
      <c r="N282" s="9438"/>
      <c r="O282" s="5230"/>
      <c r="P282" s="5230"/>
      <c r="Q282" s="5230"/>
      <c r="R282" s="716"/>
      <c r="S282" s="716"/>
      <c r="T282" s="716"/>
      <c r="U282" s="716"/>
      <c r="V282" s="716"/>
      <c r="W282" s="716"/>
      <c r="X282" s="716"/>
      <c r="Y282" s="716"/>
      <c r="Z282" s="716"/>
      <c r="AA282" s="2730">
        <v>1</v>
      </c>
    </row>
    <row r="283" spans="1:27" s="5229" customFormat="1" ht="21" customHeight="1">
      <c r="A283" s="9436"/>
      <c r="B283" s="8480"/>
      <c r="C283" s="8481"/>
      <c r="D283" s="8481"/>
      <c r="E283" s="8481"/>
      <c r="F283" s="8481"/>
      <c r="G283" s="8481"/>
      <c r="H283" s="8481"/>
      <c r="I283" s="8481"/>
      <c r="J283" s="8481"/>
      <c r="K283" s="8481"/>
      <c r="L283" s="8481"/>
      <c r="M283" s="8481"/>
      <c r="N283" s="9438"/>
      <c r="O283" s="5230"/>
      <c r="P283" s="5230"/>
      <c r="Q283" s="5230"/>
      <c r="R283" s="716"/>
      <c r="S283" s="716"/>
      <c r="T283" s="716"/>
      <c r="U283" s="716"/>
      <c r="V283" s="716"/>
      <c r="W283" s="716"/>
      <c r="X283" s="716"/>
      <c r="Y283" s="716"/>
      <c r="Z283" s="716"/>
      <c r="AA283" s="2730">
        <v>1</v>
      </c>
    </row>
    <row r="284" spans="1:27" s="5229" customFormat="1" ht="21" customHeight="1">
      <c r="A284" s="9436"/>
      <c r="B284" s="9439"/>
      <c r="C284" s="9440"/>
      <c r="D284" s="9440"/>
      <c r="E284" s="9440"/>
      <c r="F284" s="9440"/>
      <c r="G284" s="9440"/>
      <c r="H284" s="9440"/>
      <c r="I284" s="9440"/>
      <c r="J284" s="9440"/>
      <c r="K284" s="9440"/>
      <c r="L284" s="9440"/>
      <c r="M284" s="9440"/>
      <c r="N284" s="9441"/>
      <c r="O284" s="5230"/>
      <c r="P284" s="5230"/>
      <c r="Q284" s="5230"/>
      <c r="R284" s="716"/>
      <c r="S284" s="716"/>
      <c r="T284" s="716"/>
      <c r="U284" s="716"/>
      <c r="V284" s="716"/>
      <c r="W284" s="716"/>
      <c r="X284" s="716"/>
      <c r="Y284" s="716"/>
      <c r="Z284" s="716"/>
      <c r="AA284" s="2730">
        <v>1</v>
      </c>
    </row>
    <row r="285" spans="1:27" s="5229" customFormat="1" ht="21" customHeight="1">
      <c r="A285" s="9436"/>
      <c r="B285" s="5853"/>
      <c r="C285" s="5854"/>
      <c r="D285" s="5854"/>
      <c r="E285" s="5854"/>
      <c r="F285" s="5854"/>
      <c r="G285" s="5854"/>
      <c r="H285" s="5854"/>
      <c r="I285" s="5854"/>
      <c r="J285" s="5854"/>
      <c r="K285" s="5854"/>
      <c r="L285" s="9452" t="s">
        <v>66</v>
      </c>
      <c r="M285" s="9452"/>
      <c r="N285" s="5855"/>
      <c r="O285" s="5230"/>
      <c r="P285" s="5230"/>
      <c r="Q285" s="5230"/>
      <c r="R285" s="716"/>
      <c r="S285" s="716"/>
      <c r="T285" s="716"/>
      <c r="U285" s="716"/>
      <c r="V285" s="716"/>
      <c r="W285" s="716"/>
      <c r="X285" s="716"/>
      <c r="Y285" s="716"/>
      <c r="Z285" s="716"/>
      <c r="AA285" s="2730">
        <v>1</v>
      </c>
    </row>
    <row r="286" spans="1:27" s="5229" customFormat="1" ht="21" customHeight="1">
      <c r="A286" s="9436"/>
      <c r="B286" s="5854"/>
      <c r="C286" s="5854"/>
      <c r="D286" s="5854"/>
      <c r="E286" s="5854"/>
      <c r="F286" s="5854"/>
      <c r="G286" s="5854"/>
      <c r="H286" s="5854"/>
      <c r="I286" s="5854"/>
      <c r="J286" s="5854"/>
      <c r="K286" s="5856" t="s">
        <v>302</v>
      </c>
      <c r="L286" s="9444" t="s">
        <v>57</v>
      </c>
      <c r="M286" s="9445"/>
      <c r="N286" s="5855"/>
      <c r="O286" s="5230"/>
      <c r="P286" s="5230"/>
      <c r="Q286" s="5230"/>
      <c r="R286" s="716"/>
      <c r="S286" s="716"/>
      <c r="T286" s="716"/>
      <c r="U286" s="716"/>
      <c r="V286" s="716"/>
      <c r="W286" s="716"/>
      <c r="X286" s="716"/>
      <c r="Y286" s="716"/>
      <c r="Z286" s="716"/>
      <c r="AA286" s="2730">
        <v>1</v>
      </c>
    </row>
    <row r="287" spans="1:27" s="5229" customFormat="1" ht="21" customHeight="1">
      <c r="A287" s="9436"/>
      <c r="B287" s="5853"/>
      <c r="C287" s="5854"/>
      <c r="D287" s="5854"/>
      <c r="E287" s="5854"/>
      <c r="F287" s="5854"/>
      <c r="G287" s="5854"/>
      <c r="H287" s="5854"/>
      <c r="I287" s="5854"/>
      <c r="J287" s="5854"/>
      <c r="K287" s="5854"/>
      <c r="L287" s="5854"/>
      <c r="M287" s="5857"/>
      <c r="N287" s="5855"/>
      <c r="O287" s="5230"/>
      <c r="P287" s="5230"/>
      <c r="Q287" s="5230"/>
      <c r="R287" s="716"/>
      <c r="S287" s="716"/>
      <c r="T287" s="716"/>
      <c r="U287" s="716"/>
      <c r="V287" s="716"/>
      <c r="W287" s="716"/>
      <c r="X287" s="716"/>
      <c r="Y287" s="716"/>
      <c r="Z287" s="716"/>
      <c r="AA287" s="2730">
        <v>1</v>
      </c>
    </row>
    <row r="288" spans="1:27" s="5229" customFormat="1" ht="21" customHeight="1">
      <c r="A288" s="9436"/>
      <c r="B288" s="5853"/>
      <c r="C288" s="5854"/>
      <c r="D288" s="5854"/>
      <c r="E288" s="5854"/>
      <c r="F288" s="5858" t="s">
        <v>242</v>
      </c>
      <c r="G288" s="5859" t="s">
        <v>214</v>
      </c>
      <c r="H288" s="5860" t="s">
        <v>215</v>
      </c>
      <c r="I288" s="5861" t="s">
        <v>216</v>
      </c>
      <c r="J288" s="5860" t="s">
        <v>201</v>
      </c>
      <c r="K288" s="5860" t="s">
        <v>303</v>
      </c>
      <c r="L288" s="5854"/>
      <c r="M288" s="5854"/>
      <c r="N288" s="5855"/>
      <c r="O288" s="5230"/>
      <c r="P288" s="5230"/>
      <c r="Q288" s="5230"/>
      <c r="R288" s="716"/>
      <c r="S288" s="716"/>
      <c r="T288" s="716"/>
      <c r="U288" s="716"/>
      <c r="V288" s="716"/>
      <c r="W288" s="716"/>
      <c r="X288" s="716"/>
      <c r="Y288" s="716"/>
      <c r="Z288" s="716"/>
      <c r="AA288" s="2730">
        <v>1</v>
      </c>
    </row>
    <row r="289" spans="1:27" s="5229" customFormat="1" ht="21" customHeight="1">
      <c r="A289" s="9436"/>
      <c r="B289" s="5853"/>
      <c r="C289" s="5854"/>
      <c r="D289" s="5854"/>
      <c r="E289" s="5854"/>
      <c r="F289" s="5862" t="s">
        <v>208</v>
      </c>
      <c r="G289" s="5863">
        <v>50</v>
      </c>
      <c r="H289" s="5863">
        <v>500</v>
      </c>
      <c r="I289" s="5863">
        <v>150</v>
      </c>
      <c r="J289" s="5863">
        <v>13</v>
      </c>
      <c r="K289" s="5863">
        <v>13</v>
      </c>
      <c r="L289" s="5864">
        <f>SUM(G289:K289)</f>
        <v>726</v>
      </c>
      <c r="M289" s="5865" t="s">
        <v>209</v>
      </c>
      <c r="N289" s="5855"/>
      <c r="O289" s="5230"/>
      <c r="P289" s="5230"/>
      <c r="Q289" s="5230"/>
      <c r="R289" s="716"/>
      <c r="S289" s="716"/>
      <c r="T289" s="716"/>
      <c r="U289" s="716"/>
      <c r="V289" s="716"/>
      <c r="W289" s="716"/>
      <c r="X289" s="716"/>
      <c r="Y289" s="716"/>
      <c r="Z289" s="716"/>
      <c r="AA289" s="2730">
        <v>1</v>
      </c>
    </row>
    <row r="290" spans="1:27" s="5229" customFormat="1" ht="21" customHeight="1">
      <c r="A290" s="9436"/>
      <c r="B290" s="5853"/>
      <c r="C290" s="5854"/>
      <c r="D290" s="5854"/>
      <c r="E290" s="5854"/>
      <c r="F290" s="5866" t="s">
        <v>304</v>
      </c>
      <c r="G290" s="2425">
        <v>0.5</v>
      </c>
      <c r="H290" s="2425">
        <v>1</v>
      </c>
      <c r="I290" s="2425">
        <v>1</v>
      </c>
      <c r="J290" s="2425">
        <v>2</v>
      </c>
      <c r="K290" s="2425">
        <v>1</v>
      </c>
      <c r="L290" s="5867">
        <f>SUM(G290:K290)/COUNTIF(G290:K290,"&gt;0")</f>
        <v>1.1000000000000001</v>
      </c>
      <c r="M290" s="5865" t="s">
        <v>305</v>
      </c>
      <c r="N290" s="5855"/>
      <c r="O290" s="5230"/>
      <c r="P290" s="5230"/>
      <c r="Q290" s="5230"/>
      <c r="R290" s="716"/>
      <c r="S290" s="716"/>
      <c r="T290" s="716"/>
      <c r="U290" s="716"/>
      <c r="V290" s="716"/>
      <c r="W290" s="716"/>
      <c r="X290" s="716"/>
      <c r="Y290" s="716"/>
      <c r="Z290" s="716"/>
      <c r="AA290" s="2730">
        <v>1</v>
      </c>
    </row>
    <row r="291" spans="1:27" s="5229" customFormat="1" ht="21" customHeight="1">
      <c r="A291" s="9436"/>
      <c r="B291" s="5853"/>
      <c r="C291" s="5854"/>
      <c r="D291" s="5854"/>
      <c r="E291" s="5854"/>
      <c r="F291" s="5868" t="s">
        <v>306</v>
      </c>
      <c r="G291" s="2426">
        <f>G290*G289</f>
        <v>25</v>
      </c>
      <c r="H291" s="5869">
        <f>H290*H289</f>
        <v>500</v>
      </c>
      <c r="I291" s="5869">
        <f>I290*I289</f>
        <v>150</v>
      </c>
      <c r="J291" s="5869">
        <f>J290*J289</f>
        <v>26</v>
      </c>
      <c r="K291" s="5869">
        <f>K290*K289</f>
        <v>13</v>
      </c>
      <c r="L291" s="5864">
        <f>SUM(G291:K291)</f>
        <v>714</v>
      </c>
      <c r="M291" s="5865" t="str">
        <f>L286</f>
        <v>pommes</v>
      </c>
      <c r="N291" s="5855"/>
      <c r="O291" s="5230"/>
      <c r="P291" s="5230"/>
      <c r="Q291" s="5230"/>
      <c r="R291" s="716"/>
      <c r="S291" s="716"/>
      <c r="T291" s="716"/>
      <c r="U291" s="716"/>
      <c r="V291" s="716"/>
      <c r="W291" s="716"/>
      <c r="X291" s="716"/>
      <c r="Y291" s="716"/>
      <c r="Z291" s="716"/>
      <c r="AA291" s="2730">
        <v>1</v>
      </c>
    </row>
    <row r="292" spans="1:27" s="5229" customFormat="1" ht="21" customHeight="1">
      <c r="A292" s="9436"/>
      <c r="B292" s="5853"/>
      <c r="C292" s="5854"/>
      <c r="D292" s="5854"/>
      <c r="E292" s="5854"/>
      <c r="F292" s="5854"/>
      <c r="G292" s="5870" t="str">
        <f>L286</f>
        <v>pommes</v>
      </c>
      <c r="H292" s="5870" t="str">
        <f>L286</f>
        <v>pommes</v>
      </c>
      <c r="I292" s="5870" t="str">
        <f>L286</f>
        <v>pommes</v>
      </c>
      <c r="J292" s="5870" t="str">
        <f>L286</f>
        <v>pommes</v>
      </c>
      <c r="K292" s="5870" t="str">
        <f>L286</f>
        <v>pommes</v>
      </c>
      <c r="L292" s="5854"/>
      <c r="M292" s="5857"/>
      <c r="N292" s="5855"/>
      <c r="O292" s="5230"/>
      <c r="P292" s="5230"/>
      <c r="Q292" s="5230"/>
      <c r="R292" s="716"/>
      <c r="S292" s="716"/>
      <c r="T292" s="716"/>
      <c r="U292" s="716"/>
      <c r="V292" s="716"/>
      <c r="W292" s="716"/>
      <c r="X292" s="716"/>
      <c r="Y292" s="716"/>
      <c r="Z292" s="716"/>
      <c r="AA292" s="2730">
        <v>1</v>
      </c>
    </row>
    <row r="293" spans="1:27" s="5229" customFormat="1" ht="21" customHeight="1">
      <c r="A293" s="9436"/>
      <c r="B293" s="5871"/>
      <c r="C293" s="5872" t="s">
        <v>211</v>
      </c>
      <c r="D293" s="5873">
        <v>10</v>
      </c>
      <c r="E293" s="5874" t="s">
        <v>81</v>
      </c>
      <c r="F293" s="5875"/>
      <c r="G293" s="5875"/>
      <c r="H293" s="5854"/>
      <c r="I293" s="5854"/>
      <c r="J293" s="5854"/>
      <c r="K293" s="5854"/>
      <c r="L293" s="5854"/>
      <c r="M293" s="5857"/>
      <c r="N293" s="5855"/>
      <c r="O293" s="5230"/>
      <c r="P293" s="5230"/>
      <c r="Q293" s="5230"/>
      <c r="R293" s="716"/>
      <c r="S293" s="716"/>
      <c r="T293" s="716"/>
      <c r="U293" s="716"/>
      <c r="V293" s="716"/>
      <c r="W293" s="716"/>
      <c r="X293" s="716"/>
      <c r="Y293" s="716"/>
      <c r="Z293" s="716"/>
      <c r="AA293" s="2730">
        <v>1</v>
      </c>
    </row>
    <row r="294" spans="1:27" s="5229" customFormat="1" ht="21" customHeight="1">
      <c r="A294" s="9436"/>
      <c r="B294" s="5853"/>
      <c r="C294" s="5854"/>
      <c r="D294" s="5854"/>
      <c r="E294" s="5854"/>
      <c r="F294" s="5868" t="s">
        <v>220</v>
      </c>
      <c r="G294" s="5876">
        <f>G291/(100-D293)*100</f>
        <v>27.777777777777779</v>
      </c>
      <c r="H294" s="5876">
        <f>H291/(100-D293)*100</f>
        <v>555.55555555555554</v>
      </c>
      <c r="I294" s="5876">
        <f>I291/(100-D293)*100</f>
        <v>166.66666666666669</v>
      </c>
      <c r="J294" s="5876">
        <f>J291/(100-D293)*100</f>
        <v>28.888888888888886</v>
      </c>
      <c r="K294" s="5876">
        <f>K291/(100-D293)*100</f>
        <v>14.444444444444443</v>
      </c>
      <c r="L294" s="5877">
        <f>SUM(G294:K294)</f>
        <v>793.33333333333337</v>
      </c>
      <c r="M294" s="5865" t="str">
        <f>L286</f>
        <v>pommes</v>
      </c>
      <c r="N294" s="5855"/>
      <c r="O294" s="5230"/>
      <c r="P294" s="5230"/>
      <c r="Q294" s="5230"/>
      <c r="R294" s="716"/>
      <c r="S294" s="716"/>
      <c r="T294" s="716"/>
      <c r="U294" s="716"/>
      <c r="V294" s="716"/>
      <c r="W294" s="716"/>
      <c r="X294" s="716"/>
      <c r="Y294" s="716"/>
      <c r="Z294" s="716"/>
      <c r="AA294" s="2730">
        <v>1</v>
      </c>
    </row>
    <row r="295" spans="1:27" s="5229" customFormat="1" ht="21" customHeight="1">
      <c r="A295" s="9436"/>
      <c r="B295" s="5853"/>
      <c r="C295" s="5854"/>
      <c r="D295" s="5854"/>
      <c r="E295" s="5854"/>
      <c r="F295" s="5868"/>
      <c r="G295" s="5878" t="str">
        <f>L286</f>
        <v>pommes</v>
      </c>
      <c r="H295" s="5878" t="str">
        <f>L286</f>
        <v>pommes</v>
      </c>
      <c r="I295" s="5878" t="str">
        <f>L286</f>
        <v>pommes</v>
      </c>
      <c r="J295" s="5878" t="str">
        <f>L286</f>
        <v>pommes</v>
      </c>
      <c r="K295" s="5878" t="str">
        <f>L286</f>
        <v>pommes</v>
      </c>
      <c r="L295" s="5864"/>
      <c r="M295" s="5865"/>
      <c r="N295" s="5855"/>
      <c r="O295" s="5230"/>
      <c r="P295" s="5230"/>
      <c r="Q295" s="5230"/>
      <c r="R295" s="716"/>
      <c r="S295" s="716"/>
      <c r="T295" s="716"/>
      <c r="U295" s="716"/>
      <c r="V295" s="716"/>
      <c r="W295" s="716"/>
      <c r="X295" s="716"/>
      <c r="Y295" s="716"/>
      <c r="Z295" s="716"/>
      <c r="AA295" s="2730">
        <v>1</v>
      </c>
    </row>
    <row r="296" spans="1:27" s="5229" customFormat="1" ht="21" customHeight="1">
      <c r="A296" s="9436"/>
      <c r="B296" s="5879"/>
      <c r="C296" s="5880"/>
      <c r="D296" s="5880"/>
      <c r="E296" s="5880"/>
      <c r="F296" s="5880"/>
      <c r="G296" s="5880"/>
      <c r="H296" s="5880"/>
      <c r="I296" s="5880"/>
      <c r="J296" s="5880"/>
      <c r="K296" s="5880"/>
      <c r="L296" s="5880"/>
      <c r="M296" s="5880"/>
      <c r="N296" s="5881"/>
      <c r="O296" s="5230"/>
      <c r="P296" s="5230"/>
      <c r="Q296" s="5230"/>
      <c r="R296" s="716"/>
      <c r="S296" s="716"/>
      <c r="T296" s="716"/>
      <c r="U296" s="716"/>
      <c r="V296" s="716"/>
      <c r="W296" s="716"/>
      <c r="X296" s="716"/>
      <c r="Y296" s="716"/>
      <c r="Z296" s="716"/>
      <c r="AA296" s="2730">
        <v>1</v>
      </c>
    </row>
    <row r="297" spans="1:27" s="5229" customFormat="1" ht="21" customHeight="1">
      <c r="A297" s="9436"/>
      <c r="B297" s="5882" t="s">
        <v>66</v>
      </c>
      <c r="C297" s="5883" t="s">
        <v>307</v>
      </c>
      <c r="D297" s="5884"/>
      <c r="E297" s="5884"/>
      <c r="F297" s="5884"/>
      <c r="G297" s="5884"/>
      <c r="H297" s="5884"/>
      <c r="I297" s="5884"/>
      <c r="J297" s="5884"/>
      <c r="K297" s="5884"/>
      <c r="L297" s="5884"/>
      <c r="M297" s="5884"/>
      <c r="N297" s="5885"/>
      <c r="O297" s="5230"/>
      <c r="P297" s="5230"/>
      <c r="Q297" s="5230"/>
      <c r="R297" s="716"/>
      <c r="S297" s="716"/>
      <c r="T297" s="716"/>
      <c r="U297" s="716"/>
      <c r="V297" s="716"/>
      <c r="W297" s="716"/>
      <c r="X297" s="716"/>
      <c r="Y297" s="716"/>
      <c r="Z297" s="716"/>
      <c r="AA297" s="2730">
        <v>1</v>
      </c>
    </row>
    <row r="298" spans="1:27" s="5229" customFormat="1" ht="21" customHeight="1">
      <c r="A298" s="9436"/>
      <c r="B298" s="5886"/>
      <c r="C298" s="9444" t="s">
        <v>308</v>
      </c>
      <c r="D298" s="9445"/>
      <c r="E298" s="2436"/>
      <c r="F298" s="9444" t="s">
        <v>43</v>
      </c>
      <c r="G298" s="9445"/>
      <c r="H298" s="2436"/>
      <c r="I298" s="9444" t="s">
        <v>309</v>
      </c>
      <c r="J298" s="9445"/>
      <c r="K298" s="2436"/>
      <c r="L298" s="9444" t="s">
        <v>310</v>
      </c>
      <c r="M298" s="9445"/>
      <c r="N298" s="5887"/>
      <c r="O298" s="5230"/>
      <c r="P298" s="5230"/>
      <c r="Q298" s="5230"/>
      <c r="R298" s="716"/>
      <c r="S298" s="716"/>
      <c r="T298" s="716"/>
      <c r="U298" s="716"/>
      <c r="V298" s="716"/>
      <c r="W298" s="716"/>
      <c r="X298" s="716"/>
      <c r="Y298" s="716"/>
      <c r="Z298" s="716"/>
      <c r="AA298" s="2730">
        <v>1</v>
      </c>
    </row>
    <row r="299" spans="1:27" s="5229" customFormat="1" ht="21" customHeight="1">
      <c r="A299" s="9436"/>
      <c r="B299" s="5888" t="s">
        <v>81</v>
      </c>
      <c r="C299" s="2438" t="s">
        <v>311</v>
      </c>
      <c r="D299" s="2436"/>
      <c r="E299" s="2436"/>
      <c r="F299" s="2436"/>
      <c r="G299" s="2436"/>
      <c r="H299" s="2436"/>
      <c r="I299" s="2436"/>
      <c r="J299" s="2436"/>
      <c r="K299" s="2436"/>
      <c r="L299" s="2436"/>
      <c r="M299" s="2436"/>
      <c r="N299" s="5887"/>
      <c r="O299" s="5230"/>
      <c r="P299" s="5230"/>
      <c r="Q299" s="5230"/>
      <c r="R299" s="716"/>
      <c r="S299" s="716"/>
      <c r="T299" s="716"/>
      <c r="U299" s="716"/>
      <c r="V299" s="716"/>
      <c r="W299" s="716"/>
      <c r="X299" s="716"/>
      <c r="Y299" s="716"/>
      <c r="Z299" s="716"/>
      <c r="AA299" s="2730">
        <v>1</v>
      </c>
    </row>
    <row r="300" spans="1:27" s="5229" customFormat="1" ht="21" customHeight="1">
      <c r="A300" s="9436"/>
      <c r="B300" s="9393" t="s">
        <v>312</v>
      </c>
      <c r="C300" s="9394"/>
      <c r="D300" s="9394"/>
      <c r="E300" s="9394"/>
      <c r="F300" s="9394"/>
      <c r="G300" s="9394"/>
      <c r="H300" s="9394"/>
      <c r="I300" s="9394"/>
      <c r="J300" s="9394"/>
      <c r="K300" s="9394"/>
      <c r="L300" s="9394"/>
      <c r="M300" s="9394"/>
      <c r="N300" s="9395"/>
      <c r="O300" s="5230"/>
      <c r="P300" s="5230"/>
      <c r="Q300" s="5230"/>
      <c r="R300" s="716"/>
      <c r="S300" s="716"/>
      <c r="T300" s="716"/>
      <c r="U300" s="716"/>
      <c r="V300" s="716"/>
      <c r="W300" s="716"/>
      <c r="X300" s="716"/>
      <c r="Y300" s="716"/>
      <c r="Z300" s="716"/>
      <c r="AA300" s="2730">
        <v>1</v>
      </c>
    </row>
    <row r="301" spans="1:27" s="5229" customFormat="1" ht="21" customHeight="1">
      <c r="A301" s="9436"/>
      <c r="B301" s="9396"/>
      <c r="C301" s="9397"/>
      <c r="D301" s="9397"/>
      <c r="E301" s="9397"/>
      <c r="F301" s="9397"/>
      <c r="G301" s="9397"/>
      <c r="H301" s="9397"/>
      <c r="I301" s="9397"/>
      <c r="J301" s="9397"/>
      <c r="K301" s="9397"/>
      <c r="L301" s="9397"/>
      <c r="M301" s="9397"/>
      <c r="N301" s="9398"/>
      <c r="O301" s="5230"/>
      <c r="P301" s="5230"/>
      <c r="Q301" s="5230"/>
      <c r="R301" s="716"/>
      <c r="S301" s="716"/>
      <c r="T301" s="716"/>
      <c r="U301" s="716"/>
      <c r="V301" s="716"/>
      <c r="W301" s="716"/>
      <c r="X301" s="716"/>
      <c r="Y301" s="716"/>
      <c r="Z301" s="716"/>
      <c r="AA301" s="2730">
        <v>1</v>
      </c>
    </row>
    <row r="302" spans="1:27" s="5229" customFormat="1" ht="21" customHeight="1">
      <c r="A302" s="9436"/>
      <c r="B302" s="2439" t="s">
        <v>7</v>
      </c>
      <c r="C302" s="8472" t="str">
        <f ca="1">CELL("nomfichier")</f>
        <v>D:\Données\1.UPRT\0-UPRT.fait\1-UPRT.FR-SITE-WEB\ff-fiches-fabrications\ff.fiches.fabrication.2023\UPRT.23.aout\[ff-20-CHARCUTERIE-michel-Mariette.BOUDIN.BLANC_-1.xlsx]Exemples Michel Mariette</v>
      </c>
      <c r="D302" s="8472"/>
      <c r="E302" s="8472"/>
      <c r="F302" s="8472"/>
      <c r="G302" s="8472"/>
      <c r="H302" s="8472"/>
      <c r="I302" s="8472"/>
      <c r="J302" s="8472"/>
      <c r="K302" s="8472"/>
      <c r="L302" s="8472"/>
      <c r="M302" s="8472"/>
      <c r="N302" s="8473"/>
      <c r="O302" s="5230"/>
      <c r="P302" s="5230"/>
      <c r="Q302" s="5230"/>
      <c r="R302" s="716"/>
      <c r="S302" s="716"/>
      <c r="T302" s="716"/>
      <c r="U302" s="716"/>
      <c r="V302" s="716"/>
      <c r="W302" s="716"/>
      <c r="X302" s="716"/>
      <c r="Y302" s="716"/>
      <c r="Z302" s="716"/>
      <c r="AA302" s="2730">
        <v>1</v>
      </c>
    </row>
    <row r="303" spans="1:27" s="5229" customFormat="1" ht="21" customHeight="1">
      <c r="A303" s="9436"/>
      <c r="B303" s="2440" t="s">
        <v>14</v>
      </c>
      <c r="C303" s="8474" t="s">
        <v>313</v>
      </c>
      <c r="D303" s="8474"/>
      <c r="E303" s="8474"/>
      <c r="F303" s="8474"/>
      <c r="G303" s="8474"/>
      <c r="H303" s="8474"/>
      <c r="I303" s="8474"/>
      <c r="J303" s="8474"/>
      <c r="K303" s="8474"/>
      <c r="L303" s="8474"/>
      <c r="M303" s="8474"/>
      <c r="N303" s="9399"/>
      <c r="O303" s="5230"/>
      <c r="P303" s="5230"/>
      <c r="Q303" s="5230"/>
      <c r="R303" s="716"/>
      <c r="S303" s="716"/>
      <c r="T303" s="716"/>
      <c r="U303" s="716"/>
      <c r="V303" s="716"/>
      <c r="W303" s="716"/>
      <c r="X303" s="716"/>
      <c r="Y303" s="716"/>
      <c r="Z303" s="716"/>
      <c r="AA303" s="2730">
        <v>1</v>
      </c>
    </row>
    <row r="304" spans="1:27" s="5229" customFormat="1" ht="21" customHeight="1" thickBot="1">
      <c r="A304" s="9436"/>
      <c r="B304" s="9400" t="s">
        <v>8</v>
      </c>
      <c r="C304" s="9401"/>
      <c r="D304" s="9401"/>
      <c r="E304" s="9401"/>
      <c r="F304" s="9401"/>
      <c r="G304" s="9401"/>
      <c r="H304" s="9401"/>
      <c r="I304" s="9401"/>
      <c r="J304" s="9401"/>
      <c r="K304" s="9401"/>
      <c r="L304" s="9401"/>
      <c r="M304" s="9401"/>
      <c r="N304" s="9402"/>
      <c r="O304" s="5230"/>
      <c r="P304" s="5230"/>
      <c r="Q304" s="5230"/>
      <c r="R304" s="716"/>
      <c r="S304" s="716"/>
      <c r="T304" s="716"/>
      <c r="U304" s="716"/>
      <c r="V304" s="716"/>
      <c r="W304" s="716"/>
      <c r="X304" s="716"/>
      <c r="Y304" s="716"/>
      <c r="Z304" s="716"/>
      <c r="AA304" s="2730">
        <v>1</v>
      </c>
    </row>
    <row r="305" spans="1:27" s="5229" customFormat="1" ht="21" customHeight="1" thickBot="1">
      <c r="A305" s="5230"/>
      <c r="B305" s="5457"/>
      <c r="C305" s="5457"/>
      <c r="D305" s="5457"/>
      <c r="E305" s="5457"/>
      <c r="F305" s="5457"/>
      <c r="G305" s="5457"/>
      <c r="H305" s="5444"/>
      <c r="I305" s="5464"/>
      <c r="J305" s="5464"/>
      <c r="K305" s="5465"/>
      <c r="L305" s="5465"/>
      <c r="M305" s="5464"/>
      <c r="N305" s="5464"/>
      <c r="O305" s="5230"/>
      <c r="P305" s="5230"/>
      <c r="Q305" s="5230"/>
      <c r="R305" s="716"/>
      <c r="S305" s="716"/>
      <c r="T305" s="716"/>
      <c r="U305" s="716"/>
      <c r="V305" s="716"/>
      <c r="W305" s="716"/>
      <c r="X305" s="716"/>
      <c r="Y305" s="716"/>
      <c r="Z305" s="716"/>
      <c r="AA305" s="2730">
        <v>1</v>
      </c>
    </row>
    <row r="306" spans="1:27" s="5229" customFormat="1" ht="21" customHeight="1">
      <c r="A306" s="9428" t="s">
        <v>67</v>
      </c>
      <c r="B306" s="9430" t="s">
        <v>314</v>
      </c>
      <c r="C306" s="9431"/>
      <c r="D306" s="9431"/>
      <c r="E306" s="9431"/>
      <c r="F306" s="9431"/>
      <c r="G306" s="9431"/>
      <c r="H306" s="9431"/>
      <c r="I306" s="9431"/>
      <c r="J306" s="9431"/>
      <c r="K306" s="9431"/>
      <c r="L306" s="9431"/>
      <c r="M306" s="9431"/>
      <c r="N306" s="9434">
        <v>2</v>
      </c>
      <c r="O306" s="5230"/>
      <c r="P306" s="5230"/>
      <c r="Q306" s="5230"/>
      <c r="R306" s="716"/>
      <c r="S306" s="716"/>
      <c r="T306" s="716"/>
      <c r="U306" s="716"/>
      <c r="V306" s="716"/>
      <c r="W306" s="716"/>
      <c r="X306" s="716"/>
      <c r="Y306" s="716"/>
      <c r="Z306" s="716"/>
      <c r="AA306" s="2730">
        <v>1</v>
      </c>
    </row>
    <row r="307" spans="1:27" s="5229" customFormat="1" ht="21" customHeight="1">
      <c r="A307" s="9429"/>
      <c r="B307" s="9432"/>
      <c r="C307" s="9433"/>
      <c r="D307" s="9433"/>
      <c r="E307" s="9433"/>
      <c r="F307" s="9433"/>
      <c r="G307" s="9433"/>
      <c r="H307" s="9433"/>
      <c r="I307" s="9433"/>
      <c r="J307" s="9433"/>
      <c r="K307" s="9433"/>
      <c r="L307" s="9433"/>
      <c r="M307" s="9433"/>
      <c r="N307" s="9435"/>
      <c r="O307" s="5230"/>
      <c r="P307" s="5230"/>
      <c r="Q307" s="5230"/>
      <c r="R307" s="716"/>
      <c r="S307" s="716"/>
      <c r="T307" s="716"/>
      <c r="U307" s="716"/>
      <c r="V307" s="716"/>
      <c r="W307" s="716"/>
      <c r="X307" s="716"/>
      <c r="Y307" s="716"/>
      <c r="Z307" s="716"/>
      <c r="AA307" s="2730">
        <v>1</v>
      </c>
    </row>
    <row r="308" spans="1:27" s="5229" customFormat="1" ht="21" customHeight="1">
      <c r="A308" s="9436" t="str">
        <f>B306</f>
        <v>COMBIEN POURRIEZ VOUS SERVIR AVEC</v>
      </c>
      <c r="B308" s="5249" t="str">
        <f>ADDRESS(ROW(),COLUMN(),4)</f>
        <v>B308</v>
      </c>
      <c r="C308" s="5850" t="s">
        <v>14788</v>
      </c>
      <c r="D308" s="5851"/>
      <c r="E308" s="5851"/>
      <c r="F308" s="5851"/>
      <c r="G308" s="5851"/>
      <c r="H308" s="5851"/>
      <c r="I308" s="5851"/>
      <c r="J308" s="5851"/>
      <c r="K308" s="5851"/>
      <c r="L308" s="5851"/>
      <c r="M308" s="5851"/>
      <c r="N308" s="5852"/>
      <c r="O308" s="5230"/>
      <c r="P308" s="5230"/>
      <c r="Q308" s="5230"/>
      <c r="R308" s="716"/>
      <c r="S308" s="716"/>
      <c r="T308" s="716"/>
      <c r="U308" s="716"/>
      <c r="V308" s="716"/>
      <c r="W308" s="716"/>
      <c r="X308" s="716"/>
      <c r="Y308" s="716"/>
      <c r="Z308" s="716"/>
      <c r="AA308" s="2730">
        <v>1</v>
      </c>
    </row>
    <row r="309" spans="1:27" s="5229" customFormat="1" ht="21" customHeight="1">
      <c r="A309" s="9436"/>
      <c r="B309" s="8477" t="s">
        <v>300</v>
      </c>
      <c r="C309" s="8478"/>
      <c r="D309" s="8478"/>
      <c r="E309" s="8478"/>
      <c r="F309" s="8478"/>
      <c r="G309" s="8478"/>
      <c r="H309" s="8478"/>
      <c r="I309" s="8478"/>
      <c r="J309" s="8478"/>
      <c r="K309" s="8478"/>
      <c r="L309" s="8478"/>
      <c r="M309" s="8478"/>
      <c r="N309" s="9437"/>
      <c r="O309" s="5230"/>
      <c r="P309" s="5230"/>
      <c r="Q309" s="5230"/>
      <c r="R309" s="716"/>
      <c r="S309" s="716"/>
      <c r="T309" s="716"/>
      <c r="U309" s="716"/>
      <c r="V309" s="716"/>
      <c r="W309" s="716"/>
      <c r="X309" s="716"/>
      <c r="Y309" s="716"/>
      <c r="Z309" s="716"/>
      <c r="AA309" s="2730">
        <v>1</v>
      </c>
    </row>
    <row r="310" spans="1:27" s="5229" customFormat="1" ht="21" customHeight="1">
      <c r="A310" s="9436"/>
      <c r="B310" s="8480" t="s">
        <v>315</v>
      </c>
      <c r="C310" s="8481"/>
      <c r="D310" s="8481"/>
      <c r="E310" s="8481"/>
      <c r="F310" s="8481"/>
      <c r="G310" s="8481"/>
      <c r="H310" s="8481"/>
      <c r="I310" s="8481"/>
      <c r="J310" s="8481"/>
      <c r="K310" s="8481"/>
      <c r="L310" s="8481"/>
      <c r="M310" s="8481"/>
      <c r="N310" s="9438"/>
      <c r="O310" s="5230"/>
      <c r="P310" s="5230"/>
      <c r="Q310" s="5230"/>
      <c r="R310" s="716"/>
      <c r="S310" s="716"/>
      <c r="T310" s="716"/>
      <c r="U310" s="716"/>
      <c r="V310" s="716"/>
      <c r="W310" s="716"/>
      <c r="X310" s="716"/>
      <c r="Y310" s="716"/>
      <c r="Z310" s="716"/>
      <c r="AA310" s="2730">
        <v>1</v>
      </c>
    </row>
    <row r="311" spans="1:27" s="5229" customFormat="1" ht="21" customHeight="1">
      <c r="A311" s="9436"/>
      <c r="B311" s="8480"/>
      <c r="C311" s="8481"/>
      <c r="D311" s="8481"/>
      <c r="E311" s="8481"/>
      <c r="F311" s="8481"/>
      <c r="G311" s="8481"/>
      <c r="H311" s="8481"/>
      <c r="I311" s="8481"/>
      <c r="J311" s="8481"/>
      <c r="K311" s="8481"/>
      <c r="L311" s="8481"/>
      <c r="M311" s="8481"/>
      <c r="N311" s="9438"/>
      <c r="O311" s="5230"/>
      <c r="P311" s="5230"/>
      <c r="Q311" s="5230"/>
      <c r="R311" s="716"/>
      <c r="S311" s="716"/>
      <c r="T311" s="716"/>
      <c r="U311" s="716"/>
      <c r="V311" s="716"/>
      <c r="W311" s="716"/>
      <c r="X311" s="716"/>
      <c r="Y311" s="716"/>
      <c r="Z311" s="716"/>
      <c r="AA311" s="2730">
        <v>1</v>
      </c>
    </row>
    <row r="312" spans="1:27" s="5229" customFormat="1" ht="21" customHeight="1">
      <c r="A312" s="9436"/>
      <c r="B312" s="8480"/>
      <c r="C312" s="8481"/>
      <c r="D312" s="8481"/>
      <c r="E312" s="8481"/>
      <c r="F312" s="8481"/>
      <c r="G312" s="8481"/>
      <c r="H312" s="8481"/>
      <c r="I312" s="8481"/>
      <c r="J312" s="8481"/>
      <c r="K312" s="8481"/>
      <c r="L312" s="8481"/>
      <c r="M312" s="8481"/>
      <c r="N312" s="9438"/>
      <c r="O312" s="5230"/>
      <c r="P312" s="5230"/>
      <c r="Q312" s="5230"/>
      <c r="R312" s="716"/>
      <c r="S312" s="716"/>
      <c r="T312" s="716"/>
      <c r="U312" s="716"/>
      <c r="V312" s="716"/>
      <c r="W312" s="716"/>
      <c r="X312" s="716"/>
      <c r="Y312" s="716"/>
      <c r="Z312" s="716"/>
      <c r="AA312" s="2730">
        <v>1</v>
      </c>
    </row>
    <row r="313" spans="1:27" s="5229" customFormat="1" ht="21" customHeight="1">
      <c r="A313" s="9436"/>
      <c r="B313" s="8480"/>
      <c r="C313" s="8481"/>
      <c r="D313" s="8481"/>
      <c r="E313" s="8481"/>
      <c r="F313" s="8481"/>
      <c r="G313" s="8481"/>
      <c r="H313" s="8481"/>
      <c r="I313" s="8481"/>
      <c r="J313" s="8481"/>
      <c r="K313" s="8481"/>
      <c r="L313" s="8481"/>
      <c r="M313" s="8481"/>
      <c r="N313" s="9438"/>
      <c r="O313" s="5230"/>
      <c r="P313" s="5230"/>
      <c r="Q313" s="5230"/>
      <c r="R313" s="716"/>
      <c r="S313" s="716"/>
      <c r="T313" s="716"/>
      <c r="U313" s="716"/>
      <c r="V313" s="716"/>
      <c r="W313" s="716"/>
      <c r="X313" s="716"/>
      <c r="Y313" s="716"/>
      <c r="Z313" s="716"/>
      <c r="AA313" s="2730">
        <v>1</v>
      </c>
    </row>
    <row r="314" spans="1:27" s="5229" customFormat="1" ht="21" customHeight="1">
      <c r="A314" s="9436"/>
      <c r="B314" s="9439"/>
      <c r="C314" s="9440"/>
      <c r="D314" s="9440"/>
      <c r="E314" s="9440"/>
      <c r="F314" s="9440"/>
      <c r="G314" s="9440"/>
      <c r="H314" s="9440"/>
      <c r="I314" s="9440"/>
      <c r="J314" s="9440"/>
      <c r="K314" s="9440"/>
      <c r="L314" s="9440"/>
      <c r="M314" s="9440"/>
      <c r="N314" s="9441"/>
      <c r="O314" s="5230"/>
      <c r="P314" s="5230"/>
      <c r="Q314" s="5230"/>
      <c r="R314" s="716"/>
      <c r="S314" s="716"/>
      <c r="T314" s="716"/>
      <c r="U314" s="716"/>
      <c r="V314" s="716"/>
      <c r="W314" s="716"/>
      <c r="X314" s="716"/>
      <c r="Y314" s="716"/>
      <c r="Z314" s="716"/>
      <c r="AA314" s="2730">
        <v>1</v>
      </c>
    </row>
    <row r="315" spans="1:27" s="5229" customFormat="1" ht="21" customHeight="1">
      <c r="A315" s="9436"/>
      <c r="B315" s="5889"/>
      <c r="C315" s="5890"/>
      <c r="D315" s="5890"/>
      <c r="E315" s="5890"/>
      <c r="F315" s="5890"/>
      <c r="G315" s="5890"/>
      <c r="H315" s="5890"/>
      <c r="I315" s="5890"/>
      <c r="J315" s="5890"/>
      <c r="K315" s="5890"/>
      <c r="L315" s="9442" t="s">
        <v>66</v>
      </c>
      <c r="M315" s="9443"/>
      <c r="N315" s="5891"/>
      <c r="O315" s="5230"/>
      <c r="P315" s="5230"/>
      <c r="Q315" s="5230"/>
      <c r="R315" s="716"/>
      <c r="S315" s="716"/>
      <c r="T315" s="716"/>
      <c r="U315" s="716"/>
      <c r="V315" s="716"/>
      <c r="W315" s="716"/>
      <c r="X315" s="716"/>
      <c r="Y315" s="716"/>
      <c r="Z315" s="716"/>
      <c r="AA315" s="2730">
        <v>1</v>
      </c>
    </row>
    <row r="316" spans="1:27" s="5229" customFormat="1" ht="21" customHeight="1">
      <c r="A316" s="9436"/>
      <c r="B316" s="5889"/>
      <c r="C316" s="5890"/>
      <c r="D316" s="5890"/>
      <c r="E316" s="5890"/>
      <c r="F316" s="5890"/>
      <c r="G316" s="5890"/>
      <c r="H316" s="5890"/>
      <c r="I316" s="5890"/>
      <c r="K316" s="5868" t="s">
        <v>316</v>
      </c>
      <c r="L316" s="8487">
        <v>2.4</v>
      </c>
      <c r="M316" s="8487"/>
      <c r="N316" s="5891"/>
      <c r="O316" s="5230"/>
      <c r="P316" s="5230"/>
      <c r="Q316" s="5230"/>
      <c r="R316" s="716"/>
      <c r="S316" s="716"/>
      <c r="T316" s="716"/>
      <c r="U316" s="716"/>
      <c r="V316" s="716"/>
      <c r="W316" s="716"/>
      <c r="X316" s="716"/>
      <c r="Y316" s="716"/>
      <c r="Z316" s="716"/>
      <c r="AA316" s="2730">
        <v>1</v>
      </c>
    </row>
    <row r="317" spans="1:27" s="5229" customFormat="1" ht="21" customHeight="1">
      <c r="A317" s="9436"/>
      <c r="B317" s="5892"/>
      <c r="C317" s="5893"/>
      <c r="D317" s="5893"/>
      <c r="E317" s="5893"/>
      <c r="F317" s="5890"/>
      <c r="G317" s="5890"/>
      <c r="H317" s="5890"/>
      <c r="I317" s="5890"/>
      <c r="J317" s="5890"/>
      <c r="K317" s="5894"/>
      <c r="L317" s="8487"/>
      <c r="M317" s="8487"/>
      <c r="N317" s="5891"/>
      <c r="O317" s="5230"/>
      <c r="P317" s="5230"/>
      <c r="Q317" s="5230"/>
      <c r="R317" s="716"/>
      <c r="S317" s="716"/>
      <c r="T317" s="716"/>
      <c r="U317" s="716"/>
      <c r="V317" s="716"/>
      <c r="W317" s="716"/>
      <c r="X317" s="716"/>
      <c r="Y317" s="716"/>
      <c r="Z317" s="716"/>
      <c r="AA317" s="2730">
        <v>1</v>
      </c>
    </row>
    <row r="318" spans="1:27" s="5229" customFormat="1" ht="21" customHeight="1">
      <c r="A318" s="9436"/>
      <c r="B318" s="5889"/>
      <c r="C318" s="5890"/>
      <c r="D318" s="5890"/>
      <c r="E318" s="5890"/>
      <c r="F318" s="5890"/>
      <c r="G318" s="5890"/>
      <c r="H318" s="5890"/>
      <c r="I318" s="5890"/>
      <c r="J318" s="5890"/>
      <c r="K318" s="5890"/>
      <c r="L318" s="5890"/>
      <c r="M318" s="5890"/>
      <c r="N318" s="5891"/>
      <c r="O318" s="5230"/>
      <c r="P318" s="5230"/>
      <c r="Q318" s="5230"/>
      <c r="R318" s="716"/>
      <c r="S318" s="716"/>
      <c r="T318" s="716"/>
      <c r="U318" s="716"/>
      <c r="V318" s="716"/>
      <c r="W318" s="716"/>
      <c r="X318" s="716"/>
      <c r="Y318" s="716"/>
      <c r="Z318" s="716"/>
      <c r="AA318" s="2730">
        <v>1</v>
      </c>
    </row>
    <row r="319" spans="1:27" s="5229" customFormat="1" ht="21" customHeight="1">
      <c r="A319" s="9436"/>
      <c r="B319" s="5889"/>
      <c r="C319" s="5890"/>
      <c r="D319" s="5890"/>
      <c r="E319" s="5890"/>
      <c r="F319" s="5895" t="s">
        <v>242</v>
      </c>
      <c r="G319" s="5896" t="s">
        <v>214</v>
      </c>
      <c r="H319" s="5896" t="s">
        <v>215</v>
      </c>
      <c r="I319" s="5897" t="s">
        <v>216</v>
      </c>
      <c r="J319" s="5896" t="s">
        <v>201</v>
      </c>
      <c r="K319" s="5896" t="s">
        <v>303</v>
      </c>
      <c r="L319" s="5890"/>
      <c r="M319" s="5890"/>
      <c r="N319" s="5891"/>
      <c r="O319" s="5230"/>
      <c r="P319" s="5230"/>
      <c r="Q319" s="5230"/>
      <c r="R319" s="716"/>
      <c r="S319" s="716"/>
      <c r="T319" s="716"/>
      <c r="U319" s="716"/>
      <c r="V319" s="716"/>
      <c r="W319" s="716"/>
      <c r="X319" s="716"/>
      <c r="Y319" s="716"/>
      <c r="Z319" s="716"/>
      <c r="AA319" s="2730">
        <v>1</v>
      </c>
    </row>
    <row r="320" spans="1:27" s="5229" customFormat="1" ht="21" customHeight="1">
      <c r="A320" s="9436"/>
      <c r="B320" s="5889"/>
      <c r="C320" s="5890"/>
      <c r="D320" s="5890"/>
      <c r="E320" s="5890"/>
      <c r="F320" s="5866" t="s">
        <v>317</v>
      </c>
      <c r="G320" s="5898">
        <v>0.05</v>
      </c>
      <c r="H320" s="5898">
        <v>0.08</v>
      </c>
      <c r="I320" s="5898">
        <v>0.11</v>
      </c>
      <c r="J320" s="5898">
        <v>0.125</v>
      </c>
      <c r="K320" s="5898">
        <v>7.0000000000000007E-2</v>
      </c>
      <c r="L320" s="5867">
        <f>SUM(G320:K320)/COUNTIF(G320:K320,"&gt;0")</f>
        <v>8.6999999999999994E-2</v>
      </c>
      <c r="M320" s="5865" t="s">
        <v>305</v>
      </c>
      <c r="N320" s="5891"/>
      <c r="O320" s="5230"/>
      <c r="P320" s="5230"/>
      <c r="Q320" s="5230"/>
      <c r="R320" s="716"/>
      <c r="S320" s="716"/>
      <c r="T320" s="716"/>
      <c r="U320" s="716"/>
      <c r="V320" s="716"/>
      <c r="W320" s="716"/>
      <c r="X320" s="716"/>
      <c r="Y320" s="716"/>
      <c r="Z320" s="716"/>
      <c r="AA320" s="2730">
        <v>1</v>
      </c>
    </row>
    <row r="321" spans="1:27" s="5229" customFormat="1" ht="21" customHeight="1">
      <c r="A321" s="9436"/>
      <c r="B321" s="5889"/>
      <c r="C321" s="5890"/>
      <c r="D321" s="5890"/>
      <c r="E321" s="5890"/>
      <c r="F321" s="5868" t="s">
        <v>318</v>
      </c>
      <c r="G321" s="5899">
        <f>L316/G320</f>
        <v>47.999999999999993</v>
      </c>
      <c r="H321" s="5899">
        <f>L316/H320</f>
        <v>30</v>
      </c>
      <c r="I321" s="5899">
        <f>L316/I320</f>
        <v>21.818181818181817</v>
      </c>
      <c r="J321" s="5899">
        <f>L316/J320</f>
        <v>19.2</v>
      </c>
      <c r="K321" s="5899">
        <f>L316/K320</f>
        <v>34.285714285714285</v>
      </c>
      <c r="L321" s="5900" t="s">
        <v>319</v>
      </c>
      <c r="M321" s="5865"/>
      <c r="N321" s="5891"/>
      <c r="O321" s="5230"/>
      <c r="P321" s="5230"/>
      <c r="Q321" s="5230"/>
      <c r="R321" s="716"/>
      <c r="S321" s="716"/>
      <c r="T321" s="716"/>
      <c r="U321" s="716"/>
      <c r="V321" s="716"/>
      <c r="W321" s="716"/>
      <c r="X321" s="716"/>
      <c r="Y321" s="716"/>
      <c r="Z321" s="716"/>
      <c r="AA321" s="2730">
        <v>1</v>
      </c>
    </row>
    <row r="322" spans="1:27" s="5229" customFormat="1" ht="21" customHeight="1">
      <c r="A322" s="9436"/>
      <c r="B322" s="5901" t="s">
        <v>66</v>
      </c>
      <c r="C322" s="5902" t="s">
        <v>320</v>
      </c>
      <c r="D322" s="5890"/>
      <c r="E322" s="5890"/>
      <c r="F322" s="5868"/>
      <c r="G322" s="2444"/>
      <c r="H322" s="2444"/>
      <c r="I322" s="2444"/>
      <c r="J322" s="2444"/>
      <c r="K322" s="2444"/>
      <c r="L322" s="5900"/>
      <c r="M322" s="5865"/>
      <c r="N322" s="5891"/>
      <c r="O322" s="5230"/>
      <c r="P322" s="5230"/>
      <c r="Q322" s="5230"/>
      <c r="R322" s="716"/>
      <c r="S322" s="716"/>
      <c r="T322" s="716"/>
      <c r="U322" s="716"/>
      <c r="V322" s="716"/>
      <c r="W322" s="716"/>
      <c r="X322" s="716"/>
      <c r="Y322" s="716"/>
      <c r="Z322" s="716"/>
      <c r="AA322" s="2730">
        <v>1</v>
      </c>
    </row>
    <row r="323" spans="1:27" s="5229" customFormat="1" ht="21" customHeight="1">
      <c r="A323" s="9436"/>
      <c r="B323" s="9446" t="s">
        <v>321</v>
      </c>
      <c r="C323" s="9447"/>
      <c r="D323" s="9447"/>
      <c r="E323" s="9447"/>
      <c r="F323" s="9447"/>
      <c r="G323" s="9447"/>
      <c r="H323" s="9447"/>
      <c r="I323" s="9447"/>
      <c r="J323" s="9447"/>
      <c r="K323" s="9447"/>
      <c r="L323" s="9447"/>
      <c r="M323" s="9447"/>
      <c r="N323" s="9448"/>
      <c r="O323" s="5230"/>
      <c r="P323" s="5230"/>
      <c r="Q323" s="5230"/>
      <c r="R323" s="716"/>
      <c r="S323" s="716"/>
      <c r="T323" s="716"/>
      <c r="U323" s="716"/>
      <c r="V323" s="716"/>
      <c r="W323" s="716"/>
      <c r="X323" s="716"/>
      <c r="Y323" s="716"/>
      <c r="Z323" s="716"/>
      <c r="AA323" s="2730">
        <v>1</v>
      </c>
    </row>
    <row r="324" spans="1:27" s="5229" customFormat="1" ht="21" customHeight="1">
      <c r="A324" s="9436"/>
      <c r="B324" s="5903"/>
      <c r="C324" s="5904"/>
      <c r="D324" s="5904"/>
      <c r="E324" s="5904"/>
      <c r="F324" s="5890"/>
      <c r="G324" s="5890"/>
      <c r="H324" s="5864"/>
      <c r="I324" s="5864"/>
      <c r="J324" s="5864"/>
      <c r="K324" s="5864"/>
      <c r="L324" s="9449" t="s">
        <v>81</v>
      </c>
      <c r="M324" s="9449"/>
      <c r="N324" s="5891"/>
      <c r="O324" s="5230"/>
      <c r="P324" s="5230"/>
      <c r="Q324" s="5230"/>
      <c r="R324" s="716"/>
      <c r="S324" s="716"/>
      <c r="T324" s="716"/>
      <c r="U324" s="716"/>
      <c r="V324" s="716"/>
      <c r="W324" s="716"/>
      <c r="X324" s="716"/>
      <c r="Y324" s="716"/>
      <c r="Z324" s="716"/>
      <c r="AA324" s="2730">
        <v>1</v>
      </c>
    </row>
    <row r="325" spans="1:27" s="5229" customFormat="1" ht="21" customHeight="1">
      <c r="A325" s="9436"/>
      <c r="B325" s="5903"/>
      <c r="C325" s="5904"/>
      <c r="D325" s="5904"/>
      <c r="E325" s="5904"/>
      <c r="F325" s="5890"/>
      <c r="G325" s="5890"/>
      <c r="H325" s="5864"/>
      <c r="I325" s="5864"/>
      <c r="J325" s="5864"/>
      <c r="K325" s="5905" t="s">
        <v>302</v>
      </c>
      <c r="L325" s="9450" t="s">
        <v>43</v>
      </c>
      <c r="M325" s="9451"/>
      <c r="N325" s="5891"/>
      <c r="O325" s="5230"/>
      <c r="P325" s="5230"/>
      <c r="Q325" s="5230"/>
      <c r="R325" s="716"/>
      <c r="S325" s="716"/>
      <c r="T325" s="716"/>
      <c r="U325" s="716"/>
      <c r="V325" s="716"/>
      <c r="W325" s="716"/>
      <c r="X325" s="716"/>
      <c r="Y325" s="716"/>
      <c r="Z325" s="716"/>
      <c r="AA325" s="2730">
        <v>1</v>
      </c>
    </row>
    <row r="326" spans="1:27" s="5229" customFormat="1" ht="21" customHeight="1">
      <c r="A326" s="9436"/>
      <c r="B326" s="5889"/>
      <c r="C326" s="5890"/>
      <c r="D326" s="5864"/>
      <c r="E326" s="5864"/>
      <c r="F326" s="5864"/>
      <c r="G326" s="5864"/>
      <c r="H326" s="5864"/>
      <c r="I326" s="5864"/>
      <c r="J326" s="5864"/>
      <c r="K326" s="5864"/>
      <c r="L326" s="5864"/>
      <c r="M326" s="5865"/>
      <c r="N326" s="5891"/>
      <c r="O326" s="5230"/>
      <c r="P326" s="5230"/>
      <c r="Q326" s="5230"/>
      <c r="R326" s="716"/>
      <c r="S326" s="716"/>
      <c r="T326" s="716"/>
      <c r="U326" s="716"/>
      <c r="V326" s="716"/>
      <c r="W326" s="716"/>
      <c r="X326" s="716"/>
      <c r="Y326" s="716"/>
      <c r="Z326" s="716"/>
      <c r="AA326" s="2730">
        <v>1</v>
      </c>
    </row>
    <row r="327" spans="1:27" s="5229" customFormat="1" ht="21" customHeight="1">
      <c r="A327" s="9436"/>
      <c r="B327" s="5889"/>
      <c r="C327" s="5890"/>
      <c r="D327" s="5890"/>
      <c r="E327" s="5890"/>
      <c r="F327" s="5862" t="s">
        <v>208</v>
      </c>
      <c r="G327" s="5863">
        <v>50</v>
      </c>
      <c r="H327" s="5863">
        <v>500</v>
      </c>
      <c r="I327" s="5863">
        <v>150</v>
      </c>
      <c r="J327" s="5863">
        <v>13</v>
      </c>
      <c r="K327" s="5863">
        <v>13</v>
      </c>
      <c r="L327" s="5864">
        <f>SUM(G327:K327)</f>
        <v>726</v>
      </c>
      <c r="M327" s="5865" t="s">
        <v>209</v>
      </c>
      <c r="N327" s="5891"/>
      <c r="O327" s="5230"/>
      <c r="P327" s="5230"/>
      <c r="Q327" s="5230"/>
      <c r="R327" s="716"/>
      <c r="S327" s="716"/>
      <c r="T327" s="716"/>
      <c r="U327" s="716"/>
      <c r="V327" s="716"/>
      <c r="W327" s="716"/>
      <c r="X327" s="716"/>
      <c r="Y327" s="716"/>
      <c r="Z327" s="716"/>
      <c r="AA327" s="2730">
        <v>1</v>
      </c>
    </row>
    <row r="328" spans="1:27" s="5229" customFormat="1" ht="21" customHeight="1">
      <c r="A328" s="9436"/>
      <c r="B328" s="5889"/>
      <c r="C328" s="5890"/>
      <c r="D328" s="5890"/>
      <c r="E328" s="5890"/>
      <c r="F328" s="5868" t="s">
        <v>322</v>
      </c>
      <c r="G328" s="5906">
        <f>G320*G327</f>
        <v>2.5</v>
      </c>
      <c r="H328" s="5906">
        <f>H320*H327</f>
        <v>40</v>
      </c>
      <c r="I328" s="5906">
        <f>I320*I327</f>
        <v>16.5</v>
      </c>
      <c r="J328" s="5906">
        <f>J320*J327</f>
        <v>1.625</v>
      </c>
      <c r="K328" s="5906">
        <f>K320*K327</f>
        <v>0.91000000000000014</v>
      </c>
      <c r="L328" s="5864">
        <f>SUM(G328:K328)</f>
        <v>61.534999999999997</v>
      </c>
      <c r="M328" s="5865" t="str">
        <f>L325</f>
        <v>Kg</v>
      </c>
      <c r="N328" s="5891"/>
      <c r="O328" s="5230"/>
      <c r="P328" s="5230"/>
      <c r="Q328" s="5230"/>
      <c r="R328" s="716"/>
      <c r="S328" s="716"/>
      <c r="T328" s="716"/>
      <c r="U328" s="716"/>
      <c r="V328" s="716"/>
      <c r="W328" s="716"/>
      <c r="X328" s="716"/>
      <c r="Y328" s="716"/>
      <c r="Z328" s="716"/>
      <c r="AA328" s="2730">
        <v>1</v>
      </c>
    </row>
    <row r="329" spans="1:27" s="5229" customFormat="1" ht="21" customHeight="1">
      <c r="A329" s="9436"/>
      <c r="B329" s="5889"/>
      <c r="C329" s="5890"/>
      <c r="D329" s="5890"/>
      <c r="E329" s="5890"/>
      <c r="F329" s="5890"/>
      <c r="G329" s="5907" t="str">
        <f>L325</f>
        <v>Kg</v>
      </c>
      <c r="H329" s="5907" t="str">
        <f>L325</f>
        <v>Kg</v>
      </c>
      <c r="I329" s="5907" t="str">
        <f>L325</f>
        <v>Kg</v>
      </c>
      <c r="J329" s="5907" t="str">
        <f>L325</f>
        <v>Kg</v>
      </c>
      <c r="K329" s="5907" t="str">
        <f>L325</f>
        <v>Kg</v>
      </c>
      <c r="L329" s="5890"/>
      <c r="M329" s="5908"/>
      <c r="N329" s="5891"/>
      <c r="O329" s="5230"/>
      <c r="P329" s="5230"/>
      <c r="Q329" s="5230"/>
      <c r="R329" s="716"/>
      <c r="S329" s="716"/>
      <c r="T329" s="716"/>
      <c r="U329" s="716"/>
      <c r="V329" s="716"/>
      <c r="W329" s="716"/>
      <c r="X329" s="716"/>
      <c r="Y329" s="716"/>
      <c r="Z329" s="716"/>
      <c r="AA329" s="2730">
        <v>1</v>
      </c>
    </row>
    <row r="330" spans="1:27" s="5229" customFormat="1" ht="21" customHeight="1">
      <c r="A330" s="9436"/>
      <c r="B330" s="5909"/>
      <c r="C330" s="5872" t="s">
        <v>211</v>
      </c>
      <c r="D330" s="5873">
        <v>50</v>
      </c>
      <c r="E330" s="5874" t="s">
        <v>84</v>
      </c>
      <c r="H330" s="5890"/>
      <c r="I330" s="5890"/>
      <c r="J330" s="5890"/>
      <c r="K330" s="5890"/>
      <c r="L330" s="5890"/>
      <c r="M330" s="5908"/>
      <c r="N330" s="5891"/>
      <c r="O330" s="5230"/>
      <c r="P330" s="5230"/>
      <c r="Q330" s="5230"/>
      <c r="R330" s="716"/>
      <c r="S330" s="716"/>
      <c r="T330" s="716"/>
      <c r="U330" s="716"/>
      <c r="V330" s="716"/>
      <c r="W330" s="716"/>
      <c r="X330" s="716"/>
      <c r="Y330" s="716"/>
      <c r="Z330" s="716"/>
      <c r="AA330" s="2730">
        <v>1</v>
      </c>
    </row>
    <row r="331" spans="1:27" s="5229" customFormat="1" ht="21" customHeight="1">
      <c r="A331" s="9436"/>
      <c r="B331" s="5889"/>
      <c r="C331" s="5890"/>
      <c r="D331" s="5890"/>
      <c r="E331" s="5890"/>
      <c r="F331" s="5868" t="s">
        <v>220</v>
      </c>
      <c r="G331" s="5876">
        <f>G328/(100-D330)*100</f>
        <v>5</v>
      </c>
      <c r="H331" s="5876">
        <f>H328/(100-D330)*100</f>
        <v>80</v>
      </c>
      <c r="I331" s="5876">
        <f>I328/(100-D330)*100</f>
        <v>33</v>
      </c>
      <c r="J331" s="5876">
        <f>J328/(100-D330)*100</f>
        <v>3.25</v>
      </c>
      <c r="K331" s="5876">
        <f>K328/(100-D330)*100</f>
        <v>1.8200000000000005</v>
      </c>
      <c r="L331" s="5864">
        <f>SUM(G331:K331)</f>
        <v>123.07000000000001</v>
      </c>
      <c r="M331" s="5865" t="str">
        <f>L325</f>
        <v>Kg</v>
      </c>
      <c r="N331" s="5891"/>
      <c r="O331" s="5230"/>
      <c r="P331" s="5230"/>
      <c r="Q331" s="5230"/>
      <c r="R331" s="716"/>
      <c r="S331" s="716"/>
      <c r="T331" s="716"/>
      <c r="U331" s="716"/>
      <c r="V331" s="716"/>
      <c r="W331" s="716"/>
      <c r="X331" s="716"/>
      <c r="Y331" s="716"/>
      <c r="Z331" s="716"/>
      <c r="AA331" s="2730">
        <v>1</v>
      </c>
    </row>
    <row r="332" spans="1:27" s="5229" customFormat="1" ht="21" customHeight="1">
      <c r="A332" s="9436"/>
      <c r="B332" s="5889"/>
      <c r="C332" s="5890"/>
      <c r="D332" s="5890"/>
      <c r="E332" s="5890"/>
      <c r="F332" s="5868"/>
      <c r="G332" s="5878" t="str">
        <f>L325</f>
        <v>Kg</v>
      </c>
      <c r="H332" s="5878" t="str">
        <f>L325</f>
        <v>Kg</v>
      </c>
      <c r="I332" s="5878" t="str">
        <f>L325</f>
        <v>Kg</v>
      </c>
      <c r="J332" s="5878" t="str">
        <f>L325</f>
        <v>Kg</v>
      </c>
      <c r="K332" s="5878" t="str">
        <f>L325</f>
        <v>Kg</v>
      </c>
      <c r="L332" s="5864"/>
      <c r="M332" s="5865"/>
      <c r="N332" s="5891"/>
      <c r="O332" s="5230"/>
      <c r="P332" s="5230"/>
      <c r="Q332" s="5230"/>
      <c r="R332" s="716"/>
      <c r="S332" s="716"/>
      <c r="T332" s="716"/>
      <c r="U332" s="716"/>
      <c r="V332" s="716"/>
      <c r="W332" s="716"/>
      <c r="X332" s="716"/>
      <c r="Y332" s="716"/>
      <c r="Z332" s="716"/>
      <c r="AA332" s="2730">
        <v>1</v>
      </c>
    </row>
    <row r="333" spans="1:27" s="5229" customFormat="1" ht="21" customHeight="1">
      <c r="A333" s="9436"/>
      <c r="B333" s="5910" t="s">
        <v>84</v>
      </c>
      <c r="C333" s="2438" t="s">
        <v>311</v>
      </c>
      <c r="D333" s="5911"/>
      <c r="E333" s="5911"/>
      <c r="F333" s="5911"/>
      <c r="G333" s="5911"/>
      <c r="H333" s="5911"/>
      <c r="I333" s="5911"/>
      <c r="J333" s="5911"/>
      <c r="K333" s="5911"/>
      <c r="L333" s="5911"/>
      <c r="M333" s="5911"/>
      <c r="N333" s="5912"/>
      <c r="O333" s="5230"/>
      <c r="P333" s="5230"/>
      <c r="Q333" s="5230"/>
      <c r="R333" s="716"/>
      <c r="S333" s="716"/>
      <c r="T333" s="716"/>
      <c r="U333" s="716"/>
      <c r="V333" s="716"/>
      <c r="W333" s="716"/>
      <c r="X333" s="716"/>
      <c r="Y333" s="716"/>
      <c r="Z333" s="716"/>
      <c r="AA333" s="2730">
        <v>1</v>
      </c>
    </row>
    <row r="334" spans="1:27" s="5229" customFormat="1" ht="21" customHeight="1">
      <c r="A334" s="9436"/>
      <c r="B334" s="5913" t="s">
        <v>81</v>
      </c>
      <c r="C334" s="5914" t="s">
        <v>307</v>
      </c>
      <c r="D334" s="5884"/>
      <c r="E334" s="5884"/>
      <c r="F334" s="5884"/>
      <c r="G334" s="5884"/>
      <c r="H334" s="5884"/>
      <c r="I334" s="5884"/>
      <c r="J334" s="5884"/>
      <c r="K334" s="5884"/>
      <c r="L334" s="5884"/>
      <c r="M334" s="5884"/>
      <c r="N334" s="5885"/>
      <c r="O334" s="5230"/>
      <c r="P334" s="5230"/>
      <c r="Q334" s="5230"/>
      <c r="R334" s="716"/>
      <c r="S334" s="716"/>
      <c r="T334" s="716"/>
      <c r="U334" s="716"/>
      <c r="V334" s="716"/>
      <c r="W334" s="716"/>
      <c r="X334" s="716"/>
      <c r="Y334" s="716"/>
      <c r="Z334" s="716"/>
      <c r="AA334" s="2730">
        <v>1</v>
      </c>
    </row>
    <row r="335" spans="1:27" s="5229" customFormat="1" ht="21" customHeight="1">
      <c r="A335" s="9436"/>
      <c r="B335" s="5886"/>
      <c r="C335" s="9450" t="s">
        <v>43</v>
      </c>
      <c r="D335" s="9451"/>
      <c r="E335" s="2436"/>
      <c r="F335" s="9450" t="s">
        <v>309</v>
      </c>
      <c r="G335" s="9451"/>
      <c r="H335" s="2436"/>
      <c r="I335" s="9450" t="s">
        <v>310</v>
      </c>
      <c r="J335" s="9451"/>
      <c r="K335" s="2436"/>
      <c r="L335" s="9450" t="s">
        <v>308</v>
      </c>
      <c r="M335" s="9451"/>
      <c r="N335" s="5887"/>
      <c r="O335" s="5230"/>
      <c r="P335" s="5230"/>
      <c r="Q335" s="5230"/>
      <c r="R335" s="716"/>
      <c r="S335" s="716"/>
      <c r="T335" s="716"/>
      <c r="U335" s="716"/>
      <c r="V335" s="716"/>
      <c r="W335" s="716"/>
      <c r="X335" s="716"/>
      <c r="Y335" s="716"/>
      <c r="Z335" s="716"/>
      <c r="AA335" s="2730">
        <v>1</v>
      </c>
    </row>
    <row r="336" spans="1:27" s="5229" customFormat="1" ht="21" customHeight="1">
      <c r="A336" s="9436"/>
      <c r="B336" s="5886"/>
      <c r="C336" s="2436"/>
      <c r="D336" s="2436"/>
      <c r="E336" s="2436"/>
      <c r="F336" s="2436"/>
      <c r="G336" s="2436"/>
      <c r="H336" s="2436"/>
      <c r="I336" s="2436"/>
      <c r="J336" s="2436"/>
      <c r="K336" s="2436"/>
      <c r="L336" s="2436"/>
      <c r="M336" s="2436"/>
      <c r="N336" s="5887"/>
      <c r="O336" s="5230"/>
      <c r="P336" s="5230"/>
      <c r="Q336" s="5230"/>
      <c r="R336" s="716"/>
      <c r="S336" s="716"/>
      <c r="T336" s="716"/>
      <c r="U336" s="716"/>
      <c r="V336" s="716"/>
      <c r="W336" s="716"/>
      <c r="X336" s="716"/>
      <c r="Y336" s="716"/>
      <c r="Z336" s="716"/>
      <c r="AA336" s="2730">
        <v>1</v>
      </c>
    </row>
    <row r="337" spans="1:27" s="5229" customFormat="1" ht="21" customHeight="1">
      <c r="A337" s="9436"/>
      <c r="B337" s="9393" t="s">
        <v>312</v>
      </c>
      <c r="C337" s="9394"/>
      <c r="D337" s="9394"/>
      <c r="E337" s="9394"/>
      <c r="F337" s="9394"/>
      <c r="G337" s="9394"/>
      <c r="H337" s="9394"/>
      <c r="I337" s="9394"/>
      <c r="J337" s="9394"/>
      <c r="K337" s="9394"/>
      <c r="L337" s="9394"/>
      <c r="M337" s="9394"/>
      <c r="N337" s="9395"/>
      <c r="O337" s="5230"/>
      <c r="P337" s="5230"/>
      <c r="Q337" s="5230"/>
      <c r="R337" s="716"/>
      <c r="S337" s="716"/>
      <c r="T337" s="716"/>
      <c r="U337" s="716"/>
      <c r="V337" s="716"/>
      <c r="W337" s="716"/>
      <c r="X337" s="716"/>
      <c r="Y337" s="716"/>
      <c r="Z337" s="716"/>
      <c r="AA337" s="2730">
        <v>1</v>
      </c>
    </row>
    <row r="338" spans="1:27" s="5229" customFormat="1" ht="21" customHeight="1">
      <c r="A338" s="9436"/>
      <c r="B338" s="9396"/>
      <c r="C338" s="9397"/>
      <c r="D338" s="9397"/>
      <c r="E338" s="9397"/>
      <c r="F338" s="9397"/>
      <c r="G338" s="9397"/>
      <c r="H338" s="9397"/>
      <c r="I338" s="9397"/>
      <c r="J338" s="9397"/>
      <c r="K338" s="9397"/>
      <c r="L338" s="9397"/>
      <c r="M338" s="9397"/>
      <c r="N338" s="9398"/>
      <c r="O338" s="5230"/>
      <c r="P338" s="5230"/>
      <c r="Q338" s="5230"/>
      <c r="R338" s="716"/>
      <c r="S338" s="716"/>
      <c r="T338" s="716"/>
      <c r="U338" s="716"/>
      <c r="V338" s="716"/>
      <c r="W338" s="716"/>
      <c r="X338" s="716"/>
      <c r="Y338" s="716"/>
      <c r="Z338" s="716"/>
      <c r="AA338" s="2730">
        <v>1</v>
      </c>
    </row>
    <row r="339" spans="1:27" s="5229" customFormat="1" ht="21" customHeight="1">
      <c r="A339" s="9436"/>
      <c r="B339" s="2439" t="s">
        <v>7</v>
      </c>
      <c r="C339" s="8472" t="str">
        <f ca="1">CELL("nomfichier")</f>
        <v>D:\Données\1.UPRT\0-UPRT.fait\1-UPRT.FR-SITE-WEB\ff-fiches-fabrications\ff.fiches.fabrication.2023\UPRT.23.aout\[ff-20-CHARCUTERIE-michel-Mariette.BOUDIN.BLANC_-1.xlsx]Exemples Michel Mariette</v>
      </c>
      <c r="D339" s="8472"/>
      <c r="E339" s="8472"/>
      <c r="F339" s="8472"/>
      <c r="G339" s="8472"/>
      <c r="H339" s="8472"/>
      <c r="I339" s="8472"/>
      <c r="J339" s="8472"/>
      <c r="K339" s="8472"/>
      <c r="L339" s="8472"/>
      <c r="M339" s="8472"/>
      <c r="N339" s="8473"/>
      <c r="O339" s="5230"/>
      <c r="P339" s="5230"/>
      <c r="Q339" s="5230"/>
      <c r="R339" s="716"/>
      <c r="S339" s="716"/>
      <c r="T339" s="716"/>
      <c r="U339" s="716"/>
      <c r="V339" s="716"/>
      <c r="W339" s="716"/>
      <c r="X339" s="716"/>
      <c r="Y339" s="716"/>
      <c r="Z339" s="716"/>
      <c r="AA339" s="2730">
        <v>1</v>
      </c>
    </row>
    <row r="340" spans="1:27" s="5229" customFormat="1" ht="21" customHeight="1">
      <c r="A340" s="9436"/>
      <c r="B340" s="2440" t="s">
        <v>14</v>
      </c>
      <c r="C340" s="8474" t="s">
        <v>313</v>
      </c>
      <c r="D340" s="8474"/>
      <c r="E340" s="8474"/>
      <c r="F340" s="8474"/>
      <c r="G340" s="8474"/>
      <c r="H340" s="8474"/>
      <c r="I340" s="8474"/>
      <c r="J340" s="8474"/>
      <c r="K340" s="8474"/>
      <c r="L340" s="8474"/>
      <c r="M340" s="8474"/>
      <c r="N340" s="9399"/>
      <c r="O340" s="5230"/>
      <c r="P340" s="5230"/>
      <c r="Q340" s="5230"/>
      <c r="R340" s="716"/>
      <c r="S340" s="716"/>
      <c r="T340" s="716"/>
      <c r="U340" s="716"/>
      <c r="V340" s="716"/>
      <c r="W340" s="716"/>
      <c r="X340" s="716"/>
      <c r="Y340" s="716"/>
      <c r="Z340" s="716"/>
      <c r="AA340" s="2730">
        <v>1</v>
      </c>
    </row>
    <row r="341" spans="1:27" s="5229" customFormat="1" ht="21" customHeight="1" thickBot="1">
      <c r="A341" s="9436"/>
      <c r="B341" s="9400" t="s">
        <v>8</v>
      </c>
      <c r="C341" s="9401"/>
      <c r="D341" s="9401"/>
      <c r="E341" s="9401"/>
      <c r="F341" s="9401"/>
      <c r="G341" s="9401"/>
      <c r="H341" s="9401"/>
      <c r="I341" s="9401"/>
      <c r="J341" s="9401"/>
      <c r="K341" s="9401"/>
      <c r="L341" s="9401"/>
      <c r="M341" s="9401"/>
      <c r="N341" s="9402"/>
      <c r="O341" s="5230"/>
      <c r="P341" s="5230"/>
      <c r="Q341" s="5230"/>
      <c r="R341" s="716"/>
      <c r="S341" s="716"/>
      <c r="T341" s="716"/>
      <c r="U341" s="716"/>
      <c r="V341" s="716"/>
      <c r="W341" s="716"/>
      <c r="X341" s="716"/>
      <c r="Y341" s="716"/>
      <c r="Z341" s="716"/>
      <c r="AA341" s="2730">
        <v>1</v>
      </c>
    </row>
    <row r="342" spans="1:27" s="5229" customFormat="1" ht="21" customHeight="1">
      <c r="A342" s="5230"/>
      <c r="B342" s="5457"/>
      <c r="C342" s="5457"/>
      <c r="D342" s="5457"/>
      <c r="E342" s="5457"/>
      <c r="F342" s="5457"/>
      <c r="G342" s="5457"/>
      <c r="H342" s="5444"/>
      <c r="I342" s="5464"/>
      <c r="J342" s="5464"/>
      <c r="K342" s="5465"/>
      <c r="L342" s="5465"/>
      <c r="M342" s="5464"/>
      <c r="N342" s="5464"/>
      <c r="O342" s="5230"/>
      <c r="P342" s="5230"/>
      <c r="Q342" s="5230"/>
      <c r="R342" s="716"/>
      <c r="S342" s="716"/>
      <c r="T342" s="716"/>
      <c r="U342" s="716"/>
      <c r="V342" s="716"/>
      <c r="W342" s="716"/>
      <c r="X342" s="716"/>
      <c r="Y342" s="716"/>
      <c r="Z342" s="716"/>
      <c r="AA342" s="2730">
        <v>1</v>
      </c>
    </row>
    <row r="343" spans="1:27" s="5229" customFormat="1" ht="21" customHeight="1" thickBot="1">
      <c r="A343" s="5230"/>
      <c r="B343" s="5457"/>
      <c r="C343" s="5457"/>
      <c r="D343" s="5457"/>
      <c r="E343" s="5457"/>
      <c r="F343" s="5457"/>
      <c r="G343" s="5457"/>
      <c r="H343" s="5444"/>
      <c r="I343" s="5464"/>
      <c r="J343" s="5464"/>
      <c r="K343" s="5465"/>
      <c r="L343" s="5465"/>
      <c r="M343" s="5464"/>
      <c r="N343" s="5464"/>
      <c r="O343" s="5230"/>
      <c r="P343" s="5230"/>
      <c r="Q343" s="5230"/>
      <c r="R343" s="716"/>
      <c r="S343" s="716"/>
      <c r="T343" s="716"/>
      <c r="U343" s="716"/>
      <c r="V343" s="716"/>
      <c r="W343" s="716"/>
      <c r="X343" s="716"/>
      <c r="Y343" s="716"/>
      <c r="Z343" s="716"/>
      <c r="AA343" s="2730">
        <v>1</v>
      </c>
    </row>
    <row r="344" spans="1:27" s="5229" customFormat="1" ht="21" customHeight="1">
      <c r="A344" s="5447" t="s">
        <v>67</v>
      </c>
      <c r="B344" s="5915" t="s">
        <v>1296</v>
      </c>
      <c r="C344" s="5916"/>
      <c r="D344" s="5917"/>
      <c r="E344" s="5918"/>
      <c r="F344" s="5230"/>
      <c r="G344" s="5545" t="s">
        <v>67</v>
      </c>
      <c r="H344" s="5919" t="s">
        <v>188</v>
      </c>
      <c r="I344" s="5920"/>
      <c r="J344" s="5921"/>
      <c r="K344" s="5921"/>
      <c r="L344" s="5921"/>
      <c r="M344" s="5921"/>
      <c r="N344" s="5922"/>
      <c r="O344" s="5230"/>
      <c r="P344" s="5230"/>
      <c r="Q344" s="5230"/>
      <c r="R344" s="716"/>
      <c r="S344" s="716"/>
      <c r="T344" s="716"/>
      <c r="U344" s="716"/>
      <c r="V344" s="716"/>
      <c r="W344" s="716"/>
      <c r="X344" s="716"/>
      <c r="Y344" s="716"/>
      <c r="Z344" s="716"/>
      <c r="AA344" s="2730">
        <v>1</v>
      </c>
    </row>
    <row r="345" spans="1:27" s="5229" customFormat="1" ht="21" customHeight="1">
      <c r="A345" s="9345" t="str">
        <f>B344</f>
        <v xml:space="preserve">Quantités nettes à prévoir : Mater Prim Adul Adul +  </v>
      </c>
      <c r="B345" s="5375" t="str">
        <f>ADDRESS(ROW(),COLUMN(),4)</f>
        <v>B345</v>
      </c>
      <c r="C345" s="5250" t="s">
        <v>14788</v>
      </c>
      <c r="D345" s="5450"/>
      <c r="E345" s="5455"/>
      <c r="F345" s="5230"/>
      <c r="G345" s="9345" t="str">
        <f>H344</f>
        <v>PURÉE DÉSHYDRATÉE</v>
      </c>
      <c r="H345" s="5375" t="str">
        <f>ADDRESS(ROW(),COLUMN(),4)</f>
        <v>H345</v>
      </c>
      <c r="I345" s="5250" t="s">
        <v>14788</v>
      </c>
      <c r="J345" s="5450"/>
      <c r="K345" s="5451"/>
      <c r="L345" s="5451"/>
      <c r="M345" s="5451"/>
      <c r="N345" s="5460"/>
      <c r="O345" s="5230"/>
      <c r="P345" s="5230"/>
      <c r="Q345" s="5230"/>
      <c r="R345" s="716"/>
      <c r="S345" s="716"/>
      <c r="T345" s="716"/>
      <c r="U345" s="716"/>
      <c r="V345" s="716"/>
      <c r="W345" s="716"/>
      <c r="X345" s="716"/>
      <c r="Y345" s="716"/>
      <c r="Z345" s="716"/>
      <c r="AA345" s="2730">
        <v>1</v>
      </c>
    </row>
    <row r="346" spans="1:27" s="5229" customFormat="1" ht="21" customHeight="1">
      <c r="A346" s="9345"/>
      <c r="B346" s="9403" t="s">
        <v>189</v>
      </c>
      <c r="C346" s="9404"/>
      <c r="D346" s="9407" t="s">
        <v>190</v>
      </c>
      <c r="E346" s="9409">
        <f>(B348*B351)+(C348*C351)+(D348*D351)+(E348*E351)</f>
        <v>228.85000000000002</v>
      </c>
      <c r="F346" s="5230"/>
      <c r="G346" s="9345"/>
      <c r="H346" s="5923" t="s">
        <v>191</v>
      </c>
      <c r="I346" s="5924" t="s">
        <v>192</v>
      </c>
      <c r="J346" s="5924" t="s">
        <v>193</v>
      </c>
      <c r="K346" s="5924" t="s">
        <v>194</v>
      </c>
      <c r="L346" s="5924" t="s">
        <v>195</v>
      </c>
      <c r="M346" s="5924" t="s">
        <v>196</v>
      </c>
      <c r="N346" s="5925" t="s">
        <v>197</v>
      </c>
      <c r="O346" s="5230"/>
      <c r="P346" s="5230"/>
      <c r="Q346" s="5230"/>
      <c r="R346" s="716"/>
      <c r="S346" s="716"/>
      <c r="T346" s="716"/>
      <c r="U346" s="716"/>
      <c r="V346" s="716"/>
      <c r="W346" s="716"/>
      <c r="X346" s="716"/>
      <c r="Y346" s="716"/>
      <c r="Z346" s="716"/>
      <c r="AA346" s="2730">
        <v>1</v>
      </c>
    </row>
    <row r="347" spans="1:27" s="5229" customFormat="1" ht="21" customHeight="1">
      <c r="A347" s="9345"/>
      <c r="B347" s="9405"/>
      <c r="C347" s="9406"/>
      <c r="D347" s="9408"/>
      <c r="E347" s="9410"/>
      <c r="F347" s="5230"/>
      <c r="G347" s="9345"/>
      <c r="H347" s="9411">
        <v>0.12</v>
      </c>
      <c r="I347" s="9390">
        <v>1</v>
      </c>
      <c r="J347" s="9390">
        <v>0.11</v>
      </c>
      <c r="K347" s="9390">
        <v>0</v>
      </c>
      <c r="L347" s="9390">
        <v>0.01</v>
      </c>
      <c r="M347" s="9390">
        <v>5.0000000000000001E-3</v>
      </c>
      <c r="N347" s="9391">
        <f>SUM(H347:M347)</f>
        <v>1.2450000000000001</v>
      </c>
      <c r="O347" s="5230"/>
      <c r="P347" s="5230"/>
      <c r="Q347" s="5230"/>
      <c r="R347" s="716"/>
      <c r="S347" s="716"/>
      <c r="T347" s="716"/>
      <c r="U347" s="716"/>
      <c r="V347" s="716"/>
      <c r="W347" s="716"/>
      <c r="X347" s="716"/>
      <c r="Y347" s="716"/>
      <c r="Z347" s="716"/>
      <c r="AA347" s="2730">
        <v>1</v>
      </c>
    </row>
    <row r="348" spans="1:27" s="5229" customFormat="1" ht="21" customHeight="1">
      <c r="A348" s="9345"/>
      <c r="B348" s="9422">
        <v>6.5000000000000002E-2</v>
      </c>
      <c r="C348" s="9424">
        <v>7.4999999999999997E-2</v>
      </c>
      <c r="D348" s="9424">
        <v>0.12</v>
      </c>
      <c r="E348" s="9426">
        <v>0.15</v>
      </c>
      <c r="F348" s="5230"/>
      <c r="G348" s="9345"/>
      <c r="H348" s="9411"/>
      <c r="I348" s="9390"/>
      <c r="J348" s="9390"/>
      <c r="K348" s="9390"/>
      <c r="L348" s="9390"/>
      <c r="M348" s="9390"/>
      <c r="N348" s="9391"/>
      <c r="O348" s="5230"/>
      <c r="P348" s="5230"/>
      <c r="Q348" s="5230"/>
      <c r="R348" s="716"/>
      <c r="S348" s="716"/>
      <c r="T348" s="716"/>
      <c r="U348" s="716"/>
      <c r="V348" s="716"/>
      <c r="W348" s="716"/>
      <c r="X348" s="716"/>
      <c r="Y348" s="716"/>
      <c r="Z348" s="716"/>
      <c r="AA348" s="2730">
        <v>1</v>
      </c>
    </row>
    <row r="349" spans="1:27" s="5229" customFormat="1" ht="21" customHeight="1">
      <c r="A349" s="9345"/>
      <c r="B349" s="9423"/>
      <c r="C349" s="9425"/>
      <c r="D349" s="9425"/>
      <c r="E349" s="9427"/>
      <c r="F349" s="5230"/>
      <c r="G349" s="9345"/>
      <c r="H349" s="9388">
        <f>(H347/N347)*N349</f>
        <v>2.1204819277108431</v>
      </c>
      <c r="I349" s="9389">
        <f>(I347/N347)*N349</f>
        <v>17.670682730923691</v>
      </c>
      <c r="J349" s="9389">
        <f>(J347/N347)*N349</f>
        <v>1.9437751004016062</v>
      </c>
      <c r="K349" s="9389">
        <f>(K347/N347)*N349</f>
        <v>0</v>
      </c>
      <c r="L349" s="9389">
        <f>(L347/N347)*N349</f>
        <v>0.17670682730923692</v>
      </c>
      <c r="M349" s="9389">
        <f>(M347/N347)*N349</f>
        <v>8.8353413654618462E-2</v>
      </c>
      <c r="N349" s="9412">
        <v>22</v>
      </c>
      <c r="O349" s="5230"/>
      <c r="P349" s="5230"/>
      <c r="Q349" s="5230"/>
      <c r="R349" s="716"/>
      <c r="S349" s="716"/>
      <c r="T349" s="716"/>
      <c r="U349" s="716"/>
      <c r="V349" s="716"/>
      <c r="W349" s="716"/>
      <c r="X349" s="716"/>
      <c r="Y349" s="716"/>
      <c r="Z349" s="716"/>
      <c r="AA349" s="2730">
        <v>1</v>
      </c>
    </row>
    <row r="350" spans="1:27" s="5229" customFormat="1" ht="21" customHeight="1">
      <c r="A350" s="9345"/>
      <c r="B350" s="5926" t="s">
        <v>198</v>
      </c>
      <c r="C350" s="5927" t="s">
        <v>199</v>
      </c>
      <c r="D350" s="5927" t="s">
        <v>200</v>
      </c>
      <c r="E350" s="5928" t="s">
        <v>201</v>
      </c>
      <c r="F350" s="5230"/>
      <c r="G350" s="9345"/>
      <c r="H350" s="9388"/>
      <c r="I350" s="9389"/>
      <c r="J350" s="9389"/>
      <c r="K350" s="9389"/>
      <c r="L350" s="9389"/>
      <c r="M350" s="9389"/>
      <c r="N350" s="9412"/>
      <c r="O350" s="5230"/>
      <c r="P350" s="5230"/>
      <c r="Q350" s="5230"/>
      <c r="R350" s="716"/>
      <c r="S350" s="716"/>
      <c r="T350" s="716"/>
      <c r="U350" s="716"/>
      <c r="V350" s="716"/>
      <c r="W350" s="716"/>
      <c r="X350" s="716"/>
      <c r="Y350" s="716"/>
      <c r="Z350" s="716"/>
      <c r="AA350" s="2730">
        <v>1</v>
      </c>
    </row>
    <row r="351" spans="1:27" s="5229" customFormat="1" ht="21" customHeight="1">
      <c r="A351" s="9345"/>
      <c r="B351" s="9413">
        <v>920</v>
      </c>
      <c r="C351" s="9415">
        <v>1700</v>
      </c>
      <c r="D351" s="9415">
        <v>240</v>
      </c>
      <c r="E351" s="9417">
        <v>85</v>
      </c>
      <c r="F351" s="5230"/>
      <c r="G351" s="9345"/>
      <c r="H351" s="9419" t="s">
        <v>202</v>
      </c>
      <c r="I351" s="9420"/>
      <c r="J351" s="9420"/>
      <c r="K351" s="9420"/>
      <c r="L351" s="9420"/>
      <c r="M351" s="9420"/>
      <c r="N351" s="9421"/>
      <c r="O351" s="5230"/>
      <c r="P351" s="5230"/>
      <c r="Q351" s="5230"/>
      <c r="R351" s="716"/>
      <c r="S351" s="716"/>
      <c r="T351" s="716"/>
      <c r="U351" s="716"/>
      <c r="V351" s="716"/>
      <c r="W351" s="716"/>
      <c r="X351" s="716"/>
      <c r="Y351" s="716"/>
      <c r="Z351" s="716"/>
      <c r="AA351" s="2730">
        <v>1</v>
      </c>
    </row>
    <row r="352" spans="1:27" s="5229" customFormat="1" ht="21" customHeight="1">
      <c r="A352" s="9345"/>
      <c r="B352" s="9414"/>
      <c r="C352" s="9416"/>
      <c r="D352" s="9416"/>
      <c r="E352" s="9418"/>
      <c r="F352" s="5230"/>
      <c r="G352" s="9345"/>
      <c r="H352" s="9386">
        <f t="shared" ref="H352:M352" si="3">ROUNDUP(H349,2)</f>
        <v>2.13</v>
      </c>
      <c r="I352" s="9387">
        <f t="shared" si="3"/>
        <v>17.680000000000003</v>
      </c>
      <c r="J352" s="9387">
        <f t="shared" si="3"/>
        <v>1.95</v>
      </c>
      <c r="K352" s="9387">
        <f t="shared" si="3"/>
        <v>0</v>
      </c>
      <c r="L352" s="9387">
        <f t="shared" si="3"/>
        <v>0.18000000000000002</v>
      </c>
      <c r="M352" s="9387">
        <f t="shared" si="3"/>
        <v>0.09</v>
      </c>
      <c r="N352" s="9392">
        <f>SUM(H352:M352)</f>
        <v>22.03</v>
      </c>
      <c r="O352" s="5230"/>
      <c r="P352" s="5230"/>
      <c r="Q352" s="5230"/>
      <c r="R352" s="716"/>
      <c r="S352" s="716"/>
      <c r="T352" s="716"/>
      <c r="U352" s="716"/>
      <c r="V352" s="716"/>
      <c r="W352" s="716"/>
      <c r="X352" s="716"/>
      <c r="Y352" s="716"/>
      <c r="Z352" s="716"/>
      <c r="AA352" s="2730">
        <v>1</v>
      </c>
    </row>
    <row r="353" spans="1:27" s="5229" customFormat="1" ht="21" customHeight="1">
      <c r="A353" s="9345"/>
      <c r="B353" s="9375" t="s">
        <v>203</v>
      </c>
      <c r="C353" s="9377">
        <f>SUM(B351:E351)</f>
        <v>2945</v>
      </c>
      <c r="D353" s="9379" t="s">
        <v>204</v>
      </c>
      <c r="E353" s="9381">
        <f>IF(E346=0,0,E346/D348)</f>
        <v>1907.0833333333335</v>
      </c>
      <c r="F353" s="5230"/>
      <c r="G353" s="9345"/>
      <c r="H353" s="9386"/>
      <c r="I353" s="9387"/>
      <c r="J353" s="9387"/>
      <c r="K353" s="9387"/>
      <c r="L353" s="9387"/>
      <c r="M353" s="9387"/>
      <c r="N353" s="9392"/>
      <c r="O353" s="5230"/>
      <c r="P353" s="5230"/>
      <c r="Q353" s="5230"/>
      <c r="R353" s="716"/>
      <c r="S353" s="716"/>
      <c r="T353" s="716"/>
      <c r="U353" s="716"/>
      <c r="V353" s="716"/>
      <c r="W353" s="716"/>
      <c r="X353" s="716"/>
      <c r="Y353" s="716"/>
      <c r="Z353" s="716"/>
      <c r="AA353" s="2730">
        <v>1</v>
      </c>
    </row>
    <row r="354" spans="1:27" s="5229" customFormat="1" ht="21" customHeight="1" thickBot="1">
      <c r="A354" s="9345"/>
      <c r="B354" s="9376"/>
      <c r="C354" s="9378"/>
      <c r="D354" s="9380"/>
      <c r="E354" s="9382"/>
      <c r="F354" s="5230"/>
      <c r="G354" s="9345"/>
      <c r="H354" s="9383" t="s">
        <v>205</v>
      </c>
      <c r="I354" s="9384"/>
      <c r="J354" s="9384"/>
      <c r="K354" s="9384"/>
      <c r="L354" s="9384"/>
      <c r="M354" s="9384"/>
      <c r="N354" s="9385"/>
      <c r="O354" s="5230"/>
      <c r="P354" s="5230"/>
      <c r="Q354" s="5230"/>
      <c r="R354" s="716"/>
      <c r="S354" s="716"/>
      <c r="T354" s="716"/>
      <c r="U354" s="716"/>
      <c r="V354" s="716"/>
      <c r="W354" s="716"/>
      <c r="X354" s="716"/>
      <c r="Y354" s="716"/>
      <c r="Z354" s="716"/>
      <c r="AA354" s="2730">
        <v>1</v>
      </c>
    </row>
    <row r="355" spans="1:27" s="5229" customFormat="1" ht="21" customHeight="1" thickBot="1">
      <c r="A355" s="9345"/>
      <c r="B355" s="9366" t="s">
        <v>14803</v>
      </c>
      <c r="C355" s="9367"/>
      <c r="D355" s="9367"/>
      <c r="E355" s="9368"/>
      <c r="F355" s="5230"/>
      <c r="G355" s="9345"/>
      <c r="H355" s="9366" t="s">
        <v>14803</v>
      </c>
      <c r="I355" s="9367"/>
      <c r="J355" s="9367"/>
      <c r="K355" s="9367"/>
      <c r="L355" s="5607"/>
      <c r="M355" s="5607"/>
      <c r="N355" s="5676"/>
      <c r="O355" s="5444"/>
      <c r="P355" s="5444"/>
      <c r="Q355" s="5444"/>
      <c r="R355" s="716"/>
      <c r="S355" s="716"/>
      <c r="T355" s="716"/>
      <c r="U355" s="716"/>
      <c r="V355" s="716"/>
      <c r="W355" s="716"/>
      <c r="X355" s="716"/>
      <c r="Y355" s="716"/>
      <c r="Z355" s="716"/>
      <c r="AA355" s="2730">
        <v>1</v>
      </c>
    </row>
    <row r="356" spans="1:27" s="5229" customFormat="1" ht="21" customHeight="1" thickBot="1">
      <c r="A356" s="5230"/>
      <c r="B356" s="5444"/>
      <c r="C356" s="5444"/>
      <c r="D356" s="5444"/>
      <c r="E356" s="5444"/>
      <c r="F356" s="5444"/>
      <c r="G356" s="5444"/>
      <c r="H356" s="5444"/>
      <c r="I356" s="5444"/>
      <c r="J356" s="5444"/>
      <c r="K356" s="5444"/>
      <c r="L356" s="5444"/>
      <c r="M356" s="5444"/>
      <c r="N356" s="5444"/>
      <c r="O356" s="5444"/>
      <c r="P356" s="5444"/>
      <c r="Q356" s="5444"/>
      <c r="R356" s="716"/>
      <c r="S356" s="716"/>
      <c r="T356" s="716"/>
      <c r="U356" s="716"/>
      <c r="V356" s="716"/>
      <c r="W356" s="716"/>
      <c r="X356" s="716"/>
      <c r="Y356" s="716"/>
      <c r="Z356" s="716"/>
      <c r="AA356" s="2730">
        <v>1</v>
      </c>
    </row>
    <row r="357" spans="1:27" s="5229" customFormat="1" ht="21" customHeight="1">
      <c r="A357" s="5447" t="s">
        <v>67</v>
      </c>
      <c r="B357" s="9341" t="str">
        <f>B359</f>
        <v>Gélatine alimentaire</v>
      </c>
      <c r="C357" s="9342"/>
      <c r="D357" s="9342"/>
      <c r="E357" s="9342"/>
      <c r="F357" s="9342"/>
      <c r="G357" s="9342"/>
      <c r="H357" s="9342"/>
      <c r="I357" s="9342"/>
      <c r="J357" s="9342"/>
      <c r="K357" s="9342"/>
      <c r="L357" s="9342"/>
      <c r="M357" s="9342"/>
      <c r="N357" s="9343"/>
      <c r="O357" s="5230"/>
      <c r="P357" s="5230"/>
      <c r="Q357" s="5230"/>
      <c r="R357" s="716"/>
      <c r="S357" s="716"/>
      <c r="T357" s="716"/>
      <c r="U357" s="716"/>
      <c r="V357" s="716"/>
      <c r="W357" s="716"/>
      <c r="X357" s="716"/>
      <c r="Y357" s="716"/>
      <c r="Z357" s="716"/>
      <c r="AA357" s="2730">
        <v>1</v>
      </c>
    </row>
    <row r="358" spans="1:27" s="5229" customFormat="1" ht="21" customHeight="1">
      <c r="A358" s="9344" t="str">
        <f>B359</f>
        <v>Gélatine alimentaire</v>
      </c>
      <c r="B358" s="5375" t="str">
        <f>ADDRESS(ROW(),COLUMN(),4)</f>
        <v>B358</v>
      </c>
      <c r="C358" s="5929" t="s">
        <v>14788</v>
      </c>
      <c r="D358" s="5930"/>
      <c r="E358" s="5930"/>
      <c r="F358" s="5930"/>
      <c r="G358" s="5930"/>
      <c r="H358" s="5930"/>
      <c r="I358" s="5930"/>
      <c r="J358" s="5930"/>
      <c r="K358" s="5930"/>
      <c r="L358" s="5930"/>
      <c r="M358" s="5930"/>
      <c r="N358" s="5931"/>
      <c r="O358" s="5230"/>
      <c r="P358" s="5230"/>
      <c r="Q358" s="5230"/>
      <c r="R358" s="716"/>
      <c r="S358" s="716"/>
      <c r="T358" s="716"/>
      <c r="U358" s="716"/>
      <c r="V358" s="716"/>
      <c r="W358" s="716"/>
      <c r="X358" s="716"/>
      <c r="Y358" s="716"/>
      <c r="Z358" s="716"/>
      <c r="AA358" s="2730">
        <v>1</v>
      </c>
    </row>
    <row r="359" spans="1:27" s="5229" customFormat="1" ht="21" customHeight="1">
      <c r="A359" s="9345"/>
      <c r="B359" s="9346" t="s">
        <v>1524</v>
      </c>
      <c r="C359" s="9347"/>
      <c r="D359" s="9347"/>
      <c r="E359" s="9347"/>
      <c r="F359" s="9347"/>
      <c r="G359" s="9347"/>
      <c r="H359" s="9347"/>
      <c r="I359" s="9347"/>
      <c r="J359" s="9347"/>
      <c r="K359" s="9347"/>
      <c r="L359" s="9347"/>
      <c r="M359" s="9347"/>
      <c r="N359" s="9348"/>
      <c r="O359" s="5230"/>
      <c r="P359" s="5230"/>
      <c r="Q359" s="5230"/>
      <c r="R359" s="716"/>
      <c r="S359" s="716"/>
      <c r="T359" s="716"/>
      <c r="U359" s="716"/>
      <c r="V359" s="716"/>
      <c r="W359" s="716"/>
      <c r="X359" s="716"/>
      <c r="Y359" s="716"/>
      <c r="Z359" s="716"/>
      <c r="AA359" s="2730">
        <v>1</v>
      </c>
    </row>
    <row r="360" spans="1:27" s="5229" customFormat="1" ht="21" customHeight="1">
      <c r="A360" s="9345"/>
      <c r="B360" s="9346"/>
      <c r="C360" s="9347"/>
      <c r="D360" s="9347"/>
      <c r="E360" s="9347"/>
      <c r="F360" s="9347"/>
      <c r="G360" s="9347"/>
      <c r="H360" s="9347"/>
      <c r="I360" s="9347"/>
      <c r="J360" s="9347"/>
      <c r="K360" s="9347"/>
      <c r="L360" s="9347"/>
      <c r="M360" s="9347"/>
      <c r="N360" s="9348"/>
      <c r="O360" s="5230"/>
      <c r="P360" s="5230"/>
      <c r="Q360" s="5230"/>
      <c r="R360" s="716"/>
      <c r="S360" s="716"/>
      <c r="T360" s="716"/>
      <c r="U360" s="716"/>
      <c r="V360" s="716"/>
      <c r="W360" s="716"/>
      <c r="X360" s="716"/>
      <c r="Y360" s="716"/>
      <c r="Z360" s="716"/>
      <c r="AA360" s="2730">
        <v>1</v>
      </c>
    </row>
    <row r="361" spans="1:27" s="5229" customFormat="1" ht="21" customHeight="1">
      <c r="A361" s="9345"/>
      <c r="B361" s="8658" t="s">
        <v>1525</v>
      </c>
      <c r="C361" s="8659"/>
      <c r="D361" s="8659"/>
      <c r="E361" s="8659"/>
      <c r="F361" s="8659"/>
      <c r="G361" s="8659"/>
      <c r="H361" s="8659"/>
      <c r="I361" s="8659"/>
      <c r="J361" s="8659"/>
      <c r="K361" s="8659"/>
      <c r="L361" s="8659"/>
      <c r="M361" s="8659"/>
      <c r="N361" s="9349"/>
      <c r="O361" s="5230"/>
      <c r="P361" s="5230"/>
      <c r="Q361" s="5230"/>
      <c r="R361" s="716"/>
      <c r="S361" s="716"/>
      <c r="T361" s="716"/>
      <c r="U361" s="716"/>
      <c r="V361" s="716"/>
      <c r="W361" s="716"/>
      <c r="X361" s="716"/>
      <c r="Y361" s="716"/>
      <c r="Z361" s="716"/>
      <c r="AA361" s="2730">
        <v>1</v>
      </c>
    </row>
    <row r="362" spans="1:27" s="5229" customFormat="1" ht="21" customHeight="1">
      <c r="A362" s="9345"/>
      <c r="B362" s="9350"/>
      <c r="C362" s="9351"/>
      <c r="D362" s="9351"/>
      <c r="E362" s="9351"/>
      <c r="F362" s="9351"/>
      <c r="G362" s="9351"/>
      <c r="H362" s="9351"/>
      <c r="I362" s="9351"/>
      <c r="J362" s="9351"/>
      <c r="K362" s="9351"/>
      <c r="L362" s="9351"/>
      <c r="M362" s="9351"/>
      <c r="N362" s="9352"/>
      <c r="O362" s="5230"/>
      <c r="P362" s="5230"/>
      <c r="Q362" s="5230"/>
      <c r="R362" s="716"/>
      <c r="S362" s="716"/>
      <c r="T362" s="716"/>
      <c r="U362" s="716"/>
      <c r="V362" s="716"/>
      <c r="W362" s="716"/>
      <c r="X362" s="716"/>
      <c r="Y362" s="716"/>
      <c r="Z362" s="716"/>
      <c r="AA362" s="2730">
        <v>1</v>
      </c>
    </row>
    <row r="363" spans="1:27" s="5229" customFormat="1" ht="21" customHeight="1">
      <c r="A363" s="9345"/>
      <c r="B363" s="5932"/>
      <c r="C363" s="5933"/>
      <c r="D363" s="5933"/>
      <c r="E363" s="5933"/>
      <c r="F363" s="5933"/>
      <c r="G363" s="5933"/>
      <c r="H363" s="5933"/>
      <c r="I363" s="5933"/>
      <c r="J363" s="5933"/>
      <c r="K363" s="5933"/>
      <c r="L363" s="5933"/>
      <c r="M363" s="5933"/>
      <c r="N363" s="5934" t="s">
        <v>1526</v>
      </c>
      <c r="O363" s="5230"/>
      <c r="P363" s="5230"/>
      <c r="Q363" s="5230"/>
      <c r="R363" s="716"/>
      <c r="S363" s="716"/>
      <c r="T363" s="716"/>
      <c r="U363" s="716"/>
      <c r="V363" s="716"/>
      <c r="W363" s="716"/>
      <c r="X363" s="716"/>
      <c r="Y363" s="716"/>
      <c r="Z363" s="716"/>
      <c r="AA363" s="2730">
        <v>1</v>
      </c>
    </row>
    <row r="364" spans="1:27" s="5229" customFormat="1" ht="21" customHeight="1">
      <c r="A364" s="9345"/>
      <c r="B364" s="5932"/>
      <c r="C364" s="5935" t="s">
        <v>1527</v>
      </c>
      <c r="D364" s="5933"/>
      <c r="E364" s="5933"/>
      <c r="F364" s="5933"/>
      <c r="G364" s="5933"/>
      <c r="H364" s="5933"/>
      <c r="I364" s="5933"/>
      <c r="J364" s="5933"/>
      <c r="K364" s="5933"/>
      <c r="L364" s="5933"/>
      <c r="M364" s="5933"/>
      <c r="N364" s="5936"/>
      <c r="O364" s="5230"/>
      <c r="P364" s="5230"/>
      <c r="Q364" s="5230"/>
      <c r="R364" s="716"/>
      <c r="S364" s="716"/>
      <c r="T364" s="716"/>
      <c r="U364" s="716"/>
      <c r="V364" s="716"/>
      <c r="W364" s="716"/>
      <c r="X364" s="716"/>
      <c r="Y364" s="716"/>
      <c r="Z364" s="716"/>
      <c r="AA364" s="2730">
        <v>1</v>
      </c>
    </row>
    <row r="365" spans="1:27" s="5229" customFormat="1" ht="21" customHeight="1">
      <c r="A365" s="9345"/>
      <c r="B365" s="5932"/>
      <c r="C365" s="5935" t="s">
        <v>1528</v>
      </c>
      <c r="D365" s="5933"/>
      <c r="E365" s="5933"/>
      <c r="F365" s="5933"/>
      <c r="G365" s="5933"/>
      <c r="H365" s="5933"/>
      <c r="I365" s="5933"/>
      <c r="J365" s="5933"/>
      <c r="K365" s="5933"/>
      <c r="L365" s="5933"/>
      <c r="M365" s="5933"/>
      <c r="N365" s="5936"/>
      <c r="O365" s="5230"/>
      <c r="P365" s="5230"/>
      <c r="Q365" s="5230"/>
      <c r="R365" s="716"/>
      <c r="S365" s="716"/>
      <c r="T365" s="716"/>
      <c r="U365" s="716"/>
      <c r="V365" s="716"/>
      <c r="W365" s="716"/>
      <c r="X365" s="716"/>
      <c r="Y365" s="716"/>
      <c r="Z365" s="716"/>
      <c r="AA365" s="2730">
        <v>1</v>
      </c>
    </row>
    <row r="366" spans="1:27" s="5229" customFormat="1" ht="21" customHeight="1">
      <c r="A366" s="9345"/>
      <c r="B366" s="5932"/>
      <c r="C366" s="5935" t="s">
        <v>1529</v>
      </c>
      <c r="D366" s="5933"/>
      <c r="E366" s="5933"/>
      <c r="F366" s="5933"/>
      <c r="G366" s="5933"/>
      <c r="H366" s="5933"/>
      <c r="I366" s="5933"/>
      <c r="J366" s="5933"/>
      <c r="K366" s="5933"/>
      <c r="L366" s="5933"/>
      <c r="M366" s="5933"/>
      <c r="N366" s="5936"/>
      <c r="O366" s="5230"/>
      <c r="P366" s="5230"/>
      <c r="Q366" s="5230"/>
      <c r="R366" s="716"/>
      <c r="S366" s="716"/>
      <c r="T366" s="716"/>
      <c r="U366" s="716"/>
      <c r="V366" s="716"/>
      <c r="W366" s="716"/>
      <c r="X366" s="716"/>
      <c r="Y366" s="716"/>
      <c r="Z366" s="716"/>
      <c r="AA366" s="2730">
        <v>1</v>
      </c>
    </row>
    <row r="367" spans="1:27" s="5229" customFormat="1" ht="21" customHeight="1">
      <c r="A367" s="9345"/>
      <c r="B367" s="5932"/>
      <c r="C367" s="5935" t="s">
        <v>1530</v>
      </c>
      <c r="D367" s="5933"/>
      <c r="E367" s="5933"/>
      <c r="F367" s="5933"/>
      <c r="G367" s="5933"/>
      <c r="H367" s="5933"/>
      <c r="I367" s="5933"/>
      <c r="J367" s="5933"/>
      <c r="K367" s="5933"/>
      <c r="L367" s="5933"/>
      <c r="M367" s="5933"/>
      <c r="N367" s="5936"/>
      <c r="O367" s="5230"/>
      <c r="P367" s="5230"/>
      <c r="Q367" s="5230"/>
      <c r="R367" s="716"/>
      <c r="S367" s="716"/>
      <c r="T367" s="716"/>
      <c r="U367" s="716"/>
      <c r="V367" s="716"/>
      <c r="W367" s="716"/>
      <c r="X367" s="716"/>
      <c r="Y367" s="716"/>
      <c r="Z367" s="716"/>
      <c r="AA367" s="2730">
        <v>1</v>
      </c>
    </row>
    <row r="368" spans="1:27" s="5229" customFormat="1" ht="21" customHeight="1">
      <c r="A368" s="9345"/>
      <c r="B368" s="5932"/>
      <c r="C368" s="5935" t="s">
        <v>1531</v>
      </c>
      <c r="D368" s="5933"/>
      <c r="E368" s="5933"/>
      <c r="F368" s="5933"/>
      <c r="G368" s="5933"/>
      <c r="H368" s="5933"/>
      <c r="I368" s="5933"/>
      <c r="J368" s="5933"/>
      <c r="K368" s="5933"/>
      <c r="L368" s="5933"/>
      <c r="M368" s="5933"/>
      <c r="N368" s="5936"/>
      <c r="O368" s="5230"/>
      <c r="P368" s="5230"/>
      <c r="Q368" s="5230"/>
      <c r="R368" s="716"/>
      <c r="S368" s="716"/>
      <c r="T368" s="716"/>
      <c r="U368" s="716"/>
      <c r="V368" s="716"/>
      <c r="W368" s="716"/>
      <c r="X368" s="716"/>
      <c r="Y368" s="716"/>
      <c r="Z368" s="716"/>
      <c r="AA368" s="2730">
        <v>1</v>
      </c>
    </row>
    <row r="369" spans="1:27" s="5229" customFormat="1" ht="21" customHeight="1">
      <c r="A369" s="9345"/>
      <c r="B369" s="5932"/>
      <c r="C369" s="5935" t="s">
        <v>1532</v>
      </c>
      <c r="D369" s="5933"/>
      <c r="E369" s="5933"/>
      <c r="F369" s="5933"/>
      <c r="G369" s="5933"/>
      <c r="H369" s="5933"/>
      <c r="I369" s="5933"/>
      <c r="J369" s="5933"/>
      <c r="K369" s="5933"/>
      <c r="L369" s="5933"/>
      <c r="M369" s="5933"/>
      <c r="N369" s="5936"/>
      <c r="O369" s="5230"/>
      <c r="P369" s="5230"/>
      <c r="Q369" s="5230"/>
      <c r="R369" s="716"/>
      <c r="S369" s="716"/>
      <c r="T369" s="716"/>
      <c r="U369" s="716"/>
      <c r="V369" s="716"/>
      <c r="W369" s="716"/>
      <c r="X369" s="716"/>
      <c r="Y369" s="716"/>
      <c r="Z369" s="716"/>
      <c r="AA369" s="2730">
        <v>1</v>
      </c>
    </row>
    <row r="370" spans="1:27" s="5229" customFormat="1" ht="21" customHeight="1">
      <c r="A370" s="9345"/>
      <c r="B370" s="5932"/>
      <c r="C370" s="5935" t="s">
        <v>1533</v>
      </c>
      <c r="D370" s="5933"/>
      <c r="E370" s="5933"/>
      <c r="F370" s="5933"/>
      <c r="G370" s="5933"/>
      <c r="H370" s="5933"/>
      <c r="I370" s="5933"/>
      <c r="J370" s="5933"/>
      <c r="K370" s="5933"/>
      <c r="L370" s="5933"/>
      <c r="M370" s="5933"/>
      <c r="N370" s="5936"/>
      <c r="O370" s="5230"/>
      <c r="P370" s="5230"/>
      <c r="Q370" s="5230"/>
      <c r="R370" s="716"/>
      <c r="S370" s="716"/>
      <c r="T370" s="716"/>
      <c r="U370" s="716"/>
      <c r="V370" s="716"/>
      <c r="W370" s="716"/>
      <c r="X370" s="716"/>
      <c r="Y370" s="716"/>
      <c r="Z370" s="716"/>
      <c r="AA370" s="2730">
        <v>1</v>
      </c>
    </row>
    <row r="371" spans="1:27" s="5229" customFormat="1" ht="21" customHeight="1">
      <c r="A371" s="9345"/>
      <c r="B371" s="5932"/>
      <c r="C371" s="5933"/>
      <c r="D371" s="5933"/>
      <c r="E371" s="5933"/>
      <c r="F371" s="5933"/>
      <c r="G371" s="5933"/>
      <c r="H371" s="5933"/>
      <c r="I371" s="5933"/>
      <c r="J371" s="5933"/>
      <c r="K371" s="5933"/>
      <c r="L371" s="5933"/>
      <c r="M371" s="5933"/>
      <c r="N371" s="5936"/>
      <c r="O371" s="5230"/>
      <c r="P371" s="5230"/>
      <c r="Q371" s="5230"/>
      <c r="R371" s="716"/>
      <c r="S371" s="716"/>
      <c r="T371" s="716"/>
      <c r="U371" s="716"/>
      <c r="V371" s="716"/>
      <c r="W371" s="716"/>
      <c r="X371" s="716"/>
      <c r="Y371" s="716"/>
      <c r="Z371" s="716"/>
      <c r="AA371" s="2730">
        <v>1</v>
      </c>
    </row>
    <row r="372" spans="1:27" s="5229" customFormat="1" ht="21" customHeight="1">
      <c r="A372" s="9345"/>
      <c r="B372" s="5932"/>
      <c r="C372" s="9369" t="s">
        <v>1534</v>
      </c>
      <c r="D372" s="9370"/>
      <c r="E372" s="9370"/>
      <c r="F372" s="9370"/>
      <c r="G372" s="9370"/>
      <c r="H372" s="9370"/>
      <c r="I372" s="9370"/>
      <c r="J372" s="9370"/>
      <c r="K372" s="9370"/>
      <c r="L372" s="9370"/>
      <c r="M372" s="9371"/>
      <c r="N372" s="5936"/>
      <c r="O372" s="5230"/>
      <c r="P372" s="5230"/>
      <c r="Q372" s="5230"/>
      <c r="R372" s="716"/>
      <c r="S372" s="716"/>
      <c r="T372" s="716"/>
      <c r="U372" s="716"/>
      <c r="V372" s="716"/>
      <c r="W372" s="716"/>
      <c r="X372" s="716"/>
      <c r="Y372" s="716"/>
      <c r="Z372" s="716"/>
      <c r="AA372" s="2730">
        <v>1</v>
      </c>
    </row>
    <row r="373" spans="1:27" s="5229" customFormat="1" ht="21" customHeight="1">
      <c r="A373" s="9345"/>
      <c r="B373" s="5932"/>
      <c r="C373" s="5937"/>
      <c r="D373" s="5938"/>
      <c r="E373" s="5230"/>
      <c r="F373" s="5939" t="s">
        <v>66</v>
      </c>
      <c r="G373" s="5938"/>
      <c r="H373" s="9372" t="s">
        <v>14824</v>
      </c>
      <c r="I373" s="9372"/>
      <c r="J373" s="9372"/>
      <c r="K373" s="9372"/>
      <c r="L373" s="9372"/>
      <c r="M373" s="9373"/>
      <c r="N373" s="5936"/>
      <c r="O373" s="5230"/>
      <c r="P373" s="5230"/>
      <c r="Q373" s="5230"/>
      <c r="R373" s="716"/>
      <c r="S373" s="716"/>
      <c r="T373" s="716"/>
      <c r="U373" s="716"/>
      <c r="V373" s="716"/>
      <c r="W373" s="716"/>
      <c r="X373" s="716"/>
      <c r="Y373" s="716"/>
      <c r="Z373" s="716"/>
      <c r="AA373" s="2730">
        <v>1</v>
      </c>
    </row>
    <row r="374" spans="1:27" s="5229" customFormat="1" ht="21" customHeight="1">
      <c r="A374" s="9345"/>
      <c r="B374" s="5932"/>
      <c r="C374" s="5940" t="s">
        <v>81</v>
      </c>
      <c r="D374" s="9374" t="s">
        <v>1536</v>
      </c>
      <c r="E374" s="9374"/>
      <c r="F374" s="5941">
        <v>2</v>
      </c>
      <c r="G374" s="5942"/>
      <c r="H374" s="885" t="s">
        <v>14863</v>
      </c>
      <c r="I374" s="5942"/>
      <c r="J374" s="5942"/>
      <c r="K374" s="5943"/>
      <c r="L374" s="5943"/>
      <c r="M374" s="5944"/>
      <c r="N374" s="5936"/>
      <c r="O374" s="5230"/>
      <c r="P374" s="5230"/>
      <c r="Q374" s="5230"/>
      <c r="R374" s="716"/>
      <c r="S374" s="716"/>
      <c r="T374" s="716"/>
      <c r="U374" s="716"/>
      <c r="V374" s="716"/>
      <c r="W374" s="716"/>
      <c r="X374" s="716"/>
      <c r="Y374" s="716"/>
      <c r="Z374" s="716"/>
      <c r="AA374" s="2730">
        <v>1</v>
      </c>
    </row>
    <row r="375" spans="1:27" s="5229" customFormat="1" ht="21" customHeight="1">
      <c r="A375" s="9345"/>
      <c r="B375" s="5932"/>
      <c r="C375" s="5945">
        <v>10</v>
      </c>
      <c r="D375" s="5946" t="s">
        <v>126</v>
      </c>
      <c r="E375" s="5230"/>
      <c r="F375" s="5947">
        <f>C375*F374</f>
        <v>20</v>
      </c>
      <c r="G375" s="5948"/>
      <c r="H375" s="885" t="s">
        <v>1538</v>
      </c>
      <c r="I375" s="5942"/>
      <c r="J375" s="5942"/>
      <c r="K375" s="5943"/>
      <c r="L375" s="5943"/>
      <c r="M375" s="5944"/>
      <c r="N375" s="5936"/>
      <c r="O375" s="5230"/>
      <c r="P375" s="5230"/>
      <c r="Q375" s="5230"/>
      <c r="R375" s="716"/>
      <c r="S375" s="716"/>
      <c r="T375" s="716"/>
      <c r="U375" s="716"/>
      <c r="V375" s="716"/>
      <c r="W375" s="716"/>
      <c r="X375" s="716"/>
      <c r="Y375" s="716"/>
      <c r="Z375" s="716"/>
      <c r="AA375" s="2730">
        <v>1</v>
      </c>
    </row>
    <row r="376" spans="1:27" s="5229" customFormat="1" ht="21" customHeight="1">
      <c r="A376" s="9345"/>
      <c r="B376" s="5932"/>
      <c r="C376" s="5949"/>
      <c r="D376" s="5950"/>
      <c r="E376" s="5943"/>
      <c r="F376" s="5943"/>
      <c r="G376" s="5943"/>
      <c r="H376" s="885" t="s">
        <v>1540</v>
      </c>
      <c r="I376" s="5368"/>
      <c r="J376" s="5942"/>
      <c r="K376" s="5943"/>
      <c r="L376" s="5943"/>
      <c r="M376" s="5944"/>
      <c r="N376" s="5936"/>
      <c r="O376" s="5230"/>
      <c r="P376" s="5230"/>
      <c r="Q376" s="5230"/>
      <c r="R376" s="716"/>
      <c r="S376" s="716"/>
      <c r="T376" s="716"/>
      <c r="U376" s="716"/>
      <c r="V376" s="716"/>
      <c r="W376" s="716"/>
      <c r="X376" s="716"/>
      <c r="Y376" s="716"/>
      <c r="Z376" s="716"/>
      <c r="AA376" s="2730">
        <v>1</v>
      </c>
    </row>
    <row r="377" spans="1:27" s="5229" customFormat="1" ht="21" customHeight="1">
      <c r="A377" s="9345"/>
      <c r="B377" s="5932"/>
      <c r="C377" s="5940"/>
      <c r="D377" s="5951"/>
      <c r="E377" s="5943"/>
      <c r="F377" s="5943"/>
      <c r="G377" s="5943"/>
      <c r="H377" s="885"/>
      <c r="I377" s="5942"/>
      <c r="J377" s="5942"/>
      <c r="K377" s="5943"/>
      <c r="L377" s="5943"/>
      <c r="M377" s="5944"/>
      <c r="N377" s="5936"/>
      <c r="O377" s="5230"/>
      <c r="P377" s="5230"/>
      <c r="Q377" s="5230"/>
      <c r="R377" s="716"/>
      <c r="S377" s="716"/>
      <c r="T377" s="716"/>
      <c r="U377" s="716"/>
      <c r="V377" s="716"/>
      <c r="W377" s="716"/>
      <c r="X377" s="716"/>
      <c r="Y377" s="716"/>
      <c r="Z377" s="716"/>
      <c r="AA377" s="2730">
        <v>1</v>
      </c>
    </row>
    <row r="378" spans="1:27" s="5229" customFormat="1" ht="21" customHeight="1">
      <c r="A378" s="9345"/>
      <c r="B378" s="5932"/>
      <c r="C378" s="5952" t="s">
        <v>66</v>
      </c>
      <c r="D378" s="5953" t="s">
        <v>1541</v>
      </c>
      <c r="E378" s="5954"/>
      <c r="F378" s="5954"/>
      <c r="G378" s="5954"/>
      <c r="H378" s="5954"/>
      <c r="I378" s="5954"/>
      <c r="J378" s="5954"/>
      <c r="K378" s="5954"/>
      <c r="L378" s="5954"/>
      <c r="M378" s="5955"/>
      <c r="N378" s="5936"/>
      <c r="O378" s="5230"/>
      <c r="P378" s="5230"/>
      <c r="Q378" s="5230"/>
      <c r="R378" s="716"/>
      <c r="S378" s="716"/>
      <c r="T378" s="716"/>
      <c r="U378" s="716"/>
      <c r="V378" s="716"/>
      <c r="W378" s="716"/>
      <c r="X378" s="716"/>
      <c r="Y378" s="716"/>
      <c r="Z378" s="716"/>
      <c r="AA378" s="2730">
        <v>1</v>
      </c>
    </row>
    <row r="379" spans="1:27" s="5229" customFormat="1" ht="21" customHeight="1">
      <c r="A379" s="9345"/>
      <c r="B379" s="5932"/>
      <c r="C379" s="5956" t="s">
        <v>81</v>
      </c>
      <c r="D379" s="5957" t="s">
        <v>1542</v>
      </c>
      <c r="E379" s="5958"/>
      <c r="F379" s="5958"/>
      <c r="G379" s="5958"/>
      <c r="H379" s="5958"/>
      <c r="I379" s="5958"/>
      <c r="J379" s="5958"/>
      <c r="K379" s="5958"/>
      <c r="L379" s="5958"/>
      <c r="M379" s="5959"/>
      <c r="N379" s="5936"/>
      <c r="O379" s="5230"/>
      <c r="P379" s="5230"/>
      <c r="Q379" s="5230"/>
      <c r="R379" s="716"/>
      <c r="S379" s="716"/>
      <c r="T379" s="716"/>
      <c r="U379" s="716"/>
      <c r="V379" s="716"/>
      <c r="W379" s="716"/>
      <c r="X379" s="716"/>
      <c r="Y379" s="716"/>
      <c r="Z379" s="716"/>
      <c r="AA379" s="2730">
        <v>1</v>
      </c>
    </row>
    <row r="380" spans="1:27" s="5229" customFormat="1" ht="21" customHeight="1">
      <c r="A380" s="9345"/>
      <c r="B380" s="5960" t="str">
        <f ca="1">CELL("nomfichier",A376)</f>
        <v>D:\Données\1.UPRT\0-UPRT.fait\1-UPRT.FR-SITE-WEB\ff-fiches-fabrications\ff.fiches.fabrication.2023\UPRT.23.aout\[ff-20-CHARCUTERIE-michel-Mariette.BOUDIN.BLANC_-1.xlsx]aides cuisine</v>
      </c>
      <c r="C380" s="5933"/>
      <c r="D380" s="5933"/>
      <c r="E380" s="5933"/>
      <c r="F380" s="5933"/>
      <c r="G380" s="5933"/>
      <c r="H380" s="5933"/>
      <c r="I380" s="5933"/>
      <c r="J380" s="5933"/>
      <c r="K380" s="5933"/>
      <c r="L380" s="5933"/>
      <c r="M380" s="5933"/>
      <c r="N380" s="5936"/>
      <c r="O380" s="5230"/>
      <c r="P380" s="5230"/>
      <c r="Q380" s="5230"/>
      <c r="R380" s="716"/>
      <c r="S380" s="716"/>
      <c r="T380" s="716"/>
      <c r="U380" s="716"/>
      <c r="V380" s="716"/>
      <c r="W380" s="716"/>
      <c r="X380" s="716"/>
      <c r="Y380" s="716"/>
      <c r="Z380" s="716"/>
      <c r="AA380" s="2730">
        <v>1</v>
      </c>
    </row>
    <row r="381" spans="1:27" s="5229" customFormat="1" ht="21" customHeight="1">
      <c r="A381" s="9345"/>
      <c r="B381" s="9360" t="s">
        <v>1543</v>
      </c>
      <c r="C381" s="9361"/>
      <c r="D381" s="9361"/>
      <c r="E381" s="9361"/>
      <c r="F381" s="9361"/>
      <c r="G381" s="9361"/>
      <c r="H381" s="9361"/>
      <c r="I381" s="9361"/>
      <c r="J381" s="9361"/>
      <c r="K381" s="9361"/>
      <c r="L381" s="9361"/>
      <c r="M381" s="9361"/>
      <c r="N381" s="9362"/>
      <c r="O381" s="5230"/>
      <c r="P381" s="5230"/>
      <c r="Q381" s="5230"/>
      <c r="R381" s="716"/>
      <c r="S381" s="716"/>
      <c r="T381" s="716"/>
      <c r="U381" s="716"/>
      <c r="V381" s="716"/>
      <c r="W381" s="716"/>
      <c r="X381" s="716"/>
      <c r="Y381" s="716"/>
      <c r="Z381" s="716"/>
      <c r="AA381" s="2730">
        <v>1</v>
      </c>
    </row>
    <row r="382" spans="1:27" s="5229" customFormat="1" ht="21" customHeight="1" thickBot="1">
      <c r="A382" s="9345"/>
      <c r="B382" s="9363"/>
      <c r="C382" s="9364"/>
      <c r="D382" s="9364"/>
      <c r="E382" s="9364"/>
      <c r="F382" s="9364"/>
      <c r="G382" s="9364"/>
      <c r="H382" s="9364"/>
      <c r="I382" s="9364"/>
      <c r="J382" s="9364"/>
      <c r="K382" s="9364"/>
      <c r="L382" s="9364"/>
      <c r="M382" s="9364"/>
      <c r="N382" s="9365"/>
      <c r="O382" s="5230"/>
      <c r="P382" s="5230"/>
      <c r="Q382" s="5230"/>
      <c r="R382" s="716"/>
      <c r="S382" s="716"/>
      <c r="T382" s="716"/>
      <c r="U382" s="716"/>
      <c r="V382" s="716"/>
      <c r="W382" s="716"/>
      <c r="X382" s="716"/>
      <c r="Y382" s="716"/>
      <c r="Z382" s="716"/>
      <c r="AA382" s="2730">
        <v>1</v>
      </c>
    </row>
    <row r="383" spans="1:27" s="5229" customFormat="1" ht="21" customHeight="1" thickBot="1">
      <c r="B383" s="5230"/>
      <c r="C383" s="5230"/>
      <c r="D383" s="5230"/>
      <c r="E383" s="5230"/>
      <c r="F383" s="5230"/>
      <c r="G383" s="5230"/>
      <c r="H383" s="5230"/>
      <c r="I383" s="5230"/>
      <c r="J383" s="5230"/>
      <c r="K383" s="5230"/>
      <c r="L383" s="5230"/>
      <c r="M383" s="5230"/>
      <c r="N383" s="5230"/>
      <c r="O383" s="5230"/>
      <c r="P383" s="5230"/>
      <c r="Q383" s="5230"/>
      <c r="R383" s="716"/>
      <c r="S383" s="716"/>
      <c r="T383" s="716"/>
      <c r="U383" s="716"/>
      <c r="V383" s="716"/>
      <c r="W383" s="716"/>
      <c r="X383" s="716"/>
      <c r="Y383" s="716"/>
      <c r="Z383" s="716"/>
      <c r="AA383" s="2730">
        <v>1</v>
      </c>
    </row>
    <row r="384" spans="1:27" s="5229" customFormat="1" ht="21" customHeight="1">
      <c r="A384" s="5447" t="s">
        <v>67</v>
      </c>
      <c r="B384" s="9341" t="str">
        <f>B386</f>
        <v>ŒUFS poids et %</v>
      </c>
      <c r="C384" s="9342"/>
      <c r="D384" s="9342"/>
      <c r="E384" s="9342"/>
      <c r="F384" s="9342"/>
      <c r="G384" s="9342"/>
      <c r="H384" s="9342"/>
      <c r="I384" s="9342"/>
      <c r="J384" s="9342"/>
      <c r="K384" s="9342"/>
      <c r="L384" s="9342"/>
      <c r="M384" s="9342"/>
      <c r="N384" s="9343"/>
      <c r="O384" s="5230"/>
      <c r="P384" s="5230"/>
      <c r="Q384" s="5230"/>
      <c r="R384" s="716"/>
      <c r="S384" s="716"/>
      <c r="T384" s="716"/>
      <c r="U384" s="716"/>
      <c r="V384" s="716"/>
      <c r="W384" s="716"/>
      <c r="X384" s="716"/>
      <c r="Y384" s="716"/>
      <c r="Z384" s="716"/>
      <c r="AA384" s="2730">
        <v>1</v>
      </c>
    </row>
    <row r="385" spans="1:27" s="5229" customFormat="1" ht="21" customHeight="1">
      <c r="A385" s="9344" t="str">
        <f>B386</f>
        <v>ŒUFS poids et %</v>
      </c>
      <c r="B385" s="5375" t="str">
        <f>ADDRESS(ROW(),COLUMN(),4)</f>
        <v>B385</v>
      </c>
      <c r="C385" s="5929" t="s">
        <v>14788</v>
      </c>
      <c r="D385" s="5930"/>
      <c r="E385" s="5930"/>
      <c r="F385" s="5930"/>
      <c r="G385" s="5930"/>
      <c r="H385" s="5930"/>
      <c r="I385" s="5930"/>
      <c r="J385" s="5930"/>
      <c r="K385" s="5930"/>
      <c r="L385" s="5930"/>
      <c r="M385" s="5930"/>
      <c r="N385" s="5931"/>
      <c r="O385" s="5230"/>
      <c r="P385" s="5230"/>
      <c r="Q385" s="5230"/>
      <c r="R385" s="716"/>
      <c r="S385" s="716"/>
      <c r="T385" s="716"/>
      <c r="U385" s="716"/>
      <c r="V385" s="716"/>
      <c r="W385" s="716"/>
      <c r="X385" s="716"/>
      <c r="Y385" s="716"/>
      <c r="Z385" s="716"/>
      <c r="AA385" s="2730">
        <v>1</v>
      </c>
    </row>
    <row r="386" spans="1:27" s="5229" customFormat="1" ht="21" customHeight="1">
      <c r="A386" s="9345"/>
      <c r="B386" s="9346" t="s">
        <v>1544</v>
      </c>
      <c r="C386" s="9347"/>
      <c r="D386" s="9347"/>
      <c r="E386" s="9347"/>
      <c r="F386" s="9347"/>
      <c r="G386" s="9347"/>
      <c r="H386" s="9347"/>
      <c r="I386" s="9347"/>
      <c r="J386" s="9347"/>
      <c r="K386" s="9347"/>
      <c r="L386" s="9347"/>
      <c r="M386" s="9347"/>
      <c r="N386" s="9348"/>
      <c r="O386" s="5230"/>
      <c r="P386" s="5230"/>
      <c r="Q386" s="5230"/>
      <c r="R386" s="716"/>
      <c r="S386" s="716"/>
      <c r="T386" s="716"/>
      <c r="U386" s="716"/>
      <c r="V386" s="716"/>
      <c r="W386" s="716"/>
      <c r="X386" s="716"/>
      <c r="Y386" s="716"/>
      <c r="Z386" s="716"/>
      <c r="AA386" s="2730">
        <v>1</v>
      </c>
    </row>
    <row r="387" spans="1:27" s="5229" customFormat="1" ht="21" customHeight="1">
      <c r="A387" s="9345"/>
      <c r="B387" s="9346"/>
      <c r="C387" s="9347"/>
      <c r="D387" s="9347"/>
      <c r="E387" s="9347"/>
      <c r="F387" s="9347"/>
      <c r="G387" s="9347"/>
      <c r="H387" s="9347"/>
      <c r="I387" s="9347"/>
      <c r="J387" s="9347"/>
      <c r="K387" s="9347"/>
      <c r="L387" s="9347"/>
      <c r="M387" s="9347"/>
      <c r="N387" s="9348"/>
      <c r="O387" s="5230"/>
      <c r="P387" s="5230"/>
      <c r="Q387" s="5230"/>
      <c r="R387" s="716"/>
      <c r="S387" s="716"/>
      <c r="T387" s="716"/>
      <c r="U387" s="716"/>
      <c r="V387" s="716"/>
      <c r="W387" s="716"/>
      <c r="X387" s="716"/>
      <c r="Y387" s="716"/>
      <c r="Z387" s="716"/>
      <c r="AA387" s="2730">
        <v>1</v>
      </c>
    </row>
    <row r="388" spans="1:27" s="5229" customFormat="1" ht="21" customHeight="1">
      <c r="A388" s="9345"/>
      <c r="B388" s="8658" t="s">
        <v>271</v>
      </c>
      <c r="C388" s="8659"/>
      <c r="D388" s="8659"/>
      <c r="E388" s="8659"/>
      <c r="F388" s="8659"/>
      <c r="G388" s="8659"/>
      <c r="H388" s="8659"/>
      <c r="I388" s="8659"/>
      <c r="J388" s="8659"/>
      <c r="K388" s="8659"/>
      <c r="L388" s="8659"/>
      <c r="M388" s="8659"/>
      <c r="N388" s="9349"/>
      <c r="O388" s="5230"/>
      <c r="P388" s="5230"/>
      <c r="Q388" s="5230"/>
      <c r="R388" s="716"/>
      <c r="S388" s="716"/>
      <c r="T388" s="716"/>
      <c r="U388" s="716"/>
      <c r="V388" s="716"/>
      <c r="W388" s="716"/>
      <c r="X388" s="716"/>
      <c r="Y388" s="716"/>
      <c r="Z388" s="716"/>
      <c r="AA388" s="2730">
        <v>1</v>
      </c>
    </row>
    <row r="389" spans="1:27" s="5229" customFormat="1" ht="21" customHeight="1">
      <c r="A389" s="9345"/>
      <c r="B389" s="9350"/>
      <c r="C389" s="9351"/>
      <c r="D389" s="9351"/>
      <c r="E389" s="9351"/>
      <c r="F389" s="9351"/>
      <c r="G389" s="9351"/>
      <c r="H389" s="9351"/>
      <c r="I389" s="9351"/>
      <c r="J389" s="9351"/>
      <c r="K389" s="9351"/>
      <c r="L389" s="9351"/>
      <c r="M389" s="9351"/>
      <c r="N389" s="9352"/>
      <c r="O389" s="5230"/>
      <c r="P389" s="5230"/>
      <c r="Q389" s="5230"/>
      <c r="R389" s="716"/>
      <c r="S389" s="716"/>
      <c r="T389" s="716"/>
      <c r="U389" s="716"/>
      <c r="V389" s="716"/>
      <c r="W389" s="716"/>
      <c r="X389" s="716"/>
      <c r="Y389" s="716"/>
      <c r="Z389" s="716"/>
      <c r="AA389" s="2730">
        <v>1</v>
      </c>
    </row>
    <row r="390" spans="1:27" s="5229" customFormat="1" ht="21" customHeight="1">
      <c r="A390" s="9345"/>
      <c r="B390" s="9353" t="s">
        <v>1544</v>
      </c>
      <c r="C390" s="9354"/>
      <c r="D390" s="9354"/>
      <c r="E390" s="9354"/>
      <c r="F390" s="9354"/>
      <c r="G390" s="9354"/>
      <c r="H390" s="9354"/>
      <c r="I390" s="9354"/>
      <c r="J390" s="9354"/>
      <c r="K390" s="9354"/>
      <c r="L390" s="9354"/>
      <c r="M390" s="9354"/>
      <c r="N390" s="9355"/>
      <c r="O390" s="5230"/>
      <c r="P390" s="5230"/>
      <c r="Q390" s="5230"/>
      <c r="R390" s="716"/>
      <c r="S390" s="716"/>
      <c r="T390" s="716"/>
      <c r="U390" s="716"/>
      <c r="V390" s="716"/>
      <c r="W390" s="716"/>
      <c r="X390" s="716"/>
      <c r="Y390" s="716"/>
      <c r="Z390" s="716"/>
      <c r="AA390" s="2730">
        <v>1</v>
      </c>
    </row>
    <row r="391" spans="1:27" s="5229" customFormat="1" ht="21" customHeight="1">
      <c r="A391" s="9345"/>
      <c r="B391" s="5961" t="s">
        <v>81</v>
      </c>
      <c r="C391" s="5962"/>
      <c r="D391" s="5963" t="s">
        <v>66</v>
      </c>
      <c r="E391" s="5962"/>
      <c r="F391" s="5962"/>
      <c r="G391" s="5964" t="s">
        <v>81</v>
      </c>
      <c r="H391" s="5962"/>
      <c r="I391" s="5963" t="s">
        <v>66</v>
      </c>
      <c r="J391" s="5962"/>
      <c r="K391" s="5964" t="s">
        <v>81</v>
      </c>
      <c r="L391" s="5962"/>
      <c r="M391" s="5963" t="s">
        <v>66</v>
      </c>
      <c r="N391" s="5965"/>
      <c r="O391" s="5230"/>
      <c r="P391" s="5230"/>
      <c r="Q391" s="5230"/>
      <c r="R391" s="716"/>
      <c r="S391" s="716"/>
      <c r="T391" s="716"/>
      <c r="U391" s="716"/>
      <c r="V391" s="716"/>
      <c r="W391" s="716"/>
      <c r="X391" s="716"/>
      <c r="Y391" s="716"/>
      <c r="Z391" s="716"/>
      <c r="AA391" s="2730">
        <v>1</v>
      </c>
    </row>
    <row r="392" spans="1:27" s="5229" customFormat="1" ht="21" customHeight="1">
      <c r="A392" s="9345"/>
      <c r="B392" s="9356" t="s">
        <v>1545</v>
      </c>
      <c r="C392" s="9357"/>
      <c r="D392" s="5966">
        <v>50</v>
      </c>
      <c r="E392" s="5967">
        <v>1</v>
      </c>
      <c r="F392" s="5968"/>
      <c r="G392" s="9358" t="s">
        <v>1546</v>
      </c>
      <c r="H392" s="9359"/>
      <c r="I392" s="5966">
        <v>20</v>
      </c>
      <c r="J392" s="5969">
        <f>I392/D392</f>
        <v>0.4</v>
      </c>
      <c r="K392" s="9358" t="s">
        <v>1547</v>
      </c>
      <c r="L392" s="9359"/>
      <c r="M392" s="5966">
        <v>30</v>
      </c>
      <c r="N392" s="5970">
        <f>M392/D392</f>
        <v>0.6</v>
      </c>
      <c r="O392" s="5230"/>
      <c r="P392" s="5230"/>
      <c r="Q392" s="5230"/>
      <c r="R392" s="716"/>
      <c r="S392" s="716"/>
      <c r="T392" s="716"/>
      <c r="U392" s="716"/>
      <c r="V392" s="716"/>
      <c r="W392" s="716"/>
      <c r="X392" s="716"/>
      <c r="Y392" s="716"/>
      <c r="Z392" s="716"/>
      <c r="AA392" s="2730">
        <v>1</v>
      </c>
    </row>
    <row r="393" spans="1:27" s="5229" customFormat="1" ht="21" customHeight="1">
      <c r="A393" s="9345"/>
      <c r="B393" s="5971">
        <v>4</v>
      </c>
      <c r="C393" s="5972" t="s">
        <v>1548</v>
      </c>
      <c r="D393" s="5972">
        <f>B393*D392</f>
        <v>200</v>
      </c>
      <c r="E393" s="5946" t="s">
        <v>39</v>
      </c>
      <c r="F393" s="5230"/>
      <c r="G393" s="5971">
        <v>10</v>
      </c>
      <c r="H393" s="5972" t="s">
        <v>1549</v>
      </c>
      <c r="I393" s="5972">
        <f>G393*I392</f>
        <v>200</v>
      </c>
      <c r="J393" s="5946" t="s">
        <v>39</v>
      </c>
      <c r="K393" s="5971">
        <v>12</v>
      </c>
      <c r="L393" s="5972" t="s">
        <v>1550</v>
      </c>
      <c r="M393" s="5972">
        <f>K393*M392</f>
        <v>360</v>
      </c>
      <c r="N393" s="5973" t="s">
        <v>39</v>
      </c>
      <c r="O393" s="5230"/>
      <c r="P393" s="5230"/>
      <c r="Q393" s="5230"/>
      <c r="R393" s="716"/>
      <c r="S393" s="716"/>
      <c r="T393" s="716"/>
      <c r="U393" s="716"/>
      <c r="V393" s="716"/>
      <c r="W393" s="716"/>
      <c r="X393" s="716"/>
      <c r="Y393" s="716"/>
      <c r="Z393" s="716"/>
      <c r="AA393" s="2730">
        <v>1</v>
      </c>
    </row>
    <row r="394" spans="1:27" s="5229" customFormat="1" ht="21" customHeight="1">
      <c r="A394" s="9345"/>
      <c r="B394" s="5974" t="s">
        <v>61</v>
      </c>
      <c r="C394" s="5975" t="s">
        <v>1551</v>
      </c>
      <c r="D394" s="5975" t="s">
        <v>1552</v>
      </c>
      <c r="E394" s="5975" t="s">
        <v>1553</v>
      </c>
      <c r="F394" s="5230"/>
      <c r="G394" s="5974" t="s">
        <v>61</v>
      </c>
      <c r="H394" s="5975" t="s">
        <v>1551</v>
      </c>
      <c r="I394" s="5975" t="s">
        <v>1552</v>
      </c>
      <c r="J394" s="5975" t="s">
        <v>1553</v>
      </c>
      <c r="K394" s="5974" t="s">
        <v>61</v>
      </c>
      <c r="L394" s="5975" t="s">
        <v>1551</v>
      </c>
      <c r="M394" s="5975" t="s">
        <v>1552</v>
      </c>
      <c r="N394" s="5976" t="s">
        <v>1553</v>
      </c>
      <c r="O394" s="5230"/>
      <c r="P394" s="5230"/>
      <c r="Q394" s="5230"/>
      <c r="R394" s="716"/>
      <c r="S394" s="716"/>
      <c r="T394" s="716"/>
      <c r="U394" s="716"/>
      <c r="V394" s="716"/>
      <c r="W394" s="716"/>
      <c r="X394" s="716"/>
      <c r="Y394" s="716"/>
      <c r="Z394" s="716"/>
      <c r="AA394" s="2730">
        <v>1</v>
      </c>
    </row>
    <row r="395" spans="1:27" s="5229" customFormat="1" ht="21" customHeight="1">
      <c r="A395" s="9345"/>
      <c r="B395" s="5977">
        <f>D393</f>
        <v>200</v>
      </c>
      <c r="C395" s="5978">
        <f>B395*C396</f>
        <v>24.489795918367346</v>
      </c>
      <c r="D395" s="5978">
        <f>B395*D396</f>
        <v>22.448979591836736</v>
      </c>
      <c r="E395" s="5978">
        <f>B395*E396</f>
        <v>153.0612244897959</v>
      </c>
      <c r="F395" s="5230"/>
      <c r="G395" s="5977">
        <f>I393</f>
        <v>200</v>
      </c>
      <c r="H395" s="5979">
        <f>G395*H396</f>
        <v>34.4</v>
      </c>
      <c r="I395" s="5979">
        <f>G395*I396</f>
        <v>64.600000000000009</v>
      </c>
      <c r="J395" s="5979">
        <f>G395*J396</f>
        <v>101</v>
      </c>
      <c r="K395" s="5977">
        <f>M393</f>
        <v>360</v>
      </c>
      <c r="L395" s="5978">
        <f>K395*L396</f>
        <v>39.96</v>
      </c>
      <c r="M395" s="5978">
        <f>K395*M396</f>
        <v>0</v>
      </c>
      <c r="N395" s="5980">
        <f>K395*N396</f>
        <v>320</v>
      </c>
      <c r="O395" s="5230"/>
      <c r="P395" s="5230"/>
      <c r="Q395" s="5230"/>
      <c r="R395" s="716"/>
      <c r="S395" s="716"/>
      <c r="T395" s="716"/>
      <c r="U395" s="716"/>
      <c r="V395" s="716"/>
      <c r="W395" s="716"/>
      <c r="X395" s="716"/>
      <c r="Y395" s="716"/>
      <c r="Z395" s="716"/>
      <c r="AA395" s="2730">
        <v>1</v>
      </c>
    </row>
    <row r="396" spans="1:27" s="5229" customFormat="1" ht="21" customHeight="1">
      <c r="A396" s="9345"/>
      <c r="B396" s="5981">
        <f>C396+D396+E396</f>
        <v>1</v>
      </c>
      <c r="C396" s="5982">
        <v>0.12244897959183673</v>
      </c>
      <c r="D396" s="5982">
        <v>0.11224489795918367</v>
      </c>
      <c r="E396" s="5982">
        <v>0.76530612244897955</v>
      </c>
      <c r="F396" s="5230"/>
      <c r="G396" s="5981">
        <f>H396+I396+J396</f>
        <v>1</v>
      </c>
      <c r="H396" s="5982">
        <v>0.17199999999999999</v>
      </c>
      <c r="I396" s="5982">
        <v>0.32300000000000001</v>
      </c>
      <c r="J396" s="5982">
        <v>0.505</v>
      </c>
      <c r="K396" s="5981">
        <f>L396+M396+N396</f>
        <v>0.99988888888888894</v>
      </c>
      <c r="L396" s="5982">
        <v>0.111</v>
      </c>
      <c r="M396" s="5983">
        <v>0</v>
      </c>
      <c r="N396" s="5984">
        <v>0.88888888888888895</v>
      </c>
      <c r="O396" s="5230"/>
      <c r="P396" s="5230"/>
      <c r="Q396" s="5230"/>
      <c r="R396" s="716"/>
      <c r="S396" s="716"/>
      <c r="T396" s="716"/>
      <c r="U396" s="716"/>
      <c r="V396" s="716"/>
      <c r="W396" s="716"/>
      <c r="X396" s="716"/>
      <c r="Y396" s="716"/>
      <c r="Z396" s="716"/>
      <c r="AA396" s="2730">
        <v>1</v>
      </c>
    </row>
    <row r="397" spans="1:27" s="5229" customFormat="1" ht="21" customHeight="1">
      <c r="A397" s="9345"/>
      <c r="B397" s="5985"/>
      <c r="C397" s="5963" t="s">
        <v>66</v>
      </c>
      <c r="D397" s="5963" t="s">
        <v>66</v>
      </c>
      <c r="E397" s="5963" t="s">
        <v>66</v>
      </c>
      <c r="F397" s="5986"/>
      <c r="G397" s="5985"/>
      <c r="H397" s="5963" t="s">
        <v>66</v>
      </c>
      <c r="I397" s="5963" t="s">
        <v>66</v>
      </c>
      <c r="J397" s="5963" t="s">
        <v>66</v>
      </c>
      <c r="K397" s="5985"/>
      <c r="L397" s="5963" t="s">
        <v>66</v>
      </c>
      <c r="M397" s="5987"/>
      <c r="N397" s="5988" t="s">
        <v>66</v>
      </c>
      <c r="O397" s="5230"/>
      <c r="P397" s="5230"/>
      <c r="Q397" s="5230"/>
      <c r="R397" s="716"/>
      <c r="S397" s="716"/>
      <c r="T397" s="716"/>
      <c r="U397" s="716"/>
      <c r="V397" s="716"/>
      <c r="W397" s="716"/>
      <c r="X397" s="716"/>
      <c r="Y397" s="716"/>
      <c r="Z397" s="716"/>
      <c r="AA397" s="2730">
        <v>1</v>
      </c>
    </row>
    <row r="398" spans="1:27" s="5229" customFormat="1" ht="21" customHeight="1">
      <c r="A398" s="9345"/>
      <c r="B398" s="5989" t="s">
        <v>66</v>
      </c>
      <c r="C398" s="5990" t="s">
        <v>1554</v>
      </c>
      <c r="D398" s="5991"/>
      <c r="E398" s="5991"/>
      <c r="F398" s="5991"/>
      <c r="G398" s="5991"/>
      <c r="H398" s="5991"/>
      <c r="I398" s="5991"/>
      <c r="J398" s="5991"/>
      <c r="K398" s="5991"/>
      <c r="L398" s="5991"/>
      <c r="M398" s="5991"/>
      <c r="N398" s="5992"/>
      <c r="O398" s="5230"/>
      <c r="P398" s="5230"/>
      <c r="Q398" s="5230"/>
      <c r="R398" s="716"/>
      <c r="S398" s="716"/>
      <c r="T398" s="716"/>
      <c r="U398" s="716"/>
      <c r="V398" s="716"/>
      <c r="W398" s="716"/>
      <c r="X398" s="716"/>
      <c r="Y398" s="716"/>
      <c r="Z398" s="716"/>
      <c r="AA398" s="2730">
        <v>1</v>
      </c>
    </row>
    <row r="399" spans="1:27" s="5229" customFormat="1" ht="21" customHeight="1">
      <c r="A399" s="9345"/>
      <c r="B399" s="5993" t="s">
        <v>81</v>
      </c>
      <c r="C399" s="5994" t="s">
        <v>1555</v>
      </c>
      <c r="D399" s="5991"/>
      <c r="E399" s="5991"/>
      <c r="F399" s="5991"/>
      <c r="G399" s="5991"/>
      <c r="H399" s="5991"/>
      <c r="I399" s="5991"/>
      <c r="J399" s="5991"/>
      <c r="K399" s="5991"/>
      <c r="L399" s="5991"/>
      <c r="M399" s="5933"/>
      <c r="N399" s="5995" t="s">
        <v>1526</v>
      </c>
      <c r="O399" s="5230"/>
      <c r="P399" s="5230"/>
      <c r="Q399" s="5230"/>
      <c r="R399" s="716"/>
      <c r="S399" s="716"/>
      <c r="T399" s="716"/>
      <c r="U399" s="716"/>
      <c r="V399" s="716"/>
      <c r="W399" s="716"/>
      <c r="X399" s="716"/>
      <c r="Y399" s="716"/>
      <c r="Z399" s="716"/>
      <c r="AA399" s="2730">
        <v>1</v>
      </c>
    </row>
    <row r="400" spans="1:27" s="5229" customFormat="1" ht="21" customHeight="1">
      <c r="A400" s="9345"/>
      <c r="B400" s="5996"/>
      <c r="C400" s="5939"/>
      <c r="D400" s="5997" t="s">
        <v>1556</v>
      </c>
      <c r="E400" s="885" t="s">
        <v>1557</v>
      </c>
      <c r="F400" s="5230"/>
      <c r="G400" s="5983"/>
      <c r="H400" s="5939"/>
      <c r="I400" s="5939"/>
      <c r="J400" s="5939"/>
      <c r="K400" s="5991"/>
      <c r="L400" s="5991"/>
      <c r="M400" s="5933"/>
      <c r="N400" s="5992"/>
      <c r="O400" s="5230"/>
      <c r="P400" s="5230"/>
      <c r="Q400" s="5230"/>
      <c r="R400" s="716"/>
      <c r="S400" s="716"/>
      <c r="T400" s="716"/>
      <c r="U400" s="716"/>
      <c r="V400" s="716"/>
      <c r="W400" s="716"/>
      <c r="X400" s="716"/>
      <c r="Y400" s="716"/>
      <c r="Z400" s="716"/>
      <c r="AA400" s="2730">
        <v>1</v>
      </c>
    </row>
    <row r="401" spans="1:27" s="5229" customFormat="1" ht="21" customHeight="1">
      <c r="A401" s="9345"/>
      <c r="B401" s="9360" t="s">
        <v>1543</v>
      </c>
      <c r="C401" s="9361"/>
      <c r="D401" s="9361"/>
      <c r="E401" s="9361"/>
      <c r="F401" s="9361"/>
      <c r="G401" s="9361"/>
      <c r="H401" s="9361"/>
      <c r="I401" s="9361"/>
      <c r="J401" s="9361"/>
      <c r="K401" s="9361"/>
      <c r="L401" s="9361"/>
      <c r="M401" s="9361"/>
      <c r="N401" s="9362"/>
      <c r="O401" s="5230"/>
      <c r="P401" s="5230"/>
      <c r="Q401" s="5230"/>
      <c r="R401" s="716"/>
      <c r="S401" s="716"/>
      <c r="T401" s="716"/>
      <c r="U401" s="716"/>
      <c r="V401" s="716"/>
      <c r="W401" s="716"/>
      <c r="X401" s="716"/>
      <c r="Y401" s="716"/>
      <c r="Z401" s="716"/>
      <c r="AA401" s="2730">
        <v>1</v>
      </c>
    </row>
    <row r="402" spans="1:27" s="5229" customFormat="1" ht="21" customHeight="1" thickBot="1">
      <c r="A402" s="9345"/>
      <c r="B402" s="9363"/>
      <c r="C402" s="9364"/>
      <c r="D402" s="9364"/>
      <c r="E402" s="9364"/>
      <c r="F402" s="9364"/>
      <c r="G402" s="9364"/>
      <c r="H402" s="9364"/>
      <c r="I402" s="9364"/>
      <c r="J402" s="9364"/>
      <c r="K402" s="9364"/>
      <c r="L402" s="9364"/>
      <c r="M402" s="9364"/>
      <c r="N402" s="9365"/>
      <c r="O402" s="5230"/>
      <c r="P402" s="5230"/>
      <c r="Q402" s="5230"/>
      <c r="R402" s="716"/>
      <c r="S402" s="716"/>
      <c r="T402" s="716"/>
      <c r="U402" s="716"/>
      <c r="V402" s="716"/>
      <c r="W402" s="716"/>
      <c r="X402" s="716"/>
      <c r="Y402" s="716"/>
      <c r="Z402" s="716"/>
      <c r="AA402" s="2730">
        <v>1</v>
      </c>
    </row>
    <row r="403" spans="1:27" s="5229" customFormat="1" ht="21" customHeight="1" thickBot="1">
      <c r="A403" s="5230"/>
      <c r="B403" s="5444"/>
      <c r="C403" s="5444"/>
      <c r="D403" s="5444"/>
      <c r="E403" s="5444"/>
      <c r="F403" s="5444"/>
      <c r="G403" s="5444"/>
      <c r="H403" s="5444"/>
      <c r="I403" s="5444"/>
      <c r="J403" s="5444"/>
      <c r="K403" s="5444"/>
      <c r="L403" s="5444"/>
      <c r="M403" s="5444"/>
      <c r="N403" s="5444"/>
      <c r="O403" s="5444"/>
      <c r="P403" s="5444"/>
      <c r="Q403" s="5444"/>
      <c r="R403" s="716"/>
      <c r="S403" s="716"/>
      <c r="T403" s="716"/>
      <c r="U403" s="716"/>
      <c r="V403" s="716"/>
      <c r="W403" s="716"/>
      <c r="X403" s="716"/>
      <c r="Y403" s="716"/>
      <c r="Z403" s="716"/>
      <c r="AA403" s="2730">
        <v>1</v>
      </c>
    </row>
    <row r="404" spans="1:27" s="5229" customFormat="1" ht="21" customHeight="1">
      <c r="A404" s="5447" t="s">
        <v>67</v>
      </c>
      <c r="B404" s="9328" t="s">
        <v>226</v>
      </c>
      <c r="C404" s="9329"/>
      <c r="D404" s="9329"/>
      <c r="E404" s="9329"/>
      <c r="F404" s="9329"/>
      <c r="G404" s="9329"/>
      <c r="H404" s="9329"/>
      <c r="I404" s="9329"/>
      <c r="J404" s="9329"/>
      <c r="K404" s="9330"/>
      <c r="L404" s="5230"/>
      <c r="M404" s="5230"/>
      <c r="N404" s="5230"/>
      <c r="O404" s="5230"/>
      <c r="P404" s="5230"/>
      <c r="Q404" s="5230"/>
      <c r="R404" s="716"/>
      <c r="S404" s="716"/>
      <c r="T404" s="716"/>
      <c r="U404" s="716"/>
      <c r="V404" s="716"/>
      <c r="W404" s="716"/>
      <c r="X404" s="716"/>
      <c r="Y404" s="716"/>
      <c r="Z404" s="716"/>
      <c r="AA404" s="2730">
        <v>1</v>
      </c>
    </row>
    <row r="405" spans="1:27" s="5229" customFormat="1" ht="21" customHeight="1">
      <c r="A405" s="9262" t="str">
        <f>B404</f>
        <v>Composition d'une garniture "COUSCOUS"</v>
      </c>
      <c r="B405" s="5375" t="str">
        <f>ADDRESS(ROW(),COLUMN(),4)</f>
        <v>B405</v>
      </c>
      <c r="C405" s="5929" t="s">
        <v>14788</v>
      </c>
      <c r="D405" s="5251"/>
      <c r="E405" s="5251"/>
      <c r="F405" s="5251"/>
      <c r="G405" s="5251"/>
      <c r="H405" s="5251"/>
      <c r="I405" s="5251"/>
      <c r="J405" s="5251"/>
      <c r="K405" s="5252"/>
      <c r="L405" s="5230"/>
      <c r="M405" s="5230"/>
      <c r="N405" s="5230"/>
      <c r="O405" s="5230"/>
      <c r="P405" s="5230"/>
      <c r="Q405" s="5230"/>
      <c r="R405" s="716"/>
      <c r="S405" s="716"/>
      <c r="T405" s="716"/>
      <c r="U405" s="716"/>
      <c r="V405" s="716"/>
      <c r="W405" s="716"/>
      <c r="X405" s="716"/>
      <c r="Y405" s="716"/>
      <c r="Z405" s="716"/>
      <c r="AA405" s="2730">
        <v>1</v>
      </c>
    </row>
    <row r="406" spans="1:27" s="5229" customFormat="1" ht="21" customHeight="1">
      <c r="A406" s="9262"/>
      <c r="B406" s="9331" t="s">
        <v>227</v>
      </c>
      <c r="C406" s="9332"/>
      <c r="D406" s="9332"/>
      <c r="E406" s="5998">
        <v>1</v>
      </c>
      <c r="F406" s="5999">
        <f>E406</f>
        <v>1</v>
      </c>
      <c r="G406" s="9333" t="s">
        <v>45</v>
      </c>
      <c r="H406" s="9333"/>
      <c r="I406" s="6000" t="s">
        <v>228</v>
      </c>
      <c r="J406" s="9334" t="s">
        <v>46</v>
      </c>
      <c r="K406" s="9335"/>
      <c r="L406" s="5230"/>
      <c r="M406" s="5230"/>
      <c r="N406" s="5230"/>
      <c r="O406" s="5230"/>
      <c r="P406" s="5230"/>
      <c r="Q406" s="5230"/>
      <c r="R406" s="716"/>
      <c r="S406" s="716"/>
      <c r="T406" s="716"/>
      <c r="U406" s="716"/>
      <c r="V406" s="716"/>
      <c r="W406" s="716"/>
      <c r="X406" s="716"/>
      <c r="Y406" s="716"/>
      <c r="Z406" s="716"/>
      <c r="AA406" s="2730">
        <v>1</v>
      </c>
    </row>
    <row r="407" spans="1:27" s="5229" customFormat="1" ht="21" customHeight="1">
      <c r="A407" s="9262"/>
      <c r="B407" s="9315" t="s">
        <v>229</v>
      </c>
      <c r="C407" s="9316"/>
      <c r="D407" s="9316"/>
      <c r="E407" s="6001">
        <v>25</v>
      </c>
      <c r="F407" s="5999">
        <f>F406</f>
        <v>1</v>
      </c>
      <c r="G407" s="9317">
        <f t="shared" ref="G407:G413" si="4">(F407*E407)/100</f>
        <v>0.25</v>
      </c>
      <c r="H407" s="9317"/>
      <c r="I407" s="6002">
        <v>20</v>
      </c>
      <c r="J407" s="9318">
        <f t="shared" ref="J407:J413" si="5">G407/(100-I407)*100</f>
        <v>0.3125</v>
      </c>
      <c r="K407" s="9319"/>
      <c r="L407" s="5230"/>
      <c r="M407" s="5230"/>
      <c r="N407" s="5230"/>
      <c r="O407" s="5230"/>
      <c r="P407" s="5230"/>
      <c r="Q407" s="5230"/>
      <c r="R407" s="716"/>
      <c r="S407" s="716"/>
      <c r="T407" s="716"/>
      <c r="U407" s="716"/>
      <c r="V407" s="716"/>
      <c r="W407" s="716"/>
      <c r="X407" s="716"/>
      <c r="Y407" s="716"/>
      <c r="Z407" s="716"/>
      <c r="AA407" s="2730">
        <v>1</v>
      </c>
    </row>
    <row r="408" spans="1:27" s="5229" customFormat="1" ht="21" customHeight="1">
      <c r="A408" s="9262"/>
      <c r="B408" s="9315" t="s">
        <v>230</v>
      </c>
      <c r="C408" s="9316"/>
      <c r="D408" s="9316"/>
      <c r="E408" s="6001">
        <v>20</v>
      </c>
      <c r="F408" s="5999">
        <f>F406</f>
        <v>1</v>
      </c>
      <c r="G408" s="9317">
        <f t="shared" si="4"/>
        <v>0.2</v>
      </c>
      <c r="H408" s="9317"/>
      <c r="I408" s="6002">
        <v>25</v>
      </c>
      <c r="J408" s="9318">
        <f t="shared" si="5"/>
        <v>0.26666666666666672</v>
      </c>
      <c r="K408" s="9319"/>
      <c r="L408" s="5230"/>
      <c r="M408" s="5230"/>
      <c r="N408" s="5230"/>
      <c r="O408" s="5230"/>
      <c r="P408" s="5230"/>
      <c r="Q408" s="5230"/>
      <c r="R408" s="716"/>
      <c r="S408" s="716"/>
      <c r="T408" s="716"/>
      <c r="U408" s="716"/>
      <c r="V408" s="716"/>
      <c r="W408" s="716"/>
      <c r="X408" s="716"/>
      <c r="Y408" s="716"/>
      <c r="Z408" s="716"/>
      <c r="AA408" s="2730">
        <v>1</v>
      </c>
    </row>
    <row r="409" spans="1:27" s="5229" customFormat="1" ht="21" customHeight="1">
      <c r="A409" s="9262"/>
      <c r="B409" s="9315" t="s">
        <v>231</v>
      </c>
      <c r="C409" s="9316"/>
      <c r="D409" s="9316"/>
      <c r="E409" s="6001">
        <v>15</v>
      </c>
      <c r="F409" s="5999">
        <f>F406</f>
        <v>1</v>
      </c>
      <c r="G409" s="9317">
        <f t="shared" si="4"/>
        <v>0.15</v>
      </c>
      <c r="H409" s="9317"/>
      <c r="I409" s="6002">
        <v>20</v>
      </c>
      <c r="J409" s="9318">
        <f t="shared" si="5"/>
        <v>0.1875</v>
      </c>
      <c r="K409" s="9319"/>
      <c r="L409" s="5230"/>
      <c r="M409" s="5230"/>
      <c r="N409" s="5230"/>
      <c r="O409" s="5230"/>
      <c r="P409" s="5230"/>
      <c r="Q409" s="5230"/>
      <c r="R409" s="716"/>
      <c r="S409" s="716"/>
      <c r="T409" s="716"/>
      <c r="U409" s="716"/>
      <c r="V409" s="716"/>
      <c r="W409" s="716"/>
      <c r="X409" s="716"/>
      <c r="Y409" s="716"/>
      <c r="Z409" s="716"/>
      <c r="AA409" s="2730">
        <v>1</v>
      </c>
    </row>
    <row r="410" spans="1:27" s="5229" customFormat="1" ht="21" customHeight="1">
      <c r="A410" s="9262"/>
      <c r="B410" s="9315" t="s">
        <v>232</v>
      </c>
      <c r="C410" s="9316"/>
      <c r="D410" s="9316"/>
      <c r="E410" s="6001">
        <v>15</v>
      </c>
      <c r="F410" s="5999">
        <f>F406</f>
        <v>1</v>
      </c>
      <c r="G410" s="9317">
        <f t="shared" si="4"/>
        <v>0.15</v>
      </c>
      <c r="H410" s="9317"/>
      <c r="I410" s="6002">
        <v>0</v>
      </c>
      <c r="J410" s="9318">
        <f t="shared" si="5"/>
        <v>0.15</v>
      </c>
      <c r="K410" s="9319"/>
      <c r="L410" s="5230"/>
      <c r="M410" s="5230"/>
      <c r="N410" s="5230"/>
      <c r="O410" s="5230"/>
      <c r="P410" s="5230"/>
      <c r="Q410" s="5230"/>
      <c r="R410" s="716"/>
      <c r="S410" s="716"/>
      <c r="T410" s="716"/>
      <c r="U410" s="716"/>
      <c r="V410" s="716"/>
      <c r="W410" s="716"/>
      <c r="X410" s="716"/>
      <c r="Y410" s="716"/>
      <c r="Z410" s="716"/>
      <c r="AA410" s="2730">
        <v>1</v>
      </c>
    </row>
    <row r="411" spans="1:27" s="5229" customFormat="1" ht="21" customHeight="1">
      <c r="A411" s="9262"/>
      <c r="B411" s="9315" t="s">
        <v>233</v>
      </c>
      <c r="C411" s="9316"/>
      <c r="D411" s="9316"/>
      <c r="E411" s="6001">
        <v>10</v>
      </c>
      <c r="F411" s="5999">
        <f>F406</f>
        <v>1</v>
      </c>
      <c r="G411" s="9317">
        <f t="shared" si="4"/>
        <v>0.1</v>
      </c>
      <c r="H411" s="9317"/>
      <c r="I411" s="6002">
        <v>20</v>
      </c>
      <c r="J411" s="9318">
        <f t="shared" si="5"/>
        <v>0.125</v>
      </c>
      <c r="K411" s="9319"/>
      <c r="L411" s="5230"/>
      <c r="M411" s="5230"/>
      <c r="N411" s="5230"/>
      <c r="O411" s="5230"/>
      <c r="P411" s="5230"/>
      <c r="Q411" s="5230"/>
      <c r="R411" s="716"/>
      <c r="S411" s="716"/>
      <c r="T411" s="716"/>
      <c r="U411" s="716"/>
      <c r="V411" s="716"/>
      <c r="W411" s="716"/>
      <c r="X411" s="716"/>
      <c r="Y411" s="716"/>
      <c r="Z411" s="716"/>
      <c r="AA411" s="2730">
        <v>1</v>
      </c>
    </row>
    <row r="412" spans="1:27" s="5229" customFormat="1" ht="21" customHeight="1">
      <c r="A412" s="9262"/>
      <c r="B412" s="9315" t="s">
        <v>234</v>
      </c>
      <c r="C412" s="9316"/>
      <c r="D412" s="9316"/>
      <c r="E412" s="6001">
        <v>7.5</v>
      </c>
      <c r="F412" s="5999">
        <f>F406</f>
        <v>1</v>
      </c>
      <c r="G412" s="9317">
        <f t="shared" si="4"/>
        <v>7.4999999999999997E-2</v>
      </c>
      <c r="H412" s="9317"/>
      <c r="I412" s="6002">
        <v>20</v>
      </c>
      <c r="J412" s="9318">
        <f t="shared" si="5"/>
        <v>9.375E-2</v>
      </c>
      <c r="K412" s="9319"/>
      <c r="L412" s="5230"/>
      <c r="M412" s="5230"/>
      <c r="N412" s="5230"/>
      <c r="O412" s="5230"/>
      <c r="P412" s="5230"/>
      <c r="Q412" s="5230"/>
      <c r="R412" s="716"/>
      <c r="S412" s="716"/>
      <c r="T412" s="716"/>
      <c r="U412" s="716"/>
      <c r="V412" s="716"/>
      <c r="W412" s="716"/>
      <c r="X412" s="716"/>
      <c r="Y412" s="716"/>
      <c r="Z412" s="716"/>
      <c r="AA412" s="2730">
        <v>1</v>
      </c>
    </row>
    <row r="413" spans="1:27" s="5229" customFormat="1" ht="21" customHeight="1">
      <c r="A413" s="9262"/>
      <c r="B413" s="9315" t="s">
        <v>235</v>
      </c>
      <c r="C413" s="9316"/>
      <c r="D413" s="9316"/>
      <c r="E413" s="6001">
        <v>7.5</v>
      </c>
      <c r="F413" s="5999">
        <f>F406</f>
        <v>1</v>
      </c>
      <c r="G413" s="9317">
        <f t="shared" si="4"/>
        <v>7.4999999999999997E-2</v>
      </c>
      <c r="H413" s="9317"/>
      <c r="I413" s="6002">
        <v>20</v>
      </c>
      <c r="J413" s="9318">
        <f t="shared" si="5"/>
        <v>9.375E-2</v>
      </c>
      <c r="K413" s="9319"/>
      <c r="L413" s="5230"/>
      <c r="M413" s="5230"/>
      <c r="N413" s="5230"/>
      <c r="O413" s="5230"/>
      <c r="P413" s="5230"/>
      <c r="Q413" s="5230"/>
      <c r="R413" s="716"/>
      <c r="S413" s="716"/>
      <c r="T413" s="716"/>
      <c r="U413" s="716"/>
      <c r="V413" s="716"/>
      <c r="W413" s="716"/>
      <c r="X413" s="716"/>
      <c r="Y413" s="716"/>
      <c r="Z413" s="716"/>
      <c r="AA413" s="2730">
        <v>1</v>
      </c>
    </row>
    <row r="414" spans="1:27" s="5229" customFormat="1" ht="21" customHeight="1">
      <c r="A414" s="9262"/>
      <c r="B414" s="9336" t="s">
        <v>20</v>
      </c>
      <c r="C414" s="9337"/>
      <c r="D414" s="9337"/>
      <c r="E414" s="6003">
        <f>SUM(E407:E413)</f>
        <v>100</v>
      </c>
      <c r="F414" s="6004"/>
      <c r="G414" s="5942"/>
      <c r="H414" s="5444"/>
      <c r="I414" s="5942"/>
      <c r="J414" s="5942"/>
      <c r="K414" s="6005"/>
      <c r="L414" s="5230"/>
      <c r="M414" s="5230"/>
      <c r="N414" s="5230"/>
      <c r="O414" s="5230"/>
      <c r="P414" s="5230"/>
      <c r="Q414" s="5230"/>
      <c r="R414" s="716"/>
      <c r="S414" s="716"/>
      <c r="T414" s="716"/>
      <c r="U414" s="716"/>
      <c r="V414" s="716"/>
      <c r="W414" s="716"/>
      <c r="X414" s="716"/>
      <c r="Y414" s="716"/>
      <c r="Z414" s="716"/>
      <c r="AA414" s="2730">
        <v>1</v>
      </c>
    </row>
    <row r="415" spans="1:27" s="5229" customFormat="1" ht="21" customHeight="1">
      <c r="A415" s="9262"/>
      <c r="B415" s="6006"/>
      <c r="C415" s="5986"/>
      <c r="D415" s="5986"/>
      <c r="E415" s="6007"/>
      <c r="F415" s="6008" t="str">
        <f>SUBSTITUTE(ADDRESS(1,COLUMN(),4),"1","")</f>
        <v>F</v>
      </c>
      <c r="G415" s="6009" t="s">
        <v>225</v>
      </c>
      <c r="H415" s="6009"/>
      <c r="I415" s="6010"/>
      <c r="J415" s="6010"/>
      <c r="K415" s="6011"/>
      <c r="L415" s="5230"/>
      <c r="M415" s="5230"/>
      <c r="N415" s="5230"/>
      <c r="O415" s="5230"/>
      <c r="P415" s="5230"/>
      <c r="Q415" s="5230"/>
      <c r="R415" s="716"/>
      <c r="S415" s="716"/>
      <c r="T415" s="716"/>
      <c r="U415" s="716"/>
      <c r="V415" s="716"/>
      <c r="W415" s="716"/>
      <c r="X415" s="716"/>
      <c r="Y415" s="716"/>
      <c r="Z415" s="716"/>
      <c r="AA415" s="2730">
        <v>1</v>
      </c>
    </row>
    <row r="416" spans="1:27" s="5229" customFormat="1" ht="21" customHeight="1" thickBot="1">
      <c r="A416" s="9262"/>
      <c r="B416" s="9338" t="s">
        <v>237</v>
      </c>
      <c r="C416" s="9339"/>
      <c r="D416" s="9339"/>
      <c r="E416" s="9339"/>
      <c r="F416" s="9339"/>
      <c r="G416" s="9339"/>
      <c r="H416" s="9339"/>
      <c r="I416" s="9339"/>
      <c r="J416" s="9339"/>
      <c r="K416" s="9340"/>
      <c r="L416" s="5227"/>
      <c r="M416" s="5230"/>
      <c r="N416" s="5230"/>
      <c r="O416" s="5230"/>
      <c r="P416" s="5230"/>
      <c r="Q416" s="5230"/>
      <c r="R416" s="716"/>
      <c r="S416" s="716"/>
      <c r="T416" s="716"/>
      <c r="U416" s="716"/>
      <c r="V416" s="716"/>
      <c r="W416" s="716"/>
      <c r="X416" s="716"/>
      <c r="Y416" s="716"/>
      <c r="Z416" s="716"/>
      <c r="AA416" s="2730">
        <v>1</v>
      </c>
    </row>
    <row r="417" spans="1:27" s="5229" customFormat="1" ht="21" customHeight="1" thickBot="1">
      <c r="A417" s="5230"/>
      <c r="B417" s="5444"/>
      <c r="C417" s="5444"/>
      <c r="D417" s="5444"/>
      <c r="E417" s="5444"/>
      <c r="F417" s="5444"/>
      <c r="G417" s="5444"/>
      <c r="H417" s="5444"/>
      <c r="I417" s="5444"/>
      <c r="J417" s="5444"/>
      <c r="K417" s="5444"/>
      <c r="L417" s="5444"/>
      <c r="M417" s="5230"/>
      <c r="N417" s="5230"/>
      <c r="O417" s="5230"/>
      <c r="P417" s="5230"/>
      <c r="Q417" s="5230"/>
      <c r="R417" s="716"/>
      <c r="S417" s="716"/>
      <c r="T417" s="716"/>
      <c r="U417" s="716"/>
      <c r="V417" s="716"/>
      <c r="W417" s="716"/>
      <c r="X417" s="716"/>
      <c r="Y417" s="716"/>
      <c r="Z417" s="716"/>
      <c r="AA417" s="2730">
        <v>1</v>
      </c>
    </row>
    <row r="418" spans="1:27" s="5229" customFormat="1" ht="21" customHeight="1">
      <c r="A418" s="5447" t="s">
        <v>67</v>
      </c>
      <c r="B418" s="9312" t="s">
        <v>236</v>
      </c>
      <c r="C418" s="9313"/>
      <c r="D418" s="9313"/>
      <c r="E418" s="9313"/>
      <c r="F418" s="9313"/>
      <c r="G418" s="9313"/>
      <c r="H418" s="9313"/>
      <c r="I418" s="9313"/>
      <c r="J418" s="9313"/>
      <c r="K418" s="9314"/>
      <c r="L418" s="5444"/>
      <c r="M418" s="5230"/>
      <c r="N418" s="5230"/>
      <c r="O418" s="5230"/>
      <c r="P418" s="5230"/>
      <c r="Q418" s="5230"/>
      <c r="R418" s="716"/>
      <c r="S418" s="716"/>
      <c r="T418" s="716"/>
      <c r="U418" s="716"/>
      <c r="V418" s="716"/>
      <c r="W418" s="716"/>
      <c r="X418" s="716"/>
      <c r="Y418" s="716"/>
      <c r="Z418" s="716"/>
      <c r="AA418" s="2730">
        <v>1</v>
      </c>
    </row>
    <row r="419" spans="1:27" s="5229" customFormat="1" ht="21" customHeight="1">
      <c r="A419" s="9262" t="str">
        <f>B418</f>
        <v>COMPOSITION ET SERVICE D'UN PLAT COMPLET</v>
      </c>
      <c r="B419" s="5375" t="str">
        <f>ADDRESS(ROW(),COLUMN(),4)</f>
        <v>B419</v>
      </c>
      <c r="C419" s="5929" t="s">
        <v>14788</v>
      </c>
      <c r="D419" s="5930"/>
      <c r="E419" s="5930"/>
      <c r="F419" s="5930"/>
      <c r="G419" s="5930"/>
      <c r="H419" s="5930"/>
      <c r="I419" s="5930"/>
      <c r="J419" s="5930"/>
      <c r="K419" s="5931"/>
      <c r="L419" s="5444"/>
      <c r="M419" s="5230"/>
      <c r="N419" s="5230"/>
      <c r="O419" s="5230"/>
      <c r="P419" s="5230"/>
      <c r="Q419" s="5230"/>
      <c r="R419" s="716"/>
      <c r="S419" s="716"/>
      <c r="T419" s="716"/>
      <c r="U419" s="716"/>
      <c r="V419" s="716"/>
      <c r="W419" s="716"/>
      <c r="X419" s="716"/>
      <c r="Y419" s="716"/>
      <c r="Z419" s="716"/>
      <c r="AA419" s="2730">
        <v>1</v>
      </c>
    </row>
    <row r="420" spans="1:27" s="5229" customFormat="1" ht="21" customHeight="1">
      <c r="A420" s="9262"/>
      <c r="B420" s="9320" t="s">
        <v>237</v>
      </c>
      <c r="C420" s="8596"/>
      <c r="D420" s="8596"/>
      <c r="E420" s="8596"/>
      <c r="F420" s="8596"/>
      <c r="G420" s="8596"/>
      <c r="H420" s="8596"/>
      <c r="I420" s="8596"/>
      <c r="J420" s="8596"/>
      <c r="K420" s="9321"/>
      <c r="L420" s="5444"/>
      <c r="M420" s="5230"/>
      <c r="N420" s="5230"/>
      <c r="O420" s="5230"/>
      <c r="P420" s="5230"/>
      <c r="Q420" s="5230"/>
      <c r="R420" s="716"/>
      <c r="S420" s="716"/>
      <c r="T420" s="716"/>
      <c r="U420" s="716"/>
      <c r="V420" s="716"/>
      <c r="W420" s="716"/>
      <c r="X420" s="716"/>
      <c r="Y420" s="716"/>
      <c r="Z420" s="716"/>
      <c r="AA420" s="2730">
        <v>1</v>
      </c>
    </row>
    <row r="421" spans="1:27" s="5229" customFormat="1" ht="21" customHeight="1">
      <c r="A421" s="9262"/>
      <c r="B421" s="8598" t="s">
        <v>238</v>
      </c>
      <c r="C421" s="8599"/>
      <c r="D421" s="8599"/>
      <c r="E421" s="8599"/>
      <c r="F421" s="8599"/>
      <c r="G421" s="8599"/>
      <c r="H421" s="8599"/>
      <c r="I421" s="8599"/>
      <c r="J421" s="8599"/>
      <c r="K421" s="9322"/>
      <c r="L421" s="5444"/>
      <c r="M421" s="5230"/>
      <c r="N421" s="5230"/>
      <c r="O421" s="5230"/>
      <c r="P421" s="5230"/>
      <c r="Q421" s="5230"/>
      <c r="R421" s="716"/>
      <c r="S421" s="716"/>
      <c r="T421" s="716"/>
      <c r="U421" s="716"/>
      <c r="V421" s="716"/>
      <c r="W421" s="716"/>
      <c r="X421" s="716"/>
      <c r="Y421" s="716"/>
      <c r="Z421" s="716"/>
      <c r="AA421" s="2730">
        <v>1</v>
      </c>
    </row>
    <row r="422" spans="1:27" s="5229" customFormat="1" ht="21" customHeight="1">
      <c r="A422" s="9262"/>
      <c r="B422" s="8601" t="str">
        <f ca="1">CELL("nomfichier")</f>
        <v>D:\Données\1.UPRT\0-UPRT.fait\1-UPRT.FR-SITE-WEB\ff-fiches-fabrications\ff.fiches.fabrication.2023\UPRT.23.aout\[ff-20-CHARCUTERIE-michel-Mariette.BOUDIN.BLANC_-1.xlsx]Exemples Michel Mariette</v>
      </c>
      <c r="C422" s="8602"/>
      <c r="D422" s="8602"/>
      <c r="E422" s="8602"/>
      <c r="F422" s="8602"/>
      <c r="G422" s="8602"/>
      <c r="H422" s="8602"/>
      <c r="I422" s="8602"/>
      <c r="J422" s="8602"/>
      <c r="K422" s="9323"/>
      <c r="L422" s="5444"/>
      <c r="M422" s="5230"/>
      <c r="N422" s="5230"/>
      <c r="O422" s="5230"/>
      <c r="P422" s="5230"/>
      <c r="Q422" s="5230"/>
      <c r="R422" s="716"/>
      <c r="S422" s="716"/>
      <c r="T422" s="716"/>
      <c r="U422" s="716"/>
      <c r="V422" s="716"/>
      <c r="W422" s="716"/>
      <c r="X422" s="716"/>
      <c r="Y422" s="716"/>
      <c r="Z422" s="716"/>
      <c r="AA422" s="2730">
        <v>1</v>
      </c>
    </row>
    <row r="423" spans="1:27" s="5229" customFormat="1" ht="21" customHeight="1">
      <c r="A423" s="9262"/>
      <c r="B423" s="8604" t="s">
        <v>239</v>
      </c>
      <c r="C423" s="8605"/>
      <c r="D423" s="8605"/>
      <c r="E423" s="8605"/>
      <c r="F423" s="8605"/>
      <c r="G423" s="8605"/>
      <c r="H423" s="8605"/>
      <c r="I423" s="8605"/>
      <c r="J423" s="8605"/>
      <c r="K423" s="9324"/>
      <c r="L423" s="5444"/>
      <c r="M423" s="5230"/>
      <c r="N423" s="5230"/>
      <c r="O423" s="5230"/>
      <c r="P423" s="5230"/>
      <c r="Q423" s="5230"/>
      <c r="R423" s="716"/>
      <c r="S423" s="716"/>
      <c r="T423" s="716"/>
      <c r="U423" s="716"/>
      <c r="V423" s="716"/>
      <c r="W423" s="716"/>
      <c r="X423" s="716"/>
      <c r="Y423" s="716"/>
      <c r="Z423" s="716"/>
      <c r="AA423" s="2730">
        <v>1</v>
      </c>
    </row>
    <row r="424" spans="1:27" s="5229" customFormat="1" ht="21" customHeight="1">
      <c r="A424" s="9262"/>
      <c r="B424" s="5909"/>
      <c r="C424" s="95"/>
      <c r="D424" s="95" t="s">
        <v>240</v>
      </c>
      <c r="E424" s="5444"/>
      <c r="F424" s="96">
        <f ca="1">TODAY()</f>
        <v>46257</v>
      </c>
      <c r="G424" s="97"/>
      <c r="H424" s="98"/>
      <c r="I424" s="99">
        <f ca="1">NOW()</f>
        <v>46257.633905902781</v>
      </c>
      <c r="J424" s="99"/>
      <c r="K424" s="100"/>
      <c r="L424" s="5444"/>
      <c r="M424" s="5230"/>
      <c r="N424" s="5230"/>
      <c r="O424" s="5230"/>
      <c r="P424" s="5230"/>
      <c r="Q424" s="5230"/>
      <c r="R424" s="716"/>
      <c r="S424" s="716"/>
      <c r="T424" s="716"/>
      <c r="U424" s="716"/>
      <c r="V424" s="716"/>
      <c r="W424" s="716"/>
      <c r="X424" s="716"/>
      <c r="Y424" s="716"/>
      <c r="Z424" s="716"/>
      <c r="AA424" s="2730">
        <v>1</v>
      </c>
    </row>
    <row r="425" spans="1:27" s="5229" customFormat="1" ht="21" customHeight="1">
      <c r="A425" s="9262"/>
      <c r="B425" s="6012" t="s">
        <v>66</v>
      </c>
      <c r="C425" s="6013" t="s">
        <v>7116</v>
      </c>
      <c r="D425" s="5230"/>
      <c r="E425" s="5444"/>
      <c r="F425" s="5444"/>
      <c r="G425" s="5444"/>
      <c r="H425" s="6014"/>
      <c r="I425" s="6014"/>
      <c r="J425" s="6014"/>
      <c r="K425" s="6015"/>
      <c r="L425" s="5444"/>
      <c r="M425" s="5230"/>
      <c r="N425" s="5230"/>
      <c r="O425" s="5230"/>
      <c r="P425" s="5230"/>
      <c r="Q425" s="5230"/>
      <c r="R425" s="716"/>
      <c r="S425" s="716"/>
      <c r="T425" s="716"/>
      <c r="U425" s="716"/>
      <c r="V425" s="716"/>
      <c r="W425" s="716"/>
      <c r="X425" s="716"/>
      <c r="Y425" s="716"/>
      <c r="Z425" s="716"/>
      <c r="AA425" s="2730">
        <v>1</v>
      </c>
    </row>
    <row r="426" spans="1:27" s="5229" customFormat="1" ht="21" customHeight="1">
      <c r="A426" s="9262"/>
      <c r="B426" s="5361"/>
      <c r="C426" s="6016" t="s">
        <v>214</v>
      </c>
      <c r="D426" s="6017" t="s">
        <v>215</v>
      </c>
      <c r="E426" s="6017" t="s">
        <v>216</v>
      </c>
      <c r="F426" s="6017" t="s">
        <v>201</v>
      </c>
      <c r="G426" s="6018" t="s">
        <v>243</v>
      </c>
      <c r="H426" s="9325" t="s">
        <v>242</v>
      </c>
      <c r="I426" s="9325"/>
      <c r="J426" s="9325"/>
      <c r="K426" s="6019"/>
      <c r="L426" s="5444"/>
      <c r="M426" s="5230"/>
      <c r="N426" s="5230"/>
      <c r="O426" s="5230"/>
      <c r="P426" s="5230"/>
      <c r="Q426" s="5230"/>
      <c r="R426" s="716"/>
      <c r="S426" s="716"/>
      <c r="T426" s="716"/>
      <c r="U426" s="716"/>
      <c r="V426" s="716"/>
      <c r="W426" s="716"/>
      <c r="X426" s="716"/>
      <c r="Y426" s="716"/>
      <c r="Z426" s="716"/>
      <c r="AA426" s="2730">
        <v>1</v>
      </c>
    </row>
    <row r="427" spans="1:27" s="5229" customFormat="1" ht="21" customHeight="1">
      <c r="A427" s="9262"/>
      <c r="B427" s="5361"/>
      <c r="C427" s="6020">
        <v>550</v>
      </c>
      <c r="D427" s="6020">
        <v>920</v>
      </c>
      <c r="E427" s="6020">
        <v>340</v>
      </c>
      <c r="F427" s="6020">
        <v>150</v>
      </c>
      <c r="G427" s="6020">
        <v>210</v>
      </c>
      <c r="H427" s="9326" t="s">
        <v>244</v>
      </c>
      <c r="I427" s="9326"/>
      <c r="J427" s="9326"/>
      <c r="K427" s="6022">
        <f>SUM(C427:J427)</f>
        <v>2170</v>
      </c>
      <c r="L427" s="5444"/>
      <c r="M427" s="5230"/>
      <c r="N427" s="5230"/>
      <c r="O427" s="5230"/>
      <c r="P427" s="5230"/>
      <c r="Q427" s="5230"/>
      <c r="R427" s="716"/>
      <c r="S427" s="716"/>
      <c r="T427" s="716"/>
      <c r="U427" s="716"/>
      <c r="V427" s="716"/>
      <c r="W427" s="716"/>
      <c r="X427" s="716"/>
      <c r="Y427" s="716"/>
      <c r="Z427" s="716"/>
      <c r="AA427" s="2730">
        <v>1</v>
      </c>
    </row>
    <row r="428" spans="1:27" s="5229" customFormat="1" ht="21" customHeight="1">
      <c r="A428" s="9262"/>
      <c r="B428" s="6023"/>
      <c r="C428" s="6024"/>
      <c r="D428" s="6024"/>
      <c r="E428" s="6024"/>
      <c r="F428" s="6024"/>
      <c r="G428" s="6024"/>
      <c r="H428" s="6021"/>
      <c r="I428" s="6021"/>
      <c r="J428" s="6021"/>
      <c r="K428" s="6022"/>
      <c r="L428" s="5444"/>
      <c r="M428" s="5230"/>
      <c r="N428" s="5230"/>
      <c r="O428" s="5230"/>
      <c r="P428" s="5230"/>
      <c r="Q428" s="5230"/>
      <c r="R428" s="716"/>
      <c r="S428" s="716"/>
      <c r="T428" s="716"/>
      <c r="U428" s="716"/>
      <c r="V428" s="716"/>
      <c r="W428" s="716"/>
      <c r="X428" s="716"/>
      <c r="Y428" s="716"/>
      <c r="Z428" s="716"/>
      <c r="AA428" s="2730">
        <v>1</v>
      </c>
    </row>
    <row r="429" spans="1:27" s="5229" customFormat="1" ht="21" customHeight="1">
      <c r="A429" s="9262"/>
      <c r="B429" s="6012" t="s">
        <v>81</v>
      </c>
      <c r="C429" s="6013" t="s">
        <v>245</v>
      </c>
      <c r="D429" s="6024"/>
      <c r="E429" s="6024"/>
      <c r="F429" s="6024"/>
      <c r="G429" s="6024"/>
      <c r="H429" s="6021"/>
      <c r="I429" s="6021"/>
      <c r="J429" s="6021"/>
      <c r="K429" s="6025"/>
      <c r="L429" s="5444"/>
      <c r="M429" s="5230"/>
      <c r="N429" s="5230"/>
      <c r="O429" s="5230"/>
      <c r="P429" s="5230"/>
      <c r="Q429" s="5230"/>
      <c r="R429" s="716"/>
      <c r="S429" s="716"/>
      <c r="T429" s="716"/>
      <c r="U429" s="716"/>
      <c r="V429" s="716"/>
      <c r="W429" s="716"/>
      <c r="X429" s="716"/>
      <c r="Y429" s="716"/>
      <c r="Z429" s="716"/>
      <c r="AA429" s="2730">
        <v>1</v>
      </c>
    </row>
    <row r="430" spans="1:27" s="5229" customFormat="1" ht="21" customHeight="1">
      <c r="A430" s="9262"/>
      <c r="B430" s="6023"/>
      <c r="C430" s="5230"/>
      <c r="D430" s="5230"/>
      <c r="E430" s="5230"/>
      <c r="F430" s="5230"/>
      <c r="G430" s="5230"/>
      <c r="H430" s="6026"/>
      <c r="I430" s="5230"/>
      <c r="J430" s="5444"/>
      <c r="K430" s="5362"/>
      <c r="L430" s="5444"/>
      <c r="M430" s="5230"/>
      <c r="N430" s="5230"/>
      <c r="O430" s="5230"/>
      <c r="P430" s="5230"/>
      <c r="Q430" s="5230"/>
      <c r="R430" s="716"/>
      <c r="S430" s="716"/>
      <c r="T430" s="716"/>
      <c r="U430" s="716"/>
      <c r="V430" s="716"/>
      <c r="W430" s="716"/>
      <c r="X430" s="716"/>
      <c r="Y430" s="716"/>
      <c r="Z430" s="716"/>
      <c r="AA430" s="2730">
        <v>1</v>
      </c>
    </row>
    <row r="431" spans="1:27" s="5229" customFormat="1" ht="21" customHeight="1">
      <c r="A431" s="9262"/>
      <c r="B431" s="6023"/>
      <c r="C431" s="6027">
        <v>0</v>
      </c>
      <c r="D431" s="6027">
        <v>1</v>
      </c>
      <c r="E431" s="6027">
        <v>1</v>
      </c>
      <c r="F431" s="6027">
        <v>0</v>
      </c>
      <c r="G431" s="6027">
        <v>1</v>
      </c>
      <c r="H431" s="9327" t="s">
        <v>246</v>
      </c>
      <c r="I431" s="9327"/>
      <c r="J431" s="9327"/>
      <c r="K431" s="6028">
        <f>(C431*C427)+(D431*D427)+(E431*E427)+(F431*F427)+(G431*G427)</f>
        <v>1470</v>
      </c>
      <c r="L431" s="5444"/>
      <c r="M431" s="5230"/>
      <c r="N431" s="5230"/>
      <c r="O431" s="5230"/>
      <c r="P431" s="5230"/>
      <c r="Q431" s="5230"/>
      <c r="R431" s="716"/>
      <c r="S431" s="716"/>
      <c r="T431" s="716"/>
      <c r="U431" s="716"/>
      <c r="V431" s="716"/>
      <c r="W431" s="716"/>
      <c r="X431" s="716"/>
      <c r="Y431" s="716"/>
      <c r="Z431" s="716"/>
      <c r="AA431" s="2730">
        <v>1</v>
      </c>
    </row>
    <row r="432" spans="1:27" s="5229" customFormat="1" ht="21" customHeight="1">
      <c r="A432" s="9262"/>
      <c r="B432" s="6023"/>
      <c r="C432" s="6027">
        <v>1</v>
      </c>
      <c r="D432" s="6027">
        <v>0</v>
      </c>
      <c r="E432" s="6027">
        <v>0</v>
      </c>
      <c r="F432" s="6027">
        <v>2</v>
      </c>
      <c r="G432" s="6027">
        <v>0</v>
      </c>
      <c r="H432" s="9327" t="s">
        <v>247</v>
      </c>
      <c r="I432" s="9327"/>
      <c r="J432" s="9327"/>
      <c r="K432" s="6028">
        <f>(C432*C427)+(D432*D427)+(E432*E427)+(F432*F427)+(G432*G427)</f>
        <v>850</v>
      </c>
      <c r="L432" s="5444"/>
      <c r="M432" s="5230"/>
      <c r="N432" s="5230"/>
      <c r="O432" s="5230"/>
      <c r="P432" s="5230"/>
      <c r="Q432" s="5230"/>
      <c r="R432" s="716"/>
      <c r="S432" s="716"/>
      <c r="T432" s="716"/>
      <c r="U432" s="716"/>
      <c r="V432" s="716"/>
      <c r="W432" s="716"/>
      <c r="X432" s="716"/>
      <c r="Y432" s="716"/>
      <c r="Z432" s="716"/>
      <c r="AA432" s="2730">
        <v>1</v>
      </c>
    </row>
    <row r="433" spans="1:27" s="5229" customFormat="1" ht="21" customHeight="1">
      <c r="A433" s="9262"/>
      <c r="B433" s="6023"/>
      <c r="C433" s="6029">
        <v>0.5</v>
      </c>
      <c r="D433" s="6027">
        <v>1</v>
      </c>
      <c r="E433" s="6027">
        <v>1</v>
      </c>
      <c r="F433" s="6027">
        <v>1</v>
      </c>
      <c r="G433" s="6027">
        <v>1</v>
      </c>
      <c r="H433" s="9327" t="s">
        <v>248</v>
      </c>
      <c r="I433" s="9327"/>
      <c r="J433" s="9327"/>
      <c r="K433" s="6028">
        <f>(C433*C427)+(D433*D427)+(E433*E427)+(F433*F427)+(G433*G427)</f>
        <v>1895</v>
      </c>
      <c r="L433" s="5444"/>
      <c r="M433" s="5230"/>
      <c r="N433" s="5230"/>
      <c r="O433" s="5230"/>
      <c r="P433" s="5230"/>
      <c r="Q433" s="5230"/>
      <c r="R433" s="716"/>
      <c r="S433" s="716"/>
      <c r="T433" s="716"/>
      <c r="U433" s="716"/>
      <c r="V433" s="716"/>
      <c r="W433" s="716"/>
      <c r="X433" s="716"/>
      <c r="Y433" s="716"/>
      <c r="Z433" s="716"/>
      <c r="AA433" s="2730">
        <v>1</v>
      </c>
    </row>
    <row r="434" spans="1:27" s="5229" customFormat="1" ht="21" customHeight="1">
      <c r="A434" s="9262"/>
      <c r="B434" s="6023"/>
      <c r="C434" s="6027">
        <v>0</v>
      </c>
      <c r="D434" s="6027">
        <v>0</v>
      </c>
      <c r="E434" s="6027">
        <v>2</v>
      </c>
      <c r="F434" s="6027">
        <v>2</v>
      </c>
      <c r="G434" s="6027">
        <v>1</v>
      </c>
      <c r="H434" s="9327" t="s">
        <v>249</v>
      </c>
      <c r="I434" s="9327"/>
      <c r="J434" s="9327"/>
      <c r="K434" s="6028">
        <f>(C434*C427)+(D434*D427)+(E434*E427)+(F434*F427)+(G434*G427)</f>
        <v>1190</v>
      </c>
      <c r="L434" s="5444"/>
      <c r="M434" s="5230"/>
      <c r="N434" s="5230"/>
      <c r="O434" s="5230"/>
      <c r="P434" s="5230"/>
      <c r="Q434" s="5230"/>
      <c r="R434" s="716"/>
      <c r="S434" s="716"/>
      <c r="T434" s="716"/>
      <c r="U434" s="716"/>
      <c r="V434" s="716"/>
      <c r="W434" s="716"/>
      <c r="X434" s="716"/>
      <c r="Y434" s="716"/>
      <c r="Z434" s="716"/>
      <c r="AA434" s="2730">
        <v>1</v>
      </c>
    </row>
    <row r="435" spans="1:27" s="5229" customFormat="1" ht="21" customHeight="1">
      <c r="A435" s="9262"/>
      <c r="B435" s="6023"/>
      <c r="C435" s="6027">
        <v>1</v>
      </c>
      <c r="D435" s="6027">
        <v>2</v>
      </c>
      <c r="E435" s="6027">
        <v>0</v>
      </c>
      <c r="F435" s="6027">
        <v>1</v>
      </c>
      <c r="G435" s="6027">
        <v>0</v>
      </c>
      <c r="H435" s="9327" t="s">
        <v>250</v>
      </c>
      <c r="I435" s="9327"/>
      <c r="J435" s="9327"/>
      <c r="K435" s="6028">
        <f>(C435*C427)+(D435*D427)+(E435*E427)+(F435*F427)+(G435*G427)</f>
        <v>2540</v>
      </c>
      <c r="L435" s="5444"/>
      <c r="M435" s="5230"/>
      <c r="N435" s="5230"/>
      <c r="O435" s="5230"/>
      <c r="P435" s="5230"/>
      <c r="Q435" s="5230"/>
      <c r="R435" s="716"/>
      <c r="S435" s="716"/>
      <c r="T435" s="716"/>
      <c r="U435" s="716"/>
      <c r="V435" s="716"/>
      <c r="W435" s="716"/>
      <c r="X435" s="716"/>
      <c r="Y435" s="716"/>
      <c r="Z435" s="716"/>
      <c r="AA435" s="2730">
        <v>1</v>
      </c>
    </row>
    <row r="436" spans="1:27" s="5229" customFormat="1" ht="21" customHeight="1">
      <c r="A436" s="9262"/>
      <c r="B436" s="6023"/>
      <c r="C436" s="6016" t="s">
        <v>214</v>
      </c>
      <c r="D436" s="6017" t="s">
        <v>215</v>
      </c>
      <c r="E436" s="6017" t="s">
        <v>216</v>
      </c>
      <c r="F436" s="6017" t="s">
        <v>201</v>
      </c>
      <c r="G436" s="6018" t="s">
        <v>243</v>
      </c>
      <c r="H436" s="6030"/>
      <c r="I436" s="5230"/>
      <c r="J436" s="5444"/>
      <c r="K436" s="6028"/>
      <c r="L436" s="5444"/>
      <c r="M436" s="5230"/>
      <c r="N436" s="5230"/>
      <c r="O436" s="5230"/>
      <c r="P436" s="5230"/>
      <c r="Q436" s="5230"/>
      <c r="R436" s="716"/>
      <c r="S436" s="716"/>
      <c r="T436" s="716"/>
      <c r="U436" s="716"/>
      <c r="V436" s="716"/>
      <c r="W436" s="716"/>
      <c r="X436" s="716"/>
      <c r="Y436" s="716"/>
      <c r="Z436" s="716"/>
      <c r="AA436" s="2730">
        <v>1</v>
      </c>
    </row>
    <row r="437" spans="1:27" s="5229" customFormat="1" ht="21" customHeight="1">
      <c r="A437" s="9262"/>
      <c r="B437" s="6023"/>
      <c r="C437" s="6031">
        <f>SUM(C431:C435)</f>
        <v>2.5</v>
      </c>
      <c r="D437" s="6031">
        <f>SUM(D431:D435)</f>
        <v>4</v>
      </c>
      <c r="E437" s="6031">
        <f>SUM(E431:E435)</f>
        <v>4</v>
      </c>
      <c r="F437" s="6031">
        <f>SUM(F431:F435)</f>
        <v>6</v>
      </c>
      <c r="G437" s="6031">
        <f>SUM(G431:G435)</f>
        <v>3</v>
      </c>
      <c r="H437" s="6032" t="s">
        <v>14864</v>
      </c>
      <c r="I437" s="5230"/>
      <c r="J437" s="5444"/>
      <c r="K437" s="6033"/>
      <c r="L437" s="5444"/>
      <c r="M437" s="5230"/>
      <c r="N437" s="5230"/>
      <c r="O437" s="5230"/>
      <c r="P437" s="5230"/>
      <c r="Q437" s="5230"/>
      <c r="R437" s="716"/>
      <c r="S437" s="716"/>
      <c r="T437" s="716"/>
      <c r="U437" s="716"/>
      <c r="V437" s="716"/>
      <c r="W437" s="716"/>
      <c r="X437" s="716"/>
      <c r="Y437" s="716"/>
      <c r="Z437" s="716"/>
      <c r="AA437" s="2730">
        <v>1</v>
      </c>
    </row>
    <row r="438" spans="1:27" s="5229" customFormat="1" ht="21" customHeight="1">
      <c r="A438" s="9262"/>
      <c r="B438" s="6034"/>
      <c r="C438" s="6035"/>
      <c r="D438" s="6035"/>
      <c r="E438" s="6035"/>
      <c r="F438" s="6035"/>
      <c r="G438" s="6035"/>
      <c r="H438" s="6030"/>
      <c r="I438" s="5230"/>
      <c r="J438" s="5444"/>
      <c r="K438" s="6036"/>
      <c r="L438" s="5444"/>
      <c r="M438" s="5230"/>
      <c r="N438" s="5230"/>
      <c r="O438" s="5230"/>
      <c r="P438" s="5230"/>
      <c r="Q438" s="5230"/>
      <c r="R438" s="716"/>
      <c r="S438" s="716"/>
      <c r="T438" s="716"/>
      <c r="U438" s="716"/>
      <c r="V438" s="716"/>
      <c r="W438" s="716"/>
      <c r="X438" s="716"/>
      <c r="Y438" s="716"/>
      <c r="Z438" s="716"/>
      <c r="AA438" s="2730">
        <v>1</v>
      </c>
    </row>
    <row r="439" spans="1:27" s="5229" customFormat="1" ht="21" customHeight="1">
      <c r="A439" s="9262"/>
      <c r="B439" s="6012" t="s">
        <v>84</v>
      </c>
      <c r="C439" s="6037">
        <v>0.06</v>
      </c>
      <c r="D439" s="6037">
        <v>0.08</v>
      </c>
      <c r="E439" s="6037">
        <v>0.15</v>
      </c>
      <c r="F439" s="6037">
        <v>0.2</v>
      </c>
      <c r="G439" s="6037">
        <v>0.1</v>
      </c>
      <c r="H439" s="9327" t="s">
        <v>252</v>
      </c>
      <c r="I439" s="9327"/>
      <c r="J439" s="9327"/>
      <c r="K439" s="6038">
        <f>(C439*C427)+(D439*D427)+(E439*E427)+(F439*F427)+(G439*G427)</f>
        <v>208.60000000000002</v>
      </c>
      <c r="L439" s="5444"/>
      <c r="M439" s="5230"/>
      <c r="N439" s="5230"/>
      <c r="O439" s="5230"/>
      <c r="P439" s="5230"/>
      <c r="Q439" s="5230"/>
      <c r="R439" s="716"/>
      <c r="S439" s="716"/>
      <c r="T439" s="716"/>
      <c r="U439" s="716"/>
      <c r="V439" s="716"/>
      <c r="W439" s="716"/>
      <c r="X439" s="716"/>
      <c r="Y439" s="716"/>
      <c r="Z439" s="716"/>
      <c r="AA439" s="2730">
        <v>1</v>
      </c>
    </row>
    <row r="440" spans="1:27" s="5229" customFormat="1" ht="21" customHeight="1">
      <c r="A440" s="9262"/>
      <c r="B440" s="6034"/>
      <c r="C440" s="6035"/>
      <c r="D440" s="6035"/>
      <c r="E440" s="6035"/>
      <c r="F440" s="6035"/>
      <c r="G440" s="6035"/>
      <c r="H440" s="6039"/>
      <c r="I440" s="6040"/>
      <c r="J440" s="6041"/>
      <c r="K440" s="6028"/>
      <c r="L440" s="5444"/>
      <c r="M440" s="5230"/>
      <c r="N440" s="5230"/>
      <c r="O440" s="5230"/>
      <c r="P440" s="5230"/>
      <c r="Q440" s="5230"/>
      <c r="R440" s="716"/>
      <c r="S440" s="716"/>
      <c r="T440" s="716"/>
      <c r="U440" s="716"/>
      <c r="V440" s="716"/>
      <c r="W440" s="716"/>
      <c r="X440" s="716"/>
      <c r="Y440" s="716"/>
      <c r="Z440" s="716"/>
      <c r="AA440" s="2730">
        <v>1</v>
      </c>
    </row>
    <row r="441" spans="1:27" s="5229" customFormat="1" ht="21" customHeight="1">
      <c r="A441" s="9262"/>
      <c r="B441" s="6012" t="s">
        <v>85</v>
      </c>
      <c r="C441" s="6037">
        <v>0.06</v>
      </c>
      <c r="D441" s="6037">
        <v>0.1</v>
      </c>
      <c r="E441" s="6037">
        <v>0.12</v>
      </c>
      <c r="F441" s="6037">
        <v>0.15</v>
      </c>
      <c r="G441" s="6037">
        <v>0.12</v>
      </c>
      <c r="H441" s="9327" t="s">
        <v>253</v>
      </c>
      <c r="I441" s="9327"/>
      <c r="J441" s="9327"/>
      <c r="K441" s="6038">
        <f>(C441*C427)+(D441*D427)+(E441*E427)+(F441*F427)+(G441*G427)</f>
        <v>213.5</v>
      </c>
      <c r="L441" s="5444"/>
      <c r="M441" s="5230"/>
      <c r="N441" s="5230"/>
      <c r="O441" s="5230"/>
      <c r="P441" s="5230"/>
      <c r="Q441" s="5230"/>
      <c r="R441" s="716"/>
      <c r="S441" s="716"/>
      <c r="T441" s="716"/>
      <c r="U441" s="716"/>
      <c r="V441" s="716"/>
      <c r="W441" s="716"/>
      <c r="X441" s="716"/>
      <c r="Y441" s="716"/>
      <c r="Z441" s="716"/>
      <c r="AA441" s="2730">
        <v>1</v>
      </c>
    </row>
    <row r="442" spans="1:27" s="5229" customFormat="1" ht="21" customHeight="1">
      <c r="A442" s="9262"/>
      <c r="B442" s="6034"/>
      <c r="C442" s="6035"/>
      <c r="D442" s="6035"/>
      <c r="E442" s="6035"/>
      <c r="F442" s="6035"/>
      <c r="G442" s="6035"/>
      <c r="H442" s="6039"/>
      <c r="I442" s="6040"/>
      <c r="J442" s="6041"/>
      <c r="K442" s="6028"/>
      <c r="L442" s="5444"/>
      <c r="M442" s="5230"/>
      <c r="N442" s="5230"/>
      <c r="O442" s="5230"/>
      <c r="P442" s="5230"/>
      <c r="Q442" s="5230"/>
      <c r="R442" s="716"/>
      <c r="S442" s="716"/>
      <c r="T442" s="716"/>
      <c r="U442" s="716"/>
      <c r="V442" s="716"/>
      <c r="W442" s="716"/>
      <c r="X442" s="716"/>
      <c r="Y442" s="716"/>
      <c r="Z442" s="716"/>
      <c r="AA442" s="2730">
        <v>1</v>
      </c>
    </row>
    <row r="443" spans="1:27" s="5229" customFormat="1" ht="21" customHeight="1">
      <c r="A443" s="9262"/>
      <c r="B443" s="6012" t="s">
        <v>87</v>
      </c>
      <c r="C443" s="6037">
        <v>0.06</v>
      </c>
      <c r="D443" s="6037">
        <v>0.1</v>
      </c>
      <c r="E443" s="6037">
        <v>0.15</v>
      </c>
      <c r="F443" s="6037">
        <v>0.2</v>
      </c>
      <c r="G443" s="6037">
        <v>0.15</v>
      </c>
      <c r="H443" s="9327" t="s">
        <v>184</v>
      </c>
      <c r="I443" s="9327"/>
      <c r="J443" s="9327"/>
      <c r="K443" s="6038">
        <f>(C443*C427)+(D443*D427)+(E443*E427)+(F443*F427)+(G443*G427)</f>
        <v>237.5</v>
      </c>
      <c r="L443" s="5444"/>
      <c r="M443" s="5230"/>
      <c r="N443" s="5230"/>
      <c r="O443" s="5230"/>
      <c r="P443" s="5230"/>
      <c r="Q443" s="5230"/>
      <c r="R443" s="716"/>
      <c r="S443" s="716"/>
      <c r="T443" s="716"/>
      <c r="U443" s="716"/>
      <c r="V443" s="716"/>
      <c r="W443" s="716"/>
      <c r="X443" s="716"/>
      <c r="Y443" s="716"/>
      <c r="Z443" s="716"/>
      <c r="AA443" s="2730">
        <v>1</v>
      </c>
    </row>
    <row r="444" spans="1:27" s="5229" customFormat="1" ht="21" customHeight="1" thickBot="1">
      <c r="A444" s="9262"/>
      <c r="B444" s="6042"/>
      <c r="C444" s="6043"/>
      <c r="D444" s="5410"/>
      <c r="E444" s="6044"/>
      <c r="F444" s="6045"/>
      <c r="G444" s="6046"/>
      <c r="H444" s="6046"/>
      <c r="I444" s="5410"/>
      <c r="J444" s="5410"/>
      <c r="K444" s="5467"/>
      <c r="L444" s="5444"/>
      <c r="M444" s="5230"/>
      <c r="N444" s="5230"/>
      <c r="O444" s="5230"/>
      <c r="P444" s="5230"/>
      <c r="Q444" s="5230"/>
      <c r="R444" s="716"/>
      <c r="S444" s="716"/>
      <c r="T444" s="716"/>
      <c r="U444" s="716"/>
      <c r="V444" s="716"/>
      <c r="W444" s="716"/>
      <c r="X444" s="716"/>
      <c r="Y444" s="716"/>
      <c r="Z444" s="716"/>
      <c r="AA444" s="2730">
        <v>1</v>
      </c>
    </row>
    <row r="445" spans="1:27" s="5229" customFormat="1" ht="21" customHeight="1">
      <c r="A445" s="5230"/>
      <c r="B445" s="5444"/>
      <c r="C445" s="5444"/>
      <c r="D445" s="5444"/>
      <c r="E445" s="5444"/>
      <c r="F445" s="5444"/>
      <c r="G445" s="5444"/>
      <c r="H445" s="5444"/>
      <c r="I445" s="5444"/>
      <c r="J445" s="5444"/>
      <c r="K445" s="5444"/>
      <c r="L445" s="5444"/>
      <c r="M445" s="5230"/>
      <c r="N445" s="5230"/>
      <c r="O445" s="5230"/>
      <c r="P445" s="5230"/>
      <c r="Q445" s="5230"/>
      <c r="R445" s="716"/>
      <c r="S445" s="716"/>
      <c r="T445" s="716"/>
      <c r="U445" s="716"/>
      <c r="V445" s="716"/>
      <c r="W445" s="716"/>
      <c r="X445" s="716"/>
      <c r="Y445" s="716"/>
      <c r="Z445" s="716"/>
      <c r="AA445" s="2730">
        <v>1</v>
      </c>
    </row>
    <row r="446" spans="1:27" s="5229" customFormat="1" ht="21" customHeight="1">
      <c r="A446" s="6047"/>
      <c r="B446" s="6048"/>
      <c r="C446" s="6049"/>
      <c r="D446" s="6049"/>
      <c r="E446" s="6049"/>
      <c r="F446" s="6049"/>
      <c r="G446" s="6049"/>
      <c r="H446" s="6049"/>
      <c r="I446" s="6049"/>
      <c r="J446" s="6048"/>
      <c r="K446" s="6048"/>
      <c r="L446" s="6048"/>
      <c r="M446" s="6047"/>
      <c r="N446" s="6047"/>
      <c r="O446" s="6047"/>
      <c r="P446" s="6047"/>
      <c r="Q446" s="6047"/>
      <c r="R446" s="716"/>
      <c r="S446" s="716"/>
      <c r="T446" s="716"/>
      <c r="U446" s="716"/>
      <c r="V446" s="716"/>
      <c r="W446" s="716"/>
      <c r="X446" s="716"/>
      <c r="Y446" s="716"/>
      <c r="Z446" s="716"/>
      <c r="AA446" s="2730">
        <v>1</v>
      </c>
    </row>
    <row r="447" spans="1:27" s="5229" customFormat="1" ht="21" customHeight="1" thickBot="1">
      <c r="A447" s="5230"/>
      <c r="B447" s="5444"/>
      <c r="C447" s="5444"/>
      <c r="D447" s="5444"/>
      <c r="E447" s="5444"/>
      <c r="F447" s="5444"/>
      <c r="G447" s="5444"/>
      <c r="H447" s="5444"/>
      <c r="I447" s="5444"/>
      <c r="J447" s="5444"/>
      <c r="K447" s="5444"/>
      <c r="L447" s="5444"/>
      <c r="M447" s="5230"/>
      <c r="N447" s="5230"/>
      <c r="O447" s="5230"/>
      <c r="P447" s="5230"/>
      <c r="Q447" s="5230"/>
      <c r="R447" s="716"/>
      <c r="S447" s="716"/>
      <c r="T447" s="716"/>
      <c r="U447" s="716"/>
      <c r="V447" s="716"/>
      <c r="W447" s="716"/>
      <c r="X447" s="716"/>
      <c r="Y447" s="716"/>
      <c r="Z447" s="716"/>
      <c r="AA447" s="2730">
        <v>1</v>
      </c>
    </row>
    <row r="448" spans="1:27" s="5229" customFormat="1" ht="21" customHeight="1">
      <c r="A448" s="5447" t="s">
        <v>67</v>
      </c>
      <c r="B448" s="9297" t="s">
        <v>254</v>
      </c>
      <c r="C448" s="9298"/>
      <c r="D448" s="9298"/>
      <c r="E448" s="9298"/>
      <c r="F448" s="9298"/>
      <c r="G448" s="9298"/>
      <c r="H448" s="9298"/>
      <c r="I448" s="9298"/>
      <c r="J448" s="9298"/>
      <c r="K448" s="9299"/>
      <c r="L448" s="5230"/>
      <c r="M448" s="5230"/>
      <c r="N448" s="5230"/>
      <c r="O448" s="5230"/>
      <c r="P448" s="5230"/>
      <c r="Q448" s="5230"/>
      <c r="R448" s="716"/>
      <c r="S448" s="716"/>
      <c r="T448" s="716"/>
      <c r="U448" s="716"/>
      <c r="V448" s="716"/>
      <c r="W448" s="716"/>
      <c r="X448" s="716"/>
      <c r="Y448" s="716"/>
      <c r="Z448" s="716"/>
      <c r="AA448" s="2730">
        <v>1</v>
      </c>
    </row>
    <row r="449" spans="1:27" s="5229" customFormat="1" ht="21" customHeight="1">
      <c r="A449" s="9186" t="str">
        <f>B448</f>
        <v>Comment respecter un grammage à servir Exemple N° 1</v>
      </c>
      <c r="B449" s="5375" t="str">
        <f>ADDRESS(ROW(),COLUMN(),4)</f>
        <v>B449</v>
      </c>
      <c r="C449" s="5929" t="s">
        <v>14788</v>
      </c>
      <c r="D449" s="5930"/>
      <c r="E449" s="5930"/>
      <c r="F449" s="5930"/>
      <c r="G449" s="5930"/>
      <c r="H449" s="5930"/>
      <c r="I449" s="5930"/>
      <c r="J449" s="5930"/>
      <c r="K449" s="5931"/>
      <c r="L449" s="5230"/>
      <c r="M449" s="5230"/>
      <c r="N449" s="5230"/>
      <c r="O449" s="5230"/>
      <c r="P449" s="5230"/>
      <c r="Q449" s="5230"/>
      <c r="R449" s="716"/>
      <c r="S449" s="716"/>
      <c r="T449" s="716"/>
      <c r="U449" s="716"/>
      <c r="V449" s="716"/>
      <c r="W449" s="716"/>
      <c r="X449" s="716"/>
      <c r="Y449" s="716"/>
      <c r="Z449" s="716"/>
      <c r="AA449" s="2730">
        <v>1</v>
      </c>
    </row>
    <row r="450" spans="1:27" s="5229" customFormat="1" ht="21" customHeight="1">
      <c r="A450" s="9186"/>
      <c r="B450" s="9286" t="s">
        <v>14865</v>
      </c>
      <c r="C450" s="9287"/>
      <c r="D450" s="9287"/>
      <c r="E450" s="9287"/>
      <c r="F450" s="9287"/>
      <c r="G450" s="9287"/>
      <c r="H450" s="9287"/>
      <c r="I450" s="9287"/>
      <c r="J450" s="9287"/>
      <c r="K450" s="9288"/>
      <c r="L450" s="5230"/>
      <c r="M450" s="5230"/>
      <c r="N450" s="5230"/>
      <c r="O450" s="5230"/>
      <c r="P450" s="5230"/>
      <c r="Q450" s="5230"/>
      <c r="R450" s="716"/>
      <c r="S450" s="716"/>
      <c r="T450" s="716"/>
      <c r="U450" s="716"/>
      <c r="V450" s="716"/>
      <c r="W450" s="716"/>
      <c r="X450" s="716"/>
      <c r="Y450" s="716"/>
      <c r="Z450" s="716"/>
      <c r="AA450" s="2730">
        <v>1</v>
      </c>
    </row>
    <row r="451" spans="1:27" s="5229" customFormat="1" ht="21" customHeight="1">
      <c r="A451" s="9186"/>
      <c r="B451" s="9289"/>
      <c r="C451" s="9290"/>
      <c r="D451" s="9290"/>
      <c r="E451" s="9290"/>
      <c r="F451" s="9290"/>
      <c r="G451" s="9290"/>
      <c r="H451" s="9290"/>
      <c r="I451" s="9290"/>
      <c r="J451" s="9290"/>
      <c r="K451" s="9291"/>
      <c r="L451" s="5230"/>
      <c r="M451" s="5230"/>
      <c r="N451" s="5230"/>
      <c r="O451" s="5230"/>
      <c r="P451" s="5230"/>
      <c r="Q451" s="5230"/>
      <c r="R451" s="716"/>
      <c r="S451" s="716"/>
      <c r="T451" s="716"/>
      <c r="U451" s="716"/>
      <c r="V451" s="716"/>
      <c r="W451" s="716"/>
      <c r="X451" s="716"/>
      <c r="Y451" s="716"/>
      <c r="Z451" s="716"/>
      <c r="AA451" s="2730">
        <v>1</v>
      </c>
    </row>
    <row r="452" spans="1:27" s="5229" customFormat="1" ht="21" customHeight="1">
      <c r="A452" s="9186"/>
      <c r="B452" s="9292" t="s">
        <v>259</v>
      </c>
      <c r="C452" s="9293"/>
      <c r="D452" s="9294">
        <v>130</v>
      </c>
      <c r="E452" s="9296" t="s">
        <v>260</v>
      </c>
      <c r="F452" s="9296"/>
      <c r="G452" s="9302">
        <v>70</v>
      </c>
      <c r="H452" s="6050"/>
      <c r="I452" s="9304" t="str">
        <f>IF(K452="","produit à servir","produits entiers à couper en ")</f>
        <v xml:space="preserve">produits entiers à couper en </v>
      </c>
      <c r="J452" s="9304"/>
      <c r="K452" s="9268">
        <f>IF(J463=1,"",J463)</f>
        <v>0.5</v>
      </c>
      <c r="L452" s="5230"/>
      <c r="M452" s="5230"/>
      <c r="N452" s="5230"/>
      <c r="O452" s="5230"/>
      <c r="P452" s="5230"/>
      <c r="Q452" s="5230"/>
      <c r="R452" s="716"/>
      <c r="S452" s="716"/>
      <c r="T452" s="716"/>
      <c r="U452" s="716"/>
      <c r="V452" s="716"/>
      <c r="W452" s="716"/>
      <c r="X452" s="716"/>
      <c r="Y452" s="716"/>
      <c r="Z452" s="716"/>
      <c r="AA452" s="2730">
        <v>1</v>
      </c>
    </row>
    <row r="453" spans="1:27" s="5229" customFormat="1" ht="21" customHeight="1">
      <c r="A453" s="9186"/>
      <c r="B453" s="9292"/>
      <c r="C453" s="9293"/>
      <c r="D453" s="9295"/>
      <c r="E453" s="9296"/>
      <c r="F453" s="9296"/>
      <c r="G453" s="9303"/>
      <c r="H453" s="6050"/>
      <c r="I453" s="9304"/>
      <c r="J453" s="9304"/>
      <c r="K453" s="9268"/>
      <c r="L453" s="5230"/>
      <c r="M453" s="5230"/>
      <c r="N453" s="5230"/>
      <c r="O453" s="5230"/>
      <c r="P453" s="5230"/>
      <c r="Q453" s="5230"/>
      <c r="R453" s="716"/>
      <c r="S453" s="716"/>
      <c r="T453" s="716"/>
      <c r="U453" s="716"/>
      <c r="V453" s="716"/>
      <c r="W453" s="716"/>
      <c r="X453" s="716"/>
      <c r="Y453" s="716"/>
      <c r="Z453" s="716"/>
      <c r="AA453" s="2730">
        <v>1</v>
      </c>
    </row>
    <row r="454" spans="1:27" s="5229" customFormat="1" ht="21" customHeight="1">
      <c r="A454" s="9186"/>
      <c r="B454" s="6051"/>
      <c r="C454" s="6052"/>
      <c r="D454" s="9269" t="s">
        <v>14866</v>
      </c>
      <c r="E454" s="9271">
        <f>LARGE(E464:E468,1)</f>
        <v>5</v>
      </c>
      <c r="F454" s="9269" t="s">
        <v>261</v>
      </c>
      <c r="G454" s="9271" t="s">
        <v>70</v>
      </c>
      <c r="H454" s="9269">
        <f>LARGE(F464:F468,1)</f>
        <v>9</v>
      </c>
      <c r="I454" s="9269" t="s">
        <v>262</v>
      </c>
      <c r="J454" s="6053"/>
      <c r="K454" s="6054"/>
      <c r="L454" s="5230"/>
      <c r="M454" s="5230"/>
      <c r="N454" s="5230"/>
      <c r="O454" s="5230"/>
      <c r="P454" s="5230"/>
      <c r="Q454" s="5230"/>
      <c r="R454" s="716"/>
      <c r="S454" s="716"/>
      <c r="T454" s="716"/>
      <c r="U454" s="716"/>
      <c r="V454" s="716"/>
      <c r="W454" s="716"/>
      <c r="X454" s="716"/>
      <c r="Y454" s="716"/>
      <c r="Z454" s="716"/>
      <c r="AA454" s="2730">
        <v>1</v>
      </c>
    </row>
    <row r="455" spans="1:27" s="5229" customFormat="1" ht="21" customHeight="1">
      <c r="A455" s="9186"/>
      <c r="B455" s="6055"/>
      <c r="C455" s="6056"/>
      <c r="D455" s="9270"/>
      <c r="E455" s="9272"/>
      <c r="F455" s="9270"/>
      <c r="G455" s="9272"/>
      <c r="H455" s="9270"/>
      <c r="I455" s="9270"/>
      <c r="J455" s="5930"/>
      <c r="K455" s="5931"/>
      <c r="L455" s="5230"/>
      <c r="M455" s="5230"/>
      <c r="N455" s="5230"/>
      <c r="O455" s="5230"/>
      <c r="P455" s="5230"/>
      <c r="Q455" s="5230"/>
      <c r="R455" s="716"/>
      <c r="S455" s="716"/>
      <c r="T455" s="716"/>
      <c r="U455" s="716"/>
      <c r="V455" s="716"/>
      <c r="W455" s="716"/>
      <c r="X455" s="716"/>
      <c r="Y455" s="716"/>
      <c r="Z455" s="716"/>
      <c r="AA455" s="2730">
        <v>1</v>
      </c>
    </row>
    <row r="456" spans="1:27" s="5229" customFormat="1" ht="21" customHeight="1">
      <c r="A456" s="9186"/>
      <c r="B456" s="9305" t="s">
        <v>14867</v>
      </c>
      <c r="C456" s="9306"/>
      <c r="D456" s="9306"/>
      <c r="E456" s="9306"/>
      <c r="F456" s="9306"/>
      <c r="G456" s="9306"/>
      <c r="H456" s="9306"/>
      <c r="I456" s="9306"/>
      <c r="J456" s="9306"/>
      <c r="K456" s="9307"/>
      <c r="L456" s="5230"/>
      <c r="M456" s="5230"/>
      <c r="N456" s="5230"/>
      <c r="O456" s="5230"/>
      <c r="P456" s="5230"/>
      <c r="Q456" s="5230"/>
      <c r="R456" s="716"/>
      <c r="S456" s="716"/>
      <c r="T456" s="716"/>
      <c r="U456" s="716"/>
      <c r="V456" s="716"/>
      <c r="W456" s="716"/>
      <c r="X456" s="716"/>
      <c r="Y456" s="716"/>
      <c r="Z456" s="716"/>
      <c r="AA456" s="2730">
        <v>1</v>
      </c>
    </row>
    <row r="457" spans="1:27" s="5229" customFormat="1" ht="21" customHeight="1">
      <c r="A457" s="9186"/>
      <c r="B457" s="9308"/>
      <c r="C457" s="9309"/>
      <c r="D457" s="9309"/>
      <c r="E457" s="9309"/>
      <c r="F457" s="9309"/>
      <c r="G457" s="9309"/>
      <c r="H457" s="9309"/>
      <c r="I457" s="9309"/>
      <c r="J457" s="9309"/>
      <c r="K457" s="9310"/>
      <c r="L457" s="5230"/>
      <c r="M457" s="5230"/>
      <c r="N457" s="5230"/>
      <c r="O457" s="5230"/>
      <c r="P457" s="5230"/>
      <c r="Q457" s="5230"/>
      <c r="R457" s="716"/>
      <c r="S457" s="716"/>
      <c r="T457" s="716"/>
      <c r="U457" s="716"/>
      <c r="V457" s="716"/>
      <c r="W457" s="716"/>
      <c r="X457" s="716"/>
      <c r="Y457" s="716"/>
      <c r="Z457" s="716"/>
      <c r="AA457" s="2730">
        <v>1</v>
      </c>
    </row>
    <row r="458" spans="1:27" s="5229" customFormat="1" ht="21" customHeight="1">
      <c r="A458" s="9186"/>
      <c r="B458" s="9281" t="str">
        <f>IF(C458="","MOINS","Servir ")</f>
        <v xml:space="preserve">Servir </v>
      </c>
      <c r="C458" s="9311">
        <f>IF(E454-1=0,"",E454-1)</f>
        <v>4</v>
      </c>
      <c r="D458" s="9279" t="str">
        <f>IF(C458="","",IF(F458=1,"produits entiers de","produits coupés en "))</f>
        <v xml:space="preserve">produits coupés en </v>
      </c>
      <c r="E458" s="9279"/>
      <c r="F458" s="9300">
        <f>IF(C458="","",H454/C458)</f>
        <v>2.25</v>
      </c>
      <c r="G458" s="9284" t="str">
        <f>IF(C458="","","parts")</f>
        <v>parts</v>
      </c>
      <c r="H458" s="9279" t="str">
        <f>IF(C458="","","grammage unitaire")</f>
        <v>grammage unitaire</v>
      </c>
      <c r="I458" s="9279"/>
      <c r="J458" s="9280">
        <f>IF(C458="","",B469/F458)</f>
        <v>5.7777777777777782E-2</v>
      </c>
      <c r="K458" s="6060"/>
      <c r="L458" s="5230"/>
      <c r="M458" s="5230"/>
      <c r="N458" s="5230"/>
      <c r="O458" s="5230"/>
      <c r="P458" s="5230"/>
      <c r="Q458" s="5230"/>
      <c r="R458" s="716"/>
      <c r="S458" s="716"/>
      <c r="T458" s="716"/>
      <c r="U458" s="716"/>
      <c r="V458" s="716"/>
      <c r="W458" s="716"/>
      <c r="X458" s="716"/>
      <c r="Y458" s="716"/>
      <c r="Z458" s="716"/>
      <c r="AA458" s="2730">
        <v>1</v>
      </c>
    </row>
    <row r="459" spans="1:27" s="5229" customFormat="1" ht="21" customHeight="1">
      <c r="A459" s="9186"/>
      <c r="B459" s="9281"/>
      <c r="C459" s="9311"/>
      <c r="D459" s="9279"/>
      <c r="E459" s="9279"/>
      <c r="F459" s="9300"/>
      <c r="G459" s="9284"/>
      <c r="H459" s="9279"/>
      <c r="I459" s="9279"/>
      <c r="J459" s="9280"/>
      <c r="K459" s="6061" t="s">
        <v>14868</v>
      </c>
      <c r="L459" s="5230"/>
      <c r="M459" s="5230"/>
      <c r="N459" s="5230"/>
      <c r="O459" s="5230"/>
      <c r="P459" s="5230"/>
      <c r="Q459" s="5230"/>
      <c r="R459" s="716"/>
      <c r="S459" s="716"/>
      <c r="T459" s="716"/>
      <c r="U459" s="716"/>
      <c r="V459" s="716"/>
      <c r="W459" s="716"/>
      <c r="X459" s="716"/>
      <c r="Y459" s="716"/>
      <c r="Z459" s="716"/>
      <c r="AA459" s="2730">
        <v>1</v>
      </c>
    </row>
    <row r="460" spans="1:27" s="5229" customFormat="1" ht="21" customHeight="1">
      <c r="A460" s="9186"/>
      <c r="B460" s="9281" t="str">
        <f>IF(C458="","","plus")</f>
        <v>plus</v>
      </c>
      <c r="C460" s="9282">
        <f>IF(C458="","",E454-C458)</f>
        <v>1</v>
      </c>
      <c r="D460" s="9279" t="str">
        <f>IF(C460="","","produit coupé en ")</f>
        <v xml:space="preserve">produit coupé en </v>
      </c>
      <c r="E460" s="9279"/>
      <c r="F460" s="9283">
        <f>IF(D460="","",H454)</f>
        <v>9</v>
      </c>
      <c r="G460" s="9284" t="str">
        <f>IF(D460="","","parts")</f>
        <v>parts</v>
      </c>
      <c r="H460" s="6064"/>
      <c r="I460" s="9285" t="str">
        <f>IF(C460="","moins"," de")</f>
        <v xml:space="preserve"> de</v>
      </c>
      <c r="J460" s="9280">
        <f>IF(D460="",B469-C469,B469/F460)</f>
        <v>1.4444444444444446E-2</v>
      </c>
      <c r="K460" s="9301">
        <f>(D452/H454)*E454</f>
        <v>72.222222222222229</v>
      </c>
      <c r="L460" s="5230"/>
      <c r="M460" s="5230"/>
      <c r="N460" s="5230"/>
      <c r="O460" s="5230"/>
      <c r="P460" s="5230"/>
      <c r="Q460" s="5230"/>
      <c r="R460" s="716"/>
      <c r="S460" s="716"/>
      <c r="T460" s="716"/>
      <c r="U460" s="716"/>
      <c r="V460" s="716"/>
      <c r="W460" s="716"/>
      <c r="X460" s="716"/>
      <c r="Y460" s="716"/>
      <c r="Z460" s="716"/>
      <c r="AA460" s="2730">
        <v>1</v>
      </c>
    </row>
    <row r="461" spans="1:27" s="5229" customFormat="1" ht="21" customHeight="1">
      <c r="A461" s="9186"/>
      <c r="B461" s="9281"/>
      <c r="C461" s="9282"/>
      <c r="D461" s="9279"/>
      <c r="E461" s="9279"/>
      <c r="F461" s="9283"/>
      <c r="G461" s="9284"/>
      <c r="H461" s="6064"/>
      <c r="I461" s="9285"/>
      <c r="J461" s="9280"/>
      <c r="K461" s="9301"/>
      <c r="L461" s="5230"/>
      <c r="M461" s="5230"/>
      <c r="N461" s="5230"/>
      <c r="O461" s="5230"/>
      <c r="P461" s="5230"/>
      <c r="Q461" s="5230"/>
      <c r="R461" s="716"/>
      <c r="S461" s="716"/>
      <c r="T461" s="716"/>
      <c r="U461" s="716"/>
      <c r="V461" s="716"/>
      <c r="W461" s="716"/>
      <c r="X461" s="716"/>
      <c r="Y461" s="716"/>
      <c r="Z461" s="716"/>
      <c r="AA461" s="2730">
        <v>1</v>
      </c>
    </row>
    <row r="462" spans="1:27" s="5229" customFormat="1" ht="21" customHeight="1">
      <c r="A462" s="9186"/>
      <c r="B462" s="6057"/>
      <c r="C462" s="6062"/>
      <c r="D462" s="6058"/>
      <c r="E462" s="6058"/>
      <c r="F462" s="6063"/>
      <c r="G462" s="5864"/>
      <c r="H462" s="6064"/>
      <c r="I462" s="6065"/>
      <c r="J462" s="6059"/>
      <c r="K462" s="6061"/>
      <c r="L462" s="5230"/>
      <c r="M462" s="5230"/>
      <c r="N462" s="5230"/>
      <c r="O462" s="5230"/>
      <c r="P462" s="5230"/>
      <c r="Q462" s="5230"/>
      <c r="R462" s="716"/>
      <c r="S462" s="716"/>
      <c r="T462" s="716"/>
      <c r="U462" s="716"/>
      <c r="V462" s="716"/>
      <c r="W462" s="716"/>
      <c r="X462" s="716"/>
      <c r="Y462" s="716"/>
      <c r="Z462" s="716"/>
      <c r="AA462" s="2730">
        <v>1</v>
      </c>
    </row>
    <row r="463" spans="1:27" s="5229" customFormat="1" ht="21" customHeight="1">
      <c r="A463" s="9186"/>
      <c r="B463" s="6066" t="s">
        <v>263</v>
      </c>
      <c r="C463" s="6067" t="s">
        <v>264</v>
      </c>
      <c r="D463" s="6067" t="s">
        <v>265</v>
      </c>
      <c r="E463" s="6068" t="s">
        <v>266</v>
      </c>
      <c r="F463" s="6068"/>
      <c r="G463" s="6069" t="s">
        <v>267</v>
      </c>
      <c r="H463" s="6070" t="s">
        <v>70</v>
      </c>
      <c r="I463" s="6070"/>
      <c r="J463" s="6071">
        <f>LARGE(K464:K468,1)</f>
        <v>0.5</v>
      </c>
      <c r="K463" s="6072">
        <f>SMALL(D464:D468,COUNTIF(D464:D468,0)+1)</f>
        <v>1.9999999999999907E-2</v>
      </c>
      <c r="L463" s="5230"/>
      <c r="M463" s="5230"/>
      <c r="N463" s="5230"/>
      <c r="O463" s="5230"/>
      <c r="P463" s="5230"/>
      <c r="Q463" s="5230"/>
      <c r="R463" s="716"/>
      <c r="S463" s="716"/>
      <c r="T463" s="716"/>
      <c r="U463" s="716"/>
      <c r="V463" s="716"/>
      <c r="W463" s="716"/>
      <c r="X463" s="716"/>
      <c r="Y463" s="716"/>
      <c r="Z463" s="716"/>
      <c r="AA463" s="2730">
        <v>1</v>
      </c>
    </row>
    <row r="464" spans="1:27" s="5229" customFormat="1" ht="21" customHeight="1">
      <c r="A464" s="9186"/>
      <c r="B464" s="6073">
        <f>C469*H464</f>
        <v>7.0000000000000007E-2</v>
      </c>
      <c r="C464" s="6074">
        <f>B469*G464</f>
        <v>0.13</v>
      </c>
      <c r="D464" s="6074">
        <f>C464-B464</f>
        <v>0.06</v>
      </c>
      <c r="E464" s="6075">
        <f>IF(D464=0,0,IF(D464=K463,G464,0))</f>
        <v>0</v>
      </c>
      <c r="F464" s="6075">
        <f>IF(E464&gt;0,H464,0)</f>
        <v>0</v>
      </c>
      <c r="G464" s="6071">
        <v>1</v>
      </c>
      <c r="H464" s="6076">
        <f>INT(I464)</f>
        <v>1</v>
      </c>
      <c r="I464" s="6076">
        <f>C464/C469</f>
        <v>1.857142857142857</v>
      </c>
      <c r="J464" s="6071">
        <f>IF(E464=0,0,E464/F464)</f>
        <v>0</v>
      </c>
      <c r="K464" s="6077">
        <f>ROUNDDOWN(J464,1)</f>
        <v>0</v>
      </c>
      <c r="L464" s="5230"/>
      <c r="M464" s="5230"/>
      <c r="N464" s="5230"/>
      <c r="O464" s="5230"/>
      <c r="P464" s="5230"/>
      <c r="Q464" s="5230"/>
      <c r="R464" s="716"/>
      <c r="S464" s="716"/>
      <c r="T464" s="716"/>
      <c r="U464" s="716"/>
      <c r="V464" s="716"/>
      <c r="W464" s="716"/>
      <c r="X464" s="716"/>
      <c r="Y464" s="716"/>
      <c r="Z464" s="716"/>
      <c r="AA464" s="2730">
        <v>1</v>
      </c>
    </row>
    <row r="465" spans="1:27" s="5229" customFormat="1" ht="21" customHeight="1">
      <c r="A465" s="9186"/>
      <c r="B465" s="6073">
        <f>C469*H465</f>
        <v>0.21000000000000002</v>
      </c>
      <c r="C465" s="6074">
        <f>B469*G465</f>
        <v>0.26</v>
      </c>
      <c r="D465" s="6074">
        <f>C465-B465</f>
        <v>4.9999999999999989E-2</v>
      </c>
      <c r="E465" s="6075">
        <f>IF(D465=0,0,IF(D465=K463,G465,0))</f>
        <v>0</v>
      </c>
      <c r="F465" s="6075">
        <f>IF(E465&gt;0,H465,0)</f>
        <v>0</v>
      </c>
      <c r="G465" s="6071">
        <v>2</v>
      </c>
      <c r="H465" s="6076">
        <f>INT(I465)</f>
        <v>3</v>
      </c>
      <c r="I465" s="6076">
        <f>C465/C469</f>
        <v>3.714285714285714</v>
      </c>
      <c r="J465" s="6071">
        <f>IF(E465=0,0,E465/F465)</f>
        <v>0</v>
      </c>
      <c r="K465" s="6077">
        <f>ROUNDDOWN(J465,1)</f>
        <v>0</v>
      </c>
      <c r="L465" s="5230"/>
      <c r="M465" s="5230"/>
      <c r="N465" s="5230"/>
      <c r="O465" s="5230"/>
      <c r="P465" s="5230"/>
      <c r="Q465" s="5230"/>
      <c r="R465" s="716"/>
      <c r="S465" s="716"/>
      <c r="T465" s="716"/>
      <c r="U465" s="716"/>
      <c r="V465" s="716"/>
      <c r="W465" s="716"/>
      <c r="X465" s="716"/>
      <c r="Y465" s="716"/>
      <c r="Z465" s="716"/>
      <c r="AA465" s="2730">
        <v>1</v>
      </c>
    </row>
    <row r="466" spans="1:27" s="5229" customFormat="1" ht="21" customHeight="1">
      <c r="A466" s="9186"/>
      <c r="B466" s="6073">
        <f>C469*H466</f>
        <v>0.35000000000000003</v>
      </c>
      <c r="C466" s="6074">
        <f>B469*G466</f>
        <v>0.39</v>
      </c>
      <c r="D466" s="6074">
        <f>C466-B466</f>
        <v>3.999999999999998E-2</v>
      </c>
      <c r="E466" s="6075">
        <f>IF(D466=0,0,IF(D466=K463,G466,0))</f>
        <v>0</v>
      </c>
      <c r="F466" s="6075">
        <f>IF(E466&gt;0,H466,0)</f>
        <v>0</v>
      </c>
      <c r="G466" s="6071">
        <v>3</v>
      </c>
      <c r="H466" s="6076">
        <f>INT(I466)</f>
        <v>5</v>
      </c>
      <c r="I466" s="6076">
        <f>C466/C469</f>
        <v>5.5714285714285712</v>
      </c>
      <c r="J466" s="6071">
        <f>IF(E466=0,0,E466/F466)</f>
        <v>0</v>
      </c>
      <c r="K466" s="6077">
        <f>ROUNDDOWN(J466,1)</f>
        <v>0</v>
      </c>
      <c r="L466" s="5230"/>
      <c r="M466" s="5230"/>
      <c r="N466" s="5230"/>
      <c r="O466" s="5230"/>
      <c r="P466" s="5230"/>
      <c r="Q466" s="5230"/>
      <c r="R466" s="716"/>
      <c r="S466" s="716"/>
      <c r="T466" s="716"/>
      <c r="U466" s="716"/>
      <c r="V466" s="716"/>
      <c r="W466" s="716"/>
      <c r="X466" s="716"/>
      <c r="Y466" s="716"/>
      <c r="Z466" s="716"/>
      <c r="AA466" s="2730">
        <v>1</v>
      </c>
    </row>
    <row r="467" spans="1:27" s="5229" customFormat="1" ht="21" customHeight="1">
      <c r="A467" s="9186"/>
      <c r="B467" s="6073">
        <f>C469*H467</f>
        <v>0.49000000000000005</v>
      </c>
      <c r="C467" s="6074">
        <f>B469*G467</f>
        <v>0.52</v>
      </c>
      <c r="D467" s="6074">
        <f>C467-B467</f>
        <v>2.9999999999999971E-2</v>
      </c>
      <c r="E467" s="6075">
        <f>IF(D467=0,0,IF(D467=K463,G467,0))</f>
        <v>0</v>
      </c>
      <c r="F467" s="6075">
        <f>IF(E467&gt;0,H467,0)</f>
        <v>0</v>
      </c>
      <c r="G467" s="6071">
        <v>4</v>
      </c>
      <c r="H467" s="6076">
        <f>INT(I467)</f>
        <v>7</v>
      </c>
      <c r="I467" s="6076">
        <f>C467/C469</f>
        <v>7.4285714285714279</v>
      </c>
      <c r="J467" s="6071">
        <f>IF(E467=0,0,E467/F467)</f>
        <v>0</v>
      </c>
      <c r="K467" s="6077">
        <f>ROUNDDOWN(J467,1)</f>
        <v>0</v>
      </c>
      <c r="L467" s="5230"/>
      <c r="M467" s="5230"/>
      <c r="N467" s="5230"/>
      <c r="O467" s="5230"/>
      <c r="P467" s="5230"/>
      <c r="Q467" s="5230"/>
      <c r="R467" s="716"/>
      <c r="S467" s="716"/>
      <c r="T467" s="716"/>
      <c r="U467" s="716"/>
      <c r="V467" s="716"/>
      <c r="W467" s="716"/>
      <c r="X467" s="716"/>
      <c r="Y467" s="716"/>
      <c r="Z467" s="716"/>
      <c r="AA467" s="2730">
        <v>1</v>
      </c>
    </row>
    <row r="468" spans="1:27" s="5229" customFormat="1" ht="21" customHeight="1">
      <c r="A468" s="9186"/>
      <c r="B468" s="6078">
        <f>C469*H468</f>
        <v>0.63000000000000012</v>
      </c>
      <c r="C468" s="6079">
        <f>B469*G468</f>
        <v>0.65</v>
      </c>
      <c r="D468" s="6079">
        <f>C468-B468</f>
        <v>1.9999999999999907E-2</v>
      </c>
      <c r="E468" s="6080">
        <f>IF(D468=0,0,IF(D468=K463,G468,0))</f>
        <v>5</v>
      </c>
      <c r="F468" s="6080">
        <f>IF(E468&gt;0,H468,0)</f>
        <v>9</v>
      </c>
      <c r="G468" s="6081">
        <v>5</v>
      </c>
      <c r="H468" s="6082">
        <f>INT(I468)</f>
        <v>9</v>
      </c>
      <c r="I468" s="6082">
        <f>C468/C469</f>
        <v>9.2857142857142847</v>
      </c>
      <c r="J468" s="6081">
        <f>IF(E468=0,0,E468/F468)</f>
        <v>0.55555555555555558</v>
      </c>
      <c r="K468" s="6083">
        <f>ROUNDDOWN(J468,1)</f>
        <v>0.5</v>
      </c>
      <c r="L468" s="5230"/>
      <c r="M468" s="5230"/>
      <c r="N468" s="5230"/>
      <c r="O468" s="5230"/>
      <c r="P468" s="5230"/>
      <c r="Q468" s="5230"/>
      <c r="R468" s="716"/>
      <c r="S468" s="716"/>
      <c r="T468" s="716"/>
      <c r="U468" s="716"/>
      <c r="V468" s="716"/>
      <c r="W468" s="716"/>
      <c r="X468" s="716"/>
      <c r="Y468" s="716"/>
      <c r="Z468" s="716"/>
      <c r="AA468" s="2730">
        <v>1</v>
      </c>
    </row>
    <row r="469" spans="1:27" s="5229" customFormat="1" ht="21" customHeight="1">
      <c r="A469" s="9186"/>
      <c r="B469" s="6074">
        <f>D452/1000</f>
        <v>0.13</v>
      </c>
      <c r="C469" s="6074">
        <f>G452/1000</f>
        <v>7.0000000000000007E-2</v>
      </c>
      <c r="D469" s="6074"/>
      <c r="E469" s="6075"/>
      <c r="F469" s="6075"/>
      <c r="G469" s="6071"/>
      <c r="H469" s="6076"/>
      <c r="I469" s="6076"/>
      <c r="J469" s="6071"/>
      <c r="K469" s="6077"/>
      <c r="L469" s="5230"/>
      <c r="M469" s="5230"/>
      <c r="N469" s="5230"/>
      <c r="O469" s="5230"/>
      <c r="P469" s="5230"/>
      <c r="Q469" s="5230"/>
      <c r="R469" s="716"/>
      <c r="S469" s="716"/>
      <c r="T469" s="716"/>
      <c r="U469" s="716"/>
      <c r="V469" s="716"/>
      <c r="W469" s="716"/>
      <c r="X469" s="716"/>
      <c r="Y469" s="716"/>
      <c r="Z469" s="716"/>
      <c r="AA469" s="2730">
        <v>1</v>
      </c>
    </row>
    <row r="470" spans="1:27" s="5229" customFormat="1" ht="21" customHeight="1">
      <c r="A470" s="9186"/>
      <c r="B470" s="9168" t="s">
        <v>14803</v>
      </c>
      <c r="C470" s="9169"/>
      <c r="D470" s="9169"/>
      <c r="E470" s="9169"/>
      <c r="F470" s="9169"/>
      <c r="G470" s="9169"/>
      <c r="H470" s="9169"/>
      <c r="I470" s="9169"/>
      <c r="J470" s="9169"/>
      <c r="K470" s="9170"/>
      <c r="L470" s="5230"/>
      <c r="M470" s="5230"/>
      <c r="N470" s="5230"/>
      <c r="O470" s="5230"/>
      <c r="P470" s="5230"/>
      <c r="Q470" s="5230"/>
      <c r="R470" s="716"/>
      <c r="S470" s="716"/>
      <c r="T470" s="716"/>
      <c r="U470" s="716"/>
      <c r="V470" s="716"/>
      <c r="W470" s="716"/>
      <c r="X470" s="716"/>
      <c r="Y470" s="716"/>
      <c r="Z470" s="716"/>
      <c r="AA470" s="2730">
        <v>1</v>
      </c>
    </row>
    <row r="471" spans="1:27" s="5229" customFormat="1" ht="21" customHeight="1">
      <c r="A471" s="9186"/>
      <c r="B471" s="9265" t="s">
        <v>256</v>
      </c>
      <c r="C471" s="9266"/>
      <c r="D471" s="9266"/>
      <c r="E471" s="9266"/>
      <c r="F471" s="9266"/>
      <c r="G471" s="9266"/>
      <c r="H471" s="9266"/>
      <c r="I471" s="9266"/>
      <c r="J471" s="9266"/>
      <c r="K471" s="9267"/>
      <c r="L471" s="5230"/>
      <c r="M471" s="5230"/>
      <c r="N471" s="5230"/>
      <c r="O471" s="5230"/>
      <c r="P471" s="5230"/>
      <c r="Q471" s="5230"/>
      <c r="R471" s="716"/>
      <c r="S471" s="716"/>
      <c r="T471" s="716"/>
      <c r="U471" s="716"/>
      <c r="V471" s="716"/>
      <c r="W471" s="716"/>
      <c r="X471" s="716"/>
      <c r="Y471" s="716"/>
      <c r="Z471" s="716"/>
      <c r="AA471" s="2730">
        <v>1</v>
      </c>
    </row>
    <row r="472" spans="1:27" s="5229" customFormat="1" ht="21" customHeight="1">
      <c r="A472" s="9186"/>
      <c r="B472" s="9265"/>
      <c r="C472" s="9266"/>
      <c r="D472" s="9266"/>
      <c r="E472" s="9266"/>
      <c r="F472" s="9266"/>
      <c r="G472" s="9266"/>
      <c r="H472" s="9266"/>
      <c r="I472" s="9266"/>
      <c r="J472" s="9266"/>
      <c r="K472" s="9267"/>
      <c r="L472" s="5230"/>
      <c r="M472" s="5230"/>
      <c r="N472" s="5230"/>
      <c r="O472" s="5230"/>
      <c r="P472" s="5230"/>
      <c r="Q472" s="5230"/>
      <c r="R472" s="716"/>
      <c r="S472" s="716"/>
      <c r="T472" s="716"/>
      <c r="U472" s="716"/>
      <c r="V472" s="716"/>
      <c r="W472" s="716"/>
      <c r="X472" s="716"/>
      <c r="Y472" s="716"/>
      <c r="Z472" s="716"/>
      <c r="AA472" s="2730">
        <v>1</v>
      </c>
    </row>
    <row r="473" spans="1:27" s="5229" customFormat="1" ht="21" customHeight="1">
      <c r="A473" s="9186"/>
      <c r="B473" s="9265"/>
      <c r="C473" s="9266"/>
      <c r="D473" s="9266"/>
      <c r="E473" s="9266"/>
      <c r="F473" s="9266"/>
      <c r="G473" s="9266"/>
      <c r="H473" s="9266"/>
      <c r="I473" s="9266"/>
      <c r="J473" s="9266"/>
      <c r="K473" s="9267"/>
      <c r="L473" s="5230"/>
      <c r="M473" s="5230"/>
      <c r="N473" s="5230"/>
      <c r="O473" s="5230"/>
      <c r="P473" s="5230"/>
      <c r="Q473" s="5230"/>
      <c r="R473" s="716"/>
      <c r="S473" s="716"/>
      <c r="T473" s="716"/>
      <c r="U473" s="716"/>
      <c r="V473" s="716"/>
      <c r="W473" s="716"/>
      <c r="X473" s="716"/>
      <c r="Y473" s="716"/>
      <c r="Z473" s="716"/>
      <c r="AA473" s="2730">
        <v>1</v>
      </c>
    </row>
    <row r="474" spans="1:27" s="5229" customFormat="1" ht="21" customHeight="1">
      <c r="A474" s="9186"/>
      <c r="B474" s="9265" t="s">
        <v>257</v>
      </c>
      <c r="C474" s="9266"/>
      <c r="D474" s="9266"/>
      <c r="E474" s="9266"/>
      <c r="F474" s="9266"/>
      <c r="G474" s="9266"/>
      <c r="H474" s="9266"/>
      <c r="I474" s="9266"/>
      <c r="J474" s="9266"/>
      <c r="K474" s="9267"/>
      <c r="L474" s="5230"/>
      <c r="M474" s="5230"/>
      <c r="N474" s="5230"/>
      <c r="O474" s="5230"/>
      <c r="P474" s="5230"/>
      <c r="Q474" s="5230"/>
      <c r="R474" s="716"/>
      <c r="S474" s="716"/>
      <c r="T474" s="716"/>
      <c r="U474" s="716"/>
      <c r="V474" s="716"/>
      <c r="W474" s="716"/>
      <c r="X474" s="716"/>
      <c r="Y474" s="716"/>
      <c r="Z474" s="716"/>
      <c r="AA474" s="2730">
        <v>1</v>
      </c>
    </row>
    <row r="475" spans="1:27" s="5229" customFormat="1" ht="21" customHeight="1">
      <c r="A475" s="9186"/>
      <c r="B475" s="9265"/>
      <c r="C475" s="9266"/>
      <c r="D475" s="9266"/>
      <c r="E475" s="9266"/>
      <c r="F475" s="9266"/>
      <c r="G475" s="9266"/>
      <c r="H475" s="9266"/>
      <c r="I475" s="9266"/>
      <c r="J475" s="9266"/>
      <c r="K475" s="9267"/>
      <c r="L475" s="5230"/>
      <c r="M475" s="5230"/>
      <c r="N475" s="5230"/>
      <c r="O475" s="5230"/>
      <c r="P475" s="5230"/>
      <c r="Q475" s="5230"/>
      <c r="R475" s="716"/>
      <c r="S475" s="716"/>
      <c r="T475" s="716"/>
      <c r="U475" s="716"/>
      <c r="V475" s="716"/>
      <c r="W475" s="716"/>
      <c r="X475" s="716"/>
      <c r="Y475" s="716"/>
      <c r="Z475" s="716"/>
      <c r="AA475" s="2730">
        <v>1</v>
      </c>
    </row>
    <row r="476" spans="1:27" s="5229" customFormat="1" ht="21" customHeight="1">
      <c r="A476" s="9186"/>
      <c r="B476" s="9265"/>
      <c r="C476" s="9266"/>
      <c r="D476" s="9266"/>
      <c r="E476" s="9266"/>
      <c r="F476" s="9266"/>
      <c r="G476" s="9266"/>
      <c r="H476" s="9266"/>
      <c r="I476" s="9266"/>
      <c r="J476" s="9266"/>
      <c r="K476" s="9267"/>
      <c r="L476" s="5444"/>
      <c r="M476" s="5230"/>
      <c r="N476" s="5230"/>
      <c r="O476" s="5230"/>
      <c r="P476" s="5230"/>
      <c r="Q476" s="5230"/>
      <c r="R476" s="716"/>
      <c r="S476" s="716"/>
      <c r="T476" s="716"/>
      <c r="U476" s="716"/>
      <c r="V476" s="716"/>
      <c r="W476" s="716"/>
      <c r="X476" s="716"/>
      <c r="Y476" s="716"/>
      <c r="Z476" s="716"/>
      <c r="AA476" s="2730">
        <v>1</v>
      </c>
    </row>
    <row r="477" spans="1:27" s="5229" customFormat="1" ht="21" customHeight="1" thickBot="1">
      <c r="A477" s="9186"/>
      <c r="B477" s="6084"/>
      <c r="C477" s="6085"/>
      <c r="D477" s="6085"/>
      <c r="E477" s="6085"/>
      <c r="F477" s="6085"/>
      <c r="G477" s="6085"/>
      <c r="H477" s="6085"/>
      <c r="I477" s="6085"/>
      <c r="J477" s="6085"/>
      <c r="K477" s="6086"/>
      <c r="L477" s="5444"/>
      <c r="M477" s="5230"/>
      <c r="N477" s="5230"/>
      <c r="O477" s="5230"/>
      <c r="P477" s="5230"/>
      <c r="Q477" s="5230"/>
      <c r="R477" s="716"/>
      <c r="S477" s="716"/>
      <c r="T477" s="716"/>
      <c r="U477" s="716"/>
      <c r="V477" s="716"/>
      <c r="W477" s="716"/>
      <c r="X477" s="716"/>
      <c r="Y477" s="716"/>
      <c r="Z477" s="716"/>
      <c r="AA477" s="2730">
        <v>1</v>
      </c>
    </row>
    <row r="478" spans="1:27" s="5229" customFormat="1" ht="21" customHeight="1">
      <c r="A478" s="716"/>
      <c r="B478" s="716"/>
      <c r="C478" s="716"/>
      <c r="D478" s="716"/>
      <c r="E478" s="716"/>
      <c r="F478" s="716"/>
      <c r="G478" s="716"/>
      <c r="H478" s="716"/>
      <c r="I478" s="716"/>
      <c r="J478" s="716"/>
      <c r="K478" s="716"/>
      <c r="L478" s="716"/>
      <c r="M478" s="716"/>
      <c r="N478" s="716"/>
      <c r="O478" s="716"/>
      <c r="P478" s="716"/>
      <c r="Q478" s="716"/>
      <c r="R478" s="716"/>
      <c r="S478" s="716"/>
      <c r="T478" s="716"/>
      <c r="U478" s="716"/>
      <c r="V478" s="716"/>
      <c r="W478" s="716"/>
      <c r="X478" s="716"/>
      <c r="Y478" s="716"/>
      <c r="Z478" s="716"/>
      <c r="AA478" s="2730">
        <v>1</v>
      </c>
    </row>
    <row r="479" spans="1:27" s="5229" customFormat="1" ht="21" customHeight="1">
      <c r="A479" s="6047"/>
      <c r="B479" s="6048"/>
      <c r="C479" s="6049"/>
      <c r="D479" s="6049"/>
      <c r="E479" s="6049"/>
      <c r="F479" s="6049"/>
      <c r="G479" s="6049"/>
      <c r="H479" s="6049"/>
      <c r="I479" s="6049"/>
      <c r="J479" s="6048"/>
      <c r="K479" s="6048"/>
      <c r="L479" s="6048"/>
      <c r="M479" s="6047"/>
      <c r="N479" s="6047"/>
      <c r="O479" s="6047"/>
      <c r="P479" s="6047"/>
      <c r="Q479" s="6047"/>
      <c r="R479" s="716"/>
      <c r="S479" s="716"/>
      <c r="T479" s="716"/>
      <c r="U479" s="716"/>
      <c r="V479" s="716"/>
      <c r="W479" s="716"/>
      <c r="X479" s="716"/>
      <c r="Y479" s="716"/>
      <c r="Z479" s="716"/>
      <c r="AA479" s="2730">
        <v>1</v>
      </c>
    </row>
    <row r="480" spans="1:27" s="5229" customFormat="1" ht="21" customHeight="1">
      <c r="A480" s="716"/>
      <c r="B480" s="716"/>
      <c r="C480" s="716"/>
      <c r="D480" s="716"/>
      <c r="E480" s="716"/>
      <c r="F480" s="716"/>
      <c r="G480" s="716"/>
      <c r="H480" s="716"/>
      <c r="I480" s="716"/>
      <c r="J480" s="716"/>
      <c r="K480" s="716"/>
      <c r="L480" s="716"/>
      <c r="M480" s="716"/>
      <c r="N480" s="716"/>
      <c r="O480" s="716"/>
      <c r="P480" s="716"/>
      <c r="Q480" s="716"/>
      <c r="R480" s="716"/>
      <c r="S480" s="716"/>
      <c r="T480" s="716"/>
      <c r="U480" s="716"/>
      <c r="V480" s="716"/>
      <c r="W480" s="716"/>
      <c r="X480" s="716"/>
      <c r="Y480" s="716"/>
      <c r="Z480" s="716"/>
      <c r="AA480" s="2730">
        <v>1</v>
      </c>
    </row>
    <row r="481" spans="1:27" s="5229" customFormat="1" ht="21" customHeight="1">
      <c r="A481" s="5447" t="s">
        <v>67</v>
      </c>
      <c r="B481" s="9273" t="s">
        <v>206</v>
      </c>
      <c r="C481" s="9273"/>
      <c r="D481" s="9273"/>
      <c r="E481" s="9273"/>
      <c r="F481" s="9273"/>
      <c r="G481" s="9273"/>
      <c r="H481" s="9273"/>
      <c r="I481" s="9273"/>
      <c r="J481" s="9273"/>
      <c r="K481" s="9273"/>
      <c r="L481" s="9273"/>
      <c r="M481" s="9273"/>
      <c r="N481" s="9273"/>
      <c r="O481" s="5444"/>
      <c r="P481" s="5444"/>
      <c r="Q481" s="5444"/>
      <c r="R481" s="716"/>
      <c r="S481" s="716"/>
      <c r="T481" s="716"/>
      <c r="U481" s="716"/>
      <c r="V481" s="716"/>
      <c r="W481" s="716"/>
      <c r="X481" s="716"/>
      <c r="Y481" s="716"/>
      <c r="Z481" s="716"/>
      <c r="AA481" s="2730">
        <v>1</v>
      </c>
    </row>
    <row r="482" spans="1:27" s="5229" customFormat="1" ht="21" customHeight="1">
      <c r="A482" s="9274" t="str">
        <f>B481</f>
        <v>Combien faut-il commander pour des effectifs et des grammages différents</v>
      </c>
      <c r="B482" s="5249" t="str">
        <f>ADDRESS(ROW(),COLUMN(),4)</f>
        <v>B482</v>
      </c>
      <c r="C482" s="5850" t="s">
        <v>14788</v>
      </c>
      <c r="D482" s="5851"/>
      <c r="E482" s="5851"/>
      <c r="F482" s="5851"/>
      <c r="G482" s="5851"/>
      <c r="H482" s="5851"/>
      <c r="I482" s="5851"/>
      <c r="J482" s="5851"/>
      <c r="K482" s="5851"/>
      <c r="L482" s="5851"/>
      <c r="M482" s="5851"/>
      <c r="N482" s="5301"/>
      <c r="O482" s="5444"/>
      <c r="P482" s="5444"/>
      <c r="Q482" s="5444"/>
      <c r="R482" s="716"/>
      <c r="S482" s="716"/>
      <c r="T482" s="716"/>
      <c r="U482" s="716"/>
      <c r="V482" s="716"/>
      <c r="W482" s="716"/>
      <c r="X482" s="716"/>
      <c r="Y482" s="716"/>
      <c r="Z482" s="716"/>
      <c r="AA482" s="2730">
        <v>1</v>
      </c>
    </row>
    <row r="483" spans="1:27" s="5229" customFormat="1" ht="21" customHeight="1">
      <c r="A483" s="9274"/>
      <c r="B483" s="6087"/>
      <c r="C483" s="5444"/>
      <c r="D483" s="5444"/>
      <c r="E483" s="5444"/>
      <c r="F483" s="5444"/>
      <c r="G483" s="5444"/>
      <c r="H483" s="5444"/>
      <c r="I483" s="5444"/>
      <c r="J483" s="5444"/>
      <c r="K483" s="5444"/>
      <c r="L483" s="5444"/>
      <c r="M483" s="5444"/>
      <c r="N483" s="6088"/>
      <c r="O483" s="5444"/>
      <c r="P483" s="5444"/>
      <c r="Q483" s="5444"/>
      <c r="R483" s="716"/>
      <c r="S483" s="716"/>
      <c r="T483" s="716"/>
      <c r="U483" s="716"/>
      <c r="V483" s="716"/>
      <c r="W483" s="716"/>
      <c r="X483" s="716"/>
      <c r="Y483" s="716"/>
      <c r="Z483" s="716"/>
      <c r="AA483" s="2730">
        <v>1</v>
      </c>
    </row>
    <row r="484" spans="1:27" s="5229" customFormat="1" ht="21" customHeight="1">
      <c r="A484" s="9274"/>
      <c r="B484" s="9275" t="s">
        <v>207</v>
      </c>
      <c r="C484" s="9276"/>
      <c r="D484" s="9276"/>
      <c r="E484" s="9276"/>
      <c r="F484" s="9276"/>
      <c r="G484" s="9276"/>
      <c r="H484" s="9276"/>
      <c r="I484" s="9276"/>
      <c r="J484" s="9276"/>
      <c r="K484" s="9276"/>
      <c r="L484" s="9276"/>
      <c r="M484" s="9276"/>
      <c r="N484" s="9277"/>
      <c r="O484" s="5444"/>
      <c r="P484" s="5444"/>
      <c r="Q484" s="5444"/>
      <c r="R484" s="716"/>
      <c r="S484" s="716"/>
      <c r="T484" s="716"/>
      <c r="U484" s="716"/>
      <c r="V484" s="716"/>
      <c r="W484" s="716"/>
      <c r="X484" s="716"/>
      <c r="Y484" s="716"/>
      <c r="Z484" s="716"/>
      <c r="AA484" s="2730">
        <v>1</v>
      </c>
    </row>
    <row r="485" spans="1:27" s="5229" customFormat="1" ht="21" customHeight="1">
      <c r="A485" s="9274"/>
      <c r="B485" s="6089"/>
      <c r="C485" s="6090"/>
      <c r="D485" s="6090"/>
      <c r="E485" s="6090"/>
      <c r="F485" s="6090"/>
      <c r="G485" s="6090"/>
      <c r="H485" s="6090"/>
      <c r="I485" s="6090"/>
      <c r="J485" s="6090"/>
      <c r="K485" s="6090"/>
      <c r="L485" s="6090"/>
      <c r="M485" s="6090"/>
      <c r="N485" s="6091"/>
      <c r="O485" s="5444"/>
      <c r="P485" s="5444"/>
      <c r="Q485" s="5444"/>
      <c r="R485" s="716"/>
      <c r="S485" s="716"/>
      <c r="T485" s="716"/>
      <c r="U485" s="716"/>
      <c r="V485" s="716"/>
      <c r="W485" s="716"/>
      <c r="X485" s="716"/>
      <c r="Y485" s="716"/>
      <c r="Z485" s="716"/>
      <c r="AA485" s="2730">
        <v>1</v>
      </c>
    </row>
    <row r="486" spans="1:27" s="5229" customFormat="1" ht="21" customHeight="1">
      <c r="A486" s="9274"/>
      <c r="B486" s="6092"/>
      <c r="C486" s="6093"/>
      <c r="D486" s="6093"/>
      <c r="E486" s="6094" t="s">
        <v>208</v>
      </c>
      <c r="F486" s="6095">
        <v>250</v>
      </c>
      <c r="G486" s="6095">
        <v>620</v>
      </c>
      <c r="H486" s="6095">
        <v>37</v>
      </c>
      <c r="I486" s="6095">
        <v>14</v>
      </c>
      <c r="J486" s="5864">
        <f>SUM(F486:I486)</f>
        <v>921</v>
      </c>
      <c r="K486" s="6096" t="s">
        <v>209</v>
      </c>
      <c r="L486" s="6097"/>
      <c r="M486" s="5230"/>
      <c r="N486" s="6098"/>
      <c r="O486" s="5444"/>
      <c r="P486" s="5444"/>
      <c r="Q486" s="5444"/>
      <c r="R486" s="716"/>
      <c r="S486" s="716"/>
      <c r="T486" s="716"/>
      <c r="U486" s="716"/>
      <c r="V486" s="716"/>
      <c r="W486" s="716"/>
      <c r="X486" s="716"/>
      <c r="Y486" s="716"/>
      <c r="Z486" s="716"/>
      <c r="AA486" s="2730">
        <v>1</v>
      </c>
    </row>
    <row r="487" spans="1:27" s="5229" customFormat="1" ht="21" customHeight="1">
      <c r="A487" s="9274"/>
      <c r="B487" s="6092"/>
      <c r="C487" s="6093"/>
      <c r="D487" s="6093"/>
      <c r="E487" s="6099" t="s">
        <v>210</v>
      </c>
      <c r="F487" s="6100">
        <v>4.4999999999999998E-2</v>
      </c>
      <c r="G487" s="6100">
        <v>7.0000000000000007E-2</v>
      </c>
      <c r="H487" s="6100">
        <v>0.11</v>
      </c>
      <c r="I487" s="6101">
        <v>0.13</v>
      </c>
      <c r="J487" s="5230"/>
      <c r="K487" s="6102" t="s">
        <v>211</v>
      </c>
      <c r="L487" s="6103">
        <v>25</v>
      </c>
      <c r="M487" s="6104" t="s">
        <v>212</v>
      </c>
      <c r="N487" s="6098"/>
      <c r="O487" s="5444"/>
      <c r="P487" s="5444"/>
      <c r="Q487" s="5444"/>
      <c r="R487" s="716"/>
      <c r="S487" s="716"/>
      <c r="T487" s="716"/>
      <c r="U487" s="716"/>
      <c r="V487" s="716"/>
      <c r="W487" s="716"/>
      <c r="X487" s="716"/>
      <c r="Y487" s="716"/>
      <c r="Z487" s="716"/>
      <c r="AA487" s="2730">
        <v>1</v>
      </c>
    </row>
    <row r="488" spans="1:27" s="5229" customFormat="1" ht="21" customHeight="1">
      <c r="A488" s="9274"/>
      <c r="B488" s="6092"/>
      <c r="C488" s="6093"/>
      <c r="D488" s="6093"/>
      <c r="E488" s="6105" t="s">
        <v>213</v>
      </c>
      <c r="F488" s="6106" t="s">
        <v>214</v>
      </c>
      <c r="G488" s="6107" t="s">
        <v>215</v>
      </c>
      <c r="H488" s="6108" t="s">
        <v>216</v>
      </c>
      <c r="I488" s="6107" t="s">
        <v>201</v>
      </c>
      <c r="J488" s="9278" t="s">
        <v>217</v>
      </c>
      <c r="K488" s="9278"/>
      <c r="L488" s="9278"/>
      <c r="M488" s="5230"/>
      <c r="N488" s="6098"/>
      <c r="O488" s="5444"/>
      <c r="P488" s="5444"/>
      <c r="Q488" s="5444"/>
      <c r="R488" s="716"/>
      <c r="S488" s="716"/>
      <c r="T488" s="716"/>
      <c r="U488" s="716"/>
      <c r="V488" s="716"/>
      <c r="W488" s="716"/>
      <c r="X488" s="716"/>
      <c r="Y488" s="716"/>
      <c r="Z488" s="716"/>
      <c r="AA488" s="2730">
        <v>1</v>
      </c>
    </row>
    <row r="489" spans="1:27" s="5229" customFormat="1" ht="21" customHeight="1">
      <c r="A489" s="9274"/>
      <c r="B489" s="6092"/>
      <c r="C489" s="6093"/>
      <c r="D489" s="6093"/>
      <c r="E489" s="6109" t="s">
        <v>218</v>
      </c>
      <c r="F489" s="6110">
        <f>F487*F486</f>
        <v>11.25</v>
      </c>
      <c r="G489" s="6110">
        <f>G487*G486</f>
        <v>43.400000000000006</v>
      </c>
      <c r="H489" s="6110">
        <f>H487*H486</f>
        <v>4.07</v>
      </c>
      <c r="I489" s="6111">
        <f>I487*I486</f>
        <v>1.82</v>
      </c>
      <c r="J489" s="6112">
        <f>SUM(F489:I489)</f>
        <v>60.540000000000006</v>
      </c>
      <c r="K489" s="6112"/>
      <c r="L489" s="6113" t="s">
        <v>219</v>
      </c>
      <c r="M489" s="5230"/>
      <c r="N489" s="6114"/>
      <c r="O489" s="5444"/>
      <c r="P489" s="5444"/>
      <c r="Q489" s="5444"/>
      <c r="R489" s="716"/>
      <c r="S489" s="716"/>
      <c r="T489" s="716"/>
      <c r="U489" s="716"/>
      <c r="V489" s="716"/>
      <c r="W489" s="716"/>
      <c r="X489" s="716"/>
      <c r="Y489" s="716"/>
      <c r="Z489" s="716"/>
      <c r="AA489" s="2730">
        <v>1</v>
      </c>
    </row>
    <row r="490" spans="1:27" s="5229" customFormat="1" ht="21" customHeight="1">
      <c r="A490" s="9274"/>
      <c r="B490" s="6092"/>
      <c r="C490" s="6093"/>
      <c r="D490" s="6093"/>
      <c r="E490" s="6115" t="s">
        <v>220</v>
      </c>
      <c r="F490" s="6116">
        <f>F489/(100-L487)*100</f>
        <v>15</v>
      </c>
      <c r="G490" s="6116">
        <f>G489/(100-L487)*100</f>
        <v>57.866666666666674</v>
      </c>
      <c r="H490" s="6116">
        <f>H489/(100-L487)*100</f>
        <v>5.4266666666666667</v>
      </c>
      <c r="I490" s="6117">
        <f>I489/(100-L487)*100</f>
        <v>2.4266666666666667</v>
      </c>
      <c r="J490" s="6118">
        <f>SUM(F490:I490)</f>
        <v>80.72</v>
      </c>
      <c r="K490" s="6119"/>
      <c r="L490" s="5900" t="s">
        <v>221</v>
      </c>
      <c r="M490" s="5230"/>
      <c r="N490" s="6114"/>
      <c r="O490" s="5444"/>
      <c r="P490" s="5444"/>
      <c r="Q490" s="5444"/>
      <c r="R490" s="716"/>
      <c r="S490" s="716"/>
      <c r="T490" s="716"/>
      <c r="U490" s="716"/>
      <c r="V490" s="716"/>
      <c r="W490" s="716"/>
      <c r="X490" s="716"/>
      <c r="Y490" s="716"/>
      <c r="Z490" s="716"/>
      <c r="AA490" s="2730">
        <v>1</v>
      </c>
    </row>
    <row r="491" spans="1:27" s="5229" customFormat="1" ht="21" customHeight="1">
      <c r="A491" s="9274"/>
      <c r="B491" s="6092"/>
      <c r="C491" s="6093"/>
      <c r="D491" s="6093"/>
      <c r="E491" s="6093"/>
      <c r="F491" s="6093"/>
      <c r="G491" s="6093"/>
      <c r="H491" s="6093"/>
      <c r="I491" s="6093"/>
      <c r="J491" s="6120">
        <f>J490-J489</f>
        <v>20.179999999999993</v>
      </c>
      <c r="K491" s="6120"/>
      <c r="L491" s="6121" t="s">
        <v>69</v>
      </c>
      <c r="M491" s="6122"/>
      <c r="N491" s="6098"/>
      <c r="O491" s="5444"/>
      <c r="P491" s="5444"/>
      <c r="Q491" s="5444"/>
      <c r="R491" s="716"/>
      <c r="S491" s="716"/>
      <c r="T491" s="716"/>
      <c r="U491" s="716"/>
      <c r="V491" s="716"/>
      <c r="W491" s="716"/>
      <c r="X491" s="716"/>
      <c r="Y491" s="716"/>
      <c r="Z491" s="716"/>
      <c r="AA491" s="2730">
        <v>1</v>
      </c>
    </row>
    <row r="492" spans="1:27" s="5229" customFormat="1" ht="21" customHeight="1">
      <c r="A492" s="9274"/>
      <c r="B492" s="6092"/>
      <c r="C492" s="6093"/>
      <c r="D492" s="6093"/>
      <c r="E492" s="6093"/>
      <c r="F492" s="6093"/>
      <c r="G492" s="6093"/>
      <c r="H492" s="6093"/>
      <c r="I492" s="6093"/>
      <c r="J492" s="6123">
        <f>(J491/J486)*1000</f>
        <v>21.910966340933761</v>
      </c>
      <c r="K492" s="6120"/>
      <c r="L492" s="6121" t="s">
        <v>222</v>
      </c>
      <c r="M492" s="6122"/>
      <c r="N492" s="6098"/>
      <c r="O492" s="5444"/>
      <c r="P492" s="5444"/>
      <c r="Q492" s="5444"/>
      <c r="R492" s="716"/>
      <c r="S492" s="716"/>
      <c r="T492" s="716"/>
      <c r="U492" s="716"/>
      <c r="V492" s="716"/>
      <c r="W492" s="716"/>
      <c r="X492" s="716"/>
      <c r="Y492" s="716"/>
      <c r="Z492" s="716"/>
      <c r="AA492" s="2730">
        <v>1</v>
      </c>
    </row>
    <row r="493" spans="1:27" s="5229" customFormat="1" ht="21" customHeight="1">
      <c r="A493" s="9274"/>
      <c r="B493" s="6092"/>
      <c r="C493" s="6124" t="s">
        <v>212</v>
      </c>
      <c r="D493" s="6125" t="s">
        <v>223</v>
      </c>
      <c r="E493" s="6093"/>
      <c r="F493" s="6093"/>
      <c r="G493" s="6093"/>
      <c r="H493" s="6093"/>
      <c r="I493" s="6093"/>
      <c r="J493" s="6093"/>
      <c r="K493" s="6093"/>
      <c r="L493" s="6093"/>
      <c r="M493" s="6093"/>
      <c r="N493" s="6098"/>
      <c r="O493" s="5444"/>
      <c r="P493" s="5444"/>
      <c r="Q493" s="5444"/>
      <c r="R493" s="716"/>
      <c r="S493" s="716"/>
      <c r="T493" s="716"/>
      <c r="U493" s="716"/>
      <c r="V493" s="716"/>
      <c r="W493" s="716"/>
      <c r="X493" s="716"/>
      <c r="Y493" s="716"/>
      <c r="Z493" s="716"/>
      <c r="AA493" s="2730">
        <v>1</v>
      </c>
    </row>
    <row r="494" spans="1:27" s="5229" customFormat="1" ht="21" customHeight="1">
      <c r="A494" s="9274"/>
      <c r="B494" s="6092"/>
      <c r="C494" s="6126"/>
      <c r="D494" s="6125" t="s">
        <v>224</v>
      </c>
      <c r="E494" s="6093"/>
      <c r="F494" s="6093"/>
      <c r="G494" s="6093"/>
      <c r="H494" s="6093"/>
      <c r="I494" s="6093"/>
      <c r="J494" s="6093"/>
      <c r="K494" s="6093"/>
      <c r="L494" s="6093"/>
      <c r="M494" s="6093"/>
      <c r="N494" s="6098"/>
      <c r="O494" s="5444"/>
      <c r="P494" s="5444"/>
      <c r="Q494" s="5444"/>
      <c r="R494" s="716"/>
      <c r="S494" s="716"/>
      <c r="T494" s="716"/>
      <c r="U494" s="716"/>
      <c r="V494" s="716"/>
      <c r="W494" s="716"/>
      <c r="X494" s="716"/>
      <c r="Y494" s="716"/>
      <c r="Z494" s="716"/>
      <c r="AA494" s="2730">
        <v>1</v>
      </c>
    </row>
    <row r="495" spans="1:27" s="5229" customFormat="1" ht="21" customHeight="1">
      <c r="A495" s="9274"/>
      <c r="B495" s="6127"/>
      <c r="C495" s="6009"/>
      <c r="D495" s="6009"/>
      <c r="E495" s="6009"/>
      <c r="F495" s="6009"/>
      <c r="G495" s="6009"/>
      <c r="H495" s="6009"/>
      <c r="I495" s="6009"/>
      <c r="J495" s="6009"/>
      <c r="K495" s="6009"/>
      <c r="L495" s="6009"/>
      <c r="M495" s="6009"/>
      <c r="N495" s="6128"/>
      <c r="O495" s="5444"/>
      <c r="P495" s="5444"/>
      <c r="Q495" s="5444"/>
      <c r="R495" s="716"/>
      <c r="S495" s="716"/>
      <c r="T495" s="716"/>
      <c r="U495" s="716"/>
      <c r="V495" s="716"/>
      <c r="W495" s="716"/>
      <c r="X495" s="716"/>
      <c r="Y495" s="716"/>
      <c r="Z495" s="716"/>
      <c r="AA495" s="2730">
        <v>1</v>
      </c>
    </row>
    <row r="496" spans="1:27" s="5229" customFormat="1" ht="21" customHeight="1">
      <c r="A496" s="716"/>
      <c r="B496" s="716"/>
      <c r="C496" s="716"/>
      <c r="D496" s="716"/>
      <c r="E496" s="716"/>
      <c r="F496" s="716"/>
      <c r="G496" s="716"/>
      <c r="H496" s="716"/>
      <c r="I496" s="716"/>
      <c r="J496" s="716"/>
      <c r="K496" s="716"/>
      <c r="L496" s="716"/>
      <c r="M496" s="716"/>
      <c r="N496" s="716"/>
      <c r="O496" s="716"/>
      <c r="P496" s="716"/>
      <c r="Q496" s="716"/>
      <c r="R496" s="716"/>
      <c r="S496" s="716"/>
      <c r="T496" s="716"/>
      <c r="U496" s="716"/>
      <c r="V496" s="716"/>
      <c r="W496" s="716"/>
      <c r="X496" s="716"/>
      <c r="Y496" s="716"/>
      <c r="Z496" s="716"/>
      <c r="AA496" s="5435" t="s">
        <v>7037</v>
      </c>
    </row>
    <row r="497" spans="1:27" s="5229" customFormat="1" ht="15">
      <c r="A497" s="2730">
        <v>1</v>
      </c>
      <c r="B497" s="2730">
        <v>1</v>
      </c>
      <c r="C497" s="2730">
        <v>1</v>
      </c>
      <c r="D497" s="2730">
        <v>1</v>
      </c>
      <c r="E497" s="2730">
        <v>1</v>
      </c>
      <c r="F497" s="2730">
        <v>1</v>
      </c>
      <c r="G497" s="2730">
        <v>1</v>
      </c>
      <c r="H497" s="2730">
        <v>1</v>
      </c>
      <c r="I497" s="2730">
        <v>1</v>
      </c>
      <c r="J497" s="2730">
        <v>1</v>
      </c>
      <c r="K497" s="2730">
        <v>1</v>
      </c>
      <c r="L497" s="2730">
        <v>1</v>
      </c>
      <c r="M497" s="2730">
        <v>1</v>
      </c>
      <c r="N497" s="2730">
        <v>1</v>
      </c>
      <c r="O497" s="2730">
        <v>1</v>
      </c>
      <c r="P497" s="2730">
        <v>1</v>
      </c>
      <c r="Q497" s="2730">
        <v>1</v>
      </c>
      <c r="R497" s="2730">
        <v>1</v>
      </c>
      <c r="S497" s="2730">
        <v>1</v>
      </c>
      <c r="T497" s="2730">
        <v>1</v>
      </c>
      <c r="U497" s="2730">
        <v>1</v>
      </c>
      <c r="V497" s="2730">
        <v>1</v>
      </c>
      <c r="W497" s="2730">
        <v>1</v>
      </c>
      <c r="X497" s="2730">
        <v>1</v>
      </c>
      <c r="Y497" s="2730">
        <v>1</v>
      </c>
      <c r="Z497" s="2730">
        <v>1</v>
      </c>
      <c r="AA497" s="2732" t="str">
        <f>ADDRESS(ROW(),COLUMN(),4)</f>
        <v>AA497</v>
      </c>
    </row>
  </sheetData>
  <mergeCells count="422">
    <mergeCell ref="B4:Q4"/>
    <mergeCell ref="B51:Q52"/>
    <mergeCell ref="B54:G55"/>
    <mergeCell ref="J54:O54"/>
    <mergeCell ref="A55:A69"/>
    <mergeCell ref="I55:I76"/>
    <mergeCell ref="K55:O55"/>
    <mergeCell ref="B57:G58"/>
    <mergeCell ref="J57:O59"/>
    <mergeCell ref="C59:G59"/>
    <mergeCell ref="B66:B67"/>
    <mergeCell ref="C66:G67"/>
    <mergeCell ref="B68:B69"/>
    <mergeCell ref="C68:G69"/>
    <mergeCell ref="B71:C72"/>
    <mergeCell ref="D71:E72"/>
    <mergeCell ref="F71:F72"/>
    <mergeCell ref="G71:G72"/>
    <mergeCell ref="C60:G60"/>
    <mergeCell ref="C61:G61"/>
    <mergeCell ref="C62:G62"/>
    <mergeCell ref="C63:G63"/>
    <mergeCell ref="C64:G64"/>
    <mergeCell ref="C65:G65"/>
    <mergeCell ref="L80:O83"/>
    <mergeCell ref="C84:H84"/>
    <mergeCell ref="L84:O86"/>
    <mergeCell ref="C87:J87"/>
    <mergeCell ref="C89:I89"/>
    <mergeCell ref="L89:O89"/>
    <mergeCell ref="A72:A78"/>
    <mergeCell ref="B74:C74"/>
    <mergeCell ref="J74:N76"/>
    <mergeCell ref="B75:C75"/>
    <mergeCell ref="B76:C76"/>
    <mergeCell ref="B77:C77"/>
    <mergeCell ref="B78:C78"/>
    <mergeCell ref="L90:O93"/>
    <mergeCell ref="L94:O96"/>
    <mergeCell ref="L97:O99"/>
    <mergeCell ref="B102:T102"/>
    <mergeCell ref="A103:A120"/>
    <mergeCell ref="B104:K104"/>
    <mergeCell ref="L104:T104"/>
    <mergeCell ref="B105:D108"/>
    <mergeCell ref="E105:E108"/>
    <mergeCell ref="F105:F108"/>
    <mergeCell ref="B110:D110"/>
    <mergeCell ref="M110:N110"/>
    <mergeCell ref="B111:D111"/>
    <mergeCell ref="M111:N111"/>
    <mergeCell ref="B112:D112"/>
    <mergeCell ref="M112:N112"/>
    <mergeCell ref="G105:K105"/>
    <mergeCell ref="L105:M106"/>
    <mergeCell ref="N105:T108"/>
    <mergeCell ref="L107:M107"/>
    <mergeCell ref="G108:K108"/>
    <mergeCell ref="L108:M108"/>
    <mergeCell ref="A123:A135"/>
    <mergeCell ref="B124:D124"/>
    <mergeCell ref="B125:D125"/>
    <mergeCell ref="B126:D126"/>
    <mergeCell ref="B127:D127"/>
    <mergeCell ref="B128:D128"/>
    <mergeCell ref="B113:D113"/>
    <mergeCell ref="M113:N113"/>
    <mergeCell ref="B115:D115"/>
    <mergeCell ref="M115:N115"/>
    <mergeCell ref="B116:D116"/>
    <mergeCell ref="M116:N116"/>
    <mergeCell ref="B129:D129"/>
    <mergeCell ref="B130:D130"/>
    <mergeCell ref="B131:D131"/>
    <mergeCell ref="B133:D133"/>
    <mergeCell ref="B134:D134"/>
    <mergeCell ref="B135:D135"/>
    <mergeCell ref="B117:D117"/>
    <mergeCell ref="M117:N117"/>
    <mergeCell ref="G120:K120"/>
    <mergeCell ref="B122:F122"/>
    <mergeCell ref="B137:L137"/>
    <mergeCell ref="A138:A156"/>
    <mergeCell ref="C139:D139"/>
    <mergeCell ref="G139:H139"/>
    <mergeCell ref="C141:C142"/>
    <mergeCell ref="D141:D142"/>
    <mergeCell ref="E141:E142"/>
    <mergeCell ref="F141:F142"/>
    <mergeCell ref="C148:E148"/>
    <mergeCell ref="B158:L158"/>
    <mergeCell ref="A159:A169"/>
    <mergeCell ref="B166:K166"/>
    <mergeCell ref="B167:K167"/>
    <mergeCell ref="B171:K171"/>
    <mergeCell ref="A172:A183"/>
    <mergeCell ref="G176:H176"/>
    <mergeCell ref="B178:J178"/>
    <mergeCell ref="B179:K179"/>
    <mergeCell ref="B186:E186"/>
    <mergeCell ref="H186:S186"/>
    <mergeCell ref="A187:A199"/>
    <mergeCell ref="G187:G191"/>
    <mergeCell ref="B188:B189"/>
    <mergeCell ref="C188:C189"/>
    <mergeCell ref="D188:D189"/>
    <mergeCell ref="E188:E189"/>
    <mergeCell ref="H188:H189"/>
    <mergeCell ref="I188:I189"/>
    <mergeCell ref="R189:R190"/>
    <mergeCell ref="S189:S190"/>
    <mergeCell ref="B191:B192"/>
    <mergeCell ref="H191:K191"/>
    <mergeCell ref="B193:B194"/>
    <mergeCell ref="B196:E197"/>
    <mergeCell ref="J188:J189"/>
    <mergeCell ref="K188:K189"/>
    <mergeCell ref="L188:L190"/>
    <mergeCell ref="M188:M189"/>
    <mergeCell ref="P188:P190"/>
    <mergeCell ref="Q188:Q189"/>
    <mergeCell ref="N189:N190"/>
    <mergeCell ref="O189:O190"/>
    <mergeCell ref="B198:E199"/>
    <mergeCell ref="B201:E201"/>
    <mergeCell ref="H201:S201"/>
    <mergeCell ref="A202:A217"/>
    <mergeCell ref="G202:G207"/>
    <mergeCell ref="M202:O202"/>
    <mergeCell ref="C203:E203"/>
    <mergeCell ref="H203:H204"/>
    <mergeCell ref="I203:I204"/>
    <mergeCell ref="J203:J204"/>
    <mergeCell ref="K203:K204"/>
    <mergeCell ref="L203:L205"/>
    <mergeCell ref="M203:M204"/>
    <mergeCell ref="P203:P204"/>
    <mergeCell ref="Q203:Q204"/>
    <mergeCell ref="B204:B205"/>
    <mergeCell ref="C204:C205"/>
    <mergeCell ref="D204:D205"/>
    <mergeCell ref="E204:E205"/>
    <mergeCell ref="O204:O205"/>
    <mergeCell ref="A221:A237"/>
    <mergeCell ref="M221:M230"/>
    <mergeCell ref="B222:F223"/>
    <mergeCell ref="N222:R223"/>
    <mergeCell ref="B224:K224"/>
    <mergeCell ref="N224:W224"/>
    <mergeCell ref="B225:E226"/>
    <mergeCell ref="H206:K206"/>
    <mergeCell ref="B207:B209"/>
    <mergeCell ref="C207:C208"/>
    <mergeCell ref="E208:E209"/>
    <mergeCell ref="B210:B211"/>
    <mergeCell ref="C210:C211"/>
    <mergeCell ref="F225:F226"/>
    <mergeCell ref="G225:G226"/>
    <mergeCell ref="H225:I226"/>
    <mergeCell ref="J225:K226"/>
    <mergeCell ref="N225:Q225"/>
    <mergeCell ref="S225:T225"/>
    <mergeCell ref="N226:Q226"/>
    <mergeCell ref="S226:T226"/>
    <mergeCell ref="B214:E214"/>
    <mergeCell ref="B220:K220"/>
    <mergeCell ref="N220:W220"/>
    <mergeCell ref="B229:K230"/>
    <mergeCell ref="P229:Q229"/>
    <mergeCell ref="N230:W230"/>
    <mergeCell ref="B231:C232"/>
    <mergeCell ref="D231:E232"/>
    <mergeCell ref="F231:K232"/>
    <mergeCell ref="N232:Z232"/>
    <mergeCell ref="B227:E228"/>
    <mergeCell ref="F227:F228"/>
    <mergeCell ref="G227:G228"/>
    <mergeCell ref="H227:I228"/>
    <mergeCell ref="J227:K228"/>
    <mergeCell ref="N227:W227"/>
    <mergeCell ref="O228:Q228"/>
    <mergeCell ref="R228:W228"/>
    <mergeCell ref="T236:W237"/>
    <mergeCell ref="X236:X237"/>
    <mergeCell ref="Y236:Y237"/>
    <mergeCell ref="Z236:Z237"/>
    <mergeCell ref="B237:K237"/>
    <mergeCell ref="U238:Y238"/>
    <mergeCell ref="I233:I234"/>
    <mergeCell ref="J233:J234"/>
    <mergeCell ref="K233:K234"/>
    <mergeCell ref="M233:M242"/>
    <mergeCell ref="N234:S234"/>
    <mergeCell ref="B235:C235"/>
    <mergeCell ref="Q235:R235"/>
    <mergeCell ref="B240:K240"/>
    <mergeCell ref="N240:P241"/>
    <mergeCell ref="Q240:Q241"/>
    <mergeCell ref="B233:C234"/>
    <mergeCell ref="D233:D234"/>
    <mergeCell ref="E233:E234"/>
    <mergeCell ref="F233:F234"/>
    <mergeCell ref="G233:G234"/>
    <mergeCell ref="H233:H234"/>
    <mergeCell ref="A241:A247"/>
    <mergeCell ref="B242:E243"/>
    <mergeCell ref="F242:I243"/>
    <mergeCell ref="J242:K243"/>
    <mergeCell ref="N242:Z242"/>
    <mergeCell ref="B244:B245"/>
    <mergeCell ref="C244:C245"/>
    <mergeCell ref="R240:R241"/>
    <mergeCell ref="S240:S241"/>
    <mergeCell ref="T240:T241"/>
    <mergeCell ref="U240:U241"/>
    <mergeCell ref="V240:V241"/>
    <mergeCell ref="W240:W241"/>
    <mergeCell ref="D244:D245"/>
    <mergeCell ref="E244:F245"/>
    <mergeCell ref="G244:G245"/>
    <mergeCell ref="H244:I245"/>
    <mergeCell ref="J244:K245"/>
    <mergeCell ref="B247:K247"/>
    <mergeCell ref="X240:X241"/>
    <mergeCell ref="Y240:Y241"/>
    <mergeCell ref="Z240:Z241"/>
    <mergeCell ref="M260:M261"/>
    <mergeCell ref="N260:N261"/>
    <mergeCell ref="O260:O261"/>
    <mergeCell ref="P260:P261"/>
    <mergeCell ref="Q260:Q261"/>
    <mergeCell ref="M268:O269"/>
    <mergeCell ref="Q268:Q269"/>
    <mergeCell ref="B249:J249"/>
    <mergeCell ref="M249:Q249"/>
    <mergeCell ref="L250:L274"/>
    <mergeCell ref="B251:B253"/>
    <mergeCell ref="C251:C253"/>
    <mergeCell ref="D251:D253"/>
    <mergeCell ref="M251:M253"/>
    <mergeCell ref="O251:O253"/>
    <mergeCell ref="Q251:Q253"/>
    <mergeCell ref="B271:J273"/>
    <mergeCell ref="A276:A277"/>
    <mergeCell ref="B276:M277"/>
    <mergeCell ref="N276:N277"/>
    <mergeCell ref="A278:A304"/>
    <mergeCell ref="B279:N279"/>
    <mergeCell ref="B280:N283"/>
    <mergeCell ref="B284:N284"/>
    <mergeCell ref="L285:M285"/>
    <mergeCell ref="L286:M286"/>
    <mergeCell ref="B304:N304"/>
    <mergeCell ref="A250:A273"/>
    <mergeCell ref="A306:A307"/>
    <mergeCell ref="B306:M307"/>
    <mergeCell ref="N306:N307"/>
    <mergeCell ref="A308:A341"/>
    <mergeCell ref="B309:N309"/>
    <mergeCell ref="B310:N313"/>
    <mergeCell ref="B314:N314"/>
    <mergeCell ref="L315:M315"/>
    <mergeCell ref="C298:D298"/>
    <mergeCell ref="F298:G298"/>
    <mergeCell ref="I298:J298"/>
    <mergeCell ref="L298:M298"/>
    <mergeCell ref="B300:N301"/>
    <mergeCell ref="C302:N302"/>
    <mergeCell ref="L316:M317"/>
    <mergeCell ref="B323:N323"/>
    <mergeCell ref="L324:M324"/>
    <mergeCell ref="L325:M325"/>
    <mergeCell ref="C335:D335"/>
    <mergeCell ref="F335:G335"/>
    <mergeCell ref="I335:J335"/>
    <mergeCell ref="L335:M335"/>
    <mergeCell ref="C303:N303"/>
    <mergeCell ref="B337:N338"/>
    <mergeCell ref="C339:N339"/>
    <mergeCell ref="C340:N340"/>
    <mergeCell ref="B341:N341"/>
    <mergeCell ref="A345:A355"/>
    <mergeCell ref="G345:G355"/>
    <mergeCell ref="B346:C347"/>
    <mergeCell ref="D346:D347"/>
    <mergeCell ref="E346:E347"/>
    <mergeCell ref="H347:H348"/>
    <mergeCell ref="J349:J350"/>
    <mergeCell ref="K349:K350"/>
    <mergeCell ref="L349:L350"/>
    <mergeCell ref="M349:M350"/>
    <mergeCell ref="N349:N350"/>
    <mergeCell ref="B351:B352"/>
    <mergeCell ref="C351:C352"/>
    <mergeCell ref="D351:D352"/>
    <mergeCell ref="E351:E352"/>
    <mergeCell ref="H351:N351"/>
    <mergeCell ref="B348:B349"/>
    <mergeCell ref="C348:C349"/>
    <mergeCell ref="D348:D349"/>
    <mergeCell ref="E348:E349"/>
    <mergeCell ref="H349:H350"/>
    <mergeCell ref="I349:I350"/>
    <mergeCell ref="I347:I348"/>
    <mergeCell ref="J347:J348"/>
    <mergeCell ref="K347:K348"/>
    <mergeCell ref="L347:L348"/>
    <mergeCell ref="M347:M348"/>
    <mergeCell ref="N347:N348"/>
    <mergeCell ref="N352:N353"/>
    <mergeCell ref="B353:B354"/>
    <mergeCell ref="C353:C354"/>
    <mergeCell ref="D353:D354"/>
    <mergeCell ref="E353:E354"/>
    <mergeCell ref="H354:N354"/>
    <mergeCell ref="H352:H353"/>
    <mergeCell ref="I352:I353"/>
    <mergeCell ref="J352:J353"/>
    <mergeCell ref="K352:K353"/>
    <mergeCell ref="L352:L353"/>
    <mergeCell ref="M352:M353"/>
    <mergeCell ref="B355:E355"/>
    <mergeCell ref="H355:K355"/>
    <mergeCell ref="B357:N357"/>
    <mergeCell ref="A358:A382"/>
    <mergeCell ref="B359:N360"/>
    <mergeCell ref="B361:N362"/>
    <mergeCell ref="C372:M372"/>
    <mergeCell ref="H373:M373"/>
    <mergeCell ref="D374:E374"/>
    <mergeCell ref="B381:N382"/>
    <mergeCell ref="B384:N384"/>
    <mergeCell ref="A385:A402"/>
    <mergeCell ref="B386:N387"/>
    <mergeCell ref="B388:N389"/>
    <mergeCell ref="B390:N390"/>
    <mergeCell ref="B392:C392"/>
    <mergeCell ref="G392:H392"/>
    <mergeCell ref="K392:L392"/>
    <mergeCell ref="B401:N402"/>
    <mergeCell ref="J408:K408"/>
    <mergeCell ref="B409:D409"/>
    <mergeCell ref="G409:H409"/>
    <mergeCell ref="J409:K409"/>
    <mergeCell ref="B410:D410"/>
    <mergeCell ref="G410:H410"/>
    <mergeCell ref="J410:K410"/>
    <mergeCell ref="B404:K404"/>
    <mergeCell ref="A405:A416"/>
    <mergeCell ref="B406:D406"/>
    <mergeCell ref="G406:H406"/>
    <mergeCell ref="J406:K406"/>
    <mergeCell ref="B407:D407"/>
    <mergeCell ref="G407:H407"/>
    <mergeCell ref="J407:K407"/>
    <mergeCell ref="B408:D408"/>
    <mergeCell ref="G408:H408"/>
    <mergeCell ref="B413:D413"/>
    <mergeCell ref="G413:H413"/>
    <mergeCell ref="J413:K413"/>
    <mergeCell ref="B414:D414"/>
    <mergeCell ref="B416:K416"/>
    <mergeCell ref="B418:K418"/>
    <mergeCell ref="B411:D411"/>
    <mergeCell ref="G411:H411"/>
    <mergeCell ref="J411:K411"/>
    <mergeCell ref="B412:D412"/>
    <mergeCell ref="G412:H412"/>
    <mergeCell ref="J412:K412"/>
    <mergeCell ref="A419:A444"/>
    <mergeCell ref="B420:K420"/>
    <mergeCell ref="B421:K421"/>
    <mergeCell ref="B422:K422"/>
    <mergeCell ref="B423:K423"/>
    <mergeCell ref="H426:J426"/>
    <mergeCell ref="H427:J427"/>
    <mergeCell ref="H431:J431"/>
    <mergeCell ref="H432:J432"/>
    <mergeCell ref="H433:J433"/>
    <mergeCell ref="H434:J434"/>
    <mergeCell ref="H435:J435"/>
    <mergeCell ref="H439:J439"/>
    <mergeCell ref="H441:J441"/>
    <mergeCell ref="H443:J443"/>
    <mergeCell ref="B448:K448"/>
    <mergeCell ref="F454:F455"/>
    <mergeCell ref="G454:G455"/>
    <mergeCell ref="H454:H455"/>
    <mergeCell ref="I454:I455"/>
    <mergeCell ref="D458:E459"/>
    <mergeCell ref="F458:F459"/>
    <mergeCell ref="G458:G459"/>
    <mergeCell ref="K460:K461"/>
    <mergeCell ref="G452:G453"/>
    <mergeCell ref="I452:J453"/>
    <mergeCell ref="B456:K457"/>
    <mergeCell ref="B458:B459"/>
    <mergeCell ref="C458:C459"/>
    <mergeCell ref="B470:K470"/>
    <mergeCell ref="B471:K473"/>
    <mergeCell ref="K452:K453"/>
    <mergeCell ref="D454:D455"/>
    <mergeCell ref="E454:E455"/>
    <mergeCell ref="B474:K476"/>
    <mergeCell ref="B481:N481"/>
    <mergeCell ref="A482:A495"/>
    <mergeCell ref="B484:N484"/>
    <mergeCell ref="J488:L488"/>
    <mergeCell ref="H458:I459"/>
    <mergeCell ref="J458:J459"/>
    <mergeCell ref="B460:B461"/>
    <mergeCell ref="C460:C461"/>
    <mergeCell ref="D460:E461"/>
    <mergeCell ref="F460:F461"/>
    <mergeCell ref="G460:G461"/>
    <mergeCell ref="I460:I461"/>
    <mergeCell ref="J460:J461"/>
    <mergeCell ref="A449:A477"/>
    <mergeCell ref="B450:K451"/>
    <mergeCell ref="B452:C453"/>
    <mergeCell ref="D452:D453"/>
    <mergeCell ref="E452:F453"/>
  </mergeCells>
  <conditionalFormatting sqref="A51">
    <cfRule type="expression" dxfId="22" priority="8" stopIfTrue="1">
      <formula>OR(ROW()=CELL("ligne"),COLUMN()=CELL("colonne"))</formula>
    </cfRule>
  </conditionalFormatting>
  <conditionalFormatting sqref="A54">
    <cfRule type="expression" dxfId="21" priority="19" stopIfTrue="1">
      <formula>OR(ROW()=CELL("ligne"),COLUMN()=CELL("colonne"))</formula>
    </cfRule>
  </conditionalFormatting>
  <conditionalFormatting sqref="A71">
    <cfRule type="expression" dxfId="20" priority="18" stopIfTrue="1">
      <formula>OR(ROW()=CELL("ligne"),COLUMN()=CELL("colonne"))</formula>
    </cfRule>
  </conditionalFormatting>
  <conditionalFormatting sqref="A102">
    <cfRule type="expression" dxfId="19" priority="7" stopIfTrue="1">
      <formula>OR(ROW()=CELL("ligne"),COLUMN()=CELL("colonne"))</formula>
    </cfRule>
  </conditionalFormatting>
  <conditionalFormatting sqref="A122:A123">
    <cfRule type="expression" dxfId="18" priority="13" stopIfTrue="1">
      <formula>OR(ROW()=CELL("ligne"),COLUMN()=CELL("colonne"))</formula>
    </cfRule>
  </conditionalFormatting>
  <conditionalFormatting sqref="A137:A138">
    <cfRule type="expression" dxfId="17" priority="14" stopIfTrue="1">
      <formula>OR(ROW()=CELL("ligne"),COLUMN()=CELL("colonne"))</formula>
    </cfRule>
  </conditionalFormatting>
  <conditionalFormatting sqref="A158:A159">
    <cfRule type="expression" dxfId="16" priority="2" stopIfTrue="1">
      <formula>OR(ROW()=CELL("ligne"),COLUMN()=CELL("colonne"))</formula>
    </cfRule>
  </conditionalFormatting>
  <conditionalFormatting sqref="A171:A172">
    <cfRule type="expression" dxfId="15" priority="1" stopIfTrue="1">
      <formula>OR(ROW()=CELL("ligne"),COLUMN()=CELL("colonne"))</formula>
    </cfRule>
  </conditionalFormatting>
  <conditionalFormatting sqref="A186:A187">
    <cfRule type="expression" dxfId="14" priority="16" stopIfTrue="1">
      <formula>OR(ROW()=CELL("ligne"),COLUMN()=CELL("colonne"))</formula>
    </cfRule>
  </conditionalFormatting>
  <conditionalFormatting sqref="A201:A202">
    <cfRule type="expression" dxfId="13" priority="15" stopIfTrue="1">
      <formula>OR(ROW()=CELL("ligne"),COLUMN()=CELL("colonne"))</formula>
    </cfRule>
  </conditionalFormatting>
  <conditionalFormatting sqref="A221">
    <cfRule type="expression" dxfId="12" priority="9" stopIfTrue="1">
      <formula>OR(ROW()=CELL("ligne"),COLUMN()=CELL("colonne"))</formula>
    </cfRule>
  </conditionalFormatting>
  <conditionalFormatting sqref="A241">
    <cfRule type="expression" dxfId="11" priority="11" stopIfTrue="1">
      <formula>OR(ROW()=CELL("ligne"),COLUMN()=CELL("colonne"))</formula>
    </cfRule>
  </conditionalFormatting>
  <conditionalFormatting sqref="A344">
    <cfRule type="expression" dxfId="10" priority="4" stopIfTrue="1">
      <formula>OR(ROW()=CELL("ligne"),COLUMN()=CELL("colonne"))</formula>
    </cfRule>
  </conditionalFormatting>
  <conditionalFormatting sqref="A481">
    <cfRule type="expression" dxfId="9" priority="3" stopIfTrue="1">
      <formula>OR(ROW()=CELL("ligne"),COLUMN()=CELL("colonne"))</formula>
    </cfRule>
  </conditionalFormatting>
  <conditionalFormatting sqref="G186:G187">
    <cfRule type="expression" dxfId="8" priority="6" stopIfTrue="1">
      <formula>OR(ROW()=CELL("ligne"),COLUMN()=CELL("colonne"))</formula>
    </cfRule>
  </conditionalFormatting>
  <conditionalFormatting sqref="G201:G202">
    <cfRule type="expression" dxfId="7" priority="5" stopIfTrue="1">
      <formula>OR(ROW()=CELL("ligne"),COLUMN()=CELL("colonne"))</formula>
    </cfRule>
  </conditionalFormatting>
  <conditionalFormatting sqref="G344">
    <cfRule type="expression" dxfId="6" priority="17" stopIfTrue="1">
      <formula>OR(ROW()=CELL("ligne"),COLUMN()=CELL("colonne"))</formula>
    </cfRule>
  </conditionalFormatting>
  <conditionalFormatting sqref="I54">
    <cfRule type="expression" dxfId="5" priority="20" stopIfTrue="1">
      <formula>OR(ROW()=CELL("ligne"),COLUMN()=CELL("colonne"))</formula>
    </cfRule>
  </conditionalFormatting>
  <conditionalFormatting sqref="M221">
    <cfRule type="expression" dxfId="4" priority="12" stopIfTrue="1">
      <formula>OR(ROW()=CELL("ligne"),COLUMN()=CELL("colonne"))</formula>
    </cfRule>
  </conditionalFormatting>
  <conditionalFormatting sqref="M233">
    <cfRule type="expression" dxfId="3" priority="10" stopIfTrue="1">
      <formula>OR(ROW()=CELL("ligne"),COLUMN()=CELL("colonne"))</formula>
    </cfRule>
  </conditionalFormatting>
  <hyperlinks>
    <hyperlink ref="K55" r:id="rId1" xr:uid="{EB29DB80-1F40-4833-805E-1D0BDD3BB22A}"/>
    <hyperlink ref="C82" r:id="rId2" xr:uid="{EB52AF0D-F9E2-47E9-B13C-E3C5CE2E7DA7}"/>
    <hyperlink ref="C84" r:id="rId3" xr:uid="{098A3E2A-AE97-48EC-AFC0-A9300E32DC8E}"/>
    <hyperlink ref="C87" r:id="rId4" xr:uid="{A4BE2311-A82F-459F-8C90-F8B67ADFADD9}"/>
    <hyperlink ref="C89" r:id="rId5" xr:uid="{CC44B80A-B0E8-4A24-84AE-39C32E1115E2}"/>
    <hyperlink ref="C139" r:id="rId6" xr:uid="{5C5D30ED-04D7-4B4E-B4FE-7333DB982B98}"/>
    <hyperlink ref="E139" r:id="rId7" xr:uid="{C90902BD-EAA5-4D4D-95DD-1B76CCAF2E49}"/>
    <hyperlink ref="G139" r:id="rId8" xr:uid="{75C6713E-AC44-4323-930F-7E4E0DA0D10F}"/>
    <hyperlink ref="H375" r:id="rId9" xr:uid="{41A1CEF4-8D86-49A2-892E-713B2FE652BD}"/>
    <hyperlink ref="H374" r:id="rId10" display="feuilles de gélatine - Le Salon du Blog Culinaire" xr:uid="{A6E0CAAE-3D5A-43DD-8364-CFF543456448}"/>
    <hyperlink ref="H376" r:id="rId11" xr:uid="{0E79F6E9-EC87-4076-9748-5B1D057B8002}"/>
    <hyperlink ref="E400" r:id="rId12" xr:uid="{694780F0-2985-4A72-A2A9-B9DE798775ED}"/>
    <hyperlink ref="C91" r:id="rId13" xr:uid="{358615E9-EAD0-4A9B-BFF1-BF8795C1719A}"/>
    <hyperlink ref="C93" r:id="rId14" xr:uid="{D9CDF916-7FBF-4091-810E-F7264CFB0C2F}"/>
  </hyperlinks>
  <pageMargins left="0.7" right="0.7" top="0.75" bottom="0.75" header="0.3" footer="0.3"/>
  <drawing r:id="rId1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52B31-F810-48A1-BDB8-BA7B5EB432E8}">
  <dimension ref="A1:AB198"/>
  <sheetViews>
    <sheetView zoomScaleNormal="100" workbookViewId="0">
      <selection activeCell="AB1" sqref="AB1:AB1048576"/>
    </sheetView>
  </sheetViews>
  <sheetFormatPr baseColWidth="10" defaultRowHeight="15"/>
  <cols>
    <col min="2" max="2" width="37" customWidth="1"/>
    <col min="3" max="3" width="15.28515625" style="1520" customWidth="1"/>
    <col min="4" max="4" width="47.28515625" style="1520" customWidth="1"/>
    <col min="6" max="6" width="38" customWidth="1"/>
    <col min="7" max="7" width="71.42578125" customWidth="1"/>
    <col min="8" max="8" width="35.7109375" customWidth="1"/>
    <col min="9" max="9" width="3.7109375" customWidth="1"/>
    <col min="10" max="10" width="35.7109375" customWidth="1"/>
    <col min="11" max="11" width="3.7109375" customWidth="1"/>
    <col min="12" max="12" width="35.7109375" customWidth="1"/>
    <col min="13" max="13" width="3.7109375" customWidth="1"/>
    <col min="14" max="14" width="35.7109375" customWidth="1"/>
    <col min="15" max="15" width="3.7109375" customWidth="1"/>
    <col min="16" max="16" width="35.7109375" customWidth="1"/>
    <col min="17" max="17" width="3.7109375" customWidth="1"/>
    <col min="18" max="18" width="35.7109375" customWidth="1"/>
    <col min="19" max="19" width="3.7109375" customWidth="1"/>
    <col min="20" max="20" width="35.7109375" customWidth="1"/>
    <col min="21" max="21" width="3.7109375" customWidth="1"/>
    <col min="22" max="22" width="35.7109375" customWidth="1"/>
    <col min="23" max="23" width="3.7109375" customWidth="1"/>
    <col min="24" max="24" width="35.7109375" customWidth="1"/>
    <col min="25" max="25" width="3.7109375" customWidth="1"/>
    <col min="26" max="26" width="35.7109375" customWidth="1"/>
    <col min="27" max="27" width="11.7109375" customWidth="1"/>
  </cols>
  <sheetData>
    <row r="1" spans="1:28" ht="15.75">
      <c r="AA1" s="2803"/>
      <c r="AB1" s="2730">
        <v>1</v>
      </c>
    </row>
    <row r="2" spans="1:28" s="5229" customFormat="1" ht="33.75">
      <c r="A2" s="5228"/>
      <c r="B2" s="6129" t="s">
        <v>14869</v>
      </c>
      <c r="C2" s="6129"/>
      <c r="D2" s="6129"/>
      <c r="E2" s="6129"/>
      <c r="F2" s="6129"/>
      <c r="G2" s="6129"/>
      <c r="H2" s="6129"/>
      <c r="I2" s="6129"/>
      <c r="J2" s="6129"/>
      <c r="K2" s="6129"/>
      <c r="L2" s="6129"/>
      <c r="M2" s="6129"/>
      <c r="N2" s="6129"/>
      <c r="O2" s="6129"/>
      <c r="P2" s="6129"/>
      <c r="Q2" s="6129"/>
      <c r="R2" s="6129"/>
      <c r="S2" s="6129"/>
      <c r="T2" s="6129"/>
      <c r="U2" s="6129"/>
      <c r="V2" s="6129"/>
      <c r="W2" s="6129"/>
      <c r="X2" s="6129"/>
      <c r="Y2" s="6129"/>
      <c r="Z2" s="6129"/>
      <c r="AA2" s="2803"/>
      <c r="AB2" s="2730">
        <v>1</v>
      </c>
    </row>
    <row r="3" spans="1:28" ht="15.75">
      <c r="AA3" s="2803"/>
      <c r="AB3" s="2730">
        <v>1</v>
      </c>
    </row>
    <row r="4" spans="1:28" ht="18.75">
      <c r="B4" s="6130" t="s">
        <v>14870</v>
      </c>
      <c r="C4" s="6131"/>
      <c r="D4" s="6131" t="s">
        <v>14871</v>
      </c>
      <c r="F4" s="6132" t="s">
        <v>14872</v>
      </c>
      <c r="G4" s="6133" t="str">
        <f>IF(ISNUMBER(IFERROR(VALUE("0,5"),"")),"sur cet ordi.saisissez une VIRGULE comme séparateur décimal",IF(ISNUMBER(IFERROR(VALUE("0.5"),"")),"sur cet ordi.saisissez un POINT comme séparateur décimal","Impossible de déterminer le séparateur décimal"))</f>
        <v>sur cet ordi.saisissez un POINT comme séparateur décimal</v>
      </c>
      <c r="H4" s="6134" t="s">
        <v>14873</v>
      </c>
      <c r="J4" s="6134" t="s">
        <v>14874</v>
      </c>
      <c r="L4" s="6134" t="s">
        <v>14875</v>
      </c>
      <c r="N4" s="6134" t="s">
        <v>14876</v>
      </c>
      <c r="P4" s="6134" t="s">
        <v>14877</v>
      </c>
      <c r="R4" s="6134" t="s">
        <v>14878</v>
      </c>
      <c r="T4" s="6134" t="s">
        <v>464</v>
      </c>
      <c r="V4" s="6134" t="s">
        <v>14879</v>
      </c>
      <c r="X4" s="6134" t="s">
        <v>14880</v>
      </c>
      <c r="Z4" s="6134" t="s">
        <v>14881</v>
      </c>
      <c r="AA4" s="2803"/>
      <c r="AB4" s="2730">
        <v>1</v>
      </c>
    </row>
    <row r="5" spans="1:28" ht="15.75">
      <c r="B5" s="6130" t="s">
        <v>14882</v>
      </c>
      <c r="C5" s="6131"/>
      <c r="D5" s="6131" t="s">
        <v>14883</v>
      </c>
      <c r="F5" s="6135" t="s">
        <v>14884</v>
      </c>
      <c r="G5" s="6136" t="s">
        <v>14885</v>
      </c>
      <c r="H5" s="6137" t="s">
        <v>14886</v>
      </c>
      <c r="J5" s="6137" t="s">
        <v>14886</v>
      </c>
      <c r="L5" s="6137" t="s">
        <v>14887</v>
      </c>
      <c r="N5" s="6137" t="s">
        <v>14888</v>
      </c>
      <c r="P5" s="6137" t="s">
        <v>14887</v>
      </c>
      <c r="R5" s="6137" t="s">
        <v>14887</v>
      </c>
      <c r="T5" s="6137" t="s">
        <v>14887</v>
      </c>
      <c r="V5" s="6137" t="s">
        <v>14887</v>
      </c>
      <c r="X5" s="6137" t="s">
        <v>14887</v>
      </c>
      <c r="Z5" s="6137" t="s">
        <v>14889</v>
      </c>
      <c r="AA5" s="2803"/>
      <c r="AB5" s="2730">
        <v>1</v>
      </c>
    </row>
    <row r="6" spans="1:28" ht="15.75">
      <c r="B6" s="6130" t="s">
        <v>14890</v>
      </c>
      <c r="C6" s="6131"/>
      <c r="D6" s="6131" t="s">
        <v>14891</v>
      </c>
      <c r="F6" s="6138" t="s">
        <v>14892</v>
      </c>
      <c r="G6" t="s">
        <v>14893</v>
      </c>
      <c r="H6" s="6138" t="s">
        <v>14894</v>
      </c>
      <c r="J6" s="6138" t="s">
        <v>14895</v>
      </c>
      <c r="L6" s="6138" t="s">
        <v>14896</v>
      </c>
      <c r="N6" s="6138" t="s">
        <v>14897</v>
      </c>
      <c r="P6" s="6138" t="s">
        <v>14898</v>
      </c>
      <c r="R6" s="6138" t="s">
        <v>14899</v>
      </c>
      <c r="T6" s="6138" t="s">
        <v>14900</v>
      </c>
      <c r="V6" s="6138" t="s">
        <v>14901</v>
      </c>
      <c r="X6" s="6138" t="s">
        <v>14902</v>
      </c>
      <c r="Z6" s="6138" t="s">
        <v>14903</v>
      </c>
      <c r="AA6" s="2803"/>
      <c r="AB6" s="2730">
        <v>1</v>
      </c>
    </row>
    <row r="7" spans="1:28" ht="15.75">
      <c r="D7" s="6131"/>
      <c r="F7" s="6138" t="s">
        <v>14904</v>
      </c>
      <c r="G7" t="s">
        <v>14905</v>
      </c>
      <c r="H7" s="6139"/>
      <c r="J7" s="6138"/>
      <c r="L7" s="6138" t="s">
        <v>14906</v>
      </c>
      <c r="N7" s="6138" t="s">
        <v>14907</v>
      </c>
      <c r="P7" s="6139"/>
      <c r="R7" s="6139"/>
      <c r="T7" s="6139"/>
      <c r="V7" s="6139"/>
      <c r="X7" s="6139"/>
      <c r="Z7" s="6138" t="s">
        <v>14908</v>
      </c>
      <c r="AA7" s="2803"/>
      <c r="AB7" s="2730">
        <v>1</v>
      </c>
    </row>
    <row r="8" spans="1:28" ht="15.75">
      <c r="B8" s="6130" t="s">
        <v>14909</v>
      </c>
      <c r="C8" s="6131" t="s">
        <v>14910</v>
      </c>
      <c r="D8" s="6130" t="s">
        <v>14911</v>
      </c>
      <c r="H8" s="6137" t="s">
        <v>14887</v>
      </c>
      <c r="J8" s="6137" t="s">
        <v>14887</v>
      </c>
      <c r="L8" s="6139"/>
      <c r="N8" s="6139"/>
      <c r="P8" s="6137" t="s">
        <v>14888</v>
      </c>
      <c r="R8" s="6137" t="s">
        <v>14888</v>
      </c>
      <c r="T8" s="6137" t="s">
        <v>14888</v>
      </c>
      <c r="V8" s="6137" t="s">
        <v>14888</v>
      </c>
      <c r="X8" s="6137" t="s">
        <v>14888</v>
      </c>
      <c r="Z8" s="6140"/>
      <c r="AA8" s="2803"/>
      <c r="AB8" s="2730">
        <v>1</v>
      </c>
    </row>
    <row r="9" spans="1:28" ht="15.75">
      <c r="B9" s="6130" t="s">
        <v>14912</v>
      </c>
      <c r="C9" s="6131" t="s">
        <v>14913</v>
      </c>
      <c r="D9" s="6130" t="s">
        <v>14914</v>
      </c>
      <c r="F9" s="6135" t="s">
        <v>14915</v>
      </c>
      <c r="G9" s="6136" t="s">
        <v>14916</v>
      </c>
      <c r="H9" s="6138" t="s">
        <v>14917</v>
      </c>
      <c r="J9" s="6138" t="s">
        <v>14918</v>
      </c>
      <c r="L9" s="6137" t="s">
        <v>14888</v>
      </c>
      <c r="N9" s="6137" t="s">
        <v>14919</v>
      </c>
      <c r="P9" s="6138" t="s">
        <v>14920</v>
      </c>
      <c r="R9" s="6138" t="s">
        <v>14921</v>
      </c>
      <c r="T9" s="6138" t="s">
        <v>14922</v>
      </c>
      <c r="V9" s="6138" t="s">
        <v>14923</v>
      </c>
      <c r="X9" s="6138" t="s">
        <v>14924</v>
      </c>
      <c r="Z9" s="6140"/>
      <c r="AA9" s="2803"/>
      <c r="AB9" s="2730">
        <v>1</v>
      </c>
    </row>
    <row r="10" spans="1:28" ht="15.75">
      <c r="C10" s="416"/>
      <c r="F10" s="6138" t="s">
        <v>14925</v>
      </c>
      <c r="G10" t="s">
        <v>14926</v>
      </c>
      <c r="H10" s="6138" t="s">
        <v>14927</v>
      </c>
      <c r="J10" s="6138" t="s">
        <v>14928</v>
      </c>
      <c r="L10" s="6138" t="s">
        <v>14929</v>
      </c>
      <c r="N10" s="6138" t="s">
        <v>14930</v>
      </c>
      <c r="P10" s="6139"/>
      <c r="R10" s="6139"/>
      <c r="T10" s="6139"/>
      <c r="V10" s="6139"/>
      <c r="X10" s="6139"/>
      <c r="Z10" s="6139"/>
      <c r="AA10" s="2803"/>
      <c r="AB10" s="2730">
        <v>1</v>
      </c>
    </row>
    <row r="11" spans="1:28" ht="15.75">
      <c r="B11" s="6130" t="s">
        <v>14931</v>
      </c>
      <c r="C11" s="6131"/>
      <c r="D11" s="6130" t="s">
        <v>14932</v>
      </c>
      <c r="F11" s="6138" t="s">
        <v>14933</v>
      </c>
      <c r="G11" t="s">
        <v>14934</v>
      </c>
      <c r="H11" s="6139"/>
      <c r="J11" s="6138" t="s">
        <v>14935</v>
      </c>
      <c r="L11" s="6138" t="s">
        <v>14936</v>
      </c>
      <c r="N11" s="6139"/>
      <c r="P11" s="6137" t="s">
        <v>14889</v>
      </c>
      <c r="R11" s="6137" t="s">
        <v>14937</v>
      </c>
      <c r="T11" s="6137" t="s">
        <v>14938</v>
      </c>
      <c r="V11" s="6137" t="s">
        <v>14939</v>
      </c>
      <c r="X11" s="6137" t="s">
        <v>14889</v>
      </c>
      <c r="Z11" s="6139"/>
      <c r="AA11" s="2803"/>
      <c r="AB11" s="2730">
        <v>1</v>
      </c>
    </row>
    <row r="12" spans="1:28" ht="15.75">
      <c r="B12" s="6130" t="s">
        <v>14940</v>
      </c>
      <c r="C12" s="6131"/>
      <c r="D12" s="6131" t="s">
        <v>14941</v>
      </c>
      <c r="H12" s="6137" t="s">
        <v>14888</v>
      </c>
      <c r="J12" s="6138" t="s">
        <v>14942</v>
      </c>
      <c r="L12" s="6138" t="s">
        <v>14943</v>
      </c>
      <c r="N12" s="6137" t="s">
        <v>14889</v>
      </c>
      <c r="P12" s="6138" t="s">
        <v>14944</v>
      </c>
      <c r="R12" s="6138" t="s">
        <v>14945</v>
      </c>
      <c r="T12" s="6138" t="s">
        <v>14946</v>
      </c>
      <c r="V12" s="6138" t="s">
        <v>14947</v>
      </c>
      <c r="X12" s="6138" t="s">
        <v>14948</v>
      </c>
      <c r="Z12" s="6139"/>
      <c r="AA12" s="2803"/>
      <c r="AB12" s="2730">
        <v>1</v>
      </c>
    </row>
    <row r="13" spans="1:28" ht="15.75">
      <c r="B13" s="6130" t="s">
        <v>14949</v>
      </c>
      <c r="C13" s="6131"/>
      <c r="D13" s="6130" t="s">
        <v>14950</v>
      </c>
      <c r="F13" s="6135" t="s">
        <v>14951</v>
      </c>
      <c r="G13" s="6136" t="s">
        <v>14952</v>
      </c>
      <c r="H13" s="6138" t="s">
        <v>14953</v>
      </c>
      <c r="J13" s="6138" t="s">
        <v>14954</v>
      </c>
      <c r="L13" s="6139"/>
      <c r="N13" s="6138" t="s">
        <v>14955</v>
      </c>
      <c r="P13" s="6139"/>
      <c r="R13" s="6139"/>
      <c r="T13" s="6139"/>
      <c r="V13" s="6139"/>
      <c r="X13" s="6139"/>
      <c r="Z13" s="6139"/>
      <c r="AA13" s="2803"/>
      <c r="AB13" s="2730">
        <v>1</v>
      </c>
    </row>
    <row r="14" spans="1:28" ht="15.75">
      <c r="F14" s="6138" t="s">
        <v>14956</v>
      </c>
      <c r="G14" t="s">
        <v>14957</v>
      </c>
      <c r="H14" s="6138" t="s">
        <v>14958</v>
      </c>
      <c r="J14" s="6138"/>
      <c r="L14" s="6137" t="s">
        <v>14919</v>
      </c>
      <c r="N14" s="6139"/>
      <c r="P14" s="6137" t="s">
        <v>14938</v>
      </c>
      <c r="R14" s="6137" t="s">
        <v>14919</v>
      </c>
      <c r="T14" s="6137" t="s">
        <v>14889</v>
      </c>
      <c r="V14" s="6139"/>
      <c r="X14" s="6139"/>
      <c r="Z14" s="6139"/>
      <c r="AA14" s="2803"/>
      <c r="AB14" s="2730">
        <v>1</v>
      </c>
    </row>
    <row r="15" spans="1:28" ht="15.75">
      <c r="B15" s="6130" t="s">
        <v>14959</v>
      </c>
      <c r="C15" s="6131" t="s">
        <v>14960</v>
      </c>
      <c r="D15" s="6131" t="s">
        <v>14961</v>
      </c>
      <c r="F15" s="6138" t="s">
        <v>14962</v>
      </c>
      <c r="G15" t="s">
        <v>14963</v>
      </c>
      <c r="H15" s="6139"/>
      <c r="J15" s="6137" t="s">
        <v>14888</v>
      </c>
      <c r="L15" s="6138" t="s">
        <v>14964</v>
      </c>
      <c r="N15" s="6137" t="s">
        <v>14938</v>
      </c>
      <c r="P15" s="6138" t="s">
        <v>14965</v>
      </c>
      <c r="R15" s="6138" t="s">
        <v>14966</v>
      </c>
      <c r="T15" s="6138" t="s">
        <v>14967</v>
      </c>
      <c r="V15" s="6139"/>
      <c r="X15" s="6139"/>
      <c r="Z15" s="6139"/>
      <c r="AA15" s="2803"/>
      <c r="AB15" s="2730">
        <v>1</v>
      </c>
    </row>
    <row r="16" spans="1:28" ht="15.75">
      <c r="B16" s="6130" t="s">
        <v>14959</v>
      </c>
      <c r="C16" s="6131" t="s">
        <v>14960</v>
      </c>
      <c r="D16" s="6131" t="s">
        <v>14968</v>
      </c>
      <c r="H16" s="6137" t="s">
        <v>10862</v>
      </c>
      <c r="J16" s="6138" t="s">
        <v>14969</v>
      </c>
      <c r="L16" s="6139"/>
      <c r="N16" s="6138" t="s">
        <v>14970</v>
      </c>
      <c r="P16" s="6139"/>
      <c r="R16" s="6139"/>
      <c r="T16" s="6139"/>
      <c r="V16" s="6139"/>
      <c r="X16" s="6139"/>
      <c r="Z16" s="6139"/>
      <c r="AA16" s="2803"/>
      <c r="AB16" s="2730">
        <v>1</v>
      </c>
    </row>
    <row r="17" spans="2:28" ht="15.75">
      <c r="B17" s="6130" t="s">
        <v>14959</v>
      </c>
      <c r="C17" s="6131" t="s">
        <v>14960</v>
      </c>
      <c r="D17" s="6131" t="s">
        <v>14971</v>
      </c>
      <c r="F17" s="6135" t="s">
        <v>14972</v>
      </c>
      <c r="G17" s="6136" t="s">
        <v>14973</v>
      </c>
      <c r="H17" s="6141" t="s">
        <v>14974</v>
      </c>
      <c r="J17" s="6138" t="s">
        <v>14975</v>
      </c>
      <c r="L17" s="6137" t="s">
        <v>14976</v>
      </c>
      <c r="N17" s="6139"/>
      <c r="P17" s="6139"/>
      <c r="R17" s="6137" t="s">
        <v>14889</v>
      </c>
      <c r="T17" s="6139"/>
      <c r="V17" s="6139"/>
      <c r="X17" s="6139"/>
      <c r="Z17" s="6139"/>
      <c r="AA17" s="2803"/>
      <c r="AB17" s="2730">
        <v>1</v>
      </c>
    </row>
    <row r="18" spans="2:28" ht="15.75">
      <c r="F18" s="6138" t="s">
        <v>14977</v>
      </c>
      <c r="G18" t="s">
        <v>14978</v>
      </c>
      <c r="H18" s="6139"/>
      <c r="J18" s="6138" t="s">
        <v>14979</v>
      </c>
      <c r="L18" s="6138" t="s">
        <v>14980</v>
      </c>
      <c r="N18" s="6139"/>
      <c r="P18" s="6139"/>
      <c r="R18" s="6138" t="s">
        <v>14981</v>
      </c>
      <c r="T18" s="6139"/>
      <c r="V18" s="6139"/>
      <c r="X18" s="6139"/>
      <c r="Z18" s="6139"/>
      <c r="AA18" s="2803"/>
      <c r="AB18" s="2730">
        <v>1</v>
      </c>
    </row>
    <row r="19" spans="2:28" ht="15.75">
      <c r="B19" s="6130" t="s">
        <v>14982</v>
      </c>
      <c r="C19" s="6131"/>
      <c r="D19" s="6131" t="s">
        <v>14983</v>
      </c>
      <c r="F19" s="6138" t="s">
        <v>14984</v>
      </c>
      <c r="G19" t="s">
        <v>14985</v>
      </c>
      <c r="H19" s="6137" t="s">
        <v>14919</v>
      </c>
      <c r="J19" s="6138" t="s">
        <v>14986</v>
      </c>
      <c r="L19" s="6138" t="s">
        <v>14987</v>
      </c>
      <c r="N19" s="6139"/>
      <c r="P19" s="6139"/>
      <c r="R19" s="6139"/>
      <c r="T19" s="6139"/>
      <c r="V19" s="6139"/>
      <c r="X19" s="6139"/>
      <c r="Z19" s="6139"/>
      <c r="AA19" s="2803"/>
      <c r="AB19" s="2730">
        <v>1</v>
      </c>
    </row>
    <row r="20" spans="2:28" ht="15.75">
      <c r="B20" s="6130" t="s">
        <v>14982</v>
      </c>
      <c r="C20" s="6131"/>
      <c r="D20" s="6131" t="s">
        <v>14988</v>
      </c>
      <c r="H20" s="6138" t="s">
        <v>14989</v>
      </c>
      <c r="J20" s="6138"/>
      <c r="L20" s="6139"/>
      <c r="N20" s="6139"/>
      <c r="P20" s="6139"/>
      <c r="R20" s="6137" t="s">
        <v>14990</v>
      </c>
      <c r="T20" s="6139"/>
      <c r="V20" s="6139"/>
      <c r="X20" s="6139"/>
      <c r="Z20" s="6139"/>
      <c r="AA20" s="2803"/>
      <c r="AB20" s="2730">
        <v>1</v>
      </c>
    </row>
    <row r="21" spans="2:28" ht="15.75">
      <c r="B21" s="6130" t="s">
        <v>14982</v>
      </c>
      <c r="C21" s="6131"/>
      <c r="D21" s="6131" t="s">
        <v>14991</v>
      </c>
      <c r="F21" s="6135" t="s">
        <v>14992</v>
      </c>
      <c r="G21" s="6136" t="s">
        <v>14993</v>
      </c>
      <c r="H21" s="6138" t="s">
        <v>14994</v>
      </c>
      <c r="J21" s="6137" t="s">
        <v>10862</v>
      </c>
      <c r="L21" s="6139"/>
      <c r="N21" s="6139"/>
      <c r="P21" s="6139"/>
      <c r="R21" s="6138" t="s">
        <v>14995</v>
      </c>
      <c r="T21" s="6139"/>
      <c r="V21" s="6139"/>
      <c r="X21" s="6139"/>
      <c r="Z21" s="6139"/>
      <c r="AA21" s="2803"/>
      <c r="AB21" s="2730">
        <v>1</v>
      </c>
    </row>
    <row r="22" spans="2:28" ht="15.75">
      <c r="F22" s="6138" t="s">
        <v>14996</v>
      </c>
      <c r="G22" t="s">
        <v>14997</v>
      </c>
      <c r="H22" s="6138"/>
      <c r="J22" s="6141" t="s">
        <v>14998</v>
      </c>
      <c r="L22" s="6139"/>
      <c r="N22" s="6139"/>
      <c r="P22" s="6139"/>
      <c r="R22" s="6139"/>
      <c r="T22" s="6139"/>
      <c r="V22" s="6139"/>
      <c r="X22" s="6139"/>
      <c r="Z22" s="6139"/>
      <c r="AA22" s="2803"/>
      <c r="AB22" s="2730">
        <v>1</v>
      </c>
    </row>
    <row r="23" spans="2:28" ht="15.75">
      <c r="B23" s="6130" t="s">
        <v>14999</v>
      </c>
      <c r="C23" s="6131" t="s">
        <v>15000</v>
      </c>
      <c r="D23" s="6131" t="s">
        <v>2769</v>
      </c>
      <c r="F23" s="6138" t="s">
        <v>15001</v>
      </c>
      <c r="G23" t="s">
        <v>15002</v>
      </c>
      <c r="H23" s="6137" t="s">
        <v>14889</v>
      </c>
      <c r="J23" s="6141"/>
      <c r="L23" s="6139"/>
      <c r="N23" s="6139"/>
      <c r="P23" s="6139"/>
      <c r="R23" s="6137" t="s">
        <v>15003</v>
      </c>
      <c r="T23" s="6139"/>
      <c r="V23" s="6139"/>
      <c r="X23" s="6139"/>
      <c r="Z23" s="6139"/>
      <c r="AA23" s="2803"/>
      <c r="AB23" s="2730">
        <v>1</v>
      </c>
    </row>
    <row r="24" spans="2:28" ht="15.75">
      <c r="H24" s="6138" t="s">
        <v>15004</v>
      </c>
      <c r="J24" s="6137" t="s">
        <v>14919</v>
      </c>
      <c r="L24" s="6139"/>
      <c r="N24" s="6139"/>
      <c r="P24" s="6139"/>
      <c r="R24" s="6138" t="s">
        <v>15005</v>
      </c>
      <c r="T24" s="6139"/>
      <c r="V24" s="6139"/>
      <c r="X24" s="6139"/>
      <c r="Z24" s="6139"/>
      <c r="AA24" s="2803"/>
      <c r="AB24" s="2730">
        <v>1</v>
      </c>
    </row>
    <row r="25" spans="2:28" ht="15.75">
      <c r="B25" s="6130" t="s">
        <v>15006</v>
      </c>
      <c r="C25" s="6131" t="s">
        <v>15007</v>
      </c>
      <c r="D25" s="6131" t="s">
        <v>15008</v>
      </c>
      <c r="F25" s="6135" t="s">
        <v>15009</v>
      </c>
      <c r="G25" s="6136" t="s">
        <v>15010</v>
      </c>
      <c r="H25" s="6138" t="s">
        <v>15011</v>
      </c>
      <c r="J25" s="6138" t="s">
        <v>15012</v>
      </c>
      <c r="L25" s="6139"/>
      <c r="N25" s="6139"/>
      <c r="P25" s="6139"/>
      <c r="R25" s="6139"/>
      <c r="T25" s="6139"/>
      <c r="V25" s="6139"/>
      <c r="X25" s="6139"/>
      <c r="Z25" s="6139"/>
      <c r="AA25" s="2803"/>
      <c r="AB25" s="2730">
        <v>1</v>
      </c>
    </row>
    <row r="26" spans="2:28" ht="15.75">
      <c r="B26" s="6130" t="s">
        <v>15006</v>
      </c>
      <c r="C26" s="6131" t="s">
        <v>15013</v>
      </c>
      <c r="D26" s="6131" t="s">
        <v>15014</v>
      </c>
      <c r="F26" s="6141" t="s">
        <v>15015</v>
      </c>
      <c r="G26" t="s">
        <v>15016</v>
      </c>
      <c r="H26" s="6138"/>
      <c r="J26" s="6138" t="s">
        <v>15017</v>
      </c>
      <c r="L26" s="6139"/>
      <c r="N26" s="6139"/>
      <c r="P26" s="6139"/>
      <c r="R26" s="6137" t="s">
        <v>14939</v>
      </c>
      <c r="T26" s="6139"/>
      <c r="V26" s="6139"/>
      <c r="X26" s="6139"/>
      <c r="Z26" s="6139"/>
      <c r="AA26" s="2803"/>
      <c r="AB26" s="2730">
        <v>1</v>
      </c>
    </row>
    <row r="27" spans="2:28" ht="15.75">
      <c r="F27" s="6141" t="s">
        <v>15018</v>
      </c>
      <c r="G27" t="s">
        <v>15019</v>
      </c>
      <c r="H27" s="6137" t="s">
        <v>15020</v>
      </c>
      <c r="J27" s="6138"/>
      <c r="L27" s="6139"/>
      <c r="N27" s="6139"/>
      <c r="P27" s="6139"/>
      <c r="R27" s="6138" t="s">
        <v>15021</v>
      </c>
      <c r="T27" s="6139"/>
      <c r="V27" s="6139"/>
      <c r="X27" s="6139"/>
      <c r="Z27" s="6139"/>
      <c r="AA27" s="2803"/>
      <c r="AB27" s="2730">
        <v>1</v>
      </c>
    </row>
    <row r="28" spans="2:28" ht="15.75">
      <c r="B28" s="6130" t="s">
        <v>15022</v>
      </c>
      <c r="C28" s="6131" t="s">
        <v>15023</v>
      </c>
      <c r="D28" s="6131" t="s">
        <v>15024</v>
      </c>
      <c r="F28" s="6141" t="s">
        <v>15025</v>
      </c>
      <c r="G28" t="s">
        <v>15026</v>
      </c>
      <c r="H28" s="6141" t="s">
        <v>15027</v>
      </c>
      <c r="J28" s="6137" t="s">
        <v>14889</v>
      </c>
      <c r="L28" s="6139"/>
      <c r="N28" s="6139"/>
      <c r="P28" s="6139"/>
      <c r="R28" s="6139"/>
      <c r="T28" s="6139"/>
      <c r="V28" s="6139"/>
      <c r="X28" s="6139"/>
      <c r="Z28" s="6139"/>
      <c r="AA28" s="2803"/>
      <c r="AB28" s="2730">
        <v>1</v>
      </c>
    </row>
    <row r="29" spans="2:28" ht="15.75">
      <c r="B29" s="6130" t="s">
        <v>15028</v>
      </c>
      <c r="C29" s="6131" t="s">
        <v>15029</v>
      </c>
      <c r="D29" s="6131" t="s">
        <v>15030</v>
      </c>
      <c r="H29" s="6141" t="s">
        <v>15031</v>
      </c>
      <c r="J29" s="6138" t="s">
        <v>15032</v>
      </c>
      <c r="L29" s="6139"/>
      <c r="N29" s="6139"/>
      <c r="P29" s="6139"/>
      <c r="R29" s="6139"/>
      <c r="T29" s="6139"/>
      <c r="V29" s="6139"/>
      <c r="X29" s="6139"/>
      <c r="Z29" s="6139"/>
      <c r="AA29" s="2803"/>
      <c r="AB29" s="2730">
        <v>1</v>
      </c>
    </row>
    <row r="30" spans="2:28" ht="15.75">
      <c r="F30" s="6135" t="s">
        <v>14938</v>
      </c>
      <c r="G30" s="6136" t="s">
        <v>15033</v>
      </c>
      <c r="H30" s="6141"/>
      <c r="J30" s="6138"/>
      <c r="L30" s="6139"/>
      <c r="N30" s="6139"/>
      <c r="P30" s="6139"/>
      <c r="R30" s="6139"/>
      <c r="T30" s="6139"/>
      <c r="V30" s="6139"/>
      <c r="X30" s="6139"/>
      <c r="Z30" s="6139"/>
      <c r="AA30" s="2803"/>
      <c r="AB30" s="2730">
        <v>1</v>
      </c>
    </row>
    <row r="31" spans="2:28" ht="15.75">
      <c r="B31" s="6130" t="s">
        <v>15034</v>
      </c>
      <c r="C31" s="6131" t="s">
        <v>15035</v>
      </c>
      <c r="D31" s="6131" t="s">
        <v>15036</v>
      </c>
      <c r="F31" s="6138" t="s">
        <v>15037</v>
      </c>
      <c r="G31" t="s">
        <v>15038</v>
      </c>
      <c r="H31" s="6137" t="s">
        <v>15039</v>
      </c>
      <c r="J31" s="6137" t="s">
        <v>15020</v>
      </c>
      <c r="L31" s="6139"/>
      <c r="N31" s="6139"/>
      <c r="P31" s="6139"/>
      <c r="R31" s="6139"/>
      <c r="T31" s="6139"/>
      <c r="V31" s="6139"/>
      <c r="X31" s="6139"/>
      <c r="Z31" s="6139"/>
      <c r="AA31" s="2803"/>
      <c r="AB31" s="2730">
        <v>1</v>
      </c>
    </row>
    <row r="32" spans="2:28" ht="15.75">
      <c r="F32" s="6138" t="s">
        <v>15040</v>
      </c>
      <c r="G32" s="3170" t="s">
        <v>15041</v>
      </c>
      <c r="H32" s="6138" t="s">
        <v>15042</v>
      </c>
      <c r="J32" s="6141" t="s">
        <v>15043</v>
      </c>
      <c r="L32" s="6139"/>
      <c r="N32" s="6139"/>
      <c r="P32" s="6139"/>
      <c r="R32" s="6139"/>
      <c r="T32" s="6139"/>
      <c r="V32" s="6139"/>
      <c r="X32" s="6139"/>
      <c r="Z32" s="6139"/>
      <c r="AA32" s="2803"/>
      <c r="AB32" s="2730">
        <v>1</v>
      </c>
    </row>
    <row r="33" spans="2:28" ht="15.75">
      <c r="B33" s="6130" t="s">
        <v>15044</v>
      </c>
      <c r="C33" s="6131" t="s">
        <v>15007</v>
      </c>
      <c r="D33" s="6131" t="s">
        <v>15008</v>
      </c>
      <c r="F33" s="6138" t="s">
        <v>15045</v>
      </c>
      <c r="G33" s="3170" t="s">
        <v>15046</v>
      </c>
      <c r="H33" s="6138" t="s">
        <v>15047</v>
      </c>
      <c r="J33" s="6141" t="s">
        <v>15048</v>
      </c>
      <c r="L33" s="6139"/>
      <c r="N33" s="6139"/>
      <c r="P33" s="6139"/>
      <c r="R33" s="6139"/>
      <c r="T33" s="6139"/>
      <c r="V33" s="6139"/>
      <c r="X33" s="6139"/>
      <c r="Z33" s="6139"/>
      <c r="AA33" s="2803"/>
      <c r="AB33" s="2730">
        <v>1</v>
      </c>
    </row>
    <row r="34" spans="2:28" ht="15.75">
      <c r="B34" s="6130" t="s">
        <v>15044</v>
      </c>
      <c r="C34" s="6131" t="s">
        <v>15013</v>
      </c>
      <c r="D34" s="6131" t="s">
        <v>15014</v>
      </c>
      <c r="H34" s="6139"/>
      <c r="J34" s="6141"/>
      <c r="L34" s="6139"/>
      <c r="N34" s="6139"/>
      <c r="P34" s="6139"/>
      <c r="R34" s="6139"/>
      <c r="T34" s="6139"/>
      <c r="V34" s="6139"/>
      <c r="X34" s="6139"/>
      <c r="Z34" s="6139"/>
      <c r="AA34" s="2803"/>
      <c r="AB34" s="2730">
        <v>1</v>
      </c>
    </row>
    <row r="35" spans="2:28" ht="15.75">
      <c r="F35" s="6135" t="s">
        <v>15049</v>
      </c>
      <c r="G35" s="6136" t="s">
        <v>15050</v>
      </c>
      <c r="H35" s="6139"/>
      <c r="J35" s="6137" t="s">
        <v>15039</v>
      </c>
      <c r="L35" s="6139"/>
      <c r="N35" s="6139"/>
      <c r="P35" s="6139"/>
      <c r="R35" s="6139"/>
      <c r="T35" s="6139"/>
      <c r="V35" s="6139"/>
      <c r="X35" s="6139"/>
      <c r="Z35" s="6139"/>
      <c r="AA35" s="2803"/>
      <c r="AB35" s="2730">
        <v>1</v>
      </c>
    </row>
    <row r="36" spans="2:28" ht="15.75">
      <c r="B36" s="6130" t="s">
        <v>196</v>
      </c>
      <c r="C36" s="6131" t="s">
        <v>15000</v>
      </c>
      <c r="D36" s="6130" t="s">
        <v>15051</v>
      </c>
      <c r="F36" s="6141" t="s">
        <v>15052</v>
      </c>
      <c r="G36" t="s">
        <v>15053</v>
      </c>
      <c r="H36" s="6139"/>
      <c r="J36" s="6138" t="s">
        <v>15054</v>
      </c>
      <c r="L36" s="6139"/>
      <c r="N36" s="6139"/>
      <c r="P36" s="6139"/>
      <c r="R36" s="6139"/>
      <c r="T36" s="6139"/>
      <c r="V36" s="6139"/>
      <c r="X36" s="6139"/>
      <c r="Z36" s="6139"/>
      <c r="AA36" s="2803"/>
      <c r="AB36" s="2730">
        <v>1</v>
      </c>
    </row>
    <row r="37" spans="2:28" ht="15.75">
      <c r="F37" s="6141" t="s">
        <v>15055</v>
      </c>
      <c r="G37" t="s">
        <v>15056</v>
      </c>
      <c r="H37" s="6139"/>
      <c r="J37" s="6138" t="s">
        <v>15057</v>
      </c>
      <c r="L37" s="6139"/>
      <c r="N37" s="6139"/>
      <c r="P37" s="6139"/>
      <c r="R37" s="6139"/>
      <c r="T37" s="6139"/>
      <c r="V37" s="6139"/>
      <c r="X37" s="6139"/>
      <c r="Z37" s="6139"/>
      <c r="AA37" s="2803"/>
      <c r="AB37" s="2730">
        <v>1</v>
      </c>
    </row>
    <row r="38" spans="2:28" ht="15.75">
      <c r="B38" s="6130" t="s">
        <v>15058</v>
      </c>
      <c r="C38" s="6131" t="s">
        <v>15059</v>
      </c>
      <c r="D38" s="6131" t="s">
        <v>15014</v>
      </c>
      <c r="H38" s="6139"/>
      <c r="J38" s="6139"/>
      <c r="L38" s="6139"/>
      <c r="N38" s="6139"/>
      <c r="P38" s="6139"/>
      <c r="R38" s="6139"/>
      <c r="T38" s="6139"/>
      <c r="V38" s="6139"/>
      <c r="X38" s="6139"/>
      <c r="Z38" s="6139"/>
      <c r="AA38" s="2803"/>
      <c r="AB38" s="2730">
        <v>1</v>
      </c>
    </row>
    <row r="39" spans="2:28" ht="15.75">
      <c r="B39" s="6130" t="s">
        <v>15058</v>
      </c>
      <c r="C39" s="6131" t="s">
        <v>15060</v>
      </c>
      <c r="D39" s="6131" t="s">
        <v>15061</v>
      </c>
      <c r="F39" s="6135" t="s">
        <v>15062</v>
      </c>
      <c r="G39" s="6136" t="s">
        <v>14889</v>
      </c>
      <c r="H39" s="6139"/>
      <c r="J39" s="6139"/>
      <c r="L39" s="6139"/>
      <c r="N39" s="6139"/>
      <c r="P39" s="6139"/>
      <c r="R39" s="6139"/>
      <c r="T39" s="6139"/>
      <c r="V39" s="6139"/>
      <c r="X39" s="6139"/>
      <c r="Z39" s="6139"/>
      <c r="AA39" s="2803"/>
      <c r="AB39" s="2730">
        <v>1</v>
      </c>
    </row>
    <row r="40" spans="2:28" ht="15.75">
      <c r="F40" s="6130" t="s">
        <v>15063</v>
      </c>
      <c r="G40" t="s">
        <v>15064</v>
      </c>
      <c r="H40" s="6139"/>
      <c r="J40" s="6139"/>
      <c r="L40" s="6139"/>
      <c r="N40" s="6139"/>
      <c r="P40" s="6139"/>
      <c r="R40" s="6139"/>
      <c r="T40" s="6139"/>
      <c r="V40" s="6139"/>
      <c r="X40" s="6139"/>
      <c r="Z40" s="6139"/>
      <c r="AA40" s="2803"/>
      <c r="AB40" s="2730">
        <v>1</v>
      </c>
    </row>
    <row r="41" spans="2:28" ht="15.75">
      <c r="B41" s="6130" t="s">
        <v>15065</v>
      </c>
      <c r="C41" s="6131" t="s">
        <v>15066</v>
      </c>
      <c r="D41" s="6131" t="s">
        <v>704</v>
      </c>
      <c r="F41" s="6130" t="s">
        <v>15067</v>
      </c>
      <c r="G41" t="s">
        <v>15068</v>
      </c>
      <c r="H41" s="6139"/>
      <c r="J41" s="6139"/>
      <c r="L41" s="6139"/>
      <c r="N41" s="6139"/>
      <c r="P41" s="6139"/>
      <c r="R41" s="6139"/>
      <c r="T41" s="6139"/>
      <c r="V41" s="6139"/>
      <c r="X41" s="6139"/>
      <c r="Z41" s="6139"/>
      <c r="AA41" s="2803"/>
      <c r="AB41" s="2730">
        <v>1</v>
      </c>
    </row>
    <row r="42" spans="2:28" ht="15.75">
      <c r="H42" s="6139"/>
      <c r="J42" s="6139"/>
      <c r="L42" s="6139"/>
      <c r="N42" s="6139"/>
      <c r="P42" s="6139"/>
      <c r="R42" s="6139"/>
      <c r="T42" s="6139"/>
      <c r="V42" s="6139"/>
      <c r="X42" s="6139"/>
      <c r="Z42" s="6139"/>
      <c r="AA42" s="2803"/>
      <c r="AB42" s="2730">
        <v>1</v>
      </c>
    </row>
    <row r="43" spans="2:28" ht="15.75">
      <c r="B43" s="6130" t="s">
        <v>15069</v>
      </c>
      <c r="C43" s="6131" t="s">
        <v>15070</v>
      </c>
      <c r="D43" s="6131" t="s">
        <v>15071</v>
      </c>
      <c r="F43" s="6135" t="s">
        <v>14937</v>
      </c>
      <c r="G43" s="6136" t="s">
        <v>15072</v>
      </c>
      <c r="H43" s="6139"/>
      <c r="J43" s="6139"/>
      <c r="L43" s="6139"/>
      <c r="N43" s="6139"/>
      <c r="P43" s="6139"/>
      <c r="R43" s="6139"/>
      <c r="T43" s="6139"/>
      <c r="V43" s="6139"/>
      <c r="X43" s="6139"/>
      <c r="Z43" s="6139"/>
      <c r="AA43" s="2803"/>
      <c r="AB43" s="2730">
        <v>1</v>
      </c>
    </row>
    <row r="44" spans="2:28" ht="15.75">
      <c r="B44" s="6130" t="s">
        <v>15073</v>
      </c>
      <c r="C44" s="6131" t="s">
        <v>15074</v>
      </c>
      <c r="D44" s="6131" t="s">
        <v>15075</v>
      </c>
      <c r="F44" s="6130" t="s">
        <v>15076</v>
      </c>
      <c r="G44" t="s">
        <v>15077</v>
      </c>
      <c r="H44" s="6139"/>
      <c r="J44" s="6139"/>
      <c r="L44" s="6139"/>
      <c r="N44" s="6139"/>
      <c r="P44" s="6139"/>
      <c r="R44" s="6139"/>
      <c r="T44" s="6139"/>
      <c r="V44" s="6139"/>
      <c r="X44" s="6139"/>
      <c r="Z44" s="6139"/>
      <c r="AA44" s="2803"/>
      <c r="AB44" s="2730">
        <v>1</v>
      </c>
    </row>
    <row r="45" spans="2:28" ht="15.75">
      <c r="F45" s="6130" t="s">
        <v>15078</v>
      </c>
      <c r="G45" t="s">
        <v>15079</v>
      </c>
      <c r="H45" s="6139"/>
      <c r="J45" s="6139"/>
      <c r="L45" s="6139"/>
      <c r="N45" s="6139"/>
      <c r="P45" s="6139"/>
      <c r="R45" s="6139"/>
      <c r="T45" s="6139"/>
      <c r="V45" s="6139"/>
      <c r="X45" s="6139"/>
      <c r="Z45" s="6139"/>
      <c r="AA45" s="2803"/>
      <c r="AB45" s="2730">
        <v>1</v>
      </c>
    </row>
    <row r="46" spans="2:28" ht="15.75">
      <c r="B46" s="6130" t="s">
        <v>15080</v>
      </c>
      <c r="C46" s="6131" t="s">
        <v>15007</v>
      </c>
      <c r="D46" s="6131" t="s">
        <v>15008</v>
      </c>
      <c r="H46" s="6139"/>
      <c r="J46" s="6139"/>
      <c r="L46" s="6139"/>
      <c r="N46" s="6139"/>
      <c r="P46" s="6139"/>
      <c r="R46" s="6139"/>
      <c r="T46" s="6139"/>
      <c r="V46" s="6139"/>
      <c r="X46" s="6139"/>
      <c r="Z46" s="6139"/>
      <c r="AA46" s="2803"/>
      <c r="AB46" s="2730">
        <v>1</v>
      </c>
    </row>
    <row r="47" spans="2:28" ht="15.75">
      <c r="F47" s="6135" t="s">
        <v>15081</v>
      </c>
      <c r="G47" s="6136" t="s">
        <v>15082</v>
      </c>
      <c r="H47" s="6139"/>
      <c r="J47" s="6139"/>
      <c r="L47" s="6139"/>
      <c r="N47" s="6139"/>
      <c r="P47" s="6139"/>
      <c r="R47" s="6139"/>
      <c r="T47" s="6139"/>
      <c r="V47" s="6139"/>
      <c r="X47" s="6139"/>
      <c r="Z47" s="6139"/>
      <c r="AA47" s="2803"/>
      <c r="AB47" s="2730">
        <v>1</v>
      </c>
    </row>
    <row r="48" spans="2:28" ht="15.75">
      <c r="B48" s="6130" t="s">
        <v>15083</v>
      </c>
      <c r="C48" s="6131" t="s">
        <v>15084</v>
      </c>
      <c r="D48" s="6131" t="s">
        <v>15084</v>
      </c>
      <c r="F48" s="6130" t="s">
        <v>15085</v>
      </c>
      <c r="G48" t="s">
        <v>15086</v>
      </c>
      <c r="H48" s="6139"/>
      <c r="J48" s="6139"/>
      <c r="L48" s="6139"/>
      <c r="N48" s="6139"/>
      <c r="P48" s="6139"/>
      <c r="R48" s="6139"/>
      <c r="T48" s="6139"/>
      <c r="V48" s="6139"/>
      <c r="X48" s="6139"/>
      <c r="Z48" s="6139"/>
      <c r="AA48" s="2803"/>
      <c r="AB48" s="2730">
        <v>1</v>
      </c>
    </row>
    <row r="49" spans="2:28" ht="15.75">
      <c r="B49" s="6130" t="s">
        <v>15087</v>
      </c>
      <c r="C49" s="6131" t="s">
        <v>15059</v>
      </c>
      <c r="D49" s="6131" t="s">
        <v>15014</v>
      </c>
      <c r="F49" s="6130" t="s">
        <v>15088</v>
      </c>
      <c r="G49" t="s">
        <v>15089</v>
      </c>
      <c r="H49" s="6139"/>
      <c r="J49" s="6139"/>
      <c r="L49" s="6139"/>
      <c r="N49" s="6139"/>
      <c r="P49" s="6139"/>
      <c r="R49" s="6139"/>
      <c r="T49" s="6139"/>
      <c r="V49" s="6139"/>
      <c r="X49" s="6139"/>
      <c r="Z49" s="6139"/>
      <c r="AA49" s="2803"/>
      <c r="AB49" s="2730">
        <v>1</v>
      </c>
    </row>
    <row r="50" spans="2:28" ht="15.75">
      <c r="B50" s="6130" t="s">
        <v>15090</v>
      </c>
      <c r="C50" s="6131" t="s">
        <v>15060</v>
      </c>
      <c r="D50" s="6131" t="s">
        <v>15061</v>
      </c>
      <c r="H50" s="6139"/>
      <c r="J50" s="6139"/>
      <c r="L50" s="6139"/>
      <c r="N50" s="6139"/>
      <c r="P50" s="6139"/>
      <c r="R50" s="6139"/>
      <c r="T50" s="6139"/>
      <c r="V50" s="6139"/>
      <c r="X50" s="6139"/>
      <c r="Z50" s="6139"/>
      <c r="AA50" s="2803"/>
      <c r="AB50" s="2730">
        <v>1</v>
      </c>
    </row>
    <row r="51" spans="2:28" ht="15.75">
      <c r="B51" s="6130" t="s">
        <v>15091</v>
      </c>
      <c r="C51" s="6131" t="s">
        <v>15092</v>
      </c>
      <c r="D51" s="6131" t="s">
        <v>15092</v>
      </c>
      <c r="F51" s="6142" t="s">
        <v>15093</v>
      </c>
      <c r="H51" s="6139"/>
      <c r="J51" s="6139"/>
      <c r="L51" s="6139"/>
      <c r="N51" s="6139"/>
      <c r="P51" s="6139"/>
      <c r="R51" s="6139"/>
      <c r="T51" s="6139"/>
      <c r="V51" s="6139"/>
      <c r="X51" s="6139"/>
      <c r="Z51" s="6139"/>
      <c r="AA51" s="2803"/>
      <c r="AB51" s="2730">
        <v>1</v>
      </c>
    </row>
    <row r="52" spans="2:28" ht="15.75">
      <c r="B52" s="6130" t="s">
        <v>15094</v>
      </c>
      <c r="C52" s="6131" t="s">
        <v>15095</v>
      </c>
      <c r="D52" s="6131" t="s">
        <v>15096</v>
      </c>
      <c r="F52" s="6143" t="s">
        <v>15097</v>
      </c>
      <c r="H52" s="6139"/>
      <c r="J52" s="6139"/>
      <c r="L52" s="6139"/>
      <c r="N52" s="6139"/>
      <c r="P52" s="6139"/>
      <c r="R52" s="6139"/>
      <c r="T52" s="6139"/>
      <c r="V52" s="6139"/>
      <c r="X52" s="6139"/>
      <c r="Z52" s="6139"/>
      <c r="AA52" s="2803"/>
      <c r="AB52" s="2730">
        <v>1</v>
      </c>
    </row>
    <row r="53" spans="2:28" ht="15.75">
      <c r="F53" s="6142" t="s">
        <v>15098</v>
      </c>
      <c r="H53" s="6139"/>
      <c r="J53" s="6139"/>
      <c r="L53" s="6139"/>
      <c r="N53" s="6139"/>
      <c r="P53" s="6139"/>
      <c r="R53" s="6139"/>
      <c r="T53" s="6139"/>
      <c r="V53" s="6139"/>
      <c r="X53" s="6139"/>
      <c r="Z53" s="6139"/>
      <c r="AA53" s="2803"/>
      <c r="AB53" s="2730">
        <v>1</v>
      </c>
    </row>
    <row r="54" spans="2:28" ht="15.75">
      <c r="B54" s="6130" t="s">
        <v>15099</v>
      </c>
      <c r="C54" s="6131" t="s">
        <v>15023</v>
      </c>
      <c r="D54" s="6131" t="s">
        <v>15024</v>
      </c>
      <c r="AB54" s="2730">
        <v>1</v>
      </c>
    </row>
    <row r="55" spans="2:28" ht="15.75">
      <c r="B55" s="6130" t="s">
        <v>15099</v>
      </c>
      <c r="C55" s="6131" t="s">
        <v>14982</v>
      </c>
      <c r="D55" s="6131" t="s">
        <v>15100</v>
      </c>
      <c r="F55" s="6130" t="s">
        <v>15101</v>
      </c>
      <c r="AB55" s="2730">
        <v>1</v>
      </c>
    </row>
    <row r="56" spans="2:28" ht="15.75">
      <c r="B56" s="6130" t="s">
        <v>15102</v>
      </c>
      <c r="C56" s="6131" t="s">
        <v>15103</v>
      </c>
      <c r="D56" s="6131" t="s">
        <v>15104</v>
      </c>
      <c r="F56" s="6130" t="s">
        <v>15105</v>
      </c>
      <c r="AB56" s="2730">
        <v>1</v>
      </c>
    </row>
    <row r="57" spans="2:28" ht="15.75">
      <c r="F57" s="6130" t="s">
        <v>15106</v>
      </c>
      <c r="AB57" s="2730">
        <v>1</v>
      </c>
    </row>
    <row r="58" spans="2:28" ht="15.75">
      <c r="B58" s="6130" t="s">
        <v>15107</v>
      </c>
      <c r="C58" s="6131" t="s">
        <v>15103</v>
      </c>
      <c r="D58" s="6131" t="s">
        <v>15104</v>
      </c>
      <c r="F58" s="6130" t="s">
        <v>15108</v>
      </c>
      <c r="AB58" s="2730">
        <v>1</v>
      </c>
    </row>
    <row r="59" spans="2:28" ht="15.75">
      <c r="B59" s="6130" t="s">
        <v>15109</v>
      </c>
      <c r="C59" s="6131" t="s">
        <v>15007</v>
      </c>
      <c r="D59" s="6131" t="s">
        <v>15008</v>
      </c>
      <c r="F59" s="6130" t="s">
        <v>15110</v>
      </c>
      <c r="AB59" s="2730">
        <v>1</v>
      </c>
    </row>
    <row r="60" spans="2:28" ht="15.75">
      <c r="B60" s="6130" t="s">
        <v>15111</v>
      </c>
      <c r="C60" s="6131" t="s">
        <v>15060</v>
      </c>
      <c r="D60" s="6131" t="s">
        <v>15061</v>
      </c>
      <c r="F60" s="6130" t="s">
        <v>15112</v>
      </c>
      <c r="AB60" s="2730">
        <v>1</v>
      </c>
    </row>
    <row r="61" spans="2:28" ht="15.75">
      <c r="F61" s="6130" t="s">
        <v>15113</v>
      </c>
      <c r="AB61" s="2730">
        <v>1</v>
      </c>
    </row>
    <row r="62" spans="2:28" ht="15.75">
      <c r="B62" s="6130" t="s">
        <v>15114</v>
      </c>
      <c r="C62" s="6131" t="s">
        <v>15115</v>
      </c>
      <c r="D62" s="6131" t="s">
        <v>15116</v>
      </c>
      <c r="AB62" s="2730">
        <v>1</v>
      </c>
    </row>
    <row r="63" spans="2:28" ht="15.75">
      <c r="B63" s="6130" t="s">
        <v>15117</v>
      </c>
      <c r="C63" s="6131" t="s">
        <v>15118</v>
      </c>
      <c r="D63" s="6131" t="s">
        <v>15119</v>
      </c>
      <c r="F63" s="6144" t="s">
        <v>15120</v>
      </c>
      <c r="G63" s="3185" t="s">
        <v>15121</v>
      </c>
      <c r="AB63" s="2730">
        <v>1</v>
      </c>
    </row>
    <row r="64" spans="2:28" ht="15.75">
      <c r="B64" s="6130" t="s">
        <v>15117</v>
      </c>
      <c r="C64" s="6131" t="s">
        <v>15122</v>
      </c>
      <c r="D64" s="6130" t="s">
        <v>15123</v>
      </c>
      <c r="F64" s="6144" t="s">
        <v>15124</v>
      </c>
      <c r="G64" s="3185" t="s">
        <v>15125</v>
      </c>
      <c r="AB64" s="2730">
        <v>1</v>
      </c>
    </row>
    <row r="65" spans="2:28">
      <c r="F65" s="6144" t="s">
        <v>15126</v>
      </c>
      <c r="G65" s="885" t="s">
        <v>15127</v>
      </c>
      <c r="AB65" s="2730">
        <v>1</v>
      </c>
    </row>
    <row r="66" spans="2:28" ht="15.75">
      <c r="B66" s="6130" t="s">
        <v>15128</v>
      </c>
      <c r="C66" s="6131" t="s">
        <v>15129</v>
      </c>
      <c r="D66" s="6131" t="s">
        <v>948</v>
      </c>
      <c r="F66" s="6144" t="s">
        <v>15130</v>
      </c>
      <c r="G66" s="885" t="s">
        <v>15131</v>
      </c>
      <c r="AB66" s="2730">
        <v>1</v>
      </c>
    </row>
    <row r="67" spans="2:28" ht="15.75">
      <c r="B67" s="6130" t="s">
        <v>15132</v>
      </c>
      <c r="C67" s="6131" t="s">
        <v>15103</v>
      </c>
      <c r="D67" s="6131" t="s">
        <v>15104</v>
      </c>
      <c r="F67" s="6144" t="s">
        <v>15133</v>
      </c>
      <c r="G67" s="885" t="s">
        <v>15134</v>
      </c>
      <c r="AB67" s="2730">
        <v>1</v>
      </c>
    </row>
    <row r="68" spans="2:28" ht="15.75">
      <c r="B68" s="6130" t="s">
        <v>1553</v>
      </c>
      <c r="C68" s="6131" t="s">
        <v>15115</v>
      </c>
      <c r="D68" s="6131" t="s">
        <v>15116</v>
      </c>
      <c r="F68" s="6144" t="s">
        <v>15135</v>
      </c>
      <c r="G68" s="885" t="s">
        <v>15136</v>
      </c>
      <c r="AB68" s="2730">
        <v>1</v>
      </c>
    </row>
    <row r="69" spans="2:28" ht="15.75">
      <c r="B69" s="6130" t="s">
        <v>15137</v>
      </c>
      <c r="C69" s="6131" t="s">
        <v>15138</v>
      </c>
      <c r="D69" s="6131" t="s">
        <v>15139</v>
      </c>
      <c r="F69" s="6144" t="s">
        <v>15140</v>
      </c>
      <c r="G69" s="885" t="s">
        <v>15141</v>
      </c>
      <c r="AB69" s="2730">
        <v>1</v>
      </c>
    </row>
    <row r="70" spans="2:28" ht="15.75">
      <c r="B70" s="6130" t="s">
        <v>15142</v>
      </c>
      <c r="C70" s="6131" t="s">
        <v>15143</v>
      </c>
      <c r="D70" s="6131" t="s">
        <v>850</v>
      </c>
      <c r="F70" s="6144" t="s">
        <v>15144</v>
      </c>
      <c r="G70" s="885" t="s">
        <v>15145</v>
      </c>
      <c r="AB70" s="2730">
        <v>1</v>
      </c>
    </row>
    <row r="71" spans="2:28">
      <c r="F71" s="6144" t="s">
        <v>15146</v>
      </c>
      <c r="G71" s="885" t="s">
        <v>15147</v>
      </c>
      <c r="AB71" s="2730">
        <v>1</v>
      </c>
    </row>
    <row r="72" spans="2:28" ht="15.75">
      <c r="B72" s="6130" t="s">
        <v>15148</v>
      </c>
      <c r="C72" s="6131" t="s">
        <v>15060</v>
      </c>
      <c r="D72" s="6131" t="s">
        <v>15061</v>
      </c>
      <c r="F72" s="6144" t="s">
        <v>15149</v>
      </c>
      <c r="G72" s="885" t="s">
        <v>15150</v>
      </c>
      <c r="AB72" s="2730">
        <v>1</v>
      </c>
    </row>
    <row r="73" spans="2:28">
      <c r="F73" s="6144" t="s">
        <v>15151</v>
      </c>
      <c r="G73" s="885" t="s">
        <v>15152</v>
      </c>
      <c r="AB73" s="2730">
        <v>1</v>
      </c>
    </row>
    <row r="74" spans="2:28" ht="15.75">
      <c r="B74" s="6130" t="s">
        <v>15153</v>
      </c>
      <c r="C74" s="6131" t="s">
        <v>766</v>
      </c>
      <c r="D74" s="6131" t="s">
        <v>728</v>
      </c>
      <c r="AA74" s="2730">
        <v>1</v>
      </c>
      <c r="AB74" s="2730">
        <v>1</v>
      </c>
    </row>
    <row r="75" spans="2:28" ht="15.75">
      <c r="B75" s="6130" t="s">
        <v>15153</v>
      </c>
      <c r="C75" s="6131" t="s">
        <v>15154</v>
      </c>
      <c r="D75" s="6131" t="s">
        <v>948</v>
      </c>
      <c r="F75" t="s">
        <v>15155</v>
      </c>
      <c r="AB75" s="2730">
        <v>1</v>
      </c>
    </row>
    <row r="76" spans="2:28" ht="15.75">
      <c r="B76" s="6130" t="s">
        <v>15153</v>
      </c>
      <c r="C76" s="6131" t="s">
        <v>15154</v>
      </c>
      <c r="D76" s="6131" t="s">
        <v>948</v>
      </c>
      <c r="F76" t="s">
        <v>15156</v>
      </c>
      <c r="AB76" s="2730">
        <v>1</v>
      </c>
    </row>
    <row r="77" spans="2:28" ht="15.75">
      <c r="B77" s="6130" t="s">
        <v>15157</v>
      </c>
      <c r="C77" s="6131" t="s">
        <v>15158</v>
      </c>
      <c r="D77" s="6131" t="s">
        <v>948</v>
      </c>
      <c r="F77" t="s">
        <v>15159</v>
      </c>
      <c r="AB77" s="2730">
        <v>1</v>
      </c>
    </row>
    <row r="78" spans="2:28" ht="15.75">
      <c r="B78" s="6130" t="s">
        <v>15157</v>
      </c>
      <c r="C78" s="6131" t="s">
        <v>766</v>
      </c>
      <c r="D78" s="6131" t="s">
        <v>728</v>
      </c>
      <c r="F78" t="s">
        <v>15160</v>
      </c>
      <c r="AB78" s="2730">
        <v>1</v>
      </c>
    </row>
    <row r="79" spans="2:28">
      <c r="F79" t="s">
        <v>15161</v>
      </c>
      <c r="AB79" s="2730">
        <v>1</v>
      </c>
    </row>
    <row r="80" spans="2:28" ht="15.75">
      <c r="B80" s="6130" t="s">
        <v>15162</v>
      </c>
      <c r="C80" s="6131" t="s">
        <v>15059</v>
      </c>
      <c r="D80" s="6131" t="s">
        <v>15014</v>
      </c>
      <c r="F80" t="s">
        <v>15163</v>
      </c>
      <c r="AB80" s="2730">
        <v>1</v>
      </c>
    </row>
    <row r="81" spans="2:28" ht="15.75">
      <c r="B81" s="6130" t="s">
        <v>15164</v>
      </c>
      <c r="C81" s="6131" t="s">
        <v>15154</v>
      </c>
      <c r="D81" s="6131" t="s">
        <v>948</v>
      </c>
      <c r="F81" t="s">
        <v>15165</v>
      </c>
      <c r="AB81" s="2730">
        <v>1</v>
      </c>
    </row>
    <row r="82" spans="2:28" ht="15.75">
      <c r="B82" s="6130" t="s">
        <v>15166</v>
      </c>
      <c r="C82" s="6131" t="s">
        <v>15129</v>
      </c>
      <c r="D82" s="6131" t="s">
        <v>948</v>
      </c>
      <c r="AB82" s="2730">
        <v>1</v>
      </c>
    </row>
    <row r="83" spans="2:28" ht="15.75">
      <c r="B83" s="6130" t="s">
        <v>15167</v>
      </c>
      <c r="C83" s="6131" t="s">
        <v>15129</v>
      </c>
      <c r="D83" s="6131" t="s">
        <v>948</v>
      </c>
      <c r="AB83" s="2730">
        <v>1</v>
      </c>
    </row>
    <row r="84" spans="2:28" ht="15.75">
      <c r="B84" s="6130" t="s">
        <v>15168</v>
      </c>
      <c r="C84" s="6131" t="s">
        <v>15000</v>
      </c>
      <c r="D84" s="6130" t="s">
        <v>15169</v>
      </c>
      <c r="AB84" s="2730">
        <v>1</v>
      </c>
    </row>
    <row r="85" spans="2:28" ht="15.75">
      <c r="B85" s="6130" t="s">
        <v>15170</v>
      </c>
      <c r="C85" s="6131" t="s">
        <v>15059</v>
      </c>
      <c r="D85" s="6131" t="s">
        <v>15014</v>
      </c>
      <c r="AB85" s="2730">
        <v>1</v>
      </c>
    </row>
    <row r="86" spans="2:28">
      <c r="AB86" s="2730">
        <v>1</v>
      </c>
    </row>
    <row r="87" spans="2:28" ht="15.75">
      <c r="B87" s="6130" t="s">
        <v>15171</v>
      </c>
      <c r="C87" s="6131" t="s">
        <v>15172</v>
      </c>
      <c r="D87" s="6131" t="s">
        <v>15173</v>
      </c>
      <c r="AB87" s="2730">
        <v>1</v>
      </c>
    </row>
    <row r="88" spans="2:28" ht="15.75">
      <c r="B88" s="6130" t="s">
        <v>15174</v>
      </c>
      <c r="C88" s="6131" t="s">
        <v>15175</v>
      </c>
      <c r="D88" s="6131" t="s">
        <v>15176</v>
      </c>
      <c r="AB88" s="2730">
        <v>1</v>
      </c>
    </row>
    <row r="89" spans="2:28" ht="15.75">
      <c r="B89" s="6130" t="s">
        <v>15174</v>
      </c>
      <c r="C89" s="6131" t="s">
        <v>15177</v>
      </c>
      <c r="D89" s="6131" t="s">
        <v>15178</v>
      </c>
      <c r="AB89" s="2730">
        <v>1</v>
      </c>
    </row>
    <row r="90" spans="2:28" ht="15.75">
      <c r="B90" s="6130" t="s">
        <v>15179</v>
      </c>
      <c r="C90" s="6131" t="s">
        <v>15180</v>
      </c>
      <c r="D90" s="6131" t="s">
        <v>972</v>
      </c>
      <c r="AB90" s="2730">
        <v>1</v>
      </c>
    </row>
    <row r="91" spans="2:28" ht="15.75">
      <c r="B91" s="6130" t="s">
        <v>15181</v>
      </c>
      <c r="C91" s="6131" t="s">
        <v>15154</v>
      </c>
      <c r="D91" s="6131" t="s">
        <v>948</v>
      </c>
      <c r="AB91" s="2730">
        <v>1</v>
      </c>
    </row>
    <row r="92" spans="2:28">
      <c r="AB92" s="2730">
        <v>1</v>
      </c>
    </row>
    <row r="93" spans="2:28" ht="15.75">
      <c r="B93" s="6130" t="s">
        <v>15182</v>
      </c>
      <c r="C93" s="6131" t="s">
        <v>15183</v>
      </c>
      <c r="D93" s="6131" t="s">
        <v>15184</v>
      </c>
      <c r="AB93" s="2730">
        <v>1</v>
      </c>
    </row>
    <row r="94" spans="2:28" ht="15.75">
      <c r="B94" s="6130" t="s">
        <v>15182</v>
      </c>
      <c r="C94" s="6131" t="s">
        <v>15059</v>
      </c>
      <c r="D94" s="6131" t="s">
        <v>15014</v>
      </c>
      <c r="AB94" s="2730">
        <v>1</v>
      </c>
    </row>
    <row r="95" spans="2:28" ht="15.75">
      <c r="B95" s="6130" t="s">
        <v>15182</v>
      </c>
      <c r="C95" s="6131" t="s">
        <v>15185</v>
      </c>
      <c r="D95" s="6131" t="s">
        <v>15024</v>
      </c>
      <c r="AB95" s="2730">
        <v>1</v>
      </c>
    </row>
    <row r="96" spans="2:28" ht="15.75">
      <c r="B96" s="6130" t="s">
        <v>15182</v>
      </c>
      <c r="C96" s="6131" t="s">
        <v>15186</v>
      </c>
      <c r="D96" s="6131" t="s">
        <v>15187</v>
      </c>
      <c r="AB96" s="2730">
        <v>1</v>
      </c>
    </row>
    <row r="97" spans="2:28" ht="15.75">
      <c r="B97" s="6130" t="s">
        <v>15182</v>
      </c>
      <c r="C97" s="6131" t="s">
        <v>15183</v>
      </c>
      <c r="D97" s="6131" t="s">
        <v>15184</v>
      </c>
      <c r="AB97" s="2730">
        <v>1</v>
      </c>
    </row>
    <row r="98" spans="2:28">
      <c r="AB98" s="2730">
        <v>1</v>
      </c>
    </row>
    <row r="99" spans="2:28" ht="15.75">
      <c r="B99" s="6130" t="s">
        <v>15188</v>
      </c>
      <c r="C99" s="6131" t="s">
        <v>15029</v>
      </c>
      <c r="D99" s="6131" t="s">
        <v>15030</v>
      </c>
      <c r="AB99" s="2730">
        <v>1</v>
      </c>
    </row>
    <row r="100" spans="2:28">
      <c r="AB100" s="2730">
        <v>1</v>
      </c>
    </row>
    <row r="101" spans="2:28" ht="15.75">
      <c r="B101" s="6130" t="s">
        <v>15189</v>
      </c>
      <c r="C101" s="6131" t="s">
        <v>15190</v>
      </c>
      <c r="D101" s="6131" t="s">
        <v>15191</v>
      </c>
      <c r="AB101" s="2730">
        <v>1</v>
      </c>
    </row>
    <row r="102" spans="2:28" ht="15.75">
      <c r="B102" s="6130" t="s">
        <v>15189</v>
      </c>
      <c r="C102" s="6131" t="s">
        <v>15190</v>
      </c>
      <c r="D102" s="6131" t="s">
        <v>15191</v>
      </c>
      <c r="AB102" s="2730">
        <v>1</v>
      </c>
    </row>
    <row r="103" spans="2:28" ht="15.75">
      <c r="B103" s="6130" t="s">
        <v>15189</v>
      </c>
      <c r="C103" s="6131" t="s">
        <v>766</v>
      </c>
      <c r="D103" s="6131" t="s">
        <v>728</v>
      </c>
      <c r="AB103" s="2730">
        <v>1</v>
      </c>
    </row>
    <row r="104" spans="2:28" ht="15.75">
      <c r="B104" s="6130" t="s">
        <v>15189</v>
      </c>
      <c r="C104" s="6131" t="s">
        <v>15154</v>
      </c>
      <c r="D104" s="6131" t="s">
        <v>948</v>
      </c>
      <c r="AB104" s="2730">
        <v>1</v>
      </c>
    </row>
    <row r="105" spans="2:28" ht="15.75">
      <c r="B105" s="6130" t="s">
        <v>15192</v>
      </c>
      <c r="C105" s="6131" t="s">
        <v>15180</v>
      </c>
      <c r="D105" s="6131" t="s">
        <v>15036</v>
      </c>
      <c r="AB105" s="2730">
        <v>1</v>
      </c>
    </row>
    <row r="106" spans="2:28">
      <c r="AB106" s="2730">
        <v>1</v>
      </c>
    </row>
    <row r="107" spans="2:28" ht="15.75">
      <c r="B107" s="6130" t="s">
        <v>15193</v>
      </c>
      <c r="C107" s="6131" t="s">
        <v>15103</v>
      </c>
      <c r="D107" s="6131" t="s">
        <v>15104</v>
      </c>
      <c r="AB107" s="2730">
        <v>1</v>
      </c>
    </row>
    <row r="108" spans="2:28">
      <c r="AB108" s="2730">
        <v>1</v>
      </c>
    </row>
    <row r="109" spans="2:28" ht="15.75">
      <c r="B109" s="6130" t="s">
        <v>15194</v>
      </c>
      <c r="C109" s="6131" t="s">
        <v>15195</v>
      </c>
      <c r="D109" s="6131" t="s">
        <v>15196</v>
      </c>
      <c r="AB109" s="2730">
        <v>1</v>
      </c>
    </row>
    <row r="110" spans="2:28" ht="15.75">
      <c r="B110" s="6130" t="s">
        <v>15194</v>
      </c>
      <c r="C110" s="6131" t="s">
        <v>15103</v>
      </c>
      <c r="D110" s="6131" t="s">
        <v>15104</v>
      </c>
      <c r="AB110" s="2730">
        <v>1</v>
      </c>
    </row>
    <row r="111" spans="2:28" ht="15.75">
      <c r="B111" s="6130" t="s">
        <v>15194</v>
      </c>
      <c r="C111" s="6131" t="s">
        <v>15190</v>
      </c>
      <c r="D111" s="6131" t="s">
        <v>15191</v>
      </c>
      <c r="AB111" s="2730">
        <v>1</v>
      </c>
    </row>
    <row r="112" spans="2:28" ht="15.75">
      <c r="B112" s="6130" t="s">
        <v>15194</v>
      </c>
      <c r="C112" s="6131" t="s">
        <v>15029</v>
      </c>
      <c r="D112" s="6131" t="s">
        <v>15030</v>
      </c>
      <c r="AB112" s="2730">
        <v>1</v>
      </c>
    </row>
    <row r="113" spans="2:28">
      <c r="AB113" s="2730">
        <v>1</v>
      </c>
    </row>
    <row r="114" spans="2:28" ht="15.75">
      <c r="B114" s="6130" t="s">
        <v>15197</v>
      </c>
      <c r="C114" s="6131" t="s">
        <v>15143</v>
      </c>
      <c r="D114" s="6131" t="s">
        <v>850</v>
      </c>
      <c r="AB114" s="2730">
        <v>1</v>
      </c>
    </row>
    <row r="115" spans="2:28" ht="15.75">
      <c r="B115" s="6130" t="s">
        <v>15198</v>
      </c>
      <c r="C115" s="6131" t="s">
        <v>15129</v>
      </c>
      <c r="D115" s="6131" t="s">
        <v>15199</v>
      </c>
      <c r="AB115" s="2730">
        <v>1</v>
      </c>
    </row>
    <row r="116" spans="2:28" ht="15.75">
      <c r="B116" s="6130" t="s">
        <v>15200</v>
      </c>
      <c r="C116" s="6131" t="s">
        <v>15059</v>
      </c>
      <c r="D116" s="6131" t="s">
        <v>15014</v>
      </c>
      <c r="AB116" s="2730">
        <v>1</v>
      </c>
    </row>
    <row r="117" spans="2:28">
      <c r="AB117" s="2730">
        <v>1</v>
      </c>
    </row>
    <row r="118" spans="2:28" ht="15.75">
      <c r="B118" s="6130" t="s">
        <v>15201</v>
      </c>
      <c r="C118" s="6131" t="s">
        <v>766</v>
      </c>
      <c r="D118" s="6131" t="s">
        <v>728</v>
      </c>
      <c r="AB118" s="2730">
        <v>1</v>
      </c>
    </row>
    <row r="119" spans="2:28" ht="15.75">
      <c r="B119" s="6130" t="s">
        <v>15201</v>
      </c>
      <c r="C119" s="6131" t="s">
        <v>15070</v>
      </c>
      <c r="D119" s="6131" t="s">
        <v>15202</v>
      </c>
      <c r="AB119" s="2730">
        <v>1</v>
      </c>
    </row>
    <row r="120" spans="2:28" ht="15.75">
      <c r="B120" s="6130" t="s">
        <v>15203</v>
      </c>
      <c r="C120" s="6131" t="s">
        <v>15115</v>
      </c>
      <c r="D120" s="6131" t="s">
        <v>15116</v>
      </c>
      <c r="AB120" s="2730">
        <v>1</v>
      </c>
    </row>
    <row r="121" spans="2:28">
      <c r="AB121" s="2730">
        <v>1</v>
      </c>
    </row>
    <row r="122" spans="2:28" ht="15.75">
      <c r="B122" s="6130" t="s">
        <v>5904</v>
      </c>
      <c r="C122" s="6131" t="s">
        <v>766</v>
      </c>
      <c r="D122" s="6131" t="s">
        <v>728</v>
      </c>
      <c r="AB122" s="2730">
        <v>1</v>
      </c>
    </row>
    <row r="123" spans="2:28" ht="15.75">
      <c r="B123" s="6130" t="s">
        <v>15204</v>
      </c>
      <c r="C123" s="6131" t="s">
        <v>2367</v>
      </c>
      <c r="D123" s="6131" t="s">
        <v>2367</v>
      </c>
      <c r="AB123" s="2730">
        <v>1</v>
      </c>
    </row>
    <row r="124" spans="2:28">
      <c r="AB124" s="2730">
        <v>1</v>
      </c>
    </row>
    <row r="125" spans="2:28" ht="15.75">
      <c r="B125" s="6130" t="s">
        <v>15205</v>
      </c>
      <c r="C125" s="6131" t="s">
        <v>15007</v>
      </c>
      <c r="D125" s="6131" t="s">
        <v>15008</v>
      </c>
      <c r="AB125" s="2730">
        <v>1</v>
      </c>
    </row>
    <row r="126" spans="2:28" ht="15.75">
      <c r="B126" s="6130" t="s">
        <v>15206</v>
      </c>
      <c r="C126" s="6131" t="s">
        <v>15059</v>
      </c>
      <c r="D126" s="6131" t="s">
        <v>15014</v>
      </c>
      <c r="AB126" s="2730">
        <v>1</v>
      </c>
    </row>
    <row r="127" spans="2:28" ht="15.75">
      <c r="B127" s="6130" t="s">
        <v>15206</v>
      </c>
      <c r="C127" s="6131" t="s">
        <v>15207</v>
      </c>
      <c r="D127" s="6131" t="s">
        <v>15030</v>
      </c>
      <c r="AB127" s="2730">
        <v>1</v>
      </c>
    </row>
    <row r="128" spans="2:28">
      <c r="AB128" s="2730">
        <v>1</v>
      </c>
    </row>
    <row r="129" spans="2:28" ht="15.75">
      <c r="B129" s="6130" t="s">
        <v>15208</v>
      </c>
      <c r="C129" s="6131" t="s">
        <v>766</v>
      </c>
      <c r="D129" s="6131" t="s">
        <v>728</v>
      </c>
      <c r="AB129" s="2730">
        <v>1</v>
      </c>
    </row>
    <row r="130" spans="2:28" ht="15.75">
      <c r="B130" s="6130" t="s">
        <v>15209</v>
      </c>
      <c r="C130" s="6131" t="s">
        <v>15177</v>
      </c>
      <c r="D130" s="6131" t="s">
        <v>15178</v>
      </c>
      <c r="AB130" s="2730">
        <v>1</v>
      </c>
    </row>
    <row r="131" spans="2:28">
      <c r="AB131" s="2730">
        <v>1</v>
      </c>
    </row>
    <row r="132" spans="2:28" ht="15.75">
      <c r="B132" s="6130" t="s">
        <v>15210</v>
      </c>
      <c r="C132" s="6131" t="s">
        <v>15211</v>
      </c>
      <c r="D132" s="6131" t="s">
        <v>15008</v>
      </c>
      <c r="AB132" s="2730">
        <v>1</v>
      </c>
    </row>
    <row r="133" spans="2:28">
      <c r="AB133" s="2730">
        <v>1</v>
      </c>
    </row>
    <row r="134" spans="2:28" ht="15.75">
      <c r="B134" s="6130" t="s">
        <v>15212</v>
      </c>
      <c r="C134" s="6131" t="s">
        <v>15029</v>
      </c>
      <c r="D134" s="6131" t="s">
        <v>15030</v>
      </c>
      <c r="AB134" s="2730">
        <v>1</v>
      </c>
    </row>
    <row r="135" spans="2:28" ht="15.75">
      <c r="B135" s="6130" t="s">
        <v>15212</v>
      </c>
      <c r="C135" s="6131" t="s">
        <v>15195</v>
      </c>
      <c r="D135" s="6131" t="s">
        <v>15213</v>
      </c>
      <c r="AB135" s="2730">
        <v>1</v>
      </c>
    </row>
    <row r="136" spans="2:28">
      <c r="AB136" s="2730">
        <v>1</v>
      </c>
    </row>
    <row r="137" spans="2:28" ht="15.75">
      <c r="B137" s="6130" t="s">
        <v>15214</v>
      </c>
      <c r="C137" s="6131" t="s">
        <v>15154</v>
      </c>
      <c r="D137" s="6131" t="s">
        <v>834</v>
      </c>
      <c r="AB137" s="2730">
        <v>1</v>
      </c>
    </row>
    <row r="138" spans="2:28" ht="15.75">
      <c r="B138" s="6130" t="s">
        <v>15215</v>
      </c>
      <c r="C138" s="6131" t="s">
        <v>15138</v>
      </c>
      <c r="D138" s="6131" t="s">
        <v>15139</v>
      </c>
      <c r="AB138" s="2730">
        <v>1</v>
      </c>
    </row>
    <row r="139" spans="2:28" ht="15.75">
      <c r="B139" s="6130" t="s">
        <v>15216</v>
      </c>
      <c r="C139" s="6131" t="s">
        <v>15129</v>
      </c>
      <c r="D139" s="6131" t="s">
        <v>948</v>
      </c>
      <c r="AB139" s="2730">
        <v>1</v>
      </c>
    </row>
    <row r="140" spans="2:28" ht="15.75">
      <c r="B140" s="6130" t="s">
        <v>15217</v>
      </c>
      <c r="C140" s="6131" t="s">
        <v>15154</v>
      </c>
      <c r="D140" s="6131" t="s">
        <v>948</v>
      </c>
      <c r="AB140" s="2730">
        <v>1</v>
      </c>
    </row>
    <row r="141" spans="2:28" ht="15.75">
      <c r="B141" s="6130" t="s">
        <v>15218</v>
      </c>
      <c r="C141" s="6131" t="s">
        <v>15029</v>
      </c>
      <c r="D141" s="6131" t="s">
        <v>15030</v>
      </c>
      <c r="AB141" s="2730">
        <v>1</v>
      </c>
    </row>
    <row r="142" spans="2:28" ht="15.75">
      <c r="B142" s="6130" t="s">
        <v>15219</v>
      </c>
      <c r="C142" s="6131" t="s">
        <v>766</v>
      </c>
      <c r="D142" s="6131" t="s">
        <v>728</v>
      </c>
      <c r="AB142" s="2730">
        <v>1</v>
      </c>
    </row>
    <row r="143" spans="2:28" ht="15.75">
      <c r="B143" s="6130" t="s">
        <v>15220</v>
      </c>
      <c r="C143" s="6131" t="s">
        <v>15183</v>
      </c>
      <c r="D143" s="6131" t="s">
        <v>15184</v>
      </c>
      <c r="AB143" s="2730">
        <v>1</v>
      </c>
    </row>
    <row r="144" spans="2:28" ht="15.75">
      <c r="B144" s="6130" t="s">
        <v>15221</v>
      </c>
      <c r="C144" s="6131" t="s">
        <v>15154</v>
      </c>
      <c r="D144" s="6131" t="s">
        <v>834</v>
      </c>
      <c r="AB144" s="2730">
        <v>1</v>
      </c>
    </row>
    <row r="145" spans="2:28" ht="15.75">
      <c r="B145" s="6130" t="s">
        <v>366</v>
      </c>
      <c r="C145" s="6131" t="s">
        <v>15222</v>
      </c>
      <c r="D145" s="6131" t="s">
        <v>15061</v>
      </c>
      <c r="AB145" s="2730">
        <v>1</v>
      </c>
    </row>
    <row r="146" spans="2:28" ht="15.75">
      <c r="B146" s="6130" t="s">
        <v>366</v>
      </c>
      <c r="C146" s="6131" t="s">
        <v>15059</v>
      </c>
      <c r="D146" s="6131" t="s">
        <v>15014</v>
      </c>
      <c r="AB146" s="2730">
        <v>1</v>
      </c>
    </row>
    <row r="147" spans="2:28" ht="15.75">
      <c r="B147" s="6130" t="s">
        <v>366</v>
      </c>
      <c r="C147" s="6131" t="s">
        <v>15007</v>
      </c>
      <c r="D147" s="6131" t="s">
        <v>15008</v>
      </c>
      <c r="AB147" s="2730">
        <v>1</v>
      </c>
    </row>
    <row r="148" spans="2:28">
      <c r="AB148" s="2730">
        <v>1</v>
      </c>
    </row>
    <row r="149" spans="2:28" ht="15.75">
      <c r="B149" s="6130" t="s">
        <v>15223</v>
      </c>
      <c r="C149" s="6131" t="s">
        <v>15115</v>
      </c>
      <c r="D149" s="6131" t="s">
        <v>15116</v>
      </c>
      <c r="AB149" s="2730">
        <v>1</v>
      </c>
    </row>
    <row r="150" spans="2:28" ht="15.75">
      <c r="B150" s="6130" t="s">
        <v>15224</v>
      </c>
      <c r="C150" s="6131" t="s">
        <v>15225</v>
      </c>
      <c r="D150" s="6131" t="s">
        <v>15226</v>
      </c>
      <c r="AB150" s="2730">
        <v>1</v>
      </c>
    </row>
    <row r="151" spans="2:28">
      <c r="AB151" s="2730">
        <v>1</v>
      </c>
    </row>
    <row r="152" spans="2:28" ht="15.75">
      <c r="B152" s="6130" t="s">
        <v>15227</v>
      </c>
      <c r="C152" s="6131" t="s">
        <v>15059</v>
      </c>
      <c r="D152" s="6131" t="s">
        <v>15014</v>
      </c>
      <c r="AB152" s="2730">
        <v>1</v>
      </c>
    </row>
    <row r="153" spans="2:28" ht="15.75">
      <c r="B153" s="6130" t="s">
        <v>15228</v>
      </c>
      <c r="C153" s="6131" t="s">
        <v>15023</v>
      </c>
      <c r="D153" s="6131" t="s">
        <v>15024</v>
      </c>
      <c r="AB153" s="2730">
        <v>1</v>
      </c>
    </row>
    <row r="154" spans="2:28" ht="15.75">
      <c r="B154" s="6130" t="s">
        <v>15228</v>
      </c>
      <c r="C154" s="6131" t="s">
        <v>15029</v>
      </c>
      <c r="D154" s="6131" t="s">
        <v>15030</v>
      </c>
      <c r="AB154" s="2730">
        <v>1</v>
      </c>
    </row>
    <row r="155" spans="2:28" ht="15.75">
      <c r="B155" s="6130" t="s">
        <v>15228</v>
      </c>
      <c r="C155" s="6131" t="s">
        <v>15060</v>
      </c>
      <c r="D155" s="6131" t="s">
        <v>15061</v>
      </c>
      <c r="AB155" s="2730">
        <v>1</v>
      </c>
    </row>
    <row r="156" spans="2:28" ht="15.75">
      <c r="B156" s="6130" t="s">
        <v>15228</v>
      </c>
      <c r="C156" s="6131" t="s">
        <v>15229</v>
      </c>
      <c r="D156" s="6131" t="s">
        <v>15036</v>
      </c>
      <c r="AB156" s="2730">
        <v>1</v>
      </c>
    </row>
    <row r="157" spans="2:28" ht="15.75">
      <c r="B157" s="6130" t="s">
        <v>15230</v>
      </c>
      <c r="C157" s="6131" t="s">
        <v>15029</v>
      </c>
      <c r="D157" s="6131" t="s">
        <v>15030</v>
      </c>
      <c r="AB157" s="2730">
        <v>1</v>
      </c>
    </row>
    <row r="158" spans="2:28" ht="15.75">
      <c r="B158" s="6130" t="s">
        <v>15230</v>
      </c>
      <c r="C158" s="6131" t="s">
        <v>14982</v>
      </c>
      <c r="D158" s="6131" t="s">
        <v>15104</v>
      </c>
      <c r="AB158" s="2730">
        <v>1</v>
      </c>
    </row>
    <row r="159" spans="2:28" ht="15.75">
      <c r="B159" s="6130" t="s">
        <v>15230</v>
      </c>
      <c r="C159" s="6131" t="s">
        <v>15154</v>
      </c>
      <c r="D159" s="6131" t="s">
        <v>948</v>
      </c>
      <c r="AB159" s="2730">
        <v>1</v>
      </c>
    </row>
    <row r="160" spans="2:28">
      <c r="AB160" s="2730">
        <v>1</v>
      </c>
    </row>
    <row r="161" spans="2:28" ht="15.75">
      <c r="B161" s="6130" t="s">
        <v>15231</v>
      </c>
      <c r="C161" s="6131" t="s">
        <v>15232</v>
      </c>
      <c r="D161" s="6131" t="s">
        <v>15233</v>
      </c>
      <c r="AB161" s="2730">
        <v>1</v>
      </c>
    </row>
    <row r="162" spans="2:28" ht="15.75">
      <c r="B162" s="6130" t="s">
        <v>15234</v>
      </c>
      <c r="C162" s="6131" t="s">
        <v>15154</v>
      </c>
      <c r="D162" s="6131" t="s">
        <v>834</v>
      </c>
      <c r="AB162" s="2730">
        <v>1</v>
      </c>
    </row>
    <row r="163" spans="2:28">
      <c r="AB163" s="2730">
        <v>1</v>
      </c>
    </row>
    <row r="164" spans="2:28" ht="15.75">
      <c r="B164" s="6130" t="s">
        <v>15235</v>
      </c>
      <c r="C164" s="6131" t="s">
        <v>15059</v>
      </c>
      <c r="D164" s="6131" t="s">
        <v>15014</v>
      </c>
      <c r="AB164" s="2730">
        <v>1</v>
      </c>
    </row>
    <row r="165" spans="2:28" ht="15.75">
      <c r="B165" s="6130" t="s">
        <v>15236</v>
      </c>
      <c r="C165" s="6131" t="s">
        <v>15007</v>
      </c>
      <c r="D165" s="6131" t="s">
        <v>15008</v>
      </c>
      <c r="AB165" s="2730">
        <v>1</v>
      </c>
    </row>
    <row r="166" spans="2:28">
      <c r="AB166" s="2730">
        <v>1</v>
      </c>
    </row>
    <row r="167" spans="2:28" ht="15.75">
      <c r="B167" s="6130" t="s">
        <v>15237</v>
      </c>
      <c r="C167" s="6131" t="s">
        <v>15238</v>
      </c>
      <c r="D167" s="6131" t="s">
        <v>15239</v>
      </c>
      <c r="AB167" s="2730">
        <v>1</v>
      </c>
    </row>
    <row r="168" spans="2:28" ht="15.75">
      <c r="B168" s="6130" t="s">
        <v>15240</v>
      </c>
      <c r="C168" s="6131" t="s">
        <v>15180</v>
      </c>
      <c r="D168" s="6131" t="s">
        <v>15036</v>
      </c>
      <c r="AB168" s="2730">
        <v>1</v>
      </c>
    </row>
    <row r="169" spans="2:28">
      <c r="AB169" s="2730">
        <v>1</v>
      </c>
    </row>
    <row r="170" spans="2:28" ht="15.75">
      <c r="B170" s="6130" t="s">
        <v>15241</v>
      </c>
      <c r="C170" s="6131" t="s">
        <v>15000</v>
      </c>
      <c r="D170" s="6131" t="s">
        <v>15242</v>
      </c>
      <c r="AB170" s="2730">
        <v>1</v>
      </c>
    </row>
    <row r="171" spans="2:28" ht="15.75">
      <c r="B171" s="6130" t="s">
        <v>112</v>
      </c>
      <c r="C171" s="6131" t="s">
        <v>15143</v>
      </c>
      <c r="D171" s="6131" t="s">
        <v>850</v>
      </c>
      <c r="AB171" s="2730">
        <v>1</v>
      </c>
    </row>
    <row r="172" spans="2:28">
      <c r="AB172" s="2730">
        <v>1</v>
      </c>
    </row>
    <row r="173" spans="2:28" ht="18">
      <c r="B173" s="6145" t="s">
        <v>15243</v>
      </c>
      <c r="C173" s="6146"/>
      <c r="D173" s="6146"/>
      <c r="AB173" s="2730">
        <v>1</v>
      </c>
    </row>
    <row r="174" spans="2:28">
      <c r="AB174" s="2730">
        <v>1</v>
      </c>
    </row>
    <row r="175" spans="2:28">
      <c r="B175" s="6147" t="s">
        <v>15244</v>
      </c>
      <c r="C175" s="416"/>
      <c r="D175" s="416"/>
      <c r="AB175" s="2730">
        <v>1</v>
      </c>
    </row>
    <row r="176" spans="2:28" ht="15.75">
      <c r="B176" s="6130" t="s">
        <v>15245</v>
      </c>
      <c r="C176" s="6131" t="s">
        <v>766</v>
      </c>
      <c r="D176" s="6131" t="s">
        <v>15246</v>
      </c>
      <c r="AB176" s="2730">
        <v>1</v>
      </c>
    </row>
    <row r="177" spans="2:28" ht="15.75">
      <c r="B177" s="6130" t="s">
        <v>15247</v>
      </c>
      <c r="C177" s="6131" t="s">
        <v>15248</v>
      </c>
      <c r="D177" s="6131" t="s">
        <v>15249</v>
      </c>
      <c r="AB177" s="2730">
        <v>1</v>
      </c>
    </row>
    <row r="178" spans="2:28" ht="15.75">
      <c r="B178" s="6130" t="s">
        <v>15245</v>
      </c>
      <c r="C178" s="6131" t="s">
        <v>14982</v>
      </c>
      <c r="D178" s="6131" t="s">
        <v>15250</v>
      </c>
      <c r="AB178" s="2730">
        <v>1</v>
      </c>
    </row>
    <row r="179" spans="2:28">
      <c r="AB179" s="2730">
        <v>1</v>
      </c>
    </row>
    <row r="180" spans="2:28" ht="15.75">
      <c r="B180" s="6130" t="s">
        <v>15251</v>
      </c>
      <c r="C180" s="6131" t="s">
        <v>766</v>
      </c>
      <c r="D180" s="6131" t="s">
        <v>931</v>
      </c>
      <c r="AB180" s="2730">
        <v>1</v>
      </c>
    </row>
    <row r="181" spans="2:28" ht="15.75">
      <c r="B181" s="6130" t="s">
        <v>15251</v>
      </c>
      <c r="C181" s="6131" t="s">
        <v>15248</v>
      </c>
      <c r="D181" s="6131" t="s">
        <v>699</v>
      </c>
      <c r="AB181" s="2730">
        <v>1</v>
      </c>
    </row>
    <row r="182" spans="2:28" ht="15.75">
      <c r="B182" s="6130" t="s">
        <v>15251</v>
      </c>
      <c r="C182" s="6131" t="s">
        <v>14982</v>
      </c>
      <c r="D182" s="6131" t="s">
        <v>770</v>
      </c>
      <c r="AB182" s="2730">
        <v>1</v>
      </c>
    </row>
    <row r="183" spans="2:28" ht="15.75">
      <c r="B183" s="6130" t="s">
        <v>15252</v>
      </c>
      <c r="C183" s="6131" t="s">
        <v>15253</v>
      </c>
      <c r="D183" s="6131" t="s">
        <v>873</v>
      </c>
      <c r="AB183" s="2730">
        <v>1</v>
      </c>
    </row>
    <row r="184" spans="2:28" ht="15.75">
      <c r="B184" s="6130" t="s">
        <v>15254</v>
      </c>
      <c r="C184" s="6131" t="s">
        <v>15255</v>
      </c>
      <c r="D184" s="6131" t="s">
        <v>934</v>
      </c>
      <c r="AB184" s="2730">
        <v>1</v>
      </c>
    </row>
    <row r="185" spans="2:28">
      <c r="AB185" s="2730">
        <v>1</v>
      </c>
    </row>
    <row r="186" spans="2:28" ht="15.75">
      <c r="B186" s="6130" t="s">
        <v>15256</v>
      </c>
      <c r="C186" s="6131" t="s">
        <v>766</v>
      </c>
      <c r="D186" s="6131" t="s">
        <v>15257</v>
      </c>
      <c r="AB186" s="2730">
        <v>1</v>
      </c>
    </row>
    <row r="187" spans="2:28" ht="15.75">
      <c r="B187" s="6130" t="s">
        <v>15256</v>
      </c>
      <c r="C187" s="6131" t="s">
        <v>15248</v>
      </c>
      <c r="D187" s="6131" t="s">
        <v>15258</v>
      </c>
      <c r="AB187" s="2730">
        <v>1</v>
      </c>
    </row>
    <row r="188" spans="2:28" ht="15.75">
      <c r="B188" s="6130" t="s">
        <v>15256</v>
      </c>
      <c r="C188" s="6131" t="s">
        <v>14982</v>
      </c>
      <c r="D188" s="6131" t="s">
        <v>15104</v>
      </c>
      <c r="AB188" s="2730">
        <v>1</v>
      </c>
    </row>
    <row r="189" spans="2:28" ht="15.75">
      <c r="B189" s="6130" t="s">
        <v>15256</v>
      </c>
      <c r="C189" s="6131" t="s">
        <v>15253</v>
      </c>
      <c r="D189" s="6131" t="s">
        <v>15030</v>
      </c>
      <c r="AB189" s="2730">
        <v>1</v>
      </c>
    </row>
    <row r="190" spans="2:28" ht="15.75">
      <c r="B190" s="6130" t="s">
        <v>15256</v>
      </c>
      <c r="C190" s="6131" t="s">
        <v>15255</v>
      </c>
      <c r="D190" s="6131" t="s">
        <v>15014</v>
      </c>
      <c r="AB190" s="2730">
        <v>1</v>
      </c>
    </row>
    <row r="191" spans="2:28">
      <c r="AB191" s="2730">
        <v>1</v>
      </c>
    </row>
    <row r="192" spans="2:28" ht="15.75">
      <c r="B192" s="6130" t="s">
        <v>15259</v>
      </c>
      <c r="C192" s="6131" t="s">
        <v>766</v>
      </c>
      <c r="D192" s="6131" t="s">
        <v>704</v>
      </c>
      <c r="AB192" s="2730">
        <v>1</v>
      </c>
    </row>
    <row r="193" spans="1:28" ht="15.75">
      <c r="B193" s="6130" t="s">
        <v>15259</v>
      </c>
      <c r="C193" s="6131" t="s">
        <v>15248</v>
      </c>
      <c r="D193" s="6131" t="s">
        <v>721</v>
      </c>
      <c r="AB193" s="2730">
        <v>1</v>
      </c>
    </row>
    <row r="194" spans="1:28" ht="15.75">
      <c r="B194" s="6130" t="s">
        <v>15259</v>
      </c>
      <c r="C194" s="6131" t="s">
        <v>14982</v>
      </c>
      <c r="D194" s="6131" t="s">
        <v>741</v>
      </c>
      <c r="AB194" s="2730">
        <v>1</v>
      </c>
    </row>
    <row r="195" spans="1:28" ht="15.75">
      <c r="B195" s="6130" t="s">
        <v>15259</v>
      </c>
      <c r="C195" s="6131" t="s">
        <v>15253</v>
      </c>
      <c r="D195" s="6131" t="s">
        <v>15260</v>
      </c>
      <c r="AB195" s="2730">
        <v>1</v>
      </c>
    </row>
    <row r="196" spans="1:28" ht="15.75">
      <c r="B196" s="6130" t="s">
        <v>15259</v>
      </c>
      <c r="C196" s="6131" t="s">
        <v>15255</v>
      </c>
      <c r="D196" s="6131" t="s">
        <v>736</v>
      </c>
      <c r="AB196" s="2730">
        <v>1</v>
      </c>
    </row>
    <row r="197" spans="1:28">
      <c r="AB197" s="2730">
        <v>1</v>
      </c>
    </row>
    <row r="198" spans="1:28">
      <c r="A198" s="2730">
        <v>1</v>
      </c>
      <c r="B198" s="2730">
        <v>1</v>
      </c>
      <c r="C198" s="2730">
        <v>1</v>
      </c>
      <c r="D198" s="2730">
        <v>1</v>
      </c>
      <c r="E198" s="2730">
        <v>1</v>
      </c>
      <c r="F198" s="2730">
        <v>1</v>
      </c>
      <c r="G198" s="2730">
        <v>1</v>
      </c>
      <c r="H198" s="2730">
        <v>1</v>
      </c>
      <c r="I198" s="2730">
        <v>1</v>
      </c>
      <c r="J198" s="2730">
        <v>1</v>
      </c>
      <c r="K198" s="2730">
        <v>1</v>
      </c>
      <c r="L198" s="2730">
        <v>1</v>
      </c>
      <c r="M198" s="2730">
        <v>1</v>
      </c>
      <c r="N198" s="2730">
        <v>1</v>
      </c>
      <c r="O198" s="2730">
        <v>1</v>
      </c>
      <c r="P198" s="2730">
        <v>1</v>
      </c>
      <c r="Q198" s="2730">
        <v>1</v>
      </c>
      <c r="R198" s="2730">
        <v>1</v>
      </c>
      <c r="S198" s="2730">
        <v>1</v>
      </c>
      <c r="T198" s="2730">
        <v>1</v>
      </c>
      <c r="U198" s="2730">
        <v>1</v>
      </c>
      <c r="V198" s="2730">
        <v>1</v>
      </c>
      <c r="W198" s="2730">
        <v>1</v>
      </c>
      <c r="X198" s="2730">
        <v>1</v>
      </c>
      <c r="Y198" s="2730">
        <v>1</v>
      </c>
      <c r="Z198" s="2730">
        <v>1</v>
      </c>
      <c r="AA198" s="2730">
        <v>1</v>
      </c>
      <c r="AB198" s="3191" t="s">
        <v>7037</v>
      </c>
    </row>
  </sheetData>
  <hyperlinks>
    <hyperlink ref="G64" r:id="rId1" xr:uid="{813787F2-00F6-4494-9552-32A93C51906D}"/>
    <hyperlink ref="G63" r:id="rId2" xr:uid="{6D320446-ECBF-4211-859B-6EA9A340DE4E}"/>
    <hyperlink ref="G65" r:id="rId3" xr:uid="{49967FD5-79CD-44E4-8442-E4037B03A3EE}"/>
    <hyperlink ref="G66" r:id="rId4" xr:uid="{AF1EF123-34B5-41E4-A79E-D3BC99CB1DC8}"/>
    <hyperlink ref="G67" r:id="rId5" xr:uid="{744C8D5C-9FF7-48F4-8696-A785E390047B}"/>
    <hyperlink ref="G68" r:id="rId6" xr:uid="{60076712-37ED-447C-B5B5-E1EB8589D929}"/>
    <hyperlink ref="G69" r:id="rId7" xr:uid="{2FAA3ACC-8928-4A90-A213-70B74CE977FB}"/>
    <hyperlink ref="G70" r:id="rId8" xr:uid="{DB024799-FD59-4F61-A5CF-84DF2A8F8E72}"/>
    <hyperlink ref="G71" r:id="rId9" xr:uid="{B98B0BEC-BACA-4E7E-8D03-3066BD4ACA2A}"/>
    <hyperlink ref="G72" r:id="rId10" xr:uid="{1AF16CE0-48D8-48F5-9BBD-136A2DE9D4F0}"/>
    <hyperlink ref="G73" r:id="rId11" xr:uid="{BC0CDABC-E3C5-4928-9CF5-A627A07CA597}"/>
  </hyperlinks>
  <pageMargins left="0.7" right="0.7" top="0.75" bottom="0.75" header="0.3" footer="0.3"/>
  <drawing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7CF3E-12D8-4A61-ABC7-9B727FCAF0E2}">
  <dimension ref="A1:AS408"/>
  <sheetViews>
    <sheetView showZeros="0" zoomScaleNormal="100" workbookViewId="0">
      <selection activeCell="M8" sqref="M8"/>
    </sheetView>
  </sheetViews>
  <sheetFormatPr baseColWidth="10" defaultRowHeight="15"/>
  <cols>
    <col min="1" max="1" width="6.7109375" customWidth="1"/>
    <col min="2" max="2" width="11.7109375" style="3193" customWidth="1"/>
    <col min="3" max="3" width="12.7109375" style="3193" customWidth="1"/>
    <col min="4" max="4" width="4.5703125" style="3193" customWidth="1"/>
    <col min="5" max="5" width="11.7109375" style="3193" customWidth="1"/>
    <col min="6" max="6" width="12.5703125" style="3193" customWidth="1"/>
    <col min="7" max="7" width="2.140625" style="3193" customWidth="1"/>
    <col min="8" max="9" width="12.7109375" style="3193" customWidth="1"/>
    <col min="10" max="10" width="5.140625" style="3193" customWidth="1"/>
    <col min="11" max="19" width="12.7109375" style="3193" customWidth="1"/>
    <col min="20" max="21" width="11.42578125" style="3193"/>
    <col min="22" max="22" width="9.7109375" style="3193" customWidth="1"/>
    <col min="23" max="23" width="23.7109375" style="3193" customWidth="1"/>
    <col min="24" max="24" width="37.7109375" style="3193" customWidth="1"/>
    <col min="25" max="27" width="8.7109375" style="3193" customWidth="1"/>
    <col min="28" max="28" width="11.42578125" style="3193"/>
    <col min="29" max="29" width="9.7109375" style="3193" customWidth="1"/>
    <col min="30" max="30" width="23.7109375" style="3193" customWidth="1"/>
    <col min="31" max="31" width="37.7109375" style="3193" customWidth="1"/>
    <col min="32" max="34" width="8.7109375" style="3193" customWidth="1"/>
    <col min="35" max="35" width="11.42578125" style="3193"/>
    <col min="36" max="36" width="9.7109375" style="3193" customWidth="1"/>
    <col min="37" max="37" width="23.7109375" style="3193" customWidth="1"/>
    <col min="38" max="38" width="37.7109375" style="3193" customWidth="1"/>
    <col min="39" max="41" width="8.7109375" style="3193" customWidth="1"/>
    <col min="42" max="42" width="11.42578125" style="3193"/>
    <col min="43" max="43" width="8.7109375" style="3193" customWidth="1"/>
    <col min="44" max="44" width="11.42578125" style="3059"/>
    <col min="45" max="45" width="43.5703125" style="3059" customWidth="1"/>
  </cols>
  <sheetData>
    <row r="1" spans="1:45">
      <c r="A1" s="2732" t="str">
        <f>ADDRESS(ROW(),COLUMN(),4)</f>
        <v>A1</v>
      </c>
      <c r="B1" s="3192" t="str">
        <f>SUBSTITUTE(ADDRESS(1,COLUMN(),4),"1","")</f>
        <v>B</v>
      </c>
      <c r="C1" s="3192" t="str">
        <f>SUBSTITUTE(ADDRESS(1,COLUMN(),4),"1","")</f>
        <v>C</v>
      </c>
      <c r="E1" s="3192" t="str">
        <f>SUBSTITUTE(ADDRESS(1,COLUMN(),4),"1","")</f>
        <v>E</v>
      </c>
      <c r="F1" s="3192" t="str">
        <f>SUBSTITUTE(ADDRESS(1,COLUMN(),4),"1","")</f>
        <v>F</v>
      </c>
      <c r="G1"/>
      <c r="H1" s="3192" t="str">
        <f>SUBSTITUTE(ADDRESS(1,COLUMN(),4),"1","")</f>
        <v>H</v>
      </c>
      <c r="I1" s="3192" t="str">
        <f>SUBSTITUTE(ADDRESS(1,COLUMN(),4),"1","")</f>
        <v>I</v>
      </c>
      <c r="J1"/>
      <c r="K1" s="3192" t="str">
        <f t="shared" ref="K1:T1" si="0">SUBSTITUTE(ADDRESS(1,COLUMN(),4),"1","")</f>
        <v>K</v>
      </c>
      <c r="L1" s="3192" t="str">
        <f t="shared" si="0"/>
        <v>L</v>
      </c>
      <c r="M1" s="3192" t="str">
        <f t="shared" si="0"/>
        <v>M</v>
      </c>
      <c r="N1" s="3192" t="str">
        <f t="shared" si="0"/>
        <v>N</v>
      </c>
      <c r="O1" s="3192" t="str">
        <f t="shared" si="0"/>
        <v>O</v>
      </c>
      <c r="P1" s="3192" t="str">
        <f t="shared" si="0"/>
        <v>P</v>
      </c>
      <c r="Q1" s="3192" t="str">
        <f t="shared" si="0"/>
        <v>Q</v>
      </c>
      <c r="R1" s="3192" t="str">
        <f t="shared" si="0"/>
        <v>R</v>
      </c>
      <c r="S1" s="3192" t="str">
        <f t="shared" si="0"/>
        <v>S</v>
      </c>
      <c r="T1" s="3192" t="str">
        <f t="shared" si="0"/>
        <v>T</v>
      </c>
      <c r="U1"/>
      <c r="V1" s="3192" t="str">
        <f>SUBSTITUTE(ADDRESS(1,COLUMN(),4),"1","")</f>
        <v>V</v>
      </c>
      <c r="W1" s="3192" t="str">
        <f>SUBSTITUTE(ADDRESS(1,COLUMN(),4),"1","")</f>
        <v>W</v>
      </c>
      <c r="X1" s="3192" t="str">
        <f>SUBSTITUTE(ADDRESS(1,COLUMN(),4),"1","")</f>
        <v>X</v>
      </c>
      <c r="Y1" s="3192" t="str">
        <f>SUBSTITUTE(ADDRESS(1,COLUMN(),4),"1","")</f>
        <v>Y</v>
      </c>
      <c r="Z1" s="3192" t="str">
        <f>SUBSTITUTE(ADDRESS(1,COLUMN(),4),"1","")</f>
        <v>Z</v>
      </c>
      <c r="AA1"/>
      <c r="AB1"/>
      <c r="AC1" s="3192" t="str">
        <f t="shared" ref="AC1:AH1" si="1">SUBSTITUTE(ADDRESS(1,COLUMN(),4),"1","")</f>
        <v>AC</v>
      </c>
      <c r="AD1" s="3192" t="str">
        <f t="shared" si="1"/>
        <v>AD</v>
      </c>
      <c r="AE1" s="3192" t="str">
        <f t="shared" si="1"/>
        <v>AE</v>
      </c>
      <c r="AF1" s="3192" t="str">
        <f t="shared" si="1"/>
        <v>AF</v>
      </c>
      <c r="AG1" s="3192" t="str">
        <f t="shared" si="1"/>
        <v>AG</v>
      </c>
      <c r="AH1" s="3192" t="str">
        <f t="shared" si="1"/>
        <v>AH</v>
      </c>
      <c r="AI1"/>
      <c r="AJ1" s="3192" t="str">
        <f t="shared" ref="AJ1:AO1" si="2">SUBSTITUTE(ADDRESS(1,COLUMN(),4),"1","")</f>
        <v>AJ</v>
      </c>
      <c r="AK1" s="3192" t="str">
        <f t="shared" si="2"/>
        <v>AK</v>
      </c>
      <c r="AL1" s="3192" t="str">
        <f t="shared" si="2"/>
        <v>AL</v>
      </c>
      <c r="AM1" s="3192" t="str">
        <f t="shared" si="2"/>
        <v>AM</v>
      </c>
      <c r="AN1" s="3192" t="str">
        <f t="shared" si="2"/>
        <v>AN</v>
      </c>
      <c r="AO1" s="3192" t="str">
        <f t="shared" si="2"/>
        <v>AO</v>
      </c>
      <c r="AP1"/>
      <c r="AQ1" s="2730">
        <v>1</v>
      </c>
      <c r="AR1" s="3192" t="str">
        <f>SUBSTITUTE(ADDRESS(1,COLUMN(),4),"1","")</f>
        <v>AR</v>
      </c>
      <c r="AS1" s="3194" t="str">
        <f>SUBSTITUTE(ADDRESS(1,COLUMN(),4),"1","")</f>
        <v>AS</v>
      </c>
    </row>
    <row r="2" spans="1:45">
      <c r="A2" s="3195"/>
      <c r="B2" s="2890">
        <f ca="1">CELL("largeur",B2)</f>
        <v>11</v>
      </c>
      <c r="C2" s="2890">
        <f ca="1">CELL("largeur",C2)</f>
        <v>12</v>
      </c>
      <c r="E2" s="2890">
        <f ca="1">CELL("largeur",E2)</f>
        <v>11</v>
      </c>
      <c r="F2" s="2890">
        <f ca="1">CELL("largeur",F2)</f>
        <v>12</v>
      </c>
      <c r="G2"/>
      <c r="H2" s="2890">
        <f ca="1">CELL("largeur",H2)</f>
        <v>12</v>
      </c>
      <c r="I2" s="2890">
        <f ca="1">CELL("largeur",I2)</f>
        <v>12</v>
      </c>
      <c r="J2"/>
      <c r="K2" s="2890">
        <f t="shared" ref="K2:T2" ca="1" si="3">CELL("largeur",K2)</f>
        <v>12</v>
      </c>
      <c r="L2" s="2890">
        <f t="shared" ca="1" si="3"/>
        <v>12</v>
      </c>
      <c r="M2" s="2890">
        <f t="shared" ca="1" si="3"/>
        <v>12</v>
      </c>
      <c r="N2" s="2890">
        <f t="shared" ca="1" si="3"/>
        <v>12</v>
      </c>
      <c r="O2" s="2890">
        <f t="shared" ca="1" si="3"/>
        <v>12</v>
      </c>
      <c r="P2" s="2890">
        <f t="shared" ca="1" si="3"/>
        <v>12</v>
      </c>
      <c r="Q2" s="2890">
        <f t="shared" ca="1" si="3"/>
        <v>12</v>
      </c>
      <c r="R2" s="2890">
        <f t="shared" ca="1" si="3"/>
        <v>12</v>
      </c>
      <c r="S2" s="2890">
        <f t="shared" ca="1" si="3"/>
        <v>12</v>
      </c>
      <c r="T2" s="2890">
        <f t="shared" ca="1" si="3"/>
        <v>11</v>
      </c>
      <c r="U2"/>
      <c r="V2" s="2890">
        <f ca="1">CELL("largeur",V2)</f>
        <v>9</v>
      </c>
      <c r="W2" s="2890">
        <f ca="1">CELL("largeur",W2)</f>
        <v>23</v>
      </c>
      <c r="X2" s="2890">
        <f ca="1">CELL("largeur",X2)</f>
        <v>37</v>
      </c>
      <c r="Y2" s="2890">
        <f ca="1">CELL("largeur",Y2)</f>
        <v>8</v>
      </c>
      <c r="Z2" s="2890">
        <f ca="1">CELL("largeur",Z2)</f>
        <v>8</v>
      </c>
      <c r="AA2"/>
      <c r="AB2"/>
      <c r="AC2" s="2890">
        <f t="shared" ref="AC2:AH2" ca="1" si="4">CELL("largeur",AC2)</f>
        <v>9</v>
      </c>
      <c r="AD2" s="2890">
        <f t="shared" ca="1" si="4"/>
        <v>23</v>
      </c>
      <c r="AE2" s="2890">
        <f t="shared" ca="1" si="4"/>
        <v>37</v>
      </c>
      <c r="AF2" s="2890">
        <f t="shared" ca="1" si="4"/>
        <v>8</v>
      </c>
      <c r="AG2" s="2890">
        <f t="shared" ca="1" si="4"/>
        <v>8</v>
      </c>
      <c r="AH2" s="2890">
        <f t="shared" ca="1" si="4"/>
        <v>8</v>
      </c>
      <c r="AI2"/>
      <c r="AJ2" s="2890">
        <f t="shared" ref="AJ2:AO2" ca="1" si="5">CELL("largeur",AJ2)</f>
        <v>9</v>
      </c>
      <c r="AK2" s="2890">
        <f t="shared" ca="1" si="5"/>
        <v>23</v>
      </c>
      <c r="AL2" s="2890">
        <f t="shared" ca="1" si="5"/>
        <v>37</v>
      </c>
      <c r="AM2" s="2890">
        <f t="shared" ca="1" si="5"/>
        <v>8</v>
      </c>
      <c r="AN2" s="2890">
        <f t="shared" ca="1" si="5"/>
        <v>8</v>
      </c>
      <c r="AO2" s="2890">
        <f t="shared" ca="1" si="5"/>
        <v>8</v>
      </c>
      <c r="AP2"/>
      <c r="AQ2" s="2730">
        <v>1</v>
      </c>
      <c r="AR2" s="2956"/>
      <c r="AS2" s="2956" t="s">
        <v>11773</v>
      </c>
    </row>
    <row r="3" spans="1:45" ht="15.7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c r="AQ3" s="2730">
        <v>1</v>
      </c>
      <c r="AR3" s="2958" cm="1">
        <f t="array" aca="1" ref="AR3" ca="1">COUNTA(A1:AQ408+COUNTBLANK(A1:AQ408))</f>
        <v>17544</v>
      </c>
      <c r="AS3" s="3196" t="str">
        <f>"cellules entre"&amp;" " &amp;A1&amp;" et  "&amp;AQ408</f>
        <v>cellules entre A1 et  AQ408</v>
      </c>
    </row>
    <row r="4" spans="1:45" ht="21" customHeight="1">
      <c r="A4" s="2834"/>
      <c r="B4" s="2834"/>
      <c r="C4" s="2834"/>
      <c r="D4" s="2834"/>
      <c r="E4" s="2834"/>
      <c r="F4" s="2834"/>
      <c r="G4" s="2834"/>
      <c r="H4" s="2834"/>
      <c r="I4" s="2834"/>
      <c r="J4" s="2834"/>
      <c r="K4" s="2834"/>
      <c r="L4" s="2834"/>
      <c r="M4" s="2834"/>
      <c r="N4" s="2834"/>
      <c r="O4" s="2834"/>
      <c r="P4" s="2834"/>
      <c r="Q4" s="2834"/>
      <c r="R4" s="2834"/>
      <c r="S4" s="2834"/>
      <c r="T4" s="2834"/>
      <c r="U4" s="2834"/>
      <c r="V4" s="2834"/>
      <c r="W4" s="2834"/>
      <c r="X4" s="2834"/>
      <c r="Y4" s="2834"/>
      <c r="Z4" s="2834"/>
      <c r="AA4" s="2834"/>
      <c r="AB4" s="2834"/>
      <c r="AC4" s="2834"/>
      <c r="AD4" s="2834"/>
      <c r="AE4" s="2834"/>
      <c r="AF4" s="2834"/>
      <c r="AG4" s="2834"/>
      <c r="AH4" s="2834"/>
      <c r="AI4" s="2834"/>
      <c r="AJ4" s="2834"/>
      <c r="AK4" s="2834"/>
      <c r="AL4" s="2834"/>
      <c r="AM4" s="2834"/>
      <c r="AN4" s="2834"/>
      <c r="AO4" s="2834"/>
      <c r="AP4" s="3197"/>
      <c r="AQ4" s="2730">
        <v>1</v>
      </c>
      <c r="AR4" s="2958">
        <f ca="1">COUNTA(A1:AQ408)</f>
        <v>7424</v>
      </c>
      <c r="AS4" s="3196" t="s">
        <v>11774</v>
      </c>
    </row>
    <row r="5" spans="1:45" ht="21" customHeight="1">
      <c r="A5" s="2834"/>
      <c r="B5" s="2834"/>
      <c r="C5" s="2834"/>
      <c r="D5" s="2834"/>
      <c r="E5" s="2834"/>
      <c r="F5" s="2834"/>
      <c r="G5" s="2834"/>
      <c r="H5" s="2834"/>
      <c r="I5" s="2834"/>
      <c r="J5" s="2834"/>
      <c r="K5" s="2834"/>
      <c r="L5" s="2834"/>
      <c r="M5" s="2834"/>
      <c r="N5" s="2834"/>
      <c r="O5" s="2834"/>
      <c r="P5" s="2834"/>
      <c r="Q5" s="2834"/>
      <c r="R5" s="2834"/>
      <c r="S5" s="2834"/>
      <c r="T5" s="2834"/>
      <c r="U5" s="2834"/>
      <c r="V5" s="2834"/>
      <c r="W5" s="2834"/>
      <c r="X5" s="2834"/>
      <c r="Y5" s="2834"/>
      <c r="Z5" s="2834"/>
      <c r="AA5" s="2834"/>
      <c r="AB5" s="2834"/>
      <c r="AC5" s="3198"/>
      <c r="AD5" s="3197"/>
      <c r="AE5" s="3197"/>
      <c r="AF5" s="3197"/>
      <c r="AG5" s="2834"/>
      <c r="AH5" s="2834"/>
      <c r="AI5" s="2834"/>
      <c r="AJ5" s="2834"/>
      <c r="AK5" s="2834"/>
      <c r="AL5" s="2834"/>
      <c r="AM5" s="2834"/>
      <c r="AN5" s="2834"/>
      <c r="AO5" s="2834"/>
      <c r="AP5" s="3197"/>
      <c r="AQ5" s="2730">
        <v>1</v>
      </c>
      <c r="AR5" s="2958">
        <f ca="1">COUNTBLANK(A1:AQ408)</f>
        <v>10120</v>
      </c>
      <c r="AS5" s="3196" t="s">
        <v>11775</v>
      </c>
    </row>
    <row r="6" spans="1:45" ht="21" customHeight="1">
      <c r="A6" s="2834"/>
      <c r="B6" s="2834"/>
      <c r="C6" s="2834"/>
      <c r="D6" s="2834"/>
      <c r="E6" s="2834"/>
      <c r="F6" s="2834"/>
      <c r="G6" s="2834"/>
      <c r="H6" s="2834"/>
      <c r="I6" s="2834"/>
      <c r="J6" s="2834"/>
      <c r="K6" s="2834"/>
      <c r="L6" s="2834"/>
      <c r="M6" s="2834"/>
      <c r="N6" s="2834"/>
      <c r="O6" s="2834"/>
      <c r="P6" s="2834"/>
      <c r="Q6" s="2834"/>
      <c r="R6" s="2834"/>
      <c r="S6" s="2834"/>
      <c r="T6" s="2834"/>
      <c r="U6" s="2834"/>
      <c r="V6" s="2834"/>
      <c r="W6" s="2834"/>
      <c r="X6" s="2834"/>
      <c r="Y6" s="2834"/>
      <c r="Z6" s="2834"/>
      <c r="AA6" s="2834"/>
      <c r="AB6" s="2834"/>
      <c r="AC6" s="3198" t="s">
        <v>11776</v>
      </c>
      <c r="AD6" s="3197"/>
      <c r="AE6" s="3197"/>
      <c r="AF6" s="3197"/>
      <c r="AG6" s="2834"/>
      <c r="AH6" s="2834"/>
      <c r="AI6" s="2834"/>
      <c r="AJ6" s="2834"/>
      <c r="AK6" s="2834"/>
      <c r="AL6" s="2834"/>
      <c r="AM6" s="2834"/>
      <c r="AN6" s="2834"/>
      <c r="AO6" s="2834"/>
      <c r="AP6" s="3197"/>
      <c r="AQ6" s="2730">
        <v>1</v>
      </c>
      <c r="AR6" s="2958">
        <f>SUM(AQ1:AQ406)+2</f>
        <v>408</v>
      </c>
      <c r="AS6" s="3196" t="s">
        <v>11777</v>
      </c>
    </row>
    <row r="7" spans="1:45" ht="21" customHeight="1">
      <c r="A7" s="2834"/>
      <c r="B7" s="2834"/>
      <c r="C7" s="2834"/>
      <c r="D7" s="2834"/>
      <c r="E7" s="2834"/>
      <c r="F7" s="2834"/>
      <c r="G7" s="2834"/>
      <c r="H7" s="2834"/>
      <c r="I7" s="2834"/>
      <c r="J7" s="2834"/>
      <c r="K7" s="2834"/>
      <c r="L7" s="2834"/>
      <c r="M7" s="2834"/>
      <c r="N7" s="2834"/>
      <c r="O7" s="2834"/>
      <c r="P7" s="2834"/>
      <c r="Q7" s="2834"/>
      <c r="R7" s="2834"/>
      <c r="S7" s="2834"/>
      <c r="T7" s="2834"/>
      <c r="U7" s="2834"/>
      <c r="V7" s="2834"/>
      <c r="W7" s="2834"/>
      <c r="X7" s="2834"/>
      <c r="Y7" s="2834"/>
      <c r="Z7" s="2834"/>
      <c r="AA7" s="2834"/>
      <c r="AB7" s="2834"/>
      <c r="AC7" s="3199" t="s">
        <v>2686</v>
      </c>
      <c r="AD7" s="9883" t="s">
        <v>11778</v>
      </c>
      <c r="AE7" s="9883"/>
      <c r="AF7" s="9883"/>
      <c r="AG7" s="2834"/>
      <c r="AH7" s="2834"/>
      <c r="AI7" s="2834"/>
      <c r="AJ7" s="2834"/>
      <c r="AK7" s="2834"/>
      <c r="AL7" s="2834"/>
      <c r="AM7" s="2834"/>
      <c r="AN7" s="2834"/>
      <c r="AO7" s="2834"/>
      <c r="AP7" s="3197"/>
      <c r="AQ7" s="2730">
        <v>1</v>
      </c>
      <c r="AR7" s="2958">
        <f>SUM(A408:AP408)+1</f>
        <v>43</v>
      </c>
      <c r="AS7" s="3196" t="s">
        <v>11779</v>
      </c>
    </row>
    <row r="8" spans="1:45" ht="21" customHeight="1">
      <c r="B8" s="9884" t="s">
        <v>1976</v>
      </c>
      <c r="C8" s="9884"/>
      <c r="E8" s="9884" t="s">
        <v>1976</v>
      </c>
      <c r="F8" s="9884"/>
      <c r="H8" s="2834"/>
      <c r="I8" s="2834"/>
      <c r="J8" s="2834"/>
      <c r="K8" s="2834"/>
      <c r="L8" s="2834"/>
      <c r="M8" s="2834"/>
      <c r="N8" s="2834"/>
      <c r="O8" s="2834"/>
      <c r="P8" s="2834"/>
      <c r="Q8" s="2834"/>
      <c r="R8" s="2834"/>
      <c r="S8" s="2834"/>
      <c r="T8" s="2834"/>
      <c r="U8" s="2834"/>
      <c r="V8" s="2834"/>
      <c r="W8" s="2834"/>
      <c r="X8" s="2834"/>
      <c r="Y8" s="2834"/>
      <c r="Z8" s="2834"/>
      <c r="AA8" s="2834"/>
      <c r="AB8" s="2834"/>
      <c r="AC8" s="2834" t="s">
        <v>11780</v>
      </c>
      <c r="AD8" s="3197"/>
      <c r="AE8" s="3197"/>
      <c r="AF8" s="3197"/>
      <c r="AG8" s="2834"/>
      <c r="AH8" s="2834"/>
      <c r="AI8" s="2834"/>
      <c r="AJ8" s="2834"/>
      <c r="AK8" s="2834"/>
      <c r="AL8" s="2834"/>
      <c r="AM8" s="2834"/>
      <c r="AN8" s="2834"/>
      <c r="AO8" s="2834"/>
      <c r="AP8" s="3197"/>
      <c r="AQ8" s="2730">
        <v>1</v>
      </c>
    </row>
    <row r="9" spans="1:45" ht="21" customHeight="1">
      <c r="B9" s="9884"/>
      <c r="C9" s="9884"/>
      <c r="E9" s="9884"/>
      <c r="F9" s="9884"/>
      <c r="H9" s="2834"/>
      <c r="I9" s="2834"/>
      <c r="J9" s="2834"/>
      <c r="K9" s="2834"/>
      <c r="L9" s="2834"/>
      <c r="M9" s="2834"/>
      <c r="N9" s="2834"/>
      <c r="O9" s="2834"/>
      <c r="P9" s="2834"/>
      <c r="Q9" s="2834"/>
      <c r="R9" s="2834"/>
      <c r="S9" s="2834"/>
      <c r="T9" s="2834"/>
      <c r="U9" s="2834"/>
      <c r="V9" s="2834"/>
      <c r="W9" s="2834"/>
      <c r="X9" s="2834"/>
      <c r="Y9" s="2834"/>
      <c r="Z9" s="2834"/>
      <c r="AA9" s="2834"/>
      <c r="AB9" s="2834"/>
      <c r="AC9" s="3199" t="s">
        <v>2686</v>
      </c>
      <c r="AD9" s="9883" t="s">
        <v>11781</v>
      </c>
      <c r="AE9" s="9883"/>
      <c r="AF9" s="9883"/>
      <c r="AG9" s="2834"/>
      <c r="AH9" s="2834"/>
      <c r="AI9" s="2834"/>
      <c r="AJ9" s="2834"/>
      <c r="AK9" s="2834"/>
      <c r="AL9" s="2834"/>
      <c r="AM9" s="2834"/>
      <c r="AN9" s="2834"/>
      <c r="AO9" s="2834"/>
      <c r="AP9" s="3197"/>
      <c r="AQ9" s="2730">
        <v>1</v>
      </c>
    </row>
    <row r="10" spans="1:45" ht="21" customHeight="1">
      <c r="B10" s="9885" t="s">
        <v>1981</v>
      </c>
      <c r="C10" s="9885"/>
      <c r="H10" s="2834"/>
      <c r="I10" s="2834"/>
      <c r="J10" s="2834"/>
      <c r="K10" s="2834"/>
      <c r="L10" s="2834"/>
      <c r="M10" s="2834"/>
      <c r="N10" s="2834"/>
      <c r="O10" s="2834"/>
      <c r="P10" s="2834"/>
      <c r="Q10" s="2834"/>
      <c r="R10" s="2834"/>
      <c r="S10" s="2834"/>
      <c r="T10" s="2834"/>
      <c r="U10" s="2834"/>
      <c r="V10" s="2834"/>
      <c r="W10" s="2834"/>
      <c r="X10" s="2834"/>
      <c r="Y10" s="2834"/>
      <c r="Z10" s="2834"/>
      <c r="AA10" s="2834"/>
      <c r="AB10" s="2834"/>
      <c r="AC10" s="2834" t="s">
        <v>11782</v>
      </c>
      <c r="AD10" s="3197"/>
      <c r="AE10" s="3197"/>
      <c r="AF10" s="3197"/>
      <c r="AG10" s="2834"/>
      <c r="AH10" s="2834"/>
      <c r="AI10" s="2834"/>
      <c r="AJ10" s="2834"/>
      <c r="AK10" s="2834"/>
      <c r="AL10" s="2834"/>
      <c r="AM10" s="2834"/>
      <c r="AN10" s="2834"/>
      <c r="AO10" s="2834"/>
      <c r="AP10" s="3197"/>
      <c r="AQ10" s="2730">
        <v>1</v>
      </c>
    </row>
    <row r="11" spans="1:45" ht="21" customHeight="1">
      <c r="B11" s="9885"/>
      <c r="C11" s="9885"/>
      <c r="H11" s="3197">
        <v>1</v>
      </c>
      <c r="I11" s="3197">
        <v>1</v>
      </c>
      <c r="J11" s="2834"/>
      <c r="K11" s="9886" t="s">
        <v>1936</v>
      </c>
      <c r="L11" s="9886"/>
      <c r="M11" s="9886"/>
      <c r="N11" s="9886"/>
      <c r="O11" s="9886"/>
      <c r="P11" s="9886"/>
      <c r="Q11" s="9886"/>
      <c r="R11" s="9886"/>
      <c r="S11" s="2834"/>
      <c r="T11" s="2834"/>
      <c r="U11" s="2834"/>
      <c r="V11" s="3200" t="s">
        <v>11783</v>
      </c>
      <c r="W11" s="2834"/>
      <c r="X11" s="2834"/>
      <c r="Y11" s="2834"/>
      <c r="Z11" s="2834"/>
      <c r="AA11" s="2834"/>
      <c r="AB11" s="2834"/>
      <c r="AC11" s="3199" t="s">
        <v>2686</v>
      </c>
      <c r="AD11" s="9883" t="s">
        <v>11784</v>
      </c>
      <c r="AE11" s="9883"/>
      <c r="AF11" s="9883"/>
      <c r="AG11" s="2834"/>
      <c r="AH11" s="2834"/>
      <c r="AI11" s="2834"/>
      <c r="AJ11" s="2834"/>
      <c r="AK11" s="2834"/>
      <c r="AL11" s="2834"/>
      <c r="AM11" s="2834"/>
      <c r="AN11" s="2834"/>
      <c r="AO11" s="2834"/>
      <c r="AP11" s="3197"/>
      <c r="AQ11" s="2730">
        <v>1</v>
      </c>
    </row>
    <row r="12" spans="1:45" ht="21" customHeight="1">
      <c r="H12" s="3201" t="s">
        <v>11785</v>
      </c>
      <c r="I12" s="2834"/>
      <c r="K12" s="3202"/>
      <c r="L12" s="3202"/>
      <c r="M12" s="3202"/>
      <c r="N12" s="3202"/>
      <c r="O12" s="3202"/>
      <c r="P12" s="3202"/>
      <c r="Q12" s="3203" t="str">
        <f ca="1">"Page "&amp;_xlfn.SHEET()&amp;" sur "&amp;_xlfn.SHEETS()</f>
        <v>Page 35 sur 41</v>
      </c>
      <c r="R12" s="3203"/>
      <c r="S12" s="2834"/>
      <c r="T12" s="2834"/>
      <c r="U12" s="3199" t="s">
        <v>2686</v>
      </c>
      <c r="V12" s="417" t="s">
        <v>11786</v>
      </c>
      <c r="W12" s="2834"/>
      <c r="X12" s="2834"/>
      <c r="Y12" s="2834"/>
      <c r="Z12" s="2834"/>
      <c r="AA12" s="2834"/>
      <c r="AB12" s="2834">
        <v>0</v>
      </c>
      <c r="AC12" s="2834" t="s">
        <v>7027</v>
      </c>
      <c r="AD12" s="2834"/>
      <c r="AE12" s="2834"/>
      <c r="AF12" s="2834"/>
      <c r="AG12" s="2834"/>
      <c r="AH12" s="2834"/>
      <c r="AI12" s="2834"/>
      <c r="AJ12" s="2834"/>
      <c r="AK12" s="2834"/>
      <c r="AL12" s="2834"/>
      <c r="AM12" s="2834"/>
      <c r="AN12" s="2834"/>
      <c r="AO12" s="2834"/>
      <c r="AP12" s="3197"/>
      <c r="AQ12" s="2730">
        <v>1</v>
      </c>
    </row>
    <row r="13" spans="1:45" ht="21" customHeight="1">
      <c r="B13" s="9863" t="s">
        <v>2008</v>
      </c>
      <c r="C13" s="9863"/>
      <c r="E13" s="9864" t="s">
        <v>2007</v>
      </c>
      <c r="F13" s="9864"/>
      <c r="H13" s="9865" t="s">
        <v>11787</v>
      </c>
      <c r="I13" s="9865"/>
      <c r="K13" s="3204">
        <v>1</v>
      </c>
      <c r="L13" s="3205">
        <v>2</v>
      </c>
      <c r="M13" s="3206">
        <v>3</v>
      </c>
      <c r="N13" s="3207">
        <v>4</v>
      </c>
      <c r="O13" s="3208">
        <v>5</v>
      </c>
      <c r="P13" s="3209">
        <v>6</v>
      </c>
      <c r="Q13" s="3210">
        <v>7</v>
      </c>
      <c r="R13" s="3211">
        <v>8</v>
      </c>
      <c r="S13" s="2834"/>
      <c r="T13" s="2834"/>
      <c r="V13" s="3212"/>
      <c r="W13" s="2834"/>
      <c r="X13" s="2834"/>
      <c r="Y13" s="2834"/>
      <c r="Z13" s="2834"/>
      <c r="AA13" s="2834"/>
      <c r="AB13" s="2834"/>
      <c r="AC13" s="3199" t="s">
        <v>2686</v>
      </c>
      <c r="AD13" s="422" t="s">
        <v>7028</v>
      </c>
      <c r="AE13" s="2834"/>
      <c r="AF13" s="2834"/>
      <c r="AG13" s="2834"/>
      <c r="AH13" s="2834"/>
      <c r="AI13" s="2834"/>
      <c r="AJ13" s="2834"/>
      <c r="AK13" s="2834"/>
      <c r="AL13" s="2834"/>
      <c r="AM13" s="2834"/>
      <c r="AN13" s="2834"/>
      <c r="AO13" s="2834"/>
      <c r="AP13" s="3197"/>
      <c r="AQ13" s="2730">
        <v>1</v>
      </c>
    </row>
    <row r="14" spans="1:45" ht="21" customHeight="1">
      <c r="B14" s="9863"/>
      <c r="C14" s="9863"/>
      <c r="E14" s="9864"/>
      <c r="F14" s="9864"/>
      <c r="H14" s="9866" t="s">
        <v>11788</v>
      </c>
      <c r="I14" s="9867"/>
      <c r="K14" s="3213">
        <v>9</v>
      </c>
      <c r="L14" s="3214">
        <v>10</v>
      </c>
      <c r="M14" s="3215">
        <v>11</v>
      </c>
      <c r="N14" s="3216">
        <v>12</v>
      </c>
      <c r="O14" s="3217">
        <v>13</v>
      </c>
      <c r="P14" s="3218">
        <v>14</v>
      </c>
      <c r="Q14" s="3219">
        <v>15</v>
      </c>
      <c r="R14" s="3220">
        <v>16</v>
      </c>
      <c r="S14" s="2834"/>
      <c r="T14" s="2834"/>
      <c r="V14" s="3200" t="s">
        <v>11789</v>
      </c>
      <c r="W14" s="2834"/>
      <c r="X14" s="2834"/>
      <c r="Y14" s="2834"/>
      <c r="Z14" s="2834"/>
      <c r="AA14" s="2834"/>
      <c r="AB14" s="2834"/>
      <c r="AC14" s="2834" t="s">
        <v>7029</v>
      </c>
      <c r="AD14" s="2834"/>
      <c r="AE14" s="2834"/>
      <c r="AF14" s="2834"/>
      <c r="AG14" s="2834"/>
      <c r="AH14" s="2834"/>
      <c r="AI14" s="2834"/>
      <c r="AJ14" s="2834"/>
      <c r="AK14" s="2834"/>
      <c r="AL14" s="2834"/>
      <c r="AM14" s="2834"/>
      <c r="AN14" s="2834"/>
      <c r="AO14" s="2834"/>
      <c r="AP14" s="3197"/>
      <c r="AQ14" s="2730">
        <v>1</v>
      </c>
    </row>
    <row r="15" spans="1:45" ht="21" customHeight="1">
      <c r="H15" s="9868"/>
      <c r="I15" s="9869"/>
      <c r="K15" s="3221">
        <v>17</v>
      </c>
      <c r="L15" s="3222">
        <v>18</v>
      </c>
      <c r="M15" s="3223">
        <v>19</v>
      </c>
      <c r="N15" s="3224">
        <v>20</v>
      </c>
      <c r="O15" s="3225">
        <v>21</v>
      </c>
      <c r="P15" s="3226">
        <v>22</v>
      </c>
      <c r="Q15" s="3227">
        <v>23</v>
      </c>
      <c r="R15" s="3228">
        <v>24</v>
      </c>
      <c r="S15" s="2834"/>
      <c r="T15" s="2834"/>
      <c r="U15" s="3199" t="s">
        <v>2686</v>
      </c>
      <c r="V15" s="417" t="s">
        <v>11790</v>
      </c>
      <c r="W15" s="2834"/>
      <c r="X15" s="2834"/>
      <c r="Y15" s="2834"/>
      <c r="Z15" s="2834"/>
      <c r="AA15" s="2834"/>
      <c r="AB15" s="2834"/>
      <c r="AC15" s="3199" t="s">
        <v>2686</v>
      </c>
      <c r="AD15" s="422" t="s">
        <v>7030</v>
      </c>
      <c r="AE15" s="2834"/>
      <c r="AF15" s="2834"/>
      <c r="AG15" s="2834"/>
      <c r="AH15" s="2834"/>
      <c r="AI15" s="2834"/>
      <c r="AJ15" s="2834"/>
      <c r="AK15" s="2834"/>
      <c r="AL15" s="2834"/>
      <c r="AM15" s="2834"/>
      <c r="AN15" s="2834"/>
      <c r="AO15" s="2834"/>
      <c r="AP15" s="3197"/>
      <c r="AQ15" s="2730">
        <v>1</v>
      </c>
    </row>
    <row r="16" spans="1:45" ht="21" customHeight="1">
      <c r="B16" s="9872" t="s">
        <v>11791</v>
      </c>
      <c r="C16" s="9872"/>
      <c r="E16" s="9855" t="s">
        <v>1999</v>
      </c>
      <c r="F16" s="9855"/>
      <c r="H16" s="9870"/>
      <c r="I16" s="9871"/>
      <c r="K16" s="3229">
        <v>25</v>
      </c>
      <c r="L16" s="3230">
        <v>26</v>
      </c>
      <c r="M16" s="3231">
        <v>27</v>
      </c>
      <c r="N16" s="3232">
        <v>28</v>
      </c>
      <c r="O16" s="3233">
        <v>29</v>
      </c>
      <c r="P16" s="3234">
        <v>30</v>
      </c>
      <c r="Q16" s="3235">
        <v>31</v>
      </c>
      <c r="R16" s="3236">
        <v>32</v>
      </c>
      <c r="S16" s="2834"/>
      <c r="T16" s="2834"/>
      <c r="U16" s="3199" t="s">
        <v>2686</v>
      </c>
      <c r="V16" s="417" t="s">
        <v>11792</v>
      </c>
      <c r="W16" s="2834"/>
      <c r="X16" s="2834"/>
      <c r="Y16" s="2834"/>
      <c r="Z16" s="2834"/>
      <c r="AA16" s="2834"/>
      <c r="AB16" s="2834"/>
      <c r="AC16" s="2834" t="s">
        <v>7031</v>
      </c>
      <c r="AD16" s="2834"/>
      <c r="AE16" s="2834"/>
      <c r="AF16" s="2834"/>
      <c r="AG16" s="2834"/>
      <c r="AH16" s="2834"/>
      <c r="AI16" s="2834"/>
      <c r="AJ16" s="2834"/>
      <c r="AK16" s="2834"/>
      <c r="AL16" s="2834"/>
      <c r="AM16" s="2834"/>
      <c r="AN16" s="2834"/>
      <c r="AO16" s="2834"/>
      <c r="AP16" s="3197"/>
      <c r="AQ16" s="2730">
        <v>1</v>
      </c>
    </row>
    <row r="17" spans="1:43" ht="21" customHeight="1">
      <c r="B17" s="9872"/>
      <c r="C17" s="9872"/>
      <c r="E17" s="9855"/>
      <c r="F17" s="9855"/>
      <c r="H17" s="3237" t="s">
        <v>11793</v>
      </c>
      <c r="I17" s="3237"/>
      <c r="K17" s="3238">
        <v>33</v>
      </c>
      <c r="L17" s="3239">
        <v>34</v>
      </c>
      <c r="M17" s="3240">
        <v>35</v>
      </c>
      <c r="N17" s="3241">
        <v>36</v>
      </c>
      <c r="O17" s="3242">
        <v>37</v>
      </c>
      <c r="P17" s="3243">
        <v>38</v>
      </c>
      <c r="Q17" s="3244">
        <v>39</v>
      </c>
      <c r="R17" s="3245">
        <v>40</v>
      </c>
      <c r="S17" s="2834"/>
      <c r="T17" s="2834"/>
      <c r="V17" s="3212"/>
      <c r="W17" s="2834"/>
      <c r="X17" s="2834"/>
      <c r="Y17" s="2834"/>
      <c r="Z17" s="2834"/>
      <c r="AA17" s="2834"/>
      <c r="AB17" s="2834"/>
      <c r="AC17" s="3199" t="s">
        <v>2686</v>
      </c>
      <c r="AD17" s="422" t="s">
        <v>7032</v>
      </c>
      <c r="AE17" s="2834"/>
      <c r="AF17" s="2834"/>
      <c r="AG17" s="2834"/>
      <c r="AH17" s="2834"/>
      <c r="AI17" s="2834"/>
      <c r="AJ17" s="2834"/>
      <c r="AK17" s="2834"/>
      <c r="AL17" s="2834"/>
      <c r="AM17" s="2834"/>
      <c r="AN17" s="2834"/>
      <c r="AO17" s="2834"/>
      <c r="AP17" s="3197"/>
      <c r="AQ17" s="2730">
        <v>1</v>
      </c>
    </row>
    <row r="18" spans="1:43" ht="21" customHeight="1">
      <c r="H18" s="9873" t="s">
        <v>11794</v>
      </c>
      <c r="I18" s="9874"/>
      <c r="K18" s="3246">
        <v>41</v>
      </c>
      <c r="L18" s="3247">
        <v>42</v>
      </c>
      <c r="M18" s="3248">
        <v>43</v>
      </c>
      <c r="N18" s="3249">
        <v>44</v>
      </c>
      <c r="O18" s="3250">
        <v>45</v>
      </c>
      <c r="P18" s="3251">
        <v>46</v>
      </c>
      <c r="Q18" s="3252">
        <v>47</v>
      </c>
      <c r="R18" s="3253">
        <v>48</v>
      </c>
      <c r="S18" s="2834"/>
      <c r="T18" s="2834"/>
      <c r="V18" s="3200" t="s">
        <v>11795</v>
      </c>
      <c r="W18" s="2834"/>
      <c r="X18" s="2834"/>
      <c r="Y18" s="2834"/>
      <c r="Z18" s="2834"/>
      <c r="AA18" s="2834"/>
      <c r="AB18" s="2834"/>
      <c r="AC18" s="2834" t="s">
        <v>7033</v>
      </c>
      <c r="AD18" s="2834"/>
      <c r="AE18" s="2834"/>
      <c r="AF18" s="2834"/>
      <c r="AG18" s="2834"/>
      <c r="AH18" s="2834"/>
      <c r="AI18" s="2834"/>
      <c r="AJ18" s="2834"/>
      <c r="AK18" s="2834"/>
      <c r="AL18" s="2834"/>
      <c r="AM18" s="2834"/>
      <c r="AN18" s="2834"/>
      <c r="AO18" s="2834"/>
      <c r="AP18" s="3197"/>
      <c r="AQ18" s="2730">
        <v>1</v>
      </c>
    </row>
    <row r="19" spans="1:43" ht="21" customHeight="1">
      <c r="A19" s="3170"/>
      <c r="B19" s="9877" t="s">
        <v>2005</v>
      </c>
      <c r="C19" s="9877"/>
      <c r="E19" s="9878" t="s">
        <v>2003</v>
      </c>
      <c r="F19" s="9878"/>
      <c r="H19" s="9875"/>
      <c r="I19" s="9876"/>
      <c r="K19" s="3254">
        <v>49</v>
      </c>
      <c r="L19" s="3255">
        <v>50</v>
      </c>
      <c r="M19" s="3256">
        <v>51</v>
      </c>
      <c r="N19" s="3257">
        <v>52</v>
      </c>
      <c r="O19" s="3258">
        <v>53</v>
      </c>
      <c r="P19" s="3259">
        <v>54</v>
      </c>
      <c r="Q19" s="3260">
        <v>55</v>
      </c>
      <c r="R19" s="3261">
        <v>56</v>
      </c>
      <c r="S19" s="2834"/>
      <c r="T19" s="2834"/>
      <c r="U19" s="3199" t="s">
        <v>2686</v>
      </c>
      <c r="V19" s="417" t="s">
        <v>11796</v>
      </c>
      <c r="W19" s="2834"/>
      <c r="X19" s="2834"/>
      <c r="Y19" s="2834"/>
      <c r="Z19" s="2834"/>
      <c r="AA19" s="2834"/>
      <c r="AB19" s="2834"/>
      <c r="AC19" s="3199" t="s">
        <v>2686</v>
      </c>
      <c r="AD19" s="422" t="s">
        <v>7034</v>
      </c>
      <c r="AE19" s="2834"/>
      <c r="AF19" s="2834"/>
      <c r="AG19" s="2834"/>
      <c r="AH19" s="2834"/>
      <c r="AI19" s="2834"/>
      <c r="AJ19" s="2834"/>
      <c r="AK19" s="2834"/>
      <c r="AL19" s="2834"/>
      <c r="AM19" s="2834"/>
      <c r="AN19" s="2834"/>
      <c r="AO19" s="2834"/>
      <c r="AP19" s="3197"/>
      <c r="AQ19" s="2730">
        <v>1</v>
      </c>
    </row>
    <row r="20" spans="1:43" ht="21" customHeight="1">
      <c r="B20" s="9877"/>
      <c r="C20" s="9877"/>
      <c r="E20" s="9878"/>
      <c r="F20" s="9878"/>
      <c r="H20" s="3262">
        <v>1</v>
      </c>
      <c r="I20" s="3262">
        <v>1</v>
      </c>
      <c r="K20" s="9879" t="s">
        <v>1937</v>
      </c>
      <c r="L20" s="9879"/>
      <c r="M20" s="9879"/>
      <c r="N20" s="9879"/>
      <c r="O20" s="9879"/>
      <c r="P20" s="9879"/>
      <c r="Q20" s="9879"/>
      <c r="R20" s="9879"/>
      <c r="S20" s="2834"/>
      <c r="T20" s="2834"/>
      <c r="V20" s="2834"/>
      <c r="W20" s="2834"/>
      <c r="X20" s="2834"/>
      <c r="Y20" s="2834"/>
      <c r="Z20" s="2834"/>
      <c r="AA20" s="2834"/>
      <c r="AB20" s="2834"/>
      <c r="AC20" s="2834" t="s">
        <v>11797</v>
      </c>
      <c r="AD20" s="3047"/>
      <c r="AE20" s="3047"/>
      <c r="AF20" s="3047"/>
      <c r="AG20" s="2834"/>
      <c r="AH20" s="2834"/>
      <c r="AI20" s="2834"/>
      <c r="AJ20" s="2834"/>
      <c r="AK20" s="2834"/>
      <c r="AL20" s="2834"/>
      <c r="AM20" s="2834"/>
      <c r="AN20" s="2834"/>
      <c r="AO20" s="2834"/>
      <c r="AP20" s="3197"/>
      <c r="AQ20" s="2730">
        <v>1</v>
      </c>
    </row>
    <row r="21" spans="1:43" ht="21" customHeight="1">
      <c r="H21" s="9881" t="s">
        <v>11798</v>
      </c>
      <c r="I21" s="9882"/>
      <c r="K21" s="9880"/>
      <c r="L21" s="9880"/>
      <c r="M21" s="9880"/>
      <c r="N21" s="9880"/>
      <c r="O21" s="9880"/>
      <c r="P21" s="9880"/>
      <c r="Q21" s="9880"/>
      <c r="R21" s="9880"/>
      <c r="S21" s="2834"/>
      <c r="T21" s="2834"/>
      <c r="V21" s="2834"/>
      <c r="W21" s="2834"/>
      <c r="X21" s="2834"/>
      <c r="Y21" s="2834"/>
      <c r="Z21" s="2834"/>
      <c r="AA21" s="2834"/>
      <c r="AB21" s="2834"/>
      <c r="AC21" s="3199" t="s">
        <v>2686</v>
      </c>
      <c r="AD21" s="422" t="s">
        <v>11799</v>
      </c>
      <c r="AE21" s="2834"/>
      <c r="AF21" s="2834"/>
      <c r="AG21" s="2834"/>
      <c r="AH21" s="2834"/>
      <c r="AI21" s="2834"/>
      <c r="AJ21" s="2834"/>
      <c r="AK21" s="2834"/>
      <c r="AL21" s="2834"/>
      <c r="AM21" s="2834"/>
      <c r="AN21" s="2834"/>
      <c r="AO21" s="2834"/>
      <c r="AQ21" s="2730">
        <v>1</v>
      </c>
    </row>
    <row r="22" spans="1:43" ht="21" customHeight="1">
      <c r="B22" s="9856" t="s">
        <v>1998</v>
      </c>
      <c r="C22" s="9856"/>
      <c r="E22" s="9857" t="s">
        <v>1986</v>
      </c>
      <c r="F22" s="9857"/>
      <c r="H22" s="9858" t="s">
        <v>11800</v>
      </c>
      <c r="I22" s="9859"/>
      <c r="K22" s="9860" t="s">
        <v>1936</v>
      </c>
      <c r="L22" s="9861"/>
      <c r="M22" s="9861"/>
      <c r="N22" s="9861"/>
      <c r="O22" s="9861"/>
      <c r="P22" s="9861"/>
      <c r="Q22" s="9861"/>
      <c r="R22" s="9861"/>
      <c r="S22" s="9861"/>
      <c r="T22" s="9862"/>
      <c r="V22" s="2834"/>
      <c r="W22" s="2834"/>
      <c r="X22" s="2834"/>
      <c r="Y22" s="2834"/>
      <c r="Z22" s="2834"/>
      <c r="AA22" s="2834"/>
      <c r="AB22" s="2834"/>
      <c r="AG22" s="2834"/>
      <c r="AH22" s="2834"/>
      <c r="AI22" s="2834"/>
      <c r="AJ22" s="2834"/>
      <c r="AK22" s="2834"/>
      <c r="AL22" s="2834"/>
      <c r="AM22" s="2834"/>
      <c r="AN22" s="2834"/>
      <c r="AO22" s="2834"/>
      <c r="AQ22" s="2730">
        <v>1</v>
      </c>
    </row>
    <row r="23" spans="1:43" ht="21" customHeight="1" thickBot="1">
      <c r="B23" s="9856"/>
      <c r="C23" s="9856"/>
      <c r="E23" s="9857"/>
      <c r="F23" s="9857"/>
      <c r="H23" s="3263" t="s">
        <v>11801</v>
      </c>
      <c r="I23" s="3264"/>
      <c r="K23" s="3265" t="s">
        <v>11802</v>
      </c>
      <c r="L23" s="3266" t="s">
        <v>11803</v>
      </c>
      <c r="M23" s="3266" t="s">
        <v>11804</v>
      </c>
      <c r="N23" s="3265" t="s">
        <v>11805</v>
      </c>
      <c r="O23" s="3265" t="s">
        <v>11806</v>
      </c>
      <c r="P23" s="3265" t="s">
        <v>11802</v>
      </c>
      <c r="Q23" s="3266" t="s">
        <v>11803</v>
      </c>
      <c r="R23" s="3266" t="s">
        <v>11804</v>
      </c>
      <c r="S23" s="3265" t="s">
        <v>11805</v>
      </c>
      <c r="T23" s="3265" t="s">
        <v>11806</v>
      </c>
      <c r="V23" s="3265" t="s">
        <v>11802</v>
      </c>
      <c r="W23" s="3267" t="s">
        <v>11807</v>
      </c>
      <c r="X23" s="3267" t="s">
        <v>11808</v>
      </c>
      <c r="Y23" s="3266" t="s">
        <v>11804</v>
      </c>
      <c r="Z23" s="3265" t="s">
        <v>11805</v>
      </c>
      <c r="AA23" s="3268" t="s">
        <v>11806</v>
      </c>
      <c r="AB23"/>
      <c r="AC23" s="3265" t="s">
        <v>11802</v>
      </c>
      <c r="AD23" s="3267" t="s">
        <v>11807</v>
      </c>
      <c r="AE23" s="3267" t="s">
        <v>11808</v>
      </c>
      <c r="AF23" s="3266" t="s">
        <v>11804</v>
      </c>
      <c r="AG23" s="3265" t="s">
        <v>11805</v>
      </c>
      <c r="AH23" s="3268" t="s">
        <v>11806</v>
      </c>
      <c r="AI23"/>
      <c r="AJ23" s="3265" t="s">
        <v>11802</v>
      </c>
      <c r="AK23" s="3267" t="s">
        <v>11807</v>
      </c>
      <c r="AL23" s="3267" t="s">
        <v>11808</v>
      </c>
      <c r="AM23" s="3269" t="s">
        <v>11804</v>
      </c>
      <c r="AN23" s="3265" t="s">
        <v>11805</v>
      </c>
      <c r="AO23" s="3270" t="s">
        <v>11806</v>
      </c>
      <c r="AQ23" s="2730">
        <v>1</v>
      </c>
    </row>
    <row r="24" spans="1:43" ht="21" customHeight="1">
      <c r="H24" s="9846" t="s">
        <v>11809</v>
      </c>
      <c r="I24" s="9847"/>
      <c r="K24" s="3271" t="s">
        <v>1941</v>
      </c>
      <c r="L24" s="3272" t="s">
        <v>11810</v>
      </c>
      <c r="M24" s="3273">
        <v>0</v>
      </c>
      <c r="N24" s="3273">
        <v>0</v>
      </c>
      <c r="O24" s="3273">
        <v>0</v>
      </c>
      <c r="P24" s="3274" t="s">
        <v>1996</v>
      </c>
      <c r="Q24" s="3272" t="s">
        <v>2023</v>
      </c>
      <c r="R24" s="3273">
        <v>128</v>
      </c>
      <c r="S24" s="3273">
        <v>0</v>
      </c>
      <c r="T24" s="3273">
        <v>128</v>
      </c>
      <c r="V24" s="3275"/>
      <c r="W24" s="3276" t="s">
        <v>11811</v>
      </c>
      <c r="X24" s="3277" t="s">
        <v>11812</v>
      </c>
      <c r="Y24" s="3278">
        <v>0</v>
      </c>
      <c r="Z24" s="3279">
        <v>191</v>
      </c>
      <c r="AA24" s="3280">
        <v>255</v>
      </c>
      <c r="AB24"/>
      <c r="AC24" s="3281"/>
      <c r="AD24" s="3282" t="s">
        <v>11813</v>
      </c>
      <c r="AE24" s="3283" t="s">
        <v>11814</v>
      </c>
      <c r="AF24" s="3284">
        <v>74</v>
      </c>
      <c r="AG24" s="3285">
        <v>74</v>
      </c>
      <c r="AH24" s="3286">
        <v>74</v>
      </c>
      <c r="AI24"/>
      <c r="AJ24" s="3287"/>
      <c r="AK24" s="3288" t="s">
        <v>11815</v>
      </c>
      <c r="AL24" s="3283" t="s">
        <v>11816</v>
      </c>
      <c r="AM24" s="3284">
        <v>238</v>
      </c>
      <c r="AN24" s="3285">
        <v>213</v>
      </c>
      <c r="AO24" s="3286">
        <v>183</v>
      </c>
      <c r="AQ24" s="2730">
        <v>1</v>
      </c>
    </row>
    <row r="25" spans="1:43" ht="21" customHeight="1">
      <c r="B25" s="9852" t="s">
        <v>1994</v>
      </c>
      <c r="C25" s="9852"/>
      <c r="E25" s="9853" t="s">
        <v>1990</v>
      </c>
      <c r="F25" s="9853"/>
      <c r="H25" s="3263" t="s">
        <v>11817</v>
      </c>
      <c r="I25" s="3264"/>
      <c r="K25" s="3289" t="s">
        <v>1945</v>
      </c>
      <c r="L25" s="3272" t="s">
        <v>11818</v>
      </c>
      <c r="M25" s="3273">
        <v>255</v>
      </c>
      <c r="N25" s="3273">
        <v>255</v>
      </c>
      <c r="O25" s="3273">
        <v>255</v>
      </c>
      <c r="P25" s="3290" t="s">
        <v>1939</v>
      </c>
      <c r="Q25" s="3272" t="s">
        <v>2018</v>
      </c>
      <c r="R25" s="3273">
        <v>128</v>
      </c>
      <c r="S25" s="3273">
        <v>0</v>
      </c>
      <c r="T25" s="3273">
        <v>0</v>
      </c>
      <c r="V25" s="3291"/>
      <c r="W25" s="3292"/>
      <c r="X25" s="3293" t="s">
        <v>11819</v>
      </c>
      <c r="Y25" s="3294">
        <v>170</v>
      </c>
      <c r="Z25" s="3295">
        <v>187</v>
      </c>
      <c r="AA25" s="3296">
        <v>204</v>
      </c>
      <c r="AB25"/>
      <c r="AC25" s="3297"/>
      <c r="AD25" s="3282" t="s">
        <v>11820</v>
      </c>
      <c r="AE25" s="3283" t="s">
        <v>11821</v>
      </c>
      <c r="AF25" s="3284">
        <v>71</v>
      </c>
      <c r="AG25" s="3285">
        <v>71</v>
      </c>
      <c r="AH25" s="3286">
        <v>71</v>
      </c>
      <c r="AI25"/>
      <c r="AJ25" s="3298"/>
      <c r="AK25" s="3299" t="s">
        <v>11822</v>
      </c>
      <c r="AL25" s="3283" t="s">
        <v>11823</v>
      </c>
      <c r="AM25" s="3284">
        <v>250</v>
      </c>
      <c r="AN25" s="3285">
        <v>214</v>
      </c>
      <c r="AO25" s="3286">
        <v>165</v>
      </c>
      <c r="AQ25" s="2730">
        <v>1</v>
      </c>
    </row>
    <row r="26" spans="1:43" ht="21" customHeight="1">
      <c r="B26" s="9852"/>
      <c r="C26" s="9852"/>
      <c r="E26" s="9853"/>
      <c r="F26" s="9853"/>
      <c r="H26" s="9846" t="s">
        <v>11824</v>
      </c>
      <c r="I26" s="9847"/>
      <c r="K26" s="3300" t="s">
        <v>1949</v>
      </c>
      <c r="L26" s="3272" t="s">
        <v>11825</v>
      </c>
      <c r="M26" s="3273">
        <v>255</v>
      </c>
      <c r="N26" s="3273">
        <v>0</v>
      </c>
      <c r="O26" s="3273">
        <v>0</v>
      </c>
      <c r="P26" s="3301" t="s">
        <v>1943</v>
      </c>
      <c r="Q26" s="3272" t="s">
        <v>2024</v>
      </c>
      <c r="R26" s="3273">
        <v>0</v>
      </c>
      <c r="S26" s="3273">
        <v>128</v>
      </c>
      <c r="T26" s="3273">
        <v>128</v>
      </c>
      <c r="V26" s="3302"/>
      <c r="W26" s="3292" t="s">
        <v>11826</v>
      </c>
      <c r="X26" s="3293" t="s">
        <v>11827</v>
      </c>
      <c r="Y26" s="3294">
        <v>126</v>
      </c>
      <c r="Z26" s="3295">
        <v>192</v>
      </c>
      <c r="AA26" s="3296">
        <v>238</v>
      </c>
      <c r="AB26"/>
      <c r="AC26" s="3303"/>
      <c r="AD26" s="3282" t="s">
        <v>11828</v>
      </c>
      <c r="AE26" s="3283" t="s">
        <v>11829</v>
      </c>
      <c r="AF26" s="3284">
        <v>69</v>
      </c>
      <c r="AG26" s="3285">
        <v>69</v>
      </c>
      <c r="AH26" s="3286">
        <v>69</v>
      </c>
      <c r="AI26"/>
      <c r="AJ26" s="3304"/>
      <c r="AK26" s="3288" t="s">
        <v>11830</v>
      </c>
      <c r="AL26" s="3283" t="s">
        <v>11831</v>
      </c>
      <c r="AM26" s="3284">
        <v>255</v>
      </c>
      <c r="AN26" s="3285">
        <v>222</v>
      </c>
      <c r="AO26" s="3286">
        <v>173</v>
      </c>
      <c r="AQ26" s="2730">
        <v>1</v>
      </c>
    </row>
    <row r="27" spans="1:43" ht="21" customHeight="1">
      <c r="H27" s="3263" t="s">
        <v>11832</v>
      </c>
      <c r="I27" s="3264"/>
      <c r="K27" s="3305" t="s">
        <v>1953</v>
      </c>
      <c r="L27" s="3272" t="s">
        <v>11833</v>
      </c>
      <c r="M27" s="3273">
        <v>0</v>
      </c>
      <c r="N27" s="3273">
        <v>255</v>
      </c>
      <c r="O27" s="3273">
        <v>0</v>
      </c>
      <c r="P27" s="3306" t="s">
        <v>1947</v>
      </c>
      <c r="Q27" s="3272" t="s">
        <v>2009</v>
      </c>
      <c r="R27" s="3273">
        <v>0</v>
      </c>
      <c r="S27" s="3273">
        <v>0</v>
      </c>
      <c r="T27" s="3273">
        <v>255</v>
      </c>
      <c r="V27" s="3307"/>
      <c r="W27" s="3292" t="s">
        <v>11834</v>
      </c>
      <c r="X27" s="3293" t="s">
        <v>11835</v>
      </c>
      <c r="Y27" s="3294">
        <v>135</v>
      </c>
      <c r="Z27" s="3295">
        <v>206</v>
      </c>
      <c r="AA27" s="3296">
        <v>250</v>
      </c>
      <c r="AB27"/>
      <c r="AC27" s="3308"/>
      <c r="AD27" s="3282" t="s">
        <v>11836</v>
      </c>
      <c r="AE27" s="3283" t="s">
        <v>11837</v>
      </c>
      <c r="AF27" s="3284">
        <v>66</v>
      </c>
      <c r="AG27" s="3285">
        <v>66</v>
      </c>
      <c r="AH27" s="3286">
        <v>66</v>
      </c>
      <c r="AI27"/>
      <c r="AJ27" s="3309"/>
      <c r="AK27" s="3288" t="s">
        <v>11838</v>
      </c>
      <c r="AL27" s="3283" t="s">
        <v>11839</v>
      </c>
      <c r="AM27" s="3284">
        <v>238</v>
      </c>
      <c r="AN27" s="3285">
        <v>223</v>
      </c>
      <c r="AO27" s="3286">
        <v>204</v>
      </c>
      <c r="AQ27" s="2730">
        <v>1</v>
      </c>
    </row>
    <row r="28" spans="1:43" ht="21" customHeight="1">
      <c r="B28" s="9854" t="s">
        <v>2014</v>
      </c>
      <c r="C28" s="9854"/>
      <c r="E28" s="9855" t="s">
        <v>1999</v>
      </c>
      <c r="F28" s="9855"/>
      <c r="H28" s="3263" t="s">
        <v>11840</v>
      </c>
      <c r="I28" s="3264"/>
      <c r="K28" s="3310" t="s">
        <v>1957</v>
      </c>
      <c r="L28" s="3272" t="s">
        <v>11841</v>
      </c>
      <c r="M28" s="3273">
        <v>0</v>
      </c>
      <c r="N28" s="3273">
        <v>0</v>
      </c>
      <c r="O28" s="3273">
        <v>255</v>
      </c>
      <c r="P28" s="3311" t="s">
        <v>1951</v>
      </c>
      <c r="Q28" s="3272" t="s">
        <v>2034</v>
      </c>
      <c r="R28" s="3273">
        <v>0</v>
      </c>
      <c r="S28" s="3273">
        <v>204</v>
      </c>
      <c r="T28" s="3273">
        <v>255</v>
      </c>
      <c r="V28" s="3312"/>
      <c r="W28" s="3313" t="s">
        <v>11842</v>
      </c>
      <c r="X28" s="3293" t="s">
        <v>11843</v>
      </c>
      <c r="Y28" s="3294">
        <v>161</v>
      </c>
      <c r="Z28" s="3295">
        <v>202</v>
      </c>
      <c r="AA28" s="3296">
        <v>241</v>
      </c>
      <c r="AB28"/>
      <c r="AC28" s="3314"/>
      <c r="AD28" s="3282" t="s">
        <v>11844</v>
      </c>
      <c r="AE28" s="3283" t="s">
        <v>11845</v>
      </c>
      <c r="AF28" s="3284">
        <v>64</v>
      </c>
      <c r="AG28" s="3285">
        <v>64</v>
      </c>
      <c r="AH28" s="3286">
        <v>64</v>
      </c>
      <c r="AI28"/>
      <c r="AJ28" s="3315"/>
      <c r="AK28" s="3299" t="s">
        <v>11846</v>
      </c>
      <c r="AL28" s="3283" t="s">
        <v>11847</v>
      </c>
      <c r="AM28" s="3284">
        <v>255</v>
      </c>
      <c r="AN28" s="3285">
        <v>228</v>
      </c>
      <c r="AO28" s="3286">
        <v>196</v>
      </c>
      <c r="AQ28" s="2730">
        <v>1</v>
      </c>
    </row>
    <row r="29" spans="1:43" ht="21" customHeight="1">
      <c r="B29" s="9854"/>
      <c r="C29" s="9854"/>
      <c r="E29" s="9855"/>
      <c r="F29" s="9855"/>
      <c r="H29" s="9846" t="s">
        <v>11848</v>
      </c>
      <c r="I29" s="9847"/>
      <c r="K29" s="3316" t="s">
        <v>1961</v>
      </c>
      <c r="L29" s="3272" t="s">
        <v>11849</v>
      </c>
      <c r="M29" s="3273">
        <v>255</v>
      </c>
      <c r="N29" s="3273">
        <v>255</v>
      </c>
      <c r="O29" s="3273">
        <v>0</v>
      </c>
      <c r="P29" s="3317" t="s">
        <v>1955</v>
      </c>
      <c r="Q29" s="3272" t="s">
        <v>2029</v>
      </c>
      <c r="R29" s="3273">
        <v>204</v>
      </c>
      <c r="S29" s="3273">
        <v>0</v>
      </c>
      <c r="T29" s="3273">
        <v>0</v>
      </c>
      <c r="V29" s="3318"/>
      <c r="W29" s="3292" t="s">
        <v>11850</v>
      </c>
      <c r="X29" s="3293" t="s">
        <v>11851</v>
      </c>
      <c r="Y29" s="3294">
        <v>135</v>
      </c>
      <c r="Z29" s="3295">
        <v>206</v>
      </c>
      <c r="AA29" s="3296">
        <v>255</v>
      </c>
      <c r="AB29"/>
      <c r="AC29" s="3319"/>
      <c r="AD29" s="3282" t="s">
        <v>11852</v>
      </c>
      <c r="AE29" s="3283" t="s">
        <v>11853</v>
      </c>
      <c r="AF29" s="3284">
        <v>61</v>
      </c>
      <c r="AG29" s="3285">
        <v>61</v>
      </c>
      <c r="AH29" s="3286">
        <v>61</v>
      </c>
      <c r="AI29"/>
      <c r="AJ29" s="3320"/>
      <c r="AK29" s="3288" t="s">
        <v>11854</v>
      </c>
      <c r="AL29" s="3283" t="s">
        <v>11855</v>
      </c>
      <c r="AM29" s="3284">
        <v>250</v>
      </c>
      <c r="AN29" s="3285">
        <v>235</v>
      </c>
      <c r="AO29" s="3286">
        <v>215</v>
      </c>
      <c r="AQ29" s="2730">
        <v>1</v>
      </c>
    </row>
    <row r="30" spans="1:43" ht="21" customHeight="1">
      <c r="H30" s="3263" t="s">
        <v>11856</v>
      </c>
      <c r="I30" s="3264"/>
      <c r="K30" s="3321" t="s">
        <v>1964</v>
      </c>
      <c r="L30" s="3272" t="s">
        <v>11857</v>
      </c>
      <c r="M30" s="3273">
        <v>255</v>
      </c>
      <c r="N30" s="3273">
        <v>0</v>
      </c>
      <c r="O30" s="3273">
        <v>255</v>
      </c>
      <c r="P30" s="3322" t="s">
        <v>1959</v>
      </c>
      <c r="Q30" s="3272" t="s">
        <v>2035</v>
      </c>
      <c r="R30" s="3273">
        <v>204</v>
      </c>
      <c r="S30" s="3273">
        <v>0</v>
      </c>
      <c r="T30" s="3273">
        <v>0</v>
      </c>
      <c r="V30" s="3323"/>
      <c r="W30" s="3313" t="s">
        <v>11858</v>
      </c>
      <c r="X30" s="3293" t="s">
        <v>11859</v>
      </c>
      <c r="Y30" s="3294">
        <v>188</v>
      </c>
      <c r="Z30" s="3295">
        <v>212</v>
      </c>
      <c r="AA30" s="3296">
        <v>230</v>
      </c>
      <c r="AB30"/>
      <c r="AC30" s="3324"/>
      <c r="AD30" s="3282" t="s">
        <v>11860</v>
      </c>
      <c r="AE30" s="3283" t="s">
        <v>11861</v>
      </c>
      <c r="AF30" s="3284">
        <v>59</v>
      </c>
      <c r="AG30" s="3285">
        <v>59</v>
      </c>
      <c r="AH30" s="3286">
        <v>59</v>
      </c>
      <c r="AI30"/>
      <c r="AJ30" s="3325"/>
      <c r="AK30" s="3288" t="s">
        <v>11862</v>
      </c>
      <c r="AL30" s="3283" t="s">
        <v>11863</v>
      </c>
      <c r="AM30" s="3284">
        <v>255</v>
      </c>
      <c r="AN30" s="3285">
        <v>239</v>
      </c>
      <c r="AO30" s="3286">
        <v>219</v>
      </c>
      <c r="AQ30" s="2730">
        <v>1</v>
      </c>
    </row>
    <row r="31" spans="1:43" ht="21" customHeight="1">
      <c r="B31" s="9844" t="s">
        <v>2002</v>
      </c>
      <c r="C31" s="9844"/>
      <c r="E31" s="9845" t="s">
        <v>2017</v>
      </c>
      <c r="F31" s="9845"/>
      <c r="H31" s="9846" t="s">
        <v>11864</v>
      </c>
      <c r="I31" s="9847"/>
      <c r="K31" s="3326" t="s">
        <v>1968</v>
      </c>
      <c r="L31" s="3272" t="s">
        <v>11865</v>
      </c>
      <c r="M31" s="3273">
        <v>0</v>
      </c>
      <c r="N31" s="3273">
        <v>255</v>
      </c>
      <c r="O31" s="3273">
        <v>255</v>
      </c>
      <c r="P31" s="3327" t="s">
        <v>1963</v>
      </c>
      <c r="Q31" s="3272" t="s">
        <v>2036</v>
      </c>
      <c r="R31" s="3273">
        <v>255</v>
      </c>
      <c r="S31" s="3273">
        <v>0</v>
      </c>
      <c r="T31" s="3273">
        <v>0</v>
      </c>
      <c r="V31" s="3328"/>
      <c r="W31" s="3292" t="s">
        <v>11866</v>
      </c>
      <c r="X31" s="3293" t="s">
        <v>11867</v>
      </c>
      <c r="Y31" s="3294">
        <v>185</v>
      </c>
      <c r="Z31" s="3295">
        <v>211</v>
      </c>
      <c r="AA31" s="3296">
        <v>238</v>
      </c>
      <c r="AB31"/>
      <c r="AC31" s="3329"/>
      <c r="AD31" s="3282" t="s">
        <v>11868</v>
      </c>
      <c r="AE31" s="3283" t="s">
        <v>11869</v>
      </c>
      <c r="AF31" s="3284">
        <v>56</v>
      </c>
      <c r="AG31" s="3285">
        <v>56</v>
      </c>
      <c r="AH31" s="3286">
        <v>56</v>
      </c>
      <c r="AI31"/>
      <c r="AJ31" s="3330"/>
      <c r="AK31" s="3299" t="s">
        <v>11870</v>
      </c>
      <c r="AL31" s="3283" t="s">
        <v>11871</v>
      </c>
      <c r="AM31" s="3284">
        <v>250</v>
      </c>
      <c r="AN31" s="3285">
        <v>240</v>
      </c>
      <c r="AO31" s="3286">
        <v>230</v>
      </c>
      <c r="AQ31" s="2730">
        <v>1</v>
      </c>
    </row>
    <row r="32" spans="1:43" ht="21" customHeight="1">
      <c r="B32" s="9844"/>
      <c r="C32" s="9844"/>
      <c r="E32" s="9845"/>
      <c r="F32" s="9845"/>
      <c r="H32" s="9848" t="s">
        <v>11872</v>
      </c>
      <c r="I32" s="9849"/>
      <c r="K32" s="3331" t="s">
        <v>1972</v>
      </c>
      <c r="L32" s="3272" t="s">
        <v>11873</v>
      </c>
      <c r="M32" s="3273">
        <v>128</v>
      </c>
      <c r="N32" s="3273">
        <v>0</v>
      </c>
      <c r="O32" s="3273">
        <v>0</v>
      </c>
      <c r="P32" s="3332" t="s">
        <v>1966</v>
      </c>
      <c r="Q32" s="3272" t="s">
        <v>2037</v>
      </c>
      <c r="R32" s="3273">
        <v>153</v>
      </c>
      <c r="S32" s="3273">
        <v>0</v>
      </c>
      <c r="T32" s="3273">
        <v>0</v>
      </c>
      <c r="V32" s="3333"/>
      <c r="W32" s="3292" t="s">
        <v>11874</v>
      </c>
      <c r="X32" s="3293" t="s">
        <v>11875</v>
      </c>
      <c r="Y32" s="3294">
        <v>198</v>
      </c>
      <c r="Z32" s="3295">
        <v>226</v>
      </c>
      <c r="AA32" s="3296">
        <v>255</v>
      </c>
      <c r="AB32"/>
      <c r="AC32" s="3334"/>
      <c r="AD32" s="3282" t="s">
        <v>11876</v>
      </c>
      <c r="AE32" s="3283" t="s">
        <v>11877</v>
      </c>
      <c r="AF32" s="3284">
        <v>54</v>
      </c>
      <c r="AG32" s="3285">
        <v>54</v>
      </c>
      <c r="AH32" s="3286">
        <v>54</v>
      </c>
      <c r="AI32"/>
      <c r="AJ32" s="3335"/>
      <c r="AK32" s="3288" t="s">
        <v>11878</v>
      </c>
      <c r="AL32" s="3283" t="s">
        <v>11879</v>
      </c>
      <c r="AM32" s="3284">
        <v>222</v>
      </c>
      <c r="AN32" s="3285">
        <v>184</v>
      </c>
      <c r="AO32" s="3286">
        <v>135</v>
      </c>
      <c r="AQ32" s="2730">
        <v>1</v>
      </c>
    </row>
    <row r="33" spans="2:43" ht="21" customHeight="1" thickBot="1">
      <c r="H33" s="3336">
        <v>12</v>
      </c>
      <c r="I33" s="3337">
        <v>12</v>
      </c>
      <c r="K33" s="3338" t="s">
        <v>1977</v>
      </c>
      <c r="L33" s="3272" t="s">
        <v>11880</v>
      </c>
      <c r="M33" s="3273">
        <v>0</v>
      </c>
      <c r="N33" s="3273">
        <v>128</v>
      </c>
      <c r="O33" s="3273">
        <v>0</v>
      </c>
      <c r="P33" s="3339" t="s">
        <v>1970</v>
      </c>
      <c r="Q33" s="3272" t="s">
        <v>2038</v>
      </c>
      <c r="R33" s="3273">
        <v>255</v>
      </c>
      <c r="S33" s="3273">
        <v>0</v>
      </c>
      <c r="T33" s="3273">
        <v>0</v>
      </c>
      <c r="V33" s="3340"/>
      <c r="W33" s="3313" t="s">
        <v>2004</v>
      </c>
      <c r="X33" s="3293" t="s">
        <v>11881</v>
      </c>
      <c r="Y33" s="3294">
        <v>242</v>
      </c>
      <c r="Z33" s="3295">
        <v>243</v>
      </c>
      <c r="AA33" s="3296">
        <v>244</v>
      </c>
      <c r="AB33"/>
      <c r="AC33" s="3341"/>
      <c r="AD33" s="3282" t="s">
        <v>11882</v>
      </c>
      <c r="AE33" s="3283" t="s">
        <v>11883</v>
      </c>
      <c r="AF33" s="3284">
        <v>51</v>
      </c>
      <c r="AG33" s="3285">
        <v>51</v>
      </c>
      <c r="AH33" s="3286">
        <v>51</v>
      </c>
      <c r="AI33"/>
      <c r="AJ33" s="3342"/>
      <c r="AK33" s="3288" t="s">
        <v>11884</v>
      </c>
      <c r="AL33" s="3283" t="s">
        <v>11885</v>
      </c>
      <c r="AM33" s="3284">
        <v>205</v>
      </c>
      <c r="AN33" s="3285">
        <v>183</v>
      </c>
      <c r="AO33" s="3286">
        <v>158</v>
      </c>
      <c r="AQ33" s="2730">
        <v>1</v>
      </c>
    </row>
    <row r="34" spans="2:43" ht="21" customHeight="1">
      <c r="B34" s="9850" t="s">
        <v>2020</v>
      </c>
      <c r="C34" s="9850"/>
      <c r="E34" s="9851" t="s">
        <v>2019</v>
      </c>
      <c r="F34" s="9851"/>
      <c r="K34" s="3343" t="s">
        <v>1982</v>
      </c>
      <c r="L34" s="3272" t="s">
        <v>2021</v>
      </c>
      <c r="M34" s="3273">
        <v>0</v>
      </c>
      <c r="N34" s="3273">
        <v>0</v>
      </c>
      <c r="O34" s="3273">
        <v>128</v>
      </c>
      <c r="P34" s="3344" t="s">
        <v>1974</v>
      </c>
      <c r="Q34" s="3272" t="s">
        <v>2039</v>
      </c>
      <c r="R34" s="3273">
        <v>204</v>
      </c>
      <c r="S34" s="3273">
        <v>0</v>
      </c>
      <c r="T34" s="3273">
        <v>0</v>
      </c>
      <c r="V34" s="3345"/>
      <c r="W34" s="3292" t="s">
        <v>11886</v>
      </c>
      <c r="X34" s="3293" t="s">
        <v>11887</v>
      </c>
      <c r="Y34" s="3294">
        <v>240</v>
      </c>
      <c r="Z34" s="3295">
        <v>248</v>
      </c>
      <c r="AA34" s="3296">
        <v>255</v>
      </c>
      <c r="AB34"/>
      <c r="AC34" s="3346"/>
      <c r="AD34" s="3347" t="s">
        <v>11888</v>
      </c>
      <c r="AE34" s="3283" t="s">
        <v>11889</v>
      </c>
      <c r="AF34" s="3284">
        <v>48</v>
      </c>
      <c r="AG34" s="3285">
        <v>48</v>
      </c>
      <c r="AH34" s="3286">
        <v>48</v>
      </c>
      <c r="AI34"/>
      <c r="AJ34" s="3348"/>
      <c r="AK34" s="3288" t="s">
        <v>11890</v>
      </c>
      <c r="AL34" s="3283" t="s">
        <v>11891</v>
      </c>
      <c r="AM34" s="3284">
        <v>210</v>
      </c>
      <c r="AN34" s="3285">
        <v>180</v>
      </c>
      <c r="AO34" s="3286">
        <v>140</v>
      </c>
      <c r="AQ34" s="2730">
        <v>1</v>
      </c>
    </row>
    <row r="35" spans="2:43" ht="21" customHeight="1">
      <c r="B35" s="9850"/>
      <c r="C35" s="9850"/>
      <c r="E35" s="9851"/>
      <c r="F35" s="9851"/>
      <c r="K35" s="3349" t="s">
        <v>1987</v>
      </c>
      <c r="L35" s="3272" t="s">
        <v>2022</v>
      </c>
      <c r="M35" s="3273">
        <v>128</v>
      </c>
      <c r="N35" s="3273">
        <v>128</v>
      </c>
      <c r="O35" s="3273">
        <v>0</v>
      </c>
      <c r="P35" s="3350" t="s">
        <v>1979</v>
      </c>
      <c r="Q35" s="3272" t="s">
        <v>2040</v>
      </c>
      <c r="R35" s="3273">
        <v>255</v>
      </c>
      <c r="S35" s="3273">
        <v>0</v>
      </c>
      <c r="T35" s="3273">
        <v>0</v>
      </c>
      <c r="V35" s="3351"/>
      <c r="W35" s="3292" t="s">
        <v>11892</v>
      </c>
      <c r="X35" s="3293" t="s">
        <v>11893</v>
      </c>
      <c r="Y35" s="3294">
        <v>159</v>
      </c>
      <c r="Z35" s="3295">
        <v>182</v>
      </c>
      <c r="AA35" s="3296">
        <v>205</v>
      </c>
      <c r="AB35"/>
      <c r="AC35" s="3352"/>
      <c r="AD35" s="3282" t="s">
        <v>11894</v>
      </c>
      <c r="AE35" s="3283" t="s">
        <v>11895</v>
      </c>
      <c r="AF35" s="3284">
        <v>46</v>
      </c>
      <c r="AG35" s="3285">
        <v>46</v>
      </c>
      <c r="AH35" s="3286">
        <v>46</v>
      </c>
      <c r="AI35"/>
      <c r="AJ35" s="3353"/>
      <c r="AK35" s="3288" t="s">
        <v>11896</v>
      </c>
      <c r="AL35" s="3283" t="s">
        <v>11897</v>
      </c>
      <c r="AM35" s="3284">
        <v>205</v>
      </c>
      <c r="AN35" s="3285">
        <v>179</v>
      </c>
      <c r="AO35" s="3286">
        <v>139</v>
      </c>
      <c r="AQ35" s="2730">
        <v>1</v>
      </c>
    </row>
    <row r="36" spans="2:43" ht="21" customHeight="1">
      <c r="K36" s="3274" t="s">
        <v>1991</v>
      </c>
      <c r="L36" s="3272" t="s">
        <v>2023</v>
      </c>
      <c r="M36" s="3273">
        <v>128</v>
      </c>
      <c r="N36" s="3273">
        <v>0</v>
      </c>
      <c r="O36" s="3273">
        <v>128</v>
      </c>
      <c r="P36" s="3354" t="s">
        <v>1984</v>
      </c>
      <c r="Q36" s="3272" t="s">
        <v>2041</v>
      </c>
      <c r="R36" s="3273">
        <v>51</v>
      </c>
      <c r="S36" s="3273">
        <v>0</v>
      </c>
      <c r="T36" s="3273">
        <v>0</v>
      </c>
      <c r="V36" s="3355"/>
      <c r="W36" s="3292" t="s">
        <v>11898</v>
      </c>
      <c r="X36" s="3293" t="s">
        <v>11899</v>
      </c>
      <c r="Y36" s="3294">
        <v>0</v>
      </c>
      <c r="Z36" s="3295">
        <v>178</v>
      </c>
      <c r="AA36" s="3296">
        <v>238</v>
      </c>
      <c r="AB36"/>
      <c r="AC36" s="3356"/>
      <c r="AD36" s="3282" t="s">
        <v>11900</v>
      </c>
      <c r="AE36" s="3283" t="s">
        <v>11901</v>
      </c>
      <c r="AF36" s="3284">
        <v>43</v>
      </c>
      <c r="AG36" s="3285">
        <v>43</v>
      </c>
      <c r="AH36" s="3286">
        <v>43</v>
      </c>
      <c r="AI36"/>
      <c r="AJ36" s="3357"/>
      <c r="AK36" s="3288" t="s">
        <v>11902</v>
      </c>
      <c r="AL36" s="3283" t="s">
        <v>11903</v>
      </c>
      <c r="AM36" s="3284">
        <v>238</v>
      </c>
      <c r="AN36" s="3285">
        <v>180</v>
      </c>
      <c r="AO36" s="3286">
        <v>34</v>
      </c>
      <c r="AQ36" s="2730">
        <v>1</v>
      </c>
    </row>
    <row r="37" spans="2:43" ht="21" customHeight="1">
      <c r="K37" s="3301" t="s">
        <v>1995</v>
      </c>
      <c r="L37" s="3272" t="s">
        <v>2024</v>
      </c>
      <c r="M37" s="3273">
        <v>0</v>
      </c>
      <c r="N37" s="3273">
        <v>128</v>
      </c>
      <c r="O37" s="3273">
        <v>128</v>
      </c>
      <c r="P37" s="3358" t="s">
        <v>1989</v>
      </c>
      <c r="Q37" s="3272" t="s">
        <v>2042</v>
      </c>
      <c r="R37" s="3273">
        <v>51</v>
      </c>
      <c r="S37" s="3273">
        <v>0</v>
      </c>
      <c r="T37" s="3273">
        <v>0</v>
      </c>
      <c r="V37" s="3359"/>
      <c r="W37" s="3313" t="s">
        <v>11904</v>
      </c>
      <c r="X37" s="3293" t="s">
        <v>11905</v>
      </c>
      <c r="Y37" s="3294">
        <v>112</v>
      </c>
      <c r="Z37" s="3295">
        <v>163</v>
      </c>
      <c r="AA37" s="3296">
        <v>204</v>
      </c>
      <c r="AB37"/>
      <c r="AC37" s="3360"/>
      <c r="AD37" s="3282" t="s">
        <v>11906</v>
      </c>
      <c r="AE37" s="3283" t="s">
        <v>11907</v>
      </c>
      <c r="AF37" s="3284">
        <v>41</v>
      </c>
      <c r="AG37" s="3285">
        <v>41</v>
      </c>
      <c r="AH37" s="3286">
        <v>41</v>
      </c>
      <c r="AI37"/>
      <c r="AJ37" s="3361"/>
      <c r="AK37" s="3299" t="s">
        <v>11908</v>
      </c>
      <c r="AL37" s="3283" t="s">
        <v>11909</v>
      </c>
      <c r="AM37" s="3284">
        <v>227</v>
      </c>
      <c r="AN37" s="3285">
        <v>168</v>
      </c>
      <c r="AO37" s="3286">
        <v>87</v>
      </c>
      <c r="AQ37" s="2730">
        <v>1</v>
      </c>
    </row>
    <row r="38" spans="2:43" ht="21" customHeight="1">
      <c r="K38" s="3362" t="s">
        <v>1938</v>
      </c>
      <c r="L38" s="3272" t="s">
        <v>2025</v>
      </c>
      <c r="M38" s="3273">
        <v>192</v>
      </c>
      <c r="N38" s="3273">
        <v>192</v>
      </c>
      <c r="O38" s="3273">
        <v>192</v>
      </c>
      <c r="P38" s="3363" t="s">
        <v>1993</v>
      </c>
      <c r="Q38" s="3272" t="s">
        <v>2043</v>
      </c>
      <c r="R38" s="3273">
        <v>153</v>
      </c>
      <c r="S38" s="3273">
        <v>0</v>
      </c>
      <c r="T38" s="3273">
        <v>0</v>
      </c>
      <c r="V38" s="3364"/>
      <c r="W38" s="3292" t="s">
        <v>11910</v>
      </c>
      <c r="X38" s="3293" t="s">
        <v>11911</v>
      </c>
      <c r="Y38" s="3294">
        <v>108</v>
      </c>
      <c r="Z38" s="3295">
        <v>166</v>
      </c>
      <c r="AA38" s="3296">
        <v>205</v>
      </c>
      <c r="AB38"/>
      <c r="AC38" s="3365"/>
      <c r="AD38" s="3282" t="s">
        <v>11912</v>
      </c>
      <c r="AE38" s="3283" t="s">
        <v>11913</v>
      </c>
      <c r="AF38" s="3284">
        <v>38</v>
      </c>
      <c r="AG38" s="3285">
        <v>38</v>
      </c>
      <c r="AH38" s="3286">
        <v>38</v>
      </c>
      <c r="AI38"/>
      <c r="AJ38" s="3366"/>
      <c r="AK38" s="3288" t="s">
        <v>11914</v>
      </c>
      <c r="AL38" s="3283" t="s">
        <v>11915</v>
      </c>
      <c r="AM38" s="3284">
        <v>238</v>
      </c>
      <c r="AN38" s="3285">
        <v>173</v>
      </c>
      <c r="AO38" s="3286">
        <v>14</v>
      </c>
      <c r="AQ38" s="2730">
        <v>1</v>
      </c>
    </row>
    <row r="39" spans="2:43" ht="21" customHeight="1">
      <c r="K39" s="3367" t="s">
        <v>1942</v>
      </c>
      <c r="L39" s="3272" t="s">
        <v>2026</v>
      </c>
      <c r="M39" s="3273">
        <v>128</v>
      </c>
      <c r="N39" s="3273">
        <v>128</v>
      </c>
      <c r="O39" s="3273">
        <v>128</v>
      </c>
      <c r="P39" s="3368" t="s">
        <v>1997</v>
      </c>
      <c r="Q39" s="3272" t="s">
        <v>2044</v>
      </c>
      <c r="R39" s="3273">
        <v>255</v>
      </c>
      <c r="S39" s="3273">
        <v>0</v>
      </c>
      <c r="T39" s="3273">
        <v>0</v>
      </c>
      <c r="V39" s="3369"/>
      <c r="W39" s="3313" t="s">
        <v>11916</v>
      </c>
      <c r="X39" s="3293" t="s">
        <v>11917</v>
      </c>
      <c r="Y39" s="3294">
        <v>145</v>
      </c>
      <c r="Z39" s="3295">
        <v>163</v>
      </c>
      <c r="AA39" s="3296">
        <v>176</v>
      </c>
      <c r="AB39"/>
      <c r="AC39" s="3370"/>
      <c r="AD39" s="3282" t="s">
        <v>11918</v>
      </c>
      <c r="AE39" s="3283" t="s">
        <v>11919</v>
      </c>
      <c r="AF39" s="3284">
        <v>36</v>
      </c>
      <c r="AG39" s="3285">
        <v>36</v>
      </c>
      <c r="AH39" s="3286">
        <v>36</v>
      </c>
      <c r="AI39"/>
      <c r="AJ39" s="3371"/>
      <c r="AK39" s="3288" t="s">
        <v>11920</v>
      </c>
      <c r="AL39" s="3283" t="s">
        <v>11921</v>
      </c>
      <c r="AM39" s="3284">
        <v>205</v>
      </c>
      <c r="AN39" s="3285">
        <v>170</v>
      </c>
      <c r="AO39" s="3286">
        <v>125</v>
      </c>
      <c r="AQ39" s="2730">
        <v>1</v>
      </c>
    </row>
    <row r="40" spans="2:43" ht="21" customHeight="1">
      <c r="K40" s="3372" t="s">
        <v>1946</v>
      </c>
      <c r="L40" s="3272" t="s">
        <v>2027</v>
      </c>
      <c r="M40" s="3273">
        <v>153</v>
      </c>
      <c r="N40" s="3273">
        <v>153</v>
      </c>
      <c r="O40" s="3273">
        <v>255</v>
      </c>
      <c r="P40" s="3373" t="s">
        <v>1940</v>
      </c>
      <c r="Q40" s="3272" t="s">
        <v>2045</v>
      </c>
      <c r="R40" s="3273">
        <v>255</v>
      </c>
      <c r="S40" s="3273">
        <v>0</v>
      </c>
      <c r="T40" s="3273">
        <v>0</v>
      </c>
      <c r="V40" s="3374"/>
      <c r="W40" s="3292"/>
      <c r="X40" s="3293" t="s">
        <v>11922</v>
      </c>
      <c r="Y40" s="3294">
        <v>51</v>
      </c>
      <c r="Z40" s="3295">
        <v>153</v>
      </c>
      <c r="AA40" s="3296">
        <v>204</v>
      </c>
      <c r="AB40"/>
      <c r="AC40" s="3375"/>
      <c r="AD40" s="3282" t="s">
        <v>11923</v>
      </c>
      <c r="AE40" s="3283" t="s">
        <v>11924</v>
      </c>
      <c r="AF40" s="3284">
        <v>33</v>
      </c>
      <c r="AG40" s="3285">
        <v>33</v>
      </c>
      <c r="AH40" s="3286">
        <v>33</v>
      </c>
      <c r="AI40"/>
      <c r="AJ40" s="3376"/>
      <c r="AK40" s="3288" t="s">
        <v>11925</v>
      </c>
      <c r="AL40" s="3283" t="s">
        <v>11926</v>
      </c>
      <c r="AM40" s="3284">
        <v>218</v>
      </c>
      <c r="AN40" s="3285">
        <v>165</v>
      </c>
      <c r="AO40" s="3286">
        <v>32</v>
      </c>
      <c r="AQ40" s="2730">
        <v>1</v>
      </c>
    </row>
    <row r="41" spans="2:43" ht="21" customHeight="1">
      <c r="K41" s="3377" t="s">
        <v>1950</v>
      </c>
      <c r="L41" s="3272" t="s">
        <v>2028</v>
      </c>
      <c r="M41" s="3273">
        <v>153</v>
      </c>
      <c r="N41" s="3273">
        <v>51</v>
      </c>
      <c r="O41" s="3273">
        <v>102</v>
      </c>
      <c r="P41" s="3378" t="s">
        <v>1944</v>
      </c>
      <c r="Q41" s="3272" t="s">
        <v>2046</v>
      </c>
      <c r="R41" s="3273">
        <v>255</v>
      </c>
      <c r="S41" s="3273">
        <v>0</v>
      </c>
      <c r="T41" s="3273">
        <v>0</v>
      </c>
      <c r="V41" s="3379"/>
      <c r="W41" s="3292" t="s">
        <v>11927</v>
      </c>
      <c r="X41" s="3293" t="s">
        <v>11928</v>
      </c>
      <c r="Y41" s="3294">
        <v>50</v>
      </c>
      <c r="Z41" s="3295">
        <v>153</v>
      </c>
      <c r="AA41" s="3296">
        <v>204</v>
      </c>
      <c r="AB41"/>
      <c r="AC41" s="3380"/>
      <c r="AD41" s="3282" t="s">
        <v>11929</v>
      </c>
      <c r="AE41" s="3283" t="s">
        <v>11930</v>
      </c>
      <c r="AF41" s="3284">
        <v>31</v>
      </c>
      <c r="AG41" s="3285">
        <v>31</v>
      </c>
      <c r="AH41" s="3286">
        <v>31</v>
      </c>
      <c r="AI41"/>
      <c r="AJ41" s="3381"/>
      <c r="AK41" s="3299" t="s">
        <v>11931</v>
      </c>
      <c r="AL41" s="3283" t="s">
        <v>11932</v>
      </c>
      <c r="AM41" s="3284">
        <v>193</v>
      </c>
      <c r="AN41" s="3285">
        <v>154</v>
      </c>
      <c r="AO41" s="3286">
        <v>107</v>
      </c>
      <c r="AQ41" s="2730">
        <v>1</v>
      </c>
    </row>
    <row r="42" spans="2:43" ht="21" customHeight="1">
      <c r="K42" s="3382" t="s">
        <v>1954</v>
      </c>
      <c r="L42" s="3272" t="s">
        <v>11933</v>
      </c>
      <c r="M42" s="3273"/>
      <c r="N42" s="3273"/>
      <c r="O42" s="3273"/>
      <c r="P42" s="3383" t="s">
        <v>1948</v>
      </c>
      <c r="Q42" s="3272" t="s">
        <v>2047</v>
      </c>
      <c r="R42" s="3273">
        <v>102</v>
      </c>
      <c r="S42" s="3273">
        <v>0</v>
      </c>
      <c r="T42" s="3273">
        <v>0</v>
      </c>
      <c r="V42" s="3384"/>
      <c r="W42" s="3292" t="s">
        <v>11934</v>
      </c>
      <c r="X42" s="3293" t="s">
        <v>11935</v>
      </c>
      <c r="Y42" s="3294">
        <v>0</v>
      </c>
      <c r="Z42" s="3295">
        <v>154</v>
      </c>
      <c r="AA42" s="3296">
        <v>205</v>
      </c>
      <c r="AB42"/>
      <c r="AC42" s="3385"/>
      <c r="AD42" s="3282" t="s">
        <v>11936</v>
      </c>
      <c r="AE42" s="3283" t="s">
        <v>11937</v>
      </c>
      <c r="AF42" s="3284">
        <v>28</v>
      </c>
      <c r="AG42" s="3285">
        <v>28</v>
      </c>
      <c r="AH42" s="3286">
        <v>28</v>
      </c>
      <c r="AI42"/>
      <c r="AJ42" s="3386"/>
      <c r="AK42" s="3299" t="s">
        <v>11938</v>
      </c>
      <c r="AL42" s="3283" t="s">
        <v>11939</v>
      </c>
      <c r="AM42" s="3284">
        <v>174</v>
      </c>
      <c r="AN42" s="3285">
        <v>155</v>
      </c>
      <c r="AO42" s="3286">
        <v>130</v>
      </c>
      <c r="AQ42" s="2730">
        <v>1</v>
      </c>
    </row>
    <row r="43" spans="2:43" ht="21" customHeight="1">
      <c r="K43" s="3317" t="s">
        <v>1958</v>
      </c>
      <c r="L43" s="3272" t="s">
        <v>2029</v>
      </c>
      <c r="M43" s="3273">
        <v>204</v>
      </c>
      <c r="N43" s="3273">
        <v>255</v>
      </c>
      <c r="O43" s="3273">
        <v>255</v>
      </c>
      <c r="P43" s="3387" t="s">
        <v>1952</v>
      </c>
      <c r="Q43" s="3272" t="s">
        <v>2048</v>
      </c>
      <c r="R43" s="3273">
        <v>150</v>
      </c>
      <c r="S43" s="3273">
        <v>150</v>
      </c>
      <c r="T43" s="3273">
        <v>150</v>
      </c>
      <c r="V43" s="3388"/>
      <c r="W43" s="3313" t="s">
        <v>11940</v>
      </c>
      <c r="X43" s="3293" t="s">
        <v>11941</v>
      </c>
      <c r="Y43" s="3294">
        <v>58</v>
      </c>
      <c r="Z43" s="3295">
        <v>142</v>
      </c>
      <c r="AA43" s="3296">
        <v>186</v>
      </c>
      <c r="AB43"/>
      <c r="AC43" s="3389"/>
      <c r="AD43" s="3282" t="s">
        <v>11942</v>
      </c>
      <c r="AE43" s="3283" t="s">
        <v>11943</v>
      </c>
      <c r="AF43" s="3284">
        <v>26</v>
      </c>
      <c r="AG43" s="3285">
        <v>26</v>
      </c>
      <c r="AH43" s="3286">
        <v>26</v>
      </c>
      <c r="AI43"/>
      <c r="AJ43" s="3390"/>
      <c r="AK43" s="3288" t="s">
        <v>11944</v>
      </c>
      <c r="AL43" s="3283" t="s">
        <v>11945</v>
      </c>
      <c r="AM43" s="3284">
        <v>205</v>
      </c>
      <c r="AN43" s="3285">
        <v>155</v>
      </c>
      <c r="AO43" s="3286">
        <v>29</v>
      </c>
      <c r="AQ43" s="2730">
        <v>1</v>
      </c>
    </row>
    <row r="44" spans="2:43" ht="21" customHeight="1">
      <c r="K44" s="3391" t="s">
        <v>1962</v>
      </c>
      <c r="L44" s="3272" t="s">
        <v>2030</v>
      </c>
      <c r="M44" s="3273">
        <v>102</v>
      </c>
      <c r="N44" s="3273">
        <v>0</v>
      </c>
      <c r="O44" s="3273">
        <v>102</v>
      </c>
      <c r="P44" s="3392" t="s">
        <v>1956</v>
      </c>
      <c r="Q44" s="3272" t="s">
        <v>2049</v>
      </c>
      <c r="R44" s="3273">
        <v>0</v>
      </c>
      <c r="S44" s="3273">
        <v>51</v>
      </c>
      <c r="T44" s="3273">
        <v>102</v>
      </c>
      <c r="V44" s="3393"/>
      <c r="W44" s="3292" t="s">
        <v>11946</v>
      </c>
      <c r="X44" s="3293" t="s">
        <v>11947</v>
      </c>
      <c r="Y44" s="3294">
        <v>119</v>
      </c>
      <c r="Z44" s="3295">
        <v>136</v>
      </c>
      <c r="AA44" s="3296">
        <v>153</v>
      </c>
      <c r="AB44"/>
      <c r="AC44" s="3394"/>
      <c r="AD44" s="3282" t="s">
        <v>11948</v>
      </c>
      <c r="AE44" s="3283" t="s">
        <v>11949</v>
      </c>
      <c r="AF44" s="3284">
        <v>23</v>
      </c>
      <c r="AG44" s="3285">
        <v>23</v>
      </c>
      <c r="AH44" s="3286">
        <v>23</v>
      </c>
      <c r="AI44"/>
      <c r="AJ44" s="3395"/>
      <c r="AK44" s="3288" t="s">
        <v>11950</v>
      </c>
      <c r="AL44" s="3283" t="s">
        <v>11951</v>
      </c>
      <c r="AM44" s="3284">
        <v>205</v>
      </c>
      <c r="AN44" s="3285">
        <v>149</v>
      </c>
      <c r="AO44" s="3286">
        <v>12</v>
      </c>
      <c r="AQ44" s="2730">
        <v>1</v>
      </c>
    </row>
    <row r="45" spans="2:43" ht="21" customHeight="1">
      <c r="K45" s="3396" t="s">
        <v>1965</v>
      </c>
      <c r="L45" s="3272" t="s">
        <v>2031</v>
      </c>
      <c r="M45" s="3273">
        <v>255</v>
      </c>
      <c r="N45" s="3273">
        <v>128</v>
      </c>
      <c r="O45" s="3273">
        <v>128</v>
      </c>
      <c r="P45" s="3397" t="s">
        <v>1960</v>
      </c>
      <c r="Q45" s="3272" t="s">
        <v>11952</v>
      </c>
      <c r="R45" s="3273">
        <v>51</v>
      </c>
      <c r="S45" s="3273">
        <v>153</v>
      </c>
      <c r="T45" s="3273">
        <v>102</v>
      </c>
      <c r="V45" s="3398"/>
      <c r="W45" s="3292" t="s">
        <v>11953</v>
      </c>
      <c r="X45" s="3293" t="s">
        <v>11954</v>
      </c>
      <c r="Y45" s="3294">
        <v>112</v>
      </c>
      <c r="Z45" s="3295">
        <v>128</v>
      </c>
      <c r="AA45" s="3296">
        <v>144</v>
      </c>
      <c r="AB45"/>
      <c r="AC45" s="3399"/>
      <c r="AD45" s="3282" t="s">
        <v>11955</v>
      </c>
      <c r="AE45" s="3283" t="s">
        <v>11956</v>
      </c>
      <c r="AF45" s="3284">
        <v>20</v>
      </c>
      <c r="AG45" s="3285">
        <v>20</v>
      </c>
      <c r="AH45" s="3286">
        <v>20</v>
      </c>
      <c r="AI45"/>
      <c r="AJ45" s="3400"/>
      <c r="AK45" s="3288" t="s">
        <v>11957</v>
      </c>
      <c r="AL45" s="3283" t="s">
        <v>11958</v>
      </c>
      <c r="AM45" s="3284">
        <v>204</v>
      </c>
      <c r="AN45" s="3285">
        <v>153</v>
      </c>
      <c r="AO45" s="3286">
        <v>0</v>
      </c>
      <c r="AQ45" s="2730">
        <v>1</v>
      </c>
    </row>
    <row r="46" spans="2:43" ht="21" customHeight="1">
      <c r="K46" s="3401" t="s">
        <v>1969</v>
      </c>
      <c r="L46" s="3272" t="s">
        <v>2032</v>
      </c>
      <c r="M46" s="3273">
        <v>0</v>
      </c>
      <c r="N46" s="3273">
        <v>102</v>
      </c>
      <c r="O46" s="3273">
        <v>204</v>
      </c>
      <c r="P46" s="3402" t="s">
        <v>1967</v>
      </c>
      <c r="Q46" s="3272" t="s">
        <v>2050</v>
      </c>
      <c r="R46" s="3273">
        <v>51</v>
      </c>
      <c r="S46" s="3273">
        <v>51</v>
      </c>
      <c r="T46" s="3273">
        <v>0</v>
      </c>
      <c r="V46" s="3403"/>
      <c r="W46" s="3292" t="s">
        <v>11959</v>
      </c>
      <c r="X46" s="3293" t="s">
        <v>11960</v>
      </c>
      <c r="Y46" s="3294">
        <v>108</v>
      </c>
      <c r="Z46" s="3295">
        <v>123</v>
      </c>
      <c r="AA46" s="3296">
        <v>139</v>
      </c>
      <c r="AB46"/>
      <c r="AC46" s="3404"/>
      <c r="AD46" s="3282" t="s">
        <v>11961</v>
      </c>
      <c r="AE46" s="3283" t="s">
        <v>11962</v>
      </c>
      <c r="AF46" s="3284">
        <v>18</v>
      </c>
      <c r="AG46" s="3285">
        <v>18</v>
      </c>
      <c r="AH46" s="3286">
        <v>18</v>
      </c>
      <c r="AI46"/>
      <c r="AJ46" s="3405"/>
      <c r="AK46" s="3299" t="s">
        <v>11963</v>
      </c>
      <c r="AL46" s="3283" t="s">
        <v>11964</v>
      </c>
      <c r="AM46" s="3284">
        <v>190</v>
      </c>
      <c r="AN46" s="3285">
        <v>138</v>
      </c>
      <c r="AO46" s="3286">
        <v>61</v>
      </c>
      <c r="AQ46" s="2730">
        <v>1</v>
      </c>
    </row>
    <row r="47" spans="2:43" ht="21" customHeight="1">
      <c r="K47" s="3406" t="s">
        <v>1973</v>
      </c>
      <c r="L47" s="3272" t="s">
        <v>2033</v>
      </c>
      <c r="M47" s="3273">
        <v>204</v>
      </c>
      <c r="N47" s="3273">
        <v>204</v>
      </c>
      <c r="O47" s="3273">
        <v>255</v>
      </c>
      <c r="P47" s="3407" t="s">
        <v>1971</v>
      </c>
      <c r="Q47" s="3272" t="s">
        <v>2051</v>
      </c>
      <c r="R47" s="3273">
        <v>153</v>
      </c>
      <c r="S47" s="3273">
        <v>51</v>
      </c>
      <c r="T47" s="3273">
        <v>0</v>
      </c>
      <c r="V47" s="3408"/>
      <c r="W47" s="3313" t="s">
        <v>11965</v>
      </c>
      <c r="X47" s="3293" t="s">
        <v>11966</v>
      </c>
      <c r="Y47" s="3294">
        <v>103</v>
      </c>
      <c r="Z47" s="3295">
        <v>113</v>
      </c>
      <c r="AA47" s="3296">
        <v>121</v>
      </c>
      <c r="AB47"/>
      <c r="AC47" s="3409"/>
      <c r="AD47" s="3282" t="s">
        <v>11967</v>
      </c>
      <c r="AE47" s="3283" t="s">
        <v>11968</v>
      </c>
      <c r="AF47" s="3284">
        <v>15</v>
      </c>
      <c r="AG47" s="3285">
        <v>15</v>
      </c>
      <c r="AH47" s="3286">
        <v>15</v>
      </c>
      <c r="AI47"/>
      <c r="AJ47" s="3410"/>
      <c r="AK47" s="3288" t="s">
        <v>11969</v>
      </c>
      <c r="AL47" s="3283" t="s">
        <v>11970</v>
      </c>
      <c r="AM47" s="3284">
        <v>184</v>
      </c>
      <c r="AN47" s="3285">
        <v>134</v>
      </c>
      <c r="AO47" s="3286">
        <v>11</v>
      </c>
      <c r="AQ47" s="2730">
        <v>1</v>
      </c>
    </row>
    <row r="48" spans="2:43" ht="21" customHeight="1">
      <c r="K48" s="3343" t="s">
        <v>1978</v>
      </c>
      <c r="L48" s="3272" t="s">
        <v>2021</v>
      </c>
      <c r="M48" s="3273">
        <v>0</v>
      </c>
      <c r="N48" s="3273">
        <v>0</v>
      </c>
      <c r="O48" s="3273">
        <v>128</v>
      </c>
      <c r="P48" s="3377" t="s">
        <v>1975</v>
      </c>
      <c r="Q48" s="3272" t="s">
        <v>2028</v>
      </c>
      <c r="R48" s="3273">
        <v>153</v>
      </c>
      <c r="S48" s="3273">
        <v>51</v>
      </c>
      <c r="T48" s="3273">
        <v>102</v>
      </c>
      <c r="V48" s="3411"/>
      <c r="W48" s="3292" t="s">
        <v>11971</v>
      </c>
      <c r="X48" s="3293" t="s">
        <v>11972</v>
      </c>
      <c r="Y48" s="3294">
        <v>74</v>
      </c>
      <c r="Z48" s="3295">
        <v>112</v>
      </c>
      <c r="AA48" s="3296">
        <v>139</v>
      </c>
      <c r="AB48"/>
      <c r="AC48" s="3412"/>
      <c r="AD48" s="3282" t="s">
        <v>11973</v>
      </c>
      <c r="AE48" s="3283" t="s">
        <v>11974</v>
      </c>
      <c r="AF48" s="3284">
        <v>13</v>
      </c>
      <c r="AG48" s="3285">
        <v>13</v>
      </c>
      <c r="AH48" s="3286">
        <v>13</v>
      </c>
      <c r="AI48"/>
      <c r="AJ48" s="3413"/>
      <c r="AK48" s="3288" t="s">
        <v>11975</v>
      </c>
      <c r="AL48" s="3283" t="s">
        <v>11976</v>
      </c>
      <c r="AM48" s="3284">
        <v>166</v>
      </c>
      <c r="AN48" s="3285">
        <v>125</v>
      </c>
      <c r="AO48" s="3286">
        <v>61</v>
      </c>
      <c r="AQ48" s="2730">
        <v>1</v>
      </c>
    </row>
    <row r="49" spans="1:43" ht="21" customHeight="1">
      <c r="K49" s="3414" t="s">
        <v>1983</v>
      </c>
      <c r="L49" s="3272" t="s">
        <v>2013</v>
      </c>
      <c r="M49" s="3273">
        <v>255</v>
      </c>
      <c r="N49" s="3273">
        <v>0</v>
      </c>
      <c r="O49" s="3273">
        <v>255</v>
      </c>
      <c r="P49" s="3415" t="s">
        <v>1980</v>
      </c>
      <c r="Q49" s="3272" t="s">
        <v>2052</v>
      </c>
      <c r="R49" s="3273">
        <v>51</v>
      </c>
      <c r="S49" s="3273">
        <v>51</v>
      </c>
      <c r="T49" s="3273">
        <v>153</v>
      </c>
      <c r="V49" s="3416"/>
      <c r="W49" s="3292" t="s">
        <v>11977</v>
      </c>
      <c r="X49" s="3293" t="s">
        <v>11978</v>
      </c>
      <c r="Y49" s="3294">
        <v>35</v>
      </c>
      <c r="Z49" s="3295">
        <v>107</v>
      </c>
      <c r="AA49" s="3296">
        <v>142</v>
      </c>
      <c r="AB49"/>
      <c r="AC49" s="3417"/>
      <c r="AD49" s="3282" t="s">
        <v>11979</v>
      </c>
      <c r="AE49" s="3283" t="s">
        <v>11980</v>
      </c>
      <c r="AF49" s="3284">
        <v>10</v>
      </c>
      <c r="AG49" s="3285">
        <v>10</v>
      </c>
      <c r="AH49" s="3286">
        <v>10</v>
      </c>
      <c r="AI49"/>
      <c r="AJ49" s="3418"/>
      <c r="AK49" s="3299" t="s">
        <v>11981</v>
      </c>
      <c r="AL49" s="3283" t="s">
        <v>11982</v>
      </c>
      <c r="AM49" s="3284">
        <v>148</v>
      </c>
      <c r="AN49" s="3285">
        <v>127</v>
      </c>
      <c r="AO49" s="3286">
        <v>96</v>
      </c>
      <c r="AQ49" s="2730">
        <v>1</v>
      </c>
    </row>
    <row r="50" spans="1:43" ht="21" customHeight="1">
      <c r="K50" s="3419" t="s">
        <v>1988</v>
      </c>
      <c r="L50" s="3272" t="s">
        <v>2011</v>
      </c>
      <c r="M50" s="3273">
        <v>255</v>
      </c>
      <c r="N50" s="3273">
        <v>255</v>
      </c>
      <c r="O50" s="3273">
        <v>0</v>
      </c>
      <c r="P50" s="3420" t="s">
        <v>1985</v>
      </c>
      <c r="Q50" s="3272" t="s">
        <v>2053</v>
      </c>
      <c r="R50" s="3273">
        <v>51</v>
      </c>
      <c r="S50" s="3273">
        <v>51</v>
      </c>
      <c r="T50" s="3273">
        <v>51</v>
      </c>
      <c r="V50" s="3421"/>
      <c r="W50" s="3313" t="s">
        <v>11983</v>
      </c>
      <c r="X50" s="3293" t="s">
        <v>11984</v>
      </c>
      <c r="Y50" s="3294">
        <v>83</v>
      </c>
      <c r="Z50" s="3295">
        <v>104</v>
      </c>
      <c r="AA50" s="3296">
        <v>120</v>
      </c>
      <c r="AB50"/>
      <c r="AC50" s="3422"/>
      <c r="AD50" s="3282" t="s">
        <v>11985</v>
      </c>
      <c r="AE50" s="3283" t="s">
        <v>11986</v>
      </c>
      <c r="AF50" s="3284">
        <v>8</v>
      </c>
      <c r="AG50" s="3285">
        <v>8</v>
      </c>
      <c r="AH50" s="3286">
        <v>8</v>
      </c>
      <c r="AI50"/>
      <c r="AJ50" s="3423"/>
      <c r="AK50" s="3299" t="s">
        <v>11987</v>
      </c>
      <c r="AL50" s="3283" t="s">
        <v>11988</v>
      </c>
      <c r="AM50" s="3284">
        <v>150</v>
      </c>
      <c r="AN50" s="3285">
        <v>124</v>
      </c>
      <c r="AO50" s="3286">
        <v>92</v>
      </c>
      <c r="AQ50" s="2730">
        <v>1</v>
      </c>
    </row>
    <row r="51" spans="1:43" ht="21" customHeight="1">
      <c r="K51" s="3424" t="s">
        <v>1992</v>
      </c>
      <c r="L51" s="3272" t="s">
        <v>2016</v>
      </c>
      <c r="M51" s="3273">
        <v>0</v>
      </c>
      <c r="N51" s="3273">
        <v>255</v>
      </c>
      <c r="O51" s="3273">
        <v>255</v>
      </c>
      <c r="V51" s="3425"/>
      <c r="W51" s="3292" t="s">
        <v>11989</v>
      </c>
      <c r="X51" s="3293" t="s">
        <v>11990</v>
      </c>
      <c r="Y51" s="3294">
        <v>0</v>
      </c>
      <c r="Z51" s="3295">
        <v>104</v>
      </c>
      <c r="AA51" s="3296">
        <v>139</v>
      </c>
      <c r="AB51"/>
      <c r="AC51" s="3426"/>
      <c r="AD51" s="3282" t="s">
        <v>11991</v>
      </c>
      <c r="AE51" s="3283" t="s">
        <v>11992</v>
      </c>
      <c r="AF51" s="3284">
        <v>5</v>
      </c>
      <c r="AG51" s="3285">
        <v>5</v>
      </c>
      <c r="AH51" s="3286">
        <v>5</v>
      </c>
      <c r="AI51"/>
      <c r="AJ51" s="3427"/>
      <c r="AK51" s="3288" t="s">
        <v>11993</v>
      </c>
      <c r="AL51" s="3283" t="s">
        <v>11994</v>
      </c>
      <c r="AM51" s="3284">
        <v>139</v>
      </c>
      <c r="AN51" s="3285">
        <v>125</v>
      </c>
      <c r="AO51" s="3286">
        <v>107</v>
      </c>
      <c r="AQ51" s="2730">
        <v>1</v>
      </c>
    </row>
    <row r="52" spans="1:43" ht="21" customHeight="1">
      <c r="V52" s="3428"/>
      <c r="W52" s="3313" t="s">
        <v>11995</v>
      </c>
      <c r="X52" s="3293" t="s">
        <v>11996</v>
      </c>
      <c r="Y52" s="3294">
        <v>81</v>
      </c>
      <c r="Z52" s="3295">
        <v>88</v>
      </c>
      <c r="AA52" s="3296">
        <v>94</v>
      </c>
      <c r="AB52"/>
      <c r="AC52" s="3429"/>
      <c r="AD52" s="3282" t="s">
        <v>11997</v>
      </c>
      <c r="AE52" s="3283" t="s">
        <v>11998</v>
      </c>
      <c r="AF52" s="3284">
        <v>3</v>
      </c>
      <c r="AG52" s="3285">
        <v>3</v>
      </c>
      <c r="AH52" s="3286">
        <v>3</v>
      </c>
      <c r="AI52"/>
      <c r="AJ52" s="3430"/>
      <c r="AK52" s="3288" t="s">
        <v>11999</v>
      </c>
      <c r="AL52" s="3283" t="s">
        <v>12000</v>
      </c>
      <c r="AM52" s="3284">
        <v>139</v>
      </c>
      <c r="AN52" s="3285">
        <v>121</v>
      </c>
      <c r="AO52" s="3286">
        <v>94</v>
      </c>
      <c r="AQ52" s="2730">
        <v>1</v>
      </c>
    </row>
    <row r="53" spans="1:43" ht="21" customHeight="1">
      <c r="K53" s="420" t="s">
        <v>12001</v>
      </c>
      <c r="L53"/>
      <c r="M53"/>
      <c r="N53"/>
      <c r="O53"/>
      <c r="P53"/>
      <c r="Q53"/>
      <c r="R53"/>
      <c r="S53"/>
      <c r="V53" s="3431"/>
      <c r="W53" s="3313" t="s">
        <v>12002</v>
      </c>
      <c r="X53" s="3293" t="s">
        <v>12003</v>
      </c>
      <c r="Y53" s="3294">
        <v>36</v>
      </c>
      <c r="Z53" s="3295">
        <v>68</v>
      </c>
      <c r="AA53" s="3296">
        <v>92</v>
      </c>
      <c r="AB53"/>
      <c r="AC53" s="3432"/>
      <c r="AD53" s="3347" t="s">
        <v>12004</v>
      </c>
      <c r="AE53" s="3283" t="s">
        <v>2010</v>
      </c>
      <c r="AF53" s="3284">
        <v>255</v>
      </c>
      <c r="AG53" s="3285">
        <v>255</v>
      </c>
      <c r="AH53" s="3286">
        <v>0</v>
      </c>
      <c r="AI53"/>
      <c r="AJ53" s="3433"/>
      <c r="AK53" s="3288" t="s">
        <v>12005</v>
      </c>
      <c r="AL53" s="3283" t="s">
        <v>12006</v>
      </c>
      <c r="AM53" s="3284">
        <v>139</v>
      </c>
      <c r="AN53" s="3285">
        <v>115</v>
      </c>
      <c r="AO53" s="3286">
        <v>85</v>
      </c>
      <c r="AQ53" s="2730">
        <v>1</v>
      </c>
    </row>
    <row r="54" spans="1:43" ht="21" customHeight="1">
      <c r="K54" s="3434" t="s">
        <v>12007</v>
      </c>
      <c r="L54"/>
      <c r="M54"/>
      <c r="N54"/>
      <c r="O54"/>
      <c r="P54"/>
      <c r="Q54"/>
      <c r="R54"/>
      <c r="S54"/>
      <c r="V54" s="3435"/>
      <c r="W54" s="3313" t="s">
        <v>12008</v>
      </c>
      <c r="X54" s="3293" t="s">
        <v>12009</v>
      </c>
      <c r="Y54" s="3294">
        <v>54</v>
      </c>
      <c r="Z54" s="3295">
        <v>69</v>
      </c>
      <c r="AA54" s="3296">
        <v>79</v>
      </c>
      <c r="AB54"/>
      <c r="AC54" s="3436"/>
      <c r="AD54" s="3347" t="s">
        <v>12010</v>
      </c>
      <c r="AE54" s="3283" t="s">
        <v>12011</v>
      </c>
      <c r="AF54" s="3284">
        <v>234</v>
      </c>
      <c r="AG54" s="3285">
        <v>230</v>
      </c>
      <c r="AH54" s="3286">
        <v>121</v>
      </c>
      <c r="AI54"/>
      <c r="AJ54" s="3437"/>
      <c r="AK54" s="3299" t="s">
        <v>12012</v>
      </c>
      <c r="AL54" s="3283" t="s">
        <v>12013</v>
      </c>
      <c r="AM54" s="3284">
        <v>128</v>
      </c>
      <c r="AN54" s="3285">
        <v>109</v>
      </c>
      <c r="AO54" s="3286">
        <v>90</v>
      </c>
      <c r="AQ54" s="2730">
        <v>1</v>
      </c>
    </row>
    <row r="55" spans="1:43" ht="21" customHeight="1">
      <c r="K55"/>
      <c r="L55"/>
      <c r="M55"/>
      <c r="N55"/>
      <c r="O55"/>
      <c r="P55"/>
      <c r="Q55"/>
      <c r="R55"/>
      <c r="S55"/>
      <c r="V55" s="3438"/>
      <c r="W55" s="3313" t="s">
        <v>12014</v>
      </c>
      <c r="X55" s="3293" t="s">
        <v>12015</v>
      </c>
      <c r="Y55" s="3294">
        <v>32</v>
      </c>
      <c r="Z55" s="3295">
        <v>40</v>
      </c>
      <c r="AA55" s="3296">
        <v>48</v>
      </c>
      <c r="AB55"/>
      <c r="AC55" s="3439"/>
      <c r="AD55" s="3347" t="s">
        <v>12016</v>
      </c>
      <c r="AE55" s="3283" t="s">
        <v>12017</v>
      </c>
      <c r="AF55" s="3284">
        <v>247</v>
      </c>
      <c r="AG55" s="3285">
        <v>255</v>
      </c>
      <c r="AH55" s="3286">
        <v>60</v>
      </c>
      <c r="AI55"/>
      <c r="AJ55" s="3440"/>
      <c r="AK55" s="3299" t="s">
        <v>12018</v>
      </c>
      <c r="AL55" s="3283" t="s">
        <v>12019</v>
      </c>
      <c r="AM55" s="3284">
        <v>139</v>
      </c>
      <c r="AN55" s="3285">
        <v>108</v>
      </c>
      <c r="AO55" s="3286">
        <v>66</v>
      </c>
      <c r="AQ55" s="2730">
        <v>1</v>
      </c>
    </row>
    <row r="56" spans="1:43" ht="21" customHeight="1">
      <c r="K56" s="3441" t="s">
        <v>12020</v>
      </c>
      <c r="L56" s="3442" t="s">
        <v>12021</v>
      </c>
      <c r="M56" s="3443" t="s">
        <v>12022</v>
      </c>
      <c r="N56" s="3444" t="s">
        <v>12023</v>
      </c>
      <c r="O56" s="3445" t="s">
        <v>12024</v>
      </c>
      <c r="P56" s="3446" t="s">
        <v>12025</v>
      </c>
      <c r="Q56" s="3447" t="s">
        <v>12026</v>
      </c>
      <c r="R56" s="3448" t="s">
        <v>12027</v>
      </c>
      <c r="S56" s="3449" t="s">
        <v>12028</v>
      </c>
      <c r="V56" s="3450"/>
      <c r="W56" s="3313" t="s">
        <v>12029</v>
      </c>
      <c r="X56" s="3293" t="s">
        <v>12030</v>
      </c>
      <c r="Y56" s="3294">
        <v>32</v>
      </c>
      <c r="Z56" s="3295">
        <v>36</v>
      </c>
      <c r="AA56" s="3296">
        <v>40</v>
      </c>
      <c r="AB56"/>
      <c r="AC56" s="3451"/>
      <c r="AD56" s="3282" t="s">
        <v>12031</v>
      </c>
      <c r="AE56" s="3283" t="s">
        <v>12032</v>
      </c>
      <c r="AF56" s="3284">
        <v>205</v>
      </c>
      <c r="AG56" s="3285">
        <v>205</v>
      </c>
      <c r="AH56" s="3286">
        <v>180</v>
      </c>
      <c r="AI56"/>
      <c r="AJ56" s="3452"/>
      <c r="AK56" s="3299" t="s">
        <v>12033</v>
      </c>
      <c r="AL56" s="3283" t="s">
        <v>12034</v>
      </c>
      <c r="AM56" s="3284">
        <v>126</v>
      </c>
      <c r="AN56" s="3285">
        <v>109</v>
      </c>
      <c r="AO56" s="3286">
        <v>90</v>
      </c>
      <c r="AQ56" s="2730">
        <v>1</v>
      </c>
    </row>
    <row r="57" spans="1:43" ht="21" customHeight="1">
      <c r="K57" s="3453" t="s">
        <v>12035</v>
      </c>
      <c r="L57" s="3454" t="s">
        <v>12036</v>
      </c>
      <c r="M57" s="3455" t="s">
        <v>12037</v>
      </c>
      <c r="N57" s="3456" t="s">
        <v>12038</v>
      </c>
      <c r="O57" s="3457" t="s">
        <v>12039</v>
      </c>
      <c r="P57" s="3458" t="s">
        <v>12040</v>
      </c>
      <c r="Q57" s="3459" t="s">
        <v>12041</v>
      </c>
      <c r="R57" s="3460" t="s">
        <v>12042</v>
      </c>
      <c r="S57" s="3461" t="s">
        <v>12043</v>
      </c>
      <c r="V57" s="3462"/>
      <c r="W57" s="3292" t="s">
        <v>12044</v>
      </c>
      <c r="X57" s="3293" t="s">
        <v>12045</v>
      </c>
      <c r="Y57" s="3294">
        <v>99</v>
      </c>
      <c r="Z57" s="3295">
        <v>184</v>
      </c>
      <c r="AA57" s="3296">
        <v>255</v>
      </c>
      <c r="AB57"/>
      <c r="AC57" s="3463"/>
      <c r="AD57" s="3347" t="s">
        <v>12046</v>
      </c>
      <c r="AE57" s="3283" t="s">
        <v>12047</v>
      </c>
      <c r="AF57" s="3284">
        <v>230</v>
      </c>
      <c r="AG57" s="3285">
        <v>230</v>
      </c>
      <c r="AH57" s="3286">
        <v>151</v>
      </c>
      <c r="AI57"/>
      <c r="AJ57" s="3464"/>
      <c r="AK57" s="3299" t="s">
        <v>12048</v>
      </c>
      <c r="AL57" s="3283" t="s">
        <v>12049</v>
      </c>
      <c r="AM57" s="3284">
        <v>150</v>
      </c>
      <c r="AN57" s="3285">
        <v>113</v>
      </c>
      <c r="AO57" s="3286">
        <v>23</v>
      </c>
      <c r="AQ57" s="2730">
        <v>1</v>
      </c>
    </row>
    <row r="58" spans="1:43" ht="21" customHeight="1">
      <c r="K58" s="3465" t="s">
        <v>12050</v>
      </c>
      <c r="L58" s="3466" t="s">
        <v>12051</v>
      </c>
      <c r="M58" s="3467" t="s">
        <v>12052</v>
      </c>
      <c r="N58" s="3468" t="s">
        <v>12053</v>
      </c>
      <c r="O58" s="3469" t="s">
        <v>12054</v>
      </c>
      <c r="P58" s="3470" t="s">
        <v>12055</v>
      </c>
      <c r="Q58" s="3471" t="s">
        <v>12056</v>
      </c>
      <c r="R58" s="3472" t="s">
        <v>12057</v>
      </c>
      <c r="S58" s="3473" t="s">
        <v>12058</v>
      </c>
      <c r="V58" s="3474"/>
      <c r="W58" s="3292" t="s">
        <v>12059</v>
      </c>
      <c r="X58" s="3293" t="s">
        <v>12060</v>
      </c>
      <c r="Y58" s="3294">
        <v>176</v>
      </c>
      <c r="Z58" s="3295">
        <v>196</v>
      </c>
      <c r="AA58" s="3296">
        <v>222</v>
      </c>
      <c r="AB58"/>
      <c r="AC58" s="3475"/>
      <c r="AD58" s="3347" t="s">
        <v>12061</v>
      </c>
      <c r="AE58" s="3283" t="s">
        <v>12062</v>
      </c>
      <c r="AF58" s="3284">
        <v>254</v>
      </c>
      <c r="AG58" s="3285">
        <v>248</v>
      </c>
      <c r="AH58" s="3286">
        <v>108</v>
      </c>
      <c r="AI58"/>
      <c r="AJ58" s="3476"/>
      <c r="AK58" s="3299" t="s">
        <v>12063</v>
      </c>
      <c r="AL58" s="3283" t="s">
        <v>12064</v>
      </c>
      <c r="AM58" s="3284">
        <v>133</v>
      </c>
      <c r="AN58" s="3285">
        <v>109</v>
      </c>
      <c r="AO58" s="3286">
        <v>77</v>
      </c>
      <c r="AQ58" s="2730">
        <v>1</v>
      </c>
    </row>
    <row r="59" spans="1:43" ht="21" customHeight="1">
      <c r="K59" s="3477" t="s">
        <v>12065</v>
      </c>
      <c r="L59" s="3478" t="s">
        <v>12066</v>
      </c>
      <c r="M59" s="3479" t="s">
        <v>12067</v>
      </c>
      <c r="N59" s="3480" t="s">
        <v>12068</v>
      </c>
      <c r="O59" s="3481" t="s">
        <v>12069</v>
      </c>
      <c r="P59" s="3482" t="s">
        <v>12070</v>
      </c>
      <c r="Q59" s="3483" t="s">
        <v>12071</v>
      </c>
      <c r="R59" s="3484" t="s">
        <v>12072</v>
      </c>
      <c r="S59" s="3485" t="s">
        <v>12073</v>
      </c>
      <c r="V59" s="3486"/>
      <c r="W59" s="3313" t="s">
        <v>12074</v>
      </c>
      <c r="X59" s="3293" t="s">
        <v>12075</v>
      </c>
      <c r="Y59" s="3294">
        <v>119</v>
      </c>
      <c r="Z59" s="3295">
        <v>181</v>
      </c>
      <c r="AA59" s="3296">
        <v>254</v>
      </c>
      <c r="AB59"/>
      <c r="AC59" s="3487"/>
      <c r="AD59" s="3347" t="s">
        <v>12076</v>
      </c>
      <c r="AE59" s="3283" t="s">
        <v>12077</v>
      </c>
      <c r="AF59" s="3284">
        <v>255</v>
      </c>
      <c r="AG59" s="3285">
        <v>255</v>
      </c>
      <c r="AH59" s="3286">
        <v>107</v>
      </c>
      <c r="AI59"/>
      <c r="AJ59" s="3488"/>
      <c r="AK59" s="3299" t="s">
        <v>12078</v>
      </c>
      <c r="AL59" s="3283" t="s">
        <v>12079</v>
      </c>
      <c r="AM59" s="3284">
        <v>146</v>
      </c>
      <c r="AN59" s="3285">
        <v>109</v>
      </c>
      <c r="AO59" s="3286">
        <v>39</v>
      </c>
      <c r="AQ59" s="2730">
        <v>1</v>
      </c>
    </row>
    <row r="60" spans="1:43" ht="21" customHeight="1">
      <c r="K60" s="3489" t="s">
        <v>12080</v>
      </c>
      <c r="L60" s="3490" t="s">
        <v>12081</v>
      </c>
      <c r="M60" s="3491" t="s">
        <v>12082</v>
      </c>
      <c r="N60" s="3492" t="s">
        <v>12083</v>
      </c>
      <c r="O60" s="3493" t="s">
        <v>12084</v>
      </c>
      <c r="P60" s="3494" t="s">
        <v>12085</v>
      </c>
      <c r="Q60" s="3495" t="s">
        <v>12086</v>
      </c>
      <c r="R60" s="3496" t="s">
        <v>12087</v>
      </c>
      <c r="S60" s="3497" t="s">
        <v>12088</v>
      </c>
      <c r="V60" s="3498"/>
      <c r="W60" s="3292"/>
      <c r="X60" s="3293" t="s">
        <v>12089</v>
      </c>
      <c r="Y60" s="3294">
        <v>153</v>
      </c>
      <c r="Z60" s="3295">
        <v>204</v>
      </c>
      <c r="AA60" s="3296">
        <v>255</v>
      </c>
      <c r="AB60"/>
      <c r="AC60" s="3499"/>
      <c r="AD60" s="3282" t="s">
        <v>12090</v>
      </c>
      <c r="AE60" s="3283" t="s">
        <v>12091</v>
      </c>
      <c r="AF60" s="3284">
        <v>205</v>
      </c>
      <c r="AG60" s="3285">
        <v>205</v>
      </c>
      <c r="AH60" s="3286">
        <v>193</v>
      </c>
      <c r="AI60"/>
      <c r="AJ60" s="3500"/>
      <c r="AK60" s="3288" t="s">
        <v>12092</v>
      </c>
      <c r="AL60" s="3283" t="s">
        <v>12093</v>
      </c>
      <c r="AM60" s="3284">
        <v>142</v>
      </c>
      <c r="AN60" s="3285">
        <v>107</v>
      </c>
      <c r="AO60" s="3286">
        <v>35</v>
      </c>
      <c r="AQ60" s="2730">
        <v>1</v>
      </c>
    </row>
    <row r="61" spans="1:43" ht="21" customHeight="1">
      <c r="A61" s="3170"/>
      <c r="K61" s="3501" t="s">
        <v>12094</v>
      </c>
      <c r="L61" s="3502" t="s">
        <v>12095</v>
      </c>
      <c r="M61" s="3503" t="s">
        <v>12096</v>
      </c>
      <c r="N61" s="3504" t="s">
        <v>12097</v>
      </c>
      <c r="O61" s="3505" t="s">
        <v>12098</v>
      </c>
      <c r="P61" s="3506" t="s">
        <v>12099</v>
      </c>
      <c r="Q61" s="3507" t="s">
        <v>12100</v>
      </c>
      <c r="R61" s="3508" t="s">
        <v>12101</v>
      </c>
      <c r="S61" s="3509" t="s">
        <v>12102</v>
      </c>
      <c r="V61" s="3510"/>
      <c r="W61" s="3292" t="s">
        <v>12103</v>
      </c>
      <c r="X61" s="3293" t="s">
        <v>12104</v>
      </c>
      <c r="Y61" s="3294">
        <v>188</v>
      </c>
      <c r="Z61" s="3295">
        <v>210</v>
      </c>
      <c r="AA61" s="3296">
        <v>238</v>
      </c>
      <c r="AB61"/>
      <c r="AC61" s="3511"/>
      <c r="AD61" s="3347" t="s">
        <v>12105</v>
      </c>
      <c r="AE61" s="3283" t="s">
        <v>12106</v>
      </c>
      <c r="AF61" s="3284">
        <v>235</v>
      </c>
      <c r="AG61" s="3285">
        <v>232</v>
      </c>
      <c r="AH61" s="3286">
        <v>164</v>
      </c>
      <c r="AI61"/>
      <c r="AJ61" s="3512"/>
      <c r="AK61" s="3299" t="s">
        <v>12107</v>
      </c>
      <c r="AL61" s="3283" t="s">
        <v>12108</v>
      </c>
      <c r="AM61" s="3284">
        <v>130</v>
      </c>
      <c r="AN61" s="3285">
        <v>102</v>
      </c>
      <c r="AO61" s="3286">
        <v>68</v>
      </c>
      <c r="AP61" s="3513"/>
      <c r="AQ61" s="2730">
        <v>1</v>
      </c>
    </row>
    <row r="62" spans="1:43" ht="21" customHeight="1">
      <c r="A62" s="3170"/>
      <c r="K62" s="3514" t="s">
        <v>12109</v>
      </c>
      <c r="L62" s="3515" t="s">
        <v>12110</v>
      </c>
      <c r="M62" s="3516" t="s">
        <v>12111</v>
      </c>
      <c r="N62" s="3517" t="s">
        <v>12112</v>
      </c>
      <c r="O62" s="3518" t="s">
        <v>12113</v>
      </c>
      <c r="P62" s="3519" t="s">
        <v>12114</v>
      </c>
      <c r="Q62" s="3520" t="s">
        <v>12115</v>
      </c>
      <c r="R62" s="3521" t="s">
        <v>12116</v>
      </c>
      <c r="S62" s="3522" t="s">
        <v>12117</v>
      </c>
      <c r="V62" s="3523"/>
      <c r="W62" s="3292" t="s">
        <v>12118</v>
      </c>
      <c r="X62" s="3293" t="s">
        <v>12119</v>
      </c>
      <c r="Y62" s="3294">
        <v>202</v>
      </c>
      <c r="Z62" s="3295">
        <v>225</v>
      </c>
      <c r="AA62" s="3296">
        <v>255</v>
      </c>
      <c r="AB62"/>
      <c r="AC62" s="3524"/>
      <c r="AD62" s="3282" t="s">
        <v>12120</v>
      </c>
      <c r="AE62" s="3283" t="s">
        <v>12121</v>
      </c>
      <c r="AF62" s="3284">
        <v>216</v>
      </c>
      <c r="AG62" s="3285">
        <v>216</v>
      </c>
      <c r="AH62" s="3286">
        <v>191</v>
      </c>
      <c r="AI62"/>
      <c r="AJ62" s="3525"/>
      <c r="AK62" s="3288" t="s">
        <v>12122</v>
      </c>
      <c r="AL62" s="3283" t="s">
        <v>12123</v>
      </c>
      <c r="AM62" s="3284">
        <v>139</v>
      </c>
      <c r="AN62" s="3285">
        <v>105</v>
      </c>
      <c r="AO62" s="3286">
        <v>20</v>
      </c>
      <c r="AQ62" s="2730">
        <v>1</v>
      </c>
    </row>
    <row r="63" spans="1:43" ht="21" customHeight="1">
      <c r="A63" s="3170"/>
      <c r="K63" s="3526" t="s">
        <v>12124</v>
      </c>
      <c r="L63" s="3527" t="s">
        <v>12125</v>
      </c>
      <c r="M63" s="3528" t="s">
        <v>12126</v>
      </c>
      <c r="N63" s="3529" t="s">
        <v>12127</v>
      </c>
      <c r="O63" s="3530" t="s">
        <v>12128</v>
      </c>
      <c r="P63" s="3531" t="s">
        <v>12129</v>
      </c>
      <c r="Q63" s="3532" t="s">
        <v>12130</v>
      </c>
      <c r="R63" s="3533" t="s">
        <v>12131</v>
      </c>
      <c r="S63" s="3534" t="s">
        <v>12132</v>
      </c>
      <c r="V63" s="3535"/>
      <c r="W63" s="3292" t="s">
        <v>12133</v>
      </c>
      <c r="X63" s="3293" t="s">
        <v>12134</v>
      </c>
      <c r="Y63" s="3294">
        <v>162</v>
      </c>
      <c r="Z63" s="3295">
        <v>181</v>
      </c>
      <c r="AA63" s="3296">
        <v>205</v>
      </c>
      <c r="AB63"/>
      <c r="AC63" s="3536"/>
      <c r="AD63" s="3282" t="s">
        <v>12135</v>
      </c>
      <c r="AE63" s="3283" t="s">
        <v>12136</v>
      </c>
      <c r="AF63" s="3284">
        <v>234</v>
      </c>
      <c r="AG63" s="3285">
        <v>234</v>
      </c>
      <c r="AH63" s="3286">
        <v>174</v>
      </c>
      <c r="AI63"/>
      <c r="AJ63" s="3537"/>
      <c r="AK63" s="3288" t="s">
        <v>12137</v>
      </c>
      <c r="AL63" s="3283" t="s">
        <v>12138</v>
      </c>
      <c r="AM63" s="3284">
        <v>139</v>
      </c>
      <c r="AN63" s="3285">
        <v>101</v>
      </c>
      <c r="AO63" s="3286">
        <v>8</v>
      </c>
      <c r="AQ63" s="2730">
        <v>1</v>
      </c>
    </row>
    <row r="64" spans="1:43" ht="21" customHeight="1">
      <c r="A64" s="3170"/>
      <c r="K64" s="3538" t="s">
        <v>12139</v>
      </c>
      <c r="L64" s="3539" t="s">
        <v>12140</v>
      </c>
      <c r="M64" s="3540" t="s">
        <v>12141</v>
      </c>
      <c r="N64" s="3541" t="s">
        <v>12142</v>
      </c>
      <c r="O64" s="3542" t="s">
        <v>12143</v>
      </c>
      <c r="P64" s="3543" t="s">
        <v>12144</v>
      </c>
      <c r="Q64" s="3544" t="s">
        <v>12145</v>
      </c>
      <c r="R64" s="3545" t="s">
        <v>12146</v>
      </c>
      <c r="S64" s="3546" t="s">
        <v>12147</v>
      </c>
      <c r="V64" s="3547"/>
      <c r="W64" s="3292" t="s">
        <v>12148</v>
      </c>
      <c r="X64" s="3293" t="s">
        <v>12149</v>
      </c>
      <c r="Y64" s="3294">
        <v>92</v>
      </c>
      <c r="Z64" s="3295">
        <v>172</v>
      </c>
      <c r="AA64" s="3296">
        <v>238</v>
      </c>
      <c r="AB64"/>
      <c r="AC64" s="3548"/>
      <c r="AD64" s="3282" t="s">
        <v>12150</v>
      </c>
      <c r="AE64" s="3283" t="s">
        <v>12151</v>
      </c>
      <c r="AF64" s="3284">
        <v>238</v>
      </c>
      <c r="AG64" s="3285">
        <v>238</v>
      </c>
      <c r="AH64" s="3286">
        <v>209</v>
      </c>
      <c r="AI64"/>
      <c r="AJ64" s="3549"/>
      <c r="AK64" s="3299" t="s">
        <v>12152</v>
      </c>
      <c r="AL64" s="3283" t="s">
        <v>12153</v>
      </c>
      <c r="AM64" s="3284">
        <v>120</v>
      </c>
      <c r="AN64" s="3285">
        <v>94</v>
      </c>
      <c r="AO64" s="3286">
        <v>47</v>
      </c>
      <c r="AQ64" s="2730">
        <v>1</v>
      </c>
    </row>
    <row r="65" spans="1:43" ht="21" customHeight="1">
      <c r="A65" s="3170"/>
      <c r="K65" s="3550" t="s">
        <v>12154</v>
      </c>
      <c r="L65" s="3551" t="s">
        <v>12155</v>
      </c>
      <c r="M65" s="3552" t="s">
        <v>12156</v>
      </c>
      <c r="N65" s="3553" t="s">
        <v>12157</v>
      </c>
      <c r="O65" s="3554" t="s">
        <v>12158</v>
      </c>
      <c r="P65" s="3555" t="s">
        <v>12159</v>
      </c>
      <c r="Q65" s="3556" t="s">
        <v>12160</v>
      </c>
      <c r="R65" s="3557" t="s">
        <v>12161</v>
      </c>
      <c r="S65" s="3558" t="s">
        <v>12162</v>
      </c>
      <c r="V65" s="3559"/>
      <c r="W65" s="3292"/>
      <c r="X65" s="3293" t="s">
        <v>12163</v>
      </c>
      <c r="Y65" s="3294">
        <v>102</v>
      </c>
      <c r="Z65" s="3295">
        <v>153</v>
      </c>
      <c r="AA65" s="3296">
        <v>204</v>
      </c>
      <c r="AB65"/>
      <c r="AC65" s="3560"/>
      <c r="AD65" s="3282" t="s">
        <v>12164</v>
      </c>
      <c r="AE65" s="3283" t="s">
        <v>12165</v>
      </c>
      <c r="AF65" s="3284">
        <v>250</v>
      </c>
      <c r="AG65" s="3285">
        <v>250</v>
      </c>
      <c r="AH65" s="3286">
        <v>210</v>
      </c>
      <c r="AI65"/>
      <c r="AJ65" s="3549"/>
      <c r="AK65" s="3299" t="s">
        <v>12166</v>
      </c>
      <c r="AL65" s="3283" t="s">
        <v>12153</v>
      </c>
      <c r="AM65" s="3284">
        <v>120</v>
      </c>
      <c r="AN65" s="3285">
        <v>94</v>
      </c>
      <c r="AO65" s="3286">
        <v>47</v>
      </c>
      <c r="AQ65" s="2730">
        <v>1</v>
      </c>
    </row>
    <row r="66" spans="1:43" ht="21" customHeight="1">
      <c r="A66" s="3170"/>
      <c r="K66" s="3561" t="s">
        <v>12167</v>
      </c>
      <c r="L66" s="3562" t="s">
        <v>12168</v>
      </c>
      <c r="M66" s="3563" t="s">
        <v>12169</v>
      </c>
      <c r="N66" s="3564" t="s">
        <v>12170</v>
      </c>
      <c r="O66" s="3565" t="s">
        <v>12171</v>
      </c>
      <c r="P66" s="3566" t="s">
        <v>12172</v>
      </c>
      <c r="Q66" s="3567" t="s">
        <v>12173</v>
      </c>
      <c r="R66" s="3568" t="s">
        <v>12174</v>
      </c>
      <c r="S66" s="3569" t="s">
        <v>12175</v>
      </c>
      <c r="V66" s="3570"/>
      <c r="W66" s="3313" t="s">
        <v>12176</v>
      </c>
      <c r="X66" s="3293" t="s">
        <v>12177</v>
      </c>
      <c r="Y66" s="3294">
        <v>73</v>
      </c>
      <c r="Z66" s="3295">
        <v>151</v>
      </c>
      <c r="AA66" s="3296">
        <v>208</v>
      </c>
      <c r="AB66"/>
      <c r="AC66" s="3571"/>
      <c r="AD66" s="3282" t="s">
        <v>12178</v>
      </c>
      <c r="AE66" s="3283" t="s">
        <v>12179</v>
      </c>
      <c r="AF66" s="3284">
        <v>238</v>
      </c>
      <c r="AG66" s="3285">
        <v>238</v>
      </c>
      <c r="AH66" s="3286">
        <v>224</v>
      </c>
      <c r="AI66"/>
      <c r="AJ66" s="3572"/>
      <c r="AK66" s="3299" t="s">
        <v>12180</v>
      </c>
      <c r="AL66" s="3283" t="s">
        <v>12181</v>
      </c>
      <c r="AM66" s="3284">
        <v>108</v>
      </c>
      <c r="AN66" s="3285">
        <v>84</v>
      </c>
      <c r="AO66" s="3286">
        <v>30</v>
      </c>
      <c r="AQ66" s="2730">
        <v>1</v>
      </c>
    </row>
    <row r="67" spans="1:43" ht="21" customHeight="1">
      <c r="A67" s="3170"/>
      <c r="K67" s="3573" t="s">
        <v>12182</v>
      </c>
      <c r="L67" s="3574" t="s">
        <v>12183</v>
      </c>
      <c r="M67" s="3575" t="s">
        <v>12184</v>
      </c>
      <c r="N67" s="3576" t="s">
        <v>12185</v>
      </c>
      <c r="O67" s="3577" t="s">
        <v>12186</v>
      </c>
      <c r="P67" s="3578" t="s">
        <v>12187</v>
      </c>
      <c r="Q67" s="3579" t="s">
        <v>12188</v>
      </c>
      <c r="R67" s="3580" t="s">
        <v>12189</v>
      </c>
      <c r="S67" s="3581" t="s">
        <v>12190</v>
      </c>
      <c r="V67" s="3582"/>
      <c r="W67" s="3292" t="s">
        <v>12191</v>
      </c>
      <c r="X67" s="3293" t="s">
        <v>12192</v>
      </c>
      <c r="Y67" s="3294">
        <v>79</v>
      </c>
      <c r="Z67" s="3295">
        <v>148</v>
      </c>
      <c r="AA67" s="3296">
        <v>205</v>
      </c>
      <c r="AB67"/>
      <c r="AC67" s="3583"/>
      <c r="AD67" s="3282" t="s">
        <v>12193</v>
      </c>
      <c r="AE67" s="3283" t="s">
        <v>12194</v>
      </c>
      <c r="AF67" s="3284">
        <v>245</v>
      </c>
      <c r="AG67" s="3285">
        <v>245</v>
      </c>
      <c r="AH67" s="3286">
        <v>220</v>
      </c>
      <c r="AI67"/>
      <c r="AJ67" s="3584"/>
      <c r="AK67" s="3299" t="s">
        <v>12195</v>
      </c>
      <c r="AL67" s="3283" t="s">
        <v>12196</v>
      </c>
      <c r="AM67" s="3284">
        <v>78</v>
      </c>
      <c r="AN67" s="3285">
        <v>61</v>
      </c>
      <c r="AO67" s="3286">
        <v>40</v>
      </c>
      <c r="AQ67" s="2730">
        <v>1</v>
      </c>
    </row>
    <row r="68" spans="1:43" ht="21" customHeight="1">
      <c r="A68" s="3170"/>
      <c r="K68" s="3585" t="s">
        <v>12197</v>
      </c>
      <c r="L68" s="3586" t="s">
        <v>12198</v>
      </c>
      <c r="M68" s="3587" t="s">
        <v>12199</v>
      </c>
      <c r="N68" s="3588" t="s">
        <v>12200</v>
      </c>
      <c r="O68" s="3589" t="s">
        <v>12201</v>
      </c>
      <c r="P68" s="3590" t="s">
        <v>12202</v>
      </c>
      <c r="Q68" s="3591" t="s">
        <v>12203</v>
      </c>
      <c r="R68" s="3592" t="s">
        <v>12204</v>
      </c>
      <c r="S68" s="3593" t="s">
        <v>12205</v>
      </c>
      <c r="V68" s="3594"/>
      <c r="W68" s="3313" t="s">
        <v>12206</v>
      </c>
      <c r="X68" s="3293" t="s">
        <v>12207</v>
      </c>
      <c r="Y68" s="3294">
        <v>30</v>
      </c>
      <c r="Z68" s="3295">
        <v>127</v>
      </c>
      <c r="AA68" s="3296">
        <v>203</v>
      </c>
      <c r="AB68"/>
      <c r="AC68" s="3595"/>
      <c r="AD68" s="3347" t="s">
        <v>12208</v>
      </c>
      <c r="AE68" s="3283" t="s">
        <v>12209</v>
      </c>
      <c r="AF68" s="3284">
        <v>255</v>
      </c>
      <c r="AG68" s="3285">
        <v>255</v>
      </c>
      <c r="AH68" s="3286">
        <v>212</v>
      </c>
      <c r="AI68"/>
      <c r="AJ68" s="3596"/>
      <c r="AK68" s="3299" t="s">
        <v>12210</v>
      </c>
      <c r="AL68" s="3283" t="s">
        <v>12211</v>
      </c>
      <c r="AM68" s="3284">
        <v>59</v>
      </c>
      <c r="AN68" s="3285">
        <v>49</v>
      </c>
      <c r="AO68" s="3286">
        <v>33</v>
      </c>
      <c r="AQ68" s="2730">
        <v>1</v>
      </c>
    </row>
    <row r="69" spans="1:43" ht="21" customHeight="1">
      <c r="A69" s="3170"/>
      <c r="K69" s="3597" t="s">
        <v>12212</v>
      </c>
      <c r="L69" s="3598" t="s">
        <v>12213</v>
      </c>
      <c r="M69" s="3599" t="s">
        <v>12214</v>
      </c>
      <c r="N69" s="3600" t="s">
        <v>12215</v>
      </c>
      <c r="O69" s="3601" t="s">
        <v>12216</v>
      </c>
      <c r="P69" s="3602" t="s">
        <v>12217</v>
      </c>
      <c r="Q69" s="3603" t="s">
        <v>12218</v>
      </c>
      <c r="R69" s="3604" t="s">
        <v>12219</v>
      </c>
      <c r="S69" s="3605" t="s">
        <v>12220</v>
      </c>
      <c r="V69" s="3606"/>
      <c r="W69" s="3292" t="s">
        <v>11977</v>
      </c>
      <c r="X69" s="3293" t="s">
        <v>12221</v>
      </c>
      <c r="Y69" s="3294">
        <v>70</v>
      </c>
      <c r="Z69" s="3295">
        <v>130</v>
      </c>
      <c r="AA69" s="3296">
        <v>180</v>
      </c>
      <c r="AB69"/>
      <c r="AC69" s="3607"/>
      <c r="AD69" s="3347" t="s">
        <v>12222</v>
      </c>
      <c r="AE69" s="3283" t="s">
        <v>12223</v>
      </c>
      <c r="AF69" s="3284">
        <v>254</v>
      </c>
      <c r="AG69" s="3285">
        <v>254</v>
      </c>
      <c r="AH69" s="3286">
        <v>224</v>
      </c>
      <c r="AI69"/>
      <c r="AJ69" s="3608"/>
      <c r="AK69" s="3299" t="s">
        <v>12224</v>
      </c>
      <c r="AL69" s="3283" t="s">
        <v>12225</v>
      </c>
      <c r="AM69" s="3284">
        <v>55</v>
      </c>
      <c r="AN69" s="3285">
        <v>47</v>
      </c>
      <c r="AO69" s="3286">
        <v>37</v>
      </c>
      <c r="AQ69" s="2730">
        <v>1</v>
      </c>
    </row>
    <row r="70" spans="1:43" ht="21" customHeight="1">
      <c r="A70" s="3170"/>
      <c r="K70" s="3609" t="s">
        <v>12226</v>
      </c>
      <c r="L70" s="3610" t="s">
        <v>12227</v>
      </c>
      <c r="M70" s="3611" t="s">
        <v>12228</v>
      </c>
      <c r="N70" s="3612" t="s">
        <v>12229</v>
      </c>
      <c r="O70" s="3613" t="s">
        <v>12230</v>
      </c>
      <c r="P70" s="3614" t="s">
        <v>12231</v>
      </c>
      <c r="Q70" s="3615" t="s">
        <v>12232</v>
      </c>
      <c r="R70" s="3616" t="s">
        <v>12233</v>
      </c>
      <c r="S70" s="3617" t="s">
        <v>12234</v>
      </c>
      <c r="V70" s="3618"/>
      <c r="W70" s="3313" t="s">
        <v>12235</v>
      </c>
      <c r="X70" s="3293" t="s">
        <v>12236</v>
      </c>
      <c r="Y70" s="3294">
        <v>53</v>
      </c>
      <c r="Z70" s="3295">
        <v>122</v>
      </c>
      <c r="AA70" s="3296">
        <v>183</v>
      </c>
      <c r="AB70"/>
      <c r="AC70" s="3619"/>
      <c r="AD70" s="3282" t="s">
        <v>12237</v>
      </c>
      <c r="AE70" s="3283" t="s">
        <v>12238</v>
      </c>
      <c r="AF70" s="3284">
        <v>255</v>
      </c>
      <c r="AG70" s="3285">
        <v>255</v>
      </c>
      <c r="AH70" s="3286">
        <v>224</v>
      </c>
      <c r="AI70"/>
      <c r="AJ70" s="3620"/>
      <c r="AK70" s="3299" t="s">
        <v>12239</v>
      </c>
      <c r="AL70" s="3283" t="s">
        <v>12240</v>
      </c>
      <c r="AM70" s="3284">
        <v>237</v>
      </c>
      <c r="AN70" s="3285">
        <v>211</v>
      </c>
      <c r="AO70" s="3286">
        <v>140</v>
      </c>
      <c r="AQ70" s="2730">
        <v>1</v>
      </c>
    </row>
    <row r="71" spans="1:43" ht="21" customHeight="1">
      <c r="A71" s="3170"/>
      <c r="K71" s="3621" t="s">
        <v>12241</v>
      </c>
      <c r="L71" s="3622" t="s">
        <v>12242</v>
      </c>
      <c r="M71" s="3623" t="s">
        <v>12243</v>
      </c>
      <c r="N71" s="3624" t="s">
        <v>12244</v>
      </c>
      <c r="O71" s="3625" t="s">
        <v>12245</v>
      </c>
      <c r="P71" s="3626" t="s">
        <v>12246</v>
      </c>
      <c r="Q71" s="3627" t="s">
        <v>12247</v>
      </c>
      <c r="R71" s="3628" t="s">
        <v>12248</v>
      </c>
      <c r="S71" s="3629" t="s">
        <v>12249</v>
      </c>
      <c r="V71" s="3630"/>
      <c r="W71" s="3313" t="s">
        <v>12250</v>
      </c>
      <c r="X71" s="3293" t="s">
        <v>12251</v>
      </c>
      <c r="Y71" s="3294">
        <v>86</v>
      </c>
      <c r="Z71" s="3295">
        <v>115</v>
      </c>
      <c r="AA71" s="3296">
        <v>154</v>
      </c>
      <c r="AB71"/>
      <c r="AC71" s="3631"/>
      <c r="AD71" s="3347" t="s">
        <v>12252</v>
      </c>
      <c r="AE71" s="3283" t="s">
        <v>12253</v>
      </c>
      <c r="AF71" s="3284">
        <v>254</v>
      </c>
      <c r="AG71" s="3285">
        <v>254</v>
      </c>
      <c r="AH71" s="3286">
        <v>226</v>
      </c>
      <c r="AI71"/>
      <c r="AJ71" s="3632"/>
      <c r="AK71" s="3299" t="s">
        <v>12254</v>
      </c>
      <c r="AL71" s="3283" t="s">
        <v>12255</v>
      </c>
      <c r="AM71" s="3284">
        <v>224</v>
      </c>
      <c r="AN71" s="3285">
        <v>205</v>
      </c>
      <c r="AO71" s="3286">
        <v>169</v>
      </c>
      <c r="AQ71" s="2730">
        <v>1</v>
      </c>
    </row>
    <row r="72" spans="1:43" ht="21" customHeight="1">
      <c r="A72" s="3170"/>
      <c r="K72" s="3633" t="s">
        <v>12256</v>
      </c>
      <c r="L72" s="3634" t="s">
        <v>12257</v>
      </c>
      <c r="M72" s="3635" t="s">
        <v>12258</v>
      </c>
      <c r="N72" s="3636" t="s">
        <v>12259</v>
      </c>
      <c r="O72" s="3637" t="s">
        <v>12260</v>
      </c>
      <c r="P72" s="3638" t="s">
        <v>12261</v>
      </c>
      <c r="Q72" s="3639" t="s">
        <v>12262</v>
      </c>
      <c r="R72" s="3640" t="s">
        <v>12263</v>
      </c>
      <c r="S72" s="3641" t="s">
        <v>12264</v>
      </c>
      <c r="V72" s="3642"/>
      <c r="W72" s="3292" t="s">
        <v>12265</v>
      </c>
      <c r="X72" s="3293" t="s">
        <v>12266</v>
      </c>
      <c r="Y72" s="3294">
        <v>110</v>
      </c>
      <c r="Z72" s="3295">
        <v>123</v>
      </c>
      <c r="AA72" s="3296">
        <v>139</v>
      </c>
      <c r="AB72"/>
      <c r="AC72" s="3643"/>
      <c r="AD72" s="3282" t="s">
        <v>12208</v>
      </c>
      <c r="AE72" s="3283" t="s">
        <v>12267</v>
      </c>
      <c r="AF72" s="3284">
        <v>255</v>
      </c>
      <c r="AG72" s="3285">
        <v>255</v>
      </c>
      <c r="AH72" s="3286">
        <v>240</v>
      </c>
      <c r="AI72"/>
      <c r="AJ72" s="3644"/>
      <c r="AK72" s="3288" t="s">
        <v>12268</v>
      </c>
      <c r="AL72" s="3283" t="s">
        <v>12269</v>
      </c>
      <c r="AM72" s="3284">
        <v>238</v>
      </c>
      <c r="AN72" s="3285">
        <v>216</v>
      </c>
      <c r="AO72" s="3286">
        <v>174</v>
      </c>
      <c r="AQ72" s="2730">
        <v>1</v>
      </c>
    </row>
    <row r="73" spans="1:43" ht="21" customHeight="1">
      <c r="A73" s="3170"/>
      <c r="K73" s="3645" t="s">
        <v>12270</v>
      </c>
      <c r="L73" s="3646" t="s">
        <v>12271</v>
      </c>
      <c r="M73" s="3647" t="s">
        <v>12272</v>
      </c>
      <c r="N73" s="3648" t="s">
        <v>12273</v>
      </c>
      <c r="O73" s="3649" t="s">
        <v>12274</v>
      </c>
      <c r="P73" s="3650" t="s">
        <v>12275</v>
      </c>
      <c r="Q73" s="3651" t="s">
        <v>12276</v>
      </c>
      <c r="R73" s="3652" t="s">
        <v>12277</v>
      </c>
      <c r="S73" s="3653" t="s">
        <v>12278</v>
      </c>
      <c r="V73" s="3654"/>
      <c r="W73" s="3313" t="s">
        <v>12279</v>
      </c>
      <c r="X73" s="3293" t="s">
        <v>12280</v>
      </c>
      <c r="Y73" s="3294">
        <v>0</v>
      </c>
      <c r="Z73" s="3295">
        <v>103</v>
      </c>
      <c r="AA73" s="3296">
        <v>165</v>
      </c>
      <c r="AB73"/>
      <c r="AC73" s="3655"/>
      <c r="AD73" s="3347" t="s">
        <v>12281</v>
      </c>
      <c r="AE73" s="3283" t="s">
        <v>12282</v>
      </c>
      <c r="AF73" s="3284">
        <v>233</v>
      </c>
      <c r="AG73" s="3285">
        <v>228</v>
      </c>
      <c r="AH73" s="3286">
        <v>80</v>
      </c>
      <c r="AI73"/>
      <c r="AJ73" s="3656"/>
      <c r="AK73" s="3288" t="s">
        <v>12283</v>
      </c>
      <c r="AL73" s="3283" t="s">
        <v>12284</v>
      </c>
      <c r="AM73" s="3284">
        <v>245</v>
      </c>
      <c r="AN73" s="3285">
        <v>222</v>
      </c>
      <c r="AO73" s="3286">
        <v>179</v>
      </c>
      <c r="AQ73" s="2730">
        <v>1</v>
      </c>
    </row>
    <row r="74" spans="1:43" ht="21" customHeight="1">
      <c r="A74" s="3170"/>
      <c r="K74" s="3657" t="s">
        <v>12285</v>
      </c>
      <c r="L74" s="3658" t="s">
        <v>12286</v>
      </c>
      <c r="M74" s="3659" t="s">
        <v>12287</v>
      </c>
      <c r="N74" s="3660" t="s">
        <v>12288</v>
      </c>
      <c r="O74" s="3661" t="s">
        <v>12289</v>
      </c>
      <c r="P74" s="3662" t="s">
        <v>12290</v>
      </c>
      <c r="Q74" s="3663" t="s">
        <v>12291</v>
      </c>
      <c r="R74" s="3664" t="s">
        <v>12292</v>
      </c>
      <c r="S74" s="3665" t="s">
        <v>12293</v>
      </c>
      <c r="V74" s="3666"/>
      <c r="W74" s="3313" t="s">
        <v>12294</v>
      </c>
      <c r="X74" s="3293" t="s">
        <v>12295</v>
      </c>
      <c r="Y74" s="3294">
        <v>67</v>
      </c>
      <c r="Z74" s="3295">
        <v>107</v>
      </c>
      <c r="AA74" s="3296">
        <v>149</v>
      </c>
      <c r="AB74"/>
      <c r="AC74" s="3667"/>
      <c r="AD74" s="3282" t="s">
        <v>11925</v>
      </c>
      <c r="AE74" s="3283" t="s">
        <v>12296</v>
      </c>
      <c r="AF74" s="3284">
        <v>219</v>
      </c>
      <c r="AG74" s="3285">
        <v>219</v>
      </c>
      <c r="AH74" s="3286">
        <v>112</v>
      </c>
      <c r="AI74"/>
      <c r="AJ74" s="3668"/>
      <c r="AK74" s="3288" t="s">
        <v>12297</v>
      </c>
      <c r="AL74" s="3283" t="s">
        <v>12298</v>
      </c>
      <c r="AM74" s="3284">
        <v>255</v>
      </c>
      <c r="AN74" s="3285">
        <v>228</v>
      </c>
      <c r="AO74" s="3286">
        <v>181</v>
      </c>
      <c r="AQ74" s="2730">
        <v>1</v>
      </c>
    </row>
    <row r="75" spans="1:43" ht="21" customHeight="1">
      <c r="A75" s="3170"/>
      <c r="K75" s="3669" t="s">
        <v>12299</v>
      </c>
      <c r="L75" s="3670" t="s">
        <v>12300</v>
      </c>
      <c r="M75" s="3671" t="s">
        <v>12301</v>
      </c>
      <c r="N75" s="3672" t="s">
        <v>12302</v>
      </c>
      <c r="O75" s="3673" t="s">
        <v>12303</v>
      </c>
      <c r="P75" s="3674" t="s">
        <v>12304</v>
      </c>
      <c r="Q75" s="3675" t="s">
        <v>12305</v>
      </c>
      <c r="R75" s="3676" t="s">
        <v>12306</v>
      </c>
      <c r="S75" s="3677" t="s">
        <v>12307</v>
      </c>
      <c r="V75" s="3678"/>
      <c r="W75" s="3292"/>
      <c r="X75" s="3293" t="s">
        <v>12308</v>
      </c>
      <c r="Y75" s="3294">
        <v>51</v>
      </c>
      <c r="Z75" s="3295">
        <v>102</v>
      </c>
      <c r="AA75" s="3296">
        <v>153</v>
      </c>
      <c r="AB75"/>
      <c r="AC75" s="3679"/>
      <c r="AD75" s="3282" t="s">
        <v>12309</v>
      </c>
      <c r="AE75" s="3283" t="s">
        <v>12310</v>
      </c>
      <c r="AF75" s="3284">
        <v>238</v>
      </c>
      <c r="AG75" s="3285">
        <v>238</v>
      </c>
      <c r="AH75" s="3286">
        <v>0</v>
      </c>
      <c r="AI75"/>
      <c r="AJ75" s="3680"/>
      <c r="AK75" s="3288" t="s">
        <v>12311</v>
      </c>
      <c r="AL75" s="3283" t="s">
        <v>12312</v>
      </c>
      <c r="AM75" s="3284">
        <v>255</v>
      </c>
      <c r="AN75" s="3285">
        <v>231</v>
      </c>
      <c r="AO75" s="3286">
        <v>186</v>
      </c>
      <c r="AQ75" s="2730">
        <v>1</v>
      </c>
    </row>
    <row r="76" spans="1:43" ht="21" customHeight="1">
      <c r="A76" s="3170"/>
      <c r="K76" s="3681" t="s">
        <v>12313</v>
      </c>
      <c r="L76" s="3682" t="s">
        <v>12314</v>
      </c>
      <c r="M76" s="3683" t="s">
        <v>12315</v>
      </c>
      <c r="N76" s="3684" t="s">
        <v>12316</v>
      </c>
      <c r="O76" s="3685" t="s">
        <v>12317</v>
      </c>
      <c r="P76" s="3686" t="s">
        <v>12318</v>
      </c>
      <c r="Q76" s="3687" t="s">
        <v>12319</v>
      </c>
      <c r="R76" s="3688" t="s">
        <v>12320</v>
      </c>
      <c r="S76" s="3689" t="s">
        <v>12321</v>
      </c>
      <c r="V76" s="3690"/>
      <c r="W76" s="3292" t="s">
        <v>12322</v>
      </c>
      <c r="X76" s="3293" t="s">
        <v>12323</v>
      </c>
      <c r="Y76" s="3294">
        <v>54</v>
      </c>
      <c r="Z76" s="3295">
        <v>100</v>
      </c>
      <c r="AA76" s="3296">
        <v>139</v>
      </c>
      <c r="AB76"/>
      <c r="AC76" s="3691"/>
      <c r="AD76" s="3347" t="s">
        <v>12324</v>
      </c>
      <c r="AE76" s="3283" t="s">
        <v>12325</v>
      </c>
      <c r="AF76" s="3284">
        <v>179</v>
      </c>
      <c r="AG76" s="3285">
        <v>177</v>
      </c>
      <c r="AH76" s="3286">
        <v>145</v>
      </c>
      <c r="AI76"/>
      <c r="AJ76" s="3692"/>
      <c r="AK76" s="3288" t="s">
        <v>12326</v>
      </c>
      <c r="AL76" s="3283" t="s">
        <v>12327</v>
      </c>
      <c r="AM76" s="3284">
        <v>255</v>
      </c>
      <c r="AN76" s="3285">
        <v>235</v>
      </c>
      <c r="AO76" s="3286">
        <v>205</v>
      </c>
      <c r="AQ76" s="2730">
        <v>1</v>
      </c>
    </row>
    <row r="77" spans="1:43" ht="21" customHeight="1">
      <c r="A77" s="3170"/>
      <c r="K77" s="3693" t="s">
        <v>12328</v>
      </c>
      <c r="L77" s="3694" t="s">
        <v>12329</v>
      </c>
      <c r="M77" s="3695" t="s">
        <v>12330</v>
      </c>
      <c r="N77" s="3696" t="s">
        <v>12331</v>
      </c>
      <c r="O77" s="3697" t="s">
        <v>12332</v>
      </c>
      <c r="P77" s="3698" t="s">
        <v>12333</v>
      </c>
      <c r="Q77" s="3699" t="s">
        <v>12334</v>
      </c>
      <c r="R77" s="3700" t="s">
        <v>12335</v>
      </c>
      <c r="S77" s="3701" t="s">
        <v>12336</v>
      </c>
      <c r="V77" s="3702"/>
      <c r="W77" s="3313" t="s">
        <v>12337</v>
      </c>
      <c r="X77" s="3293" t="s">
        <v>12338</v>
      </c>
      <c r="Y77" s="3294">
        <v>0</v>
      </c>
      <c r="Z77" s="3295">
        <v>65</v>
      </c>
      <c r="AA77" s="3296">
        <v>106</v>
      </c>
      <c r="AB77"/>
      <c r="AC77" s="3703"/>
      <c r="AD77" s="3282" t="s">
        <v>12339</v>
      </c>
      <c r="AE77" s="3283" t="s">
        <v>12340</v>
      </c>
      <c r="AF77" s="3284">
        <v>217</v>
      </c>
      <c r="AG77" s="3285">
        <v>217</v>
      </c>
      <c r="AH77" s="3286">
        <v>25</v>
      </c>
      <c r="AI77"/>
      <c r="AJ77" s="3704"/>
      <c r="AK77" s="3299" t="s">
        <v>804</v>
      </c>
      <c r="AL77" s="3283" t="s">
        <v>12341</v>
      </c>
      <c r="AM77" s="3284">
        <v>255</v>
      </c>
      <c r="AN77" s="3285">
        <v>239</v>
      </c>
      <c r="AO77" s="3286">
        <v>213</v>
      </c>
      <c r="AQ77" s="2730">
        <v>1</v>
      </c>
    </row>
    <row r="78" spans="1:43" ht="21" customHeight="1">
      <c r="A78" s="3170"/>
      <c r="K78" s="3705" t="s">
        <v>12342</v>
      </c>
      <c r="L78" s="3706" t="s">
        <v>12343</v>
      </c>
      <c r="M78" s="3707" t="s">
        <v>12344</v>
      </c>
      <c r="N78" s="3708" t="s">
        <v>12345</v>
      </c>
      <c r="O78" s="3709" t="s">
        <v>12346</v>
      </c>
      <c r="P78" s="3710" t="s">
        <v>12347</v>
      </c>
      <c r="Q78" s="3711" t="s">
        <v>12348</v>
      </c>
      <c r="R78" s="3712" t="s">
        <v>12349</v>
      </c>
      <c r="S78" s="3713" t="s">
        <v>12350</v>
      </c>
      <c r="V78" s="3714"/>
      <c r="W78" s="3313" t="s">
        <v>12351</v>
      </c>
      <c r="X78" s="3293" t="s">
        <v>12352</v>
      </c>
      <c r="Y78" s="3294">
        <v>0</v>
      </c>
      <c r="Z78" s="3295">
        <v>48</v>
      </c>
      <c r="AA78" s="3296">
        <v>78</v>
      </c>
      <c r="AB78"/>
      <c r="AC78" s="3715"/>
      <c r="AD78" s="3347" t="s">
        <v>12353</v>
      </c>
      <c r="AE78" s="3283" t="s">
        <v>12354</v>
      </c>
      <c r="AF78" s="3284">
        <v>205</v>
      </c>
      <c r="AG78" s="3285">
        <v>205</v>
      </c>
      <c r="AH78" s="3286">
        <v>13</v>
      </c>
      <c r="AI78"/>
      <c r="AJ78" s="3716"/>
      <c r="AK78" s="3288" t="s">
        <v>12355</v>
      </c>
      <c r="AL78" s="3283" t="s">
        <v>12356</v>
      </c>
      <c r="AM78" s="3284">
        <v>253</v>
      </c>
      <c r="AN78" s="3285">
        <v>245</v>
      </c>
      <c r="AO78" s="3286">
        <v>230</v>
      </c>
      <c r="AQ78" s="2730">
        <v>1</v>
      </c>
    </row>
    <row r="79" spans="1:43" ht="21" customHeight="1">
      <c r="A79" s="3170"/>
      <c r="K79" s="3717" t="s">
        <v>12357</v>
      </c>
      <c r="L79" s="3718" t="s">
        <v>12358</v>
      </c>
      <c r="M79" s="3719" t="s">
        <v>12359</v>
      </c>
      <c r="N79" s="3720" t="s">
        <v>12360</v>
      </c>
      <c r="O79" s="3721" t="s">
        <v>12361</v>
      </c>
      <c r="P79" s="3722" t="s">
        <v>12362</v>
      </c>
      <c r="Q79" s="3723" t="s">
        <v>12363</v>
      </c>
      <c r="R79" s="3724" t="s">
        <v>12364</v>
      </c>
      <c r="S79" s="3725" t="s">
        <v>12365</v>
      </c>
      <c r="V79" s="3726"/>
      <c r="W79" s="3313" t="s">
        <v>12366</v>
      </c>
      <c r="X79" s="3293" t="s">
        <v>12367</v>
      </c>
      <c r="Y79" s="3294">
        <v>180</v>
      </c>
      <c r="Z79" s="3295">
        <v>188</v>
      </c>
      <c r="AA79" s="3296">
        <v>192</v>
      </c>
      <c r="AB79"/>
      <c r="AC79" s="3727"/>
      <c r="AD79" s="3282" t="s">
        <v>12368</v>
      </c>
      <c r="AE79" s="3283" t="s">
        <v>12369</v>
      </c>
      <c r="AF79" s="3284">
        <v>205</v>
      </c>
      <c r="AG79" s="3285">
        <v>205</v>
      </c>
      <c r="AH79" s="3286">
        <v>0</v>
      </c>
      <c r="AI79"/>
      <c r="AJ79" s="3728"/>
      <c r="AK79" s="3288" t="s">
        <v>12370</v>
      </c>
      <c r="AL79" s="3283" t="s">
        <v>12371</v>
      </c>
      <c r="AM79" s="3284">
        <v>255</v>
      </c>
      <c r="AN79" s="3285">
        <v>250</v>
      </c>
      <c r="AO79" s="3286">
        <v>240</v>
      </c>
      <c r="AQ79" s="2730">
        <v>1</v>
      </c>
    </row>
    <row r="80" spans="1:43" ht="21" customHeight="1">
      <c r="K80" s="3729" t="s">
        <v>12372</v>
      </c>
      <c r="L80" s="3730" t="s">
        <v>12373</v>
      </c>
      <c r="M80" s="3731" t="s">
        <v>12374</v>
      </c>
      <c r="N80" s="3732" t="s">
        <v>12375</v>
      </c>
      <c r="O80" s="3733" t="s">
        <v>12376</v>
      </c>
      <c r="P80" s="3734" t="s">
        <v>12377</v>
      </c>
      <c r="Q80" s="3735" t="s">
        <v>12378</v>
      </c>
      <c r="R80" s="3736" t="s">
        <v>12379</v>
      </c>
      <c r="S80" s="3737" t="s">
        <v>12380</v>
      </c>
      <c r="V80" s="3738"/>
      <c r="W80" s="3313" t="s">
        <v>11812</v>
      </c>
      <c r="X80" s="3293" t="s">
        <v>12381</v>
      </c>
      <c r="Y80" s="3294">
        <v>116</v>
      </c>
      <c r="Z80" s="3295">
        <v>208</v>
      </c>
      <c r="AA80" s="3296">
        <v>241</v>
      </c>
      <c r="AB80"/>
      <c r="AC80" s="3739"/>
      <c r="AD80" s="3282" t="s">
        <v>12382</v>
      </c>
      <c r="AE80" s="3283" t="s">
        <v>12383</v>
      </c>
      <c r="AF80" s="3284">
        <v>139</v>
      </c>
      <c r="AG80" s="3285">
        <v>139</v>
      </c>
      <c r="AH80" s="3286">
        <v>131</v>
      </c>
      <c r="AI80"/>
      <c r="AJ80" s="3740"/>
      <c r="AK80" s="3299" t="s">
        <v>12384</v>
      </c>
      <c r="AL80" s="3283" t="s">
        <v>12385</v>
      </c>
      <c r="AM80" s="3284">
        <v>252</v>
      </c>
      <c r="AN80" s="3285">
        <v>210</v>
      </c>
      <c r="AO80" s="3286">
        <v>28</v>
      </c>
      <c r="AQ80" s="2730">
        <v>1</v>
      </c>
    </row>
    <row r="81" spans="11:43" ht="21" customHeight="1">
      <c r="K81" s="3741" t="s">
        <v>12386</v>
      </c>
      <c r="L81" s="3742" t="s">
        <v>12387</v>
      </c>
      <c r="M81" s="3743" t="s">
        <v>12388</v>
      </c>
      <c r="N81" s="3744" t="s">
        <v>12389</v>
      </c>
      <c r="O81" s="3745" t="s">
        <v>12390</v>
      </c>
      <c r="P81" s="3746" t="s">
        <v>12391</v>
      </c>
      <c r="Q81" s="3747" t="s">
        <v>12392</v>
      </c>
      <c r="R81" s="3748" t="s">
        <v>12393</v>
      </c>
      <c r="S81" s="3749" t="s">
        <v>12394</v>
      </c>
      <c r="V81" s="3750"/>
      <c r="W81" s="3292" t="s">
        <v>11927</v>
      </c>
      <c r="X81" s="3293" t="s">
        <v>12395</v>
      </c>
      <c r="Y81" s="3294">
        <v>135</v>
      </c>
      <c r="Z81" s="3295">
        <v>206</v>
      </c>
      <c r="AA81" s="3296">
        <v>235</v>
      </c>
      <c r="AB81"/>
      <c r="AC81" s="3751"/>
      <c r="AD81" s="3347" t="s">
        <v>12396</v>
      </c>
      <c r="AE81" s="3283" t="s">
        <v>12397</v>
      </c>
      <c r="AF81" s="3284">
        <v>132</v>
      </c>
      <c r="AG81" s="3285">
        <v>132</v>
      </c>
      <c r="AH81" s="3286">
        <v>130</v>
      </c>
      <c r="AI81"/>
      <c r="AJ81" s="3752"/>
      <c r="AK81" s="3299" t="s">
        <v>12398</v>
      </c>
      <c r="AL81" s="3283" t="s">
        <v>12399</v>
      </c>
      <c r="AM81" s="3284">
        <v>226</v>
      </c>
      <c r="AN81" s="3285">
        <v>188</v>
      </c>
      <c r="AO81" s="3286">
        <v>116</v>
      </c>
      <c r="AQ81" s="2730">
        <v>1</v>
      </c>
    </row>
    <row r="82" spans="11:43" ht="21" customHeight="1">
      <c r="K82" s="3753" t="s">
        <v>12400</v>
      </c>
      <c r="L82" s="3754" t="s">
        <v>12401</v>
      </c>
      <c r="M82" s="3755" t="s">
        <v>12402</v>
      </c>
      <c r="N82" s="3756" t="s">
        <v>12403</v>
      </c>
      <c r="O82" s="3757" t="s">
        <v>12404</v>
      </c>
      <c r="P82" s="3758" t="s">
        <v>12405</v>
      </c>
      <c r="Q82" s="3759" t="s">
        <v>12406</v>
      </c>
      <c r="R82" s="3760" t="s">
        <v>12407</v>
      </c>
      <c r="S82" s="3761" t="s">
        <v>12408</v>
      </c>
      <c r="V82" s="3762"/>
      <c r="W82" s="3292" t="s">
        <v>12409</v>
      </c>
      <c r="X82" s="3293" t="s">
        <v>12410</v>
      </c>
      <c r="Y82" s="3294">
        <v>164</v>
      </c>
      <c r="Z82" s="3295">
        <v>211</v>
      </c>
      <c r="AA82" s="3296">
        <v>238</v>
      </c>
      <c r="AB82"/>
      <c r="AC82" s="3763"/>
      <c r="AD82" s="3282" t="s">
        <v>12411</v>
      </c>
      <c r="AE82" s="3283" t="s">
        <v>12412</v>
      </c>
      <c r="AF82" s="3284">
        <v>139</v>
      </c>
      <c r="AG82" s="3285">
        <v>139</v>
      </c>
      <c r="AH82" s="3286">
        <v>122</v>
      </c>
      <c r="AI82"/>
      <c r="AJ82" s="3764"/>
      <c r="AK82" s="3288" t="s">
        <v>12413</v>
      </c>
      <c r="AL82" s="3283" t="s">
        <v>12414</v>
      </c>
      <c r="AM82" s="3284">
        <v>205</v>
      </c>
      <c r="AN82" s="3285">
        <v>186</v>
      </c>
      <c r="AO82" s="3286">
        <v>150</v>
      </c>
      <c r="AQ82" s="2730">
        <v>1</v>
      </c>
    </row>
    <row r="83" spans="11:43" ht="21" customHeight="1">
      <c r="K83" s="3765" t="s">
        <v>12415</v>
      </c>
      <c r="L83" s="3766" t="s">
        <v>12416</v>
      </c>
      <c r="M83" s="3767" t="s">
        <v>12417</v>
      </c>
      <c r="N83" s="3768" t="s">
        <v>12418</v>
      </c>
      <c r="O83" s="3769" t="s">
        <v>12419</v>
      </c>
      <c r="P83" s="3770" t="s">
        <v>12420</v>
      </c>
      <c r="Q83" s="3771" t="s">
        <v>12421</v>
      </c>
      <c r="R83" s="3772" t="s">
        <v>12422</v>
      </c>
      <c r="S83" s="3773" t="s">
        <v>12423</v>
      </c>
      <c r="V83" s="3774"/>
      <c r="W83" s="3313" t="s">
        <v>12424</v>
      </c>
      <c r="X83" s="3293" t="s">
        <v>12425</v>
      </c>
      <c r="Y83" s="3294">
        <v>187</v>
      </c>
      <c r="Z83" s="3295">
        <v>210</v>
      </c>
      <c r="AA83" s="3296">
        <v>225</v>
      </c>
      <c r="AB83"/>
      <c r="AC83" s="3775"/>
      <c r="AD83" s="3347" t="s">
        <v>12426</v>
      </c>
      <c r="AE83" s="3283" t="s">
        <v>12427</v>
      </c>
      <c r="AF83" s="3284">
        <v>152</v>
      </c>
      <c r="AG83" s="3285">
        <v>148</v>
      </c>
      <c r="AH83" s="3286">
        <v>62</v>
      </c>
      <c r="AI83"/>
      <c r="AJ83" s="3776"/>
      <c r="AK83" s="3299" t="s">
        <v>12428</v>
      </c>
      <c r="AL83" s="3283" t="s">
        <v>12429</v>
      </c>
      <c r="AM83" s="3284">
        <v>243</v>
      </c>
      <c r="AN83" s="3285">
        <v>195</v>
      </c>
      <c r="AO83" s="3286">
        <v>0</v>
      </c>
      <c r="AQ83" s="2730">
        <v>1</v>
      </c>
    </row>
    <row r="84" spans="11:43" ht="21" customHeight="1">
      <c r="K84" s="3777" t="s">
        <v>12430</v>
      </c>
      <c r="L84" s="3778" t="s">
        <v>12431</v>
      </c>
      <c r="M84" s="3779" t="s">
        <v>12432</v>
      </c>
      <c r="N84" s="3780" t="s">
        <v>12433</v>
      </c>
      <c r="O84" s="3781" t="s">
        <v>12434</v>
      </c>
      <c r="P84" s="3782" t="s">
        <v>12435</v>
      </c>
      <c r="Q84" s="3783" t="s">
        <v>12436</v>
      </c>
      <c r="R84" s="3784" t="s">
        <v>12437</v>
      </c>
      <c r="S84" s="3785" t="s">
        <v>12438</v>
      </c>
      <c r="V84" s="3786"/>
      <c r="W84" s="3292" t="s">
        <v>12439</v>
      </c>
      <c r="X84" s="3293" t="s">
        <v>12440</v>
      </c>
      <c r="Y84" s="3294">
        <v>176</v>
      </c>
      <c r="Z84" s="3295">
        <v>226</v>
      </c>
      <c r="AA84" s="3296">
        <v>255</v>
      </c>
      <c r="AB84"/>
      <c r="AC84" s="3787"/>
      <c r="AD84" s="3282" t="s">
        <v>12441</v>
      </c>
      <c r="AE84" s="3283" t="s">
        <v>12442</v>
      </c>
      <c r="AF84" s="3284">
        <v>139</v>
      </c>
      <c r="AG84" s="3285">
        <v>139</v>
      </c>
      <c r="AH84" s="3286">
        <v>0</v>
      </c>
      <c r="AI84"/>
      <c r="AJ84" s="3788"/>
      <c r="AK84" s="3299" t="s">
        <v>12443</v>
      </c>
      <c r="AL84" s="3283" t="s">
        <v>12444</v>
      </c>
      <c r="AM84" s="3284">
        <v>240</v>
      </c>
      <c r="AN84" s="3285">
        <v>195</v>
      </c>
      <c r="AO84" s="3286">
        <v>0</v>
      </c>
      <c r="AQ84" s="2730">
        <v>1</v>
      </c>
    </row>
    <row r="85" spans="11:43" ht="21" customHeight="1">
      <c r="K85" s="3789" t="s">
        <v>12445</v>
      </c>
      <c r="L85" s="3790" t="s">
        <v>12446</v>
      </c>
      <c r="M85" s="3791" t="s">
        <v>12447</v>
      </c>
      <c r="N85" s="3792" t="s">
        <v>12448</v>
      </c>
      <c r="O85" s="3793" t="s">
        <v>12449</v>
      </c>
      <c r="P85" s="3794" t="s">
        <v>12450</v>
      </c>
      <c r="Q85" s="3795" t="s">
        <v>12451</v>
      </c>
      <c r="R85" s="3796" t="s">
        <v>12452</v>
      </c>
      <c r="S85" s="3797" t="s">
        <v>12453</v>
      </c>
      <c r="V85" s="3798"/>
      <c r="W85" s="3313" t="s">
        <v>12454</v>
      </c>
      <c r="X85" s="3293" t="s">
        <v>12455</v>
      </c>
      <c r="Y85" s="3294">
        <v>223</v>
      </c>
      <c r="Z85" s="3295">
        <v>242</v>
      </c>
      <c r="AA85" s="3296">
        <v>255</v>
      </c>
      <c r="AB85"/>
      <c r="AC85" s="3799"/>
      <c r="AD85" s="3282" t="s">
        <v>12456</v>
      </c>
      <c r="AE85" s="3283" t="s">
        <v>12457</v>
      </c>
      <c r="AF85" s="3284">
        <v>128</v>
      </c>
      <c r="AG85" s="3285">
        <v>128</v>
      </c>
      <c r="AH85" s="3286">
        <v>0</v>
      </c>
      <c r="AI85"/>
      <c r="AJ85" s="3800"/>
      <c r="AK85" s="3299" t="s">
        <v>12458</v>
      </c>
      <c r="AL85" s="3283" t="s">
        <v>12459</v>
      </c>
      <c r="AM85" s="3284">
        <v>187</v>
      </c>
      <c r="AN85" s="3285">
        <v>174</v>
      </c>
      <c r="AO85" s="3286">
        <v>152</v>
      </c>
      <c r="AQ85" s="2730">
        <v>1</v>
      </c>
    </row>
    <row r="86" spans="11:43" ht="21" customHeight="1">
      <c r="K86" s="3801" t="s">
        <v>12460</v>
      </c>
      <c r="L86" s="3802" t="s">
        <v>12461</v>
      </c>
      <c r="M86" s="3803" t="s">
        <v>12462</v>
      </c>
      <c r="N86" s="3804" t="s">
        <v>12463</v>
      </c>
      <c r="O86" s="3805" t="s">
        <v>12464</v>
      </c>
      <c r="P86" s="3806" t="s">
        <v>12465</v>
      </c>
      <c r="Q86" s="3807" t="s">
        <v>12466</v>
      </c>
      <c r="R86" s="3808" t="s">
        <v>12467</v>
      </c>
      <c r="S86" s="3809" t="s">
        <v>12468</v>
      </c>
      <c r="V86" s="3810"/>
      <c r="W86" s="3292" t="s">
        <v>12469</v>
      </c>
      <c r="X86" s="3293" t="s">
        <v>12470</v>
      </c>
      <c r="Y86" s="3294">
        <v>141</v>
      </c>
      <c r="Z86" s="3295">
        <v>182</v>
      </c>
      <c r="AA86" s="3296">
        <v>205</v>
      </c>
      <c r="AB86"/>
      <c r="AC86" s="3811"/>
      <c r="AD86" s="3282" t="s">
        <v>12471</v>
      </c>
      <c r="AE86" s="3283" t="s">
        <v>12472</v>
      </c>
      <c r="AF86" s="3284">
        <v>79</v>
      </c>
      <c r="AG86" s="3285">
        <v>79</v>
      </c>
      <c r="AH86" s="3286">
        <v>47</v>
      </c>
      <c r="AI86"/>
      <c r="AJ86" s="3812"/>
      <c r="AK86" s="3299" t="s">
        <v>12473</v>
      </c>
      <c r="AL86" s="3283" t="s">
        <v>12474</v>
      </c>
      <c r="AM86" s="3284">
        <v>200</v>
      </c>
      <c r="AN86" s="3285">
        <v>173</v>
      </c>
      <c r="AO86" s="3286">
        <v>127</v>
      </c>
      <c r="AQ86" s="2730">
        <v>1</v>
      </c>
    </row>
    <row r="87" spans="11:43" ht="21" customHeight="1">
      <c r="K87" s="3813" t="s">
        <v>12475</v>
      </c>
      <c r="L87" s="3814" t="s">
        <v>12476</v>
      </c>
      <c r="M87" s="3815" t="s">
        <v>12477</v>
      </c>
      <c r="N87" s="3816" t="s">
        <v>12478</v>
      </c>
      <c r="O87" s="3817" t="s">
        <v>12479</v>
      </c>
      <c r="P87" s="3818" t="s">
        <v>12480</v>
      </c>
      <c r="Q87" s="3819" t="s">
        <v>12481</v>
      </c>
      <c r="R87" s="3820" t="s">
        <v>12482</v>
      </c>
      <c r="S87" s="3821" t="s">
        <v>12483</v>
      </c>
      <c r="V87" s="3822"/>
      <c r="W87" s="3313" t="s">
        <v>12484</v>
      </c>
      <c r="X87" s="3293" t="s">
        <v>12485</v>
      </c>
      <c r="Y87" s="3294">
        <v>38</v>
      </c>
      <c r="Z87" s="3295">
        <v>196</v>
      </c>
      <c r="AA87" s="3296">
        <v>236</v>
      </c>
      <c r="AB87"/>
      <c r="AC87" s="3823"/>
      <c r="AD87" s="3347" t="s">
        <v>12486</v>
      </c>
      <c r="AE87" s="3283" t="s">
        <v>12487</v>
      </c>
      <c r="AF87" s="3284">
        <v>237</v>
      </c>
      <c r="AG87" s="3285">
        <v>255</v>
      </c>
      <c r="AH87" s="3286">
        <v>12</v>
      </c>
      <c r="AI87"/>
      <c r="AJ87" s="3824"/>
      <c r="AK87" s="3299" t="s">
        <v>12488</v>
      </c>
      <c r="AL87" s="3283" t="s">
        <v>12489</v>
      </c>
      <c r="AM87" s="3284">
        <v>223</v>
      </c>
      <c r="AN87" s="3285">
        <v>175</v>
      </c>
      <c r="AO87" s="3286">
        <v>44</v>
      </c>
      <c r="AQ87" s="2730">
        <v>1</v>
      </c>
    </row>
    <row r="88" spans="11:43" ht="21" customHeight="1">
      <c r="K88" s="3825" t="s">
        <v>12490</v>
      </c>
      <c r="L88" s="3826" t="s">
        <v>12491</v>
      </c>
      <c r="M88" s="3827" t="s">
        <v>12492</v>
      </c>
      <c r="N88" s="3828" t="s">
        <v>12493</v>
      </c>
      <c r="O88" s="3829" t="s">
        <v>12494</v>
      </c>
      <c r="P88" s="3830" t="s">
        <v>12495</v>
      </c>
      <c r="Q88" s="3831" t="s">
        <v>12496</v>
      </c>
      <c r="R88" s="3832" t="s">
        <v>12497</v>
      </c>
      <c r="S88" s="3833" t="s">
        <v>12498</v>
      </c>
      <c r="V88" s="3834"/>
      <c r="W88" s="3292" t="s">
        <v>12499</v>
      </c>
      <c r="X88" s="3293" t="s">
        <v>12500</v>
      </c>
      <c r="Y88" s="3294">
        <v>56</v>
      </c>
      <c r="Z88" s="3295">
        <v>176</v>
      </c>
      <c r="AA88" s="3296">
        <v>222</v>
      </c>
      <c r="AB88"/>
      <c r="AC88" s="3835"/>
      <c r="AD88" s="3347" t="s">
        <v>12501</v>
      </c>
      <c r="AE88" s="3283" t="s">
        <v>12502</v>
      </c>
      <c r="AF88" s="3284">
        <v>218</v>
      </c>
      <c r="AG88" s="3285">
        <v>223</v>
      </c>
      <c r="AH88" s="3286">
        <v>183</v>
      </c>
      <c r="AI88"/>
      <c r="AJ88" s="3836"/>
      <c r="AK88" s="3299" t="s">
        <v>724</v>
      </c>
      <c r="AL88" s="3283" t="s">
        <v>12503</v>
      </c>
      <c r="AM88" s="3284">
        <v>218</v>
      </c>
      <c r="AN88" s="3285">
        <v>179</v>
      </c>
      <c r="AO88" s="3286">
        <v>10</v>
      </c>
      <c r="AQ88" s="2730">
        <v>1</v>
      </c>
    </row>
    <row r="89" spans="11:43" ht="21" customHeight="1">
      <c r="K89" s="3837" t="s">
        <v>12504</v>
      </c>
      <c r="L89" s="3838" t="s">
        <v>12505</v>
      </c>
      <c r="M89" s="3839" t="s">
        <v>12506</v>
      </c>
      <c r="N89" s="3840" t="s">
        <v>12507</v>
      </c>
      <c r="O89" s="3841" t="s">
        <v>12508</v>
      </c>
      <c r="P89" s="3842" t="s">
        <v>12509</v>
      </c>
      <c r="Q89" s="3843" t="s">
        <v>12510</v>
      </c>
      <c r="R89" s="3844" t="s">
        <v>12511</v>
      </c>
      <c r="S89" s="3845" t="s">
        <v>12512</v>
      </c>
      <c r="V89" s="3846"/>
      <c r="W89" s="3313" t="s">
        <v>12513</v>
      </c>
      <c r="X89" s="3293" t="s">
        <v>12514</v>
      </c>
      <c r="Y89" s="3294">
        <v>0</v>
      </c>
      <c r="Z89" s="3295">
        <v>161</v>
      </c>
      <c r="AA89" s="3296">
        <v>194</v>
      </c>
      <c r="AB89"/>
      <c r="AC89" s="3847"/>
      <c r="AD89" s="3347" t="s">
        <v>12515</v>
      </c>
      <c r="AE89" s="3283" t="s">
        <v>12516</v>
      </c>
      <c r="AF89" s="3284">
        <v>231</v>
      </c>
      <c r="AG89" s="3285">
        <v>240</v>
      </c>
      <c r="AH89" s="3286">
        <v>13</v>
      </c>
      <c r="AI89"/>
      <c r="AJ89" s="3848"/>
      <c r="AK89" s="3299" t="s">
        <v>12517</v>
      </c>
      <c r="AL89" s="3283" t="s">
        <v>12518</v>
      </c>
      <c r="AM89" s="3284">
        <v>201</v>
      </c>
      <c r="AN89" s="3285">
        <v>174</v>
      </c>
      <c r="AO89" s="3286">
        <v>93</v>
      </c>
      <c r="AQ89" s="2730">
        <v>1</v>
      </c>
    </row>
    <row r="90" spans="11:43" ht="21" customHeight="1">
      <c r="K90" s="3849" t="s">
        <v>12519</v>
      </c>
      <c r="L90" s="3850" t="s">
        <v>12520</v>
      </c>
      <c r="M90" s="3851" t="s">
        <v>12521</v>
      </c>
      <c r="N90" s="3852" t="s">
        <v>12522</v>
      </c>
      <c r="O90" s="3853" t="s">
        <v>12523</v>
      </c>
      <c r="P90" s="3854" t="s">
        <v>12524</v>
      </c>
      <c r="Q90" s="3855" t="s">
        <v>12525</v>
      </c>
      <c r="R90" s="3856" t="s">
        <v>12526</v>
      </c>
      <c r="S90" s="3857" t="s">
        <v>12527</v>
      </c>
      <c r="V90" s="3858"/>
      <c r="W90" s="3313" t="s">
        <v>12528</v>
      </c>
      <c r="X90" s="3293" t="s">
        <v>12529</v>
      </c>
      <c r="Y90" s="3294">
        <v>129</v>
      </c>
      <c r="Z90" s="3295">
        <v>135</v>
      </c>
      <c r="AA90" s="3296">
        <v>139</v>
      </c>
      <c r="AB90"/>
      <c r="AC90" s="3859"/>
      <c r="AD90" s="3347" t="s">
        <v>12530</v>
      </c>
      <c r="AE90" s="3283" t="s">
        <v>12531</v>
      </c>
      <c r="AF90" s="3284">
        <v>199</v>
      </c>
      <c r="AG90" s="3285">
        <v>207</v>
      </c>
      <c r="AH90" s="3286">
        <v>0</v>
      </c>
      <c r="AI90"/>
      <c r="AJ90" s="3860"/>
      <c r="AK90" s="3299" t="s">
        <v>12532</v>
      </c>
      <c r="AL90" s="3283" t="s">
        <v>12533</v>
      </c>
      <c r="AM90" s="3284">
        <v>212</v>
      </c>
      <c r="AN90" s="3285">
        <v>175</v>
      </c>
      <c r="AO90" s="3286">
        <v>55</v>
      </c>
      <c r="AQ90" s="2730">
        <v>1</v>
      </c>
    </row>
    <row r="91" spans="11:43" ht="21" customHeight="1">
      <c r="K91" s="3861" t="s">
        <v>12534</v>
      </c>
      <c r="L91" s="3862" t="s">
        <v>12535</v>
      </c>
      <c r="M91" s="3863" t="s">
        <v>12536</v>
      </c>
      <c r="N91" s="3864" t="s">
        <v>12537</v>
      </c>
      <c r="O91" s="3865" t="s">
        <v>12538</v>
      </c>
      <c r="P91" s="3866" t="s">
        <v>12539</v>
      </c>
      <c r="Q91" s="3867" t="s">
        <v>12540</v>
      </c>
      <c r="R91" s="3868" t="s">
        <v>12541</v>
      </c>
      <c r="S91" s="3869" t="s">
        <v>12542</v>
      </c>
      <c r="V91" s="3870"/>
      <c r="W91" s="3292" t="s">
        <v>12543</v>
      </c>
      <c r="X91" s="3293" t="s">
        <v>12544</v>
      </c>
      <c r="Y91" s="3294">
        <v>96</v>
      </c>
      <c r="Z91" s="3295">
        <v>123</v>
      </c>
      <c r="AA91" s="3296">
        <v>139</v>
      </c>
      <c r="AB91"/>
      <c r="AC91" s="3871"/>
      <c r="AD91" s="3282" t="s">
        <v>12545</v>
      </c>
      <c r="AE91" s="3283" t="s">
        <v>12546</v>
      </c>
      <c r="AF91" s="3284">
        <v>205</v>
      </c>
      <c r="AG91" s="3285">
        <v>201</v>
      </c>
      <c r="AH91" s="3286">
        <v>165</v>
      </c>
      <c r="AI91"/>
      <c r="AJ91" s="3872"/>
      <c r="AK91" s="3299" t="s">
        <v>12547</v>
      </c>
      <c r="AL91" s="3283" t="s">
        <v>12548</v>
      </c>
      <c r="AM91" s="3284">
        <v>186</v>
      </c>
      <c r="AN91" s="3285">
        <v>155</v>
      </c>
      <c r="AO91" s="3286">
        <v>97</v>
      </c>
      <c r="AQ91" s="2730">
        <v>1</v>
      </c>
    </row>
    <row r="92" spans="11:43" ht="21" customHeight="1">
      <c r="K92" s="3873" t="s">
        <v>12549</v>
      </c>
      <c r="L92" s="3874" t="s">
        <v>12550</v>
      </c>
      <c r="M92" s="3875" t="s">
        <v>12551</v>
      </c>
      <c r="N92" s="3876" t="s">
        <v>12552</v>
      </c>
      <c r="O92" s="3877" t="s">
        <v>12553</v>
      </c>
      <c r="P92" s="3878" t="s">
        <v>12554</v>
      </c>
      <c r="Q92" s="3879" t="s">
        <v>12555</v>
      </c>
      <c r="R92" s="3880" t="s">
        <v>12556</v>
      </c>
      <c r="S92" s="3881" t="s">
        <v>12557</v>
      </c>
      <c r="V92" s="3882"/>
      <c r="W92" s="3313" t="s">
        <v>12558</v>
      </c>
      <c r="X92" s="3293" t="s">
        <v>12559</v>
      </c>
      <c r="Y92" s="3294">
        <v>0</v>
      </c>
      <c r="Z92" s="3295">
        <v>133</v>
      </c>
      <c r="AA92" s="3296">
        <v>161</v>
      </c>
      <c r="AB92"/>
      <c r="AC92" s="3883"/>
      <c r="AD92" s="3347" t="s">
        <v>196</v>
      </c>
      <c r="AE92" s="3283" t="s">
        <v>12560</v>
      </c>
      <c r="AF92" s="3284">
        <v>240</v>
      </c>
      <c r="AG92" s="3285">
        <v>227</v>
      </c>
      <c r="AH92" s="3286">
        <v>107</v>
      </c>
      <c r="AI92"/>
      <c r="AJ92" s="3884"/>
      <c r="AK92" s="3299" t="s">
        <v>12561</v>
      </c>
      <c r="AL92" s="3283" t="s">
        <v>12562</v>
      </c>
      <c r="AM92" s="3284">
        <v>168</v>
      </c>
      <c r="AN92" s="3285">
        <v>152</v>
      </c>
      <c r="AO92" s="3286">
        <v>116</v>
      </c>
      <c r="AQ92" s="2730">
        <v>1</v>
      </c>
    </row>
    <row r="93" spans="11:43" ht="21" customHeight="1">
      <c r="K93" s="3885" t="s">
        <v>12563</v>
      </c>
      <c r="L93" s="3886" t="s">
        <v>12564</v>
      </c>
      <c r="M93" s="3887" t="s">
        <v>12565</v>
      </c>
      <c r="N93" s="3888" t="s">
        <v>12566</v>
      </c>
      <c r="O93" s="3889" t="s">
        <v>12567</v>
      </c>
      <c r="P93" s="3890" t="s">
        <v>12568</v>
      </c>
      <c r="Q93" s="3891" t="s">
        <v>12569</v>
      </c>
      <c r="R93" s="3892" t="s">
        <v>12570</v>
      </c>
      <c r="S93" s="3893" t="s">
        <v>12571</v>
      </c>
      <c r="V93" s="3894"/>
      <c r="W93" s="3313" t="s">
        <v>12572</v>
      </c>
      <c r="X93" s="3293" t="s">
        <v>12573</v>
      </c>
      <c r="Y93" s="3294">
        <v>0</v>
      </c>
      <c r="Z93" s="3295">
        <v>119</v>
      </c>
      <c r="AA93" s="3296">
        <v>145</v>
      </c>
      <c r="AB93"/>
      <c r="AC93" s="3895"/>
      <c r="AD93" s="3347" t="s">
        <v>12574</v>
      </c>
      <c r="AE93" s="3283" t="s">
        <v>12575</v>
      </c>
      <c r="AF93" s="3284">
        <v>247</v>
      </c>
      <c r="AG93" s="3285">
        <v>227</v>
      </c>
      <c r="AH93" s="3286">
        <v>95</v>
      </c>
      <c r="AI93"/>
      <c r="AJ93" s="3896"/>
      <c r="AK93" s="3299" t="s">
        <v>12576</v>
      </c>
      <c r="AL93" s="3283" t="s">
        <v>12577</v>
      </c>
      <c r="AM93" s="3284">
        <v>161</v>
      </c>
      <c r="AN93" s="3285">
        <v>143</v>
      </c>
      <c r="AO93" s="3286">
        <v>96</v>
      </c>
      <c r="AQ93" s="2730">
        <v>1</v>
      </c>
    </row>
    <row r="94" spans="11:43" ht="21" customHeight="1">
      <c r="K94" s="3897" t="s">
        <v>12578</v>
      </c>
      <c r="L94" s="3898" t="s">
        <v>12579</v>
      </c>
      <c r="M94" s="3899" t="s">
        <v>12580</v>
      </c>
      <c r="N94" s="3900" t="s">
        <v>12581</v>
      </c>
      <c r="O94" s="3901" t="s">
        <v>12582</v>
      </c>
      <c r="P94" s="3902" t="s">
        <v>12583</v>
      </c>
      <c r="Q94" s="3903" t="s">
        <v>12584</v>
      </c>
      <c r="R94" s="3904" t="s">
        <v>12585</v>
      </c>
      <c r="S94" s="3905" t="s">
        <v>12586</v>
      </c>
      <c r="V94" s="3906"/>
      <c r="W94" s="3313" t="s">
        <v>12587</v>
      </c>
      <c r="X94" s="3293" t="s">
        <v>12588</v>
      </c>
      <c r="Y94" s="3294">
        <v>6</v>
      </c>
      <c r="Z94" s="3295">
        <v>119</v>
      </c>
      <c r="AA94" s="3296">
        <v>144</v>
      </c>
      <c r="AB94"/>
      <c r="AC94" s="3907"/>
      <c r="AD94" s="3282" t="s">
        <v>12589</v>
      </c>
      <c r="AE94" s="3283" t="s">
        <v>12590</v>
      </c>
      <c r="AF94" s="3284">
        <v>205</v>
      </c>
      <c r="AG94" s="3285">
        <v>200</v>
      </c>
      <c r="AH94" s="3286">
        <v>177</v>
      </c>
      <c r="AI94"/>
      <c r="AJ94" s="3908"/>
      <c r="AK94" s="3299" t="s">
        <v>12591</v>
      </c>
      <c r="AL94" s="3283" t="s">
        <v>12592</v>
      </c>
      <c r="AM94" s="3284">
        <v>171</v>
      </c>
      <c r="AN94" s="3285">
        <v>145</v>
      </c>
      <c r="AO94" s="3286">
        <v>68</v>
      </c>
      <c r="AQ94" s="2730">
        <v>1</v>
      </c>
    </row>
    <row r="95" spans="11:43" ht="21" customHeight="1">
      <c r="K95" s="3909" t="s">
        <v>12593</v>
      </c>
      <c r="L95" s="3910" t="s">
        <v>12594</v>
      </c>
      <c r="M95" s="3911" t="s">
        <v>12595</v>
      </c>
      <c r="N95" s="3912" t="s">
        <v>12596</v>
      </c>
      <c r="O95" s="3913" t="s">
        <v>12597</v>
      </c>
      <c r="P95" s="3914" t="s">
        <v>12598</v>
      </c>
      <c r="Q95" s="3915" t="s">
        <v>12599</v>
      </c>
      <c r="R95" s="3916" t="s">
        <v>12600</v>
      </c>
      <c r="S95" s="3917" t="s">
        <v>12601</v>
      </c>
      <c r="V95" s="3918"/>
      <c r="W95" s="3313" t="s">
        <v>12602</v>
      </c>
      <c r="X95" s="3293" t="s">
        <v>12603</v>
      </c>
      <c r="Y95" s="3294">
        <v>0</v>
      </c>
      <c r="Z95" s="3295">
        <v>46</v>
      </c>
      <c r="AA95" s="3296">
        <v>59</v>
      </c>
      <c r="AB95"/>
      <c r="AC95" s="3919"/>
      <c r="AD95" s="3282" t="s">
        <v>12604</v>
      </c>
      <c r="AE95" s="3283" t="s">
        <v>12605</v>
      </c>
      <c r="AF95" s="3284">
        <v>238</v>
      </c>
      <c r="AG95" s="3285">
        <v>230</v>
      </c>
      <c r="AH95" s="3286">
        <v>133</v>
      </c>
      <c r="AI95"/>
      <c r="AJ95" s="3920"/>
      <c r="AK95" s="3288" t="s">
        <v>12606</v>
      </c>
      <c r="AL95" s="3283" t="s">
        <v>12607</v>
      </c>
      <c r="AM95" s="3284">
        <v>139</v>
      </c>
      <c r="AN95" s="3285">
        <v>131</v>
      </c>
      <c r="AO95" s="3286">
        <v>120</v>
      </c>
      <c r="AQ95" s="2730">
        <v>1</v>
      </c>
    </row>
    <row r="96" spans="11:43" ht="21" customHeight="1">
      <c r="K96" s="3921" t="s">
        <v>12608</v>
      </c>
      <c r="L96" s="3922" t="s">
        <v>12609</v>
      </c>
      <c r="M96" s="3923" t="s">
        <v>12610</v>
      </c>
      <c r="N96" s="3924" t="s">
        <v>12611</v>
      </c>
      <c r="O96" s="3925" t="s">
        <v>12612</v>
      </c>
      <c r="P96" s="3926" t="s">
        <v>12613</v>
      </c>
      <c r="Q96" s="3927" t="s">
        <v>12614</v>
      </c>
      <c r="R96" s="3928" t="s">
        <v>12615</v>
      </c>
      <c r="S96" s="3929" t="s">
        <v>12616</v>
      </c>
      <c r="V96" s="3930"/>
      <c r="W96" s="3313" t="s">
        <v>2004</v>
      </c>
      <c r="X96" s="3293" t="s">
        <v>2004</v>
      </c>
      <c r="Y96" s="3294">
        <v>255</v>
      </c>
      <c r="Z96" s="3295">
        <v>255</v>
      </c>
      <c r="AA96" s="3296">
        <v>255</v>
      </c>
      <c r="AB96"/>
      <c r="AC96" s="3931"/>
      <c r="AD96" s="3347" t="s">
        <v>12617</v>
      </c>
      <c r="AE96" s="3283" t="s">
        <v>12618</v>
      </c>
      <c r="AF96" s="3284">
        <v>250</v>
      </c>
      <c r="AG96" s="3285">
        <v>234</v>
      </c>
      <c r="AH96" s="3286">
        <v>115</v>
      </c>
      <c r="AI96"/>
      <c r="AJ96" s="3932"/>
      <c r="AK96" s="3299" t="s">
        <v>12619</v>
      </c>
      <c r="AL96" s="3283" t="s">
        <v>12620</v>
      </c>
      <c r="AM96" s="3284">
        <v>175</v>
      </c>
      <c r="AN96" s="3285">
        <v>141</v>
      </c>
      <c r="AO96" s="3286">
        <v>19</v>
      </c>
      <c r="AQ96" s="2730">
        <v>1</v>
      </c>
    </row>
    <row r="97" spans="11:43" ht="21" customHeight="1">
      <c r="K97" s="3933" t="s">
        <v>12621</v>
      </c>
      <c r="L97" s="3934" t="s">
        <v>12622</v>
      </c>
      <c r="M97" s="3935" t="s">
        <v>12623</v>
      </c>
      <c r="N97" s="3936" t="s">
        <v>12624</v>
      </c>
      <c r="O97" s="3937" t="s">
        <v>12625</v>
      </c>
      <c r="P97" s="3938" t="s">
        <v>12626</v>
      </c>
      <c r="Q97" s="3939" t="s">
        <v>12627</v>
      </c>
      <c r="R97" s="3940" t="s">
        <v>12628</v>
      </c>
      <c r="S97" s="3941" t="s">
        <v>12629</v>
      </c>
      <c r="V97" s="3942"/>
      <c r="W97" s="3313" t="s">
        <v>12630</v>
      </c>
      <c r="X97" s="3293" t="s">
        <v>2001</v>
      </c>
      <c r="Y97" s="3294">
        <v>0</v>
      </c>
      <c r="Z97" s="3295">
        <v>0</v>
      </c>
      <c r="AA97" s="3296">
        <v>255</v>
      </c>
      <c r="AB97"/>
      <c r="AC97" s="3943"/>
      <c r="AD97" s="3282" t="s">
        <v>12631</v>
      </c>
      <c r="AE97" s="3283" t="s">
        <v>12632</v>
      </c>
      <c r="AF97" s="3284">
        <v>240</v>
      </c>
      <c r="AG97" s="3285">
        <v>230</v>
      </c>
      <c r="AH97" s="3286">
        <v>140</v>
      </c>
      <c r="AI97"/>
      <c r="AJ97" s="3944"/>
      <c r="AK97" s="3288" t="s">
        <v>12633</v>
      </c>
      <c r="AL97" s="3283" t="s">
        <v>12634</v>
      </c>
      <c r="AM97" s="3284">
        <v>139</v>
      </c>
      <c r="AN97" s="3285">
        <v>126</v>
      </c>
      <c r="AO97" s="3286">
        <v>102</v>
      </c>
      <c r="AQ97" s="2730">
        <v>1</v>
      </c>
    </row>
    <row r="98" spans="11:43" ht="21" customHeight="1">
      <c r="K98" s="3945" t="s">
        <v>12635</v>
      </c>
      <c r="L98" s="3946" t="s">
        <v>12636</v>
      </c>
      <c r="M98" s="3947" t="s">
        <v>12637</v>
      </c>
      <c r="N98" s="3948" t="s">
        <v>12638</v>
      </c>
      <c r="O98" s="3949" t="s">
        <v>12639</v>
      </c>
      <c r="P98" s="3950" t="s">
        <v>12640</v>
      </c>
      <c r="Q98" s="3951" t="s">
        <v>12641</v>
      </c>
      <c r="R98" s="3952" t="s">
        <v>12642</v>
      </c>
      <c r="S98" s="3953" t="s">
        <v>12643</v>
      </c>
      <c r="V98" s="3954"/>
      <c r="W98" s="3292" t="s">
        <v>12644</v>
      </c>
      <c r="X98" s="3293" t="s">
        <v>12645</v>
      </c>
      <c r="Y98" s="3294">
        <v>77</v>
      </c>
      <c r="Z98" s="3295">
        <v>77</v>
      </c>
      <c r="AA98" s="3296">
        <v>255</v>
      </c>
      <c r="AB98"/>
      <c r="AC98" s="3955"/>
      <c r="AD98" s="3282" t="s">
        <v>12646</v>
      </c>
      <c r="AE98" s="3283" t="s">
        <v>12647</v>
      </c>
      <c r="AF98" s="3284">
        <v>238</v>
      </c>
      <c r="AG98" s="3285">
        <v>232</v>
      </c>
      <c r="AH98" s="3286">
        <v>170</v>
      </c>
      <c r="AI98"/>
      <c r="AJ98" s="3956"/>
      <c r="AK98" s="3288" t="s">
        <v>12648</v>
      </c>
      <c r="AL98" s="3283" t="s">
        <v>12649</v>
      </c>
      <c r="AM98" s="3284">
        <v>140</v>
      </c>
      <c r="AN98" s="3285">
        <v>120</v>
      </c>
      <c r="AO98" s="3286">
        <v>83</v>
      </c>
      <c r="AQ98" s="2730">
        <v>1</v>
      </c>
    </row>
    <row r="99" spans="11:43" ht="21" customHeight="1">
      <c r="K99" s="3957" t="s">
        <v>12650</v>
      </c>
      <c r="L99" s="3958" t="s">
        <v>12651</v>
      </c>
      <c r="M99" s="3959" t="s">
        <v>12652</v>
      </c>
      <c r="N99" s="3960" t="s">
        <v>12653</v>
      </c>
      <c r="O99" s="3961" t="s">
        <v>12654</v>
      </c>
      <c r="P99" s="3962" t="s">
        <v>12655</v>
      </c>
      <c r="Q99" s="3963" t="s">
        <v>12656</v>
      </c>
      <c r="R99" s="3964" t="s">
        <v>12657</v>
      </c>
      <c r="S99" s="3965" t="s">
        <v>12658</v>
      </c>
      <c r="V99" s="3966"/>
      <c r="W99" s="3313" t="s">
        <v>12659</v>
      </c>
      <c r="X99" s="3293" t="s">
        <v>12660</v>
      </c>
      <c r="Y99" s="3294">
        <v>196</v>
      </c>
      <c r="Z99" s="3295">
        <v>195</v>
      </c>
      <c r="AA99" s="3296">
        <v>221</v>
      </c>
      <c r="AB99"/>
      <c r="AC99" s="3967"/>
      <c r="AD99" s="3347" t="s">
        <v>12661</v>
      </c>
      <c r="AE99" s="3283" t="s">
        <v>12662</v>
      </c>
      <c r="AF99" s="3284">
        <v>255</v>
      </c>
      <c r="AG99" s="3285">
        <v>244</v>
      </c>
      <c r="AH99" s="3286">
        <v>141</v>
      </c>
      <c r="AI99"/>
      <c r="AJ99" s="3968"/>
      <c r="AK99" s="3299" t="s">
        <v>12663</v>
      </c>
      <c r="AL99" s="3283" t="s">
        <v>12664</v>
      </c>
      <c r="AM99" s="3284">
        <v>118</v>
      </c>
      <c r="AN99" s="3285">
        <v>111</v>
      </c>
      <c r="AO99" s="3286">
        <v>100</v>
      </c>
      <c r="AQ99" s="2730">
        <v>1</v>
      </c>
    </row>
    <row r="100" spans="11:43" ht="21" customHeight="1">
      <c r="K100" s="3969" t="s">
        <v>12665</v>
      </c>
      <c r="L100" s="3970" t="s">
        <v>12666</v>
      </c>
      <c r="M100" s="3971" t="s">
        <v>12667</v>
      </c>
      <c r="N100" s="3972" t="s">
        <v>12668</v>
      </c>
      <c r="O100" s="3973" t="s">
        <v>12669</v>
      </c>
      <c r="P100" s="3974" t="s">
        <v>12670</v>
      </c>
      <c r="Q100" s="3975" t="s">
        <v>12671</v>
      </c>
      <c r="R100" s="3976" t="s">
        <v>12672</v>
      </c>
      <c r="S100" s="3977" t="s">
        <v>12673</v>
      </c>
      <c r="V100" s="3978"/>
      <c r="W100" s="3292" t="s">
        <v>12674</v>
      </c>
      <c r="X100" s="3293" t="s">
        <v>12675</v>
      </c>
      <c r="Y100" s="3294">
        <v>217</v>
      </c>
      <c r="Z100" s="3295">
        <v>217</v>
      </c>
      <c r="AA100" s="3296">
        <v>243</v>
      </c>
      <c r="AB100"/>
      <c r="AC100" s="3979"/>
      <c r="AD100" s="3282" t="s">
        <v>12676</v>
      </c>
      <c r="AE100" s="3283" t="s">
        <v>12677</v>
      </c>
      <c r="AF100" s="3284">
        <v>255</v>
      </c>
      <c r="AG100" s="3285">
        <v>246</v>
      </c>
      <c r="AH100" s="3286">
        <v>143</v>
      </c>
      <c r="AI100"/>
      <c r="AJ100" s="3980"/>
      <c r="AK100" s="3299" t="s">
        <v>12678</v>
      </c>
      <c r="AL100" s="3283" t="s">
        <v>12679</v>
      </c>
      <c r="AM100" s="3284">
        <v>107</v>
      </c>
      <c r="AN100" s="3285">
        <v>87</v>
      </c>
      <c r="AO100" s="3286">
        <v>49</v>
      </c>
      <c r="AQ100" s="2730">
        <v>1</v>
      </c>
    </row>
    <row r="101" spans="11:43" ht="21" customHeight="1">
      <c r="K101" s="3981" t="s">
        <v>12680</v>
      </c>
      <c r="L101" s="3982" t="s">
        <v>12681</v>
      </c>
      <c r="M101" s="3983" t="s">
        <v>12682</v>
      </c>
      <c r="N101" s="3984" t="s">
        <v>12683</v>
      </c>
      <c r="O101" s="3985" t="s">
        <v>12684</v>
      </c>
      <c r="P101" s="3986" t="s">
        <v>12685</v>
      </c>
      <c r="Q101" s="3987" t="s">
        <v>12686</v>
      </c>
      <c r="R101" s="3988" t="s">
        <v>12687</v>
      </c>
      <c r="S101" s="3989" t="s">
        <v>12688</v>
      </c>
      <c r="V101" s="3990"/>
      <c r="W101" s="3313" t="s">
        <v>12689</v>
      </c>
      <c r="X101" s="3293" t="s">
        <v>12690</v>
      </c>
      <c r="Y101" s="3294">
        <v>204</v>
      </c>
      <c r="Z101" s="3295">
        <v>204</v>
      </c>
      <c r="AA101" s="3296">
        <v>255</v>
      </c>
      <c r="AB101"/>
      <c r="AC101" s="3991"/>
      <c r="AD101" s="3282" t="s">
        <v>12691</v>
      </c>
      <c r="AE101" s="3283" t="s">
        <v>12692</v>
      </c>
      <c r="AF101" s="3284">
        <v>238</v>
      </c>
      <c r="AG101" s="3285">
        <v>233</v>
      </c>
      <c r="AH101" s="3286">
        <v>191</v>
      </c>
      <c r="AI101"/>
      <c r="AJ101" s="3992"/>
      <c r="AK101" s="3299" t="s">
        <v>12693</v>
      </c>
      <c r="AL101" s="3283" t="s">
        <v>12694</v>
      </c>
      <c r="AM101" s="3284">
        <v>97</v>
      </c>
      <c r="AN101" s="3285">
        <v>78</v>
      </c>
      <c r="AO101" s="3286">
        <v>26</v>
      </c>
      <c r="AQ101" s="2730">
        <v>1</v>
      </c>
    </row>
    <row r="102" spans="11:43" ht="21" customHeight="1">
      <c r="K102" s="3993" t="s">
        <v>12695</v>
      </c>
      <c r="L102" s="3994" t="s">
        <v>12696</v>
      </c>
      <c r="M102" s="3995" t="s">
        <v>12697</v>
      </c>
      <c r="N102" s="3996" t="s">
        <v>12698</v>
      </c>
      <c r="O102" s="3997" t="s">
        <v>12699</v>
      </c>
      <c r="P102" s="3998" t="s">
        <v>12700</v>
      </c>
      <c r="Q102" s="3999" t="s">
        <v>12701</v>
      </c>
      <c r="R102" s="4000" t="s">
        <v>12702</v>
      </c>
      <c r="S102" s="4001" t="s">
        <v>12703</v>
      </c>
      <c r="V102" s="4002"/>
      <c r="W102" s="3313" t="s">
        <v>12704</v>
      </c>
      <c r="X102" s="3293" t="s">
        <v>12705</v>
      </c>
      <c r="Y102" s="3294">
        <v>233</v>
      </c>
      <c r="Z102" s="3295">
        <v>233</v>
      </c>
      <c r="AA102" s="3296">
        <v>237</v>
      </c>
      <c r="AB102"/>
      <c r="AC102" s="4003"/>
      <c r="AD102" s="3347" t="s">
        <v>12706</v>
      </c>
      <c r="AE102" s="3283" t="s">
        <v>12707</v>
      </c>
      <c r="AF102" s="3284">
        <v>251</v>
      </c>
      <c r="AG102" s="3285">
        <v>242</v>
      </c>
      <c r="AH102" s="3286">
        <v>183</v>
      </c>
      <c r="AI102"/>
      <c r="AJ102" s="4004"/>
      <c r="AK102" s="3299" t="s">
        <v>12708</v>
      </c>
      <c r="AL102" s="3283" t="s">
        <v>12709</v>
      </c>
      <c r="AM102" s="3284">
        <v>70</v>
      </c>
      <c r="AN102" s="3285">
        <v>63</v>
      </c>
      <c r="AO102" s="3286">
        <v>50</v>
      </c>
      <c r="AQ102" s="2730">
        <v>1</v>
      </c>
    </row>
    <row r="103" spans="11:43" ht="21" customHeight="1">
      <c r="K103" s="4005" t="s">
        <v>12710</v>
      </c>
      <c r="L103" s="4006" t="s">
        <v>12711</v>
      </c>
      <c r="M103" s="4007" t="s">
        <v>12712</v>
      </c>
      <c r="N103" s="4008" t="s">
        <v>12713</v>
      </c>
      <c r="O103" s="4009" t="s">
        <v>12714</v>
      </c>
      <c r="P103" s="4010" t="s">
        <v>12715</v>
      </c>
      <c r="Q103" s="4011" t="s">
        <v>12716</v>
      </c>
      <c r="R103" s="4012" t="s">
        <v>12717</v>
      </c>
      <c r="S103" s="4013" t="s">
        <v>12718</v>
      </c>
      <c r="V103" s="4014"/>
      <c r="W103" s="3292" t="s">
        <v>12719</v>
      </c>
      <c r="X103" s="3293" t="s">
        <v>12720</v>
      </c>
      <c r="Y103" s="3294">
        <v>230</v>
      </c>
      <c r="Z103" s="3295">
        <v>230</v>
      </c>
      <c r="AA103" s="3296">
        <v>250</v>
      </c>
      <c r="AB103"/>
      <c r="AC103" s="4015"/>
      <c r="AD103" s="3347" t="s">
        <v>12721</v>
      </c>
      <c r="AE103" s="3283" t="s">
        <v>12722</v>
      </c>
      <c r="AF103" s="3284">
        <v>253</v>
      </c>
      <c r="AG103" s="3285">
        <v>241</v>
      </c>
      <c r="AH103" s="3286">
        <v>184</v>
      </c>
      <c r="AI103"/>
      <c r="AJ103" s="4016"/>
      <c r="AK103" s="3299" t="s">
        <v>12723</v>
      </c>
      <c r="AL103" s="3283" t="s">
        <v>12724</v>
      </c>
      <c r="AM103" s="3284">
        <v>41</v>
      </c>
      <c r="AN103" s="3285">
        <v>33</v>
      </c>
      <c r="AO103" s="3286">
        <v>7</v>
      </c>
      <c r="AQ103" s="2730">
        <v>1</v>
      </c>
    </row>
    <row r="104" spans="11:43" ht="21" customHeight="1">
      <c r="K104" s="4017" t="s">
        <v>12725</v>
      </c>
      <c r="L104" s="4018" t="s">
        <v>12726</v>
      </c>
      <c r="M104" s="4019" t="s">
        <v>12727</v>
      </c>
      <c r="N104" s="4020" t="s">
        <v>12728</v>
      </c>
      <c r="O104" s="4021" t="s">
        <v>12729</v>
      </c>
      <c r="P104" s="4022" t="s">
        <v>12730</v>
      </c>
      <c r="Q104" s="4023" t="s">
        <v>12731</v>
      </c>
      <c r="R104" s="4024" t="s">
        <v>12732</v>
      </c>
      <c r="S104" s="4025" t="s">
        <v>12733</v>
      </c>
      <c r="V104" s="4026"/>
      <c r="W104" s="3292" t="s">
        <v>12734</v>
      </c>
      <c r="X104" s="3293" t="s">
        <v>12735</v>
      </c>
      <c r="Y104" s="3294">
        <v>248</v>
      </c>
      <c r="Z104" s="3295">
        <v>248</v>
      </c>
      <c r="AA104" s="3296">
        <v>255</v>
      </c>
      <c r="AB104"/>
      <c r="AC104" s="4027"/>
      <c r="AD104" s="3282" t="s">
        <v>12736</v>
      </c>
      <c r="AE104" s="3283" t="s">
        <v>12737</v>
      </c>
      <c r="AF104" s="3284">
        <v>238</v>
      </c>
      <c r="AG104" s="3285">
        <v>232</v>
      </c>
      <c r="AH104" s="3286">
        <v>205</v>
      </c>
      <c r="AI104"/>
      <c r="AJ104" s="4028"/>
      <c r="AK104" s="3288" t="s">
        <v>12738</v>
      </c>
      <c r="AL104" s="3283" t="s">
        <v>12739</v>
      </c>
      <c r="AM104" s="3284">
        <v>255</v>
      </c>
      <c r="AN104" s="3285">
        <v>165</v>
      </c>
      <c r="AO104" s="3286">
        <v>0</v>
      </c>
      <c r="AQ104" s="2730">
        <v>1</v>
      </c>
    </row>
    <row r="105" spans="11:43" ht="21" customHeight="1">
      <c r="K105" s="4029" t="s">
        <v>12740</v>
      </c>
      <c r="L105" s="4030" t="s">
        <v>12741</v>
      </c>
      <c r="M105" s="4031" t="s">
        <v>12742</v>
      </c>
      <c r="N105" s="4032" t="s">
        <v>12743</v>
      </c>
      <c r="O105" s="4033" t="s">
        <v>12744</v>
      </c>
      <c r="P105" s="4034" t="s">
        <v>12745</v>
      </c>
      <c r="Q105" s="4035" t="s">
        <v>12746</v>
      </c>
      <c r="R105" s="4036" t="s">
        <v>12747</v>
      </c>
      <c r="S105" s="4037" t="s">
        <v>12748</v>
      </c>
      <c r="V105" s="4038"/>
      <c r="W105" s="3292" t="s">
        <v>12749</v>
      </c>
      <c r="X105" s="3293" t="s">
        <v>12750</v>
      </c>
      <c r="Y105" s="3294">
        <v>0</v>
      </c>
      <c r="Z105" s="3295">
        <v>0</v>
      </c>
      <c r="AA105" s="3296">
        <v>238</v>
      </c>
      <c r="AB105"/>
      <c r="AC105" s="4039"/>
      <c r="AD105" s="3282" t="s">
        <v>12751</v>
      </c>
      <c r="AE105" s="3283" t="s">
        <v>12752</v>
      </c>
      <c r="AF105" s="3284">
        <v>255</v>
      </c>
      <c r="AG105" s="3285">
        <v>250</v>
      </c>
      <c r="AH105" s="3286">
        <v>205</v>
      </c>
      <c r="AI105"/>
      <c r="AJ105" s="4040"/>
      <c r="AK105" s="3288" t="s">
        <v>12753</v>
      </c>
      <c r="AL105" s="3283" t="s">
        <v>12754</v>
      </c>
      <c r="AM105" s="3284">
        <v>244</v>
      </c>
      <c r="AN105" s="3285">
        <v>164</v>
      </c>
      <c r="AO105" s="3286">
        <v>96</v>
      </c>
      <c r="AQ105" s="2730">
        <v>1</v>
      </c>
    </row>
    <row r="106" spans="11:43" ht="24" customHeight="1">
      <c r="K106" s="4041" t="s">
        <v>12755</v>
      </c>
      <c r="L106" s="4042" t="s">
        <v>12756</v>
      </c>
      <c r="M106" s="4043" t="s">
        <v>12757</v>
      </c>
      <c r="N106" s="4044" t="s">
        <v>12758</v>
      </c>
      <c r="O106" s="4045" t="s">
        <v>12759</v>
      </c>
      <c r="P106" s="4046" t="s">
        <v>12760</v>
      </c>
      <c r="Q106" s="4047" t="s">
        <v>12761</v>
      </c>
      <c r="R106" s="4048" t="s">
        <v>12762</v>
      </c>
      <c r="S106" s="4049" t="s">
        <v>12763</v>
      </c>
      <c r="V106" s="4050"/>
      <c r="W106" s="3313" t="s">
        <v>12764</v>
      </c>
      <c r="X106" s="3293" t="s">
        <v>12765</v>
      </c>
      <c r="Y106" s="3294">
        <v>96</v>
      </c>
      <c r="Z106" s="3295">
        <v>80</v>
      </c>
      <c r="AA106" s="3296">
        <v>220</v>
      </c>
      <c r="AB106"/>
      <c r="AC106" s="4051"/>
      <c r="AD106" s="3347" t="s">
        <v>12766</v>
      </c>
      <c r="AE106" s="3283" t="s">
        <v>12767</v>
      </c>
      <c r="AF106" s="3284">
        <v>254</v>
      </c>
      <c r="AG106" s="3285">
        <v>253</v>
      </c>
      <c r="AH106" s="3286">
        <v>240</v>
      </c>
      <c r="AI106"/>
      <c r="AJ106" s="4052"/>
      <c r="AK106" s="3299" t="s">
        <v>697</v>
      </c>
      <c r="AL106" s="3283" t="s">
        <v>12768</v>
      </c>
      <c r="AM106" s="3284">
        <v>254</v>
      </c>
      <c r="AN106" s="3285">
        <v>163</v>
      </c>
      <c r="AO106" s="3286">
        <v>71</v>
      </c>
      <c r="AQ106" s="2730">
        <v>1</v>
      </c>
    </row>
    <row r="107" spans="11:43" ht="21" customHeight="1">
      <c r="K107" s="4053" t="s">
        <v>12769</v>
      </c>
      <c r="L107" s="4054" t="s">
        <v>12770</v>
      </c>
      <c r="M107" s="4055" t="s">
        <v>12771</v>
      </c>
      <c r="N107" s="4056" t="s">
        <v>12772</v>
      </c>
      <c r="O107" s="4057" t="s">
        <v>12773</v>
      </c>
      <c r="P107" s="4058" t="s">
        <v>12774</v>
      </c>
      <c r="Q107" s="4059" t="s">
        <v>12775</v>
      </c>
      <c r="R107" s="4060" t="s">
        <v>12776</v>
      </c>
      <c r="S107" s="4061" t="s">
        <v>12777</v>
      </c>
      <c r="V107" s="4062"/>
      <c r="W107" s="3292" t="s">
        <v>12778</v>
      </c>
      <c r="X107" s="3293" t="s">
        <v>12779</v>
      </c>
      <c r="Y107" s="3294">
        <v>0</v>
      </c>
      <c r="Z107" s="3295">
        <v>0</v>
      </c>
      <c r="AA107" s="3296">
        <v>205</v>
      </c>
      <c r="AB107"/>
      <c r="AC107" s="4063"/>
      <c r="AD107" s="3347" t="s">
        <v>12780</v>
      </c>
      <c r="AE107" s="3283" t="s">
        <v>12781</v>
      </c>
      <c r="AF107" s="3284">
        <v>193</v>
      </c>
      <c r="AG107" s="3285">
        <v>191</v>
      </c>
      <c r="AH107" s="3286">
        <v>177</v>
      </c>
      <c r="AI107"/>
      <c r="AJ107" s="4064"/>
      <c r="AK107" s="3288" t="s">
        <v>12782</v>
      </c>
      <c r="AL107" s="3283" t="s">
        <v>12783</v>
      </c>
      <c r="AM107" s="3284">
        <v>255</v>
      </c>
      <c r="AN107" s="3285">
        <v>165</v>
      </c>
      <c r="AO107" s="3286">
        <v>79</v>
      </c>
      <c r="AQ107" s="2730">
        <v>1</v>
      </c>
    </row>
    <row r="108" spans="11:43" ht="21" customHeight="1">
      <c r="K108" s="4065" t="s">
        <v>12784</v>
      </c>
      <c r="L108" s="4066" t="s">
        <v>12785</v>
      </c>
      <c r="M108" s="4067" t="s">
        <v>12786</v>
      </c>
      <c r="N108" s="4068" t="s">
        <v>12787</v>
      </c>
      <c r="O108" s="4069" t="s">
        <v>12788</v>
      </c>
      <c r="P108" s="4070" t="s">
        <v>12789</v>
      </c>
      <c r="Q108" s="4071" t="s">
        <v>12790</v>
      </c>
      <c r="R108" s="4072" t="s">
        <v>12791</v>
      </c>
      <c r="S108" s="4073" t="s">
        <v>12792</v>
      </c>
      <c r="V108" s="4074"/>
      <c r="W108" s="3292" t="s">
        <v>12793</v>
      </c>
      <c r="X108" s="3293" t="s">
        <v>12794</v>
      </c>
      <c r="Y108" s="3294">
        <v>89</v>
      </c>
      <c r="Z108" s="3295">
        <v>89</v>
      </c>
      <c r="AA108" s="3296">
        <v>171</v>
      </c>
      <c r="AB108"/>
      <c r="AC108" s="4075"/>
      <c r="AD108" s="3347" t="s">
        <v>12795</v>
      </c>
      <c r="AE108" s="3283" t="s">
        <v>12796</v>
      </c>
      <c r="AF108" s="3284">
        <v>239</v>
      </c>
      <c r="AG108" s="3285">
        <v>216</v>
      </c>
      <c r="AH108" s="3286">
        <v>7</v>
      </c>
      <c r="AI108"/>
      <c r="AJ108" s="4076"/>
      <c r="AK108" s="3288" t="s">
        <v>12797</v>
      </c>
      <c r="AL108" s="3283" t="s">
        <v>12798</v>
      </c>
      <c r="AM108" s="3284">
        <v>205</v>
      </c>
      <c r="AN108" s="3285">
        <v>197</v>
      </c>
      <c r="AO108" s="3286">
        <v>191</v>
      </c>
      <c r="AQ108" s="2730">
        <v>1</v>
      </c>
    </row>
    <row r="109" spans="11:43" ht="21" customHeight="1">
      <c r="K109" s="4077" t="s">
        <v>12799</v>
      </c>
      <c r="L109" s="4078" t="s">
        <v>12800</v>
      </c>
      <c r="M109" s="4079" t="s">
        <v>12801</v>
      </c>
      <c r="N109" s="4080" t="s">
        <v>12802</v>
      </c>
      <c r="O109" s="4081" t="s">
        <v>12803</v>
      </c>
      <c r="P109" s="4082" t="s">
        <v>12804</v>
      </c>
      <c r="Q109" s="4083" t="s">
        <v>12805</v>
      </c>
      <c r="R109" s="4084" t="s">
        <v>12806</v>
      </c>
      <c r="S109" s="4085" t="s">
        <v>12807</v>
      </c>
      <c r="V109" s="4086"/>
      <c r="W109" s="3313" t="s">
        <v>12808</v>
      </c>
      <c r="X109" s="3293" t="s">
        <v>12809</v>
      </c>
      <c r="Y109" s="3294">
        <v>84</v>
      </c>
      <c r="Z109" s="3295">
        <v>90</v>
      </c>
      <c r="AA109" s="3296">
        <v>167</v>
      </c>
      <c r="AB109"/>
      <c r="AC109" s="4087"/>
      <c r="AD109" s="3347" t="s">
        <v>12810</v>
      </c>
      <c r="AE109" s="3283" t="s">
        <v>12811</v>
      </c>
      <c r="AF109" s="3284">
        <v>232</v>
      </c>
      <c r="AG109" s="3285">
        <v>214</v>
      </c>
      <c r="AH109" s="3286">
        <v>48</v>
      </c>
      <c r="AI109"/>
      <c r="AJ109" s="4088"/>
      <c r="AK109" s="3299" t="s">
        <v>12812</v>
      </c>
      <c r="AL109" s="3283" t="s">
        <v>12813</v>
      </c>
      <c r="AM109" s="3284">
        <v>250</v>
      </c>
      <c r="AN109" s="3285">
        <v>181</v>
      </c>
      <c r="AO109" s="3286">
        <v>127</v>
      </c>
      <c r="AQ109" s="2730">
        <v>1</v>
      </c>
    </row>
    <row r="110" spans="11:43" ht="21" customHeight="1">
      <c r="K110" s="4089" t="s">
        <v>12814</v>
      </c>
      <c r="L110" s="4090" t="s">
        <v>12815</v>
      </c>
      <c r="M110" s="4091" t="s">
        <v>12816</v>
      </c>
      <c r="N110" s="4092" t="s">
        <v>12817</v>
      </c>
      <c r="O110" s="4093" t="s">
        <v>12818</v>
      </c>
      <c r="P110" s="4094" t="s">
        <v>12819</v>
      </c>
      <c r="Q110" s="4095" t="s">
        <v>12820</v>
      </c>
      <c r="R110" s="4096" t="s">
        <v>12821</v>
      </c>
      <c r="S110" s="4097" t="s">
        <v>12822</v>
      </c>
      <c r="V110" s="4098"/>
      <c r="W110" s="3313" t="s">
        <v>12823</v>
      </c>
      <c r="X110" s="3293" t="s">
        <v>12824</v>
      </c>
      <c r="Y110" s="3294">
        <v>1</v>
      </c>
      <c r="Z110" s="3295">
        <v>49</v>
      </c>
      <c r="AA110" s="3296">
        <v>180</v>
      </c>
      <c r="AB110"/>
      <c r="AC110" s="4099"/>
      <c r="AD110" s="3282" t="s">
        <v>12825</v>
      </c>
      <c r="AE110" s="3283" t="s">
        <v>12826</v>
      </c>
      <c r="AF110" s="3284">
        <v>205</v>
      </c>
      <c r="AG110" s="3285">
        <v>198</v>
      </c>
      <c r="AH110" s="3286">
        <v>115</v>
      </c>
      <c r="AI110"/>
      <c r="AJ110" s="4100"/>
      <c r="AK110" s="3299" t="s">
        <v>12827</v>
      </c>
      <c r="AL110" s="3283" t="s">
        <v>12828</v>
      </c>
      <c r="AM110" s="3284">
        <v>233</v>
      </c>
      <c r="AN110" s="3285">
        <v>201</v>
      </c>
      <c r="AO110" s="3286">
        <v>177</v>
      </c>
      <c r="AQ110" s="2730">
        <v>1</v>
      </c>
    </row>
    <row r="111" spans="11:43" ht="21" customHeight="1">
      <c r="K111" s="4101" t="s">
        <v>12829</v>
      </c>
      <c r="L111" s="4102" t="s">
        <v>12830</v>
      </c>
      <c r="M111" s="4103" t="s">
        <v>12831</v>
      </c>
      <c r="N111" s="4104" t="s">
        <v>12832</v>
      </c>
      <c r="O111" s="4105" t="s">
        <v>12833</v>
      </c>
      <c r="P111" s="4106" t="s">
        <v>12834</v>
      </c>
      <c r="Q111" s="4107" t="s">
        <v>12835</v>
      </c>
      <c r="R111" s="4108" t="s">
        <v>12836</v>
      </c>
      <c r="S111" s="4109" t="s">
        <v>12837</v>
      </c>
      <c r="V111" s="4110"/>
      <c r="W111" s="3292" t="s">
        <v>12838</v>
      </c>
      <c r="X111" s="3293" t="s">
        <v>12839</v>
      </c>
      <c r="Y111" s="3294">
        <v>0</v>
      </c>
      <c r="Z111" s="3295">
        <v>0</v>
      </c>
      <c r="AA111" s="3296">
        <v>156</v>
      </c>
      <c r="AB111"/>
      <c r="AC111" s="4111"/>
      <c r="AD111" s="3347" t="s">
        <v>12840</v>
      </c>
      <c r="AE111" s="3283" t="s">
        <v>12841</v>
      </c>
      <c r="AF111" s="3284">
        <v>220</v>
      </c>
      <c r="AG111" s="3285">
        <v>211</v>
      </c>
      <c r="AH111" s="3286">
        <v>0</v>
      </c>
      <c r="AI111"/>
      <c r="AJ111" s="4112"/>
      <c r="AK111" s="3288" t="s">
        <v>12842</v>
      </c>
      <c r="AL111" s="3283" t="s">
        <v>12843</v>
      </c>
      <c r="AM111" s="3284">
        <v>238</v>
      </c>
      <c r="AN111" s="3285">
        <v>203</v>
      </c>
      <c r="AO111" s="3286">
        <v>173</v>
      </c>
      <c r="AQ111" s="2730">
        <v>1</v>
      </c>
    </row>
    <row r="112" spans="11:43" ht="21" customHeight="1">
      <c r="K112" s="4113" t="s">
        <v>12844</v>
      </c>
      <c r="L112" s="4114" t="s">
        <v>12845</v>
      </c>
      <c r="M112" s="4115" t="s">
        <v>12846</v>
      </c>
      <c r="N112" s="4116" t="s">
        <v>12847</v>
      </c>
      <c r="O112" s="4117" t="s">
        <v>12848</v>
      </c>
      <c r="P112" s="4118" t="s">
        <v>12849</v>
      </c>
      <c r="Q112" s="4119" t="s">
        <v>12850</v>
      </c>
      <c r="R112" s="4120" t="s">
        <v>12851</v>
      </c>
      <c r="S112" s="4121" t="s">
        <v>12852</v>
      </c>
      <c r="V112" s="4122"/>
      <c r="W112" s="3313" t="s">
        <v>12853</v>
      </c>
      <c r="X112" s="3293" t="s">
        <v>12854</v>
      </c>
      <c r="Y112" s="3294">
        <v>27</v>
      </c>
      <c r="Z112" s="3295">
        <v>1</v>
      </c>
      <c r="AA112" s="3296">
        <v>155</v>
      </c>
      <c r="AB112"/>
      <c r="AC112" s="4123"/>
      <c r="AD112" s="3347" t="s">
        <v>12855</v>
      </c>
      <c r="AE112" s="3283" t="s">
        <v>12856</v>
      </c>
      <c r="AF112" s="3284">
        <v>185</v>
      </c>
      <c r="AG112" s="3285">
        <v>181</v>
      </c>
      <c r="AH112" s="3286">
        <v>125</v>
      </c>
      <c r="AI112"/>
      <c r="AJ112" s="4124"/>
      <c r="AK112" s="3288" t="s">
        <v>12857</v>
      </c>
      <c r="AL112" s="3283" t="s">
        <v>12858</v>
      </c>
      <c r="AM112" s="3284">
        <v>245</v>
      </c>
      <c r="AN112" s="3285">
        <v>204</v>
      </c>
      <c r="AO112" s="3286">
        <v>176</v>
      </c>
      <c r="AQ112" s="2730">
        <v>1</v>
      </c>
    </row>
    <row r="113" spans="11:43" ht="21" customHeight="1">
      <c r="K113" s="4125" t="s">
        <v>12859</v>
      </c>
      <c r="L113" s="4126" t="s">
        <v>12860</v>
      </c>
      <c r="M113" s="4127" t="s">
        <v>12861</v>
      </c>
      <c r="N113" s="4128" t="s">
        <v>12862</v>
      </c>
      <c r="O113" s="4129" t="s">
        <v>12863</v>
      </c>
      <c r="P113" s="4130" t="s">
        <v>12864</v>
      </c>
      <c r="Q113" s="4131" t="s">
        <v>12865</v>
      </c>
      <c r="R113" s="4132" t="s">
        <v>12866</v>
      </c>
      <c r="S113" s="4133" t="s">
        <v>12867</v>
      </c>
      <c r="V113" s="4134"/>
      <c r="W113" s="3313" t="s">
        <v>12868</v>
      </c>
      <c r="X113" s="3293" t="s">
        <v>12869</v>
      </c>
      <c r="Y113" s="3294">
        <v>78</v>
      </c>
      <c r="Z113" s="3295">
        <v>81</v>
      </c>
      <c r="AA113" s="3296">
        <v>128</v>
      </c>
      <c r="AB113"/>
      <c r="AC113" s="4135"/>
      <c r="AD113" s="3347" t="s">
        <v>12870</v>
      </c>
      <c r="AE113" s="3283" t="s">
        <v>12871</v>
      </c>
      <c r="AF113" s="3284">
        <v>185</v>
      </c>
      <c r="AG113" s="3285">
        <v>178</v>
      </c>
      <c r="AH113" s="3286">
        <v>118</v>
      </c>
      <c r="AI113"/>
      <c r="AJ113" s="4136"/>
      <c r="AK113" s="3299" t="s">
        <v>12872</v>
      </c>
      <c r="AL113" s="3283" t="s">
        <v>12873</v>
      </c>
      <c r="AM113" s="3284">
        <v>236</v>
      </c>
      <c r="AN113" s="3285">
        <v>213</v>
      </c>
      <c r="AO113" s="3286">
        <v>197</v>
      </c>
      <c r="AQ113" s="2730">
        <v>1</v>
      </c>
    </row>
    <row r="114" spans="11:43" ht="21" customHeight="1">
      <c r="K114" s="4137" t="s">
        <v>12874</v>
      </c>
      <c r="L114" s="4138" t="s">
        <v>12875</v>
      </c>
      <c r="M114" s="4139" t="s">
        <v>12876</v>
      </c>
      <c r="N114" s="4140" t="s">
        <v>12877</v>
      </c>
      <c r="O114" s="4141" t="s">
        <v>12878</v>
      </c>
      <c r="P114" s="4142" t="s">
        <v>12879</v>
      </c>
      <c r="Q114" s="4143" t="s">
        <v>12880</v>
      </c>
      <c r="R114" s="4144" t="s">
        <v>12881</v>
      </c>
      <c r="S114" s="4145" t="s">
        <v>12882</v>
      </c>
      <c r="V114" s="4146"/>
      <c r="W114" s="3292" t="s">
        <v>12883</v>
      </c>
      <c r="X114" s="3293" t="s">
        <v>12884</v>
      </c>
      <c r="Y114" s="3294">
        <v>35</v>
      </c>
      <c r="Z114" s="3295">
        <v>35</v>
      </c>
      <c r="AA114" s="3296">
        <v>142</v>
      </c>
      <c r="AB114"/>
      <c r="AC114" s="4147"/>
      <c r="AD114" s="3282" t="s">
        <v>12885</v>
      </c>
      <c r="AE114" s="3283" t="s">
        <v>12886</v>
      </c>
      <c r="AF114" s="3284">
        <v>189</v>
      </c>
      <c r="AG114" s="3285">
        <v>183</v>
      </c>
      <c r="AH114" s="3286">
        <v>107</v>
      </c>
      <c r="AI114"/>
      <c r="AJ114" s="4148"/>
      <c r="AK114" s="3288" t="s">
        <v>12887</v>
      </c>
      <c r="AL114" s="3283" t="s">
        <v>12888</v>
      </c>
      <c r="AM114" s="3284">
        <v>255</v>
      </c>
      <c r="AN114" s="3285">
        <v>218</v>
      </c>
      <c r="AO114" s="3286">
        <v>185</v>
      </c>
      <c r="AQ114" s="2730">
        <v>1</v>
      </c>
    </row>
    <row r="115" spans="11:43" ht="21" customHeight="1">
      <c r="K115" s="4149" t="s">
        <v>12889</v>
      </c>
      <c r="L115" s="4150" t="s">
        <v>12890</v>
      </c>
      <c r="M115" s="4151" t="s">
        <v>12891</v>
      </c>
      <c r="N115" s="4152" t="s">
        <v>12892</v>
      </c>
      <c r="O115" s="4153" t="s">
        <v>12893</v>
      </c>
      <c r="P115" s="4154" t="s">
        <v>12894</v>
      </c>
      <c r="Q115" s="4155" t="s">
        <v>12895</v>
      </c>
      <c r="R115" s="4156" t="s">
        <v>12896</v>
      </c>
      <c r="S115" s="4157" t="s">
        <v>12897</v>
      </c>
      <c r="V115" s="4158"/>
      <c r="W115" s="3292" t="s">
        <v>12898</v>
      </c>
      <c r="X115" s="3293" t="s">
        <v>12899</v>
      </c>
      <c r="Y115" s="3294">
        <v>0</v>
      </c>
      <c r="Z115" s="3295">
        <v>0</v>
      </c>
      <c r="AA115" s="3296">
        <v>139</v>
      </c>
      <c r="AB115"/>
      <c r="AC115" s="4159"/>
      <c r="AD115" s="3347" t="s">
        <v>12900</v>
      </c>
      <c r="AE115" s="3283" t="s">
        <v>12901</v>
      </c>
      <c r="AF115" s="3284">
        <v>175</v>
      </c>
      <c r="AG115" s="3285">
        <v>167</v>
      </c>
      <c r="AH115" s="3286">
        <v>123</v>
      </c>
      <c r="AI115"/>
      <c r="AJ115" s="4160"/>
      <c r="AK115" s="3288" t="s">
        <v>12902</v>
      </c>
      <c r="AL115" s="3283" t="s">
        <v>12903</v>
      </c>
      <c r="AM115" s="3284">
        <v>238</v>
      </c>
      <c r="AN115" s="3285">
        <v>229</v>
      </c>
      <c r="AO115" s="3286">
        <v>222</v>
      </c>
      <c r="AQ115" s="2730">
        <v>1</v>
      </c>
    </row>
    <row r="116" spans="11:43" ht="21" customHeight="1">
      <c r="K116" s="4161" t="s">
        <v>12904</v>
      </c>
      <c r="L116" s="4162" t="s">
        <v>12905</v>
      </c>
      <c r="M116" s="4163" t="s">
        <v>12906</v>
      </c>
      <c r="N116" s="4164" t="s">
        <v>12907</v>
      </c>
      <c r="O116" s="4165" t="s">
        <v>12908</v>
      </c>
      <c r="P116" s="4166" t="s">
        <v>12909</v>
      </c>
      <c r="Q116" s="4167" t="s">
        <v>12910</v>
      </c>
      <c r="R116" s="4168" t="s">
        <v>12911</v>
      </c>
      <c r="S116" s="4169" t="s">
        <v>12912</v>
      </c>
      <c r="V116" s="4170"/>
      <c r="W116" s="3292" t="s">
        <v>12913</v>
      </c>
      <c r="X116" s="3293" t="s">
        <v>12914</v>
      </c>
      <c r="Y116" s="3294">
        <v>36</v>
      </c>
      <c r="Z116" s="3295">
        <v>24</v>
      </c>
      <c r="AA116" s="3296">
        <v>130</v>
      </c>
      <c r="AB116"/>
      <c r="AC116" s="4171"/>
      <c r="AD116" s="3347" t="s">
        <v>12915</v>
      </c>
      <c r="AE116" s="3283" t="s">
        <v>12916</v>
      </c>
      <c r="AF116" s="3284">
        <v>185</v>
      </c>
      <c r="AG116" s="3285">
        <v>180</v>
      </c>
      <c r="AH116" s="3286">
        <v>89</v>
      </c>
      <c r="AI116"/>
      <c r="AJ116" s="4172"/>
      <c r="AK116" s="3288" t="s">
        <v>12917</v>
      </c>
      <c r="AL116" s="3283" t="s">
        <v>12918</v>
      </c>
      <c r="AM116" s="3284">
        <v>255</v>
      </c>
      <c r="AN116" s="3285">
        <v>245</v>
      </c>
      <c r="AO116" s="3286">
        <v>238</v>
      </c>
      <c r="AQ116" s="2730">
        <v>1</v>
      </c>
    </row>
    <row r="117" spans="11:43" ht="21" customHeight="1">
      <c r="K117" s="4173" t="s">
        <v>12919</v>
      </c>
      <c r="L117" s="4174" t="s">
        <v>12920</v>
      </c>
      <c r="M117" s="4175" t="s">
        <v>12921</v>
      </c>
      <c r="N117" s="4176" t="s">
        <v>12922</v>
      </c>
      <c r="O117" s="4177" t="s">
        <v>12923</v>
      </c>
      <c r="P117" s="4178" t="s">
        <v>12924</v>
      </c>
      <c r="Q117" s="4179" t="s">
        <v>12925</v>
      </c>
      <c r="R117" s="4180" t="s">
        <v>12926</v>
      </c>
      <c r="S117" s="4181" t="s">
        <v>12927</v>
      </c>
      <c r="V117" s="4182"/>
      <c r="W117" s="3292" t="s">
        <v>12928</v>
      </c>
      <c r="X117" s="3293" t="s">
        <v>12929</v>
      </c>
      <c r="Y117" s="3294">
        <v>0</v>
      </c>
      <c r="Z117" s="3295">
        <v>0</v>
      </c>
      <c r="AA117" s="3296">
        <v>128</v>
      </c>
      <c r="AB117"/>
      <c r="AC117" s="4183"/>
      <c r="AD117" s="3347" t="s">
        <v>12930</v>
      </c>
      <c r="AE117" s="3283" t="s">
        <v>12931</v>
      </c>
      <c r="AF117" s="3284">
        <v>190</v>
      </c>
      <c r="AG117" s="3285">
        <v>183</v>
      </c>
      <c r="AH117" s="3286">
        <v>46</v>
      </c>
      <c r="AI117"/>
      <c r="AJ117" s="4184"/>
      <c r="AK117" s="3288" t="s">
        <v>12932</v>
      </c>
      <c r="AL117" s="3283" t="s">
        <v>12933</v>
      </c>
      <c r="AM117" s="3284">
        <v>238</v>
      </c>
      <c r="AN117" s="3285">
        <v>154</v>
      </c>
      <c r="AO117" s="3286">
        <v>73</v>
      </c>
      <c r="AQ117" s="2730">
        <v>1</v>
      </c>
    </row>
    <row r="118" spans="11:43" ht="21" customHeight="1">
      <c r="K118" s="4185" t="s">
        <v>12934</v>
      </c>
      <c r="L118" s="4186" t="s">
        <v>12935</v>
      </c>
      <c r="M118" s="4187" t="s">
        <v>12936</v>
      </c>
      <c r="N118" s="4188" t="s">
        <v>12937</v>
      </c>
      <c r="O118" s="4189" t="s">
        <v>12938</v>
      </c>
      <c r="P118" s="4190" t="s">
        <v>12939</v>
      </c>
      <c r="Q118" s="4191" t="s">
        <v>12940</v>
      </c>
      <c r="R118" s="4192" t="s">
        <v>12941</v>
      </c>
      <c r="S118" s="4193" t="s">
        <v>12942</v>
      </c>
      <c r="V118" s="4194"/>
      <c r="W118" s="3292" t="s">
        <v>12943</v>
      </c>
      <c r="X118" s="3293" t="s">
        <v>12944</v>
      </c>
      <c r="Y118" s="3294">
        <v>66</v>
      </c>
      <c r="Z118" s="3295">
        <v>66</v>
      </c>
      <c r="AA118" s="3296">
        <v>111</v>
      </c>
      <c r="AB118"/>
      <c r="AC118" s="4195"/>
      <c r="AD118" s="3282" t="s">
        <v>12945</v>
      </c>
      <c r="AE118" s="3283" t="s">
        <v>12946</v>
      </c>
      <c r="AF118" s="3284">
        <v>181</v>
      </c>
      <c r="AG118" s="3285">
        <v>166</v>
      </c>
      <c r="AH118" s="3286">
        <v>66</v>
      </c>
      <c r="AI118"/>
      <c r="AJ118" s="4196"/>
      <c r="AK118" s="3288" t="s">
        <v>12947</v>
      </c>
      <c r="AL118" s="3283" t="s">
        <v>12948</v>
      </c>
      <c r="AM118" s="3284">
        <v>205</v>
      </c>
      <c r="AN118" s="3285">
        <v>175</v>
      </c>
      <c r="AO118" s="3286">
        <v>149</v>
      </c>
      <c r="AQ118" s="2730">
        <v>1</v>
      </c>
    </row>
    <row r="119" spans="11:43" ht="21" customHeight="1">
      <c r="K119" s="4197" t="s">
        <v>12949</v>
      </c>
      <c r="L119" s="4198" t="s">
        <v>12950</v>
      </c>
      <c r="M119" s="4199" t="s">
        <v>12951</v>
      </c>
      <c r="N119" s="4200" t="s">
        <v>12952</v>
      </c>
      <c r="O119" s="4201" t="s">
        <v>12953</v>
      </c>
      <c r="P119" s="4202" t="s">
        <v>12954</v>
      </c>
      <c r="Q119" s="4203" t="s">
        <v>12955</v>
      </c>
      <c r="R119" s="4204" t="s">
        <v>12956</v>
      </c>
      <c r="S119" s="4205" t="s">
        <v>12957</v>
      </c>
      <c r="V119" s="4206"/>
      <c r="W119" s="3313" t="s">
        <v>12958</v>
      </c>
      <c r="X119" s="3293" t="s">
        <v>12959</v>
      </c>
      <c r="Y119" s="3294">
        <v>48</v>
      </c>
      <c r="Z119" s="3295">
        <v>38</v>
      </c>
      <c r="AA119" s="3296">
        <v>122</v>
      </c>
      <c r="AB119"/>
      <c r="AC119" s="4207"/>
      <c r="AD119" s="3282" t="s">
        <v>12960</v>
      </c>
      <c r="AE119" s="3283" t="s">
        <v>12961</v>
      </c>
      <c r="AF119" s="3284">
        <v>139</v>
      </c>
      <c r="AG119" s="3285">
        <v>136</v>
      </c>
      <c r="AH119" s="3286">
        <v>120</v>
      </c>
      <c r="AI119"/>
      <c r="AJ119" s="4208"/>
      <c r="AK119" s="3299" t="s">
        <v>12962</v>
      </c>
      <c r="AL119" s="3283" t="s">
        <v>12963</v>
      </c>
      <c r="AM119" s="3284">
        <v>246</v>
      </c>
      <c r="AN119" s="3285">
        <v>166</v>
      </c>
      <c r="AO119" s="3286">
        <v>0</v>
      </c>
      <c r="AQ119" s="2730">
        <v>1</v>
      </c>
    </row>
    <row r="120" spans="11:43" ht="21" customHeight="1">
      <c r="K120" s="4209" t="s">
        <v>12964</v>
      </c>
      <c r="L120" s="4210" t="s">
        <v>12965</v>
      </c>
      <c r="M120" s="4211" t="s">
        <v>12966</v>
      </c>
      <c r="N120" s="4212" t="s">
        <v>12967</v>
      </c>
      <c r="O120" s="4213" t="s">
        <v>12968</v>
      </c>
      <c r="P120" s="4214" t="s">
        <v>12969</v>
      </c>
      <c r="Q120" s="4215" t="s">
        <v>12970</v>
      </c>
      <c r="R120" s="4216" t="s">
        <v>12971</v>
      </c>
      <c r="S120" s="4217" t="s">
        <v>12972</v>
      </c>
      <c r="V120" s="4218"/>
      <c r="W120" s="3313" t="s">
        <v>12973</v>
      </c>
      <c r="X120" s="3293" t="s">
        <v>12974</v>
      </c>
      <c r="Y120" s="3294">
        <v>33</v>
      </c>
      <c r="Z120" s="3295">
        <v>23</v>
      </c>
      <c r="AA120" s="3296">
        <v>125</v>
      </c>
      <c r="AB120"/>
      <c r="AC120" s="4219"/>
      <c r="AD120" s="3347" t="s">
        <v>12975</v>
      </c>
      <c r="AE120" s="3283" t="s">
        <v>12976</v>
      </c>
      <c r="AF120" s="3284">
        <v>138</v>
      </c>
      <c r="AG120" s="3285">
        <v>135</v>
      </c>
      <c r="AH120" s="3286">
        <v>118</v>
      </c>
      <c r="AI120"/>
      <c r="AJ120" s="4220"/>
      <c r="AK120" s="3299" t="s">
        <v>12977</v>
      </c>
      <c r="AL120" s="3283" t="s">
        <v>12978</v>
      </c>
      <c r="AM120" s="3284">
        <v>231</v>
      </c>
      <c r="AN120" s="3285">
        <v>168</v>
      </c>
      <c r="AO120" s="3286">
        <v>84</v>
      </c>
      <c r="AQ120" s="2730">
        <v>1</v>
      </c>
    </row>
    <row r="121" spans="11:43" ht="21" customHeight="1">
      <c r="K121" s="4221" t="s">
        <v>12979</v>
      </c>
      <c r="L121" s="4222" t="s">
        <v>12980</v>
      </c>
      <c r="M121" s="4223" t="s">
        <v>12981</v>
      </c>
      <c r="N121" s="4224" t="s">
        <v>12982</v>
      </c>
      <c r="O121" s="4225" t="s">
        <v>12983</v>
      </c>
      <c r="P121" s="4226" t="s">
        <v>12984</v>
      </c>
      <c r="Q121" s="4227" t="s">
        <v>12985</v>
      </c>
      <c r="R121" s="4228" t="s">
        <v>12986</v>
      </c>
      <c r="S121" s="4229" t="s">
        <v>12987</v>
      </c>
      <c r="V121" s="4230"/>
      <c r="W121" s="3292" t="s">
        <v>12988</v>
      </c>
      <c r="X121" s="3293" t="s">
        <v>12989</v>
      </c>
      <c r="Y121" s="3294">
        <v>25</v>
      </c>
      <c r="Z121" s="3295">
        <v>25</v>
      </c>
      <c r="AA121" s="3296">
        <v>112</v>
      </c>
      <c r="AB121"/>
      <c r="AC121" s="4231"/>
      <c r="AD121" s="3282" t="s">
        <v>12990</v>
      </c>
      <c r="AE121" s="3283" t="s">
        <v>12991</v>
      </c>
      <c r="AF121" s="3284">
        <v>139</v>
      </c>
      <c r="AG121" s="3285">
        <v>137</v>
      </c>
      <c r="AH121" s="3286">
        <v>112</v>
      </c>
      <c r="AI121"/>
      <c r="AJ121" s="4232"/>
      <c r="AK121" s="3299" t="s">
        <v>12992</v>
      </c>
      <c r="AL121" s="3283" t="s">
        <v>12993</v>
      </c>
      <c r="AM121" s="3284">
        <v>194</v>
      </c>
      <c r="AN121" s="3285">
        <v>172</v>
      </c>
      <c r="AO121" s="3286">
        <v>153</v>
      </c>
      <c r="AQ121" s="2730">
        <v>1</v>
      </c>
    </row>
    <row r="122" spans="11:43" ht="21" customHeight="1">
      <c r="K122" s="4233" t="s">
        <v>12994</v>
      </c>
      <c r="L122" s="4234" t="s">
        <v>12995</v>
      </c>
      <c r="M122" s="4235" t="s">
        <v>12996</v>
      </c>
      <c r="N122" s="4236" t="s">
        <v>12997</v>
      </c>
      <c r="O122" s="4237" t="s">
        <v>12998</v>
      </c>
      <c r="P122" s="4238" t="s">
        <v>12999</v>
      </c>
      <c r="Q122" s="4239" t="s">
        <v>13000</v>
      </c>
      <c r="R122" s="4240" t="s">
        <v>13001</v>
      </c>
      <c r="S122" s="4241" t="s">
        <v>13002</v>
      </c>
      <c r="V122" s="4242"/>
      <c r="W122" s="3313" t="s">
        <v>13003</v>
      </c>
      <c r="X122" s="3293" t="s">
        <v>13004</v>
      </c>
      <c r="Y122" s="3294">
        <v>15</v>
      </c>
      <c r="Z122" s="3295">
        <v>5</v>
      </c>
      <c r="AA122" s="3296">
        <v>107</v>
      </c>
      <c r="AB122"/>
      <c r="AC122" s="4243"/>
      <c r="AD122" s="3347" t="s">
        <v>13005</v>
      </c>
      <c r="AE122" s="3283" t="s">
        <v>13006</v>
      </c>
      <c r="AF122" s="3284">
        <v>140</v>
      </c>
      <c r="AG122" s="3285">
        <v>135</v>
      </c>
      <c r="AH122" s="3286">
        <v>103</v>
      </c>
      <c r="AI122"/>
      <c r="AJ122" s="4244"/>
      <c r="AK122" s="3288" t="s">
        <v>13007</v>
      </c>
      <c r="AL122" s="3283" t="s">
        <v>13008</v>
      </c>
      <c r="AM122" s="3284">
        <v>238</v>
      </c>
      <c r="AN122" s="3285">
        <v>154</v>
      </c>
      <c r="AO122" s="3286">
        <v>0</v>
      </c>
      <c r="AQ122" s="2730">
        <v>1</v>
      </c>
    </row>
    <row r="123" spans="11:43" ht="21" customHeight="1">
      <c r="K123" s="4245" t="s">
        <v>13009</v>
      </c>
      <c r="L123" s="4246" t="s">
        <v>13010</v>
      </c>
      <c r="M123" s="4247" t="s">
        <v>13011</v>
      </c>
      <c r="N123" s="4248" t="s">
        <v>13012</v>
      </c>
      <c r="O123" s="4249" t="s">
        <v>13013</v>
      </c>
      <c r="P123" s="4250" t="s">
        <v>13014</v>
      </c>
      <c r="Q123" s="4251" t="s">
        <v>13015</v>
      </c>
      <c r="R123" s="4252" t="s">
        <v>13016</v>
      </c>
      <c r="S123" s="4253" t="s">
        <v>13017</v>
      </c>
      <c r="V123" s="4254"/>
      <c r="W123" s="3313" t="s">
        <v>13018</v>
      </c>
      <c r="X123" s="3293" t="s">
        <v>13019</v>
      </c>
      <c r="Y123" s="3294">
        <v>39</v>
      </c>
      <c r="Z123" s="3295">
        <v>36</v>
      </c>
      <c r="AA123" s="3296">
        <v>88</v>
      </c>
      <c r="AB123"/>
      <c r="AC123" s="4255"/>
      <c r="AD123" s="3282" t="s">
        <v>13020</v>
      </c>
      <c r="AE123" s="3283" t="s">
        <v>13021</v>
      </c>
      <c r="AF123" s="3284">
        <v>139</v>
      </c>
      <c r="AG123" s="3285">
        <v>134</v>
      </c>
      <c r="AH123" s="3286">
        <v>78</v>
      </c>
      <c r="AI123"/>
      <c r="AJ123" s="4256"/>
      <c r="AK123" s="3299" t="s">
        <v>13022</v>
      </c>
      <c r="AL123" s="3283" t="s">
        <v>13023</v>
      </c>
      <c r="AM123" s="3284">
        <v>234</v>
      </c>
      <c r="AN123" s="3285">
        <v>162</v>
      </c>
      <c r="AO123" s="3286">
        <v>33</v>
      </c>
      <c r="AQ123" s="2730">
        <v>1</v>
      </c>
    </row>
    <row r="124" spans="11:43" ht="21" customHeight="1">
      <c r="K124" s="4257" t="s">
        <v>13024</v>
      </c>
      <c r="L124" s="4258" t="s">
        <v>13025</v>
      </c>
      <c r="M124" s="4259" t="s">
        <v>13026</v>
      </c>
      <c r="N124" s="4260" t="s">
        <v>13027</v>
      </c>
      <c r="O124" s="4261" t="s">
        <v>13028</v>
      </c>
      <c r="P124" s="4262" t="s">
        <v>13029</v>
      </c>
      <c r="Q124" s="4263" t="s">
        <v>13030</v>
      </c>
      <c r="R124" s="4264" t="s">
        <v>13031</v>
      </c>
      <c r="S124" s="4265" t="s">
        <v>13032</v>
      </c>
      <c r="V124" s="4266"/>
      <c r="W124" s="3292" t="s">
        <v>13033</v>
      </c>
      <c r="X124" s="3293" t="s">
        <v>13034</v>
      </c>
      <c r="Y124" s="3294">
        <v>47</v>
      </c>
      <c r="Z124" s="3295">
        <v>47</v>
      </c>
      <c r="AA124" s="3296">
        <v>79</v>
      </c>
      <c r="AB124"/>
      <c r="AC124" s="4267"/>
      <c r="AD124" s="3282" t="s">
        <v>13035</v>
      </c>
      <c r="AE124" s="3283" t="s">
        <v>13036</v>
      </c>
      <c r="AF124" s="3284">
        <v>139</v>
      </c>
      <c r="AG124" s="3285">
        <v>129</v>
      </c>
      <c r="AH124" s="3286">
        <v>76</v>
      </c>
      <c r="AI124"/>
      <c r="AJ124" s="4268"/>
      <c r="AK124" s="3299" t="s">
        <v>13037</v>
      </c>
      <c r="AL124" s="3283" t="s">
        <v>13038</v>
      </c>
      <c r="AM124" s="3284">
        <v>221</v>
      </c>
      <c r="AN124" s="3285">
        <v>152</v>
      </c>
      <c r="AO124" s="3286">
        <v>92</v>
      </c>
      <c r="AQ124" s="2730">
        <v>1</v>
      </c>
    </row>
    <row r="125" spans="11:43" ht="21" customHeight="1">
      <c r="K125" s="4269" t="s">
        <v>13039</v>
      </c>
      <c r="L125" s="4270" t="s">
        <v>13040</v>
      </c>
      <c r="M125" s="4271" t="s">
        <v>13041</v>
      </c>
      <c r="N125" s="4272" t="s">
        <v>13042</v>
      </c>
      <c r="O125" s="4273" t="s">
        <v>13043</v>
      </c>
      <c r="P125" s="4274" t="s">
        <v>13044</v>
      </c>
      <c r="Q125" s="4275" t="s">
        <v>13045</v>
      </c>
      <c r="R125" s="4276" t="s">
        <v>13046</v>
      </c>
      <c r="S125" s="4277" t="s">
        <v>13047</v>
      </c>
      <c r="V125" s="4278"/>
      <c r="W125" s="3313" t="s">
        <v>13048</v>
      </c>
      <c r="X125" s="3293" t="s">
        <v>13049</v>
      </c>
      <c r="Y125" s="3294">
        <v>37</v>
      </c>
      <c r="Z125" s="3295">
        <v>36</v>
      </c>
      <c r="AA125" s="3296">
        <v>64</v>
      </c>
      <c r="AB125"/>
      <c r="AC125" s="4279"/>
      <c r="AD125" s="3347" t="s">
        <v>13050</v>
      </c>
      <c r="AE125" s="3283" t="s">
        <v>13051</v>
      </c>
      <c r="AF125" s="3284">
        <v>155</v>
      </c>
      <c r="AG125" s="3285">
        <v>148</v>
      </c>
      <c r="AH125" s="3286">
        <v>0</v>
      </c>
      <c r="AI125"/>
      <c r="AJ125" s="4280"/>
      <c r="AK125" s="3299" t="s">
        <v>719</v>
      </c>
      <c r="AL125" s="3283" t="s">
        <v>13052</v>
      </c>
      <c r="AM125" s="3284">
        <v>222</v>
      </c>
      <c r="AN125" s="3285">
        <v>152</v>
      </c>
      <c r="AO125" s="3286">
        <v>22</v>
      </c>
      <c r="AQ125" s="2730">
        <v>1</v>
      </c>
    </row>
    <row r="126" spans="11:43" ht="21" customHeight="1">
      <c r="K126" s="4281" t="s">
        <v>13053</v>
      </c>
      <c r="L126" s="4282" t="s">
        <v>13054</v>
      </c>
      <c r="M126" s="4283" t="s">
        <v>13055</v>
      </c>
      <c r="N126" s="4284" t="s">
        <v>13056</v>
      </c>
      <c r="O126" s="4285" t="s">
        <v>13057</v>
      </c>
      <c r="P126" s="4286" t="s">
        <v>13058</v>
      </c>
      <c r="Q126" s="4287" t="s">
        <v>13059</v>
      </c>
      <c r="R126" s="4288" t="s">
        <v>13060</v>
      </c>
      <c r="S126" s="4289" t="s">
        <v>13061</v>
      </c>
      <c r="V126" s="4290"/>
      <c r="W126" s="3313" t="s">
        <v>13062</v>
      </c>
      <c r="X126" s="3293" t="s">
        <v>13063</v>
      </c>
      <c r="Y126" s="3294">
        <v>0</v>
      </c>
      <c r="Z126" s="3295">
        <v>0</v>
      </c>
      <c r="AA126" s="3296">
        <v>16</v>
      </c>
      <c r="AB126"/>
      <c r="AC126" s="4291"/>
      <c r="AD126" s="3347" t="s">
        <v>13064</v>
      </c>
      <c r="AE126" s="3283" t="s">
        <v>13065</v>
      </c>
      <c r="AF126" s="3284">
        <v>134</v>
      </c>
      <c r="AG126" s="3285">
        <v>126</v>
      </c>
      <c r="AH126" s="3286">
        <v>54</v>
      </c>
      <c r="AI126"/>
      <c r="AJ126" s="4292"/>
      <c r="AK126" s="3288" t="s">
        <v>13066</v>
      </c>
      <c r="AL126" s="3283" t="s">
        <v>13067</v>
      </c>
      <c r="AM126" s="3284">
        <v>217</v>
      </c>
      <c r="AN126" s="3285">
        <v>135</v>
      </c>
      <c r="AO126" s="3286">
        <v>25</v>
      </c>
      <c r="AQ126" s="2730">
        <v>1</v>
      </c>
    </row>
    <row r="127" spans="11:43" ht="21" customHeight="1">
      <c r="K127" s="4293" t="s">
        <v>13068</v>
      </c>
      <c r="L127" s="4294" t="s">
        <v>13069</v>
      </c>
      <c r="M127" s="4295" t="s">
        <v>13070</v>
      </c>
      <c r="N127" s="4296" t="s">
        <v>13071</v>
      </c>
      <c r="O127" s="4297" t="s">
        <v>13072</v>
      </c>
      <c r="P127" s="4298" t="s">
        <v>13073</v>
      </c>
      <c r="Q127" s="4299" t="s">
        <v>13074</v>
      </c>
      <c r="R127" s="4300" t="s">
        <v>13075</v>
      </c>
      <c r="S127" s="4301" t="s">
        <v>13076</v>
      </c>
      <c r="V127" s="4302"/>
      <c r="W127" s="3313" t="s">
        <v>13077</v>
      </c>
      <c r="X127" s="3293" t="s">
        <v>13078</v>
      </c>
      <c r="Y127" s="3294">
        <v>44</v>
      </c>
      <c r="Z127" s="3295">
        <v>117</v>
      </c>
      <c r="AA127" s="3296">
        <v>255</v>
      </c>
      <c r="AB127"/>
      <c r="AC127" s="4303"/>
      <c r="AD127" s="3347" t="s">
        <v>13079</v>
      </c>
      <c r="AE127" s="3283" t="s">
        <v>13080</v>
      </c>
      <c r="AF127" s="3284">
        <v>87</v>
      </c>
      <c r="AG127" s="3285">
        <v>85</v>
      </c>
      <c r="AH127" s="3286">
        <v>76</v>
      </c>
      <c r="AI127"/>
      <c r="AJ127" s="4304"/>
      <c r="AK127" s="3299" t="s">
        <v>13081</v>
      </c>
      <c r="AL127" s="3283" t="s">
        <v>13082</v>
      </c>
      <c r="AM127" s="3284">
        <v>205</v>
      </c>
      <c r="AN127" s="3285">
        <v>133</v>
      </c>
      <c r="AO127" s="3286">
        <v>63</v>
      </c>
      <c r="AQ127" s="2730">
        <v>1</v>
      </c>
    </row>
    <row r="128" spans="11:43" ht="21" customHeight="1">
      <c r="K128" s="4305" t="s">
        <v>13083</v>
      </c>
      <c r="L128" s="4306" t="s">
        <v>13084</v>
      </c>
      <c r="M128" s="4307" t="s">
        <v>13085</v>
      </c>
      <c r="N128" s="4308" t="s">
        <v>13086</v>
      </c>
      <c r="O128" s="4309" t="s">
        <v>13087</v>
      </c>
      <c r="P128" s="4310" t="s">
        <v>13088</v>
      </c>
      <c r="Q128" s="4311" t="s">
        <v>13089</v>
      </c>
      <c r="R128" s="4312" t="s">
        <v>13090</v>
      </c>
      <c r="S128" s="4313" t="s">
        <v>13091</v>
      </c>
      <c r="V128" s="4314"/>
      <c r="W128" s="3292" t="s">
        <v>13092</v>
      </c>
      <c r="X128" s="3293" t="s">
        <v>13093</v>
      </c>
      <c r="Y128" s="3294">
        <v>72</v>
      </c>
      <c r="Z128" s="3295">
        <v>118</v>
      </c>
      <c r="AA128" s="3296">
        <v>255</v>
      </c>
      <c r="AB128"/>
      <c r="AC128" s="4315"/>
      <c r="AD128" s="3347" t="s">
        <v>13094</v>
      </c>
      <c r="AE128" s="3283" t="s">
        <v>13095</v>
      </c>
      <c r="AF128" s="3284">
        <v>91</v>
      </c>
      <c r="AG128" s="3285">
        <v>88</v>
      </c>
      <c r="AH128" s="3286">
        <v>66</v>
      </c>
      <c r="AI128"/>
      <c r="AJ128" s="4316"/>
      <c r="AK128" s="3288" t="s">
        <v>13096</v>
      </c>
      <c r="AL128" s="3283" t="s">
        <v>13097</v>
      </c>
      <c r="AM128" s="3284">
        <v>205</v>
      </c>
      <c r="AN128" s="3285">
        <v>133</v>
      </c>
      <c r="AO128" s="3286">
        <v>0</v>
      </c>
      <c r="AQ128" s="2730">
        <v>1</v>
      </c>
    </row>
    <row r="129" spans="11:43" ht="21" customHeight="1">
      <c r="K129" s="4317" t="s">
        <v>13098</v>
      </c>
      <c r="L129" s="4318" t="s">
        <v>13099</v>
      </c>
      <c r="M129" s="4319" t="s">
        <v>13100</v>
      </c>
      <c r="N129" s="4320" t="s">
        <v>13101</v>
      </c>
      <c r="O129" s="4321" t="s">
        <v>13102</v>
      </c>
      <c r="P129" s="4322" t="s">
        <v>13103</v>
      </c>
      <c r="Q129" s="4323" t="s">
        <v>13104</v>
      </c>
      <c r="R129" s="4324" t="s">
        <v>13105</v>
      </c>
      <c r="S129" s="4325" t="s">
        <v>13106</v>
      </c>
      <c r="V129" s="4326"/>
      <c r="W129" s="3313" t="s">
        <v>13107</v>
      </c>
      <c r="X129" s="3293" t="s">
        <v>13108</v>
      </c>
      <c r="Y129" s="3294">
        <v>179</v>
      </c>
      <c r="Z129" s="3295">
        <v>188</v>
      </c>
      <c r="AA129" s="3296">
        <v>226</v>
      </c>
      <c r="AB129"/>
      <c r="AC129" s="4327"/>
      <c r="AD129" s="3347" t="s">
        <v>13109</v>
      </c>
      <c r="AE129" s="3283" t="s">
        <v>13110</v>
      </c>
      <c r="AF129" s="3284">
        <v>102</v>
      </c>
      <c r="AG129" s="3285">
        <v>93</v>
      </c>
      <c r="AH129" s="3286">
        <v>30</v>
      </c>
      <c r="AI129"/>
      <c r="AJ129" s="4328"/>
      <c r="AK129" s="3299" t="s">
        <v>13111</v>
      </c>
      <c r="AL129" s="3283" t="s">
        <v>13112</v>
      </c>
      <c r="AM129" s="3284">
        <v>201</v>
      </c>
      <c r="AN129" s="3285">
        <v>133</v>
      </c>
      <c r="AO129" s="3286">
        <v>0</v>
      </c>
      <c r="AQ129" s="2730">
        <v>1</v>
      </c>
    </row>
    <row r="130" spans="11:43" ht="21" customHeight="1">
      <c r="K130" s="4329" t="s">
        <v>13113</v>
      </c>
      <c r="L130" s="4330" t="s">
        <v>13114</v>
      </c>
      <c r="M130" s="4331" t="s">
        <v>13115</v>
      </c>
      <c r="N130" s="4332" t="s">
        <v>13116</v>
      </c>
      <c r="O130" s="4333" t="s">
        <v>13117</v>
      </c>
      <c r="P130" s="4334" t="s">
        <v>13118</v>
      </c>
      <c r="Q130" s="4335" t="s">
        <v>13119</v>
      </c>
      <c r="R130" s="4336" t="s">
        <v>13120</v>
      </c>
      <c r="S130" s="4337" t="s">
        <v>13121</v>
      </c>
      <c r="V130" s="4338"/>
      <c r="W130" s="3292" t="s">
        <v>13122</v>
      </c>
      <c r="X130" s="3293" t="s">
        <v>13123</v>
      </c>
      <c r="Y130" s="3294">
        <v>230</v>
      </c>
      <c r="Z130" s="3295">
        <v>232</v>
      </c>
      <c r="AA130" s="3296">
        <v>250</v>
      </c>
      <c r="AB130"/>
      <c r="AC130" s="4339"/>
      <c r="AD130" s="3347" t="s">
        <v>13124</v>
      </c>
      <c r="AE130" s="3283" t="s">
        <v>13125</v>
      </c>
      <c r="AF130" s="3284">
        <v>64</v>
      </c>
      <c r="AG130" s="3285">
        <v>61</v>
      </c>
      <c r="AH130" s="3286">
        <v>33</v>
      </c>
      <c r="AI130"/>
      <c r="AJ130" s="4340"/>
      <c r="AK130" s="3299" t="s">
        <v>13126</v>
      </c>
      <c r="AL130" s="3283" t="s">
        <v>13127</v>
      </c>
      <c r="AM130" s="3284">
        <v>174</v>
      </c>
      <c r="AN130" s="3285">
        <v>137</v>
      </c>
      <c r="AO130" s="3286">
        <v>100</v>
      </c>
      <c r="AQ130" s="2730">
        <v>1</v>
      </c>
    </row>
    <row r="131" spans="11:43" ht="21" customHeight="1">
      <c r="K131" s="4341" t="s">
        <v>13128</v>
      </c>
      <c r="L131" s="4342" t="s">
        <v>13129</v>
      </c>
      <c r="M131" s="4343" t="s">
        <v>13130</v>
      </c>
      <c r="N131" s="4344" t="s">
        <v>13131</v>
      </c>
      <c r="O131" s="4345" t="s">
        <v>13132</v>
      </c>
      <c r="P131" s="4346" t="s">
        <v>13133</v>
      </c>
      <c r="Q131" s="4347" t="s">
        <v>13134</v>
      </c>
      <c r="R131" s="4348" t="s">
        <v>13135</v>
      </c>
      <c r="S131" s="4349" t="s">
        <v>13136</v>
      </c>
      <c r="V131" s="4350"/>
      <c r="W131" s="3292" t="s">
        <v>13137</v>
      </c>
      <c r="X131" s="3293" t="s">
        <v>13138</v>
      </c>
      <c r="Y131" s="3294">
        <v>67</v>
      </c>
      <c r="Z131" s="3295">
        <v>110</v>
      </c>
      <c r="AA131" s="3296">
        <v>238</v>
      </c>
      <c r="AB131"/>
      <c r="AC131" s="4351"/>
      <c r="AD131" s="3347" t="s">
        <v>13139</v>
      </c>
      <c r="AE131" s="3283" t="s">
        <v>13140</v>
      </c>
      <c r="AF131" s="3284">
        <v>54</v>
      </c>
      <c r="AG131" s="3285">
        <v>53</v>
      </c>
      <c r="AH131" s="3286">
        <v>39</v>
      </c>
      <c r="AI131"/>
      <c r="AJ131" s="4352"/>
      <c r="AK131" s="3288" t="s">
        <v>13141</v>
      </c>
      <c r="AL131" s="3283" t="s">
        <v>13142</v>
      </c>
      <c r="AM131" s="3284">
        <v>166</v>
      </c>
      <c r="AN131" s="3285">
        <v>128</v>
      </c>
      <c r="AO131" s="3286">
        <v>100</v>
      </c>
      <c r="AQ131" s="2730">
        <v>1</v>
      </c>
    </row>
    <row r="132" spans="11:43" ht="21" customHeight="1">
      <c r="K132" s="4353" t="s">
        <v>13143</v>
      </c>
      <c r="L132" s="4354" t="s">
        <v>13144</v>
      </c>
      <c r="M132" s="4355" t="s">
        <v>13145</v>
      </c>
      <c r="N132" s="4356" t="s">
        <v>13146</v>
      </c>
      <c r="O132" s="4357" t="s">
        <v>13147</v>
      </c>
      <c r="P132" s="4358" t="s">
        <v>13148</v>
      </c>
      <c r="Q132" s="4359" t="s">
        <v>13149</v>
      </c>
      <c r="R132" s="4360" t="s">
        <v>13150</v>
      </c>
      <c r="S132" s="4361" t="s">
        <v>13151</v>
      </c>
      <c r="V132" s="4362"/>
      <c r="W132" s="3292" t="s">
        <v>13152</v>
      </c>
      <c r="X132" s="3293" t="s">
        <v>13153</v>
      </c>
      <c r="Y132" s="3294">
        <v>65</v>
      </c>
      <c r="Z132" s="3295">
        <v>105</v>
      </c>
      <c r="AA132" s="3296">
        <v>225</v>
      </c>
      <c r="AB132"/>
      <c r="AC132" s="4363"/>
      <c r="AD132" s="3347" t="s">
        <v>13154</v>
      </c>
      <c r="AE132" s="3283" t="s">
        <v>13155</v>
      </c>
      <c r="AF132" s="3284">
        <v>37</v>
      </c>
      <c r="AG132" s="3285">
        <v>36</v>
      </c>
      <c r="AH132" s="3286">
        <v>29</v>
      </c>
      <c r="AI132"/>
      <c r="AJ132" s="4364"/>
      <c r="AK132" s="3299" t="s">
        <v>13081</v>
      </c>
      <c r="AL132" s="3283" t="s">
        <v>13156</v>
      </c>
      <c r="AM132" s="3284">
        <v>166</v>
      </c>
      <c r="AN132" s="3285">
        <v>123</v>
      </c>
      <c r="AO132" s="3286">
        <v>91</v>
      </c>
      <c r="AQ132" s="2730">
        <v>1</v>
      </c>
    </row>
    <row r="133" spans="11:43" ht="21" customHeight="1">
      <c r="K133" s="4365" t="s">
        <v>13157</v>
      </c>
      <c r="L133" s="4366" t="s">
        <v>13158</v>
      </c>
      <c r="M133" s="4367" t="s">
        <v>13159</v>
      </c>
      <c r="N133" s="4368" t="s">
        <v>13160</v>
      </c>
      <c r="O133" s="4369" t="s">
        <v>13161</v>
      </c>
      <c r="P133" s="4370" t="s">
        <v>13162</v>
      </c>
      <c r="Q133" s="4371" t="s">
        <v>13163</v>
      </c>
      <c r="R133" s="4372" t="s">
        <v>13164</v>
      </c>
      <c r="S133" s="4373" t="s">
        <v>13165</v>
      </c>
      <c r="V133" s="4374"/>
      <c r="W133" s="3313" t="s">
        <v>13166</v>
      </c>
      <c r="X133" s="3293" t="s">
        <v>13167</v>
      </c>
      <c r="Y133" s="3294">
        <v>135</v>
      </c>
      <c r="Z133" s="3295">
        <v>145</v>
      </c>
      <c r="AA133" s="3296">
        <v>191</v>
      </c>
      <c r="AB133"/>
      <c r="AC133" s="4375"/>
      <c r="AD133" s="3347" t="s">
        <v>13168</v>
      </c>
      <c r="AE133" s="3283" t="s">
        <v>2012</v>
      </c>
      <c r="AF133" s="3284">
        <v>255</v>
      </c>
      <c r="AG133" s="3285">
        <v>0</v>
      </c>
      <c r="AH133" s="3286">
        <v>255</v>
      </c>
      <c r="AI133"/>
      <c r="AJ133" s="4376"/>
      <c r="AK133" s="3288" t="s">
        <v>13169</v>
      </c>
      <c r="AL133" s="3283" t="s">
        <v>13170</v>
      </c>
      <c r="AM133" s="3284">
        <v>139</v>
      </c>
      <c r="AN133" s="3285">
        <v>134</v>
      </c>
      <c r="AO133" s="3286">
        <v>130</v>
      </c>
      <c r="AQ133" s="2730">
        <v>1</v>
      </c>
    </row>
    <row r="134" spans="11:43" ht="21" customHeight="1">
      <c r="K134" s="4377" t="s">
        <v>13171</v>
      </c>
      <c r="L134" s="4378" t="s">
        <v>13172</v>
      </c>
      <c r="M134" s="4379" t="s">
        <v>13173</v>
      </c>
      <c r="N134" s="4380" t="s">
        <v>13174</v>
      </c>
      <c r="O134" s="4381" t="s">
        <v>13175</v>
      </c>
      <c r="P134" s="4382" t="s">
        <v>13176</v>
      </c>
      <c r="Q134" s="4383" t="s">
        <v>13177</v>
      </c>
      <c r="R134" s="4384" t="s">
        <v>13178</v>
      </c>
      <c r="S134" s="4385" t="s">
        <v>13179</v>
      </c>
      <c r="V134" s="4386"/>
      <c r="W134" s="3313" t="s">
        <v>13180</v>
      </c>
      <c r="X134" s="3293" t="s">
        <v>13181</v>
      </c>
      <c r="Y134" s="3294">
        <v>140</v>
      </c>
      <c r="Z134" s="3295">
        <v>146</v>
      </c>
      <c r="AA134" s="3296">
        <v>172</v>
      </c>
      <c r="AB134"/>
      <c r="AC134" s="4387"/>
      <c r="AD134" s="3282" t="s">
        <v>13182</v>
      </c>
      <c r="AE134" s="3283" t="s">
        <v>13183</v>
      </c>
      <c r="AF134" s="3284">
        <v>238</v>
      </c>
      <c r="AG134" s="3285">
        <v>122</v>
      </c>
      <c r="AH134" s="3286">
        <v>233</v>
      </c>
      <c r="AI134"/>
      <c r="AJ134" s="4388"/>
      <c r="AK134" s="3299" t="s">
        <v>13184</v>
      </c>
      <c r="AL134" s="3283" t="s">
        <v>13185</v>
      </c>
      <c r="AM134" s="3284">
        <v>182</v>
      </c>
      <c r="AN134" s="3285">
        <v>120</v>
      </c>
      <c r="AO134" s="3286">
        <v>35</v>
      </c>
      <c r="AQ134" s="2730">
        <v>1</v>
      </c>
    </row>
    <row r="135" spans="11:43" ht="21" customHeight="1">
      <c r="K135" s="4389" t="s">
        <v>13186</v>
      </c>
      <c r="L135" s="4390" t="s">
        <v>13187</v>
      </c>
      <c r="M135" s="4391" t="s">
        <v>13188</v>
      </c>
      <c r="N135" s="4392" t="s">
        <v>13189</v>
      </c>
      <c r="O135" s="4393" t="s">
        <v>13190</v>
      </c>
      <c r="P135" s="4394" t="s">
        <v>13191</v>
      </c>
      <c r="Q135" s="4395" t="s">
        <v>13192</v>
      </c>
      <c r="R135" s="4396" t="s">
        <v>13193</v>
      </c>
      <c r="S135" s="4397" t="s">
        <v>13194</v>
      </c>
      <c r="V135" s="4398"/>
      <c r="W135" s="3292" t="s">
        <v>13195</v>
      </c>
      <c r="X135" s="3293" t="s">
        <v>13196</v>
      </c>
      <c r="Y135" s="3294">
        <v>58</v>
      </c>
      <c r="Z135" s="3295">
        <v>95</v>
      </c>
      <c r="AA135" s="3296">
        <v>205</v>
      </c>
      <c r="AB135"/>
      <c r="AC135" s="4399"/>
      <c r="AD135" s="3282" t="s">
        <v>13197</v>
      </c>
      <c r="AE135" s="3283" t="s">
        <v>13198</v>
      </c>
      <c r="AF135" s="3284">
        <v>238</v>
      </c>
      <c r="AG135" s="3285">
        <v>130</v>
      </c>
      <c r="AH135" s="3286">
        <v>238</v>
      </c>
      <c r="AI135"/>
      <c r="AJ135" s="4400"/>
      <c r="AK135" s="3299" t="s">
        <v>13199</v>
      </c>
      <c r="AL135" s="3283" t="s">
        <v>13200</v>
      </c>
      <c r="AM135" s="3284">
        <v>149</v>
      </c>
      <c r="AN135" s="3285">
        <v>128</v>
      </c>
      <c r="AO135" s="3286">
        <v>112</v>
      </c>
      <c r="AQ135" s="2730">
        <v>1</v>
      </c>
    </row>
    <row r="136" spans="11:43" ht="21" customHeight="1">
      <c r="K136" s="4401" t="s">
        <v>13201</v>
      </c>
      <c r="L136" s="4402" t="s">
        <v>13202</v>
      </c>
      <c r="M136" s="4403" t="s">
        <v>13203</v>
      </c>
      <c r="N136" s="4404" t="s">
        <v>13204</v>
      </c>
      <c r="O136" s="4405" t="s">
        <v>13205</v>
      </c>
      <c r="P136" s="4406" t="s">
        <v>13206</v>
      </c>
      <c r="Q136" s="4407" t="s">
        <v>13207</v>
      </c>
      <c r="R136" s="4408" t="s">
        <v>13208</v>
      </c>
      <c r="S136" s="4409" t="s">
        <v>13209</v>
      </c>
      <c r="V136" s="4410"/>
      <c r="W136" s="3313" t="s">
        <v>13210</v>
      </c>
      <c r="X136" s="3293" t="s">
        <v>13211</v>
      </c>
      <c r="Y136" s="3294">
        <v>108</v>
      </c>
      <c r="Z136" s="3295">
        <v>121</v>
      </c>
      <c r="AA136" s="3296">
        <v>184</v>
      </c>
      <c r="AB136"/>
      <c r="AC136" s="4411"/>
      <c r="AD136" s="3282" t="s">
        <v>13212</v>
      </c>
      <c r="AE136" s="3283" t="s">
        <v>13213</v>
      </c>
      <c r="AF136" s="3284">
        <v>205</v>
      </c>
      <c r="AG136" s="3285">
        <v>181</v>
      </c>
      <c r="AH136" s="3286">
        <v>205</v>
      </c>
      <c r="AI136"/>
      <c r="AJ136" s="4412"/>
      <c r="AK136" s="3299" t="s">
        <v>13214</v>
      </c>
      <c r="AL136" s="3283" t="s">
        <v>13215</v>
      </c>
      <c r="AM136" s="3284">
        <v>142</v>
      </c>
      <c r="AN136" s="3285">
        <v>130</v>
      </c>
      <c r="AO136" s="3286">
        <v>121</v>
      </c>
      <c r="AQ136" s="2730">
        <v>1</v>
      </c>
    </row>
    <row r="137" spans="11:43" ht="21" customHeight="1">
      <c r="V137" s="4413"/>
      <c r="W137" s="3292" t="s">
        <v>13216</v>
      </c>
      <c r="X137" s="3293" t="s">
        <v>13217</v>
      </c>
      <c r="Y137" s="3294">
        <v>65</v>
      </c>
      <c r="Z137" s="3295">
        <v>86</v>
      </c>
      <c r="AA137" s="3296">
        <v>197</v>
      </c>
      <c r="AB137"/>
      <c r="AC137" s="4414"/>
      <c r="AD137" s="3282" t="s">
        <v>13218</v>
      </c>
      <c r="AE137" s="3283" t="s">
        <v>13219</v>
      </c>
      <c r="AF137" s="3284">
        <v>221</v>
      </c>
      <c r="AG137" s="3285">
        <v>160</v>
      </c>
      <c r="AH137" s="3286">
        <v>221</v>
      </c>
      <c r="AI137"/>
      <c r="AJ137" s="4415"/>
      <c r="AK137" s="3288" t="s">
        <v>13220</v>
      </c>
      <c r="AL137" s="3283" t="s">
        <v>13221</v>
      </c>
      <c r="AM137" s="3284">
        <v>139</v>
      </c>
      <c r="AN137" s="3285">
        <v>119</v>
      </c>
      <c r="AO137" s="3286">
        <v>101</v>
      </c>
      <c r="AQ137" s="2730">
        <v>1</v>
      </c>
    </row>
    <row r="138" spans="11:43" ht="21" customHeight="1">
      <c r="V138" s="4416"/>
      <c r="W138" s="3313" t="s">
        <v>13222</v>
      </c>
      <c r="X138" s="3293" t="s">
        <v>13223</v>
      </c>
      <c r="Y138" s="3294">
        <v>104</v>
      </c>
      <c r="Z138" s="3295">
        <v>111</v>
      </c>
      <c r="AA138" s="3296">
        <v>140</v>
      </c>
      <c r="AB138"/>
      <c r="AC138" s="4417"/>
      <c r="AD138" s="3282" t="s">
        <v>13224</v>
      </c>
      <c r="AE138" s="3283" t="s">
        <v>13225</v>
      </c>
      <c r="AF138" s="3284">
        <v>216</v>
      </c>
      <c r="AG138" s="3285">
        <v>191</v>
      </c>
      <c r="AH138" s="3286">
        <v>216</v>
      </c>
      <c r="AI138"/>
      <c r="AJ138" s="4418"/>
      <c r="AK138" s="3299" t="s">
        <v>13226</v>
      </c>
      <c r="AL138" s="3283" t="s">
        <v>13227</v>
      </c>
      <c r="AM138" s="3284">
        <v>153</v>
      </c>
      <c r="AN138" s="3285">
        <v>101</v>
      </c>
      <c r="AO138" s="3286">
        <v>21</v>
      </c>
      <c r="AQ138" s="2730">
        <v>1</v>
      </c>
    </row>
    <row r="139" spans="11:43" ht="21" customHeight="1">
      <c r="V139" s="4419"/>
      <c r="W139" s="3313" t="s">
        <v>13228</v>
      </c>
      <c r="X139" s="3293" t="s">
        <v>13229</v>
      </c>
      <c r="Y139" s="3294">
        <v>0</v>
      </c>
      <c r="Z139" s="3295">
        <v>51</v>
      </c>
      <c r="AA139" s="3296">
        <v>153</v>
      </c>
      <c r="AB139"/>
      <c r="AC139" s="4420"/>
      <c r="AD139" s="3282" t="s">
        <v>13230</v>
      </c>
      <c r="AE139" s="3283" t="s">
        <v>13231</v>
      </c>
      <c r="AF139" s="3284">
        <v>255</v>
      </c>
      <c r="AG139" s="3285">
        <v>131</v>
      </c>
      <c r="AH139" s="3286">
        <v>250</v>
      </c>
      <c r="AI139"/>
      <c r="AJ139" s="4421"/>
      <c r="AK139" s="3299" t="s">
        <v>13232</v>
      </c>
      <c r="AL139" s="3283" t="s">
        <v>13233</v>
      </c>
      <c r="AM139" s="3284">
        <v>143</v>
      </c>
      <c r="AN139" s="3285">
        <v>89</v>
      </c>
      <c r="AO139" s="3286">
        <v>34</v>
      </c>
      <c r="AQ139" s="2730">
        <v>1</v>
      </c>
    </row>
    <row r="140" spans="11:43" ht="21" customHeight="1">
      <c r="V140" s="4422"/>
      <c r="W140" s="3292" t="s">
        <v>13234</v>
      </c>
      <c r="X140" s="3293" t="s">
        <v>13235</v>
      </c>
      <c r="Y140" s="3294">
        <v>39</v>
      </c>
      <c r="Z140" s="3295">
        <v>64</v>
      </c>
      <c r="AA140" s="3296">
        <v>139</v>
      </c>
      <c r="AB140"/>
      <c r="AC140" s="4423"/>
      <c r="AD140" s="3282" t="s">
        <v>13236</v>
      </c>
      <c r="AE140" s="3283" t="s">
        <v>13237</v>
      </c>
      <c r="AF140" s="3284">
        <v>234</v>
      </c>
      <c r="AG140" s="3285">
        <v>173</v>
      </c>
      <c r="AH140" s="3286">
        <v>234</v>
      </c>
      <c r="AI140"/>
      <c r="AJ140" s="4424"/>
      <c r="AK140" s="3288" t="s">
        <v>13238</v>
      </c>
      <c r="AL140" s="3283" t="s">
        <v>13239</v>
      </c>
      <c r="AM140" s="3284">
        <v>139</v>
      </c>
      <c r="AN140" s="3285">
        <v>90</v>
      </c>
      <c r="AO140" s="3286">
        <v>43</v>
      </c>
      <c r="AQ140" s="2730">
        <v>1</v>
      </c>
    </row>
    <row r="141" spans="11:43" ht="21" customHeight="1">
      <c r="V141" s="4425"/>
      <c r="W141" s="3313" t="s">
        <v>13240</v>
      </c>
      <c r="X141" s="3293" t="s">
        <v>13241</v>
      </c>
      <c r="Y141" s="3294">
        <v>76</v>
      </c>
      <c r="Z141" s="3295">
        <v>81</v>
      </c>
      <c r="AA141" s="3296">
        <v>109</v>
      </c>
      <c r="AB141"/>
      <c r="AC141" s="4426"/>
      <c r="AD141" s="3282" t="s">
        <v>13242</v>
      </c>
      <c r="AE141" s="3283" t="s">
        <v>13243</v>
      </c>
      <c r="AF141" s="3284">
        <v>238</v>
      </c>
      <c r="AG141" s="3285">
        <v>174</v>
      </c>
      <c r="AH141" s="3286">
        <v>238</v>
      </c>
      <c r="AI141"/>
      <c r="AJ141" s="4427"/>
      <c r="AK141" s="3288" t="s">
        <v>13244</v>
      </c>
      <c r="AL141" s="3283" t="s">
        <v>13245</v>
      </c>
      <c r="AM141" s="3284">
        <v>139</v>
      </c>
      <c r="AN141" s="3285">
        <v>90</v>
      </c>
      <c r="AO141" s="3286">
        <v>0</v>
      </c>
      <c r="AQ141" s="2730">
        <v>1</v>
      </c>
    </row>
    <row r="142" spans="11:43" ht="21" customHeight="1">
      <c r="V142" s="4428"/>
      <c r="W142" s="3292" t="s">
        <v>13246</v>
      </c>
      <c r="X142" s="3293" t="s">
        <v>13247</v>
      </c>
      <c r="Y142" s="3294">
        <v>0</v>
      </c>
      <c r="Z142" s="3295">
        <v>34</v>
      </c>
      <c r="AA142" s="3296">
        <v>102</v>
      </c>
      <c r="AB142"/>
      <c r="AC142" s="4429"/>
      <c r="AD142" s="3282" t="s">
        <v>13248</v>
      </c>
      <c r="AE142" s="3283" t="s">
        <v>13249</v>
      </c>
      <c r="AF142" s="3284">
        <v>255</v>
      </c>
      <c r="AG142" s="3285">
        <v>187</v>
      </c>
      <c r="AH142" s="3286">
        <v>255</v>
      </c>
      <c r="AI142"/>
      <c r="AJ142" s="4430"/>
      <c r="AK142" s="3299" t="s">
        <v>13250</v>
      </c>
      <c r="AL142" s="3283" t="s">
        <v>13251</v>
      </c>
      <c r="AM142" s="3284">
        <v>135</v>
      </c>
      <c r="AN142" s="3285">
        <v>89</v>
      </c>
      <c r="AO142" s="3286">
        <v>26</v>
      </c>
      <c r="AQ142" s="2730">
        <v>1</v>
      </c>
    </row>
    <row r="143" spans="11:43" ht="21" customHeight="1">
      <c r="V143" s="4431"/>
      <c r="W143" s="3313" t="s">
        <v>13252</v>
      </c>
      <c r="X143" s="3293" t="s">
        <v>13253</v>
      </c>
      <c r="Y143" s="3294">
        <v>102</v>
      </c>
      <c r="Z143" s="3295">
        <v>0</v>
      </c>
      <c r="AA143" s="3296">
        <v>255</v>
      </c>
      <c r="AB143"/>
      <c r="AC143" s="4432"/>
      <c r="AD143" s="3282" t="s">
        <v>13254</v>
      </c>
      <c r="AE143" s="3283" t="s">
        <v>13255</v>
      </c>
      <c r="AF143" s="3284">
        <v>238</v>
      </c>
      <c r="AG143" s="3285">
        <v>210</v>
      </c>
      <c r="AH143" s="3286">
        <v>238</v>
      </c>
      <c r="AI143"/>
      <c r="AJ143" s="4433"/>
      <c r="AK143" s="3299" t="s">
        <v>13256</v>
      </c>
      <c r="AL143" s="3283" t="s">
        <v>13257</v>
      </c>
      <c r="AM143" s="3284">
        <v>126</v>
      </c>
      <c r="AN143" s="3285">
        <v>88</v>
      </c>
      <c r="AO143" s="3286">
        <v>53</v>
      </c>
      <c r="AQ143" s="2730">
        <v>1</v>
      </c>
    </row>
    <row r="144" spans="11:43" ht="21" customHeight="1">
      <c r="V144" s="4434"/>
      <c r="W144" s="3292" t="s">
        <v>13258</v>
      </c>
      <c r="X144" s="3293" t="s">
        <v>13259</v>
      </c>
      <c r="Y144" s="3294">
        <v>123</v>
      </c>
      <c r="Z144" s="3295">
        <v>104</v>
      </c>
      <c r="AA144" s="3296">
        <v>238</v>
      </c>
      <c r="AB144"/>
      <c r="AC144" s="4435"/>
      <c r="AD144" s="3282" t="s">
        <v>13260</v>
      </c>
      <c r="AE144" s="3283" t="s">
        <v>13261</v>
      </c>
      <c r="AF144" s="3284">
        <v>255</v>
      </c>
      <c r="AG144" s="3285">
        <v>225</v>
      </c>
      <c r="AH144" s="3286">
        <v>255</v>
      </c>
      <c r="AI144"/>
      <c r="AJ144" s="4436"/>
      <c r="AK144" s="3299" t="s">
        <v>13262</v>
      </c>
      <c r="AL144" s="3283" t="s">
        <v>13263</v>
      </c>
      <c r="AM144" s="3284">
        <v>133</v>
      </c>
      <c r="AN144" s="3285">
        <v>83</v>
      </c>
      <c r="AO144" s="3286">
        <v>15</v>
      </c>
      <c r="AQ144" s="2730">
        <v>1</v>
      </c>
    </row>
    <row r="145" spans="22:43" ht="21" customHeight="1">
      <c r="V145" s="4437"/>
      <c r="W145" s="3313" t="s">
        <v>13264</v>
      </c>
      <c r="X145" s="3293" t="s">
        <v>13265</v>
      </c>
      <c r="Y145" s="3294">
        <v>150</v>
      </c>
      <c r="Z145" s="3295">
        <v>131</v>
      </c>
      <c r="AA145" s="3296">
        <v>236</v>
      </c>
      <c r="AB145"/>
      <c r="AC145" s="4438"/>
      <c r="AD145" s="3282" t="s">
        <v>13266</v>
      </c>
      <c r="AE145" s="3283" t="s">
        <v>13267</v>
      </c>
      <c r="AF145" s="3284">
        <v>205</v>
      </c>
      <c r="AG145" s="3285">
        <v>150</v>
      </c>
      <c r="AH145" s="3286">
        <v>205</v>
      </c>
      <c r="AI145"/>
      <c r="AJ145" s="4439"/>
      <c r="AK145" s="3299" t="s">
        <v>13268</v>
      </c>
      <c r="AL145" s="3283" t="s">
        <v>13269</v>
      </c>
      <c r="AM145" s="3284">
        <v>97</v>
      </c>
      <c r="AN145" s="3285">
        <v>75</v>
      </c>
      <c r="AO145" s="3286">
        <v>58</v>
      </c>
      <c r="AQ145" s="2730">
        <v>1</v>
      </c>
    </row>
    <row r="146" spans="22:43" ht="21" customHeight="1">
      <c r="V146" s="4440"/>
      <c r="W146" s="3292" t="s">
        <v>13270</v>
      </c>
      <c r="X146" s="3293" t="s">
        <v>13271</v>
      </c>
      <c r="Y146" s="3294">
        <v>131</v>
      </c>
      <c r="Z146" s="3295">
        <v>111</v>
      </c>
      <c r="AA146" s="3296">
        <v>255</v>
      </c>
      <c r="AB146"/>
      <c r="AC146" s="4441"/>
      <c r="AD146" s="3282" t="s">
        <v>13272</v>
      </c>
      <c r="AE146" s="3283" t="s">
        <v>13273</v>
      </c>
      <c r="AF146" s="3284">
        <v>219</v>
      </c>
      <c r="AG146" s="3285">
        <v>112</v>
      </c>
      <c r="AH146" s="3286">
        <v>219</v>
      </c>
      <c r="AI146"/>
      <c r="AJ146" s="4442"/>
      <c r="AK146" s="3299" t="s">
        <v>13274</v>
      </c>
      <c r="AL146" s="3283" t="s">
        <v>13275</v>
      </c>
      <c r="AM146" s="3284">
        <v>106</v>
      </c>
      <c r="AN146" s="3285">
        <v>75</v>
      </c>
      <c r="AO146" s="3286">
        <v>33</v>
      </c>
      <c r="AQ146" s="2730">
        <v>1</v>
      </c>
    </row>
    <row r="147" spans="22:43" ht="21" customHeight="1">
      <c r="V147" s="4443"/>
      <c r="W147" s="3292" t="s">
        <v>13276</v>
      </c>
      <c r="X147" s="3293" t="s">
        <v>13277</v>
      </c>
      <c r="Y147" s="3294">
        <v>132</v>
      </c>
      <c r="Z147" s="3295">
        <v>112</v>
      </c>
      <c r="AA147" s="3296">
        <v>255</v>
      </c>
      <c r="AB147"/>
      <c r="AC147" s="4444"/>
      <c r="AD147" s="3347" t="s">
        <v>13278</v>
      </c>
      <c r="AE147" s="3283" t="s">
        <v>13279</v>
      </c>
      <c r="AF147" s="3284">
        <v>218</v>
      </c>
      <c r="AG147" s="3285">
        <v>112</v>
      </c>
      <c r="AH147" s="3286">
        <v>214</v>
      </c>
      <c r="AI147"/>
      <c r="AJ147" s="4445"/>
      <c r="AK147" s="3299" t="s">
        <v>13280</v>
      </c>
      <c r="AL147" s="3283" t="s">
        <v>13281</v>
      </c>
      <c r="AM147" s="3284">
        <v>101</v>
      </c>
      <c r="AN147" s="3285">
        <v>69</v>
      </c>
      <c r="AO147" s="3286">
        <v>34</v>
      </c>
      <c r="AQ147" s="2730">
        <v>1</v>
      </c>
    </row>
    <row r="148" spans="22:43" ht="21" customHeight="1">
      <c r="V148" s="4446"/>
      <c r="W148" s="3292" t="s">
        <v>13282</v>
      </c>
      <c r="X148" s="3293" t="s">
        <v>13283</v>
      </c>
      <c r="Y148" s="3294">
        <v>122</v>
      </c>
      <c r="Z148" s="3295">
        <v>103</v>
      </c>
      <c r="AA148" s="3296">
        <v>238</v>
      </c>
      <c r="AB148"/>
      <c r="AC148" s="4447"/>
      <c r="AD148" s="3282" t="s">
        <v>13284</v>
      </c>
      <c r="AE148" s="3283" t="s">
        <v>13285</v>
      </c>
      <c r="AF148" s="3284">
        <v>238</v>
      </c>
      <c r="AG148" s="3285">
        <v>0</v>
      </c>
      <c r="AH148" s="3286">
        <v>238</v>
      </c>
      <c r="AI148"/>
      <c r="AJ148" s="4448"/>
      <c r="AK148" s="3299" t="s">
        <v>13286</v>
      </c>
      <c r="AL148" s="3283" t="s">
        <v>13287</v>
      </c>
      <c r="AM148" s="3284">
        <v>91</v>
      </c>
      <c r="AN148" s="3285">
        <v>60</v>
      </c>
      <c r="AO148" s="3286">
        <v>17</v>
      </c>
      <c r="AQ148" s="2730">
        <v>1</v>
      </c>
    </row>
    <row r="149" spans="22:43" ht="21" customHeight="1">
      <c r="V149" s="4449"/>
      <c r="W149" s="3313" t="s">
        <v>13288</v>
      </c>
      <c r="X149" s="3293" t="s">
        <v>13289</v>
      </c>
      <c r="Y149" s="3294">
        <v>121</v>
      </c>
      <c r="Z149" s="3295">
        <v>28</v>
      </c>
      <c r="AA149" s="3296">
        <v>248</v>
      </c>
      <c r="AB149"/>
      <c r="AC149" s="4450"/>
      <c r="AD149" s="3347" t="s">
        <v>13290</v>
      </c>
      <c r="AE149" s="3283" t="s">
        <v>13291</v>
      </c>
      <c r="AF149" s="3284">
        <v>212</v>
      </c>
      <c r="AG149" s="3285">
        <v>115</v>
      </c>
      <c r="AH149" s="3286">
        <v>212</v>
      </c>
      <c r="AI149"/>
      <c r="AJ149" s="4451"/>
      <c r="AK149" s="3299" t="s">
        <v>13292</v>
      </c>
      <c r="AL149" s="3283" t="s">
        <v>13293</v>
      </c>
      <c r="AM149" s="3284">
        <v>72</v>
      </c>
      <c r="AN149" s="3285">
        <v>60</v>
      </c>
      <c r="AO149" s="3286">
        <v>50</v>
      </c>
      <c r="AQ149" s="2730">
        <v>1</v>
      </c>
    </row>
    <row r="150" spans="22:43" ht="21" customHeight="1">
      <c r="V150" s="4452"/>
      <c r="W150" s="3292" t="s">
        <v>13294</v>
      </c>
      <c r="X150" s="3293" t="s">
        <v>13295</v>
      </c>
      <c r="Y150" s="3294">
        <v>106</v>
      </c>
      <c r="Z150" s="3295">
        <v>90</v>
      </c>
      <c r="AA150" s="3296">
        <v>205</v>
      </c>
      <c r="AB150"/>
      <c r="AC150" s="4453"/>
      <c r="AD150" s="3282" t="s">
        <v>13296</v>
      </c>
      <c r="AE150" s="3283" t="s">
        <v>13297</v>
      </c>
      <c r="AF150" s="3284">
        <v>205</v>
      </c>
      <c r="AG150" s="3285">
        <v>105</v>
      </c>
      <c r="AH150" s="3286">
        <v>201</v>
      </c>
      <c r="AI150"/>
      <c r="AJ150" s="4454"/>
      <c r="AK150" s="3299" t="s">
        <v>13298</v>
      </c>
      <c r="AL150" s="3283" t="s">
        <v>13299</v>
      </c>
      <c r="AM150" s="3284">
        <v>75</v>
      </c>
      <c r="AN150" s="3285">
        <v>54</v>
      </c>
      <c r="AO150" s="3286">
        <v>33</v>
      </c>
      <c r="AQ150" s="2730">
        <v>1</v>
      </c>
    </row>
    <row r="151" spans="22:43" ht="21" customHeight="1">
      <c r="V151" s="4455"/>
      <c r="W151" s="3292" t="s">
        <v>13300</v>
      </c>
      <c r="X151" s="3293" t="s">
        <v>13301</v>
      </c>
      <c r="Y151" s="3294">
        <v>105</v>
      </c>
      <c r="Z151" s="3295">
        <v>89</v>
      </c>
      <c r="AA151" s="3296">
        <v>205</v>
      </c>
      <c r="AB151"/>
      <c r="AC151" s="4456"/>
      <c r="AD151" s="3347" t="s">
        <v>13302</v>
      </c>
      <c r="AE151" s="3283" t="s">
        <v>13303</v>
      </c>
      <c r="AF151" s="3284">
        <v>170</v>
      </c>
      <c r="AG151" s="3285">
        <v>152</v>
      </c>
      <c r="AH151" s="3286">
        <v>169</v>
      </c>
      <c r="AI151"/>
      <c r="AJ151" s="4457"/>
      <c r="AK151" s="3299" t="s">
        <v>13304</v>
      </c>
      <c r="AL151" s="3283" t="s">
        <v>13305</v>
      </c>
      <c r="AM151" s="3284">
        <v>70</v>
      </c>
      <c r="AN151" s="3285">
        <v>46</v>
      </c>
      <c r="AO151" s="3286">
        <v>1</v>
      </c>
      <c r="AQ151" s="2730">
        <v>1</v>
      </c>
    </row>
    <row r="152" spans="22:43" ht="21" customHeight="1">
      <c r="V152" s="4458"/>
      <c r="W152" s="3313" t="s">
        <v>13306</v>
      </c>
      <c r="X152" s="3293" t="s">
        <v>13307</v>
      </c>
      <c r="Y152" s="3294">
        <v>140</v>
      </c>
      <c r="Z152" s="3295">
        <v>130</v>
      </c>
      <c r="AA152" s="3296">
        <v>182</v>
      </c>
      <c r="AB152"/>
      <c r="AC152" s="4459"/>
      <c r="AD152" s="3282" t="s">
        <v>13308</v>
      </c>
      <c r="AE152" s="3283" t="s">
        <v>13309</v>
      </c>
      <c r="AF152" s="3284">
        <v>205</v>
      </c>
      <c r="AG152" s="3285">
        <v>0</v>
      </c>
      <c r="AH152" s="3286">
        <v>205</v>
      </c>
      <c r="AI152"/>
      <c r="AJ152" s="4460"/>
      <c r="AK152" s="3299" t="s">
        <v>13310</v>
      </c>
      <c r="AL152" s="3283" t="s">
        <v>13311</v>
      </c>
      <c r="AM152" s="3284">
        <v>45</v>
      </c>
      <c r="AN152" s="3285">
        <v>36</v>
      </c>
      <c r="AO152" s="3286">
        <v>30</v>
      </c>
      <c r="AQ152" s="2730">
        <v>1</v>
      </c>
    </row>
    <row r="153" spans="22:43" ht="21" customHeight="1">
      <c r="V153" s="4461"/>
      <c r="W153" s="3313" t="s">
        <v>13312</v>
      </c>
      <c r="X153" s="3293" t="s">
        <v>13313</v>
      </c>
      <c r="Y153" s="3294">
        <v>150</v>
      </c>
      <c r="Z153" s="3295">
        <v>144</v>
      </c>
      <c r="AA153" s="3296">
        <v>171</v>
      </c>
      <c r="AB153"/>
      <c r="AC153" s="4462"/>
      <c r="AD153" s="3282" t="s">
        <v>13314</v>
      </c>
      <c r="AE153" s="3283" t="s">
        <v>13315</v>
      </c>
      <c r="AF153" s="3284">
        <v>159</v>
      </c>
      <c r="AG153" s="3285">
        <v>95</v>
      </c>
      <c r="AH153" s="3286">
        <v>159</v>
      </c>
      <c r="AI153"/>
      <c r="AJ153" s="4463"/>
      <c r="AK153" s="3299" t="s">
        <v>13316</v>
      </c>
      <c r="AL153" s="3283" t="s">
        <v>13317</v>
      </c>
      <c r="AM153" s="3284">
        <v>47</v>
      </c>
      <c r="AN153" s="3285">
        <v>30</v>
      </c>
      <c r="AO153" s="3286">
        <v>14</v>
      </c>
      <c r="AQ153" s="2730">
        <v>1</v>
      </c>
    </row>
    <row r="154" spans="22:43" ht="21" customHeight="1">
      <c r="V154" s="4464"/>
      <c r="W154" s="3313" t="s">
        <v>13318</v>
      </c>
      <c r="X154" s="3293" t="s">
        <v>13319</v>
      </c>
      <c r="Y154" s="3294">
        <v>126</v>
      </c>
      <c r="Z154" s="3295">
        <v>115</v>
      </c>
      <c r="AA154" s="3296">
        <v>184</v>
      </c>
      <c r="AB154"/>
      <c r="AC154" s="4465"/>
      <c r="AD154" s="3282" t="s">
        <v>13320</v>
      </c>
      <c r="AE154" s="3283" t="s">
        <v>13321</v>
      </c>
      <c r="AF154" s="3284">
        <v>139</v>
      </c>
      <c r="AG154" s="3285">
        <v>123</v>
      </c>
      <c r="AH154" s="3286">
        <v>139</v>
      </c>
      <c r="AI154"/>
      <c r="AJ154" s="4466"/>
      <c r="AK154" s="3299" t="s">
        <v>13322</v>
      </c>
      <c r="AL154" s="3283" t="s">
        <v>13323</v>
      </c>
      <c r="AM154" s="3284">
        <v>19</v>
      </c>
      <c r="AN154" s="3285">
        <v>14</v>
      </c>
      <c r="AO154" s="3286">
        <v>10</v>
      </c>
      <c r="AQ154" s="2730">
        <v>1</v>
      </c>
    </row>
    <row r="155" spans="22:43" ht="21" customHeight="1">
      <c r="V155" s="4467"/>
      <c r="W155" s="3313" t="s">
        <v>13324</v>
      </c>
      <c r="X155" s="3293" t="s">
        <v>13325</v>
      </c>
      <c r="Y155" s="3294">
        <v>96</v>
      </c>
      <c r="Z155" s="3295">
        <v>78</v>
      </c>
      <c r="AA155" s="3296">
        <v>151</v>
      </c>
      <c r="AB155"/>
      <c r="AC155" s="4468"/>
      <c r="AD155" s="3282" t="s">
        <v>13326</v>
      </c>
      <c r="AE155" s="3283" t="s">
        <v>13327</v>
      </c>
      <c r="AF155" s="3284">
        <v>139</v>
      </c>
      <c r="AG155" s="3285">
        <v>102</v>
      </c>
      <c r="AH155" s="3286">
        <v>139</v>
      </c>
      <c r="AI155"/>
      <c r="AJ155" s="4469"/>
      <c r="AK155" s="3299" t="s">
        <v>13328</v>
      </c>
      <c r="AL155" s="3283" t="s">
        <v>2006</v>
      </c>
      <c r="AM155" s="3284">
        <v>255</v>
      </c>
      <c r="AN155" s="3285">
        <v>0</v>
      </c>
      <c r="AO155" s="3286">
        <v>0</v>
      </c>
      <c r="AQ155" s="2730">
        <v>1</v>
      </c>
    </row>
    <row r="156" spans="22:43" ht="21" customHeight="1">
      <c r="V156" s="4470"/>
      <c r="W156" s="3292" t="s">
        <v>13329</v>
      </c>
      <c r="X156" s="3293" t="s">
        <v>13330</v>
      </c>
      <c r="Y156" s="3294">
        <v>72</v>
      </c>
      <c r="Z156" s="3295">
        <v>61</v>
      </c>
      <c r="AA156" s="3296">
        <v>139</v>
      </c>
      <c r="AB156"/>
      <c r="AC156" s="4471"/>
      <c r="AD156" s="3347" t="s">
        <v>13331</v>
      </c>
      <c r="AE156" s="3283" t="s">
        <v>13332</v>
      </c>
      <c r="AF156" s="3284">
        <v>121</v>
      </c>
      <c r="AG156" s="3285">
        <v>104</v>
      </c>
      <c r="AH156" s="3286">
        <v>120</v>
      </c>
      <c r="AI156"/>
      <c r="AJ156" s="4472"/>
      <c r="AK156" s="3288" t="s">
        <v>13333</v>
      </c>
      <c r="AL156" s="3283" t="s">
        <v>2006</v>
      </c>
      <c r="AM156" s="3284">
        <v>255</v>
      </c>
      <c r="AN156" s="3285">
        <v>36</v>
      </c>
      <c r="AO156" s="3286">
        <v>0</v>
      </c>
      <c r="AQ156" s="2730">
        <v>1</v>
      </c>
    </row>
    <row r="157" spans="22:43" ht="21" customHeight="1">
      <c r="V157" s="4473"/>
      <c r="W157" s="3292" t="s">
        <v>13334</v>
      </c>
      <c r="X157" s="3293" t="s">
        <v>13335</v>
      </c>
      <c r="Y157" s="3294">
        <v>71</v>
      </c>
      <c r="Z157" s="3295">
        <v>60</v>
      </c>
      <c r="AA157" s="3296">
        <v>139</v>
      </c>
      <c r="AB157"/>
      <c r="AC157" s="4474"/>
      <c r="AD157" s="3282" t="s">
        <v>13336</v>
      </c>
      <c r="AE157" s="3283" t="s">
        <v>13337</v>
      </c>
      <c r="AF157" s="3284">
        <v>139</v>
      </c>
      <c r="AG157" s="3285">
        <v>71</v>
      </c>
      <c r="AH157" s="3286">
        <v>137</v>
      </c>
      <c r="AI157"/>
      <c r="AJ157" s="4475"/>
      <c r="AK157" s="3288" t="s">
        <v>13338</v>
      </c>
      <c r="AL157" s="3283" t="s">
        <v>2006</v>
      </c>
      <c r="AM157" s="3284">
        <v>255</v>
      </c>
      <c r="AN157" s="3285">
        <v>69</v>
      </c>
      <c r="AO157" s="3286">
        <v>0</v>
      </c>
      <c r="AQ157" s="2730">
        <v>1</v>
      </c>
    </row>
    <row r="158" spans="22:43" ht="21" customHeight="1">
      <c r="V158" s="4476"/>
      <c r="W158" s="3313" t="s">
        <v>13339</v>
      </c>
      <c r="X158" s="3293" t="s">
        <v>13340</v>
      </c>
      <c r="Y158" s="3294">
        <v>46</v>
      </c>
      <c r="Z158" s="3295">
        <v>0</v>
      </c>
      <c r="AA158" s="3296">
        <v>108</v>
      </c>
      <c r="AB158"/>
      <c r="AC158" s="4477"/>
      <c r="AD158" s="3282" t="s">
        <v>13341</v>
      </c>
      <c r="AE158" s="3283" t="s">
        <v>13342</v>
      </c>
      <c r="AF158" s="3284">
        <v>139</v>
      </c>
      <c r="AG158" s="3285">
        <v>0</v>
      </c>
      <c r="AH158" s="3286">
        <v>139</v>
      </c>
      <c r="AI158"/>
      <c r="AJ158" s="4478"/>
      <c r="AK158" s="3299" t="s">
        <v>13343</v>
      </c>
      <c r="AL158" s="3283" t="s">
        <v>2006</v>
      </c>
      <c r="AM158" s="3284">
        <v>255</v>
      </c>
      <c r="AN158" s="3285">
        <v>73</v>
      </c>
      <c r="AO158" s="3286">
        <v>1</v>
      </c>
      <c r="AQ158" s="2730">
        <v>1</v>
      </c>
    </row>
    <row r="159" spans="22:43" ht="21" customHeight="1">
      <c r="V159" s="4479"/>
      <c r="W159" s="3292" t="s">
        <v>13344</v>
      </c>
      <c r="X159" s="3293" t="s">
        <v>13345</v>
      </c>
      <c r="Y159" s="3294">
        <v>188</v>
      </c>
      <c r="Z159" s="3295">
        <v>238</v>
      </c>
      <c r="AA159" s="3296">
        <v>104</v>
      </c>
      <c r="AB159"/>
      <c r="AC159" s="4480"/>
      <c r="AD159" s="3347" t="s">
        <v>13346</v>
      </c>
      <c r="AE159" s="3283" t="s">
        <v>13347</v>
      </c>
      <c r="AF159" s="3284">
        <v>128</v>
      </c>
      <c r="AG159" s="3285">
        <v>0</v>
      </c>
      <c r="AH159" s="3286">
        <v>128</v>
      </c>
      <c r="AI159"/>
      <c r="AJ159" s="4481"/>
      <c r="AK159" s="3299" t="s">
        <v>13348</v>
      </c>
      <c r="AL159" s="3283" t="s">
        <v>13349</v>
      </c>
      <c r="AM159" s="3284">
        <v>255</v>
      </c>
      <c r="AN159" s="3285">
        <v>9</v>
      </c>
      <c r="AO159" s="3286">
        <v>33</v>
      </c>
      <c r="AQ159" s="2730">
        <v>1</v>
      </c>
    </row>
    <row r="160" spans="22:43" ht="21" customHeight="1">
      <c r="V160" s="4482"/>
      <c r="W160" s="3292" t="s">
        <v>13350</v>
      </c>
      <c r="X160" s="3293" t="s">
        <v>13351</v>
      </c>
      <c r="Y160" s="3294">
        <v>192</v>
      </c>
      <c r="Z160" s="3295">
        <v>255</v>
      </c>
      <c r="AA160" s="3296">
        <v>62</v>
      </c>
      <c r="AB160"/>
      <c r="AC160" s="4483"/>
      <c r="AD160" s="3282" t="s">
        <v>13352</v>
      </c>
      <c r="AE160" s="3283" t="s">
        <v>13353</v>
      </c>
      <c r="AF160" s="3284">
        <v>79</v>
      </c>
      <c r="AG160" s="3285">
        <v>47</v>
      </c>
      <c r="AH160" s="3286">
        <v>79</v>
      </c>
      <c r="AI160"/>
      <c r="AJ160" s="4484"/>
      <c r="AK160" s="3288" t="s">
        <v>13354</v>
      </c>
      <c r="AL160" s="3283" t="s">
        <v>13355</v>
      </c>
      <c r="AM160" s="3284">
        <v>255</v>
      </c>
      <c r="AN160" s="3285">
        <v>48</v>
      </c>
      <c r="AO160" s="3286">
        <v>48</v>
      </c>
      <c r="AQ160" s="2730">
        <v>1</v>
      </c>
    </row>
    <row r="161" spans="1:43" ht="21" customHeight="1">
      <c r="V161" s="4485"/>
      <c r="W161" s="3313" t="s">
        <v>13356</v>
      </c>
      <c r="X161" s="3293" t="s">
        <v>13357</v>
      </c>
      <c r="Y161" s="3294">
        <v>190</v>
      </c>
      <c r="Z161" s="3295">
        <v>245</v>
      </c>
      <c r="AA161" s="3296">
        <v>116</v>
      </c>
      <c r="AB161"/>
      <c r="AC161" s="4486"/>
      <c r="AD161" s="3347" t="s">
        <v>13358</v>
      </c>
      <c r="AE161" s="3283" t="s">
        <v>13359</v>
      </c>
      <c r="AF161" s="3284">
        <v>41</v>
      </c>
      <c r="AG161" s="3285">
        <v>30</v>
      </c>
      <c r="AH161" s="3286">
        <v>41</v>
      </c>
      <c r="AI161"/>
      <c r="AJ161" s="4487"/>
      <c r="AK161" s="3288" t="s">
        <v>13360</v>
      </c>
      <c r="AL161" s="3283" t="s">
        <v>13361</v>
      </c>
      <c r="AM161" s="3284">
        <v>255</v>
      </c>
      <c r="AN161" s="3285">
        <v>64</v>
      </c>
      <c r="AO161" s="3286">
        <v>64</v>
      </c>
      <c r="AQ161" s="2730">
        <v>1</v>
      </c>
    </row>
    <row r="162" spans="1:43" ht="21" customHeight="1">
      <c r="V162" s="4488"/>
      <c r="W162" s="3292" t="s">
        <v>13362</v>
      </c>
      <c r="X162" s="3293" t="s">
        <v>13363</v>
      </c>
      <c r="Y162" s="3294">
        <v>202</v>
      </c>
      <c r="Z162" s="3295">
        <v>255</v>
      </c>
      <c r="AA162" s="3296">
        <v>112</v>
      </c>
      <c r="AB162"/>
      <c r="AC162" s="4489"/>
      <c r="AD162" s="3347" t="s">
        <v>13364</v>
      </c>
      <c r="AE162" s="3283" t="s">
        <v>13365</v>
      </c>
      <c r="AF162" s="3284">
        <v>36</v>
      </c>
      <c r="AG162" s="3285">
        <v>33</v>
      </c>
      <c r="AH162" s="3286">
        <v>36</v>
      </c>
      <c r="AI162"/>
      <c r="AJ162" s="4490"/>
      <c r="AK162" s="3288" t="s">
        <v>13366</v>
      </c>
      <c r="AL162" s="3283" t="s">
        <v>13367</v>
      </c>
      <c r="AM162" s="3284">
        <v>255</v>
      </c>
      <c r="AN162" s="3285">
        <v>99</v>
      </c>
      <c r="AO162" s="3286">
        <v>71</v>
      </c>
      <c r="AQ162" s="2730">
        <v>1</v>
      </c>
    </row>
    <row r="163" spans="1:43" ht="21" customHeight="1">
      <c r="V163" s="4491"/>
      <c r="W163" s="3313" t="s">
        <v>13368</v>
      </c>
      <c r="X163" s="3293" t="s">
        <v>13369</v>
      </c>
      <c r="Y163" s="3294">
        <v>251</v>
      </c>
      <c r="Z163" s="3295">
        <v>252</v>
      </c>
      <c r="AA163" s="3296">
        <v>250</v>
      </c>
      <c r="AB163"/>
      <c r="AC163" s="4492"/>
      <c r="AD163" s="3282" t="s">
        <v>13370</v>
      </c>
      <c r="AE163" s="3283" t="s">
        <v>13371</v>
      </c>
      <c r="AF163" s="3284">
        <v>227</v>
      </c>
      <c r="AG163" s="3285">
        <v>91</v>
      </c>
      <c r="AH163" s="3286">
        <v>216</v>
      </c>
      <c r="AI163"/>
      <c r="AJ163" s="4493"/>
      <c r="AK163" s="3299" t="s">
        <v>13372</v>
      </c>
      <c r="AL163" s="3283" t="s">
        <v>13373</v>
      </c>
      <c r="AM163" s="3284">
        <v>255</v>
      </c>
      <c r="AN163" s="3285">
        <v>94</v>
      </c>
      <c r="AO163" s="3286">
        <v>77</v>
      </c>
      <c r="AQ163" s="2730">
        <v>1</v>
      </c>
    </row>
    <row r="164" spans="1:43" ht="21" customHeight="1">
      <c r="V164" s="4494"/>
      <c r="W164" s="3292" t="s">
        <v>13374</v>
      </c>
      <c r="X164" s="3293" t="s">
        <v>13375</v>
      </c>
      <c r="Y164" s="3294">
        <v>179</v>
      </c>
      <c r="Z164" s="3295">
        <v>238</v>
      </c>
      <c r="AA164" s="3296">
        <v>58</v>
      </c>
      <c r="AB164"/>
      <c r="AC164" s="4495"/>
      <c r="AD164" s="3347" t="s">
        <v>13376</v>
      </c>
      <c r="AE164" s="3283" t="s">
        <v>13377</v>
      </c>
      <c r="AF164" s="3284">
        <v>84</v>
      </c>
      <c r="AG164" s="3285">
        <v>25</v>
      </c>
      <c r="AH164" s="3286">
        <v>78</v>
      </c>
      <c r="AI164"/>
      <c r="AJ164" s="4496"/>
      <c r="AK164" s="3299" t="s">
        <v>13378</v>
      </c>
      <c r="AL164" s="3283" t="s">
        <v>13379</v>
      </c>
      <c r="AM164" s="3284">
        <v>252</v>
      </c>
      <c r="AN164" s="3285">
        <v>93</v>
      </c>
      <c r="AO164" s="3286">
        <v>93</v>
      </c>
      <c r="AQ164" s="2730">
        <v>1</v>
      </c>
    </row>
    <row r="165" spans="1:43" ht="21" customHeight="1">
      <c r="A165" s="3193"/>
      <c r="V165" s="4497"/>
      <c r="W165" s="3313" t="s">
        <v>13380</v>
      </c>
      <c r="X165" s="3293" t="s">
        <v>13381</v>
      </c>
      <c r="Y165" s="3294">
        <v>165</v>
      </c>
      <c r="Z165" s="3295">
        <v>209</v>
      </c>
      <c r="AA165" s="3296">
        <v>82</v>
      </c>
      <c r="AB165"/>
      <c r="AC165" s="4498"/>
      <c r="AD165" s="3299" t="s">
        <v>13382</v>
      </c>
      <c r="AE165" s="3283" t="s">
        <v>13383</v>
      </c>
      <c r="AF165" s="3284">
        <v>52</v>
      </c>
      <c r="AG165" s="3285">
        <v>23</v>
      </c>
      <c r="AH165" s="3286">
        <v>49</v>
      </c>
      <c r="AI165"/>
      <c r="AJ165" s="4499"/>
      <c r="AK165" s="3299" t="s">
        <v>13384</v>
      </c>
      <c r="AL165" s="3283" t="s">
        <v>13385</v>
      </c>
      <c r="AM165" s="3284">
        <v>217</v>
      </c>
      <c r="AN165" s="3285">
        <v>166</v>
      </c>
      <c r="AO165" s="3286">
        <v>169</v>
      </c>
      <c r="AQ165" s="2730">
        <v>1</v>
      </c>
    </row>
    <row r="166" spans="1:43" ht="21" customHeight="1">
      <c r="V166" s="4500"/>
      <c r="W166" s="3292" t="s">
        <v>13386</v>
      </c>
      <c r="X166" s="3293" t="s">
        <v>13387</v>
      </c>
      <c r="Y166" s="3294">
        <v>162</v>
      </c>
      <c r="Z166" s="3295">
        <v>205</v>
      </c>
      <c r="AA166" s="3296">
        <v>90</v>
      </c>
      <c r="AB166"/>
      <c r="AC166" s="4501"/>
      <c r="AD166" s="3299" t="s">
        <v>13388</v>
      </c>
      <c r="AE166" s="3283" t="s">
        <v>13389</v>
      </c>
      <c r="AF166" s="3284">
        <v>213</v>
      </c>
      <c r="AG166" s="3285">
        <v>186</v>
      </c>
      <c r="AH166" s="3286">
        <v>219</v>
      </c>
      <c r="AI166"/>
      <c r="AJ166" s="4502"/>
      <c r="AK166" s="3288" t="s">
        <v>13390</v>
      </c>
      <c r="AL166" s="3283" t="s">
        <v>13391</v>
      </c>
      <c r="AM166" s="3284">
        <v>240</v>
      </c>
      <c r="AN166" s="3285">
        <v>128</v>
      </c>
      <c r="AO166" s="3286">
        <v>128</v>
      </c>
      <c r="AQ166" s="2730">
        <v>1</v>
      </c>
    </row>
    <row r="167" spans="1:43" ht="21" customHeight="1">
      <c r="V167" s="4503"/>
      <c r="W167" s="3292" t="s">
        <v>13392</v>
      </c>
      <c r="X167" s="3293" t="s">
        <v>13393</v>
      </c>
      <c r="Y167" s="3294">
        <v>154</v>
      </c>
      <c r="Z167" s="3295">
        <v>205</v>
      </c>
      <c r="AA167" s="3296">
        <v>50</v>
      </c>
      <c r="AB167"/>
      <c r="AC167" s="4504"/>
      <c r="AD167" s="3299" t="s">
        <v>13394</v>
      </c>
      <c r="AE167" s="3283" t="s">
        <v>13395</v>
      </c>
      <c r="AF167" s="3284">
        <v>108</v>
      </c>
      <c r="AG167" s="3285">
        <v>2</v>
      </c>
      <c r="AH167" s="3286">
        <v>119</v>
      </c>
      <c r="AI167"/>
      <c r="AJ167" s="4505"/>
      <c r="AK167" s="3299" t="s">
        <v>13396</v>
      </c>
      <c r="AL167" s="3283" t="s">
        <v>13397</v>
      </c>
      <c r="AM167" s="3284">
        <v>222</v>
      </c>
      <c r="AN167" s="3285">
        <v>165</v>
      </c>
      <c r="AO167" s="3286">
        <v>164</v>
      </c>
      <c r="AQ167" s="2730">
        <v>1</v>
      </c>
    </row>
    <row r="168" spans="1:43" ht="21" customHeight="1">
      <c r="V168" s="4506"/>
      <c r="W168" s="3292" t="s">
        <v>13398</v>
      </c>
      <c r="X168" s="3293" t="s">
        <v>13399</v>
      </c>
      <c r="Y168" s="3294">
        <v>153</v>
      </c>
      <c r="Z168" s="3295">
        <v>204</v>
      </c>
      <c r="AA168" s="3296">
        <v>50</v>
      </c>
      <c r="AB168"/>
      <c r="AC168" s="4507"/>
      <c r="AD168" s="3299" t="s">
        <v>13400</v>
      </c>
      <c r="AE168" s="3283" t="s">
        <v>13401</v>
      </c>
      <c r="AF168" s="3284">
        <v>48</v>
      </c>
      <c r="AG168" s="3285">
        <v>25</v>
      </c>
      <c r="AH168" s="3286">
        <v>52</v>
      </c>
      <c r="AI168"/>
      <c r="AJ168" s="4508"/>
      <c r="AK168" s="3299" t="s">
        <v>13402</v>
      </c>
      <c r="AL168" s="3283" t="s">
        <v>13403</v>
      </c>
      <c r="AM168" s="3284">
        <v>234</v>
      </c>
      <c r="AN168" s="3285">
        <v>147</v>
      </c>
      <c r="AO168" s="3286">
        <v>153</v>
      </c>
      <c r="AQ168" s="2730">
        <v>1</v>
      </c>
    </row>
    <row r="169" spans="1:43" ht="21" customHeight="1">
      <c r="V169" s="4509"/>
      <c r="W169" s="3292" t="s">
        <v>13404</v>
      </c>
      <c r="X169" s="3293" t="s">
        <v>13405</v>
      </c>
      <c r="Y169" s="3294">
        <v>110</v>
      </c>
      <c r="Z169" s="3295">
        <v>139</v>
      </c>
      <c r="AA169" s="3296">
        <v>61</v>
      </c>
      <c r="AB169"/>
      <c r="AC169" s="4510"/>
      <c r="AD169" s="3288" t="s">
        <v>13294</v>
      </c>
      <c r="AE169" s="3283" t="s">
        <v>13406</v>
      </c>
      <c r="AF169" s="3284">
        <v>0</v>
      </c>
      <c r="AG169" s="3285">
        <v>127</v>
      </c>
      <c r="AH169" s="3286">
        <v>255</v>
      </c>
      <c r="AI169"/>
      <c r="AJ169" s="4511"/>
      <c r="AK169" s="3288" t="s">
        <v>13407</v>
      </c>
      <c r="AL169" s="3283" t="s">
        <v>13408</v>
      </c>
      <c r="AM169" s="3284">
        <v>250</v>
      </c>
      <c r="AN169" s="3285">
        <v>128</v>
      </c>
      <c r="AO169" s="3286">
        <v>114</v>
      </c>
      <c r="AQ169" s="2730">
        <v>1</v>
      </c>
    </row>
    <row r="170" spans="1:43" ht="21" customHeight="1">
      <c r="V170" s="4512"/>
      <c r="W170" s="3292" t="s">
        <v>13409</v>
      </c>
      <c r="X170" s="3293" t="s">
        <v>13410</v>
      </c>
      <c r="Y170" s="3294">
        <v>107</v>
      </c>
      <c r="Z170" s="3295">
        <v>142</v>
      </c>
      <c r="AA170" s="3296">
        <v>35</v>
      </c>
      <c r="AB170"/>
      <c r="AC170" s="4513"/>
      <c r="AD170" s="3288" t="s">
        <v>13411</v>
      </c>
      <c r="AE170" s="3283" t="s">
        <v>13412</v>
      </c>
      <c r="AF170" s="3284">
        <v>30</v>
      </c>
      <c r="AG170" s="3285">
        <v>144</v>
      </c>
      <c r="AH170" s="3286">
        <v>255</v>
      </c>
      <c r="AI170"/>
      <c r="AJ170" s="4514"/>
      <c r="AK170" s="3299" t="s">
        <v>13413</v>
      </c>
      <c r="AL170" s="3283" t="s">
        <v>13414</v>
      </c>
      <c r="AM170" s="3284">
        <v>248</v>
      </c>
      <c r="AN170" s="3285">
        <v>131</v>
      </c>
      <c r="AO170" s="3286">
        <v>121</v>
      </c>
      <c r="AQ170" s="2730">
        <v>1</v>
      </c>
    </row>
    <row r="171" spans="1:43" ht="21" customHeight="1">
      <c r="V171" s="4515"/>
      <c r="W171" s="3292" t="s">
        <v>13415</v>
      </c>
      <c r="X171" s="3293" t="s">
        <v>13416</v>
      </c>
      <c r="Y171" s="3294">
        <v>105</v>
      </c>
      <c r="Z171" s="3295">
        <v>139</v>
      </c>
      <c r="AA171" s="3296">
        <v>34</v>
      </c>
      <c r="AB171"/>
      <c r="AC171" s="4516"/>
      <c r="AD171" s="3299" t="s">
        <v>13417</v>
      </c>
      <c r="AE171" s="3283" t="s">
        <v>13418</v>
      </c>
      <c r="AF171" s="3284">
        <v>192</v>
      </c>
      <c r="AG171" s="3285">
        <v>200</v>
      </c>
      <c r="AH171" s="3286">
        <v>225</v>
      </c>
      <c r="AI171"/>
      <c r="AJ171" s="4517"/>
      <c r="AK171" s="3288" t="s">
        <v>13419</v>
      </c>
      <c r="AL171" s="3283" t="s">
        <v>13420</v>
      </c>
      <c r="AM171" s="3284">
        <v>255</v>
      </c>
      <c r="AN171" s="3285">
        <v>106</v>
      </c>
      <c r="AO171" s="3286">
        <v>106</v>
      </c>
      <c r="AQ171" s="2730">
        <v>1</v>
      </c>
    </row>
    <row r="172" spans="1:43" ht="21" customHeight="1">
      <c r="V172" s="4518"/>
      <c r="W172" s="3292" t="s">
        <v>13421</v>
      </c>
      <c r="X172" s="3293" t="s">
        <v>13422</v>
      </c>
      <c r="Y172" s="3294">
        <v>85</v>
      </c>
      <c r="Z172" s="3295">
        <v>107</v>
      </c>
      <c r="AA172" s="3296">
        <v>47</v>
      </c>
      <c r="AB172"/>
      <c r="AC172" s="4519"/>
      <c r="AD172" s="3288" t="s">
        <v>13423</v>
      </c>
      <c r="AE172" s="3283" t="s">
        <v>13424</v>
      </c>
      <c r="AF172" s="3284">
        <v>100</v>
      </c>
      <c r="AG172" s="3285">
        <v>149</v>
      </c>
      <c r="AH172" s="3286">
        <v>237</v>
      </c>
      <c r="AI172"/>
      <c r="AJ172" s="4520"/>
      <c r="AK172" s="3299" t="s">
        <v>13425</v>
      </c>
      <c r="AL172" s="3283" t="s">
        <v>13426</v>
      </c>
      <c r="AM172" s="3284">
        <v>255</v>
      </c>
      <c r="AN172" s="3285">
        <v>111</v>
      </c>
      <c r="AO172" s="3286">
        <v>125</v>
      </c>
      <c r="AQ172" s="2730">
        <v>1</v>
      </c>
    </row>
    <row r="173" spans="1:43" ht="21" customHeight="1">
      <c r="V173" s="4521"/>
      <c r="W173" s="3313" t="s">
        <v>13427</v>
      </c>
      <c r="X173" s="3293" t="s">
        <v>13428</v>
      </c>
      <c r="Y173" s="3294">
        <v>49</v>
      </c>
      <c r="Z173" s="3295">
        <v>54</v>
      </c>
      <c r="AA173" s="3296">
        <v>43</v>
      </c>
      <c r="AB173"/>
      <c r="AC173" s="4522"/>
      <c r="AD173" s="3288" t="s">
        <v>13429</v>
      </c>
      <c r="AE173" s="3283" t="s">
        <v>13430</v>
      </c>
      <c r="AF173" s="3284">
        <v>112</v>
      </c>
      <c r="AG173" s="3285">
        <v>147</v>
      </c>
      <c r="AH173" s="3286">
        <v>219</v>
      </c>
      <c r="AI173"/>
      <c r="AJ173" s="4523"/>
      <c r="AK173" s="3288" t="s">
        <v>13431</v>
      </c>
      <c r="AL173" s="3283" t="s">
        <v>13432</v>
      </c>
      <c r="AM173" s="3284">
        <v>205</v>
      </c>
      <c r="AN173" s="3285">
        <v>201</v>
      </c>
      <c r="AO173" s="3286">
        <v>201</v>
      </c>
      <c r="AQ173" s="2730">
        <v>1</v>
      </c>
    </row>
    <row r="174" spans="1:43" ht="21" customHeight="1">
      <c r="V174" s="4524"/>
      <c r="W174" s="3313" t="s">
        <v>13433</v>
      </c>
      <c r="X174" s="3293" t="s">
        <v>13434</v>
      </c>
      <c r="Y174" s="3294">
        <v>194</v>
      </c>
      <c r="Z174" s="3295">
        <v>247</v>
      </c>
      <c r="AA174" s="3296">
        <v>50</v>
      </c>
      <c r="AB174"/>
      <c r="AC174" s="4525"/>
      <c r="AD174" s="3288" t="s">
        <v>13435</v>
      </c>
      <c r="AE174" s="3283" t="s">
        <v>13436</v>
      </c>
      <c r="AF174" s="3284">
        <v>28</v>
      </c>
      <c r="AG174" s="3285">
        <v>134</v>
      </c>
      <c r="AH174" s="3286">
        <v>238</v>
      </c>
      <c r="AI174"/>
      <c r="AJ174" s="4526"/>
      <c r="AK174" s="3299" t="s">
        <v>13437</v>
      </c>
      <c r="AL174" s="3283" t="s">
        <v>13438</v>
      </c>
      <c r="AM174" s="3284">
        <v>254</v>
      </c>
      <c r="AN174" s="3285">
        <v>150</v>
      </c>
      <c r="AO174" s="3286">
        <v>160</v>
      </c>
      <c r="AQ174" s="2730">
        <v>1</v>
      </c>
    </row>
    <row r="175" spans="1:43" ht="21" customHeight="1">
      <c r="V175" s="4527"/>
      <c r="W175" s="3313" t="s">
        <v>13439</v>
      </c>
      <c r="X175" s="3293" t="s">
        <v>13440</v>
      </c>
      <c r="Y175" s="3294">
        <v>141</v>
      </c>
      <c r="Z175" s="3295">
        <v>182</v>
      </c>
      <c r="AA175" s="3296">
        <v>0</v>
      </c>
      <c r="AB175"/>
      <c r="AC175" s="4528"/>
      <c r="AD175" s="3299" t="s">
        <v>13441</v>
      </c>
      <c r="AE175" s="3283" t="s">
        <v>13442</v>
      </c>
      <c r="AF175" s="3284">
        <v>142</v>
      </c>
      <c r="AG175" s="3285">
        <v>162</v>
      </c>
      <c r="AH175" s="3286">
        <v>198</v>
      </c>
      <c r="AI175"/>
      <c r="AJ175" s="4529"/>
      <c r="AK175" s="3288" t="s">
        <v>13443</v>
      </c>
      <c r="AL175" s="3283" t="s">
        <v>13444</v>
      </c>
      <c r="AM175" s="3284">
        <v>238</v>
      </c>
      <c r="AN175" s="3285">
        <v>180</v>
      </c>
      <c r="AO175" s="3286">
        <v>180</v>
      </c>
      <c r="AQ175" s="2730">
        <v>1</v>
      </c>
    </row>
    <row r="176" spans="1:43" ht="21" customHeight="1">
      <c r="V176" s="4530"/>
      <c r="W176" s="3313" t="s">
        <v>13445</v>
      </c>
      <c r="X176" s="3293" t="s">
        <v>13446</v>
      </c>
      <c r="Y176" s="3294">
        <v>126</v>
      </c>
      <c r="Z176" s="3295">
        <v>159</v>
      </c>
      <c r="AA176" s="3296">
        <v>46</v>
      </c>
      <c r="AB176"/>
      <c r="AC176" s="4531"/>
      <c r="AD176" s="3299" t="s">
        <v>13447</v>
      </c>
      <c r="AE176" s="3283" t="s">
        <v>13448</v>
      </c>
      <c r="AF176" s="3284">
        <v>49</v>
      </c>
      <c r="AG176" s="3285">
        <v>140</v>
      </c>
      <c r="AH176" s="3286">
        <v>231</v>
      </c>
      <c r="AI176"/>
      <c r="AJ176" s="4532"/>
      <c r="AK176" s="3299" t="s">
        <v>13449</v>
      </c>
      <c r="AL176" s="3283" t="s">
        <v>13450</v>
      </c>
      <c r="AM176" s="3284">
        <v>244</v>
      </c>
      <c r="AN176" s="3285">
        <v>194</v>
      </c>
      <c r="AO176" s="3286">
        <v>194</v>
      </c>
      <c r="AQ176" s="2730">
        <v>1</v>
      </c>
    </row>
    <row r="177" spans="22:43" ht="21" customHeight="1">
      <c r="V177" s="4533"/>
      <c r="W177" s="3313" t="s">
        <v>13451</v>
      </c>
      <c r="X177" s="3293" t="s">
        <v>13452</v>
      </c>
      <c r="Y177" s="3294">
        <v>112</v>
      </c>
      <c r="Z177" s="3295">
        <v>141</v>
      </c>
      <c r="AA177" s="3296">
        <v>35</v>
      </c>
      <c r="AB177"/>
      <c r="AC177" s="4534"/>
      <c r="AD177" s="3288" t="s">
        <v>13453</v>
      </c>
      <c r="AE177" s="3283" t="s">
        <v>13454</v>
      </c>
      <c r="AF177" s="3284">
        <v>24</v>
      </c>
      <c r="AG177" s="3285">
        <v>116</v>
      </c>
      <c r="AH177" s="3286">
        <v>205</v>
      </c>
      <c r="AI177"/>
      <c r="AJ177" s="4535"/>
      <c r="AK177" s="3299" t="s">
        <v>13455</v>
      </c>
      <c r="AL177" s="3283" t="s">
        <v>13456</v>
      </c>
      <c r="AM177" s="3284">
        <v>255</v>
      </c>
      <c r="AN177" s="3285">
        <v>181</v>
      </c>
      <c r="AO177" s="3286">
        <v>186</v>
      </c>
      <c r="AQ177" s="2730">
        <v>1</v>
      </c>
    </row>
    <row r="178" spans="22:43" ht="21" customHeight="1">
      <c r="V178" s="4536"/>
      <c r="W178" s="3313" t="s">
        <v>13457</v>
      </c>
      <c r="X178" s="3293" t="s">
        <v>13458</v>
      </c>
      <c r="Y178" s="3294">
        <v>89</v>
      </c>
      <c r="Z178" s="3295">
        <v>102</v>
      </c>
      <c r="AA178" s="3296">
        <v>67</v>
      </c>
      <c r="AB178"/>
      <c r="AC178" s="4537"/>
      <c r="AD178" s="3299" t="s">
        <v>13459</v>
      </c>
      <c r="AE178" s="3283" t="s">
        <v>13460</v>
      </c>
      <c r="AF178" s="3284">
        <v>21</v>
      </c>
      <c r="AG178" s="3285">
        <v>96</v>
      </c>
      <c r="AH178" s="3286">
        <v>189</v>
      </c>
      <c r="AI178"/>
      <c r="AJ178" s="4538"/>
      <c r="AK178" s="3299" t="s">
        <v>13461</v>
      </c>
      <c r="AL178" s="3283" t="s">
        <v>13462</v>
      </c>
      <c r="AM178" s="3284">
        <v>234</v>
      </c>
      <c r="AN178" s="3285">
        <v>216</v>
      </c>
      <c r="AO178" s="3286">
        <v>215</v>
      </c>
      <c r="AQ178" s="2730">
        <v>1</v>
      </c>
    </row>
    <row r="179" spans="22:43" ht="21" customHeight="1">
      <c r="V179" s="4539"/>
      <c r="W179" s="3313" t="s">
        <v>13463</v>
      </c>
      <c r="X179" s="3293" t="s">
        <v>13464</v>
      </c>
      <c r="Y179" s="3294">
        <v>81</v>
      </c>
      <c r="Z179" s="3295">
        <v>87</v>
      </c>
      <c r="AA179" s="3296">
        <v>68</v>
      </c>
      <c r="AB179"/>
      <c r="AC179" s="4540"/>
      <c r="AD179" s="3299" t="s">
        <v>13465</v>
      </c>
      <c r="AE179" s="3283" t="s">
        <v>13466</v>
      </c>
      <c r="AF179" s="3284">
        <v>84</v>
      </c>
      <c r="AG179" s="3285">
        <v>114</v>
      </c>
      <c r="AH179" s="3286">
        <v>174</v>
      </c>
      <c r="AI179"/>
      <c r="AJ179" s="4541"/>
      <c r="AK179" s="3288" t="s">
        <v>13467</v>
      </c>
      <c r="AL179" s="3283" t="s">
        <v>13468</v>
      </c>
      <c r="AM179" s="3284">
        <v>255</v>
      </c>
      <c r="AN179" s="3285">
        <v>193</v>
      </c>
      <c r="AO179" s="3286">
        <v>193</v>
      </c>
      <c r="AQ179" s="2730">
        <v>1</v>
      </c>
    </row>
    <row r="180" spans="22:43" ht="21" customHeight="1">
      <c r="V180" s="4542"/>
      <c r="W180" s="3313" t="s">
        <v>13469</v>
      </c>
      <c r="X180" s="3293" t="s">
        <v>13470</v>
      </c>
      <c r="Y180" s="3294">
        <v>74</v>
      </c>
      <c r="Z180" s="3295">
        <v>93</v>
      </c>
      <c r="AA180" s="3296">
        <v>35</v>
      </c>
      <c r="AB180"/>
      <c r="AC180" s="4543"/>
      <c r="AD180" s="3299" t="s">
        <v>13471</v>
      </c>
      <c r="AE180" s="3283" t="s">
        <v>13472</v>
      </c>
      <c r="AF180" s="3284">
        <v>38</v>
      </c>
      <c r="AG180" s="3285">
        <v>97</v>
      </c>
      <c r="AH180" s="3286">
        <v>156</v>
      </c>
      <c r="AI180"/>
      <c r="AJ180" s="4544"/>
      <c r="AK180" s="3299" t="s">
        <v>13473</v>
      </c>
      <c r="AL180" s="3283" t="s">
        <v>13474</v>
      </c>
      <c r="AM180" s="3284">
        <v>249</v>
      </c>
      <c r="AN180" s="3285">
        <v>204</v>
      </c>
      <c r="AO180" s="3286">
        <v>202</v>
      </c>
      <c r="AQ180" s="2730">
        <v>1</v>
      </c>
    </row>
    <row r="181" spans="22:43" ht="21" customHeight="1">
      <c r="V181" s="4545"/>
      <c r="W181" s="3313" t="s">
        <v>13475</v>
      </c>
      <c r="X181" s="3293" t="s">
        <v>13476</v>
      </c>
      <c r="Y181" s="3294">
        <v>64</v>
      </c>
      <c r="Z181" s="3295">
        <v>79</v>
      </c>
      <c r="AA181" s="3296">
        <v>0</v>
      </c>
      <c r="AB181"/>
      <c r="AC181" s="4546"/>
      <c r="AD181" s="3299" t="s">
        <v>13477</v>
      </c>
      <c r="AE181" s="3283" t="s">
        <v>13478</v>
      </c>
      <c r="AF181" s="3284">
        <v>66</v>
      </c>
      <c r="AG181" s="3285">
        <v>91</v>
      </c>
      <c r="AH181" s="3286">
        <v>138</v>
      </c>
      <c r="AI181"/>
      <c r="AJ181" s="4547"/>
      <c r="AK181" s="3288" t="s">
        <v>13479</v>
      </c>
      <c r="AL181" s="3283" t="s">
        <v>13480</v>
      </c>
      <c r="AM181" s="3284">
        <v>238</v>
      </c>
      <c r="AN181" s="3285">
        <v>233</v>
      </c>
      <c r="AO181" s="3286">
        <v>233</v>
      </c>
      <c r="AQ181" s="2730">
        <v>1</v>
      </c>
    </row>
    <row r="182" spans="22:43" ht="21" customHeight="1">
      <c r="V182" s="4548"/>
      <c r="W182" s="3313" t="s">
        <v>13481</v>
      </c>
      <c r="X182" s="3293" t="s">
        <v>13482</v>
      </c>
      <c r="Y182" s="3294">
        <v>35</v>
      </c>
      <c r="Z182" s="3295">
        <v>47</v>
      </c>
      <c r="AA182" s="3296">
        <v>0</v>
      </c>
      <c r="AB182"/>
      <c r="AC182" s="4549"/>
      <c r="AD182" s="3288" t="s">
        <v>13483</v>
      </c>
      <c r="AE182" s="3283" t="s">
        <v>13484</v>
      </c>
      <c r="AF182" s="3284">
        <v>16</v>
      </c>
      <c r="AG182" s="3285">
        <v>78</v>
      </c>
      <c r="AH182" s="3286">
        <v>139</v>
      </c>
      <c r="AI182"/>
      <c r="AJ182" s="4550"/>
      <c r="AK182" s="3288" t="s">
        <v>13485</v>
      </c>
      <c r="AL182" s="3283" t="s">
        <v>13486</v>
      </c>
      <c r="AM182" s="3284">
        <v>255</v>
      </c>
      <c r="AN182" s="3285">
        <v>250</v>
      </c>
      <c r="AO182" s="3286">
        <v>250</v>
      </c>
      <c r="AQ182" s="2730">
        <v>1</v>
      </c>
    </row>
    <row r="183" spans="22:43" ht="21" customHeight="1">
      <c r="V183" s="4551"/>
      <c r="W183" s="3313" t="s">
        <v>13487</v>
      </c>
      <c r="X183" s="3293" t="s">
        <v>13488</v>
      </c>
      <c r="Y183" s="3294">
        <v>158</v>
      </c>
      <c r="Z183" s="3295">
        <v>253</v>
      </c>
      <c r="AA183" s="3296">
        <v>56</v>
      </c>
      <c r="AB183"/>
      <c r="AC183" s="4552"/>
      <c r="AD183" s="3299" t="s">
        <v>13489</v>
      </c>
      <c r="AE183" s="3283" t="s">
        <v>13490</v>
      </c>
      <c r="AF183" s="3284">
        <v>90</v>
      </c>
      <c r="AG183" s="3285">
        <v>94</v>
      </c>
      <c r="AH183" s="3286">
        <v>107</v>
      </c>
      <c r="AI183"/>
      <c r="AJ183" s="4553"/>
      <c r="AK183" s="3299" t="s">
        <v>13491</v>
      </c>
      <c r="AL183" s="3283" t="s">
        <v>13492</v>
      </c>
      <c r="AM183" s="3284">
        <v>254</v>
      </c>
      <c r="AN183" s="3285">
        <v>27</v>
      </c>
      <c r="AO183" s="3286">
        <v>0</v>
      </c>
      <c r="AQ183" s="2730">
        <v>1</v>
      </c>
    </row>
    <row r="184" spans="22:43" ht="21" customHeight="1">
      <c r="V184" s="4554"/>
      <c r="W184" s="3292" t="s">
        <v>13493</v>
      </c>
      <c r="X184" s="3293" t="s">
        <v>13494</v>
      </c>
      <c r="Y184" s="3294">
        <v>173</v>
      </c>
      <c r="Z184" s="3295">
        <v>255</v>
      </c>
      <c r="AA184" s="3296">
        <v>47</v>
      </c>
      <c r="AB184"/>
      <c r="AC184" s="4555"/>
      <c r="AD184" s="3299" t="s">
        <v>13495</v>
      </c>
      <c r="AE184" s="3283" t="s">
        <v>13496</v>
      </c>
      <c r="AF184" s="3284">
        <v>34</v>
      </c>
      <c r="AG184" s="3285">
        <v>66</v>
      </c>
      <c r="AH184" s="3286">
        <v>124</v>
      </c>
      <c r="AI184"/>
      <c r="AJ184" s="4556"/>
      <c r="AK184" s="3288" t="s">
        <v>13497</v>
      </c>
      <c r="AL184" s="3283" t="s">
        <v>13498</v>
      </c>
      <c r="AM184" s="3284">
        <v>238</v>
      </c>
      <c r="AN184" s="3285">
        <v>99</v>
      </c>
      <c r="AO184" s="3286">
        <v>99</v>
      </c>
      <c r="AQ184" s="2730">
        <v>1</v>
      </c>
    </row>
    <row r="185" spans="22:43" ht="21" customHeight="1">
      <c r="V185" s="4557"/>
      <c r="W185" s="3313" t="s">
        <v>13499</v>
      </c>
      <c r="X185" s="3293" t="s">
        <v>13500</v>
      </c>
      <c r="Y185" s="3294">
        <v>159</v>
      </c>
      <c r="Z185" s="3295">
        <v>232</v>
      </c>
      <c r="AA185" s="3296">
        <v>85</v>
      </c>
      <c r="AB185"/>
      <c r="AC185" s="4558"/>
      <c r="AD185" s="3299" t="s">
        <v>13501</v>
      </c>
      <c r="AE185" s="3283" t="s">
        <v>13502</v>
      </c>
      <c r="AF185" s="3284">
        <v>0</v>
      </c>
      <c r="AG185" s="3285">
        <v>51</v>
      </c>
      <c r="AH185" s="3286">
        <v>102</v>
      </c>
      <c r="AI185"/>
      <c r="AJ185" s="4559"/>
      <c r="AK185" s="3299" t="s">
        <v>13503</v>
      </c>
      <c r="AL185" s="3283" t="s">
        <v>13504</v>
      </c>
      <c r="AM185" s="3284">
        <v>196</v>
      </c>
      <c r="AN185" s="3285">
        <v>174</v>
      </c>
      <c r="AO185" s="3286">
        <v>173</v>
      </c>
      <c r="AQ185" s="2730">
        <v>1</v>
      </c>
    </row>
    <row r="186" spans="22:43" ht="21" customHeight="1">
      <c r="V186" s="4560"/>
      <c r="W186" s="3313" t="s">
        <v>13505</v>
      </c>
      <c r="X186" s="3293" t="s">
        <v>13506</v>
      </c>
      <c r="Y186" s="3294">
        <v>123</v>
      </c>
      <c r="Z186" s="3295">
        <v>160</v>
      </c>
      <c r="AA186" s="3296">
        <v>91</v>
      </c>
      <c r="AB186"/>
      <c r="AC186" s="4561"/>
      <c r="AD186" s="3299" t="s">
        <v>13507</v>
      </c>
      <c r="AE186" s="3283" t="s">
        <v>13508</v>
      </c>
      <c r="AF186" s="3284">
        <v>3</v>
      </c>
      <c r="AG186" s="3285">
        <v>34</v>
      </c>
      <c r="AH186" s="3286">
        <v>76</v>
      </c>
      <c r="AI186"/>
      <c r="AJ186" s="4562"/>
      <c r="AK186" s="3288" t="s">
        <v>13509</v>
      </c>
      <c r="AL186" s="3283" t="s">
        <v>13510</v>
      </c>
      <c r="AM186" s="3284">
        <v>205</v>
      </c>
      <c r="AN186" s="3285">
        <v>155</v>
      </c>
      <c r="AO186" s="3286">
        <v>155</v>
      </c>
      <c r="AQ186" s="2730">
        <v>1</v>
      </c>
    </row>
    <row r="187" spans="22:43" ht="21" customHeight="1">
      <c r="V187" s="4563"/>
      <c r="W187" s="3313" t="s">
        <v>13511</v>
      </c>
      <c r="X187" s="3293" t="s">
        <v>13512</v>
      </c>
      <c r="Y187" s="3294">
        <v>86</v>
      </c>
      <c r="Z187" s="3295">
        <v>130</v>
      </c>
      <c r="AA187" s="3296">
        <v>3</v>
      </c>
      <c r="AB187"/>
      <c r="AC187" s="4564"/>
      <c r="AD187" s="3288" t="s">
        <v>13513</v>
      </c>
      <c r="AE187" s="3283" t="s">
        <v>13514</v>
      </c>
      <c r="AF187" s="3284">
        <v>127</v>
      </c>
      <c r="AG187" s="3285">
        <v>0</v>
      </c>
      <c r="AH187" s="3286">
        <v>255</v>
      </c>
      <c r="AI187"/>
      <c r="AJ187" s="4565"/>
      <c r="AK187" s="3299" t="s">
        <v>13515</v>
      </c>
      <c r="AL187" s="3283" t="s">
        <v>13516</v>
      </c>
      <c r="AM187" s="3284">
        <v>228</v>
      </c>
      <c r="AN187" s="3285">
        <v>113</v>
      </c>
      <c r="AO187" s="3286">
        <v>122</v>
      </c>
      <c r="AQ187" s="2730">
        <v>1</v>
      </c>
    </row>
    <row r="188" spans="22:43" ht="21" customHeight="1">
      <c r="V188" s="4566"/>
      <c r="W188" s="3313" t="s">
        <v>13517</v>
      </c>
      <c r="X188" s="3293" t="s">
        <v>2015</v>
      </c>
      <c r="Y188" s="3294">
        <v>0</v>
      </c>
      <c r="Z188" s="3295">
        <v>255</v>
      </c>
      <c r="AA188" s="3296">
        <v>255</v>
      </c>
      <c r="AB188"/>
      <c r="AC188" s="4567"/>
      <c r="AD188" s="3288" t="s">
        <v>13518</v>
      </c>
      <c r="AE188" s="3283" t="s">
        <v>13519</v>
      </c>
      <c r="AF188" s="3284">
        <v>155</v>
      </c>
      <c r="AG188" s="3285">
        <v>48</v>
      </c>
      <c r="AH188" s="3286">
        <v>255</v>
      </c>
      <c r="AI188"/>
      <c r="AJ188" s="4568"/>
      <c r="AK188" s="3299" t="s">
        <v>13520</v>
      </c>
      <c r="AL188" s="3283" t="s">
        <v>13521</v>
      </c>
      <c r="AM188" s="3284">
        <v>247</v>
      </c>
      <c r="AN188" s="3285">
        <v>35</v>
      </c>
      <c r="AO188" s="3286">
        <v>12</v>
      </c>
      <c r="AQ188" s="2730">
        <v>1</v>
      </c>
    </row>
    <row r="189" spans="22:43" ht="21" customHeight="1">
      <c r="V189" s="4569"/>
      <c r="W189" s="3292" t="s">
        <v>13522</v>
      </c>
      <c r="X189" s="3293" t="s">
        <v>13523</v>
      </c>
      <c r="Y189" s="3294">
        <v>180</v>
      </c>
      <c r="Z189" s="3295">
        <v>205</v>
      </c>
      <c r="AA189" s="3296">
        <v>205</v>
      </c>
      <c r="AB189"/>
      <c r="AC189" s="4570"/>
      <c r="AD189" s="3288" t="s">
        <v>13524</v>
      </c>
      <c r="AE189" s="3283" t="s">
        <v>13525</v>
      </c>
      <c r="AF189" s="3284">
        <v>159</v>
      </c>
      <c r="AG189" s="3285">
        <v>121</v>
      </c>
      <c r="AH189" s="3286">
        <v>238</v>
      </c>
      <c r="AI189"/>
      <c r="AJ189" s="4571"/>
      <c r="AK189" s="3299" t="s">
        <v>13526</v>
      </c>
      <c r="AL189" s="3283" t="s">
        <v>13527</v>
      </c>
      <c r="AM189" s="3284">
        <v>187</v>
      </c>
      <c r="AN189" s="3285">
        <v>172</v>
      </c>
      <c r="AO189" s="3286">
        <v>172</v>
      </c>
      <c r="AQ189" s="2730">
        <v>1</v>
      </c>
    </row>
    <row r="190" spans="22:43" ht="21" customHeight="1">
      <c r="V190" s="4572"/>
      <c r="W190" s="3292" t="s">
        <v>13528</v>
      </c>
      <c r="X190" s="3293" t="s">
        <v>13529</v>
      </c>
      <c r="Y190" s="3294">
        <v>141</v>
      </c>
      <c r="Z190" s="3295">
        <v>238</v>
      </c>
      <c r="AA190" s="3296">
        <v>238</v>
      </c>
      <c r="AB190"/>
      <c r="AC190" s="4573"/>
      <c r="AD190" s="3288" t="s">
        <v>13530</v>
      </c>
      <c r="AE190" s="3283" t="s">
        <v>13531</v>
      </c>
      <c r="AF190" s="3284">
        <v>171</v>
      </c>
      <c r="AG190" s="3285">
        <v>130</v>
      </c>
      <c r="AH190" s="3286">
        <v>255</v>
      </c>
      <c r="AI190"/>
      <c r="AJ190" s="4574"/>
      <c r="AK190" s="3299" t="s">
        <v>13532</v>
      </c>
      <c r="AL190" s="3283" t="s">
        <v>13533</v>
      </c>
      <c r="AM190" s="3284">
        <v>230</v>
      </c>
      <c r="AN190" s="3285">
        <v>103</v>
      </c>
      <c r="AO190" s="3286">
        <v>97</v>
      </c>
      <c r="AQ190" s="2730">
        <v>1</v>
      </c>
    </row>
    <row r="191" spans="22:43" ht="21" customHeight="1">
      <c r="V191" s="4575"/>
      <c r="W191" s="3313" t="s">
        <v>13534</v>
      </c>
      <c r="X191" s="3293" t="s">
        <v>13535</v>
      </c>
      <c r="Y191" s="3294">
        <v>121</v>
      </c>
      <c r="Z191" s="3295">
        <v>248</v>
      </c>
      <c r="AA191" s="3296">
        <v>248</v>
      </c>
      <c r="AB191"/>
      <c r="AC191" s="4576"/>
      <c r="AD191" s="3299" t="s">
        <v>13536</v>
      </c>
      <c r="AE191" s="3283" t="s">
        <v>13537</v>
      </c>
      <c r="AF191" s="3284">
        <v>210</v>
      </c>
      <c r="AG191" s="3285">
        <v>202</v>
      </c>
      <c r="AH191" s="3286">
        <v>236</v>
      </c>
      <c r="AI191"/>
      <c r="AJ191" s="4577"/>
      <c r="AK191" s="3288" t="s">
        <v>13538</v>
      </c>
      <c r="AL191" s="3283" t="s">
        <v>13539</v>
      </c>
      <c r="AM191" s="3284">
        <v>238</v>
      </c>
      <c r="AN191" s="3285">
        <v>92</v>
      </c>
      <c r="AO191" s="3286">
        <v>66</v>
      </c>
      <c r="AQ191" s="2730">
        <v>1</v>
      </c>
    </row>
    <row r="192" spans="22:43" ht="21" customHeight="1">
      <c r="V192" s="4578"/>
      <c r="W192" s="3292" t="s">
        <v>13540</v>
      </c>
      <c r="X192" s="3293" t="s">
        <v>13541</v>
      </c>
      <c r="Y192" s="3294">
        <v>193</v>
      </c>
      <c r="Z192" s="3295">
        <v>205</v>
      </c>
      <c r="AA192" s="3296">
        <v>205</v>
      </c>
      <c r="AB192"/>
      <c r="AC192" s="4579"/>
      <c r="AD192" s="3299" t="s">
        <v>13542</v>
      </c>
      <c r="AE192" s="3283" t="s">
        <v>13543</v>
      </c>
      <c r="AF192" s="3284">
        <v>220</v>
      </c>
      <c r="AG192" s="3285">
        <v>208</v>
      </c>
      <c r="AH192" s="3286">
        <v>255</v>
      </c>
      <c r="AI192"/>
      <c r="AJ192" s="4580"/>
      <c r="AK192" s="3288" t="s">
        <v>13544</v>
      </c>
      <c r="AL192" s="3283" t="s">
        <v>13545</v>
      </c>
      <c r="AM192" s="3284">
        <v>238</v>
      </c>
      <c r="AN192" s="3285">
        <v>59</v>
      </c>
      <c r="AO192" s="3286">
        <v>59</v>
      </c>
      <c r="AQ192" s="2730">
        <v>1</v>
      </c>
    </row>
    <row r="193" spans="22:43" ht="21" customHeight="1">
      <c r="V193" s="4581"/>
      <c r="W193" s="3292" t="s">
        <v>13546</v>
      </c>
      <c r="X193" s="3293" t="s">
        <v>13547</v>
      </c>
      <c r="Y193" s="3294">
        <v>173</v>
      </c>
      <c r="Z193" s="3295">
        <v>234</v>
      </c>
      <c r="AA193" s="3296">
        <v>234</v>
      </c>
      <c r="AB193"/>
      <c r="AC193" s="4582"/>
      <c r="AD193" s="3288" t="s">
        <v>13548</v>
      </c>
      <c r="AE193" s="3283" t="s">
        <v>13549</v>
      </c>
      <c r="AF193" s="3284">
        <v>145</v>
      </c>
      <c r="AG193" s="3285">
        <v>44</v>
      </c>
      <c r="AH193" s="3286">
        <v>238</v>
      </c>
      <c r="AI193"/>
      <c r="AJ193" s="4583"/>
      <c r="AK193" s="3288" t="s">
        <v>13550</v>
      </c>
      <c r="AL193" s="3283" t="s">
        <v>13551</v>
      </c>
      <c r="AM193" s="3284">
        <v>238</v>
      </c>
      <c r="AN193" s="3285">
        <v>44</v>
      </c>
      <c r="AO193" s="3286">
        <v>44</v>
      </c>
      <c r="AQ193" s="2730">
        <v>1</v>
      </c>
    </row>
    <row r="194" spans="22:43" ht="21" customHeight="1">
      <c r="V194" s="4584"/>
      <c r="W194" s="3292" t="s">
        <v>13552</v>
      </c>
      <c r="X194" s="3293" t="s">
        <v>13553</v>
      </c>
      <c r="Y194" s="3294">
        <v>174</v>
      </c>
      <c r="Z194" s="3295">
        <v>238</v>
      </c>
      <c r="AA194" s="3296">
        <v>238</v>
      </c>
      <c r="AB194"/>
      <c r="AC194" s="4585"/>
      <c r="AD194" s="3288" t="s">
        <v>13554</v>
      </c>
      <c r="AE194" s="3283" t="s">
        <v>13555</v>
      </c>
      <c r="AF194" s="3284">
        <v>147</v>
      </c>
      <c r="AG194" s="3285">
        <v>112</v>
      </c>
      <c r="AH194" s="3286">
        <v>219</v>
      </c>
      <c r="AI194"/>
      <c r="AJ194" s="4586"/>
      <c r="AK194" s="3299" t="s">
        <v>13556</v>
      </c>
      <c r="AL194" s="3283" t="s">
        <v>13557</v>
      </c>
      <c r="AM194" s="3284">
        <v>238</v>
      </c>
      <c r="AN194" s="3285">
        <v>16</v>
      </c>
      <c r="AO194" s="3286">
        <v>16</v>
      </c>
      <c r="AQ194" s="2730">
        <v>1</v>
      </c>
    </row>
    <row r="195" spans="22:43" ht="21" customHeight="1">
      <c r="V195" s="4587"/>
      <c r="W195" s="3292" t="s">
        <v>13558</v>
      </c>
      <c r="X195" s="3293" t="s">
        <v>13559</v>
      </c>
      <c r="Y195" s="3294">
        <v>175</v>
      </c>
      <c r="Z195" s="3295">
        <v>238</v>
      </c>
      <c r="AA195" s="3296">
        <v>238</v>
      </c>
      <c r="AB195"/>
      <c r="AC195" s="4588"/>
      <c r="AD195" s="3288" t="s">
        <v>13560</v>
      </c>
      <c r="AE195" s="3283" t="s">
        <v>13561</v>
      </c>
      <c r="AF195" s="3284">
        <v>138</v>
      </c>
      <c r="AG195" s="3285">
        <v>43</v>
      </c>
      <c r="AH195" s="3286">
        <v>226</v>
      </c>
      <c r="AI195"/>
      <c r="AJ195" s="4589"/>
      <c r="AK195" s="3299" t="s">
        <v>13562</v>
      </c>
      <c r="AL195" s="3283" t="s">
        <v>13563</v>
      </c>
      <c r="AM195" s="3284">
        <v>233</v>
      </c>
      <c r="AN195" s="3285">
        <v>56</v>
      </c>
      <c r="AO195" s="3286">
        <v>63</v>
      </c>
      <c r="AQ195" s="2730">
        <v>1</v>
      </c>
    </row>
    <row r="196" spans="22:43" ht="21" customHeight="1">
      <c r="V196" s="4590"/>
      <c r="W196" s="3292" t="s">
        <v>13564</v>
      </c>
      <c r="X196" s="3293" t="s">
        <v>13565</v>
      </c>
      <c r="Y196" s="3294">
        <v>151</v>
      </c>
      <c r="Z196" s="3295">
        <v>255</v>
      </c>
      <c r="AA196" s="3296">
        <v>255</v>
      </c>
      <c r="AB196"/>
      <c r="AC196" s="4591"/>
      <c r="AD196" s="3288" t="s">
        <v>13566</v>
      </c>
      <c r="AE196" s="3283" t="s">
        <v>13567</v>
      </c>
      <c r="AF196" s="3284">
        <v>137</v>
      </c>
      <c r="AG196" s="3285">
        <v>104</v>
      </c>
      <c r="AH196" s="3286">
        <v>205</v>
      </c>
      <c r="AI196"/>
      <c r="AJ196" s="4592"/>
      <c r="AK196" s="3288" t="s">
        <v>13568</v>
      </c>
      <c r="AL196" s="3283" t="s">
        <v>13569</v>
      </c>
      <c r="AM196" s="3284">
        <v>238</v>
      </c>
      <c r="AN196" s="3285">
        <v>0</v>
      </c>
      <c r="AO196" s="3286">
        <v>0</v>
      </c>
      <c r="AQ196" s="2730">
        <v>1</v>
      </c>
    </row>
    <row r="197" spans="22:43" ht="21" customHeight="1">
      <c r="V197" s="4593"/>
      <c r="W197" s="3292" t="s">
        <v>13570</v>
      </c>
      <c r="X197" s="3293" t="s">
        <v>13571</v>
      </c>
      <c r="Y197" s="3294">
        <v>209</v>
      </c>
      <c r="Z197" s="3295">
        <v>238</v>
      </c>
      <c r="AA197" s="3296">
        <v>238</v>
      </c>
      <c r="AB197"/>
      <c r="AC197" s="4594"/>
      <c r="AD197" s="3299" t="s">
        <v>13572</v>
      </c>
      <c r="AE197" s="3283" t="s">
        <v>13573</v>
      </c>
      <c r="AF197" s="3284">
        <v>144</v>
      </c>
      <c r="AG197" s="3285">
        <v>101</v>
      </c>
      <c r="AH197" s="3286">
        <v>202</v>
      </c>
      <c r="AI197"/>
      <c r="AJ197" s="4595"/>
      <c r="AK197" s="3288" t="s">
        <v>13574</v>
      </c>
      <c r="AL197" s="3283" t="s">
        <v>13569</v>
      </c>
      <c r="AM197" s="3284">
        <v>238</v>
      </c>
      <c r="AN197" s="3285">
        <v>64</v>
      </c>
      <c r="AO197" s="3286">
        <v>0</v>
      </c>
      <c r="AQ197" s="2730">
        <v>1</v>
      </c>
    </row>
    <row r="198" spans="22:43" ht="21" customHeight="1">
      <c r="V198" s="4596"/>
      <c r="W198" s="3292" t="s">
        <v>13575</v>
      </c>
      <c r="X198" s="3293" t="s">
        <v>13576</v>
      </c>
      <c r="Y198" s="3294">
        <v>187</v>
      </c>
      <c r="Z198" s="3295">
        <v>255</v>
      </c>
      <c r="AA198" s="3296">
        <v>255</v>
      </c>
      <c r="AB198"/>
      <c r="AC198" s="4597"/>
      <c r="AD198" s="3288" t="s">
        <v>13577</v>
      </c>
      <c r="AE198" s="3283" t="s">
        <v>13578</v>
      </c>
      <c r="AF198" s="3284">
        <v>125</v>
      </c>
      <c r="AG198" s="3285">
        <v>38</v>
      </c>
      <c r="AH198" s="3286">
        <v>205</v>
      </c>
      <c r="AI198"/>
      <c r="AJ198" s="4598"/>
      <c r="AK198" s="3299" t="s">
        <v>13579</v>
      </c>
      <c r="AL198" s="3283" t="s">
        <v>13580</v>
      </c>
      <c r="AM198" s="3284">
        <v>237</v>
      </c>
      <c r="AN198" s="3285">
        <v>0</v>
      </c>
      <c r="AO198" s="3286">
        <v>0</v>
      </c>
      <c r="AQ198" s="2730">
        <v>1</v>
      </c>
    </row>
    <row r="199" spans="22:43" ht="21" customHeight="1">
      <c r="V199" s="4599"/>
      <c r="W199" s="3292" t="s">
        <v>13581</v>
      </c>
      <c r="X199" s="3293" t="s">
        <v>13582</v>
      </c>
      <c r="Y199" s="3294">
        <v>224</v>
      </c>
      <c r="Z199" s="3295">
        <v>238</v>
      </c>
      <c r="AA199" s="3296">
        <v>238</v>
      </c>
      <c r="AB199"/>
      <c r="AC199" s="4600"/>
      <c r="AD199" s="3288" t="s">
        <v>13583</v>
      </c>
      <c r="AE199" s="3283" t="s">
        <v>13584</v>
      </c>
      <c r="AF199" s="3284">
        <v>99</v>
      </c>
      <c r="AG199" s="3285">
        <v>86</v>
      </c>
      <c r="AH199" s="3286">
        <v>136</v>
      </c>
      <c r="AI199"/>
      <c r="AJ199" s="4601"/>
      <c r="AK199" s="3299" t="s">
        <v>13585</v>
      </c>
      <c r="AL199" s="3283" t="s">
        <v>13586</v>
      </c>
      <c r="AM199" s="3284">
        <v>231</v>
      </c>
      <c r="AN199" s="3285">
        <v>62</v>
      </c>
      <c r="AO199" s="3286">
        <v>1</v>
      </c>
      <c r="AQ199" s="2730">
        <v>1</v>
      </c>
    </row>
    <row r="200" spans="22:43" ht="21" customHeight="1">
      <c r="V200" s="4602"/>
      <c r="W200" s="3292" t="s">
        <v>13587</v>
      </c>
      <c r="X200" s="3293" t="s">
        <v>13588</v>
      </c>
      <c r="Y200" s="3294">
        <v>224</v>
      </c>
      <c r="Z200" s="3295">
        <v>255</v>
      </c>
      <c r="AA200" s="3296">
        <v>255</v>
      </c>
      <c r="AB200"/>
      <c r="AC200" s="4603"/>
      <c r="AD200" s="3288" t="s">
        <v>13589</v>
      </c>
      <c r="AE200" s="3283" t="s">
        <v>13590</v>
      </c>
      <c r="AF200" s="3284">
        <v>93</v>
      </c>
      <c r="AG200" s="3285">
        <v>71</v>
      </c>
      <c r="AH200" s="3286">
        <v>139</v>
      </c>
      <c r="AI200"/>
      <c r="AJ200" s="4604"/>
      <c r="AK200" s="3288" t="s">
        <v>13591</v>
      </c>
      <c r="AL200" s="3283" t="s">
        <v>13592</v>
      </c>
      <c r="AM200" s="3284">
        <v>188</v>
      </c>
      <c r="AN200" s="3285">
        <v>143</v>
      </c>
      <c r="AO200" s="3286">
        <v>143</v>
      </c>
      <c r="AQ200" s="2730">
        <v>1</v>
      </c>
    </row>
    <row r="201" spans="22:43" ht="21" customHeight="1">
      <c r="V201" s="4605"/>
      <c r="W201" s="3292" t="s">
        <v>13593</v>
      </c>
      <c r="X201" s="3293" t="s">
        <v>13594</v>
      </c>
      <c r="Y201" s="3294">
        <v>240</v>
      </c>
      <c r="Z201" s="3295">
        <v>255</v>
      </c>
      <c r="AA201" s="3296">
        <v>255</v>
      </c>
      <c r="AB201"/>
      <c r="AC201" s="4606"/>
      <c r="AD201" s="3299" t="s">
        <v>13595</v>
      </c>
      <c r="AE201" s="3283" t="s">
        <v>13596</v>
      </c>
      <c r="AF201" s="3284">
        <v>96</v>
      </c>
      <c r="AG201" s="3285">
        <v>78</v>
      </c>
      <c r="AH201" s="3286">
        <v>129</v>
      </c>
      <c r="AI201"/>
      <c r="AJ201" s="4607"/>
      <c r="AK201" s="3299" t="s">
        <v>13597</v>
      </c>
      <c r="AL201" s="3283" t="s">
        <v>13598</v>
      </c>
      <c r="AM201" s="3284">
        <v>226</v>
      </c>
      <c r="AN201" s="3285">
        <v>19</v>
      </c>
      <c r="AO201" s="3286">
        <v>19</v>
      </c>
      <c r="AQ201" s="2730">
        <v>1</v>
      </c>
    </row>
    <row r="202" spans="22:43" ht="21" customHeight="1">
      <c r="V202" s="4608"/>
      <c r="W202" s="3313" t="s">
        <v>13599</v>
      </c>
      <c r="X202" s="3293" t="s">
        <v>13600</v>
      </c>
      <c r="Y202" s="3294">
        <v>242</v>
      </c>
      <c r="Z202" s="3295">
        <v>255</v>
      </c>
      <c r="AA202" s="3296">
        <v>255</v>
      </c>
      <c r="AB202"/>
      <c r="AC202" s="4609"/>
      <c r="AD202" s="3299" t="s">
        <v>13601</v>
      </c>
      <c r="AE202" s="3283" t="s">
        <v>13602</v>
      </c>
      <c r="AF202" s="3284">
        <v>85</v>
      </c>
      <c r="AG202" s="3285">
        <v>76</v>
      </c>
      <c r="AH202" s="3286">
        <v>105</v>
      </c>
      <c r="AI202"/>
      <c r="AJ202" s="4610"/>
      <c r="AK202" s="3299" t="s">
        <v>13603</v>
      </c>
      <c r="AL202" s="3283" t="s">
        <v>13604</v>
      </c>
      <c r="AM202" s="3284">
        <v>192</v>
      </c>
      <c r="AN202" s="3285">
        <v>128</v>
      </c>
      <c r="AO202" s="3286">
        <v>129</v>
      </c>
      <c r="AQ202" s="2730">
        <v>1</v>
      </c>
    </row>
    <row r="203" spans="22:43" ht="21" customHeight="1">
      <c r="V203" s="4611"/>
      <c r="W203" s="3313" t="s">
        <v>13605</v>
      </c>
      <c r="X203" s="3293" t="s">
        <v>13606</v>
      </c>
      <c r="Y203" s="3294">
        <v>244</v>
      </c>
      <c r="Z203" s="3295">
        <v>254</v>
      </c>
      <c r="AA203" s="3296">
        <v>254</v>
      </c>
      <c r="AB203"/>
      <c r="AC203" s="4612"/>
      <c r="AD203" s="3288" t="s">
        <v>13607</v>
      </c>
      <c r="AE203" s="3283" t="s">
        <v>13608</v>
      </c>
      <c r="AF203" s="3284">
        <v>173</v>
      </c>
      <c r="AG203" s="3285">
        <v>216</v>
      </c>
      <c r="AH203" s="3286">
        <v>230</v>
      </c>
      <c r="AI203"/>
      <c r="AJ203" s="4613"/>
      <c r="AK203" s="3299" t="s">
        <v>13609</v>
      </c>
      <c r="AL203" s="3283" t="s">
        <v>13610</v>
      </c>
      <c r="AM203" s="3284">
        <v>222</v>
      </c>
      <c r="AN203" s="3285">
        <v>41</v>
      </c>
      <c r="AO203" s="3286">
        <v>22</v>
      </c>
      <c r="AQ203" s="2730">
        <v>1</v>
      </c>
    </row>
    <row r="204" spans="22:43" ht="21" customHeight="1">
      <c r="V204" s="4614"/>
      <c r="W204" s="3313" t="s">
        <v>13611</v>
      </c>
      <c r="X204" s="3293" t="s">
        <v>13612</v>
      </c>
      <c r="Y204" s="3294">
        <v>246</v>
      </c>
      <c r="Z204" s="3295">
        <v>254</v>
      </c>
      <c r="AA204" s="3296">
        <v>254</v>
      </c>
      <c r="AB204"/>
      <c r="AC204" s="4615"/>
      <c r="AD204" s="3288" t="s">
        <v>13613</v>
      </c>
      <c r="AE204" s="3283" t="s">
        <v>13614</v>
      </c>
      <c r="AF204" s="3284">
        <v>178</v>
      </c>
      <c r="AG204" s="3285">
        <v>223</v>
      </c>
      <c r="AH204" s="3286">
        <v>238</v>
      </c>
      <c r="AI204"/>
      <c r="AJ204" s="4616"/>
      <c r="AK204" s="3288" t="s">
        <v>13615</v>
      </c>
      <c r="AL204" s="3283" t="s">
        <v>13616</v>
      </c>
      <c r="AM204" s="3284">
        <v>205</v>
      </c>
      <c r="AN204" s="3285">
        <v>92</v>
      </c>
      <c r="AO204" s="3286">
        <v>92</v>
      </c>
      <c r="AQ204" s="2730">
        <v>1</v>
      </c>
    </row>
    <row r="205" spans="22:43" ht="21" customHeight="1">
      <c r="V205" s="4617"/>
      <c r="W205" s="3313" t="s">
        <v>13617</v>
      </c>
      <c r="X205" s="3293" t="s">
        <v>13618</v>
      </c>
      <c r="Y205" s="3294">
        <v>43</v>
      </c>
      <c r="Z205" s="3295">
        <v>250</v>
      </c>
      <c r="AA205" s="3296">
        <v>250</v>
      </c>
      <c r="AB205"/>
      <c r="AC205" s="4618"/>
      <c r="AD205" s="3299" t="s">
        <v>13619</v>
      </c>
      <c r="AE205" s="3283" t="s">
        <v>13620</v>
      </c>
      <c r="AF205" s="3284">
        <v>169</v>
      </c>
      <c r="AG205" s="3285">
        <v>234</v>
      </c>
      <c r="AH205" s="3286">
        <v>254</v>
      </c>
      <c r="AI205"/>
      <c r="AJ205" s="4619"/>
      <c r="AK205" s="3299" t="s">
        <v>13621</v>
      </c>
      <c r="AL205" s="3283" t="s">
        <v>13622</v>
      </c>
      <c r="AM205" s="3284">
        <v>219</v>
      </c>
      <c r="AN205" s="3285">
        <v>23</v>
      </c>
      <c r="AO205" s="3286">
        <v>2</v>
      </c>
      <c r="AQ205" s="2730">
        <v>1</v>
      </c>
    </row>
    <row r="206" spans="22:43" ht="21" customHeight="1">
      <c r="V206" s="4620"/>
      <c r="W206" s="3292" t="s">
        <v>13623</v>
      </c>
      <c r="X206" s="3293" t="s">
        <v>13624</v>
      </c>
      <c r="Y206" s="3294">
        <v>150</v>
      </c>
      <c r="Z206" s="3295">
        <v>205</v>
      </c>
      <c r="AA206" s="3296">
        <v>205</v>
      </c>
      <c r="AB206"/>
      <c r="AC206" s="4621"/>
      <c r="AD206" s="3288" t="s">
        <v>13625</v>
      </c>
      <c r="AE206" s="3283" t="s">
        <v>13626</v>
      </c>
      <c r="AF206" s="3284">
        <v>191</v>
      </c>
      <c r="AG206" s="3285">
        <v>239</v>
      </c>
      <c r="AH206" s="3286">
        <v>255</v>
      </c>
      <c r="AI206"/>
      <c r="AJ206" s="4622"/>
      <c r="AK206" s="3288" t="s">
        <v>13627</v>
      </c>
      <c r="AL206" s="3283" t="s">
        <v>13628</v>
      </c>
      <c r="AM206" s="3284">
        <v>205</v>
      </c>
      <c r="AN206" s="3285">
        <v>85</v>
      </c>
      <c r="AO206" s="3286">
        <v>85</v>
      </c>
      <c r="AQ206" s="2730">
        <v>1</v>
      </c>
    </row>
    <row r="207" spans="22:43" ht="21" customHeight="1">
      <c r="V207" s="4623"/>
      <c r="W207" s="3292" t="s">
        <v>13629</v>
      </c>
      <c r="X207" s="3293" t="s">
        <v>13630</v>
      </c>
      <c r="Y207" s="3294">
        <v>112</v>
      </c>
      <c r="Z207" s="3295">
        <v>219</v>
      </c>
      <c r="AA207" s="3296">
        <v>219</v>
      </c>
      <c r="AB207"/>
      <c r="AC207" s="4624"/>
      <c r="AD207" s="3288" t="s">
        <v>13631</v>
      </c>
      <c r="AE207" s="3283" t="s">
        <v>13632</v>
      </c>
      <c r="AF207" s="3284">
        <v>154</v>
      </c>
      <c r="AG207" s="3285">
        <v>192</v>
      </c>
      <c r="AH207" s="3286">
        <v>205</v>
      </c>
      <c r="AI207"/>
      <c r="AJ207" s="4625"/>
      <c r="AK207" s="3299" t="s">
        <v>13633</v>
      </c>
      <c r="AL207" s="3283" t="s">
        <v>13634</v>
      </c>
      <c r="AM207" s="3284">
        <v>217</v>
      </c>
      <c r="AN207" s="3285">
        <v>1</v>
      </c>
      <c r="AO207" s="3286">
        <v>21</v>
      </c>
      <c r="AQ207" s="2730">
        <v>1</v>
      </c>
    </row>
    <row r="208" spans="22:43" ht="21" customHeight="1">
      <c r="V208" s="4626"/>
      <c r="W208" s="3313" t="s">
        <v>13635</v>
      </c>
      <c r="X208" s="3293" t="s">
        <v>13636</v>
      </c>
      <c r="Y208" s="3294">
        <v>128</v>
      </c>
      <c r="Z208" s="3295">
        <v>208</v>
      </c>
      <c r="AA208" s="3296">
        <v>208</v>
      </c>
      <c r="AB208"/>
      <c r="AC208" s="4627"/>
      <c r="AD208" s="3299" t="s">
        <v>13637</v>
      </c>
      <c r="AE208" s="3283" t="s">
        <v>13638</v>
      </c>
      <c r="AF208" s="3284">
        <v>102</v>
      </c>
      <c r="AG208" s="3285">
        <v>170</v>
      </c>
      <c r="AH208" s="3286">
        <v>188</v>
      </c>
      <c r="AI208"/>
      <c r="AJ208" s="4628"/>
      <c r="AK208" s="3288" t="s">
        <v>13639</v>
      </c>
      <c r="AL208" s="3283" t="s">
        <v>13640</v>
      </c>
      <c r="AM208" s="3284">
        <v>205</v>
      </c>
      <c r="AN208" s="3285">
        <v>79</v>
      </c>
      <c r="AO208" s="3286">
        <v>57</v>
      </c>
      <c r="AQ208" s="2730">
        <v>1</v>
      </c>
    </row>
    <row r="209" spans="22:43" ht="21" customHeight="1">
      <c r="V209" s="4629"/>
      <c r="W209" s="3292" t="s">
        <v>13641</v>
      </c>
      <c r="X209" s="3293" t="s">
        <v>13642</v>
      </c>
      <c r="Y209" s="3294">
        <v>0</v>
      </c>
      <c r="Z209" s="3295">
        <v>238</v>
      </c>
      <c r="AA209" s="3296">
        <v>238</v>
      </c>
      <c r="AB209"/>
      <c r="AC209" s="4630"/>
      <c r="AD209" s="3299" t="s">
        <v>13643</v>
      </c>
      <c r="AE209" s="3283" t="s">
        <v>13644</v>
      </c>
      <c r="AF209" s="3284">
        <v>35</v>
      </c>
      <c r="AG209" s="3285">
        <v>158</v>
      </c>
      <c r="AH209" s="3286">
        <v>186</v>
      </c>
      <c r="AI209"/>
      <c r="AJ209" s="4631"/>
      <c r="AK209" s="3288" t="s">
        <v>13645</v>
      </c>
      <c r="AL209" s="3283" t="s">
        <v>13646</v>
      </c>
      <c r="AM209" s="3284">
        <v>205</v>
      </c>
      <c r="AN209" s="3285">
        <v>51</v>
      </c>
      <c r="AO209" s="3286">
        <v>51</v>
      </c>
      <c r="AQ209" s="2730">
        <v>1</v>
      </c>
    </row>
    <row r="210" spans="22:43" ht="21" customHeight="1">
      <c r="V210" s="4632"/>
      <c r="W210" s="3292" t="s">
        <v>13647</v>
      </c>
      <c r="X210" s="3293" t="s">
        <v>13648</v>
      </c>
      <c r="Y210" s="3294">
        <v>121</v>
      </c>
      <c r="Z210" s="3295">
        <v>205</v>
      </c>
      <c r="AA210" s="3296">
        <v>205</v>
      </c>
      <c r="AB210"/>
      <c r="AC210" s="4633"/>
      <c r="AD210" s="3288" t="s">
        <v>13649</v>
      </c>
      <c r="AE210" s="3283" t="s">
        <v>13650</v>
      </c>
      <c r="AF210" s="3284">
        <v>104</v>
      </c>
      <c r="AG210" s="3285">
        <v>131</v>
      </c>
      <c r="AH210" s="3286">
        <v>139</v>
      </c>
      <c r="AI210"/>
      <c r="AJ210" s="4634"/>
      <c r="AK210" s="3288" t="s">
        <v>13544</v>
      </c>
      <c r="AL210" s="3283" t="s">
        <v>13651</v>
      </c>
      <c r="AM210" s="3284">
        <v>204</v>
      </c>
      <c r="AN210" s="3285">
        <v>51</v>
      </c>
      <c r="AO210" s="3286">
        <v>51</v>
      </c>
      <c r="AQ210" s="2730">
        <v>1</v>
      </c>
    </row>
    <row r="211" spans="22:43" ht="21" customHeight="1">
      <c r="V211" s="4635"/>
      <c r="W211" s="3292" t="s">
        <v>13652</v>
      </c>
      <c r="X211" s="3293" t="s">
        <v>13653</v>
      </c>
      <c r="Y211" s="3294">
        <v>72</v>
      </c>
      <c r="Z211" s="3295">
        <v>209</v>
      </c>
      <c r="AA211" s="3296">
        <v>204</v>
      </c>
      <c r="AB211"/>
      <c r="AC211" s="4636"/>
      <c r="AD211" s="3299" t="s">
        <v>13654</v>
      </c>
      <c r="AE211" s="3283" t="s">
        <v>13655</v>
      </c>
      <c r="AF211" s="3284">
        <v>46</v>
      </c>
      <c r="AG211" s="3285">
        <v>132</v>
      </c>
      <c r="AH211" s="3286">
        <v>149</v>
      </c>
      <c r="AI211"/>
      <c r="AJ211" s="4637"/>
      <c r="AK211" s="3288" t="s">
        <v>13656</v>
      </c>
      <c r="AL211" s="3283" t="s">
        <v>13657</v>
      </c>
      <c r="AM211" s="3284">
        <v>205</v>
      </c>
      <c r="AN211" s="3285">
        <v>38</v>
      </c>
      <c r="AO211" s="3286">
        <v>38</v>
      </c>
      <c r="AQ211" s="2730">
        <v>1</v>
      </c>
    </row>
    <row r="212" spans="22:43" ht="21" customHeight="1">
      <c r="V212" s="4638"/>
      <c r="W212" s="3292" t="s">
        <v>13658</v>
      </c>
      <c r="X212" s="3293" t="s">
        <v>13659</v>
      </c>
      <c r="Y212" s="3294">
        <v>0</v>
      </c>
      <c r="Z212" s="3295">
        <v>206</v>
      </c>
      <c r="AA212" s="3296">
        <v>209</v>
      </c>
      <c r="AB212"/>
      <c r="AC212" s="4639"/>
      <c r="AD212" s="3299" t="s">
        <v>13660</v>
      </c>
      <c r="AE212" s="3283" t="s">
        <v>13661</v>
      </c>
      <c r="AF212" s="3284">
        <v>54</v>
      </c>
      <c r="AG212" s="3285">
        <v>117</v>
      </c>
      <c r="AH212" s="3286">
        <v>136</v>
      </c>
      <c r="AI212"/>
      <c r="AJ212" s="4640"/>
      <c r="AK212" s="3299" t="s">
        <v>13662</v>
      </c>
      <c r="AL212" s="3283" t="s">
        <v>13663</v>
      </c>
      <c r="AM212" s="3284">
        <v>207</v>
      </c>
      <c r="AN212" s="3285">
        <v>10</v>
      </c>
      <c r="AO212" s="3286">
        <v>29</v>
      </c>
      <c r="AQ212" s="2730">
        <v>1</v>
      </c>
    </row>
    <row r="213" spans="22:43" ht="21" customHeight="1">
      <c r="V213" s="4641"/>
      <c r="W213" s="3292" t="s">
        <v>13664</v>
      </c>
      <c r="X213" s="3293" t="s">
        <v>13665</v>
      </c>
      <c r="Y213" s="3294">
        <v>0</v>
      </c>
      <c r="Z213" s="3295">
        <v>205</v>
      </c>
      <c r="AA213" s="3296">
        <v>205</v>
      </c>
      <c r="AB213"/>
      <c r="AC213" s="4642"/>
      <c r="AD213" s="3299" t="s">
        <v>13666</v>
      </c>
      <c r="AE213" s="3283" t="s">
        <v>13667</v>
      </c>
      <c r="AF213" s="3284">
        <v>0</v>
      </c>
      <c r="AG213" s="3285">
        <v>73</v>
      </c>
      <c r="AH213" s="3286">
        <v>88</v>
      </c>
      <c r="AI213"/>
      <c r="AJ213" s="4643"/>
      <c r="AK213" s="3288" t="s">
        <v>13668</v>
      </c>
      <c r="AL213" s="3283" t="s">
        <v>13669</v>
      </c>
      <c r="AM213" s="3284">
        <v>205</v>
      </c>
      <c r="AN213" s="3285">
        <v>0</v>
      </c>
      <c r="AO213" s="3286">
        <v>0</v>
      </c>
      <c r="AQ213" s="2730">
        <v>1</v>
      </c>
    </row>
    <row r="214" spans="22:43" ht="21" customHeight="1">
      <c r="V214" s="4644"/>
      <c r="W214" s="3313" t="s">
        <v>13670</v>
      </c>
      <c r="X214" s="3293" t="s">
        <v>13671</v>
      </c>
      <c r="Y214" s="3294">
        <v>0</v>
      </c>
      <c r="Z214" s="3295">
        <v>204</v>
      </c>
      <c r="AA214" s="3296">
        <v>203</v>
      </c>
      <c r="AB214"/>
      <c r="AC214" s="4645"/>
      <c r="AD214" s="3299" t="s">
        <v>13672</v>
      </c>
      <c r="AE214" s="3283" t="s">
        <v>13673</v>
      </c>
      <c r="AF214" s="3284">
        <v>29</v>
      </c>
      <c r="AG214" s="3285">
        <v>72</v>
      </c>
      <c r="AH214" s="3286">
        <v>81</v>
      </c>
      <c r="AI214"/>
      <c r="AJ214" s="4646"/>
      <c r="AK214" s="3288" t="s">
        <v>13674</v>
      </c>
      <c r="AL214" s="3283" t="s">
        <v>13669</v>
      </c>
      <c r="AM214" s="3284">
        <v>205</v>
      </c>
      <c r="AN214" s="3285">
        <v>55</v>
      </c>
      <c r="AO214" s="3286">
        <v>0</v>
      </c>
      <c r="AQ214" s="2730">
        <v>1</v>
      </c>
    </row>
    <row r="215" spans="22:43" ht="21" customHeight="1">
      <c r="V215" s="4647"/>
      <c r="W215" s="3292" t="s">
        <v>13675</v>
      </c>
      <c r="X215" s="3293" t="s">
        <v>13676</v>
      </c>
      <c r="Y215" s="3294">
        <v>131</v>
      </c>
      <c r="Z215" s="3295">
        <v>139</v>
      </c>
      <c r="AA215" s="3296">
        <v>139</v>
      </c>
      <c r="AB215"/>
      <c r="AC215" s="4648"/>
      <c r="AD215" s="3299" t="s">
        <v>13677</v>
      </c>
      <c r="AE215" s="3283" t="s">
        <v>13678</v>
      </c>
      <c r="AF215" s="3284">
        <v>31</v>
      </c>
      <c r="AG215" s="3285">
        <v>254</v>
      </c>
      <c r="AH215" s="3286">
        <v>216</v>
      </c>
      <c r="AI215"/>
      <c r="AJ215" s="4649"/>
      <c r="AK215" s="3299" t="s">
        <v>13679</v>
      </c>
      <c r="AL215" s="3283" t="s">
        <v>13680</v>
      </c>
      <c r="AM215" s="3284">
        <v>198</v>
      </c>
      <c r="AN215" s="3285">
        <v>8</v>
      </c>
      <c r="AO215" s="3286">
        <v>0</v>
      </c>
      <c r="AQ215" s="2730">
        <v>1</v>
      </c>
    </row>
    <row r="216" spans="22:43" ht="21" customHeight="1">
      <c r="V216" s="4650"/>
      <c r="W216" s="3292" t="s">
        <v>13681</v>
      </c>
      <c r="X216" s="3293" t="s">
        <v>13682</v>
      </c>
      <c r="Y216" s="3294">
        <v>95</v>
      </c>
      <c r="Z216" s="3295">
        <v>158</v>
      </c>
      <c r="AA216" s="3296">
        <v>160</v>
      </c>
      <c r="AB216"/>
      <c r="AC216" s="4651"/>
      <c r="AD216" s="3299" t="s">
        <v>13683</v>
      </c>
      <c r="AE216" s="3283" t="s">
        <v>13684</v>
      </c>
      <c r="AF216" s="3284">
        <v>150</v>
      </c>
      <c r="AG216" s="3285">
        <v>222</v>
      </c>
      <c r="AH216" s="3286">
        <v>209</v>
      </c>
      <c r="AI216"/>
      <c r="AJ216" s="4652"/>
      <c r="AK216" s="3299" t="s">
        <v>13685</v>
      </c>
      <c r="AL216" s="3283" t="s">
        <v>13686</v>
      </c>
      <c r="AM216" s="3284">
        <v>188</v>
      </c>
      <c r="AN216" s="3285">
        <v>63</v>
      </c>
      <c r="AO216" s="3286">
        <v>74</v>
      </c>
      <c r="AQ216" s="2730">
        <v>1</v>
      </c>
    </row>
    <row r="217" spans="22:43" ht="21" customHeight="1">
      <c r="V217" s="4653"/>
      <c r="W217" s="3292" t="s">
        <v>13687</v>
      </c>
      <c r="X217" s="3293" t="s">
        <v>13688</v>
      </c>
      <c r="Y217" s="3294">
        <v>95</v>
      </c>
      <c r="Z217" s="3295">
        <v>159</v>
      </c>
      <c r="AA217" s="3296">
        <v>159</v>
      </c>
      <c r="AB217"/>
      <c r="AC217" s="4654"/>
      <c r="AD217" s="3299" t="s">
        <v>13689</v>
      </c>
      <c r="AE217" s="3283" t="s">
        <v>13690</v>
      </c>
      <c r="AF217" s="3284">
        <v>0</v>
      </c>
      <c r="AG217" s="3285">
        <v>166</v>
      </c>
      <c r="AH217" s="3286">
        <v>147</v>
      </c>
      <c r="AI217"/>
      <c r="AJ217" s="4655"/>
      <c r="AK217" s="3299" t="s">
        <v>13691</v>
      </c>
      <c r="AL217" s="3283" t="s">
        <v>13692</v>
      </c>
      <c r="AM217" s="3284">
        <v>191</v>
      </c>
      <c r="AN217" s="3285">
        <v>48</v>
      </c>
      <c r="AO217" s="3286">
        <v>48</v>
      </c>
      <c r="AQ217" s="2730">
        <v>1</v>
      </c>
    </row>
    <row r="218" spans="22:43" ht="21" customHeight="1">
      <c r="V218" s="4656"/>
      <c r="W218" s="3292" t="s">
        <v>13693</v>
      </c>
      <c r="X218" s="3293" t="s">
        <v>13694</v>
      </c>
      <c r="Y218" s="3294">
        <v>122</v>
      </c>
      <c r="Z218" s="3295">
        <v>139</v>
      </c>
      <c r="AA218" s="3296">
        <v>139</v>
      </c>
      <c r="AB218"/>
      <c r="AC218" s="4657"/>
      <c r="AD218" s="3288" t="s">
        <v>13695</v>
      </c>
      <c r="AE218" s="3283" t="s">
        <v>13696</v>
      </c>
      <c r="AF218" s="3284">
        <v>74</v>
      </c>
      <c r="AG218" s="3285">
        <v>118</v>
      </c>
      <c r="AH218" s="3286">
        <v>110</v>
      </c>
      <c r="AI218"/>
      <c r="AJ218" s="4658"/>
      <c r="AK218" s="3288" t="s">
        <v>13697</v>
      </c>
      <c r="AL218" s="3283" t="s">
        <v>13698</v>
      </c>
      <c r="AM218" s="3284">
        <v>192</v>
      </c>
      <c r="AN218" s="3285">
        <v>0</v>
      </c>
      <c r="AO218" s="3286">
        <v>0</v>
      </c>
      <c r="AQ218" s="2730">
        <v>1</v>
      </c>
    </row>
    <row r="219" spans="22:43" ht="21" customHeight="1">
      <c r="V219" s="4659"/>
      <c r="W219" s="3292" t="s">
        <v>13699</v>
      </c>
      <c r="X219" s="3293" t="s">
        <v>13700</v>
      </c>
      <c r="Y219" s="3294">
        <v>102</v>
      </c>
      <c r="Z219" s="3295">
        <v>139</v>
      </c>
      <c r="AA219" s="3296">
        <v>139</v>
      </c>
      <c r="AB219"/>
      <c r="AC219" s="4660"/>
      <c r="AD219" s="3299" t="s">
        <v>13701</v>
      </c>
      <c r="AE219" s="3283" t="s">
        <v>13702</v>
      </c>
      <c r="AF219" s="3284">
        <v>78</v>
      </c>
      <c r="AG219" s="3285">
        <v>87</v>
      </c>
      <c r="AH219" s="3286">
        <v>85</v>
      </c>
      <c r="AI219"/>
      <c r="AJ219" s="4661"/>
      <c r="AK219" s="3288" t="s">
        <v>13703</v>
      </c>
      <c r="AL219" s="3283" t="s">
        <v>13704</v>
      </c>
      <c r="AM219" s="3284">
        <v>139</v>
      </c>
      <c r="AN219" s="3285">
        <v>137</v>
      </c>
      <c r="AO219" s="3286">
        <v>137</v>
      </c>
      <c r="AQ219" s="2730">
        <v>1</v>
      </c>
    </row>
    <row r="220" spans="22:43" ht="21" customHeight="1">
      <c r="V220" s="4662"/>
      <c r="W220" s="3292" t="s">
        <v>13705</v>
      </c>
      <c r="X220" s="3293" t="s">
        <v>13706</v>
      </c>
      <c r="Y220" s="3294">
        <v>82</v>
      </c>
      <c r="Z220" s="3295">
        <v>139</v>
      </c>
      <c r="AA220" s="3296">
        <v>139</v>
      </c>
      <c r="AB220"/>
      <c r="AC220" s="4663"/>
      <c r="AD220" s="3299" t="s">
        <v>13707</v>
      </c>
      <c r="AE220" s="3283" t="s">
        <v>13708</v>
      </c>
      <c r="AF220" s="3284">
        <v>58</v>
      </c>
      <c r="AG220" s="3285">
        <v>75</v>
      </c>
      <c r="AH220" s="3286">
        <v>71</v>
      </c>
      <c r="AI220"/>
      <c r="AJ220" s="4664"/>
      <c r="AK220" s="3299" t="s">
        <v>13709</v>
      </c>
      <c r="AL220" s="3283" t="s">
        <v>13710</v>
      </c>
      <c r="AM220" s="3284">
        <v>190</v>
      </c>
      <c r="AN220" s="3285">
        <v>0</v>
      </c>
      <c r="AO220" s="3286">
        <v>50</v>
      </c>
      <c r="AQ220" s="2730">
        <v>1</v>
      </c>
    </row>
    <row r="221" spans="22:43" ht="21" customHeight="1">
      <c r="V221" s="4665"/>
      <c r="W221" s="3313" t="s">
        <v>13711</v>
      </c>
      <c r="X221" s="3293" t="s">
        <v>13712</v>
      </c>
      <c r="Y221" s="3294">
        <v>0</v>
      </c>
      <c r="Z221" s="3295">
        <v>142</v>
      </c>
      <c r="AA221" s="3296">
        <v>142</v>
      </c>
      <c r="AB221"/>
      <c r="AC221" s="4666"/>
      <c r="AD221" s="3299" t="s">
        <v>13713</v>
      </c>
      <c r="AE221" s="3283" t="s">
        <v>13714</v>
      </c>
      <c r="AF221" s="3284">
        <v>201</v>
      </c>
      <c r="AG221" s="3285">
        <v>220</v>
      </c>
      <c r="AH221" s="3286">
        <v>137</v>
      </c>
      <c r="AI221"/>
      <c r="AJ221" s="4667"/>
      <c r="AK221" s="3299" t="s">
        <v>13715</v>
      </c>
      <c r="AL221" s="3283" t="s">
        <v>13716</v>
      </c>
      <c r="AM221" s="3284">
        <v>188</v>
      </c>
      <c r="AN221" s="3285">
        <v>32</v>
      </c>
      <c r="AO221" s="3286">
        <v>1</v>
      </c>
      <c r="AQ221" s="2730">
        <v>1</v>
      </c>
    </row>
    <row r="222" spans="22:43" ht="21" customHeight="1">
      <c r="V222" s="4668"/>
      <c r="W222" s="3292" t="s">
        <v>13717</v>
      </c>
      <c r="X222" s="3293" t="s">
        <v>13718</v>
      </c>
      <c r="Y222" s="3294">
        <v>0</v>
      </c>
      <c r="Z222" s="3295">
        <v>139</v>
      </c>
      <c r="AA222" s="3296">
        <v>139</v>
      </c>
      <c r="AB222"/>
      <c r="AC222" s="4669"/>
      <c r="AD222" s="3299" t="s">
        <v>13719</v>
      </c>
      <c r="AE222" s="3283" t="s">
        <v>13720</v>
      </c>
      <c r="AF222" s="3284">
        <v>189</v>
      </c>
      <c r="AG222" s="3285">
        <v>218</v>
      </c>
      <c r="AH222" s="3286">
        <v>87</v>
      </c>
      <c r="AI222"/>
      <c r="AJ222" s="4670"/>
      <c r="AK222" s="3299" t="s">
        <v>13721</v>
      </c>
      <c r="AL222" s="3283" t="s">
        <v>13722</v>
      </c>
      <c r="AM222" s="3284">
        <v>187</v>
      </c>
      <c r="AN222" s="3285">
        <v>11</v>
      </c>
      <c r="AO222" s="3286">
        <v>11</v>
      </c>
      <c r="AQ222" s="2730">
        <v>1</v>
      </c>
    </row>
    <row r="223" spans="22:43" ht="21" customHeight="1">
      <c r="V223" s="4671"/>
      <c r="W223" s="3292" t="s">
        <v>13723</v>
      </c>
      <c r="X223" s="3293" t="s">
        <v>13724</v>
      </c>
      <c r="Y223" s="3294">
        <v>0</v>
      </c>
      <c r="Z223" s="3295">
        <v>128</v>
      </c>
      <c r="AA223" s="3296">
        <v>128</v>
      </c>
      <c r="AB223"/>
      <c r="AC223" s="4672"/>
      <c r="AD223" s="3299" t="s">
        <v>13725</v>
      </c>
      <c r="AE223" s="3283" t="s">
        <v>13726</v>
      </c>
      <c r="AF223" s="3284">
        <v>143</v>
      </c>
      <c r="AG223" s="3285">
        <v>151</v>
      </c>
      <c r="AH223" s="3286">
        <v>121</v>
      </c>
      <c r="AI223"/>
      <c r="AJ223" s="4673"/>
      <c r="AK223" s="3299" t="s">
        <v>13727</v>
      </c>
      <c r="AL223" s="3283" t="s">
        <v>13728</v>
      </c>
      <c r="AM223" s="3284">
        <v>171</v>
      </c>
      <c r="AN223" s="3285">
        <v>78</v>
      </c>
      <c r="AO223" s="3286">
        <v>82</v>
      </c>
      <c r="AQ223" s="2730">
        <v>1</v>
      </c>
    </row>
    <row r="224" spans="22:43" ht="21" customHeight="1">
      <c r="V224" s="4674"/>
      <c r="W224" s="3292" t="s">
        <v>13729</v>
      </c>
      <c r="X224" s="3293" t="s">
        <v>13730</v>
      </c>
      <c r="Y224" s="3294">
        <v>47</v>
      </c>
      <c r="Z224" s="3295">
        <v>79</v>
      </c>
      <c r="AA224" s="3296">
        <v>79</v>
      </c>
      <c r="AB224"/>
      <c r="AC224" s="4675"/>
      <c r="AD224" s="3299" t="s">
        <v>13731</v>
      </c>
      <c r="AE224" s="3283" t="s">
        <v>13732</v>
      </c>
      <c r="AF224" s="3284">
        <v>138</v>
      </c>
      <c r="AG224" s="3285">
        <v>154</v>
      </c>
      <c r="AH224" s="3286">
        <v>91</v>
      </c>
      <c r="AI224"/>
      <c r="AJ224" s="4676"/>
      <c r="AK224" s="3299" t="s">
        <v>13733</v>
      </c>
      <c r="AL224" s="3283" t="s">
        <v>13734</v>
      </c>
      <c r="AM224" s="3284">
        <v>184</v>
      </c>
      <c r="AN224" s="3285">
        <v>32</v>
      </c>
      <c r="AO224" s="3286">
        <v>16</v>
      </c>
      <c r="AQ224" s="2730">
        <v>1</v>
      </c>
    </row>
    <row r="225" spans="22:43" ht="21" customHeight="1">
      <c r="V225" s="4677"/>
      <c r="W225" s="3313" t="s">
        <v>13735</v>
      </c>
      <c r="X225" s="3293" t="s">
        <v>13736</v>
      </c>
      <c r="Y225" s="3294">
        <v>0</v>
      </c>
      <c r="Z225" s="3295">
        <v>75</v>
      </c>
      <c r="AA225" s="3296">
        <v>73</v>
      </c>
      <c r="AB225"/>
      <c r="AC225" s="4678"/>
      <c r="AD225" s="3299" t="s">
        <v>13737</v>
      </c>
      <c r="AE225" s="3283" t="s">
        <v>13738</v>
      </c>
      <c r="AF225" s="3284">
        <v>121</v>
      </c>
      <c r="AG225" s="3285">
        <v>137</v>
      </c>
      <c r="AH225" s="3286">
        <v>51</v>
      </c>
      <c r="AI225"/>
      <c r="AJ225" s="4679"/>
      <c r="AK225" s="3288" t="s">
        <v>13739</v>
      </c>
      <c r="AL225" s="3283" t="s">
        <v>13740</v>
      </c>
      <c r="AM225" s="3284">
        <v>178</v>
      </c>
      <c r="AN225" s="3285">
        <v>34</v>
      </c>
      <c r="AO225" s="3286">
        <v>34</v>
      </c>
      <c r="AQ225" s="2730">
        <v>1</v>
      </c>
    </row>
    <row r="226" spans="22:43" ht="21" customHeight="1">
      <c r="V226" s="4680"/>
      <c r="W226" s="3313" t="s">
        <v>13741</v>
      </c>
      <c r="X226" s="3293" t="s">
        <v>13742</v>
      </c>
      <c r="Y226" s="3294">
        <v>0</v>
      </c>
      <c r="Z226" s="3295">
        <v>42</v>
      </c>
      <c r="AA226" s="3296">
        <v>41</v>
      </c>
      <c r="AB226"/>
      <c r="AC226" s="4681"/>
      <c r="AD226" s="3299" t="s">
        <v>13743</v>
      </c>
      <c r="AE226" s="3283" t="s">
        <v>13744</v>
      </c>
      <c r="AF226" s="3284">
        <v>90</v>
      </c>
      <c r="AG226" s="3285">
        <v>101</v>
      </c>
      <c r="AH226" s="3286">
        <v>33</v>
      </c>
      <c r="AI226"/>
      <c r="AJ226" s="4682"/>
      <c r="AK226" s="3299" t="s">
        <v>13745</v>
      </c>
      <c r="AL226" s="3283" t="s">
        <v>13746</v>
      </c>
      <c r="AM226" s="3284">
        <v>170</v>
      </c>
      <c r="AN226" s="3285">
        <v>56</v>
      </c>
      <c r="AO226" s="3286">
        <v>30</v>
      </c>
      <c r="AQ226" s="2730">
        <v>1</v>
      </c>
    </row>
    <row r="227" spans="22:43" ht="21" customHeight="1">
      <c r="V227" s="4683"/>
      <c r="W227" s="3313" t="s">
        <v>13747</v>
      </c>
      <c r="X227" s="3293" t="s">
        <v>13748</v>
      </c>
      <c r="Y227" s="3294">
        <v>11</v>
      </c>
      <c r="Z227" s="3295">
        <v>22</v>
      </c>
      <c r="AA227" s="3296">
        <v>22</v>
      </c>
      <c r="AB227"/>
      <c r="AC227" s="4684"/>
      <c r="AD227" s="3299" t="s">
        <v>13749</v>
      </c>
      <c r="AE227" s="3283" t="s">
        <v>13750</v>
      </c>
      <c r="AF227" s="3284">
        <v>255</v>
      </c>
      <c r="AG227" s="3285">
        <v>215</v>
      </c>
      <c r="AH227" s="3286">
        <v>0</v>
      </c>
      <c r="AI227"/>
      <c r="AJ227" s="4685"/>
      <c r="AK227" s="3288" t="s">
        <v>13751</v>
      </c>
      <c r="AL227" s="3283" t="s">
        <v>13752</v>
      </c>
      <c r="AM227" s="3284">
        <v>166</v>
      </c>
      <c r="AN227" s="3285">
        <v>42</v>
      </c>
      <c r="AO227" s="3286">
        <v>42</v>
      </c>
      <c r="AQ227" s="2730">
        <v>1</v>
      </c>
    </row>
    <row r="228" spans="22:43" ht="21" customHeight="1">
      <c r="V228" s="4686"/>
      <c r="W228" s="3292" t="s">
        <v>13753</v>
      </c>
      <c r="X228" s="3293" t="s">
        <v>13754</v>
      </c>
      <c r="Y228" s="3294">
        <v>0</v>
      </c>
      <c r="Z228" s="3295">
        <v>245</v>
      </c>
      <c r="AA228" s="3296">
        <v>255</v>
      </c>
      <c r="AB228"/>
      <c r="AC228" s="4687"/>
      <c r="AD228" s="3299" t="s">
        <v>13755</v>
      </c>
      <c r="AE228" s="3283" t="s">
        <v>13756</v>
      </c>
      <c r="AF228" s="3284">
        <v>255</v>
      </c>
      <c r="AG228" s="3285">
        <v>228</v>
      </c>
      <c r="AH228" s="3286">
        <v>54</v>
      </c>
      <c r="AI228"/>
      <c r="AJ228" s="4688"/>
      <c r="AK228" s="3288" t="s">
        <v>13757</v>
      </c>
      <c r="AL228" s="3283" t="s">
        <v>13758</v>
      </c>
      <c r="AM228" s="3284">
        <v>139</v>
      </c>
      <c r="AN228" s="3285">
        <v>105</v>
      </c>
      <c r="AO228" s="3286">
        <v>105</v>
      </c>
      <c r="AQ228" s="2730">
        <v>1</v>
      </c>
    </row>
    <row r="229" spans="22:43" ht="21" customHeight="1">
      <c r="V229" s="4689"/>
      <c r="W229" s="3313" t="s">
        <v>13759</v>
      </c>
      <c r="X229" s="3293" t="s">
        <v>13760</v>
      </c>
      <c r="Y229" s="3294">
        <v>156</v>
      </c>
      <c r="Z229" s="3295">
        <v>209</v>
      </c>
      <c r="AA229" s="3296">
        <v>220</v>
      </c>
      <c r="AB229"/>
      <c r="AC229" s="4690"/>
      <c r="AD229" s="3299" t="s">
        <v>13761</v>
      </c>
      <c r="AE229" s="3283" t="s">
        <v>13762</v>
      </c>
      <c r="AF229" s="3284">
        <v>254</v>
      </c>
      <c r="AG229" s="3285">
        <v>227</v>
      </c>
      <c r="AH229" s="3286">
        <v>71</v>
      </c>
      <c r="AI229"/>
      <c r="AJ229" s="4691"/>
      <c r="AK229" s="3288" t="s">
        <v>13763</v>
      </c>
      <c r="AL229" s="3283" t="s">
        <v>13764</v>
      </c>
      <c r="AM229" s="3284">
        <v>165</v>
      </c>
      <c r="AN229" s="3285">
        <v>42</v>
      </c>
      <c r="AO229" s="3286">
        <v>42</v>
      </c>
      <c r="AQ229" s="2730">
        <v>1</v>
      </c>
    </row>
    <row r="230" spans="22:43" ht="21" customHeight="1">
      <c r="V230" s="4692"/>
      <c r="W230" s="3292" t="s">
        <v>13765</v>
      </c>
      <c r="X230" s="3293" t="s">
        <v>13766</v>
      </c>
      <c r="Y230" s="3294">
        <v>142</v>
      </c>
      <c r="Z230" s="3295">
        <v>229</v>
      </c>
      <c r="AA230" s="3296">
        <v>238</v>
      </c>
      <c r="AB230"/>
      <c r="AC230" s="4693"/>
      <c r="AD230" s="3299" t="s">
        <v>13767</v>
      </c>
      <c r="AE230" s="3283" t="s">
        <v>13768</v>
      </c>
      <c r="AF230" s="3284">
        <v>250</v>
      </c>
      <c r="AG230" s="3285">
        <v>218</v>
      </c>
      <c r="AH230" s="3286">
        <v>94</v>
      </c>
      <c r="AI230"/>
      <c r="AJ230" s="4694"/>
      <c r="AK230" s="3299" t="s">
        <v>13769</v>
      </c>
      <c r="AL230" s="3283" t="s">
        <v>13770</v>
      </c>
      <c r="AM230" s="3284">
        <v>169</v>
      </c>
      <c r="AN230" s="3285">
        <v>17</v>
      </c>
      <c r="AO230" s="3286">
        <v>1</v>
      </c>
      <c r="AQ230" s="2730">
        <v>1</v>
      </c>
    </row>
    <row r="231" spans="22:43" ht="21" customHeight="1">
      <c r="V231" s="4695"/>
      <c r="W231" s="3292" t="s">
        <v>13771</v>
      </c>
      <c r="X231" s="3293" t="s">
        <v>13772</v>
      </c>
      <c r="Y231" s="3294">
        <v>176</v>
      </c>
      <c r="Z231" s="3295">
        <v>224</v>
      </c>
      <c r="AA231" s="3296">
        <v>230</v>
      </c>
      <c r="AB231"/>
      <c r="AC231" s="4696"/>
      <c r="AD231" s="3299" t="s">
        <v>13773</v>
      </c>
      <c r="AE231" s="3283" t="s">
        <v>13774</v>
      </c>
      <c r="AF231" s="3284">
        <v>247</v>
      </c>
      <c r="AG231" s="3285">
        <v>226</v>
      </c>
      <c r="AH231" s="3286">
        <v>105</v>
      </c>
      <c r="AI231"/>
      <c r="AJ231" s="4697"/>
      <c r="AK231" s="3299" t="s">
        <v>13775</v>
      </c>
      <c r="AL231" s="3283" t="s">
        <v>13776</v>
      </c>
      <c r="AM231" s="3284">
        <v>144</v>
      </c>
      <c r="AN231" s="3285">
        <v>93</v>
      </c>
      <c r="AO231" s="3286">
        <v>93</v>
      </c>
      <c r="AQ231" s="2730">
        <v>1</v>
      </c>
    </row>
    <row r="232" spans="22:43" ht="21" customHeight="1">
      <c r="V232" s="4698"/>
      <c r="W232" s="3292" t="s">
        <v>13777</v>
      </c>
      <c r="X232" s="3293" t="s">
        <v>13778</v>
      </c>
      <c r="Y232" s="3294">
        <v>152</v>
      </c>
      <c r="Z232" s="3295">
        <v>245</v>
      </c>
      <c r="AA232" s="3296">
        <v>255</v>
      </c>
      <c r="AB232"/>
      <c r="AC232" s="4699"/>
      <c r="AD232" s="3288" t="s">
        <v>13779</v>
      </c>
      <c r="AE232" s="3283" t="s">
        <v>13780</v>
      </c>
      <c r="AF232" s="3284">
        <v>238</v>
      </c>
      <c r="AG232" s="3285">
        <v>220</v>
      </c>
      <c r="AH232" s="3286">
        <v>130</v>
      </c>
      <c r="AI232"/>
      <c r="AJ232" s="4700"/>
      <c r="AK232" s="3299" t="s">
        <v>13781</v>
      </c>
      <c r="AL232" s="3283" t="s">
        <v>13782</v>
      </c>
      <c r="AM232" s="3284">
        <v>164</v>
      </c>
      <c r="AN232" s="3285">
        <v>36</v>
      </c>
      <c r="AO232" s="3286">
        <v>36</v>
      </c>
      <c r="AQ232" s="2730">
        <v>1</v>
      </c>
    </row>
    <row r="233" spans="22:43" ht="21" customHeight="1">
      <c r="V233" s="4701"/>
      <c r="W233" s="3292" t="s">
        <v>13783</v>
      </c>
      <c r="X233" s="3293" t="s">
        <v>13784</v>
      </c>
      <c r="Y233" s="3294">
        <v>0</v>
      </c>
      <c r="Z233" s="3295">
        <v>229</v>
      </c>
      <c r="AA233" s="3296">
        <v>238</v>
      </c>
      <c r="AB233"/>
      <c r="AC233" s="4702"/>
      <c r="AD233" s="3288" t="s">
        <v>13785</v>
      </c>
      <c r="AE233" s="3283" t="s">
        <v>13780</v>
      </c>
      <c r="AF233" s="3284">
        <v>238</v>
      </c>
      <c r="AG233" s="3285">
        <v>221</v>
      </c>
      <c r="AH233" s="3286">
        <v>130</v>
      </c>
      <c r="AI233"/>
      <c r="AJ233" s="4703"/>
      <c r="AK233" s="3299" t="s">
        <v>13786</v>
      </c>
      <c r="AL233" s="3283" t="s">
        <v>13787</v>
      </c>
      <c r="AM233" s="3284">
        <v>165</v>
      </c>
      <c r="AN233" s="3285">
        <v>38</v>
      </c>
      <c r="AO233" s="3286">
        <v>10</v>
      </c>
      <c r="AQ233" s="2730">
        <v>1</v>
      </c>
    </row>
    <row r="234" spans="22:43" ht="21" customHeight="1">
      <c r="V234" s="4704"/>
      <c r="W234" s="3292" t="s">
        <v>13788</v>
      </c>
      <c r="X234" s="3293" t="s">
        <v>13789</v>
      </c>
      <c r="Y234" s="3294">
        <v>122</v>
      </c>
      <c r="Z234" s="3295">
        <v>197</v>
      </c>
      <c r="AA234" s="3296">
        <v>205</v>
      </c>
      <c r="AB234"/>
      <c r="AC234" s="4705"/>
      <c r="AD234" s="3299" t="s">
        <v>13790</v>
      </c>
      <c r="AE234" s="3283" t="s">
        <v>13791</v>
      </c>
      <c r="AF234" s="3284">
        <v>225</v>
      </c>
      <c r="AG234" s="3285">
        <v>206</v>
      </c>
      <c r="AH234" s="3286">
        <v>154</v>
      </c>
      <c r="AI234"/>
      <c r="AJ234" s="4706"/>
      <c r="AK234" s="3288" t="s">
        <v>13792</v>
      </c>
      <c r="AL234" s="3283" t="s">
        <v>13793</v>
      </c>
      <c r="AM234" s="3284">
        <v>133</v>
      </c>
      <c r="AN234" s="3285">
        <v>99</v>
      </c>
      <c r="AO234" s="3286">
        <v>99</v>
      </c>
      <c r="AQ234" s="2730">
        <v>1</v>
      </c>
    </row>
    <row r="235" spans="22:43" ht="21" customHeight="1">
      <c r="V235" s="4707"/>
      <c r="W235" s="3292" t="s">
        <v>13794</v>
      </c>
      <c r="X235" s="3293" t="s">
        <v>13795</v>
      </c>
      <c r="Y235" s="3294">
        <v>0</v>
      </c>
      <c r="Z235" s="3295">
        <v>197</v>
      </c>
      <c r="AA235" s="3296">
        <v>205</v>
      </c>
      <c r="AB235"/>
      <c r="AC235" s="4708"/>
      <c r="AD235" s="3299" t="s">
        <v>13796</v>
      </c>
      <c r="AE235" s="3283" t="s">
        <v>13797</v>
      </c>
      <c r="AF235" s="3284">
        <v>248</v>
      </c>
      <c r="AG235" s="3285">
        <v>222</v>
      </c>
      <c r="AH235" s="3286">
        <v>126</v>
      </c>
      <c r="AI235"/>
      <c r="AJ235" s="4709"/>
      <c r="AK235" s="3299" t="s">
        <v>13798</v>
      </c>
      <c r="AL235" s="3283" t="s">
        <v>13799</v>
      </c>
      <c r="AM235" s="3284">
        <v>150</v>
      </c>
      <c r="AN235" s="3285">
        <v>0</v>
      </c>
      <c r="AO235" s="3286">
        <v>24</v>
      </c>
      <c r="AQ235" s="2730">
        <v>1</v>
      </c>
    </row>
    <row r="236" spans="22:43" ht="21" customHeight="1">
      <c r="V236" s="4710"/>
      <c r="W236" s="3292" t="s">
        <v>13800</v>
      </c>
      <c r="X236" s="3293" t="s">
        <v>13801</v>
      </c>
      <c r="Y236" s="3294">
        <v>3</v>
      </c>
      <c r="Z236" s="3295">
        <v>180</v>
      </c>
      <c r="AA236" s="3296">
        <v>200</v>
      </c>
      <c r="AB236"/>
      <c r="AC236" s="4711"/>
      <c r="AD236" s="3299" t="s">
        <v>13802</v>
      </c>
      <c r="AE236" s="3283" t="s">
        <v>13803</v>
      </c>
      <c r="AF236" s="3284">
        <v>255</v>
      </c>
      <c r="AG236" s="3285">
        <v>222</v>
      </c>
      <c r="AH236" s="3286">
        <v>117</v>
      </c>
      <c r="AI236"/>
      <c r="AJ236" s="4712"/>
      <c r="AK236" s="3288" t="s">
        <v>13804</v>
      </c>
      <c r="AL236" s="3283" t="s">
        <v>13805</v>
      </c>
      <c r="AM236" s="3284">
        <v>139</v>
      </c>
      <c r="AN236" s="3285">
        <v>58</v>
      </c>
      <c r="AO236" s="3286">
        <v>58</v>
      </c>
      <c r="AQ236" s="2730">
        <v>1</v>
      </c>
    </row>
    <row r="237" spans="22:43" ht="21" customHeight="1">
      <c r="V237" s="4713"/>
      <c r="W237" s="3313" t="s">
        <v>13806</v>
      </c>
      <c r="X237" s="3293" t="s">
        <v>13807</v>
      </c>
      <c r="Y237" s="3294">
        <v>121</v>
      </c>
      <c r="Z237" s="3295">
        <v>128</v>
      </c>
      <c r="AA237" s="3296">
        <v>129</v>
      </c>
      <c r="AB237"/>
      <c r="AC237" s="4714"/>
      <c r="AD237" s="3288" t="s">
        <v>13808</v>
      </c>
      <c r="AE237" s="3283" t="s">
        <v>13809</v>
      </c>
      <c r="AF237" s="3284">
        <v>255</v>
      </c>
      <c r="AG237" s="3285">
        <v>236</v>
      </c>
      <c r="AH237" s="3286">
        <v>139</v>
      </c>
      <c r="AI237"/>
      <c r="AJ237" s="4715"/>
      <c r="AK237" s="3288" t="s">
        <v>13810</v>
      </c>
      <c r="AL237" s="3283" t="s">
        <v>13811</v>
      </c>
      <c r="AM237" s="3284">
        <v>142</v>
      </c>
      <c r="AN237" s="3285">
        <v>35</v>
      </c>
      <c r="AO237" s="3286">
        <v>35</v>
      </c>
      <c r="AQ237" s="2730">
        <v>1</v>
      </c>
    </row>
    <row r="238" spans="22:43" ht="21" customHeight="1">
      <c r="V238" s="4716"/>
      <c r="W238" s="3292" t="s">
        <v>13812</v>
      </c>
      <c r="X238" s="3293" t="s">
        <v>13813</v>
      </c>
      <c r="Y238" s="3294">
        <v>83</v>
      </c>
      <c r="Z238" s="3295">
        <v>134</v>
      </c>
      <c r="AA238" s="3296">
        <v>139</v>
      </c>
      <c r="AB238"/>
      <c r="AC238" s="4717"/>
      <c r="AD238" s="3299" t="s">
        <v>13814</v>
      </c>
      <c r="AE238" s="3283" t="s">
        <v>13815</v>
      </c>
      <c r="AF238" s="3284">
        <v>243</v>
      </c>
      <c r="AG238" s="3285">
        <v>229</v>
      </c>
      <c r="AH238" s="3286">
        <v>171</v>
      </c>
      <c r="AI238"/>
      <c r="AJ238" s="4718"/>
      <c r="AK238" s="3288" t="s">
        <v>13816</v>
      </c>
      <c r="AL238" s="3283" t="s">
        <v>13817</v>
      </c>
      <c r="AM238" s="3284">
        <v>139</v>
      </c>
      <c r="AN238" s="3285">
        <v>35</v>
      </c>
      <c r="AO238" s="3286">
        <v>35</v>
      </c>
      <c r="AQ238" s="2730">
        <v>1</v>
      </c>
    </row>
    <row r="239" spans="22:43" ht="21" customHeight="1">
      <c r="V239" s="4719"/>
      <c r="W239" s="3313" t="s">
        <v>13818</v>
      </c>
      <c r="X239" s="3293" t="s">
        <v>13819</v>
      </c>
      <c r="Y239" s="3294">
        <v>4</v>
      </c>
      <c r="Z239" s="3295">
        <v>139</v>
      </c>
      <c r="AA239" s="3296">
        <v>154</v>
      </c>
      <c r="AB239"/>
      <c r="AC239" s="4720"/>
      <c r="AD239" s="3299" t="s">
        <v>13820</v>
      </c>
      <c r="AE239" s="3283" t="s">
        <v>13821</v>
      </c>
      <c r="AF239" s="3284">
        <v>241</v>
      </c>
      <c r="AG239" s="3285">
        <v>226</v>
      </c>
      <c r="AH239" s="3286">
        <v>190</v>
      </c>
      <c r="AI239"/>
      <c r="AJ239" s="4721"/>
      <c r="AK239" s="3288" t="s">
        <v>13822</v>
      </c>
      <c r="AL239" s="3283" t="s">
        <v>13823</v>
      </c>
      <c r="AM239" s="3284">
        <v>140</v>
      </c>
      <c r="AN239" s="3285">
        <v>23</v>
      </c>
      <c r="AO239" s="3286">
        <v>23</v>
      </c>
      <c r="AQ239" s="2730">
        <v>1</v>
      </c>
    </row>
    <row r="240" spans="22:43" ht="21" customHeight="1">
      <c r="V240" s="4722"/>
      <c r="W240" s="3292" t="s">
        <v>13824</v>
      </c>
      <c r="X240" s="3293" t="s">
        <v>13825</v>
      </c>
      <c r="Y240" s="3294">
        <v>0</v>
      </c>
      <c r="Z240" s="3295">
        <v>134</v>
      </c>
      <c r="AA240" s="3296">
        <v>139</v>
      </c>
      <c r="AB240"/>
      <c r="AC240" s="4723"/>
      <c r="AD240" s="3299" t="s">
        <v>13826</v>
      </c>
      <c r="AE240" s="3283" t="s">
        <v>13827</v>
      </c>
      <c r="AF240" s="3284">
        <v>255</v>
      </c>
      <c r="AG240" s="3285">
        <v>240</v>
      </c>
      <c r="AH240" s="3286">
        <v>188</v>
      </c>
      <c r="AI240"/>
      <c r="AJ240" s="4724"/>
      <c r="AK240" s="3288" t="s">
        <v>13828</v>
      </c>
      <c r="AL240" s="3283" t="s">
        <v>13829</v>
      </c>
      <c r="AM240" s="3284">
        <v>139</v>
      </c>
      <c r="AN240" s="3285">
        <v>26</v>
      </c>
      <c r="AO240" s="3286">
        <v>26</v>
      </c>
      <c r="AQ240" s="2730">
        <v>1</v>
      </c>
    </row>
    <row r="241" spans="22:43" ht="21" customHeight="1">
      <c r="V241" s="4725"/>
      <c r="W241" s="3313" t="s">
        <v>13830</v>
      </c>
      <c r="X241" s="3293" t="s">
        <v>13831</v>
      </c>
      <c r="Y241" s="3294">
        <v>37</v>
      </c>
      <c r="Z241" s="3295">
        <v>253</v>
      </c>
      <c r="AA241" s="3296">
        <v>233</v>
      </c>
      <c r="AB241"/>
      <c r="AC241" s="4726"/>
      <c r="AD241" s="3299" t="s">
        <v>13832</v>
      </c>
      <c r="AE241" s="3283" t="s">
        <v>13833</v>
      </c>
      <c r="AF241" s="3284">
        <v>250</v>
      </c>
      <c r="AG241" s="3285">
        <v>240</v>
      </c>
      <c r="AH241" s="3286">
        <v>197</v>
      </c>
      <c r="AI241"/>
      <c r="AJ241" s="4727"/>
      <c r="AK241" s="3288" t="s">
        <v>13834</v>
      </c>
      <c r="AL241" s="3283" t="s">
        <v>13835</v>
      </c>
      <c r="AM241" s="3284">
        <v>139</v>
      </c>
      <c r="AN241" s="3285">
        <v>0</v>
      </c>
      <c r="AO241" s="3286">
        <v>0</v>
      </c>
      <c r="AQ241" s="2730">
        <v>1</v>
      </c>
    </row>
    <row r="242" spans="22:43" ht="21" customHeight="1">
      <c r="V242" s="4728"/>
      <c r="W242" s="3292" t="s">
        <v>13836</v>
      </c>
      <c r="X242" s="3293" t="s">
        <v>13837</v>
      </c>
      <c r="Y242" s="3294">
        <v>64</v>
      </c>
      <c r="Z242" s="3295">
        <v>224</v>
      </c>
      <c r="AA242" s="3296">
        <v>208</v>
      </c>
      <c r="AB242"/>
      <c r="AC242" s="4729"/>
      <c r="AD242" s="3299" t="s">
        <v>13838</v>
      </c>
      <c r="AE242" s="3283" t="s">
        <v>13839</v>
      </c>
      <c r="AF242" s="3284">
        <v>240</v>
      </c>
      <c r="AG242" s="3285">
        <v>234</v>
      </c>
      <c r="AH242" s="3286">
        <v>214</v>
      </c>
      <c r="AI242"/>
      <c r="AJ242" s="4730"/>
      <c r="AK242" s="3288" t="s">
        <v>13840</v>
      </c>
      <c r="AL242" s="3283" t="s">
        <v>13835</v>
      </c>
      <c r="AM242" s="3284">
        <v>139</v>
      </c>
      <c r="AN242" s="3285">
        <v>37</v>
      </c>
      <c r="AO242" s="3286">
        <v>0</v>
      </c>
      <c r="AQ242" s="2730">
        <v>1</v>
      </c>
    </row>
    <row r="243" spans="22:43" ht="21" customHeight="1">
      <c r="V243" s="4731"/>
      <c r="W243" s="3313" t="s">
        <v>13841</v>
      </c>
      <c r="X243" s="3293" t="s">
        <v>13842</v>
      </c>
      <c r="Y243" s="3294">
        <v>102</v>
      </c>
      <c r="Z243" s="3295">
        <v>173</v>
      </c>
      <c r="AA243" s="3296">
        <v>164</v>
      </c>
      <c r="AB243"/>
      <c r="AC243" s="4732"/>
      <c r="AD243" s="3288" t="s">
        <v>13843</v>
      </c>
      <c r="AE243" s="3283" t="s">
        <v>13844</v>
      </c>
      <c r="AF243" s="3284">
        <v>255</v>
      </c>
      <c r="AG243" s="3285">
        <v>248</v>
      </c>
      <c r="AH243" s="3286">
        <v>220</v>
      </c>
      <c r="AI243"/>
      <c r="AJ243" s="4733"/>
      <c r="AK243" s="3299" t="s">
        <v>13845</v>
      </c>
      <c r="AL243" s="3283" t="s">
        <v>13846</v>
      </c>
      <c r="AM243" s="3284">
        <v>132</v>
      </c>
      <c r="AN243" s="3285">
        <v>27</v>
      </c>
      <c r="AO243" s="3286">
        <v>45</v>
      </c>
      <c r="AQ243" s="2730">
        <v>1</v>
      </c>
    </row>
    <row r="244" spans="22:43" ht="21" customHeight="1">
      <c r="V244" s="4734"/>
      <c r="W244" s="3292" t="s">
        <v>13847</v>
      </c>
      <c r="X244" s="3293" t="s">
        <v>13848</v>
      </c>
      <c r="Y244" s="3294">
        <v>32</v>
      </c>
      <c r="Z244" s="3295">
        <v>178</v>
      </c>
      <c r="AA244" s="3296">
        <v>170</v>
      </c>
      <c r="AB244"/>
      <c r="AC244" s="4735"/>
      <c r="AD244" s="3299" t="s">
        <v>13849</v>
      </c>
      <c r="AE244" s="3283" t="s">
        <v>13850</v>
      </c>
      <c r="AF244" s="3284">
        <v>252</v>
      </c>
      <c r="AG244" s="3285">
        <v>220</v>
      </c>
      <c r="AH244" s="3286">
        <v>18</v>
      </c>
      <c r="AI244"/>
      <c r="AJ244" s="4736"/>
      <c r="AK244" s="3299" t="s">
        <v>13851</v>
      </c>
      <c r="AL244" s="3283" t="s">
        <v>13852</v>
      </c>
      <c r="AM244" s="3284">
        <v>133</v>
      </c>
      <c r="AN244" s="3285">
        <v>6</v>
      </c>
      <c r="AO244" s="3286">
        <v>6</v>
      </c>
      <c r="AQ244" s="2730">
        <v>1</v>
      </c>
    </row>
    <row r="245" spans="22:43" ht="21" customHeight="1">
      <c r="V245" s="4737"/>
      <c r="W245" s="3313" t="s">
        <v>13853</v>
      </c>
      <c r="X245" s="3293" t="s">
        <v>13854</v>
      </c>
      <c r="Y245" s="3294">
        <v>0</v>
      </c>
      <c r="Z245" s="3295">
        <v>136</v>
      </c>
      <c r="AA245" s="3296">
        <v>130</v>
      </c>
      <c r="AB245"/>
      <c r="AC245" s="4738"/>
      <c r="AD245" s="3299" t="s">
        <v>13855</v>
      </c>
      <c r="AE245" s="3283" t="s">
        <v>13856</v>
      </c>
      <c r="AF245" s="3284">
        <v>185</v>
      </c>
      <c r="AG245" s="3285">
        <v>184</v>
      </c>
      <c r="AH245" s="3286">
        <v>181</v>
      </c>
      <c r="AI245"/>
      <c r="AJ245" s="4739"/>
      <c r="AK245" s="3288" t="s">
        <v>13857</v>
      </c>
      <c r="AL245" s="3283" t="s">
        <v>13858</v>
      </c>
      <c r="AM245" s="3284">
        <v>128</v>
      </c>
      <c r="AN245" s="3285">
        <v>0</v>
      </c>
      <c r="AO245" s="3286">
        <v>0</v>
      </c>
      <c r="AQ245" s="2730">
        <v>1</v>
      </c>
    </row>
    <row r="246" spans="22:43" ht="21" customHeight="1">
      <c r="V246" s="4740"/>
      <c r="W246" s="3313" t="s">
        <v>13859</v>
      </c>
      <c r="X246" s="3293" t="s">
        <v>13860</v>
      </c>
      <c r="Y246" s="3294">
        <v>49</v>
      </c>
      <c r="Z246" s="3295">
        <v>120</v>
      </c>
      <c r="AA246" s="3296">
        <v>115</v>
      </c>
      <c r="AB246"/>
      <c r="AC246" s="4741"/>
      <c r="AD246" s="3299" t="s">
        <v>13861</v>
      </c>
      <c r="AE246" s="3283" t="s">
        <v>13862</v>
      </c>
      <c r="AF246" s="3284">
        <v>238</v>
      </c>
      <c r="AG246" s="3285">
        <v>209</v>
      </c>
      <c r="AH246" s="3286">
        <v>83</v>
      </c>
      <c r="AI246"/>
      <c r="AJ246" s="4742"/>
      <c r="AK246" s="3288" t="s">
        <v>13407</v>
      </c>
      <c r="AL246" s="3283" t="s">
        <v>13863</v>
      </c>
      <c r="AM246" s="3284">
        <v>111</v>
      </c>
      <c r="AN246" s="3285">
        <v>66</v>
      </c>
      <c r="AO246" s="3286">
        <v>66</v>
      </c>
      <c r="AQ246" s="2730">
        <v>1</v>
      </c>
    </row>
    <row r="247" spans="22:43" ht="21" customHeight="1">
      <c r="V247" s="4743"/>
      <c r="W247" s="3313" t="s">
        <v>13864</v>
      </c>
      <c r="X247" s="3293" t="s">
        <v>13865</v>
      </c>
      <c r="Y247" s="3294">
        <v>0</v>
      </c>
      <c r="Z247" s="3295">
        <v>122</v>
      </c>
      <c r="AA247" s="3296">
        <v>116</v>
      </c>
      <c r="AB247"/>
      <c r="AC247" s="4744"/>
      <c r="AD247" s="3299" t="s">
        <v>13866</v>
      </c>
      <c r="AE247" s="3283" t="s">
        <v>13867</v>
      </c>
      <c r="AF247" s="3284">
        <v>246</v>
      </c>
      <c r="AG247" s="3285">
        <v>220</v>
      </c>
      <c r="AH247" s="3286">
        <v>18</v>
      </c>
      <c r="AI247"/>
      <c r="AJ247" s="4745"/>
      <c r="AK247" s="3299" t="s">
        <v>13868</v>
      </c>
      <c r="AL247" s="3283" t="s">
        <v>13869</v>
      </c>
      <c r="AM247" s="3284">
        <v>114</v>
      </c>
      <c r="AN247" s="3285">
        <v>47</v>
      </c>
      <c r="AO247" s="3286">
        <v>55</v>
      </c>
      <c r="AQ247" s="2730">
        <v>1</v>
      </c>
    </row>
    <row r="248" spans="22:43" ht="21" customHeight="1">
      <c r="V248" s="4746"/>
      <c r="W248" s="3313" t="s">
        <v>13870</v>
      </c>
      <c r="X248" s="3293" t="s">
        <v>13871</v>
      </c>
      <c r="Y248" s="3294">
        <v>1</v>
      </c>
      <c r="Z248" s="3295">
        <v>121</v>
      </c>
      <c r="AA248" s="3296">
        <v>111</v>
      </c>
      <c r="AB248"/>
      <c r="AC248" s="4747"/>
      <c r="AD248" s="3299" t="s">
        <v>13872</v>
      </c>
      <c r="AE248" s="3283" t="s">
        <v>13873</v>
      </c>
      <c r="AF248" s="3284">
        <v>239</v>
      </c>
      <c r="AG248" s="3285">
        <v>210</v>
      </c>
      <c r="AH248" s="3286">
        <v>66</v>
      </c>
      <c r="AI248"/>
      <c r="AJ248" s="4748"/>
      <c r="AK248" s="3299" t="s">
        <v>13874</v>
      </c>
      <c r="AL248" s="3283" t="s">
        <v>13875</v>
      </c>
      <c r="AM248" s="3284">
        <v>92</v>
      </c>
      <c r="AN248" s="3285">
        <v>80</v>
      </c>
      <c r="AO248" s="3286">
        <v>79</v>
      </c>
      <c r="AQ248" s="2730">
        <v>1</v>
      </c>
    </row>
    <row r="249" spans="22:43" ht="21" customHeight="1">
      <c r="V249" s="4749"/>
      <c r="W249" s="3313" t="s">
        <v>13876</v>
      </c>
      <c r="X249" s="3293" t="s">
        <v>13877</v>
      </c>
      <c r="Y249" s="3294">
        <v>0</v>
      </c>
      <c r="Z249" s="3295">
        <v>68</v>
      </c>
      <c r="AA249" s="3296">
        <v>63</v>
      </c>
      <c r="AB249"/>
      <c r="AC249" s="4750"/>
      <c r="AD249" s="3299" t="s">
        <v>13878</v>
      </c>
      <c r="AE249" s="3283" t="s">
        <v>13879</v>
      </c>
      <c r="AF249" s="3284">
        <v>191</v>
      </c>
      <c r="AG249" s="3285">
        <v>184</v>
      </c>
      <c r="AH249" s="3286">
        <v>165</v>
      </c>
      <c r="AI249"/>
      <c r="AJ249" s="4751"/>
      <c r="AK249" s="3299" t="s">
        <v>13880</v>
      </c>
      <c r="AL249" s="3283" t="s">
        <v>13881</v>
      </c>
      <c r="AM249" s="3284">
        <v>115</v>
      </c>
      <c r="AN249" s="3285">
        <v>8</v>
      </c>
      <c r="AO249" s="3286">
        <v>0</v>
      </c>
      <c r="AQ249" s="2730">
        <v>1</v>
      </c>
    </row>
    <row r="250" spans="22:43" ht="21" customHeight="1">
      <c r="V250" s="4752"/>
      <c r="W250" s="3313" t="s">
        <v>13882</v>
      </c>
      <c r="X250" s="3293" t="s">
        <v>13883</v>
      </c>
      <c r="Y250" s="3294">
        <v>199</v>
      </c>
      <c r="Z250" s="3295">
        <v>230</v>
      </c>
      <c r="AA250" s="3296">
        <v>215</v>
      </c>
      <c r="AB250"/>
      <c r="AC250" s="4753"/>
      <c r="AD250" s="3299" t="s">
        <v>13884</v>
      </c>
      <c r="AE250" s="3283" t="s">
        <v>13885</v>
      </c>
      <c r="AF250" s="3284">
        <v>243</v>
      </c>
      <c r="AG250" s="3285">
        <v>214</v>
      </c>
      <c r="AH250" s="3286">
        <v>23</v>
      </c>
      <c r="AI250"/>
      <c r="AJ250" s="4754"/>
      <c r="AK250" s="3299" t="s">
        <v>13886</v>
      </c>
      <c r="AL250" s="3283" t="s">
        <v>13887</v>
      </c>
      <c r="AM250" s="3284">
        <v>110</v>
      </c>
      <c r="AN250" s="3285">
        <v>11</v>
      </c>
      <c r="AO250" s="3286">
        <v>20</v>
      </c>
      <c r="AQ250" s="2730">
        <v>1</v>
      </c>
    </row>
    <row r="251" spans="22:43" ht="21" customHeight="1">
      <c r="V251" s="4755"/>
      <c r="W251" s="3292" t="s">
        <v>13888</v>
      </c>
      <c r="X251" s="3293" t="s">
        <v>13889</v>
      </c>
      <c r="Y251" s="3294">
        <v>245</v>
      </c>
      <c r="Z251" s="3295">
        <v>255</v>
      </c>
      <c r="AA251" s="3296">
        <v>250</v>
      </c>
      <c r="AB251"/>
      <c r="AC251" s="4756"/>
      <c r="AD251" s="3288" t="s">
        <v>13890</v>
      </c>
      <c r="AE251" s="3283" t="s">
        <v>13891</v>
      </c>
      <c r="AF251" s="3284">
        <v>238</v>
      </c>
      <c r="AG251" s="3285">
        <v>201</v>
      </c>
      <c r="AH251" s="3286">
        <v>0</v>
      </c>
      <c r="AI251"/>
      <c r="AJ251" s="4757"/>
      <c r="AK251" s="3299" t="s">
        <v>13892</v>
      </c>
      <c r="AL251" s="3283" t="s">
        <v>13893</v>
      </c>
      <c r="AM251" s="3284">
        <v>109</v>
      </c>
      <c r="AN251" s="3285">
        <v>7</v>
      </c>
      <c r="AO251" s="3286">
        <v>26</v>
      </c>
      <c r="AQ251" s="2730">
        <v>1</v>
      </c>
    </row>
    <row r="252" spans="22:43" ht="21" customHeight="1">
      <c r="V252" s="4758"/>
      <c r="W252" s="3313" t="s">
        <v>13894</v>
      </c>
      <c r="X252" s="3293" t="s">
        <v>13895</v>
      </c>
      <c r="Y252" s="3294">
        <v>142</v>
      </c>
      <c r="Z252" s="3295">
        <v>209</v>
      </c>
      <c r="AA252" s="3296">
        <v>178</v>
      </c>
      <c r="AB252"/>
      <c r="AC252" s="4759"/>
      <c r="AD252" s="3299" t="s">
        <v>13896</v>
      </c>
      <c r="AE252" s="3283" t="s">
        <v>13897</v>
      </c>
      <c r="AF252" s="3284">
        <v>208</v>
      </c>
      <c r="AG252" s="3285">
        <v>192</v>
      </c>
      <c r="AH252" s="3286">
        <v>122</v>
      </c>
      <c r="AI252"/>
      <c r="AJ252" s="4760"/>
      <c r="AK252" s="3299" t="s">
        <v>13898</v>
      </c>
      <c r="AL252" s="3283" t="s">
        <v>13899</v>
      </c>
      <c r="AM252" s="3284">
        <v>107</v>
      </c>
      <c r="AN252" s="3285">
        <v>13</v>
      </c>
      <c r="AO252" s="3286">
        <v>13</v>
      </c>
      <c r="AQ252" s="2730">
        <v>1</v>
      </c>
    </row>
    <row r="253" spans="22:43" ht="21" customHeight="1">
      <c r="V253" s="4761"/>
      <c r="W253" s="3313" t="s">
        <v>13900</v>
      </c>
      <c r="X253" s="3293" t="s">
        <v>13901</v>
      </c>
      <c r="Y253" s="3294">
        <v>141</v>
      </c>
      <c r="Z253" s="3295">
        <v>163</v>
      </c>
      <c r="AA253" s="3296">
        <v>153</v>
      </c>
      <c r="AB253"/>
      <c r="AC253" s="4762"/>
      <c r="AD253" s="3288" t="s">
        <v>13902</v>
      </c>
      <c r="AE253" s="3283" t="s">
        <v>13903</v>
      </c>
      <c r="AF253" s="3284">
        <v>205</v>
      </c>
      <c r="AG253" s="3285">
        <v>190</v>
      </c>
      <c r="AH253" s="3286">
        <v>112</v>
      </c>
      <c r="AI253"/>
      <c r="AJ253" s="4763"/>
      <c r="AK253" s="3299" t="s">
        <v>13904</v>
      </c>
      <c r="AL253" s="3283" t="s">
        <v>13905</v>
      </c>
      <c r="AM253" s="3284">
        <v>84</v>
      </c>
      <c r="AN253" s="3285">
        <v>61</v>
      </c>
      <c r="AO253" s="3286">
        <v>63</v>
      </c>
      <c r="AQ253" s="2730">
        <v>1</v>
      </c>
    </row>
    <row r="254" spans="22:43" ht="21" customHeight="1">
      <c r="V254" s="4764"/>
      <c r="W254" s="3313" t="s">
        <v>13906</v>
      </c>
      <c r="X254" s="3293" t="s">
        <v>13907</v>
      </c>
      <c r="Y254" s="3294">
        <v>131</v>
      </c>
      <c r="Z254" s="3295">
        <v>166</v>
      </c>
      <c r="AA254" s="3296">
        <v>151</v>
      </c>
      <c r="AB254"/>
      <c r="AC254" s="4765"/>
      <c r="AD254" s="3299" t="s">
        <v>13908</v>
      </c>
      <c r="AE254" s="3283" t="s">
        <v>13909</v>
      </c>
      <c r="AF254" s="3284">
        <v>194</v>
      </c>
      <c r="AG254" s="3285">
        <v>178</v>
      </c>
      <c r="AH254" s="3286">
        <v>128</v>
      </c>
      <c r="AI254"/>
      <c r="AJ254" s="4766"/>
      <c r="AK254" s="3299" t="s">
        <v>13910</v>
      </c>
      <c r="AL254" s="3283" t="s">
        <v>13911</v>
      </c>
      <c r="AM254" s="3284">
        <v>86</v>
      </c>
      <c r="AN254" s="3285">
        <v>7</v>
      </c>
      <c r="AO254" s="3286">
        <v>12</v>
      </c>
      <c r="AQ254" s="2730">
        <v>1</v>
      </c>
    </row>
    <row r="255" spans="22:43" ht="21" customHeight="1">
      <c r="V255" s="4767"/>
      <c r="W255" s="3313" t="s">
        <v>13912</v>
      </c>
      <c r="X255" s="3293" t="s">
        <v>13913</v>
      </c>
      <c r="Y255" s="3294">
        <v>106</v>
      </c>
      <c r="Z255" s="3295">
        <v>171</v>
      </c>
      <c r="AA255" s="3296">
        <v>142</v>
      </c>
      <c r="AB255"/>
      <c r="AC255" s="4768"/>
      <c r="AD255" s="3299" t="s">
        <v>13914</v>
      </c>
      <c r="AE255" s="3283" t="s">
        <v>13915</v>
      </c>
      <c r="AF255" s="3284">
        <v>195</v>
      </c>
      <c r="AG255" s="3285">
        <v>180</v>
      </c>
      <c r="AH255" s="3286">
        <v>112</v>
      </c>
      <c r="AI255"/>
      <c r="AJ255" s="4769"/>
      <c r="AK255" s="3299" t="s">
        <v>13916</v>
      </c>
      <c r="AL255" s="3283" t="s">
        <v>13917</v>
      </c>
      <c r="AM255" s="3284">
        <v>78</v>
      </c>
      <c r="AN255" s="3285">
        <v>22</v>
      </c>
      <c r="AO255" s="3286">
        <v>9</v>
      </c>
      <c r="AQ255" s="2730">
        <v>1</v>
      </c>
    </row>
    <row r="256" spans="22:43" ht="21" customHeight="1">
      <c r="V256" s="4770"/>
      <c r="W256" s="3313" t="s">
        <v>13918</v>
      </c>
      <c r="X256" s="3293" t="s">
        <v>13919</v>
      </c>
      <c r="Y256" s="3294">
        <v>62</v>
      </c>
      <c r="Z256" s="3295">
        <v>180</v>
      </c>
      <c r="AA256" s="3296">
        <v>137</v>
      </c>
      <c r="AB256"/>
      <c r="AC256" s="4771"/>
      <c r="AD256" s="3288" t="s">
        <v>13920</v>
      </c>
      <c r="AE256" s="3283" t="s">
        <v>13921</v>
      </c>
      <c r="AF256" s="3284">
        <v>207</v>
      </c>
      <c r="AG256" s="3285">
        <v>181</v>
      </c>
      <c r="AH256" s="3286">
        <v>59</v>
      </c>
      <c r="AI256"/>
      <c r="AJ256" s="4772"/>
      <c r="AK256" s="3299" t="s">
        <v>13922</v>
      </c>
      <c r="AL256" s="3283" t="s">
        <v>13923</v>
      </c>
      <c r="AM256" s="3284">
        <v>62</v>
      </c>
      <c r="AN256" s="3285">
        <v>29</v>
      </c>
      <c r="AO256" s="3286">
        <v>30</v>
      </c>
      <c r="AQ256" s="2730">
        <v>1</v>
      </c>
    </row>
    <row r="257" spans="22:43" ht="21" customHeight="1">
      <c r="V257" s="4773"/>
      <c r="W257" s="3292" t="s">
        <v>13924</v>
      </c>
      <c r="X257" s="3293" t="s">
        <v>13925</v>
      </c>
      <c r="Y257" s="3294">
        <v>2</v>
      </c>
      <c r="Z257" s="3295">
        <v>157</v>
      </c>
      <c r="AA257" s="3296">
        <v>116</v>
      </c>
      <c r="AB257"/>
      <c r="AC257" s="4774"/>
      <c r="AD257" s="3299" t="s">
        <v>13926</v>
      </c>
      <c r="AE257" s="3283" t="s">
        <v>13927</v>
      </c>
      <c r="AF257" s="3284">
        <v>209</v>
      </c>
      <c r="AG257" s="3285">
        <v>182</v>
      </c>
      <c r="AH257" s="3286">
        <v>6</v>
      </c>
      <c r="AI257"/>
      <c r="AJ257" s="4775"/>
      <c r="AK257" s="3288" t="s">
        <v>13928</v>
      </c>
      <c r="AL257" s="3283" t="s">
        <v>13929</v>
      </c>
      <c r="AM257" s="3284">
        <v>238</v>
      </c>
      <c r="AN257" s="3285">
        <v>162</v>
      </c>
      <c r="AO257" s="3286">
        <v>173</v>
      </c>
      <c r="AQ257" s="2730">
        <v>1</v>
      </c>
    </row>
    <row r="258" spans="22:43" ht="21" customHeight="1">
      <c r="V258" s="4776"/>
      <c r="W258" s="3292" t="s">
        <v>13930</v>
      </c>
      <c r="X258" s="3293" t="s">
        <v>13931</v>
      </c>
      <c r="Y258" s="3294">
        <v>35</v>
      </c>
      <c r="Z258" s="3295">
        <v>142</v>
      </c>
      <c r="AA258" s="3296">
        <v>104</v>
      </c>
      <c r="AB258"/>
      <c r="AC258" s="4777"/>
      <c r="AD258" s="3288" t="s">
        <v>13932</v>
      </c>
      <c r="AE258" s="3283" t="s">
        <v>13933</v>
      </c>
      <c r="AF258" s="3284">
        <v>205</v>
      </c>
      <c r="AG258" s="3285">
        <v>173</v>
      </c>
      <c r="AH258" s="3286">
        <v>0</v>
      </c>
      <c r="AI258"/>
      <c r="AJ258" s="4778"/>
      <c r="AK258" s="3288" t="s">
        <v>13934</v>
      </c>
      <c r="AL258" s="3283" t="s">
        <v>13935</v>
      </c>
      <c r="AM258" s="3284">
        <v>238</v>
      </c>
      <c r="AN258" s="3285">
        <v>169</v>
      </c>
      <c r="AO258" s="3286">
        <v>184</v>
      </c>
      <c r="AQ258" s="2730">
        <v>1</v>
      </c>
    </row>
    <row r="259" spans="22:43" ht="21" customHeight="1">
      <c r="V259" s="4779"/>
      <c r="W259" s="3313" t="s">
        <v>13936</v>
      </c>
      <c r="X259" s="3293" t="s">
        <v>13937</v>
      </c>
      <c r="Y259" s="3294">
        <v>59</v>
      </c>
      <c r="Z259" s="3295">
        <v>120</v>
      </c>
      <c r="AA259" s="3296">
        <v>97</v>
      </c>
      <c r="AB259"/>
      <c r="AC259" s="4780"/>
      <c r="AD259" s="3288" t="s">
        <v>13938</v>
      </c>
      <c r="AE259" s="3283" t="s">
        <v>13939</v>
      </c>
      <c r="AF259" s="3284">
        <v>139</v>
      </c>
      <c r="AG259" s="3285">
        <v>117</v>
      </c>
      <c r="AH259" s="3286">
        <v>0</v>
      </c>
      <c r="AI259"/>
      <c r="AJ259" s="4781"/>
      <c r="AK259" s="3288" t="s">
        <v>13940</v>
      </c>
      <c r="AL259" s="3283" t="s">
        <v>13941</v>
      </c>
      <c r="AM259" s="3284">
        <v>255</v>
      </c>
      <c r="AN259" s="3285">
        <v>174</v>
      </c>
      <c r="AO259" s="3286">
        <v>185</v>
      </c>
      <c r="AQ259" s="2730">
        <v>1</v>
      </c>
    </row>
    <row r="260" spans="22:43" ht="21" customHeight="1">
      <c r="V260" s="4782"/>
      <c r="W260" s="3313" t="s">
        <v>13942</v>
      </c>
      <c r="X260" s="3293" t="s">
        <v>13943</v>
      </c>
      <c r="Y260" s="3294">
        <v>0</v>
      </c>
      <c r="Z260" s="3295">
        <v>121</v>
      </c>
      <c r="AA260" s="3296">
        <v>89</v>
      </c>
      <c r="AB260"/>
      <c r="AC260" s="4783"/>
      <c r="AD260" s="3299" t="s">
        <v>13944</v>
      </c>
      <c r="AE260" s="3283" t="s">
        <v>13945</v>
      </c>
      <c r="AF260" s="3284">
        <v>104</v>
      </c>
      <c r="AG260" s="3285">
        <v>94</v>
      </c>
      <c r="AH260" s="3286">
        <v>67</v>
      </c>
      <c r="AI260"/>
      <c r="AJ260" s="4784"/>
      <c r="AK260" s="3288" t="s">
        <v>13946</v>
      </c>
      <c r="AL260" s="3283" t="s">
        <v>13947</v>
      </c>
      <c r="AM260" s="3284">
        <v>255</v>
      </c>
      <c r="AN260" s="3285">
        <v>181</v>
      </c>
      <c r="AO260" s="3286">
        <v>197</v>
      </c>
      <c r="AQ260" s="2730">
        <v>1</v>
      </c>
    </row>
    <row r="261" spans="22:43" ht="21" customHeight="1">
      <c r="V261" s="4785"/>
      <c r="W261" s="3313" t="s">
        <v>13948</v>
      </c>
      <c r="X261" s="3293" t="s">
        <v>13949</v>
      </c>
      <c r="Y261" s="3294">
        <v>0</v>
      </c>
      <c r="Z261" s="3295">
        <v>84</v>
      </c>
      <c r="AA261" s="3296">
        <v>61</v>
      </c>
      <c r="AB261"/>
      <c r="AC261" s="4786"/>
      <c r="AD261" s="3299" t="s">
        <v>13950</v>
      </c>
      <c r="AE261" s="3283" t="s">
        <v>13951</v>
      </c>
      <c r="AF261" s="3284">
        <v>145</v>
      </c>
      <c r="AG261" s="3285">
        <v>92</v>
      </c>
      <c r="AH261" s="3286">
        <v>131</v>
      </c>
      <c r="AI261"/>
      <c r="AJ261" s="4787"/>
      <c r="AK261" s="3288" t="s">
        <v>13952</v>
      </c>
      <c r="AL261" s="3283" t="s">
        <v>13953</v>
      </c>
      <c r="AM261" s="3284">
        <v>255</v>
      </c>
      <c r="AN261" s="3285">
        <v>182</v>
      </c>
      <c r="AO261" s="3286">
        <v>193</v>
      </c>
      <c r="AQ261" s="2730">
        <v>1</v>
      </c>
    </row>
    <row r="262" spans="22:43" ht="21" customHeight="1">
      <c r="V262" s="4788"/>
      <c r="W262" s="3292" t="s">
        <v>13954</v>
      </c>
      <c r="X262" s="3293" t="s">
        <v>13955</v>
      </c>
      <c r="Y262" s="3294">
        <v>118</v>
      </c>
      <c r="Z262" s="3295">
        <v>238</v>
      </c>
      <c r="AA262" s="3296">
        <v>198</v>
      </c>
      <c r="AB262"/>
      <c r="AC262" s="4789"/>
      <c r="AD262" s="3288" t="s">
        <v>13956</v>
      </c>
      <c r="AE262" s="3283" t="s">
        <v>13957</v>
      </c>
      <c r="AF262" s="3284">
        <v>135</v>
      </c>
      <c r="AG262" s="3285">
        <v>31</v>
      </c>
      <c r="AH262" s="3286">
        <v>120</v>
      </c>
      <c r="AI262"/>
      <c r="AJ262" s="4790"/>
      <c r="AK262" s="3288" t="s">
        <v>13958</v>
      </c>
      <c r="AL262" s="3283" t="s">
        <v>13959</v>
      </c>
      <c r="AM262" s="3284">
        <v>255</v>
      </c>
      <c r="AN262" s="3285">
        <v>192</v>
      </c>
      <c r="AO262" s="3286">
        <v>203</v>
      </c>
      <c r="AQ262" s="2730">
        <v>1</v>
      </c>
    </row>
    <row r="263" spans="22:43" ht="21" customHeight="1">
      <c r="V263" s="4791"/>
      <c r="W263" s="3313" t="s">
        <v>13960</v>
      </c>
      <c r="X263" s="3293" t="s">
        <v>13961</v>
      </c>
      <c r="Y263" s="3294">
        <v>151</v>
      </c>
      <c r="Z263" s="3295">
        <v>223</v>
      </c>
      <c r="AA263" s="3296">
        <v>198</v>
      </c>
      <c r="AB263"/>
      <c r="AC263" s="4792"/>
      <c r="AD263" s="3299" t="s">
        <v>13962</v>
      </c>
      <c r="AE263" s="3283" t="s">
        <v>13963</v>
      </c>
      <c r="AF263" s="3284">
        <v>135</v>
      </c>
      <c r="AG263" s="3285">
        <v>0</v>
      </c>
      <c r="AH263" s="3286">
        <v>116</v>
      </c>
      <c r="AI263"/>
      <c r="AJ263" s="4793"/>
      <c r="AK263" s="3299" t="s">
        <v>13964</v>
      </c>
      <c r="AL263" s="3283" t="s">
        <v>13965</v>
      </c>
      <c r="AM263" s="3284">
        <v>213</v>
      </c>
      <c r="AN263" s="3285">
        <v>132</v>
      </c>
      <c r="AO263" s="3286">
        <v>144</v>
      </c>
      <c r="AQ263" s="2730">
        <v>1</v>
      </c>
    </row>
    <row r="264" spans="22:43" ht="21" customHeight="1">
      <c r="V264" s="4794"/>
      <c r="W264" s="3292" t="s">
        <v>13966</v>
      </c>
      <c r="X264" s="3293" t="s">
        <v>13967</v>
      </c>
      <c r="Y264" s="3294">
        <v>127</v>
      </c>
      <c r="Z264" s="3295">
        <v>255</v>
      </c>
      <c r="AA264" s="3296">
        <v>212</v>
      </c>
      <c r="AB264"/>
      <c r="AC264" s="4795"/>
      <c r="AD264" s="3299" t="s">
        <v>13968</v>
      </c>
      <c r="AE264" s="3283" t="s">
        <v>13969</v>
      </c>
      <c r="AF264" s="3284">
        <v>93</v>
      </c>
      <c r="AG264" s="3285">
        <v>85</v>
      </c>
      <c r="AH264" s="3286">
        <v>91</v>
      </c>
      <c r="AI264"/>
      <c r="AJ264" s="4796"/>
      <c r="AK264" s="3288" t="s">
        <v>13970</v>
      </c>
      <c r="AL264" s="3283" t="s">
        <v>13971</v>
      </c>
      <c r="AM264" s="3284">
        <v>205</v>
      </c>
      <c r="AN264" s="3285">
        <v>145</v>
      </c>
      <c r="AO264" s="3286">
        <v>158</v>
      </c>
      <c r="AQ264" s="2730">
        <v>1</v>
      </c>
    </row>
    <row r="265" spans="22:43" ht="21" customHeight="1">
      <c r="V265" s="4797"/>
      <c r="W265" s="3313" t="s">
        <v>13972</v>
      </c>
      <c r="X265" s="3293" t="s">
        <v>13973</v>
      </c>
      <c r="Y265" s="3294">
        <v>223</v>
      </c>
      <c r="Z265" s="3295">
        <v>237</v>
      </c>
      <c r="AA265" s="3296">
        <v>232</v>
      </c>
      <c r="AB265"/>
      <c r="AC265" s="4798"/>
      <c r="AD265" s="3299" t="s">
        <v>13974</v>
      </c>
      <c r="AE265" s="3283" t="s">
        <v>13975</v>
      </c>
      <c r="AF265" s="3284">
        <v>112</v>
      </c>
      <c r="AG265" s="3285">
        <v>41</v>
      </c>
      <c r="AH265" s="3286">
        <v>99</v>
      </c>
      <c r="AI265"/>
      <c r="AJ265" s="4799"/>
      <c r="AK265" s="3288" t="s">
        <v>13976</v>
      </c>
      <c r="AL265" s="3283" t="s">
        <v>13977</v>
      </c>
      <c r="AM265" s="3284">
        <v>205</v>
      </c>
      <c r="AN265" s="3285">
        <v>140</v>
      </c>
      <c r="AO265" s="3286">
        <v>149</v>
      </c>
      <c r="AQ265" s="2730">
        <v>1</v>
      </c>
    </row>
    <row r="266" spans="22:43" ht="21" customHeight="1">
      <c r="V266" s="4800"/>
      <c r="W266" s="3292" t="s">
        <v>13978</v>
      </c>
      <c r="X266" s="3293" t="s">
        <v>13979</v>
      </c>
      <c r="Y266" s="3294">
        <v>102</v>
      </c>
      <c r="Z266" s="3295">
        <v>205</v>
      </c>
      <c r="AA266" s="3296">
        <v>170</v>
      </c>
      <c r="AB266"/>
      <c r="AC266" s="4801"/>
      <c r="AD266" s="3299" t="s">
        <v>13980</v>
      </c>
      <c r="AE266" s="3283" t="s">
        <v>13981</v>
      </c>
      <c r="AF266" s="3284">
        <v>93</v>
      </c>
      <c r="AG266" s="3285">
        <v>57</v>
      </c>
      <c r="AH266" s="3286">
        <v>84</v>
      </c>
      <c r="AI266"/>
      <c r="AJ266" s="4802"/>
      <c r="AK266" s="3299" t="s">
        <v>13982</v>
      </c>
      <c r="AL266" s="3283" t="s">
        <v>13983</v>
      </c>
      <c r="AM266" s="3284">
        <v>175</v>
      </c>
      <c r="AN266" s="3285">
        <v>134</v>
      </c>
      <c r="AO266" s="3286">
        <v>142</v>
      </c>
      <c r="AQ266" s="2730">
        <v>1</v>
      </c>
    </row>
    <row r="267" spans="22:43" ht="21" customHeight="1">
      <c r="V267" s="4803"/>
      <c r="W267" s="3313" t="s">
        <v>13984</v>
      </c>
      <c r="X267" s="3293" t="s">
        <v>13985</v>
      </c>
      <c r="Y267" s="3294">
        <v>125</v>
      </c>
      <c r="Z267" s="3295">
        <v>137</v>
      </c>
      <c r="AA267" s="3296">
        <v>132</v>
      </c>
      <c r="AB267"/>
      <c r="AC267" s="4804"/>
      <c r="AD267" s="3299" t="s">
        <v>13986</v>
      </c>
      <c r="AE267" s="3283" t="s">
        <v>13987</v>
      </c>
      <c r="AF267" s="3284">
        <v>80</v>
      </c>
      <c r="AG267" s="3285">
        <v>64</v>
      </c>
      <c r="AH267" s="3286">
        <v>77</v>
      </c>
      <c r="AI267"/>
      <c r="AJ267" s="4805"/>
      <c r="AK267" s="3299" t="s">
        <v>13988</v>
      </c>
      <c r="AL267" s="3283" t="s">
        <v>13989</v>
      </c>
      <c r="AM267" s="3284">
        <v>199</v>
      </c>
      <c r="AN267" s="3285">
        <v>44</v>
      </c>
      <c r="AO267" s="3286">
        <v>72</v>
      </c>
      <c r="AQ267" s="2730">
        <v>1</v>
      </c>
    </row>
    <row r="268" spans="22:43" ht="21" customHeight="1">
      <c r="V268" s="4806"/>
      <c r="W268" s="3313" t="s">
        <v>13990</v>
      </c>
      <c r="X268" s="3293" t="s">
        <v>13991</v>
      </c>
      <c r="Y268" s="3294">
        <v>100</v>
      </c>
      <c r="Z268" s="3295">
        <v>155</v>
      </c>
      <c r="AA268" s="3296">
        <v>136</v>
      </c>
      <c r="AB268"/>
      <c r="AC268" s="4807"/>
      <c r="AD268" s="3299" t="s">
        <v>13992</v>
      </c>
      <c r="AE268" s="3283" t="s">
        <v>13993</v>
      </c>
      <c r="AF268" s="3284">
        <v>211</v>
      </c>
      <c r="AG268" s="3285">
        <v>153</v>
      </c>
      <c r="AH268" s="3286">
        <v>230</v>
      </c>
      <c r="AI268"/>
      <c r="AJ268" s="4808"/>
      <c r="AK268" s="3299" t="s">
        <v>13994</v>
      </c>
      <c r="AL268" s="3283" t="s">
        <v>13995</v>
      </c>
      <c r="AM268" s="3284">
        <v>172</v>
      </c>
      <c r="AN268" s="3285">
        <v>30</v>
      </c>
      <c r="AO268" s="3286">
        <v>68</v>
      </c>
      <c r="AQ268" s="2730">
        <v>1</v>
      </c>
    </row>
    <row r="269" spans="22:43" ht="21" customHeight="1">
      <c r="V269" s="4809"/>
      <c r="W269" s="3292" t="s">
        <v>13996</v>
      </c>
      <c r="X269" s="3293" t="s">
        <v>13997</v>
      </c>
      <c r="Y269" s="3294">
        <v>69</v>
      </c>
      <c r="Z269" s="3295">
        <v>139</v>
      </c>
      <c r="AA269" s="3296">
        <v>116</v>
      </c>
      <c r="AB269"/>
      <c r="AC269" s="4810"/>
      <c r="AD269" s="3288" t="s">
        <v>13998</v>
      </c>
      <c r="AE269" s="3283" t="s">
        <v>13999</v>
      </c>
      <c r="AF269" s="3284">
        <v>224</v>
      </c>
      <c r="AG269" s="3285">
        <v>102</v>
      </c>
      <c r="AH269" s="3286">
        <v>255</v>
      </c>
      <c r="AI269"/>
      <c r="AJ269" s="4811"/>
      <c r="AK269" s="3288" t="s">
        <v>14000</v>
      </c>
      <c r="AL269" s="3283" t="s">
        <v>14001</v>
      </c>
      <c r="AM269" s="3284">
        <v>139</v>
      </c>
      <c r="AN269" s="3285">
        <v>99</v>
      </c>
      <c r="AO269" s="3286">
        <v>108</v>
      </c>
      <c r="AQ269" s="2730">
        <v>1</v>
      </c>
    </row>
    <row r="270" spans="22:43" ht="21" customHeight="1">
      <c r="V270" s="4812"/>
      <c r="W270" s="3313" t="s">
        <v>14002</v>
      </c>
      <c r="X270" s="3293" t="s">
        <v>14003</v>
      </c>
      <c r="Y270" s="3294">
        <v>94</v>
      </c>
      <c r="Z270" s="3295">
        <v>113</v>
      </c>
      <c r="AA270" s="3296">
        <v>106</v>
      </c>
      <c r="AB270"/>
      <c r="AC270" s="4813"/>
      <c r="AD270" s="3299" t="s">
        <v>14004</v>
      </c>
      <c r="AE270" s="3283" t="s">
        <v>14005</v>
      </c>
      <c r="AF270" s="3284">
        <v>223</v>
      </c>
      <c r="AG270" s="3285">
        <v>115</v>
      </c>
      <c r="AH270" s="3286">
        <v>255</v>
      </c>
      <c r="AI270"/>
      <c r="AJ270" s="4814"/>
      <c r="AK270" s="3288" t="s">
        <v>14006</v>
      </c>
      <c r="AL270" s="3283" t="s">
        <v>14007</v>
      </c>
      <c r="AM270" s="3284">
        <v>139</v>
      </c>
      <c r="AN270" s="3285">
        <v>95</v>
      </c>
      <c r="AO270" s="3286">
        <v>101</v>
      </c>
      <c r="AQ270" s="2730">
        <v>1</v>
      </c>
    </row>
    <row r="271" spans="22:43" ht="21" customHeight="1">
      <c r="V271" s="4815"/>
      <c r="W271" s="3313" t="s">
        <v>14008</v>
      </c>
      <c r="X271" s="3293" t="s">
        <v>14009</v>
      </c>
      <c r="Y271" s="3294">
        <v>64</v>
      </c>
      <c r="Z271" s="3295">
        <v>130</v>
      </c>
      <c r="AA271" s="3296">
        <v>109</v>
      </c>
      <c r="AB271"/>
      <c r="AC271" s="4816"/>
      <c r="AD271" s="3288" t="s">
        <v>14010</v>
      </c>
      <c r="AE271" s="3283" t="s">
        <v>14011</v>
      </c>
      <c r="AF271" s="3284">
        <v>209</v>
      </c>
      <c r="AG271" s="3285">
        <v>95</v>
      </c>
      <c r="AH271" s="3286">
        <v>238</v>
      </c>
      <c r="AI271"/>
      <c r="AJ271" s="4817"/>
      <c r="AK271" s="3299" t="s">
        <v>14012</v>
      </c>
      <c r="AL271" s="3283" t="s">
        <v>14013</v>
      </c>
      <c r="AM271" s="3284">
        <v>158</v>
      </c>
      <c r="AN271" s="3285">
        <v>14</v>
      </c>
      <c r="AO271" s="3286">
        <v>64</v>
      </c>
      <c r="AQ271" s="2730">
        <v>1</v>
      </c>
    </row>
    <row r="272" spans="22:43" ht="21" customHeight="1">
      <c r="V272" s="4818"/>
      <c r="W272" s="3313" t="s">
        <v>14014</v>
      </c>
      <c r="X272" s="3293" t="s">
        <v>14015</v>
      </c>
      <c r="Y272" s="3294">
        <v>27</v>
      </c>
      <c r="Z272" s="3295">
        <v>77</v>
      </c>
      <c r="AA272" s="3296">
        <v>62</v>
      </c>
      <c r="AB272"/>
      <c r="AC272" s="4819"/>
      <c r="AD272" s="3299" t="s">
        <v>14016</v>
      </c>
      <c r="AE272" s="3283" t="s">
        <v>14017</v>
      </c>
      <c r="AF272" s="3284">
        <v>182</v>
      </c>
      <c r="AG272" s="3285">
        <v>149</v>
      </c>
      <c r="AH272" s="3286">
        <v>192</v>
      </c>
      <c r="AI272"/>
      <c r="AJ272" s="4820"/>
      <c r="AK272" s="3299" t="s">
        <v>14018</v>
      </c>
      <c r="AL272" s="3283" t="s">
        <v>14019</v>
      </c>
      <c r="AM272" s="3284">
        <v>145</v>
      </c>
      <c r="AN272" s="3285">
        <v>40</v>
      </c>
      <c r="AO272" s="3286">
        <v>59</v>
      </c>
      <c r="AQ272" s="2730">
        <v>1</v>
      </c>
    </row>
    <row r="273" spans="22:43" ht="21" customHeight="1">
      <c r="V273" s="4821"/>
      <c r="W273" s="3313" t="s">
        <v>14020</v>
      </c>
      <c r="X273" s="3293" t="s">
        <v>14021</v>
      </c>
      <c r="Y273" s="3294">
        <v>28</v>
      </c>
      <c r="Z273" s="3295">
        <v>53</v>
      </c>
      <c r="AA273" s="3296">
        <v>45</v>
      </c>
      <c r="AB273"/>
      <c r="AC273" s="4822"/>
      <c r="AD273" s="3288" t="s">
        <v>14022</v>
      </c>
      <c r="AE273" s="3283" t="s">
        <v>14023</v>
      </c>
      <c r="AF273" s="3284">
        <v>186</v>
      </c>
      <c r="AG273" s="3285">
        <v>85</v>
      </c>
      <c r="AH273" s="3286">
        <v>211</v>
      </c>
      <c r="AI273"/>
      <c r="AJ273" s="4823"/>
      <c r="AK273" s="3299" t="s">
        <v>14024</v>
      </c>
      <c r="AL273" s="3283" t="s">
        <v>14025</v>
      </c>
      <c r="AM273" s="3284">
        <v>144</v>
      </c>
      <c r="AN273" s="3285">
        <v>40</v>
      </c>
      <c r="AO273" s="3286">
        <v>59</v>
      </c>
      <c r="AQ273" s="2730">
        <v>1</v>
      </c>
    </row>
    <row r="274" spans="22:43" ht="21" customHeight="1">
      <c r="V274" s="4824"/>
      <c r="W274" s="3313" t="s">
        <v>14026</v>
      </c>
      <c r="X274" s="3293" t="s">
        <v>14027</v>
      </c>
      <c r="Y274" s="3294">
        <v>30</v>
      </c>
      <c r="Z274" s="3295">
        <v>35</v>
      </c>
      <c r="AA274" s="3296">
        <v>33</v>
      </c>
      <c r="AB274"/>
      <c r="AC274" s="4825"/>
      <c r="AD274" s="3288" t="s">
        <v>14028</v>
      </c>
      <c r="AE274" s="3283" t="s">
        <v>14029</v>
      </c>
      <c r="AF274" s="3284">
        <v>180</v>
      </c>
      <c r="AG274" s="3285">
        <v>82</v>
      </c>
      <c r="AH274" s="3286">
        <v>205</v>
      </c>
      <c r="AI274"/>
      <c r="AJ274" s="4826"/>
      <c r="AK274" s="3299" t="s">
        <v>14030</v>
      </c>
      <c r="AL274" s="3283" t="s">
        <v>14031</v>
      </c>
      <c r="AM274" s="3284">
        <v>92</v>
      </c>
      <c r="AN274" s="3285">
        <v>9</v>
      </c>
      <c r="AO274" s="3286">
        <v>35</v>
      </c>
      <c r="AQ274" s="2730">
        <v>1</v>
      </c>
    </row>
    <row r="275" spans="22:43" ht="21" customHeight="1">
      <c r="V275" s="4827"/>
      <c r="W275" s="3313" t="s">
        <v>14032</v>
      </c>
      <c r="X275" s="3293" t="s">
        <v>14033</v>
      </c>
      <c r="Y275" s="3294">
        <v>26</v>
      </c>
      <c r="Z275" s="3295">
        <v>36</v>
      </c>
      <c r="AA275" s="3296">
        <v>33</v>
      </c>
      <c r="AB275"/>
      <c r="AC275" s="4828"/>
      <c r="AD275" s="3299" t="s">
        <v>14034</v>
      </c>
      <c r="AE275" s="3283" t="s">
        <v>14035</v>
      </c>
      <c r="AF275" s="3284">
        <v>154</v>
      </c>
      <c r="AG275" s="3285">
        <v>78</v>
      </c>
      <c r="AH275" s="3286">
        <v>174</v>
      </c>
      <c r="AI275"/>
      <c r="AJ275" s="4829"/>
      <c r="AK275" s="3299" t="s">
        <v>14036</v>
      </c>
      <c r="AL275" s="3283" t="s">
        <v>14037</v>
      </c>
      <c r="AM275" s="3284">
        <v>58</v>
      </c>
      <c r="AN275" s="3285">
        <v>2</v>
      </c>
      <c r="AO275" s="3286">
        <v>13</v>
      </c>
      <c r="AQ275" s="2730">
        <v>1</v>
      </c>
    </row>
    <row r="276" spans="22:43" ht="21" customHeight="1">
      <c r="V276" s="4830"/>
      <c r="W276" s="3292" t="s">
        <v>14038</v>
      </c>
      <c r="X276" s="3293" t="s">
        <v>14039</v>
      </c>
      <c r="Y276" s="3294">
        <v>0</v>
      </c>
      <c r="Z276" s="3295">
        <v>250</v>
      </c>
      <c r="AA276" s="3296">
        <v>154</v>
      </c>
      <c r="AB276"/>
      <c r="AC276" s="4831"/>
      <c r="AD276" s="3299" t="s">
        <v>14040</v>
      </c>
      <c r="AE276" s="3283" t="s">
        <v>14041</v>
      </c>
      <c r="AF276" s="3284">
        <v>134</v>
      </c>
      <c r="AG276" s="3285">
        <v>96</v>
      </c>
      <c r="AH276" s="3286">
        <v>142</v>
      </c>
      <c r="AI276"/>
      <c r="AJ276" s="4832"/>
      <c r="AK276" s="3299" t="s">
        <v>14042</v>
      </c>
      <c r="AL276" s="3283" t="s">
        <v>14043</v>
      </c>
      <c r="AM276" s="3284">
        <v>46</v>
      </c>
      <c r="AN276" s="3285">
        <v>29</v>
      </c>
      <c r="AO276" s="3286">
        <v>33</v>
      </c>
      <c r="AQ276" s="2730">
        <v>1</v>
      </c>
    </row>
    <row r="277" spans="22:43" ht="21" customHeight="1">
      <c r="V277" s="4833"/>
      <c r="W277" s="3313" t="s">
        <v>14044</v>
      </c>
      <c r="X277" s="3293" t="s">
        <v>14045</v>
      </c>
      <c r="Y277" s="3294">
        <v>0</v>
      </c>
      <c r="Z277" s="3295">
        <v>136</v>
      </c>
      <c r="AA277" s="3296">
        <v>86</v>
      </c>
      <c r="AB277"/>
      <c r="AC277" s="4834"/>
      <c r="AD277" s="3299" t="s">
        <v>14046</v>
      </c>
      <c r="AE277" s="3283" t="s">
        <v>14047</v>
      </c>
      <c r="AF277" s="3284">
        <v>135</v>
      </c>
      <c r="AG277" s="3285">
        <v>86</v>
      </c>
      <c r="AH277" s="3286">
        <v>146</v>
      </c>
      <c r="AI277"/>
      <c r="AJ277" s="4835"/>
      <c r="AK277" s="3288" t="s">
        <v>14048</v>
      </c>
      <c r="AL277" s="3283" t="s">
        <v>14049</v>
      </c>
      <c r="AM277" s="3284">
        <v>255</v>
      </c>
      <c r="AN277" s="3285">
        <v>127</v>
      </c>
      <c r="AO277" s="3286">
        <v>36</v>
      </c>
      <c r="AQ277" s="2730">
        <v>1</v>
      </c>
    </row>
    <row r="278" spans="22:43" ht="21" customHeight="1">
      <c r="V278" s="4836"/>
      <c r="W278" s="3292" t="s">
        <v>14050</v>
      </c>
      <c r="X278" s="3293" t="s">
        <v>14051</v>
      </c>
      <c r="Y278" s="3294">
        <v>255</v>
      </c>
      <c r="Z278" s="3295">
        <v>110</v>
      </c>
      <c r="AA278" s="3296">
        <v>199</v>
      </c>
      <c r="AB278"/>
      <c r="AC278" s="4837"/>
      <c r="AD278" s="3288" t="s">
        <v>14052</v>
      </c>
      <c r="AE278" s="3283" t="s">
        <v>14053</v>
      </c>
      <c r="AF278" s="3284">
        <v>122</v>
      </c>
      <c r="AG278" s="3285">
        <v>55</v>
      </c>
      <c r="AH278" s="3286">
        <v>139</v>
      </c>
      <c r="AI278"/>
      <c r="AJ278" s="4838"/>
      <c r="AK278" s="3288" t="s">
        <v>14054</v>
      </c>
      <c r="AL278" s="3283" t="s">
        <v>14055</v>
      </c>
      <c r="AM278" s="3284">
        <v>233</v>
      </c>
      <c r="AN278" s="3285">
        <v>150</v>
      </c>
      <c r="AO278" s="3286">
        <v>122</v>
      </c>
      <c r="AQ278" s="2730">
        <v>1</v>
      </c>
    </row>
    <row r="279" spans="22:43" ht="21" customHeight="1">
      <c r="V279" s="4839"/>
      <c r="W279" s="3292" t="s">
        <v>14056</v>
      </c>
      <c r="X279" s="3293" t="s">
        <v>14057</v>
      </c>
      <c r="Y279" s="3294">
        <v>204</v>
      </c>
      <c r="Z279" s="3295">
        <v>50</v>
      </c>
      <c r="AA279" s="3296">
        <v>153</v>
      </c>
      <c r="AB279"/>
      <c r="AC279" s="4840"/>
      <c r="AD279" s="3299" t="s">
        <v>14058</v>
      </c>
      <c r="AE279" s="3283" t="s">
        <v>14059</v>
      </c>
      <c r="AF279" s="3284">
        <v>96</v>
      </c>
      <c r="AG279" s="3285">
        <v>47</v>
      </c>
      <c r="AH279" s="3286">
        <v>107</v>
      </c>
      <c r="AI279"/>
      <c r="AJ279" s="4841"/>
      <c r="AK279" s="3288" t="s">
        <v>14060</v>
      </c>
      <c r="AL279" s="3283" t="s">
        <v>14061</v>
      </c>
      <c r="AM279" s="3284">
        <v>238</v>
      </c>
      <c r="AN279" s="3285">
        <v>149</v>
      </c>
      <c r="AO279" s="3286">
        <v>114</v>
      </c>
      <c r="AQ279" s="2730">
        <v>1</v>
      </c>
    </row>
    <row r="280" spans="22:43" ht="21" customHeight="1">
      <c r="V280" s="4842"/>
      <c r="W280" s="3292" t="s">
        <v>14062</v>
      </c>
      <c r="X280" s="3293" t="s">
        <v>14063</v>
      </c>
      <c r="Y280" s="3294">
        <v>205</v>
      </c>
      <c r="Z280" s="3295">
        <v>41</v>
      </c>
      <c r="AA280" s="3296">
        <v>144</v>
      </c>
      <c r="AB280"/>
      <c r="AC280" s="4843"/>
      <c r="AD280" s="3299" t="s">
        <v>14064</v>
      </c>
      <c r="AE280" s="3283" t="s">
        <v>14065</v>
      </c>
      <c r="AF280" s="3284">
        <v>86</v>
      </c>
      <c r="AG280" s="3285">
        <v>60</v>
      </c>
      <c r="AH280" s="3286">
        <v>92</v>
      </c>
      <c r="AI280"/>
      <c r="AJ280" s="4844"/>
      <c r="AK280" s="3288" t="s">
        <v>14066</v>
      </c>
      <c r="AL280" s="3283" t="s">
        <v>14067</v>
      </c>
      <c r="AM280" s="3284">
        <v>255</v>
      </c>
      <c r="AN280" s="3285">
        <v>130</v>
      </c>
      <c r="AO280" s="3286">
        <v>71</v>
      </c>
      <c r="AQ280" s="2730">
        <v>1</v>
      </c>
    </row>
    <row r="281" spans="22:43" ht="21" customHeight="1">
      <c r="V281" s="4845"/>
      <c r="W281" s="3313" t="s">
        <v>14068</v>
      </c>
      <c r="X281" s="3293" t="s">
        <v>14069</v>
      </c>
      <c r="Y281" s="3294">
        <v>150</v>
      </c>
      <c r="Z281" s="3295">
        <v>85</v>
      </c>
      <c r="AA281" s="3296">
        <v>120</v>
      </c>
      <c r="AB281"/>
      <c r="AC281" s="4846"/>
      <c r="AD281" s="3288" t="s">
        <v>14070</v>
      </c>
      <c r="AE281" s="3283" t="s">
        <v>14071</v>
      </c>
      <c r="AF281" s="3284">
        <v>255</v>
      </c>
      <c r="AG281" s="3285">
        <v>20</v>
      </c>
      <c r="AH281" s="3286">
        <v>147</v>
      </c>
      <c r="AI281"/>
      <c r="AJ281" s="4847"/>
      <c r="AK281" s="3288" t="s">
        <v>14072</v>
      </c>
      <c r="AL281" s="3283" t="s">
        <v>14073</v>
      </c>
      <c r="AM281" s="3284">
        <v>255</v>
      </c>
      <c r="AN281" s="3285">
        <v>127</v>
      </c>
      <c r="AO281" s="3286">
        <v>80</v>
      </c>
      <c r="AQ281" s="2730">
        <v>1</v>
      </c>
    </row>
    <row r="282" spans="22:43" ht="21" customHeight="1">
      <c r="V282" s="4848"/>
      <c r="W282" s="3292" t="s">
        <v>14074</v>
      </c>
      <c r="X282" s="3293" t="s">
        <v>14075</v>
      </c>
      <c r="Y282" s="3294">
        <v>139</v>
      </c>
      <c r="Z282" s="3295">
        <v>28</v>
      </c>
      <c r="AA282" s="3296">
        <v>98</v>
      </c>
      <c r="AB282"/>
      <c r="AC282" s="4849"/>
      <c r="AD282" s="3299" t="s">
        <v>14076</v>
      </c>
      <c r="AE282" s="3283" t="s">
        <v>14077</v>
      </c>
      <c r="AF282" s="3284">
        <v>253</v>
      </c>
      <c r="AG282" s="3285">
        <v>63</v>
      </c>
      <c r="AH282" s="3286">
        <v>146</v>
      </c>
      <c r="AI282"/>
      <c r="AJ282" s="4850"/>
      <c r="AK282" s="3288" t="s">
        <v>14078</v>
      </c>
      <c r="AL282" s="3283" t="s">
        <v>14079</v>
      </c>
      <c r="AM282" s="3284">
        <v>205</v>
      </c>
      <c r="AN282" s="3285">
        <v>183</v>
      </c>
      <c r="AO282" s="3286">
        <v>181</v>
      </c>
      <c r="AQ282" s="2730">
        <v>1</v>
      </c>
    </row>
    <row r="283" spans="22:43" ht="21" customHeight="1">
      <c r="V283" s="4851"/>
      <c r="W283" s="3313" t="s">
        <v>14080</v>
      </c>
      <c r="X283" s="3293" t="s">
        <v>14081</v>
      </c>
      <c r="Y283" s="3294">
        <v>84</v>
      </c>
      <c r="Z283" s="3295">
        <v>19</v>
      </c>
      <c r="AA283" s="3296">
        <v>59</v>
      </c>
      <c r="AB283"/>
      <c r="AC283" s="4852"/>
      <c r="AD283" s="3288" t="s">
        <v>14082</v>
      </c>
      <c r="AE283" s="3283" t="s">
        <v>14083</v>
      </c>
      <c r="AF283" s="3284">
        <v>255</v>
      </c>
      <c r="AG283" s="3285">
        <v>62</v>
      </c>
      <c r="AH283" s="3286">
        <v>150</v>
      </c>
      <c r="AI283"/>
      <c r="AJ283" s="4853"/>
      <c r="AK283" s="3288" t="s">
        <v>14084</v>
      </c>
      <c r="AL283" s="3283" t="s">
        <v>14085</v>
      </c>
      <c r="AM283" s="3284">
        <v>255</v>
      </c>
      <c r="AN283" s="3285">
        <v>114</v>
      </c>
      <c r="AO283" s="3286">
        <v>86</v>
      </c>
      <c r="AQ283" s="2730">
        <v>1</v>
      </c>
    </row>
    <row r="284" spans="22:43" ht="21" customHeight="1">
      <c r="V284" s="4854"/>
      <c r="W284" s="3313" t="s">
        <v>14086</v>
      </c>
      <c r="X284" s="3293" t="s">
        <v>14087</v>
      </c>
      <c r="Y284" s="3294">
        <v>56</v>
      </c>
      <c r="Z284" s="3295">
        <v>21</v>
      </c>
      <c r="AA284" s="3296">
        <v>44</v>
      </c>
      <c r="AB284"/>
      <c r="AC284" s="4855"/>
      <c r="AD284" s="3288" t="s">
        <v>14088</v>
      </c>
      <c r="AE284" s="3283" t="s">
        <v>14089</v>
      </c>
      <c r="AF284" s="3284">
        <v>238</v>
      </c>
      <c r="AG284" s="3285">
        <v>121</v>
      </c>
      <c r="AH284" s="3286">
        <v>159</v>
      </c>
      <c r="AI284"/>
      <c r="AJ284" s="4856"/>
      <c r="AK284" s="3288" t="s">
        <v>14090</v>
      </c>
      <c r="AL284" s="3283" t="s">
        <v>14091</v>
      </c>
      <c r="AM284" s="3284">
        <v>255</v>
      </c>
      <c r="AN284" s="3285">
        <v>140</v>
      </c>
      <c r="AO284" s="3286">
        <v>105</v>
      </c>
      <c r="AQ284" s="2730">
        <v>1</v>
      </c>
    </row>
    <row r="285" spans="22:43" ht="21" customHeight="1">
      <c r="V285" s="4857"/>
      <c r="W285" s="3313" t="s">
        <v>14092</v>
      </c>
      <c r="X285" s="3293" t="s">
        <v>14093</v>
      </c>
      <c r="Y285" s="3294">
        <v>55</v>
      </c>
      <c r="Z285" s="3295">
        <v>0</v>
      </c>
      <c r="AA285" s="3296">
        <v>40</v>
      </c>
      <c r="AB285"/>
      <c r="AC285" s="4858"/>
      <c r="AD285" s="3299" t="s">
        <v>14094</v>
      </c>
      <c r="AE285" s="3283" t="s">
        <v>14095</v>
      </c>
      <c r="AF285" s="3284">
        <v>230</v>
      </c>
      <c r="AG285" s="3285">
        <v>143</v>
      </c>
      <c r="AH285" s="3286">
        <v>172</v>
      </c>
      <c r="AI285"/>
      <c r="AJ285" s="4859"/>
      <c r="AK285" s="3299" t="s">
        <v>14096</v>
      </c>
      <c r="AL285" s="3283" t="s">
        <v>14097</v>
      </c>
      <c r="AM285" s="3284">
        <v>255</v>
      </c>
      <c r="AN285" s="3285">
        <v>134</v>
      </c>
      <c r="AO285" s="3286">
        <v>106</v>
      </c>
      <c r="AQ285" s="2730">
        <v>1</v>
      </c>
    </row>
    <row r="286" spans="22:43" ht="21" customHeight="1">
      <c r="V286" s="4860"/>
      <c r="W286" s="3313" t="s">
        <v>14098</v>
      </c>
      <c r="X286" s="3293" t="s">
        <v>14099</v>
      </c>
      <c r="Y286" s="3294">
        <v>191</v>
      </c>
      <c r="Z286" s="3295">
        <v>185</v>
      </c>
      <c r="AA286" s="3296">
        <v>189</v>
      </c>
      <c r="AB286"/>
      <c r="AC286" s="4861"/>
      <c r="AD286" s="3299" t="s">
        <v>14100</v>
      </c>
      <c r="AE286" s="3283" t="s">
        <v>14101</v>
      </c>
      <c r="AF286" s="3284">
        <v>253</v>
      </c>
      <c r="AG286" s="3285">
        <v>108</v>
      </c>
      <c r="AH286" s="3286">
        <v>158</v>
      </c>
      <c r="AI286"/>
      <c r="AJ286" s="4862"/>
      <c r="AK286" s="3288" t="s">
        <v>14102</v>
      </c>
      <c r="AL286" s="3283" t="s">
        <v>14103</v>
      </c>
      <c r="AM286" s="3284">
        <v>255</v>
      </c>
      <c r="AN286" s="3285">
        <v>160</v>
      </c>
      <c r="AO286" s="3286">
        <v>122</v>
      </c>
      <c r="AQ286" s="2730">
        <v>1</v>
      </c>
    </row>
    <row r="287" spans="22:43" ht="21" customHeight="1">
      <c r="V287" s="4863"/>
      <c r="W287" s="3313" t="s">
        <v>14104</v>
      </c>
      <c r="X287" s="3293" t="s">
        <v>14105</v>
      </c>
      <c r="Y287" s="3294">
        <v>183</v>
      </c>
      <c r="Z287" s="3295">
        <v>132</v>
      </c>
      <c r="AA287" s="3296">
        <v>167</v>
      </c>
      <c r="AB287"/>
      <c r="AC287" s="4864"/>
      <c r="AD287" s="3288" t="s">
        <v>14106</v>
      </c>
      <c r="AE287" s="3283" t="s">
        <v>14107</v>
      </c>
      <c r="AF287" s="3284">
        <v>205</v>
      </c>
      <c r="AG287" s="3285">
        <v>193</v>
      </c>
      <c r="AH287" s="3286">
        <v>197</v>
      </c>
      <c r="AI287"/>
      <c r="AJ287" s="4865"/>
      <c r="AK287" s="3299" t="s">
        <v>14108</v>
      </c>
      <c r="AL287" s="3283" t="s">
        <v>14109</v>
      </c>
      <c r="AM287" s="3284">
        <v>255</v>
      </c>
      <c r="AN287" s="3285">
        <v>183</v>
      </c>
      <c r="AO287" s="3286">
        <v>165</v>
      </c>
      <c r="AQ287" s="2730">
        <v>1</v>
      </c>
    </row>
    <row r="288" spans="22:43" ht="21" customHeight="1">
      <c r="V288" s="4866"/>
      <c r="W288" s="3313" t="s">
        <v>14110</v>
      </c>
      <c r="X288" s="3293" t="s">
        <v>14111</v>
      </c>
      <c r="Y288" s="3294">
        <v>170</v>
      </c>
      <c r="Z288" s="3295">
        <v>138</v>
      </c>
      <c r="AA288" s="3296">
        <v>158</v>
      </c>
      <c r="AB288"/>
      <c r="AC288" s="4867"/>
      <c r="AD288" s="3288" t="s">
        <v>14112</v>
      </c>
      <c r="AE288" s="3283" t="s">
        <v>14113</v>
      </c>
      <c r="AF288" s="3284">
        <v>255</v>
      </c>
      <c r="AG288" s="3285">
        <v>130</v>
      </c>
      <c r="AH288" s="3286">
        <v>171</v>
      </c>
      <c r="AI288"/>
      <c r="AJ288" s="4868"/>
      <c r="AK288" s="3299" t="s">
        <v>626</v>
      </c>
      <c r="AL288" s="3283" t="s">
        <v>14114</v>
      </c>
      <c r="AM288" s="3284">
        <v>253</v>
      </c>
      <c r="AN288" s="3285">
        <v>191</v>
      </c>
      <c r="AO288" s="3286">
        <v>183</v>
      </c>
      <c r="AQ288" s="2730">
        <v>1</v>
      </c>
    </row>
    <row r="289" spans="22:43" ht="21" customHeight="1">
      <c r="V289" s="4869"/>
      <c r="W289" s="3313" t="s">
        <v>14115</v>
      </c>
      <c r="X289" s="3293" t="s">
        <v>14116</v>
      </c>
      <c r="Y289" s="3294">
        <v>153</v>
      </c>
      <c r="Z289" s="3295">
        <v>122</v>
      </c>
      <c r="AA289" s="3296">
        <v>141</v>
      </c>
      <c r="AB289"/>
      <c r="AC289" s="4870"/>
      <c r="AD289" s="3299" t="s">
        <v>14117</v>
      </c>
      <c r="AE289" s="3283" t="s">
        <v>14118</v>
      </c>
      <c r="AF289" s="3284">
        <v>239</v>
      </c>
      <c r="AG289" s="3285">
        <v>187</v>
      </c>
      <c r="AH289" s="3286">
        <v>204</v>
      </c>
      <c r="AI289"/>
      <c r="AJ289" s="4871"/>
      <c r="AK289" s="3288" t="s">
        <v>14119</v>
      </c>
      <c r="AL289" s="3283" t="s">
        <v>14120</v>
      </c>
      <c r="AM289" s="3284">
        <v>238</v>
      </c>
      <c r="AN289" s="3285">
        <v>213</v>
      </c>
      <c r="AO289" s="3286">
        <v>210</v>
      </c>
      <c r="AQ289" s="2730">
        <v>1</v>
      </c>
    </row>
    <row r="290" spans="22:43" ht="21" customHeight="1">
      <c r="V290" s="4872"/>
      <c r="W290" s="3313" t="s">
        <v>14121</v>
      </c>
      <c r="X290" s="3293" t="s">
        <v>14122</v>
      </c>
      <c r="Y290" s="3294">
        <v>139</v>
      </c>
      <c r="Z290" s="3295">
        <v>133</v>
      </c>
      <c r="AA290" s="3296">
        <v>137</v>
      </c>
      <c r="AB290"/>
      <c r="AC290" s="4873"/>
      <c r="AD290" s="3299" t="s">
        <v>14123</v>
      </c>
      <c r="AE290" s="3283" t="s">
        <v>14124</v>
      </c>
      <c r="AF290" s="3284">
        <v>254</v>
      </c>
      <c r="AG290" s="3285">
        <v>191</v>
      </c>
      <c r="AH290" s="3286">
        <v>210</v>
      </c>
      <c r="AI290"/>
      <c r="AJ290" s="4874"/>
      <c r="AK290" s="3288" t="s">
        <v>14125</v>
      </c>
      <c r="AL290" s="3283" t="s">
        <v>14126</v>
      </c>
      <c r="AM290" s="3284">
        <v>255</v>
      </c>
      <c r="AN290" s="3285">
        <v>228</v>
      </c>
      <c r="AO290" s="3286">
        <v>225</v>
      </c>
      <c r="AQ290" s="2730">
        <v>1</v>
      </c>
    </row>
    <row r="291" spans="22:43" ht="21" customHeight="1">
      <c r="V291" s="4875"/>
      <c r="W291" s="3313" t="s">
        <v>14127</v>
      </c>
      <c r="X291" s="3293" t="s">
        <v>14128</v>
      </c>
      <c r="Y291" s="3294">
        <v>158</v>
      </c>
      <c r="Z291" s="3295">
        <v>79</v>
      </c>
      <c r="AA291" s="3296">
        <v>136</v>
      </c>
      <c r="AB291"/>
      <c r="AC291" s="4876"/>
      <c r="AD291" s="3299" t="s">
        <v>14129</v>
      </c>
      <c r="AE291" s="3283" t="s">
        <v>14130</v>
      </c>
      <c r="AF291" s="3284">
        <v>255</v>
      </c>
      <c r="AG291" s="3285">
        <v>200</v>
      </c>
      <c r="AH291" s="3286">
        <v>214</v>
      </c>
      <c r="AI291"/>
      <c r="AJ291" s="4877"/>
      <c r="AK291" s="3288" t="s">
        <v>14131</v>
      </c>
      <c r="AL291" s="3283" t="s">
        <v>14132</v>
      </c>
      <c r="AM291" s="3284">
        <v>238</v>
      </c>
      <c r="AN291" s="3285">
        <v>130</v>
      </c>
      <c r="AO291" s="3286">
        <v>98</v>
      </c>
      <c r="AQ291" s="2730">
        <v>1</v>
      </c>
    </row>
    <row r="292" spans="22:43" ht="21" customHeight="1">
      <c r="V292" s="4878"/>
      <c r="W292" s="3313" t="s">
        <v>14133</v>
      </c>
      <c r="X292" s="3293" t="s">
        <v>14134</v>
      </c>
      <c r="Y292" s="3294">
        <v>131</v>
      </c>
      <c r="Z292" s="3295">
        <v>100</v>
      </c>
      <c r="AA292" s="3296">
        <v>121</v>
      </c>
      <c r="AB292"/>
      <c r="AC292" s="4879"/>
      <c r="AD292" s="3288" t="s">
        <v>14135</v>
      </c>
      <c r="AE292" s="3283" t="s">
        <v>14136</v>
      </c>
      <c r="AF292" s="3284">
        <v>255</v>
      </c>
      <c r="AG292" s="3285">
        <v>240</v>
      </c>
      <c r="AH292" s="3286">
        <v>245</v>
      </c>
      <c r="AI292"/>
      <c r="AJ292" s="4880"/>
      <c r="AK292" s="3288" t="s">
        <v>14137</v>
      </c>
      <c r="AL292" s="3283" t="s">
        <v>14138</v>
      </c>
      <c r="AM292" s="3284">
        <v>238</v>
      </c>
      <c r="AN292" s="3285">
        <v>106</v>
      </c>
      <c r="AO292" s="3286">
        <v>80</v>
      </c>
      <c r="AQ292" s="2730">
        <v>1</v>
      </c>
    </row>
    <row r="293" spans="22:43" ht="21" customHeight="1">
      <c r="V293" s="4881"/>
      <c r="W293" s="3313" t="s">
        <v>14139</v>
      </c>
      <c r="X293" s="3293" t="s">
        <v>14140</v>
      </c>
      <c r="Y293" s="3294">
        <v>161</v>
      </c>
      <c r="Z293" s="3295">
        <v>6</v>
      </c>
      <c r="AA293" s="3296">
        <v>132</v>
      </c>
      <c r="AB293"/>
      <c r="AC293" s="4882"/>
      <c r="AD293" s="3299" t="s">
        <v>14141</v>
      </c>
      <c r="AE293" s="3283" t="s">
        <v>14142</v>
      </c>
      <c r="AF293" s="3284">
        <v>213</v>
      </c>
      <c r="AG293" s="3285">
        <v>151</v>
      </c>
      <c r="AH293" s="3286">
        <v>174</v>
      </c>
      <c r="AI293"/>
      <c r="AJ293" s="4883"/>
      <c r="AK293" s="3299" t="s">
        <v>783</v>
      </c>
      <c r="AL293" s="3283" t="s">
        <v>14143</v>
      </c>
      <c r="AM293" s="3284">
        <v>244</v>
      </c>
      <c r="AN293" s="3285">
        <v>102</v>
      </c>
      <c r="AO293" s="3286">
        <v>27</v>
      </c>
      <c r="AQ293" s="2730">
        <v>1</v>
      </c>
    </row>
    <row r="294" spans="22:43" ht="21" customHeight="1">
      <c r="V294" s="4884"/>
      <c r="W294" s="3313" t="s">
        <v>14144</v>
      </c>
      <c r="X294" s="3293" t="s">
        <v>14145</v>
      </c>
      <c r="Y294" s="3294">
        <v>114</v>
      </c>
      <c r="Z294" s="3295">
        <v>62</v>
      </c>
      <c r="AA294" s="3296">
        <v>100</v>
      </c>
      <c r="AB294"/>
      <c r="AC294" s="4885"/>
      <c r="AD294" s="3288" t="s">
        <v>14146</v>
      </c>
      <c r="AE294" s="3283" t="s">
        <v>14147</v>
      </c>
      <c r="AF294" s="3284">
        <v>238</v>
      </c>
      <c r="AG294" s="3285">
        <v>58</v>
      </c>
      <c r="AH294" s="3286">
        <v>140</v>
      </c>
      <c r="AI294"/>
      <c r="AJ294" s="4886"/>
      <c r="AK294" s="3288" t="s">
        <v>14148</v>
      </c>
      <c r="AL294" s="3283" t="s">
        <v>14149</v>
      </c>
      <c r="AM294" s="3284">
        <v>238</v>
      </c>
      <c r="AN294" s="3285">
        <v>121</v>
      </c>
      <c r="AO294" s="3286">
        <v>66</v>
      </c>
      <c r="AQ294" s="2730">
        <v>1</v>
      </c>
    </row>
    <row r="295" spans="22:43" ht="21" customHeight="1">
      <c r="V295" s="4887"/>
      <c r="W295" s="3313" t="s">
        <v>14150</v>
      </c>
      <c r="X295" s="3293" t="s">
        <v>14151</v>
      </c>
      <c r="Y295" s="3294">
        <v>106</v>
      </c>
      <c r="Z295" s="3295">
        <v>69</v>
      </c>
      <c r="AA295" s="3296">
        <v>93</v>
      </c>
      <c r="AB295"/>
      <c r="AC295" s="4888"/>
      <c r="AD295" s="3288" t="s">
        <v>14152</v>
      </c>
      <c r="AE295" s="3283" t="s">
        <v>14153</v>
      </c>
      <c r="AF295" s="3284">
        <v>219</v>
      </c>
      <c r="AG295" s="3285">
        <v>112</v>
      </c>
      <c r="AH295" s="3286">
        <v>147</v>
      </c>
      <c r="AI295"/>
      <c r="AJ295" s="4889"/>
      <c r="AK295" s="3288" t="s">
        <v>14154</v>
      </c>
      <c r="AL295" s="3283" t="s">
        <v>14155</v>
      </c>
      <c r="AM295" s="3284">
        <v>238</v>
      </c>
      <c r="AN295" s="3285">
        <v>118</v>
      </c>
      <c r="AO295" s="3286">
        <v>33</v>
      </c>
      <c r="AQ295" s="2730">
        <v>1</v>
      </c>
    </row>
    <row r="296" spans="22:43" ht="21" customHeight="1">
      <c r="V296" s="4890"/>
      <c r="W296" s="3313" t="s">
        <v>14156</v>
      </c>
      <c r="X296" s="3293" t="s">
        <v>14157</v>
      </c>
      <c r="Y296" s="3294">
        <v>249</v>
      </c>
      <c r="Z296" s="3295">
        <v>66</v>
      </c>
      <c r="AA296" s="3296">
        <v>158</v>
      </c>
      <c r="AB296"/>
      <c r="AC296" s="4891"/>
      <c r="AD296" s="3288" t="s">
        <v>14158</v>
      </c>
      <c r="AE296" s="3283" t="s">
        <v>14159</v>
      </c>
      <c r="AF296" s="3284">
        <v>238</v>
      </c>
      <c r="AG296" s="3285">
        <v>18</v>
      </c>
      <c r="AH296" s="3286">
        <v>137</v>
      </c>
      <c r="AI296"/>
      <c r="AJ296" s="4892"/>
      <c r="AK296" s="3299" t="s">
        <v>14160</v>
      </c>
      <c r="AL296" s="3283" t="s">
        <v>14161</v>
      </c>
      <c r="AM296" s="3284">
        <v>226</v>
      </c>
      <c r="AN296" s="3285">
        <v>88</v>
      </c>
      <c r="AO296" s="3286">
        <v>34</v>
      </c>
      <c r="AQ296" s="2730">
        <v>1</v>
      </c>
    </row>
    <row r="297" spans="22:43" ht="21" customHeight="1">
      <c r="V297" s="4893"/>
      <c r="W297" s="3292" t="s">
        <v>14162</v>
      </c>
      <c r="X297" s="3293" t="s">
        <v>14163</v>
      </c>
      <c r="Y297" s="3294">
        <v>238</v>
      </c>
      <c r="Z297" s="3295">
        <v>106</v>
      </c>
      <c r="AA297" s="3296">
        <v>167</v>
      </c>
      <c r="AB297"/>
      <c r="AC297" s="4894"/>
      <c r="AD297" s="3288" t="s">
        <v>14164</v>
      </c>
      <c r="AE297" s="3283" t="s">
        <v>14165</v>
      </c>
      <c r="AF297" s="3284">
        <v>205</v>
      </c>
      <c r="AG297" s="3285">
        <v>104</v>
      </c>
      <c r="AH297" s="3286">
        <v>137</v>
      </c>
      <c r="AI297"/>
      <c r="AJ297" s="4895"/>
      <c r="AK297" s="3299" t="s">
        <v>14166</v>
      </c>
      <c r="AL297" s="3283" t="s">
        <v>14167</v>
      </c>
      <c r="AM297" s="3284">
        <v>196</v>
      </c>
      <c r="AN297" s="3285">
        <v>131</v>
      </c>
      <c r="AO297" s="3286">
        <v>121</v>
      </c>
      <c r="AQ297" s="2730">
        <v>1</v>
      </c>
    </row>
    <row r="298" spans="22:43" ht="21" customHeight="1">
      <c r="V298" s="4896"/>
      <c r="W298" s="3292" t="s">
        <v>14168</v>
      </c>
      <c r="X298" s="3293" t="s">
        <v>14169</v>
      </c>
      <c r="Y298" s="3294">
        <v>255</v>
      </c>
      <c r="Z298" s="3295">
        <v>28</v>
      </c>
      <c r="AA298" s="3296">
        <v>174</v>
      </c>
      <c r="AB298"/>
      <c r="AC298" s="4897"/>
      <c r="AD298" s="3299" t="s">
        <v>14170</v>
      </c>
      <c r="AE298" s="3283" t="s">
        <v>14171</v>
      </c>
      <c r="AF298" s="3284">
        <v>193</v>
      </c>
      <c r="AG298" s="3285">
        <v>126</v>
      </c>
      <c r="AH298" s="3286">
        <v>145</v>
      </c>
      <c r="AI298"/>
      <c r="AJ298" s="4898"/>
      <c r="AK298" s="3299" t="s">
        <v>14172</v>
      </c>
      <c r="AL298" s="3283" t="s">
        <v>14173</v>
      </c>
      <c r="AM298" s="3284">
        <v>217</v>
      </c>
      <c r="AN298" s="3285">
        <v>96</v>
      </c>
      <c r="AO298" s="3286">
        <v>59</v>
      </c>
      <c r="AQ298" s="2730">
        <v>1</v>
      </c>
    </row>
    <row r="299" spans="22:43" ht="21" customHeight="1">
      <c r="V299" s="4899"/>
      <c r="W299" s="3292" t="s">
        <v>14174</v>
      </c>
      <c r="X299" s="3293" t="s">
        <v>14175</v>
      </c>
      <c r="Y299" s="3294">
        <v>255</v>
      </c>
      <c r="Z299" s="3295">
        <v>52</v>
      </c>
      <c r="AA299" s="3296">
        <v>179</v>
      </c>
      <c r="AB299"/>
      <c r="AC299" s="4900"/>
      <c r="AD299" s="3299" t="s">
        <v>14176</v>
      </c>
      <c r="AE299" s="3283" t="s">
        <v>14177</v>
      </c>
      <c r="AF299" s="3284">
        <v>219</v>
      </c>
      <c r="AG299" s="3285">
        <v>0</v>
      </c>
      <c r="AH299" s="3286">
        <v>115</v>
      </c>
      <c r="AI299"/>
      <c r="AJ299" s="4901"/>
      <c r="AK299" s="3288" t="s">
        <v>14178</v>
      </c>
      <c r="AL299" s="3283" t="s">
        <v>14179</v>
      </c>
      <c r="AM299" s="3284">
        <v>205</v>
      </c>
      <c r="AN299" s="3285">
        <v>129</v>
      </c>
      <c r="AO299" s="3286">
        <v>98</v>
      </c>
      <c r="AQ299" s="2730">
        <v>1</v>
      </c>
    </row>
    <row r="300" spans="22:43" ht="21" customHeight="1">
      <c r="V300" s="4902"/>
      <c r="W300" s="3313" t="s">
        <v>14180</v>
      </c>
      <c r="X300" s="3293" t="s">
        <v>14181</v>
      </c>
      <c r="Y300" s="3294">
        <v>255</v>
      </c>
      <c r="Z300" s="3295">
        <v>105</v>
      </c>
      <c r="AA300" s="3296">
        <v>180</v>
      </c>
      <c r="AB300"/>
      <c r="AC300" s="4903"/>
      <c r="AD300" s="3299" t="s">
        <v>14182</v>
      </c>
      <c r="AE300" s="3283" t="s">
        <v>14183</v>
      </c>
      <c r="AF300" s="3284">
        <v>206</v>
      </c>
      <c r="AG300" s="3285">
        <v>70</v>
      </c>
      <c r="AH300" s="3286">
        <v>118</v>
      </c>
      <c r="AI300"/>
      <c r="AJ300" s="4904"/>
      <c r="AK300" s="3288" t="s">
        <v>14184</v>
      </c>
      <c r="AL300" s="3283" t="s">
        <v>14185</v>
      </c>
      <c r="AM300" s="3284">
        <v>205</v>
      </c>
      <c r="AN300" s="3285">
        <v>112</v>
      </c>
      <c r="AO300" s="3286">
        <v>84</v>
      </c>
      <c r="AQ300" s="2730">
        <v>1</v>
      </c>
    </row>
    <row r="301" spans="22:43" ht="21" customHeight="1">
      <c r="V301" s="4905"/>
      <c r="W301" s="3292" t="s">
        <v>14186</v>
      </c>
      <c r="X301" s="3293" t="s">
        <v>14187</v>
      </c>
      <c r="Y301" s="3294">
        <v>255</v>
      </c>
      <c r="Z301" s="3295">
        <v>110</v>
      </c>
      <c r="AA301" s="3296">
        <v>180</v>
      </c>
      <c r="AB301"/>
      <c r="AC301" s="4906"/>
      <c r="AD301" s="3288" t="s">
        <v>14188</v>
      </c>
      <c r="AE301" s="3283" t="s">
        <v>14189</v>
      </c>
      <c r="AF301" s="3284">
        <v>205</v>
      </c>
      <c r="AG301" s="3285">
        <v>50</v>
      </c>
      <c r="AH301" s="3286">
        <v>120</v>
      </c>
      <c r="AI301"/>
      <c r="AJ301" s="4907"/>
      <c r="AK301" s="3299" t="s">
        <v>14190</v>
      </c>
      <c r="AL301" s="3283" t="s">
        <v>14191</v>
      </c>
      <c r="AM301" s="3284">
        <v>203</v>
      </c>
      <c r="AN301" s="3285">
        <v>109</v>
      </c>
      <c r="AO301" s="3286">
        <v>81</v>
      </c>
      <c r="AQ301" s="2730">
        <v>1</v>
      </c>
    </row>
    <row r="302" spans="22:43" ht="21" customHeight="1">
      <c r="V302" s="4908"/>
      <c r="W302" s="3313" t="s">
        <v>14192</v>
      </c>
      <c r="X302" s="3293" t="s">
        <v>14193</v>
      </c>
      <c r="Y302" s="3294">
        <v>232</v>
      </c>
      <c r="Z302" s="3295">
        <v>204</v>
      </c>
      <c r="AA302" s="3296">
        <v>215</v>
      </c>
      <c r="AB302"/>
      <c r="AC302" s="4909"/>
      <c r="AD302" s="3288" t="s">
        <v>14194</v>
      </c>
      <c r="AE302" s="3283" t="s">
        <v>14195</v>
      </c>
      <c r="AF302" s="3284">
        <v>205</v>
      </c>
      <c r="AG302" s="3285">
        <v>16</v>
      </c>
      <c r="AH302" s="3286">
        <v>118</v>
      </c>
      <c r="AI302"/>
      <c r="AJ302" s="4910"/>
      <c r="AK302" s="3288" t="s">
        <v>14196</v>
      </c>
      <c r="AL302" s="3283" t="s">
        <v>14197</v>
      </c>
      <c r="AM302" s="3284">
        <v>205</v>
      </c>
      <c r="AN302" s="3285">
        <v>91</v>
      </c>
      <c r="AO302" s="3286">
        <v>69</v>
      </c>
      <c r="AQ302" s="2730">
        <v>1</v>
      </c>
    </row>
    <row r="303" spans="22:43" ht="21" customHeight="1">
      <c r="V303" s="4911"/>
      <c r="W303" s="3313" t="s">
        <v>14198</v>
      </c>
      <c r="X303" s="3293" t="s">
        <v>14199</v>
      </c>
      <c r="Y303" s="3294">
        <v>232</v>
      </c>
      <c r="Z303" s="3295">
        <v>227</v>
      </c>
      <c r="AA303" s="3296">
        <v>229</v>
      </c>
      <c r="AB303"/>
      <c r="AC303" s="4912"/>
      <c r="AD303" s="3299" t="s">
        <v>14200</v>
      </c>
      <c r="AE303" s="3283" t="s">
        <v>14201</v>
      </c>
      <c r="AF303" s="3284">
        <v>179</v>
      </c>
      <c r="AG303" s="3285">
        <v>68</v>
      </c>
      <c r="AH303" s="3286">
        <v>108</v>
      </c>
      <c r="AI303"/>
      <c r="AJ303" s="4913"/>
      <c r="AK303" s="3299" t="s">
        <v>14202</v>
      </c>
      <c r="AL303" s="3283" t="s">
        <v>14203</v>
      </c>
      <c r="AM303" s="3284">
        <v>173</v>
      </c>
      <c r="AN303" s="3285">
        <v>136</v>
      </c>
      <c r="AO303" s="3286">
        <v>132</v>
      </c>
      <c r="AQ303" s="2730">
        <v>1</v>
      </c>
    </row>
    <row r="304" spans="22:43" ht="21" customHeight="1">
      <c r="V304" s="4914"/>
      <c r="W304" s="3292" t="s">
        <v>14204</v>
      </c>
      <c r="X304" s="3293" t="s">
        <v>14205</v>
      </c>
      <c r="Y304" s="3294">
        <v>238</v>
      </c>
      <c r="Z304" s="3295">
        <v>224</v>
      </c>
      <c r="AA304" s="3296">
        <v>229</v>
      </c>
      <c r="AB304"/>
      <c r="AC304" s="4915"/>
      <c r="AD304" s="3299" t="s">
        <v>14206</v>
      </c>
      <c r="AE304" s="3283" t="s">
        <v>14207</v>
      </c>
      <c r="AF304" s="3284">
        <v>168</v>
      </c>
      <c r="AG304" s="3285">
        <v>81</v>
      </c>
      <c r="AH304" s="3286">
        <v>110</v>
      </c>
      <c r="AI304"/>
      <c r="AJ304" s="4916"/>
      <c r="AK304" s="3288" t="s">
        <v>14208</v>
      </c>
      <c r="AL304" s="3283" t="s">
        <v>14209</v>
      </c>
      <c r="AM304" s="3284">
        <v>205</v>
      </c>
      <c r="AN304" s="3285">
        <v>104</v>
      </c>
      <c r="AO304" s="3286">
        <v>57</v>
      </c>
      <c r="AQ304" s="2730">
        <v>1</v>
      </c>
    </row>
    <row r="305" spans="22:43" ht="21" customHeight="1">
      <c r="V305" s="4917"/>
      <c r="W305" s="3313" t="s">
        <v>14210</v>
      </c>
      <c r="X305" s="3293" t="s">
        <v>14211</v>
      </c>
      <c r="Y305" s="3294">
        <v>254</v>
      </c>
      <c r="Z305" s="3295">
        <v>231</v>
      </c>
      <c r="AA305" s="3296">
        <v>240</v>
      </c>
      <c r="AB305"/>
      <c r="AC305" s="4918"/>
      <c r="AD305" s="3288" t="s">
        <v>13857</v>
      </c>
      <c r="AE305" s="3283" t="s">
        <v>14212</v>
      </c>
      <c r="AF305" s="3284">
        <v>176</v>
      </c>
      <c r="AG305" s="3285">
        <v>48</v>
      </c>
      <c r="AH305" s="3286">
        <v>96</v>
      </c>
      <c r="AI305"/>
      <c r="AJ305" s="4919"/>
      <c r="AK305" s="3299" t="s">
        <v>14213</v>
      </c>
      <c r="AL305" s="3283" t="s">
        <v>14214</v>
      </c>
      <c r="AM305" s="3284">
        <v>204</v>
      </c>
      <c r="AN305" s="3285">
        <v>85</v>
      </c>
      <c r="AO305" s="3286">
        <v>0</v>
      </c>
      <c r="AQ305" s="2730">
        <v>1</v>
      </c>
    </row>
    <row r="306" spans="22:43" ht="21" customHeight="1">
      <c r="V306" s="4920"/>
      <c r="W306" s="3313" t="s">
        <v>14215</v>
      </c>
      <c r="X306" s="3293" t="s">
        <v>14216</v>
      </c>
      <c r="Y306" s="3294">
        <v>195</v>
      </c>
      <c r="Z306" s="3295">
        <v>166</v>
      </c>
      <c r="AA306" s="3296">
        <v>177</v>
      </c>
      <c r="AB306"/>
      <c r="AC306" s="4921"/>
      <c r="AD306" s="3299" t="s">
        <v>14217</v>
      </c>
      <c r="AE306" s="3283" t="s">
        <v>14218</v>
      </c>
      <c r="AF306" s="3284">
        <v>145</v>
      </c>
      <c r="AG306" s="3285">
        <v>95</v>
      </c>
      <c r="AH306" s="3286">
        <v>109</v>
      </c>
      <c r="AI306"/>
      <c r="AJ306" s="4922"/>
      <c r="AK306" s="3299" t="s">
        <v>14219</v>
      </c>
      <c r="AL306" s="3283" t="s">
        <v>14220</v>
      </c>
      <c r="AM306" s="3284">
        <v>180</v>
      </c>
      <c r="AN306" s="3285">
        <v>116</v>
      </c>
      <c r="AO306" s="3286">
        <v>94</v>
      </c>
      <c r="AQ306" s="2730">
        <v>1</v>
      </c>
    </row>
    <row r="307" spans="22:43" ht="21" customHeight="1">
      <c r="V307" s="4923"/>
      <c r="W307" s="3313" t="s">
        <v>14221</v>
      </c>
      <c r="X307" s="3293" t="s">
        <v>14222</v>
      </c>
      <c r="Y307" s="3294">
        <v>222</v>
      </c>
      <c r="Z307" s="3295">
        <v>111</v>
      </c>
      <c r="AA307" s="3296">
        <v>161</v>
      </c>
      <c r="AB307"/>
      <c r="AC307" s="4924"/>
      <c r="AD307" s="3288" t="s">
        <v>14223</v>
      </c>
      <c r="AE307" s="3283" t="s">
        <v>14224</v>
      </c>
      <c r="AF307" s="3284">
        <v>139</v>
      </c>
      <c r="AG307" s="3285">
        <v>71</v>
      </c>
      <c r="AH307" s="3286">
        <v>93</v>
      </c>
      <c r="AI307"/>
      <c r="AJ307" s="4925"/>
      <c r="AK307" s="3299" t="s">
        <v>14225</v>
      </c>
      <c r="AL307" s="3283" t="s">
        <v>14226</v>
      </c>
      <c r="AM307" s="3284">
        <v>168</v>
      </c>
      <c r="AN307" s="3285">
        <v>124</v>
      </c>
      <c r="AO307" s="3286">
        <v>109</v>
      </c>
      <c r="AQ307" s="2730">
        <v>1</v>
      </c>
    </row>
    <row r="308" spans="22:43" ht="21" customHeight="1">
      <c r="V308" s="4926"/>
      <c r="W308" s="3292" t="s">
        <v>14227</v>
      </c>
      <c r="X308" s="3293" t="s">
        <v>14228</v>
      </c>
      <c r="Y308" s="3294">
        <v>238</v>
      </c>
      <c r="Z308" s="3295">
        <v>48</v>
      </c>
      <c r="AA308" s="3296">
        <v>167</v>
      </c>
      <c r="AB308"/>
      <c r="AC308" s="4927"/>
      <c r="AD308" s="3288" t="s">
        <v>14229</v>
      </c>
      <c r="AE308" s="3283" t="s">
        <v>14230</v>
      </c>
      <c r="AF308" s="3284">
        <v>139</v>
      </c>
      <c r="AG308" s="3285">
        <v>34</v>
      </c>
      <c r="AH308" s="3286">
        <v>82</v>
      </c>
      <c r="AI308"/>
      <c r="AJ308" s="4928"/>
      <c r="AK308" s="3299" t="s">
        <v>14231</v>
      </c>
      <c r="AL308" s="3283" t="s">
        <v>14232</v>
      </c>
      <c r="AM308" s="3284">
        <v>143</v>
      </c>
      <c r="AN308" s="3285">
        <v>129</v>
      </c>
      <c r="AO308" s="3286">
        <v>127</v>
      </c>
      <c r="AQ308" s="2730">
        <v>1</v>
      </c>
    </row>
    <row r="309" spans="22:43" ht="21" customHeight="1">
      <c r="V309" s="4929"/>
      <c r="W309" s="3292" t="s">
        <v>14233</v>
      </c>
      <c r="X309" s="3293" t="s">
        <v>14234</v>
      </c>
      <c r="Y309" s="3294">
        <v>205</v>
      </c>
      <c r="Z309" s="3295">
        <v>96</v>
      </c>
      <c r="AA309" s="3296">
        <v>144</v>
      </c>
      <c r="AB309"/>
      <c r="AC309" s="4930"/>
      <c r="AD309" s="3288" t="s">
        <v>14235</v>
      </c>
      <c r="AE309" s="3283" t="s">
        <v>14236</v>
      </c>
      <c r="AF309" s="3284">
        <v>139</v>
      </c>
      <c r="AG309" s="3285">
        <v>10</v>
      </c>
      <c r="AH309" s="3286">
        <v>80</v>
      </c>
      <c r="AI309"/>
      <c r="AJ309" s="4931"/>
      <c r="AK309" s="3288" t="s">
        <v>14237</v>
      </c>
      <c r="AL309" s="3283" t="s">
        <v>14238</v>
      </c>
      <c r="AM309" s="3284">
        <v>139</v>
      </c>
      <c r="AN309" s="3285">
        <v>125</v>
      </c>
      <c r="AO309" s="3286">
        <v>123</v>
      </c>
      <c r="AQ309" s="2730">
        <v>1</v>
      </c>
    </row>
    <row r="310" spans="22:43" ht="21" customHeight="1">
      <c r="V310" s="4932"/>
      <c r="W310" s="3313" t="s">
        <v>14239</v>
      </c>
      <c r="X310" s="3293" t="s">
        <v>14240</v>
      </c>
      <c r="Y310" s="3294">
        <v>196</v>
      </c>
      <c r="Z310" s="3295">
        <v>105</v>
      </c>
      <c r="AA310" s="3296">
        <v>143</v>
      </c>
      <c r="AB310"/>
      <c r="AC310" s="4933"/>
      <c r="AD310" s="3299" t="s">
        <v>14241</v>
      </c>
      <c r="AE310" s="3283" t="s">
        <v>14242</v>
      </c>
      <c r="AF310" s="3284">
        <v>103</v>
      </c>
      <c r="AG310" s="3285">
        <v>49</v>
      </c>
      <c r="AH310" s="3286">
        <v>71</v>
      </c>
      <c r="AI310"/>
      <c r="AJ310" s="4934"/>
      <c r="AK310" s="3299" t="s">
        <v>14243</v>
      </c>
      <c r="AL310" s="3283" t="s">
        <v>14244</v>
      </c>
      <c r="AM310" s="3284">
        <v>174</v>
      </c>
      <c r="AN310" s="3285">
        <v>74</v>
      </c>
      <c r="AO310" s="3286">
        <v>52</v>
      </c>
      <c r="AQ310" s="2730">
        <v>1</v>
      </c>
    </row>
    <row r="311" spans="22:43" ht="21" customHeight="1">
      <c r="V311" s="4935"/>
      <c r="W311" s="3292" t="s">
        <v>14245</v>
      </c>
      <c r="X311" s="3293" t="s">
        <v>14246</v>
      </c>
      <c r="Y311" s="3294">
        <v>208</v>
      </c>
      <c r="Z311" s="3295">
        <v>32</v>
      </c>
      <c r="AA311" s="3296">
        <v>144</v>
      </c>
      <c r="AB311"/>
      <c r="AC311" s="4936"/>
      <c r="AD311" s="3299" t="s">
        <v>14247</v>
      </c>
      <c r="AE311" s="3283" t="s">
        <v>14248</v>
      </c>
      <c r="AF311" s="3284">
        <v>63</v>
      </c>
      <c r="AG311" s="3285">
        <v>23</v>
      </c>
      <c r="AH311" s="3286">
        <v>40</v>
      </c>
      <c r="AI311"/>
      <c r="AJ311" s="4937"/>
      <c r="AK311" s="3299" t="s">
        <v>14249</v>
      </c>
      <c r="AL311" s="3283" t="s">
        <v>14250</v>
      </c>
      <c r="AM311" s="3284">
        <v>173</v>
      </c>
      <c r="AN311" s="3285">
        <v>57</v>
      </c>
      <c r="AO311" s="3286">
        <v>14</v>
      </c>
      <c r="AQ311" s="2730">
        <v>1</v>
      </c>
    </row>
    <row r="312" spans="22:43" ht="21" customHeight="1">
      <c r="V312" s="4938"/>
      <c r="W312" s="3313" t="s">
        <v>14251</v>
      </c>
      <c r="X312" s="3293" t="s">
        <v>14252</v>
      </c>
      <c r="Y312" s="3294">
        <v>199</v>
      </c>
      <c r="Z312" s="3295">
        <v>21</v>
      </c>
      <c r="AA312" s="3296">
        <v>133</v>
      </c>
      <c r="AB312"/>
      <c r="AC312" s="4939"/>
      <c r="AD312" s="3299" t="s">
        <v>14253</v>
      </c>
      <c r="AE312" s="3283" t="s">
        <v>14254</v>
      </c>
      <c r="AF312" s="3284">
        <v>40</v>
      </c>
      <c r="AG312" s="3285">
        <v>32</v>
      </c>
      <c r="AH312" s="3286">
        <v>34</v>
      </c>
      <c r="AI312"/>
      <c r="AJ312" s="4940"/>
      <c r="AK312" s="3299" t="s">
        <v>14255</v>
      </c>
      <c r="AL312" s="3283" t="s">
        <v>14256</v>
      </c>
      <c r="AM312" s="3284">
        <v>173</v>
      </c>
      <c r="AN312" s="3285">
        <v>79</v>
      </c>
      <c r="AO312" s="3286">
        <v>9</v>
      </c>
      <c r="AQ312" s="2730">
        <v>1</v>
      </c>
    </row>
    <row r="313" spans="22:43" ht="21" customHeight="1">
      <c r="V313" s="4941"/>
      <c r="W313" s="3292" t="s">
        <v>14257</v>
      </c>
      <c r="X313" s="3293" t="s">
        <v>14258</v>
      </c>
      <c r="Y313" s="3294">
        <v>139</v>
      </c>
      <c r="Z313" s="3295">
        <v>131</v>
      </c>
      <c r="AA313" s="3296">
        <v>134</v>
      </c>
      <c r="AB313"/>
      <c r="AC313" s="4942"/>
      <c r="AD313" s="3288" t="s">
        <v>14072</v>
      </c>
      <c r="AE313" s="3283" t="s">
        <v>14259</v>
      </c>
      <c r="AF313" s="3284">
        <v>255</v>
      </c>
      <c r="AG313" s="3285">
        <v>127</v>
      </c>
      <c r="AH313" s="3286">
        <v>0</v>
      </c>
      <c r="AI313"/>
      <c r="AJ313" s="4943"/>
      <c r="AK313" s="3288" t="s">
        <v>12092</v>
      </c>
      <c r="AL313" s="3283" t="s">
        <v>14260</v>
      </c>
      <c r="AM313" s="3284">
        <v>160</v>
      </c>
      <c r="AN313" s="3285">
        <v>82</v>
      </c>
      <c r="AO313" s="3286">
        <v>45</v>
      </c>
      <c r="AQ313" s="2730">
        <v>1</v>
      </c>
    </row>
    <row r="314" spans="22:43" ht="21" customHeight="1">
      <c r="V314" s="4944"/>
      <c r="W314" s="3292" t="s">
        <v>14261</v>
      </c>
      <c r="X314" s="3293" t="s">
        <v>14262</v>
      </c>
      <c r="Y314" s="3294">
        <v>139</v>
      </c>
      <c r="Z314" s="3295">
        <v>58</v>
      </c>
      <c r="AA314" s="3296">
        <v>98</v>
      </c>
      <c r="AB314"/>
      <c r="AC314" s="4945"/>
      <c r="AD314" s="3288" t="s">
        <v>14263</v>
      </c>
      <c r="AE314" s="3283" t="s">
        <v>14259</v>
      </c>
      <c r="AF314" s="3284">
        <v>255</v>
      </c>
      <c r="AG314" s="3285">
        <v>140</v>
      </c>
      <c r="AH314" s="3286">
        <v>0</v>
      </c>
      <c r="AI314"/>
      <c r="AJ314" s="4946"/>
      <c r="AK314" s="3299" t="s">
        <v>14264</v>
      </c>
      <c r="AL314" s="3283" t="s">
        <v>14265</v>
      </c>
      <c r="AM314" s="3284">
        <v>158</v>
      </c>
      <c r="AN314" s="3285">
        <v>71</v>
      </c>
      <c r="AO314" s="3286">
        <v>50</v>
      </c>
      <c r="AQ314" s="2730">
        <v>1</v>
      </c>
    </row>
    <row r="315" spans="22:43" ht="21" customHeight="1">
      <c r="V315" s="4947"/>
      <c r="W315" s="3313" t="s">
        <v>14266</v>
      </c>
      <c r="X315" s="3293" t="s">
        <v>14267</v>
      </c>
      <c r="Y315" s="3294">
        <v>129</v>
      </c>
      <c r="Z315" s="3295">
        <v>20</v>
      </c>
      <c r="AA315" s="3296">
        <v>83</v>
      </c>
      <c r="AB315"/>
      <c r="AC315" s="4948"/>
      <c r="AD315" s="3299" t="s">
        <v>14268</v>
      </c>
      <c r="AE315" s="3283" t="s">
        <v>14269</v>
      </c>
      <c r="AF315" s="3284">
        <v>193</v>
      </c>
      <c r="AG315" s="3285">
        <v>182</v>
      </c>
      <c r="AH315" s="3286">
        <v>179</v>
      </c>
      <c r="AI315"/>
      <c r="AJ315" s="4949"/>
      <c r="AK315" s="3299" t="s">
        <v>14270</v>
      </c>
      <c r="AL315" s="3283" t="s">
        <v>14271</v>
      </c>
      <c r="AM315" s="3284">
        <v>153</v>
      </c>
      <c r="AN315" s="3285">
        <v>81</v>
      </c>
      <c r="AO315" s="3286">
        <v>43</v>
      </c>
      <c r="AQ315" s="2730">
        <v>1</v>
      </c>
    </row>
    <row r="316" spans="22:43" ht="21" customHeight="1">
      <c r="V316" s="4950"/>
      <c r="W316" s="3313" t="s">
        <v>14272</v>
      </c>
      <c r="X316" s="3293" t="s">
        <v>14273</v>
      </c>
      <c r="Y316" s="3294">
        <v>120</v>
      </c>
      <c r="Z316" s="3295">
        <v>24</v>
      </c>
      <c r="AA316" s="3296">
        <v>74</v>
      </c>
      <c r="AB316"/>
      <c r="AC316" s="4951"/>
      <c r="AD316" s="3299" t="s">
        <v>14274</v>
      </c>
      <c r="AE316" s="3283" t="s">
        <v>14275</v>
      </c>
      <c r="AF316" s="3284">
        <v>253</v>
      </c>
      <c r="AG316" s="3285">
        <v>148</v>
      </c>
      <c r="AH316" s="3286">
        <v>63</v>
      </c>
      <c r="AI316"/>
      <c r="AJ316" s="4952"/>
      <c r="AK316" s="3299" t="s">
        <v>14276</v>
      </c>
      <c r="AL316" s="3283" t="s">
        <v>14277</v>
      </c>
      <c r="AM316" s="3284">
        <v>157</v>
      </c>
      <c r="AN316" s="3285">
        <v>62</v>
      </c>
      <c r="AO316" s="3286">
        <v>12</v>
      </c>
      <c r="AQ316" s="2730">
        <v>1</v>
      </c>
    </row>
    <row r="317" spans="22:43" ht="21" customHeight="1">
      <c r="V317" s="4953"/>
      <c r="W317" s="3313" t="s">
        <v>14278</v>
      </c>
      <c r="X317" s="3293" t="s">
        <v>14279</v>
      </c>
      <c r="Y317" s="3294">
        <v>186</v>
      </c>
      <c r="Z317" s="3295">
        <v>186</v>
      </c>
      <c r="AA317" s="3296">
        <v>186</v>
      </c>
      <c r="AB317"/>
      <c r="AC317" s="4954"/>
      <c r="AD317" s="3299" t="s">
        <v>897</v>
      </c>
      <c r="AE317" s="3283" t="s">
        <v>14280</v>
      </c>
      <c r="AF317" s="3284">
        <v>248</v>
      </c>
      <c r="AG317" s="3285">
        <v>142</v>
      </c>
      <c r="AH317" s="3286">
        <v>85</v>
      </c>
      <c r="AI317"/>
      <c r="AJ317" s="4955"/>
      <c r="AK317" s="3288" t="s">
        <v>14281</v>
      </c>
      <c r="AL317" s="3283" t="s">
        <v>14282</v>
      </c>
      <c r="AM317" s="3284">
        <v>139</v>
      </c>
      <c r="AN317" s="3285">
        <v>87</v>
      </c>
      <c r="AO317" s="3286">
        <v>66</v>
      </c>
      <c r="AQ317" s="2730">
        <v>1</v>
      </c>
    </row>
    <row r="318" spans="22:43" ht="21" customHeight="1">
      <c r="V318" s="4956"/>
      <c r="W318" s="3292" t="s">
        <v>14283</v>
      </c>
      <c r="X318" s="3293" t="s">
        <v>14284</v>
      </c>
      <c r="Y318" s="3294">
        <v>187</v>
      </c>
      <c r="Z318" s="3295">
        <v>187</v>
      </c>
      <c r="AA318" s="3296">
        <v>187</v>
      </c>
      <c r="AB318"/>
      <c r="AC318" s="4957"/>
      <c r="AD318" s="3299" t="s">
        <v>14285</v>
      </c>
      <c r="AE318" s="3283" t="s">
        <v>14286</v>
      </c>
      <c r="AF318" s="3284">
        <v>254</v>
      </c>
      <c r="AG318" s="3285">
        <v>195</v>
      </c>
      <c r="AH318" s="3286">
        <v>172</v>
      </c>
      <c r="AI318"/>
      <c r="AJ318" s="4958"/>
      <c r="AK318" s="3288" t="s">
        <v>14287</v>
      </c>
      <c r="AL318" s="3283" t="s">
        <v>14288</v>
      </c>
      <c r="AM318" s="3284">
        <v>139</v>
      </c>
      <c r="AN318" s="3285">
        <v>76</v>
      </c>
      <c r="AO318" s="3286">
        <v>57</v>
      </c>
      <c r="AQ318" s="2730">
        <v>1</v>
      </c>
    </row>
    <row r="319" spans="22:43" ht="21" customHeight="1">
      <c r="V319" s="4959"/>
      <c r="W319" s="3292" t="s">
        <v>14289</v>
      </c>
      <c r="X319" s="3293" t="s">
        <v>14290</v>
      </c>
      <c r="Y319" s="3294">
        <v>189</v>
      </c>
      <c r="Z319" s="3295">
        <v>189</v>
      </c>
      <c r="AA319" s="3296">
        <v>189</v>
      </c>
      <c r="AB319"/>
      <c r="AC319" s="4960"/>
      <c r="AD319" s="3299" t="s">
        <v>14291</v>
      </c>
      <c r="AE319" s="3283" t="s">
        <v>14292</v>
      </c>
      <c r="AF319" s="3284">
        <v>234</v>
      </c>
      <c r="AG319" s="3285">
        <v>227</v>
      </c>
      <c r="AH319" s="3286">
        <v>225</v>
      </c>
      <c r="AI319"/>
      <c r="AJ319" s="4961"/>
      <c r="AK319" s="3288" t="s">
        <v>14293</v>
      </c>
      <c r="AL319" s="3283" t="s">
        <v>14294</v>
      </c>
      <c r="AM319" s="3284">
        <v>139</v>
      </c>
      <c r="AN319" s="3285">
        <v>62</v>
      </c>
      <c r="AO319" s="3286">
        <v>47</v>
      </c>
      <c r="AQ319" s="2730">
        <v>1</v>
      </c>
    </row>
    <row r="320" spans="22:43" ht="21" customHeight="1">
      <c r="V320" s="4962"/>
      <c r="W320" s="3292" t="s">
        <v>14295</v>
      </c>
      <c r="X320" s="3293" t="s">
        <v>14296</v>
      </c>
      <c r="Y320" s="3294">
        <v>190</v>
      </c>
      <c r="Z320" s="3295">
        <v>190</v>
      </c>
      <c r="AA320" s="3296">
        <v>190</v>
      </c>
      <c r="AB320"/>
      <c r="AC320" s="4963"/>
      <c r="AD320" s="3299" t="s">
        <v>14297</v>
      </c>
      <c r="AE320" s="3283" t="s">
        <v>14298</v>
      </c>
      <c r="AF320" s="3284">
        <v>253</v>
      </c>
      <c r="AG320" s="3285">
        <v>233</v>
      </c>
      <c r="AH320" s="3286">
        <v>224</v>
      </c>
      <c r="AI320"/>
      <c r="AJ320" s="4964"/>
      <c r="AK320" s="3299" t="s">
        <v>14299</v>
      </c>
      <c r="AL320" s="3283" t="s">
        <v>14300</v>
      </c>
      <c r="AM320" s="3284">
        <v>141</v>
      </c>
      <c r="AN320" s="3285">
        <v>64</v>
      </c>
      <c r="AO320" s="3286">
        <v>36</v>
      </c>
      <c r="AQ320" s="2730">
        <v>1</v>
      </c>
    </row>
    <row r="321" spans="22:43" ht="21" customHeight="1">
      <c r="V321" s="4965"/>
      <c r="W321" s="3292" t="s">
        <v>14301</v>
      </c>
      <c r="X321" s="3293" t="s">
        <v>14302</v>
      </c>
      <c r="Y321" s="3294">
        <v>191</v>
      </c>
      <c r="Z321" s="3295">
        <v>191</v>
      </c>
      <c r="AA321" s="3296">
        <v>191</v>
      </c>
      <c r="AB321"/>
      <c r="AC321" s="4966"/>
      <c r="AD321" s="3299" t="s">
        <v>14303</v>
      </c>
      <c r="AE321" s="3283" t="s">
        <v>14304</v>
      </c>
      <c r="AF321" s="3284">
        <v>199</v>
      </c>
      <c r="AG321" s="3285">
        <v>173</v>
      </c>
      <c r="AH321" s="3286">
        <v>163</v>
      </c>
      <c r="AI321"/>
      <c r="AJ321" s="4967"/>
      <c r="AK321" s="3288" t="s">
        <v>14305</v>
      </c>
      <c r="AL321" s="3283" t="s">
        <v>14306</v>
      </c>
      <c r="AM321" s="3284">
        <v>139</v>
      </c>
      <c r="AN321" s="3285">
        <v>54</v>
      </c>
      <c r="AO321" s="3286">
        <v>38</v>
      </c>
      <c r="AQ321" s="2730">
        <v>1</v>
      </c>
    </row>
    <row r="322" spans="22:43" ht="21" customHeight="1">
      <c r="V322" s="4968"/>
      <c r="W322" s="3292" t="s">
        <v>14307</v>
      </c>
      <c r="X322" s="3293" t="s">
        <v>14308</v>
      </c>
      <c r="Y322" s="3294">
        <v>192</v>
      </c>
      <c r="Z322" s="3295">
        <v>192</v>
      </c>
      <c r="AA322" s="3296">
        <v>192</v>
      </c>
      <c r="AB322"/>
      <c r="AC322" s="4969"/>
      <c r="AD322" s="3299" t="s">
        <v>14309</v>
      </c>
      <c r="AE322" s="3283" t="s">
        <v>14310</v>
      </c>
      <c r="AF322" s="3284">
        <v>243</v>
      </c>
      <c r="AG322" s="3285">
        <v>132</v>
      </c>
      <c r="AH322" s="3286">
        <v>0</v>
      </c>
      <c r="AI322"/>
      <c r="AJ322" s="4970"/>
      <c r="AK322" s="3288" t="s">
        <v>14311</v>
      </c>
      <c r="AL322" s="3283" t="s">
        <v>14306</v>
      </c>
      <c r="AM322" s="3284">
        <v>139</v>
      </c>
      <c r="AN322" s="3285">
        <v>71</v>
      </c>
      <c r="AO322" s="3286">
        <v>38</v>
      </c>
      <c r="AQ322" s="2730">
        <v>1</v>
      </c>
    </row>
    <row r="323" spans="22:43" ht="21" customHeight="1">
      <c r="V323" s="4971"/>
      <c r="W323" s="3292" t="s">
        <v>14312</v>
      </c>
      <c r="X323" s="3293" t="s">
        <v>14313</v>
      </c>
      <c r="Y323" s="3294">
        <v>194</v>
      </c>
      <c r="Z323" s="3295">
        <v>194</v>
      </c>
      <c r="AA323" s="3296">
        <v>194</v>
      </c>
      <c r="AB323"/>
      <c r="AC323" s="4972"/>
      <c r="AD323" s="3288" t="s">
        <v>14314</v>
      </c>
      <c r="AE323" s="3283" t="s">
        <v>14315</v>
      </c>
      <c r="AF323" s="3284">
        <v>219</v>
      </c>
      <c r="AG323" s="3285">
        <v>147</v>
      </c>
      <c r="AH323" s="3286">
        <v>112</v>
      </c>
      <c r="AI323"/>
      <c r="AJ323" s="4973"/>
      <c r="AK323" s="3299" t="s">
        <v>14316</v>
      </c>
      <c r="AL323" s="3283" t="s">
        <v>14317</v>
      </c>
      <c r="AM323" s="3284">
        <v>136</v>
      </c>
      <c r="AN323" s="3285">
        <v>66</v>
      </c>
      <c r="AO323" s="3286">
        <v>29</v>
      </c>
      <c r="AQ323" s="2730">
        <v>1</v>
      </c>
    </row>
    <row r="324" spans="22:43" ht="21" customHeight="1">
      <c r="V324" s="4974"/>
      <c r="W324" s="3292" t="s">
        <v>14318</v>
      </c>
      <c r="X324" s="3293" t="s">
        <v>14319</v>
      </c>
      <c r="Y324" s="3294">
        <v>196</v>
      </c>
      <c r="Z324" s="3295">
        <v>196</v>
      </c>
      <c r="AA324" s="3296">
        <v>196</v>
      </c>
      <c r="AB324"/>
      <c r="AC324" s="4975"/>
      <c r="AD324" s="3299" t="s">
        <v>14320</v>
      </c>
      <c r="AE324" s="3283" t="s">
        <v>14321</v>
      </c>
      <c r="AF324" s="3284">
        <v>237</v>
      </c>
      <c r="AG324" s="3285">
        <v>135</v>
      </c>
      <c r="AH324" s="3286">
        <v>45</v>
      </c>
      <c r="AI324"/>
      <c r="AJ324" s="4976"/>
      <c r="AK324" s="3299" t="s">
        <v>14322</v>
      </c>
      <c r="AL324" s="3283" t="s">
        <v>14323</v>
      </c>
      <c r="AM324" s="3284">
        <v>136</v>
      </c>
      <c r="AN324" s="3285">
        <v>45</v>
      </c>
      <c r="AO324" s="3286">
        <v>23</v>
      </c>
      <c r="AQ324" s="2730">
        <v>1</v>
      </c>
    </row>
    <row r="325" spans="22:43" ht="21" customHeight="1">
      <c r="V325" s="4977"/>
      <c r="W325" s="3292" t="s">
        <v>14324</v>
      </c>
      <c r="X325" s="3293" t="s">
        <v>14325</v>
      </c>
      <c r="Y325" s="3294">
        <v>199</v>
      </c>
      <c r="Z325" s="3295">
        <v>199</v>
      </c>
      <c r="AA325" s="3296">
        <v>199</v>
      </c>
      <c r="AB325"/>
      <c r="AC325" s="4978"/>
      <c r="AD325" s="3288" t="s">
        <v>14326</v>
      </c>
      <c r="AE325" s="3283" t="s">
        <v>14327</v>
      </c>
      <c r="AF325" s="3284">
        <v>238</v>
      </c>
      <c r="AG325" s="3285">
        <v>118</v>
      </c>
      <c r="AH325" s="3286">
        <v>0</v>
      </c>
      <c r="AI325"/>
      <c r="AJ325" s="4979"/>
      <c r="AK325" s="3299" t="s">
        <v>14328</v>
      </c>
      <c r="AL325" s="3283" t="s">
        <v>14329</v>
      </c>
      <c r="AM325" s="3284">
        <v>132</v>
      </c>
      <c r="AN325" s="3285">
        <v>46</v>
      </c>
      <c r="AO325" s="3286">
        <v>27</v>
      </c>
      <c r="AQ325" s="2730">
        <v>1</v>
      </c>
    </row>
    <row r="326" spans="22:43" ht="21" customHeight="1">
      <c r="V326" s="4980"/>
      <c r="W326" s="3292" t="s">
        <v>14330</v>
      </c>
      <c r="X326" s="3293" t="s">
        <v>14331</v>
      </c>
      <c r="Y326" s="3294">
        <v>201</v>
      </c>
      <c r="Z326" s="3295">
        <v>201</v>
      </c>
      <c r="AA326" s="3296">
        <v>201</v>
      </c>
      <c r="AB326"/>
      <c r="AC326" s="4981"/>
      <c r="AD326" s="3299" t="s">
        <v>614</v>
      </c>
      <c r="AE326" s="3283" t="s">
        <v>14332</v>
      </c>
      <c r="AF326" s="3284">
        <v>237</v>
      </c>
      <c r="AG326" s="3285">
        <v>127</v>
      </c>
      <c r="AH326" s="3286">
        <v>16</v>
      </c>
      <c r="AI326"/>
      <c r="AJ326" s="4982"/>
      <c r="AK326" s="3299" t="s">
        <v>14333</v>
      </c>
      <c r="AL326" s="3283" t="s">
        <v>14334</v>
      </c>
      <c r="AM326" s="3284">
        <v>121</v>
      </c>
      <c r="AN326" s="3285">
        <v>68</v>
      </c>
      <c r="AO326" s="3286">
        <v>59</v>
      </c>
      <c r="AQ326" s="2730">
        <v>1</v>
      </c>
    </row>
    <row r="327" spans="22:43" ht="21" customHeight="1">
      <c r="V327" s="4983"/>
      <c r="W327" s="3313" t="s">
        <v>14335</v>
      </c>
      <c r="X327" s="3293" t="s">
        <v>14336</v>
      </c>
      <c r="Y327" s="3294">
        <v>204</v>
      </c>
      <c r="Z327" s="3295">
        <v>204</v>
      </c>
      <c r="AA327" s="3296">
        <v>204</v>
      </c>
      <c r="AB327"/>
      <c r="AC327" s="4984"/>
      <c r="AD327" s="3288" t="s">
        <v>14337</v>
      </c>
      <c r="AE327" s="3283" t="s">
        <v>14338</v>
      </c>
      <c r="AF327" s="3284">
        <v>209</v>
      </c>
      <c r="AG327" s="3285">
        <v>146</v>
      </c>
      <c r="AH327" s="3286">
        <v>117</v>
      </c>
      <c r="AI327"/>
      <c r="AJ327" s="4985"/>
      <c r="AK327" s="3299" t="s">
        <v>14339</v>
      </c>
      <c r="AL327" s="3283" t="s">
        <v>14340</v>
      </c>
      <c r="AM327" s="3284">
        <v>126</v>
      </c>
      <c r="AN327" s="3285">
        <v>51</v>
      </c>
      <c r="AO327" s="3286">
        <v>0</v>
      </c>
      <c r="AQ327" s="2730">
        <v>1</v>
      </c>
    </row>
    <row r="328" spans="22:43" ht="21" customHeight="1">
      <c r="V328" s="4986"/>
      <c r="W328" s="3292" t="s">
        <v>14341</v>
      </c>
      <c r="X328" s="3293" t="s">
        <v>14342</v>
      </c>
      <c r="Y328" s="3294">
        <v>205</v>
      </c>
      <c r="Z328" s="3295">
        <v>205</v>
      </c>
      <c r="AA328" s="3296">
        <v>205</v>
      </c>
      <c r="AB328"/>
      <c r="AC328" s="4987"/>
      <c r="AD328" s="3299" t="s">
        <v>517</v>
      </c>
      <c r="AE328" s="3283" t="s">
        <v>14343</v>
      </c>
      <c r="AF328" s="3284">
        <v>230</v>
      </c>
      <c r="AG328" s="3285">
        <v>126</v>
      </c>
      <c r="AH328" s="3286">
        <v>48</v>
      </c>
      <c r="AI328"/>
      <c r="AJ328" s="4988"/>
      <c r="AK328" s="3299" t="s">
        <v>14344</v>
      </c>
      <c r="AL328" s="3283" t="s">
        <v>14345</v>
      </c>
      <c r="AM328" s="3284">
        <v>103</v>
      </c>
      <c r="AN328" s="3285">
        <v>76</v>
      </c>
      <c r="AO328" s="3286">
        <v>71</v>
      </c>
      <c r="AQ328" s="2730">
        <v>1</v>
      </c>
    </row>
    <row r="329" spans="22:43" ht="21" customHeight="1">
      <c r="V329" s="4989"/>
      <c r="W329" s="3313" t="s">
        <v>14346</v>
      </c>
      <c r="X329" s="3293" t="s">
        <v>14347</v>
      </c>
      <c r="Y329" s="3294">
        <v>206</v>
      </c>
      <c r="Z329" s="3295">
        <v>206</v>
      </c>
      <c r="AA329" s="3296">
        <v>206</v>
      </c>
      <c r="AB329"/>
      <c r="AC329" s="4990"/>
      <c r="AD329" s="3299" t="s">
        <v>14348</v>
      </c>
      <c r="AE329" s="3283" t="s">
        <v>14349</v>
      </c>
      <c r="AF329" s="3284">
        <v>217</v>
      </c>
      <c r="AG329" s="3285">
        <v>144</v>
      </c>
      <c r="AH329" s="3286">
        <v>88</v>
      </c>
      <c r="AI329"/>
      <c r="AJ329" s="4991"/>
      <c r="AK329" s="3299" t="s">
        <v>14350</v>
      </c>
      <c r="AL329" s="3283" t="s">
        <v>14351</v>
      </c>
      <c r="AM329" s="3284">
        <v>91</v>
      </c>
      <c r="AN329" s="3285">
        <v>80</v>
      </c>
      <c r="AO329" s="3286">
        <v>79</v>
      </c>
      <c r="AQ329" s="2730">
        <v>1</v>
      </c>
    </row>
    <row r="330" spans="22:43" ht="21" customHeight="1">
      <c r="V330" s="4992"/>
      <c r="W330" s="3292" t="s">
        <v>14352</v>
      </c>
      <c r="X330" s="3293" t="s">
        <v>14353</v>
      </c>
      <c r="Y330" s="3294">
        <v>207</v>
      </c>
      <c r="Z330" s="3295">
        <v>207</v>
      </c>
      <c r="AA330" s="3296">
        <v>207</v>
      </c>
      <c r="AB330"/>
      <c r="AC330" s="4993"/>
      <c r="AD330" s="3299" t="s">
        <v>14354</v>
      </c>
      <c r="AE330" s="3283" t="s">
        <v>14355</v>
      </c>
      <c r="AF330" s="3284">
        <v>223</v>
      </c>
      <c r="AG330" s="3285">
        <v>109</v>
      </c>
      <c r="AH330" s="3286">
        <v>20</v>
      </c>
      <c r="AI330"/>
      <c r="AJ330" s="4994"/>
      <c r="AK330" s="3299" t="s">
        <v>14356</v>
      </c>
      <c r="AL330" s="3283" t="s">
        <v>14357</v>
      </c>
      <c r="AM330" s="3284">
        <v>112</v>
      </c>
      <c r="AN330" s="3285">
        <v>53</v>
      </c>
      <c r="AO330" s="3286">
        <v>22</v>
      </c>
      <c r="AQ330" s="2730">
        <v>1</v>
      </c>
    </row>
    <row r="331" spans="22:43" ht="21" customHeight="1">
      <c r="V331" s="4995"/>
      <c r="W331" s="3292" t="s">
        <v>14358</v>
      </c>
      <c r="X331" s="3293" t="s">
        <v>14359</v>
      </c>
      <c r="Y331" s="3294">
        <v>209</v>
      </c>
      <c r="Z331" s="3295">
        <v>209</v>
      </c>
      <c r="AA331" s="3296">
        <v>209</v>
      </c>
      <c r="AB331"/>
      <c r="AC331" s="4996"/>
      <c r="AD331" s="3288" t="s">
        <v>14360</v>
      </c>
      <c r="AE331" s="3283" t="s">
        <v>14361</v>
      </c>
      <c r="AF331" s="3284">
        <v>210</v>
      </c>
      <c r="AG331" s="3285">
        <v>105</v>
      </c>
      <c r="AH331" s="3286">
        <v>30</v>
      </c>
      <c r="AI331"/>
      <c r="AJ331" s="4997"/>
      <c r="AK331" s="3299" t="s">
        <v>14362</v>
      </c>
      <c r="AL331" s="3283" t="s">
        <v>14363</v>
      </c>
      <c r="AM331" s="3284">
        <v>67</v>
      </c>
      <c r="AN331" s="3285">
        <v>48</v>
      </c>
      <c r="AO331" s="3286">
        <v>46</v>
      </c>
      <c r="AQ331" s="2730">
        <v>1</v>
      </c>
    </row>
    <row r="332" spans="22:43" ht="21" customHeight="1">
      <c r="V332" s="4998"/>
      <c r="W332" s="3292" t="s">
        <v>14364</v>
      </c>
      <c r="X332" s="3293" t="s">
        <v>14365</v>
      </c>
      <c r="Y332" s="3294">
        <v>211</v>
      </c>
      <c r="Z332" s="3295">
        <v>211</v>
      </c>
      <c r="AA332" s="3296">
        <v>211</v>
      </c>
      <c r="AB332"/>
      <c r="AC332" s="4999"/>
      <c r="AD332" s="3288" t="s">
        <v>13749</v>
      </c>
      <c r="AE332" s="3283" t="s">
        <v>14366</v>
      </c>
      <c r="AF332" s="3284">
        <v>205</v>
      </c>
      <c r="AG332" s="3285">
        <v>127</v>
      </c>
      <c r="AH332" s="3286">
        <v>50</v>
      </c>
      <c r="AI332"/>
      <c r="AJ332" s="5000"/>
      <c r="AK332" s="3299" t="s">
        <v>14367</v>
      </c>
      <c r="AL332" s="3283" t="s">
        <v>2000</v>
      </c>
      <c r="AM332" s="3284">
        <v>0</v>
      </c>
      <c r="AN332" s="3285">
        <v>255</v>
      </c>
      <c r="AO332" s="3286">
        <v>0</v>
      </c>
      <c r="AQ332" s="2730">
        <v>1</v>
      </c>
    </row>
    <row r="333" spans="22:43" ht="21" customHeight="1">
      <c r="V333" s="5001"/>
      <c r="W333" s="3292" t="s">
        <v>14368</v>
      </c>
      <c r="X333" s="3293" t="s">
        <v>14369</v>
      </c>
      <c r="Y333" s="3294">
        <v>212</v>
      </c>
      <c r="Z333" s="3295">
        <v>212</v>
      </c>
      <c r="AA333" s="3296">
        <v>212</v>
      </c>
      <c r="AB333"/>
      <c r="AC333" s="5002"/>
      <c r="AD333" s="3288" t="s">
        <v>14370</v>
      </c>
      <c r="AE333" s="3283" t="s">
        <v>14371</v>
      </c>
      <c r="AF333" s="3284">
        <v>205</v>
      </c>
      <c r="AG333" s="3285">
        <v>102</v>
      </c>
      <c r="AH333" s="3286">
        <v>29</v>
      </c>
      <c r="AI333"/>
      <c r="AJ333" s="5003"/>
      <c r="AK333" s="3299" t="s">
        <v>14372</v>
      </c>
      <c r="AL333" s="3283" t="s">
        <v>14373</v>
      </c>
      <c r="AM333" s="3284">
        <v>135</v>
      </c>
      <c r="AN333" s="3285">
        <v>233</v>
      </c>
      <c r="AO333" s="3286">
        <v>144</v>
      </c>
      <c r="AQ333" s="2730">
        <v>1</v>
      </c>
    </row>
    <row r="334" spans="22:43" ht="21" customHeight="1">
      <c r="V334" s="5004"/>
      <c r="W334" s="3292" t="s">
        <v>14374</v>
      </c>
      <c r="X334" s="3293" t="s">
        <v>14375</v>
      </c>
      <c r="Y334" s="3294">
        <v>214</v>
      </c>
      <c r="Z334" s="3295">
        <v>214</v>
      </c>
      <c r="AA334" s="3296">
        <v>214</v>
      </c>
      <c r="AB334"/>
      <c r="AC334" s="5005"/>
      <c r="AD334" s="3288" t="s">
        <v>14376</v>
      </c>
      <c r="AE334" s="3283" t="s">
        <v>14377</v>
      </c>
      <c r="AF334" s="3284">
        <v>205</v>
      </c>
      <c r="AG334" s="3285">
        <v>102</v>
      </c>
      <c r="AH334" s="3286">
        <v>0</v>
      </c>
      <c r="AI334"/>
      <c r="AJ334" s="5006"/>
      <c r="AK334" s="3288" t="s">
        <v>14378</v>
      </c>
      <c r="AL334" s="3283" t="s">
        <v>14379</v>
      </c>
      <c r="AM334" s="3284">
        <v>144</v>
      </c>
      <c r="AN334" s="3285">
        <v>238</v>
      </c>
      <c r="AO334" s="3286">
        <v>144</v>
      </c>
      <c r="AQ334" s="2730">
        <v>1</v>
      </c>
    </row>
    <row r="335" spans="22:43" ht="21" customHeight="1">
      <c r="V335" s="5007"/>
      <c r="W335" s="3292" t="s">
        <v>14380</v>
      </c>
      <c r="X335" s="3293" t="s">
        <v>14381</v>
      </c>
      <c r="Y335" s="3294">
        <v>217</v>
      </c>
      <c r="Z335" s="3295">
        <v>217</v>
      </c>
      <c r="AA335" s="3296">
        <v>217</v>
      </c>
      <c r="AB335"/>
      <c r="AC335" s="5008"/>
      <c r="AD335" s="3299" t="s">
        <v>14382</v>
      </c>
      <c r="AE335" s="3283" t="s">
        <v>14383</v>
      </c>
      <c r="AF335" s="3284">
        <v>190</v>
      </c>
      <c r="AG335" s="3285">
        <v>101</v>
      </c>
      <c r="AH335" s="3286">
        <v>22</v>
      </c>
      <c r="AI335"/>
      <c r="AJ335" s="5009"/>
      <c r="AK335" s="3288" t="s">
        <v>14384</v>
      </c>
      <c r="AL335" s="3283" t="s">
        <v>14385</v>
      </c>
      <c r="AM335" s="3284">
        <v>193</v>
      </c>
      <c r="AN335" s="3285">
        <v>205</v>
      </c>
      <c r="AO335" s="3286">
        <v>193</v>
      </c>
      <c r="AQ335" s="2730">
        <v>1</v>
      </c>
    </row>
    <row r="336" spans="22:43" ht="21" customHeight="1">
      <c r="V336" s="5010"/>
      <c r="W336" s="3292" t="s">
        <v>14386</v>
      </c>
      <c r="X336" s="3293" t="s">
        <v>14387</v>
      </c>
      <c r="Y336" s="3294">
        <v>219</v>
      </c>
      <c r="Z336" s="3295">
        <v>219</v>
      </c>
      <c r="AA336" s="3296">
        <v>219</v>
      </c>
      <c r="AB336"/>
      <c r="AC336" s="5011"/>
      <c r="AD336" s="3288" t="s">
        <v>14388</v>
      </c>
      <c r="AE336" s="3283" t="s">
        <v>14389</v>
      </c>
      <c r="AF336" s="3284">
        <v>184</v>
      </c>
      <c r="AG336" s="3285">
        <v>115</v>
      </c>
      <c r="AH336" s="3286">
        <v>51</v>
      </c>
      <c r="AI336"/>
      <c r="AJ336" s="5012"/>
      <c r="AK336" s="3288" t="s">
        <v>14390</v>
      </c>
      <c r="AL336" s="3283" t="s">
        <v>14391</v>
      </c>
      <c r="AM336" s="3284">
        <v>152</v>
      </c>
      <c r="AN336" s="3285">
        <v>251</v>
      </c>
      <c r="AO336" s="3286">
        <v>152</v>
      </c>
      <c r="AQ336" s="2730">
        <v>1</v>
      </c>
    </row>
    <row r="337" spans="22:43" ht="21" customHeight="1">
      <c r="V337" s="5013"/>
      <c r="W337" s="3292" t="s">
        <v>14392</v>
      </c>
      <c r="X337" s="3293" t="s">
        <v>14393</v>
      </c>
      <c r="Y337" s="3294">
        <v>220</v>
      </c>
      <c r="Z337" s="3295">
        <v>220</v>
      </c>
      <c r="AA337" s="3296">
        <v>220</v>
      </c>
      <c r="AB337"/>
      <c r="AC337" s="5014"/>
      <c r="AD337" s="3299" t="s">
        <v>14394</v>
      </c>
      <c r="AE337" s="3283" t="s">
        <v>14395</v>
      </c>
      <c r="AF337" s="3284">
        <v>151</v>
      </c>
      <c r="AG337" s="3285">
        <v>127</v>
      </c>
      <c r="AH337" s="3286">
        <v>115</v>
      </c>
      <c r="AI337"/>
      <c r="AJ337" s="5015"/>
      <c r="AK337" s="3288" t="s">
        <v>14396</v>
      </c>
      <c r="AL337" s="3283" t="s">
        <v>14397</v>
      </c>
      <c r="AM337" s="3284">
        <v>180</v>
      </c>
      <c r="AN337" s="3285">
        <v>238</v>
      </c>
      <c r="AO337" s="3286">
        <v>180</v>
      </c>
      <c r="AQ337" s="2730">
        <v>1</v>
      </c>
    </row>
    <row r="338" spans="22:43" ht="21" customHeight="1">
      <c r="V338" s="5016"/>
      <c r="W338" s="3292" t="s">
        <v>14398</v>
      </c>
      <c r="X338" s="3293" t="s">
        <v>14399</v>
      </c>
      <c r="Y338" s="3294">
        <v>221</v>
      </c>
      <c r="Z338" s="3295">
        <v>221</v>
      </c>
      <c r="AA338" s="3296">
        <v>221</v>
      </c>
      <c r="AB338"/>
      <c r="AC338" s="5017"/>
      <c r="AD338" s="3299" t="s">
        <v>14400</v>
      </c>
      <c r="AE338" s="3283" t="s">
        <v>14401</v>
      </c>
      <c r="AF338" s="3284">
        <v>174</v>
      </c>
      <c r="AG338" s="3285">
        <v>105</v>
      </c>
      <c r="AH338" s="3286">
        <v>56</v>
      </c>
      <c r="AI338"/>
      <c r="AJ338" s="5018"/>
      <c r="AK338" s="3288" t="s">
        <v>14402</v>
      </c>
      <c r="AL338" s="3283" t="s">
        <v>14403</v>
      </c>
      <c r="AM338" s="3284">
        <v>154</v>
      </c>
      <c r="AN338" s="3285">
        <v>255</v>
      </c>
      <c r="AO338" s="3286">
        <v>154</v>
      </c>
      <c r="AQ338" s="2730">
        <v>1</v>
      </c>
    </row>
    <row r="339" spans="22:43" ht="21" customHeight="1">
      <c r="V339" s="5019"/>
      <c r="W339" s="3292" t="s">
        <v>14404</v>
      </c>
      <c r="X339" s="3293" t="s">
        <v>14405</v>
      </c>
      <c r="Y339" s="3294">
        <v>222</v>
      </c>
      <c r="Z339" s="3295">
        <v>222</v>
      </c>
      <c r="AA339" s="3296">
        <v>222</v>
      </c>
      <c r="AB339"/>
      <c r="AC339" s="5020"/>
      <c r="AD339" s="3299" t="s">
        <v>14406</v>
      </c>
      <c r="AE339" s="3283" t="s">
        <v>14407</v>
      </c>
      <c r="AF339" s="3284">
        <v>179</v>
      </c>
      <c r="AG339" s="3285">
        <v>103</v>
      </c>
      <c r="AH339" s="3286">
        <v>0</v>
      </c>
      <c r="AI339"/>
      <c r="AJ339" s="5021"/>
      <c r="AK339" s="3288" t="s">
        <v>14408</v>
      </c>
      <c r="AL339" s="3283" t="s">
        <v>14409</v>
      </c>
      <c r="AM339" s="3284">
        <v>193</v>
      </c>
      <c r="AN339" s="3285">
        <v>255</v>
      </c>
      <c r="AO339" s="3286">
        <v>193</v>
      </c>
      <c r="AQ339" s="2730">
        <v>1</v>
      </c>
    </row>
    <row r="340" spans="22:43" ht="21" customHeight="1">
      <c r="V340" s="5022"/>
      <c r="W340" s="3292" t="s">
        <v>14410</v>
      </c>
      <c r="X340" s="3293" t="s">
        <v>14411</v>
      </c>
      <c r="Y340" s="3294">
        <v>224</v>
      </c>
      <c r="Z340" s="3295">
        <v>224</v>
      </c>
      <c r="AA340" s="3296">
        <v>224</v>
      </c>
      <c r="AB340"/>
      <c r="AC340" s="5023"/>
      <c r="AD340" s="3299" t="s">
        <v>14412</v>
      </c>
      <c r="AE340" s="3283" t="s">
        <v>14413</v>
      </c>
      <c r="AF340" s="3284">
        <v>174</v>
      </c>
      <c r="AG340" s="3285">
        <v>100</v>
      </c>
      <c r="AH340" s="3286">
        <v>45</v>
      </c>
      <c r="AI340"/>
      <c r="AJ340" s="5024"/>
      <c r="AK340" s="3288" t="s">
        <v>14414</v>
      </c>
      <c r="AL340" s="3283" t="s">
        <v>14415</v>
      </c>
      <c r="AM340" s="3284">
        <v>224</v>
      </c>
      <c r="AN340" s="3285">
        <v>238</v>
      </c>
      <c r="AO340" s="3286">
        <v>224</v>
      </c>
      <c r="AQ340" s="2730">
        <v>1</v>
      </c>
    </row>
    <row r="341" spans="22:43" ht="21" customHeight="1">
      <c r="V341" s="5025"/>
      <c r="W341" s="3292" t="s">
        <v>14416</v>
      </c>
      <c r="X341" s="3293" t="s">
        <v>14417</v>
      </c>
      <c r="Y341" s="3294">
        <v>227</v>
      </c>
      <c r="Z341" s="3295">
        <v>227</v>
      </c>
      <c r="AA341" s="3296">
        <v>227</v>
      </c>
      <c r="AB341"/>
      <c r="AC341" s="5026"/>
      <c r="AD341" s="3299" t="s">
        <v>14418</v>
      </c>
      <c r="AE341" s="3283" t="s">
        <v>14419</v>
      </c>
      <c r="AF341" s="3284">
        <v>167</v>
      </c>
      <c r="AG341" s="3285">
        <v>103</v>
      </c>
      <c r="AH341" s="3286">
        <v>38</v>
      </c>
      <c r="AI341"/>
      <c r="AJ341" s="5027"/>
      <c r="AK341" s="3288" t="s">
        <v>14420</v>
      </c>
      <c r="AL341" s="3283" t="s">
        <v>14421</v>
      </c>
      <c r="AM341" s="3284">
        <v>240</v>
      </c>
      <c r="AN341" s="3285">
        <v>255</v>
      </c>
      <c r="AO341" s="3286">
        <v>240</v>
      </c>
      <c r="AQ341" s="2730">
        <v>1</v>
      </c>
    </row>
    <row r="342" spans="22:43" ht="21" customHeight="1">
      <c r="V342" s="5028"/>
      <c r="W342" s="3292" t="s">
        <v>14422</v>
      </c>
      <c r="X342" s="3293" t="s">
        <v>14423</v>
      </c>
      <c r="Y342" s="3294">
        <v>229</v>
      </c>
      <c r="Z342" s="3295">
        <v>229</v>
      </c>
      <c r="AA342" s="3296">
        <v>229</v>
      </c>
      <c r="AB342"/>
      <c r="AC342" s="5029"/>
      <c r="AD342" s="3288" t="s">
        <v>14424</v>
      </c>
      <c r="AE342" s="3283" t="s">
        <v>14425</v>
      </c>
      <c r="AF342" s="3284">
        <v>151</v>
      </c>
      <c r="AG342" s="3285">
        <v>105</v>
      </c>
      <c r="AH342" s="3286">
        <v>79</v>
      </c>
      <c r="AI342"/>
      <c r="AJ342" s="5030"/>
      <c r="AK342" s="3288" t="s">
        <v>14426</v>
      </c>
      <c r="AL342" s="3283" t="s">
        <v>14427</v>
      </c>
      <c r="AM342" s="3284">
        <v>155</v>
      </c>
      <c r="AN342" s="3285">
        <v>205</v>
      </c>
      <c r="AO342" s="3286">
        <v>155</v>
      </c>
      <c r="AQ342" s="2730">
        <v>1</v>
      </c>
    </row>
    <row r="343" spans="22:43" ht="21" customHeight="1">
      <c r="V343" s="5031"/>
      <c r="W343" s="3292" t="s">
        <v>14428</v>
      </c>
      <c r="X343" s="3293" t="s">
        <v>14429</v>
      </c>
      <c r="Y343" s="3294">
        <v>232</v>
      </c>
      <c r="Z343" s="3295">
        <v>232</v>
      </c>
      <c r="AA343" s="3296">
        <v>232</v>
      </c>
      <c r="AB343"/>
      <c r="AC343" s="5032"/>
      <c r="AD343" s="3299" t="s">
        <v>14430</v>
      </c>
      <c r="AE343" s="3283" t="s">
        <v>14431</v>
      </c>
      <c r="AF343" s="3284">
        <v>167</v>
      </c>
      <c r="AG343" s="3285">
        <v>85</v>
      </c>
      <c r="AH343" s="3286">
        <v>2</v>
      </c>
      <c r="AI343"/>
      <c r="AJ343" s="5033"/>
      <c r="AK343" s="3288" t="s">
        <v>14432</v>
      </c>
      <c r="AL343" s="3283" t="s">
        <v>14433</v>
      </c>
      <c r="AM343" s="3284">
        <v>9</v>
      </c>
      <c r="AN343" s="3285">
        <v>249</v>
      </c>
      <c r="AO343" s="3286">
        <v>17</v>
      </c>
      <c r="AQ343" s="2730">
        <v>1</v>
      </c>
    </row>
    <row r="344" spans="22:43" ht="21" customHeight="1">
      <c r="V344" s="5034"/>
      <c r="W344" s="3292" t="s">
        <v>14434</v>
      </c>
      <c r="X344" s="3293" t="s">
        <v>14435</v>
      </c>
      <c r="Y344" s="3294">
        <v>235</v>
      </c>
      <c r="Z344" s="3295">
        <v>235</v>
      </c>
      <c r="AA344" s="3296">
        <v>235</v>
      </c>
      <c r="AB344"/>
      <c r="AC344" s="5035"/>
      <c r="AD344" s="3299" t="s">
        <v>14436</v>
      </c>
      <c r="AE344" s="3283" t="s">
        <v>14437</v>
      </c>
      <c r="AF344" s="3284">
        <v>159</v>
      </c>
      <c r="AG344" s="3285">
        <v>85</v>
      </c>
      <c r="AH344" s="3286">
        <v>30</v>
      </c>
      <c r="AI344"/>
      <c r="AJ344" s="5036"/>
      <c r="AK344" s="3299" t="s">
        <v>14438</v>
      </c>
      <c r="AL344" s="3283" t="s">
        <v>14439</v>
      </c>
      <c r="AM344" s="3284">
        <v>58</v>
      </c>
      <c r="AN344" s="3285">
        <v>242</v>
      </c>
      <c r="AO344" s="3286">
        <v>75</v>
      </c>
      <c r="AQ344" s="2730">
        <v>1</v>
      </c>
    </row>
    <row r="345" spans="22:43" ht="21" customHeight="1">
      <c r="V345" s="5037"/>
      <c r="W345" s="3313" t="s">
        <v>14440</v>
      </c>
      <c r="X345" s="3293" t="s">
        <v>14441</v>
      </c>
      <c r="Y345" s="3294">
        <v>237</v>
      </c>
      <c r="Z345" s="3295">
        <v>237</v>
      </c>
      <c r="AA345" s="3296">
        <v>237</v>
      </c>
      <c r="AB345"/>
      <c r="AC345" s="5038"/>
      <c r="AD345" s="3299" t="s">
        <v>14442</v>
      </c>
      <c r="AE345" s="3283" t="s">
        <v>14443</v>
      </c>
      <c r="AF345" s="3284">
        <v>152</v>
      </c>
      <c r="AG345" s="3285">
        <v>87</v>
      </c>
      <c r="AH345" s="3286">
        <v>23</v>
      </c>
      <c r="AI345"/>
      <c r="AJ345" s="5039"/>
      <c r="AK345" s="3299" t="s">
        <v>14444</v>
      </c>
      <c r="AL345" s="3283" t="s">
        <v>14445</v>
      </c>
      <c r="AM345" s="3284">
        <v>131</v>
      </c>
      <c r="AN345" s="3285">
        <v>211</v>
      </c>
      <c r="AO345" s="3286">
        <v>125</v>
      </c>
      <c r="AQ345" s="2730">
        <v>1</v>
      </c>
    </row>
    <row r="346" spans="22:43" ht="21" customHeight="1">
      <c r="V346" s="5040"/>
      <c r="W346" s="3292" t="s">
        <v>14446</v>
      </c>
      <c r="X346" s="3293" t="s">
        <v>14447</v>
      </c>
      <c r="Y346" s="3294">
        <v>238</v>
      </c>
      <c r="Z346" s="3295">
        <v>238</v>
      </c>
      <c r="AA346" s="3296">
        <v>238</v>
      </c>
      <c r="AB346"/>
      <c r="AC346" s="5041"/>
      <c r="AD346" s="3299" t="s">
        <v>14448</v>
      </c>
      <c r="AE346" s="3283" t="s">
        <v>14449</v>
      </c>
      <c r="AF346" s="3284">
        <v>149</v>
      </c>
      <c r="AG346" s="3285">
        <v>86</v>
      </c>
      <c r="AH346" s="3286">
        <v>40</v>
      </c>
      <c r="AI346"/>
      <c r="AJ346" s="5042"/>
      <c r="AK346" s="3299" t="s">
        <v>14450</v>
      </c>
      <c r="AL346" s="3283" t="s">
        <v>14451</v>
      </c>
      <c r="AM346" s="3284">
        <v>147</v>
      </c>
      <c r="AN346" s="3285">
        <v>197</v>
      </c>
      <c r="AO346" s="3286">
        <v>146</v>
      </c>
      <c r="AQ346" s="2730">
        <v>1</v>
      </c>
    </row>
    <row r="347" spans="22:43" ht="21" customHeight="1">
      <c r="V347" s="5043"/>
      <c r="W347" s="3313" t="s">
        <v>14452</v>
      </c>
      <c r="X347" s="3293" t="s">
        <v>14453</v>
      </c>
      <c r="Y347" s="3294">
        <v>239</v>
      </c>
      <c r="Z347" s="3295">
        <v>239</v>
      </c>
      <c r="AA347" s="3296">
        <v>239</v>
      </c>
      <c r="AB347"/>
      <c r="AC347" s="5044"/>
      <c r="AD347" s="3299" t="s">
        <v>14454</v>
      </c>
      <c r="AE347" s="3283" t="s">
        <v>14455</v>
      </c>
      <c r="AF347" s="3284">
        <v>142</v>
      </c>
      <c r="AG347" s="3285">
        <v>84</v>
      </c>
      <c r="AH347" s="3286">
        <v>52</v>
      </c>
      <c r="AI347"/>
      <c r="AJ347" s="5045"/>
      <c r="AK347" s="3288" t="s">
        <v>14456</v>
      </c>
      <c r="AL347" s="3283" t="s">
        <v>14457</v>
      </c>
      <c r="AM347" s="3284">
        <v>0</v>
      </c>
      <c r="AN347" s="3285">
        <v>238</v>
      </c>
      <c r="AO347" s="3286">
        <v>0</v>
      </c>
      <c r="AQ347" s="2730">
        <v>1</v>
      </c>
    </row>
    <row r="348" spans="22:43" ht="21" customHeight="1">
      <c r="V348" s="5046"/>
      <c r="W348" s="3292" t="s">
        <v>14458</v>
      </c>
      <c r="X348" s="3293" t="s">
        <v>14459</v>
      </c>
      <c r="Y348" s="3294">
        <v>240</v>
      </c>
      <c r="Z348" s="3295">
        <v>240</v>
      </c>
      <c r="AA348" s="3296">
        <v>240</v>
      </c>
      <c r="AB348"/>
      <c r="AC348" s="5047"/>
      <c r="AD348" s="3288" t="s">
        <v>14460</v>
      </c>
      <c r="AE348" s="3283" t="s">
        <v>14461</v>
      </c>
      <c r="AF348" s="3284">
        <v>133</v>
      </c>
      <c r="AG348" s="3285">
        <v>94</v>
      </c>
      <c r="AH348" s="3286">
        <v>66</v>
      </c>
      <c r="AI348"/>
      <c r="AJ348" s="5048"/>
      <c r="AK348" s="3288" t="s">
        <v>14462</v>
      </c>
      <c r="AL348" s="3283" t="s">
        <v>14463</v>
      </c>
      <c r="AM348" s="3284">
        <v>124</v>
      </c>
      <c r="AN348" s="3285">
        <v>205</v>
      </c>
      <c r="AO348" s="3286">
        <v>124</v>
      </c>
      <c r="AQ348" s="2730">
        <v>1</v>
      </c>
    </row>
    <row r="349" spans="22:43" ht="21" customHeight="1">
      <c r="V349" s="5049"/>
      <c r="W349" s="3292" t="s">
        <v>14464</v>
      </c>
      <c r="X349" s="3293" t="s">
        <v>14465</v>
      </c>
      <c r="Y349" s="3294">
        <v>242</v>
      </c>
      <c r="Z349" s="3295">
        <v>242</v>
      </c>
      <c r="AA349" s="3296">
        <v>242</v>
      </c>
      <c r="AB349"/>
      <c r="AC349" s="5050"/>
      <c r="AD349" s="3299" t="s">
        <v>14466</v>
      </c>
      <c r="AE349" s="3283" t="s">
        <v>14467</v>
      </c>
      <c r="AF349" s="3284">
        <v>132</v>
      </c>
      <c r="AG349" s="3285">
        <v>90</v>
      </c>
      <c r="AH349" s="3286">
        <v>59</v>
      </c>
      <c r="AI349"/>
      <c r="AJ349" s="5051"/>
      <c r="AK349" s="3288" t="s">
        <v>14468</v>
      </c>
      <c r="AL349" s="3283" t="s">
        <v>14469</v>
      </c>
      <c r="AM349" s="3284">
        <v>143</v>
      </c>
      <c r="AN349" s="3285">
        <v>188</v>
      </c>
      <c r="AO349" s="3286">
        <v>143</v>
      </c>
      <c r="AQ349" s="2730">
        <v>1</v>
      </c>
    </row>
    <row r="350" spans="22:43" ht="21" customHeight="1">
      <c r="V350" s="5052"/>
      <c r="W350" s="3292" t="s">
        <v>14470</v>
      </c>
      <c r="X350" s="3293" t="s">
        <v>14471</v>
      </c>
      <c r="Y350" s="3294">
        <v>245</v>
      </c>
      <c r="Z350" s="3295">
        <v>245</v>
      </c>
      <c r="AA350" s="3296">
        <v>245</v>
      </c>
      <c r="AB350"/>
      <c r="AC350" s="5053"/>
      <c r="AD350" s="3288" t="s">
        <v>14472</v>
      </c>
      <c r="AE350" s="3283" t="s">
        <v>14473</v>
      </c>
      <c r="AF350" s="3284">
        <v>139</v>
      </c>
      <c r="AG350" s="3285">
        <v>69</v>
      </c>
      <c r="AH350" s="3286">
        <v>19</v>
      </c>
      <c r="AI350"/>
      <c r="AJ350" s="5054"/>
      <c r="AK350" s="3299" t="s">
        <v>14474</v>
      </c>
      <c r="AL350" s="3283" t="s">
        <v>14475</v>
      </c>
      <c r="AM350" s="3284">
        <v>149</v>
      </c>
      <c r="AN350" s="3285">
        <v>165</v>
      </c>
      <c r="AO350" s="3286">
        <v>149</v>
      </c>
      <c r="AQ350" s="2730">
        <v>1</v>
      </c>
    </row>
    <row r="351" spans="22:43" ht="21" customHeight="1">
      <c r="V351" s="5055"/>
      <c r="W351" s="3292" t="s">
        <v>14476</v>
      </c>
      <c r="X351" s="3293" t="s">
        <v>14477</v>
      </c>
      <c r="Y351" s="3294">
        <v>247</v>
      </c>
      <c r="Z351" s="3295">
        <v>247</v>
      </c>
      <c r="AA351" s="3296">
        <v>247</v>
      </c>
      <c r="AB351"/>
      <c r="AC351" s="5056"/>
      <c r="AD351" s="3288" t="s">
        <v>14478</v>
      </c>
      <c r="AE351" s="3283" t="s">
        <v>14479</v>
      </c>
      <c r="AF351" s="3284">
        <v>139</v>
      </c>
      <c r="AG351" s="3285">
        <v>69</v>
      </c>
      <c r="AH351" s="3286">
        <v>0</v>
      </c>
      <c r="AI351"/>
      <c r="AJ351" s="5057"/>
      <c r="AK351" s="3288" t="s">
        <v>14480</v>
      </c>
      <c r="AL351" s="3283" t="s">
        <v>14481</v>
      </c>
      <c r="AM351" s="3284">
        <v>50</v>
      </c>
      <c r="AN351" s="3285">
        <v>205</v>
      </c>
      <c r="AO351" s="3286">
        <v>50</v>
      </c>
      <c r="AQ351" s="2730">
        <v>1</v>
      </c>
    </row>
    <row r="352" spans="22:43" ht="21" customHeight="1">
      <c r="V352" s="5058"/>
      <c r="W352" s="3292" t="s">
        <v>14482</v>
      </c>
      <c r="X352" s="3293" t="s">
        <v>14483</v>
      </c>
      <c r="Y352" s="3294">
        <v>250</v>
      </c>
      <c r="Z352" s="3295">
        <v>250</v>
      </c>
      <c r="AA352" s="3296">
        <v>250</v>
      </c>
      <c r="AB352"/>
      <c r="AC352" s="5059"/>
      <c r="AD352" s="3299" t="s">
        <v>14484</v>
      </c>
      <c r="AE352" s="3283" t="s">
        <v>14485</v>
      </c>
      <c r="AF352" s="3284">
        <v>128</v>
      </c>
      <c r="AG352" s="3285">
        <v>70</v>
      </c>
      <c r="AH352" s="3286">
        <v>27</v>
      </c>
      <c r="AI352"/>
      <c r="AJ352" s="5060"/>
      <c r="AK352" s="3288" t="s">
        <v>14486</v>
      </c>
      <c r="AL352" s="3283" t="s">
        <v>14487</v>
      </c>
      <c r="AM352" s="3284">
        <v>0</v>
      </c>
      <c r="AN352" s="3285">
        <v>205</v>
      </c>
      <c r="AO352" s="3286">
        <v>0</v>
      </c>
      <c r="AQ352" s="2730">
        <v>1</v>
      </c>
    </row>
    <row r="353" spans="22:43" ht="21" customHeight="1">
      <c r="V353" s="5061"/>
      <c r="W353" s="3292" t="s">
        <v>14488</v>
      </c>
      <c r="X353" s="3293" t="s">
        <v>14489</v>
      </c>
      <c r="Y353" s="3294">
        <v>252</v>
      </c>
      <c r="Z353" s="3295">
        <v>252</v>
      </c>
      <c r="AA353" s="3296">
        <v>252</v>
      </c>
      <c r="AB353"/>
      <c r="AC353" s="5062"/>
      <c r="AD353" s="3299" t="s">
        <v>14490</v>
      </c>
      <c r="AE353" s="3283" t="s">
        <v>14491</v>
      </c>
      <c r="AF353" s="3284">
        <v>111</v>
      </c>
      <c r="AG353" s="3285">
        <v>78</v>
      </c>
      <c r="AH353" s="3286">
        <v>55</v>
      </c>
      <c r="AI353"/>
      <c r="AJ353" s="5063"/>
      <c r="AK353" s="3299" t="s">
        <v>14492</v>
      </c>
      <c r="AL353" s="3283" t="s">
        <v>14493</v>
      </c>
      <c r="AM353" s="3284">
        <v>52</v>
      </c>
      <c r="AN353" s="3285">
        <v>201</v>
      </c>
      <c r="AO353" s="3286">
        <v>36</v>
      </c>
      <c r="AQ353" s="2730">
        <v>1</v>
      </c>
    </row>
    <row r="354" spans="22:43" ht="21" customHeight="1">
      <c r="V354" s="5064"/>
      <c r="W354" s="3313" t="s">
        <v>14494</v>
      </c>
      <c r="X354" s="3293" t="s">
        <v>14495</v>
      </c>
      <c r="Y354" s="3294">
        <v>254</v>
      </c>
      <c r="Z354" s="3295">
        <v>254</v>
      </c>
      <c r="AA354" s="3296">
        <v>254</v>
      </c>
      <c r="AB354"/>
      <c r="AC354" s="5065"/>
      <c r="AD354" s="3299" t="s">
        <v>14496</v>
      </c>
      <c r="AE354" s="3283" t="s">
        <v>14497</v>
      </c>
      <c r="AF354" s="3284">
        <v>99</v>
      </c>
      <c r="AG354" s="3285">
        <v>81</v>
      </c>
      <c r="AH354" s="3286">
        <v>71</v>
      </c>
      <c r="AI354"/>
      <c r="AJ354" s="5066"/>
      <c r="AK354" s="3288" t="s">
        <v>14498</v>
      </c>
      <c r="AL354" s="3283" t="s">
        <v>14499</v>
      </c>
      <c r="AM354" s="3284">
        <v>131</v>
      </c>
      <c r="AN354" s="3285">
        <v>139</v>
      </c>
      <c r="AO354" s="3286">
        <v>131</v>
      </c>
      <c r="AQ354" s="2730">
        <v>1</v>
      </c>
    </row>
    <row r="355" spans="22:43" ht="21" customHeight="1">
      <c r="V355" s="5067"/>
      <c r="W355" s="3292" t="s">
        <v>14500</v>
      </c>
      <c r="X355" s="3293" t="s">
        <v>14501</v>
      </c>
      <c r="Y355" s="3294">
        <v>184</v>
      </c>
      <c r="Z355" s="3295">
        <v>184</v>
      </c>
      <c r="AA355" s="3296">
        <v>184</v>
      </c>
      <c r="AB355"/>
      <c r="AC355" s="5068"/>
      <c r="AD355" s="3288" t="s">
        <v>14502</v>
      </c>
      <c r="AE355" s="3283" t="s">
        <v>14503</v>
      </c>
      <c r="AF355" s="3284">
        <v>107</v>
      </c>
      <c r="AG355" s="3285">
        <v>66</v>
      </c>
      <c r="AH355" s="3286">
        <v>38</v>
      </c>
      <c r="AI355"/>
      <c r="AJ355" s="5069"/>
      <c r="AK355" s="3299" t="s">
        <v>14504</v>
      </c>
      <c r="AL355" s="3283" t="s">
        <v>14505</v>
      </c>
      <c r="AM355" s="3284">
        <v>103</v>
      </c>
      <c r="AN355" s="3285">
        <v>146</v>
      </c>
      <c r="AO355" s="3286">
        <v>103</v>
      </c>
      <c r="AQ355" s="2730">
        <v>1</v>
      </c>
    </row>
    <row r="356" spans="22:43" ht="21" customHeight="1">
      <c r="V356" s="5070"/>
      <c r="W356" s="3292" t="s">
        <v>14506</v>
      </c>
      <c r="X356" s="3293" t="s">
        <v>14507</v>
      </c>
      <c r="Y356" s="3294">
        <v>181</v>
      </c>
      <c r="Z356" s="3295">
        <v>181</v>
      </c>
      <c r="AA356" s="3296">
        <v>181</v>
      </c>
      <c r="AB356"/>
      <c r="AC356" s="5071"/>
      <c r="AD356" s="3288" t="s">
        <v>14508</v>
      </c>
      <c r="AE356" s="3283" t="s">
        <v>14509</v>
      </c>
      <c r="AF356" s="3284">
        <v>92</v>
      </c>
      <c r="AG356" s="3285">
        <v>64</v>
      </c>
      <c r="AH356" s="3286">
        <v>51</v>
      </c>
      <c r="AI356"/>
      <c r="AJ356" s="5072"/>
      <c r="AK356" s="3288" t="s">
        <v>14510</v>
      </c>
      <c r="AL356" s="3283" t="s">
        <v>14511</v>
      </c>
      <c r="AM356" s="3284">
        <v>105</v>
      </c>
      <c r="AN356" s="3285">
        <v>139</v>
      </c>
      <c r="AO356" s="3286">
        <v>105</v>
      </c>
      <c r="AQ356" s="2730">
        <v>1</v>
      </c>
    </row>
    <row r="357" spans="22:43" ht="21" customHeight="1">
      <c r="V357" s="5073"/>
      <c r="W357" s="3292" t="s">
        <v>14512</v>
      </c>
      <c r="X357" s="3293" t="s">
        <v>14513</v>
      </c>
      <c r="Y357" s="3294">
        <v>179</v>
      </c>
      <c r="Z357" s="3295">
        <v>179</v>
      </c>
      <c r="AA357" s="3296">
        <v>179</v>
      </c>
      <c r="AB357"/>
      <c r="AC357" s="5074"/>
      <c r="AD357" s="3299" t="s">
        <v>805</v>
      </c>
      <c r="AE357" s="3283" t="s">
        <v>14514</v>
      </c>
      <c r="AF357" s="3284">
        <v>90</v>
      </c>
      <c r="AG357" s="3285">
        <v>58</v>
      </c>
      <c r="AH357" s="3286">
        <v>34</v>
      </c>
      <c r="AI357"/>
      <c r="AJ357" s="5075"/>
      <c r="AK357" s="3299" t="s">
        <v>14515</v>
      </c>
      <c r="AL357" s="3283" t="s">
        <v>14516</v>
      </c>
      <c r="AM357" s="3284">
        <v>68</v>
      </c>
      <c r="AN357" s="3285">
        <v>148</v>
      </c>
      <c r="AO357" s="3286">
        <v>74</v>
      </c>
      <c r="AQ357" s="2730">
        <v>1</v>
      </c>
    </row>
    <row r="358" spans="22:43" ht="21" customHeight="1">
      <c r="V358" s="5076"/>
      <c r="W358" s="3292" t="s">
        <v>14517</v>
      </c>
      <c r="X358" s="3293" t="s">
        <v>14518</v>
      </c>
      <c r="Y358" s="3294">
        <v>176</v>
      </c>
      <c r="Z358" s="3295">
        <v>176</v>
      </c>
      <c r="AA358" s="3296">
        <v>176</v>
      </c>
      <c r="AB358"/>
      <c r="AC358" s="5077"/>
      <c r="AD358" s="3288" t="s">
        <v>14519</v>
      </c>
      <c r="AE358" s="3283" t="s">
        <v>14520</v>
      </c>
      <c r="AF358" s="3284">
        <v>92</v>
      </c>
      <c r="AG358" s="3285">
        <v>51</v>
      </c>
      <c r="AH358" s="3286">
        <v>23</v>
      </c>
      <c r="AI358"/>
      <c r="AJ358" s="5078"/>
      <c r="AK358" s="3288" t="s">
        <v>14521</v>
      </c>
      <c r="AL358" s="3283" t="s">
        <v>14522</v>
      </c>
      <c r="AM358" s="3284">
        <v>84</v>
      </c>
      <c r="AN358" s="3285">
        <v>139</v>
      </c>
      <c r="AO358" s="3286">
        <v>84</v>
      </c>
      <c r="AQ358" s="2730">
        <v>1</v>
      </c>
    </row>
    <row r="359" spans="22:43" ht="21" customHeight="1">
      <c r="V359" s="5079"/>
      <c r="W359" s="3313" t="s">
        <v>14523</v>
      </c>
      <c r="X359" s="3293" t="s">
        <v>14524</v>
      </c>
      <c r="Y359" s="3294">
        <v>175</v>
      </c>
      <c r="Z359" s="3295">
        <v>175</v>
      </c>
      <c r="AA359" s="3296">
        <v>175</v>
      </c>
      <c r="AB359"/>
      <c r="AC359" s="5080"/>
      <c r="AD359" s="3299" t="s">
        <v>14525</v>
      </c>
      <c r="AE359" s="3283" t="s">
        <v>14526</v>
      </c>
      <c r="AF359" s="3284">
        <v>89</v>
      </c>
      <c r="AG359" s="3285">
        <v>51</v>
      </c>
      <c r="AH359" s="3286">
        <v>25</v>
      </c>
      <c r="AI359"/>
      <c r="AJ359" s="5081"/>
      <c r="AK359" s="3299" t="s">
        <v>14527</v>
      </c>
      <c r="AL359" s="3283" t="s">
        <v>14528</v>
      </c>
      <c r="AM359" s="3284">
        <v>20</v>
      </c>
      <c r="AN359" s="3285">
        <v>148</v>
      </c>
      <c r="AO359" s="3286">
        <v>20</v>
      </c>
      <c r="AQ359" s="2730">
        <v>1</v>
      </c>
    </row>
    <row r="360" spans="22:43" ht="21" customHeight="1">
      <c r="V360" s="5082"/>
      <c r="W360" s="3292" t="s">
        <v>14529</v>
      </c>
      <c r="X360" s="3293" t="s">
        <v>14530</v>
      </c>
      <c r="Y360" s="3294">
        <v>173</v>
      </c>
      <c r="Z360" s="3295">
        <v>173</v>
      </c>
      <c r="AA360" s="3296">
        <v>173</v>
      </c>
      <c r="AB360"/>
      <c r="AC360" s="5083"/>
      <c r="AD360" s="3299" t="s">
        <v>14531</v>
      </c>
      <c r="AE360" s="3283" t="s">
        <v>14532</v>
      </c>
      <c r="AF360" s="3284">
        <v>88</v>
      </c>
      <c r="AG360" s="3285">
        <v>41</v>
      </c>
      <c r="AH360" s="3286">
        <v>0</v>
      </c>
      <c r="AI360"/>
      <c r="AJ360" s="5084"/>
      <c r="AK360" s="3299" t="s">
        <v>14533</v>
      </c>
      <c r="AL360" s="3283" t="s">
        <v>14534</v>
      </c>
      <c r="AM360" s="3284">
        <v>35</v>
      </c>
      <c r="AN360" s="3285">
        <v>142</v>
      </c>
      <c r="AO360" s="3286">
        <v>35</v>
      </c>
      <c r="AQ360" s="2730">
        <v>1</v>
      </c>
    </row>
    <row r="361" spans="22:43" ht="21" customHeight="1">
      <c r="V361" s="5085"/>
      <c r="W361" s="3292" t="s">
        <v>14535</v>
      </c>
      <c r="X361" s="3293" t="s">
        <v>14536</v>
      </c>
      <c r="Y361" s="3294">
        <v>171</v>
      </c>
      <c r="Z361" s="3295">
        <v>171</v>
      </c>
      <c r="AA361" s="3296">
        <v>171</v>
      </c>
      <c r="AB361"/>
      <c r="AC361" s="5086"/>
      <c r="AD361" s="3299" t="s">
        <v>14537</v>
      </c>
      <c r="AE361" s="3283" t="s">
        <v>14538</v>
      </c>
      <c r="AF361" s="3284">
        <v>62</v>
      </c>
      <c r="AG361" s="3285">
        <v>50</v>
      </c>
      <c r="AH361" s="3286">
        <v>44</v>
      </c>
      <c r="AI361"/>
      <c r="AJ361" s="5087"/>
      <c r="AK361" s="3288" t="s">
        <v>14539</v>
      </c>
      <c r="AL361" s="3283" t="s">
        <v>14540</v>
      </c>
      <c r="AM361" s="3284">
        <v>34</v>
      </c>
      <c r="AN361" s="3285">
        <v>139</v>
      </c>
      <c r="AO361" s="3286">
        <v>34</v>
      </c>
      <c r="AQ361" s="2730">
        <v>1</v>
      </c>
    </row>
    <row r="362" spans="22:43" ht="21" customHeight="1">
      <c r="V362" s="5088"/>
      <c r="W362" s="3292" t="s">
        <v>14541</v>
      </c>
      <c r="X362" s="3293" t="s">
        <v>14542</v>
      </c>
      <c r="Y362" s="3294">
        <v>168</v>
      </c>
      <c r="Z362" s="3295">
        <v>168</v>
      </c>
      <c r="AA362" s="3296">
        <v>168</v>
      </c>
      <c r="AB362"/>
      <c r="AC362" s="5089"/>
      <c r="AD362" s="3299" t="s">
        <v>14543</v>
      </c>
      <c r="AE362" s="3283" t="s">
        <v>14544</v>
      </c>
      <c r="AF362" s="3284">
        <v>66</v>
      </c>
      <c r="AG362" s="3285">
        <v>37</v>
      </c>
      <c r="AH362" s="3286">
        <v>24</v>
      </c>
      <c r="AI362"/>
      <c r="AJ362" s="5090"/>
      <c r="AK362" s="3288" t="s">
        <v>14545</v>
      </c>
      <c r="AL362" s="3283" t="s">
        <v>14546</v>
      </c>
      <c r="AM362" s="3284">
        <v>0</v>
      </c>
      <c r="AN362" s="3285">
        <v>139</v>
      </c>
      <c r="AO362" s="3286">
        <v>0</v>
      </c>
      <c r="AQ362" s="2730">
        <v>1</v>
      </c>
    </row>
    <row r="363" spans="22:43" ht="21" customHeight="1">
      <c r="V363" s="5091"/>
      <c r="W363" s="3292" t="s">
        <v>14547</v>
      </c>
      <c r="X363" s="3293" t="s">
        <v>14548</v>
      </c>
      <c r="Y363" s="3294">
        <v>166</v>
      </c>
      <c r="Z363" s="3295">
        <v>166</v>
      </c>
      <c r="AA363" s="3296">
        <v>166</v>
      </c>
      <c r="AB363"/>
      <c r="AC363" s="5092"/>
      <c r="AD363" s="3299" t="s">
        <v>14549</v>
      </c>
      <c r="AE363" s="3283" t="s">
        <v>14550</v>
      </c>
      <c r="AF363" s="3284">
        <v>63</v>
      </c>
      <c r="AG363" s="3285">
        <v>34</v>
      </c>
      <c r="AH363" s="3286">
        <v>4</v>
      </c>
      <c r="AI363"/>
      <c r="AJ363" s="5093"/>
      <c r="AK363" s="3288" t="s">
        <v>14551</v>
      </c>
      <c r="AL363" s="3283" t="s">
        <v>14552</v>
      </c>
      <c r="AM363" s="3284">
        <v>0</v>
      </c>
      <c r="AN363" s="3285">
        <v>128</v>
      </c>
      <c r="AO363" s="3286">
        <v>0</v>
      </c>
      <c r="AQ363" s="2730">
        <v>1</v>
      </c>
    </row>
    <row r="364" spans="22:43" ht="21" customHeight="1">
      <c r="V364" s="5094"/>
      <c r="W364" s="3292" t="s">
        <v>14553</v>
      </c>
      <c r="X364" s="3293" t="s">
        <v>14554</v>
      </c>
      <c r="Y364" s="3294">
        <v>163</v>
      </c>
      <c r="Z364" s="3295">
        <v>163</v>
      </c>
      <c r="AA364" s="3296">
        <v>163</v>
      </c>
      <c r="AB364"/>
      <c r="AC364" s="5095"/>
      <c r="AD364" s="3299" t="s">
        <v>14555</v>
      </c>
      <c r="AE364" s="3283" t="s">
        <v>14556</v>
      </c>
      <c r="AF364" s="3284">
        <v>40</v>
      </c>
      <c r="AG364" s="3285">
        <v>32</v>
      </c>
      <c r="AH364" s="3286">
        <v>28</v>
      </c>
      <c r="AI364"/>
      <c r="AJ364" s="5096"/>
      <c r="AK364" s="3288" t="s">
        <v>14557</v>
      </c>
      <c r="AL364" s="3283" t="s">
        <v>14558</v>
      </c>
      <c r="AM364" s="3284">
        <v>66</v>
      </c>
      <c r="AN364" s="3285">
        <v>111</v>
      </c>
      <c r="AO364" s="3286">
        <v>66</v>
      </c>
      <c r="AQ364" s="2730">
        <v>1</v>
      </c>
    </row>
    <row r="365" spans="22:43" ht="21" customHeight="1">
      <c r="V365" s="5097"/>
      <c r="W365" s="3292" t="s">
        <v>14559</v>
      </c>
      <c r="X365" s="3293" t="s">
        <v>14560</v>
      </c>
      <c r="Y365" s="3294">
        <v>161</v>
      </c>
      <c r="Z365" s="3295">
        <v>161</v>
      </c>
      <c r="AA365" s="3296">
        <v>161</v>
      </c>
      <c r="AB365"/>
      <c r="AC365" s="5098"/>
      <c r="AD365" s="3299" t="s">
        <v>14561</v>
      </c>
      <c r="AE365" s="3283" t="s">
        <v>14562</v>
      </c>
      <c r="AF365" s="3284">
        <v>47</v>
      </c>
      <c r="AG365" s="3285">
        <v>27</v>
      </c>
      <c r="AH365" s="3286">
        <v>12</v>
      </c>
      <c r="AI365"/>
      <c r="AJ365" s="5099"/>
      <c r="AK365" s="3299" t="s">
        <v>14563</v>
      </c>
      <c r="AL365" s="3283" t="s">
        <v>14564</v>
      </c>
      <c r="AM365" s="3284">
        <v>34</v>
      </c>
      <c r="AN365" s="3285">
        <v>120</v>
      </c>
      <c r="AO365" s="3286">
        <v>15</v>
      </c>
      <c r="AQ365" s="2730">
        <v>1</v>
      </c>
    </row>
    <row r="366" spans="22:43" ht="21" customHeight="1">
      <c r="V366" s="5100"/>
      <c r="W366" s="3313" t="s">
        <v>14565</v>
      </c>
      <c r="X366" s="3293" t="s">
        <v>14566</v>
      </c>
      <c r="Y366" s="3294">
        <v>158</v>
      </c>
      <c r="Z366" s="3295">
        <v>158</v>
      </c>
      <c r="AA366" s="3296">
        <v>158</v>
      </c>
      <c r="AB366"/>
      <c r="AC366" s="5101"/>
      <c r="AD366" s="3288" t="s">
        <v>14567</v>
      </c>
      <c r="AE366" s="3283" t="s">
        <v>14568</v>
      </c>
      <c r="AF366" s="3284">
        <v>127</v>
      </c>
      <c r="AG366" s="3285">
        <v>255</v>
      </c>
      <c r="AH366" s="3286">
        <v>0</v>
      </c>
      <c r="AI366"/>
      <c r="AJ366" s="5102"/>
      <c r="AK366" s="3299" t="s">
        <v>14569</v>
      </c>
      <c r="AL366" s="3283" t="s">
        <v>14570</v>
      </c>
      <c r="AM366" s="3284">
        <v>9</v>
      </c>
      <c r="AN366" s="3285">
        <v>106</v>
      </c>
      <c r="AO366" s="3286">
        <v>9</v>
      </c>
      <c r="AQ366" s="2730">
        <v>1</v>
      </c>
    </row>
    <row r="367" spans="22:43" ht="21" customHeight="1">
      <c r="V367" s="5103"/>
      <c r="W367" s="3292" t="s">
        <v>14571</v>
      </c>
      <c r="X367" s="3293" t="s">
        <v>14572</v>
      </c>
      <c r="Y367" s="3294">
        <v>156</v>
      </c>
      <c r="Z367" s="3295">
        <v>156</v>
      </c>
      <c r="AA367" s="3296">
        <v>156</v>
      </c>
      <c r="AB367"/>
      <c r="AC367" s="5104"/>
      <c r="AD367" s="3288" t="s">
        <v>14573</v>
      </c>
      <c r="AE367" s="3283" t="s">
        <v>14574</v>
      </c>
      <c r="AF367" s="3284">
        <v>124</v>
      </c>
      <c r="AG367" s="3285">
        <v>252</v>
      </c>
      <c r="AH367" s="3286">
        <v>0</v>
      </c>
      <c r="AI367"/>
      <c r="AJ367" s="5105"/>
      <c r="AK367" s="3288" t="s">
        <v>14575</v>
      </c>
      <c r="AL367" s="3283" t="s">
        <v>14576</v>
      </c>
      <c r="AM367" s="3284">
        <v>0</v>
      </c>
      <c r="AN367" s="3285">
        <v>100</v>
      </c>
      <c r="AO367" s="3286">
        <v>0</v>
      </c>
      <c r="AQ367" s="2730">
        <v>1</v>
      </c>
    </row>
    <row r="368" spans="22:43" ht="21" customHeight="1">
      <c r="V368" s="5106"/>
      <c r="W368" s="3292" t="s">
        <v>14577</v>
      </c>
      <c r="X368" s="3293" t="s">
        <v>14578</v>
      </c>
      <c r="Y368" s="3294">
        <v>153</v>
      </c>
      <c r="Z368" s="3295">
        <v>153</v>
      </c>
      <c r="AA368" s="3296">
        <v>153</v>
      </c>
      <c r="AB368"/>
      <c r="AC368" s="5107"/>
      <c r="AD368" s="3288" t="s">
        <v>14579</v>
      </c>
      <c r="AE368" s="3283" t="s">
        <v>14580</v>
      </c>
      <c r="AF368" s="3284">
        <v>118</v>
      </c>
      <c r="AG368" s="3285">
        <v>238</v>
      </c>
      <c r="AH368" s="3286">
        <v>0</v>
      </c>
      <c r="AI368"/>
      <c r="AJ368" s="5108"/>
      <c r="AK368" s="3288" t="s">
        <v>14575</v>
      </c>
      <c r="AL368" s="3283" t="s">
        <v>14581</v>
      </c>
      <c r="AM368" s="3284">
        <v>47</v>
      </c>
      <c r="AN368" s="3285">
        <v>79</v>
      </c>
      <c r="AO368" s="3286">
        <v>47</v>
      </c>
      <c r="AQ368" s="2730">
        <v>1</v>
      </c>
    </row>
    <row r="369" spans="22:43" ht="21" customHeight="1">
      <c r="V369" s="5109"/>
      <c r="W369" s="3292" t="s">
        <v>14582</v>
      </c>
      <c r="X369" s="3293" t="s">
        <v>14583</v>
      </c>
      <c r="Y369" s="3294">
        <v>150</v>
      </c>
      <c r="Z369" s="3295">
        <v>150</v>
      </c>
      <c r="AA369" s="3296">
        <v>150</v>
      </c>
      <c r="AB369"/>
      <c r="AC369" s="5110"/>
      <c r="AD369" s="3299" t="s">
        <v>14584</v>
      </c>
      <c r="AE369" s="3283" t="s">
        <v>14585</v>
      </c>
      <c r="AF369" s="3284">
        <v>127</v>
      </c>
      <c r="AG369" s="3285">
        <v>221</v>
      </c>
      <c r="AH369" s="3286">
        <v>76</v>
      </c>
      <c r="AI369"/>
      <c r="AJ369" s="5111"/>
      <c r="AK369" s="3299" t="s">
        <v>14586</v>
      </c>
      <c r="AL369" s="3283" t="s">
        <v>14587</v>
      </c>
      <c r="AM369" s="3284">
        <v>182</v>
      </c>
      <c r="AN369" s="3285">
        <v>229</v>
      </c>
      <c r="AO369" s="3286">
        <v>175</v>
      </c>
      <c r="AQ369" s="2730">
        <v>1</v>
      </c>
    </row>
    <row r="370" spans="22:43" ht="21" customHeight="1">
      <c r="V370" s="5112"/>
      <c r="W370" s="3292" t="s">
        <v>14588</v>
      </c>
      <c r="X370" s="3293" t="s">
        <v>14589</v>
      </c>
      <c r="Y370" s="3294">
        <v>148</v>
      </c>
      <c r="Z370" s="3295">
        <v>148</v>
      </c>
      <c r="AA370" s="3296">
        <v>148</v>
      </c>
      <c r="AB370"/>
      <c r="AC370" s="5113"/>
      <c r="AD370" s="3288" t="s">
        <v>14590</v>
      </c>
      <c r="AE370" s="3283" t="s">
        <v>14591</v>
      </c>
      <c r="AF370" s="3284">
        <v>102</v>
      </c>
      <c r="AG370" s="3285">
        <v>205</v>
      </c>
      <c r="AH370" s="3286">
        <v>0</v>
      </c>
      <c r="AI370"/>
      <c r="AJ370" s="5114"/>
      <c r="AK370" s="3299" t="s">
        <v>14592</v>
      </c>
      <c r="AL370" s="3283" t="s">
        <v>14593</v>
      </c>
      <c r="AM370" s="3284">
        <v>133</v>
      </c>
      <c r="AN370" s="3285">
        <v>193</v>
      </c>
      <c r="AO370" s="3286">
        <v>126</v>
      </c>
      <c r="AQ370" s="2730">
        <v>1</v>
      </c>
    </row>
    <row r="371" spans="22:43" ht="21" customHeight="1">
      <c r="V371" s="5115"/>
      <c r="W371" s="3292" t="s">
        <v>14594</v>
      </c>
      <c r="X371" s="3293" t="s">
        <v>14595</v>
      </c>
      <c r="Y371" s="3294">
        <v>145</v>
      </c>
      <c r="Z371" s="3295">
        <v>145</v>
      </c>
      <c r="AA371" s="3296">
        <v>145</v>
      </c>
      <c r="AB371"/>
      <c r="AC371" s="5116"/>
      <c r="AD371" s="3288" t="s">
        <v>14596</v>
      </c>
      <c r="AE371" s="3283" t="s">
        <v>14597</v>
      </c>
      <c r="AF371" s="3284">
        <v>69</v>
      </c>
      <c r="AG371" s="3285">
        <v>139</v>
      </c>
      <c r="AH371" s="3286">
        <v>0</v>
      </c>
      <c r="AI371"/>
      <c r="AJ371" s="5117"/>
      <c r="AK371" s="3299" t="s">
        <v>14598</v>
      </c>
      <c r="AL371" s="3283" t="s">
        <v>14599</v>
      </c>
      <c r="AM371" s="3284">
        <v>87</v>
      </c>
      <c r="AN371" s="3285">
        <v>213</v>
      </c>
      <c r="AO371" s="3286">
        <v>59</v>
      </c>
      <c r="AQ371" s="2730">
        <v>1</v>
      </c>
    </row>
    <row r="372" spans="22:43" ht="21" customHeight="1">
      <c r="V372" s="5118"/>
      <c r="W372" s="3292" t="s">
        <v>14600</v>
      </c>
      <c r="X372" s="3293" t="s">
        <v>14601</v>
      </c>
      <c r="Y372" s="3294">
        <v>143</v>
      </c>
      <c r="Z372" s="3295">
        <v>143</v>
      </c>
      <c r="AA372" s="3296">
        <v>143</v>
      </c>
      <c r="AB372"/>
      <c r="AC372" s="5119"/>
      <c r="AD372" s="3299" t="s">
        <v>14602</v>
      </c>
      <c r="AE372" s="3283" t="s">
        <v>14603</v>
      </c>
      <c r="AF372" s="3284">
        <v>70</v>
      </c>
      <c r="AG372" s="3285">
        <v>113</v>
      </c>
      <c r="AH372" s="3286">
        <v>41</v>
      </c>
      <c r="AI372"/>
      <c r="AJ372" s="5120"/>
      <c r="AK372" s="3299" t="s">
        <v>14604</v>
      </c>
      <c r="AL372" s="3283" t="s">
        <v>14605</v>
      </c>
      <c r="AM372" s="3284">
        <v>130</v>
      </c>
      <c r="AN372" s="3285">
        <v>196</v>
      </c>
      <c r="AO372" s="3286">
        <v>108</v>
      </c>
      <c r="AQ372" s="2730">
        <v>1</v>
      </c>
    </row>
    <row r="373" spans="22:43" ht="21" customHeight="1">
      <c r="V373" s="5121"/>
      <c r="W373" s="3292" t="s">
        <v>14606</v>
      </c>
      <c r="X373" s="3293" t="s">
        <v>14607</v>
      </c>
      <c r="Y373" s="3294">
        <v>140</v>
      </c>
      <c r="Z373" s="3295">
        <v>140</v>
      </c>
      <c r="AA373" s="3296">
        <v>140</v>
      </c>
      <c r="AB373"/>
      <c r="AC373" s="5122"/>
      <c r="AD373" s="3288" t="s">
        <v>14608</v>
      </c>
      <c r="AE373" s="3283" t="s">
        <v>14609</v>
      </c>
      <c r="AF373" s="3284">
        <v>0</v>
      </c>
      <c r="AG373" s="3285">
        <v>255</v>
      </c>
      <c r="AH373" s="3286">
        <v>127</v>
      </c>
      <c r="AI373"/>
      <c r="AJ373" s="5123"/>
      <c r="AK373" s="3299" t="s">
        <v>14610</v>
      </c>
      <c r="AL373" s="3283" t="s">
        <v>14611</v>
      </c>
      <c r="AM373" s="3284">
        <v>103</v>
      </c>
      <c r="AN373" s="3285">
        <v>159</v>
      </c>
      <c r="AO373" s="3286">
        <v>90</v>
      </c>
      <c r="AQ373" s="2730">
        <v>1</v>
      </c>
    </row>
    <row r="374" spans="22:43" ht="21" customHeight="1">
      <c r="V374" s="5124"/>
      <c r="W374" s="3292" t="s">
        <v>14612</v>
      </c>
      <c r="X374" s="3293" t="s">
        <v>14613</v>
      </c>
      <c r="Y374" s="3294">
        <v>138</v>
      </c>
      <c r="Z374" s="3295">
        <v>138</v>
      </c>
      <c r="AA374" s="3296">
        <v>138</v>
      </c>
      <c r="AB374"/>
      <c r="AC374" s="5125"/>
      <c r="AD374" s="3299" t="s">
        <v>14614</v>
      </c>
      <c r="AE374" s="3283" t="s">
        <v>14615</v>
      </c>
      <c r="AF374" s="3284">
        <v>84</v>
      </c>
      <c r="AG374" s="3285">
        <v>249</v>
      </c>
      <c r="AH374" s="3286">
        <v>141</v>
      </c>
      <c r="AI374"/>
      <c r="AJ374" s="5126"/>
      <c r="AK374" s="3299" t="s">
        <v>14616</v>
      </c>
      <c r="AL374" s="3283" t="s">
        <v>14617</v>
      </c>
      <c r="AM374" s="3284">
        <v>58</v>
      </c>
      <c r="AN374" s="3285">
        <v>157</v>
      </c>
      <c r="AO374" s="3286">
        <v>35</v>
      </c>
      <c r="AQ374" s="2730">
        <v>1</v>
      </c>
    </row>
    <row r="375" spans="22:43" ht="21" customHeight="1">
      <c r="V375" s="5127"/>
      <c r="W375" s="3292"/>
      <c r="X375" s="3293" t="s">
        <v>14618</v>
      </c>
      <c r="Y375" s="3294">
        <v>136</v>
      </c>
      <c r="Z375" s="3295">
        <v>136</v>
      </c>
      <c r="AA375" s="3296">
        <v>136</v>
      </c>
      <c r="AB375"/>
      <c r="AC375" s="5128"/>
      <c r="AD375" s="3288" t="s">
        <v>14619</v>
      </c>
      <c r="AE375" s="3283" t="s">
        <v>14620</v>
      </c>
      <c r="AF375" s="3284">
        <v>84</v>
      </c>
      <c r="AG375" s="3285">
        <v>255</v>
      </c>
      <c r="AH375" s="3286">
        <v>159</v>
      </c>
      <c r="AI375"/>
      <c r="AJ375" s="5129"/>
      <c r="AK375" s="3299" t="s">
        <v>14621</v>
      </c>
      <c r="AL375" s="3283" t="s">
        <v>14622</v>
      </c>
      <c r="AM375" s="3284">
        <v>27</v>
      </c>
      <c r="AN375" s="3285">
        <v>79</v>
      </c>
      <c r="AO375" s="3286">
        <v>8</v>
      </c>
      <c r="AQ375" s="2730">
        <v>1</v>
      </c>
    </row>
    <row r="376" spans="22:43" ht="21" customHeight="1">
      <c r="V376" s="5130"/>
      <c r="W376" s="3292" t="s">
        <v>14623</v>
      </c>
      <c r="X376" s="3293" t="s">
        <v>14624</v>
      </c>
      <c r="Y376" s="3294">
        <v>135</v>
      </c>
      <c r="Z376" s="3295">
        <v>135</v>
      </c>
      <c r="AA376" s="3296">
        <v>135</v>
      </c>
      <c r="AB376"/>
      <c r="AC376" s="5131"/>
      <c r="AD376" s="3299" t="s">
        <v>14608</v>
      </c>
      <c r="AE376" s="3283" t="s">
        <v>14625</v>
      </c>
      <c r="AF376" s="3284">
        <v>0</v>
      </c>
      <c r="AG376" s="3285">
        <v>254</v>
      </c>
      <c r="AH376" s="3286">
        <v>126</v>
      </c>
      <c r="AI376"/>
      <c r="AJ376" s="5132"/>
      <c r="AK376" s="3299" t="s">
        <v>14626</v>
      </c>
      <c r="AL376" s="3283" t="s">
        <v>14627</v>
      </c>
      <c r="AM376" s="3284">
        <v>43</v>
      </c>
      <c r="AN376" s="3285">
        <v>61</v>
      </c>
      <c r="AO376" s="3286">
        <v>38</v>
      </c>
      <c r="AQ376" s="2730">
        <v>1</v>
      </c>
    </row>
    <row r="377" spans="22:43" ht="21" customHeight="1">
      <c r="V377" s="5133"/>
      <c r="W377" s="3292" t="s">
        <v>14628</v>
      </c>
      <c r="X377" s="3293" t="s">
        <v>14629</v>
      </c>
      <c r="Y377" s="3294">
        <v>133</v>
      </c>
      <c r="Z377" s="3295">
        <v>133</v>
      </c>
      <c r="AA377" s="3296">
        <v>133</v>
      </c>
      <c r="AB377"/>
      <c r="AC377" s="5134"/>
      <c r="AD377" s="3299" t="s">
        <v>14630</v>
      </c>
      <c r="AE377" s="3283" t="s">
        <v>14631</v>
      </c>
      <c r="AF377" s="3284">
        <v>178</v>
      </c>
      <c r="AG377" s="3285">
        <v>190</v>
      </c>
      <c r="AH377" s="3286">
        <v>181</v>
      </c>
      <c r="AI377"/>
      <c r="AJ377" s="5135"/>
      <c r="AK377" s="3299" t="s">
        <v>14632</v>
      </c>
      <c r="AL377" s="3283" t="s">
        <v>14633</v>
      </c>
      <c r="AM377" s="3284">
        <v>176</v>
      </c>
      <c r="AN377" s="3285">
        <v>242</v>
      </c>
      <c r="AO377" s="3286">
        <v>182</v>
      </c>
      <c r="AQ377" s="2730">
        <v>1</v>
      </c>
    </row>
    <row r="378" spans="22:43" ht="21" customHeight="1">
      <c r="V378" s="5136"/>
      <c r="W378" s="3313" t="s">
        <v>14634</v>
      </c>
      <c r="X378" s="3293" t="s">
        <v>14635</v>
      </c>
      <c r="Y378" s="3294">
        <v>132</v>
      </c>
      <c r="Z378" s="3295">
        <v>132</v>
      </c>
      <c r="AA378" s="3296">
        <v>132</v>
      </c>
      <c r="AB378"/>
      <c r="AC378" s="5137"/>
      <c r="AD378" s="3288" t="s">
        <v>14636</v>
      </c>
      <c r="AE378" s="3283" t="s">
        <v>14637</v>
      </c>
      <c r="AF378" s="3284">
        <v>78</v>
      </c>
      <c r="AG378" s="3285">
        <v>238</v>
      </c>
      <c r="AH378" s="3286">
        <v>148</v>
      </c>
      <c r="AI378"/>
      <c r="AJ378" s="5138"/>
      <c r="AK378" s="3299" t="s">
        <v>14638</v>
      </c>
      <c r="AL378" s="3283" t="s">
        <v>14639</v>
      </c>
      <c r="AM378" s="3284">
        <v>1</v>
      </c>
      <c r="AN378" s="3285">
        <v>215</v>
      </c>
      <c r="AO378" s="3286">
        <v>88</v>
      </c>
      <c r="AQ378" s="2730">
        <v>1</v>
      </c>
    </row>
    <row r="379" spans="22:43" ht="21" customHeight="1">
      <c r="V379" s="5139"/>
      <c r="W379" s="3292" t="s">
        <v>14640</v>
      </c>
      <c r="X379" s="3293" t="s">
        <v>14641</v>
      </c>
      <c r="Y379" s="3294">
        <v>130</v>
      </c>
      <c r="Z379" s="3295">
        <v>130</v>
      </c>
      <c r="AA379" s="3296">
        <v>130</v>
      </c>
      <c r="AB379"/>
      <c r="AC379" s="5140"/>
      <c r="AD379" s="3288" t="s">
        <v>14642</v>
      </c>
      <c r="AE379" s="3283" t="s">
        <v>14643</v>
      </c>
      <c r="AF379" s="3284">
        <v>112</v>
      </c>
      <c r="AG379" s="3285">
        <v>219</v>
      </c>
      <c r="AH379" s="3286">
        <v>147</v>
      </c>
      <c r="AI379"/>
      <c r="AJ379" s="5141"/>
      <c r="AK379" s="3299" t="s">
        <v>14644</v>
      </c>
      <c r="AL379" s="3283" t="s">
        <v>14645</v>
      </c>
      <c r="AM379" s="3284">
        <v>22</v>
      </c>
      <c r="AN379" s="3285">
        <v>184</v>
      </c>
      <c r="AO379" s="3286">
        <v>78</v>
      </c>
      <c r="AQ379" s="2730">
        <v>1</v>
      </c>
    </row>
    <row r="380" spans="22:43" ht="21" customHeight="1">
      <c r="V380" s="5142"/>
      <c r="W380" s="3313" t="s">
        <v>14646</v>
      </c>
      <c r="X380" s="3293" t="s">
        <v>14647</v>
      </c>
      <c r="Y380" s="3294">
        <v>127</v>
      </c>
      <c r="Z380" s="3295">
        <v>127</v>
      </c>
      <c r="AA380" s="3296">
        <v>127</v>
      </c>
      <c r="AB380"/>
      <c r="AC380" s="5143"/>
      <c r="AD380" s="3288" t="s">
        <v>14648</v>
      </c>
      <c r="AE380" s="3283" t="s">
        <v>14649</v>
      </c>
      <c r="AF380" s="3284">
        <v>0</v>
      </c>
      <c r="AG380" s="3285">
        <v>238</v>
      </c>
      <c r="AH380" s="3286">
        <v>118</v>
      </c>
      <c r="AI380"/>
      <c r="AJ380" s="5144"/>
      <c r="AK380" s="3299" t="s">
        <v>14650</v>
      </c>
      <c r="AL380" s="3283" t="s">
        <v>14651</v>
      </c>
      <c r="AM380" s="3284">
        <v>104</v>
      </c>
      <c r="AN380" s="3285">
        <v>157</v>
      </c>
      <c r="AO380" s="3286">
        <v>113</v>
      </c>
      <c r="AQ380" s="2730">
        <v>1</v>
      </c>
    </row>
    <row r="381" spans="22:43" ht="21" customHeight="1">
      <c r="V381" s="5145"/>
      <c r="W381" s="3292" t="s">
        <v>14652</v>
      </c>
      <c r="X381" s="3293" t="s">
        <v>14653</v>
      </c>
      <c r="Y381" s="3294">
        <v>125</v>
      </c>
      <c r="Z381" s="3295">
        <v>125</v>
      </c>
      <c r="AA381" s="3296">
        <v>125</v>
      </c>
      <c r="AB381"/>
      <c r="AC381" s="5146"/>
      <c r="AD381" s="3288" t="s">
        <v>14654</v>
      </c>
      <c r="AE381" s="3283" t="s">
        <v>14655</v>
      </c>
      <c r="AF381" s="3284">
        <v>67</v>
      </c>
      <c r="AG381" s="3285">
        <v>205</v>
      </c>
      <c r="AH381" s="3286">
        <v>128</v>
      </c>
      <c r="AI381"/>
      <c r="AJ381" s="5147"/>
      <c r="AK381" s="3299" t="s">
        <v>14656</v>
      </c>
      <c r="AL381" s="3283" t="s">
        <v>14657</v>
      </c>
      <c r="AM381" s="3284">
        <v>39</v>
      </c>
      <c r="AN381" s="3285">
        <v>166</v>
      </c>
      <c r="AO381" s="3286">
        <v>76</v>
      </c>
      <c r="AQ381" s="2730">
        <v>1</v>
      </c>
    </row>
    <row r="382" spans="22:43" ht="21" customHeight="1">
      <c r="V382" s="5148"/>
      <c r="W382" s="3292" t="s">
        <v>14658</v>
      </c>
      <c r="X382" s="3293" t="s">
        <v>14659</v>
      </c>
      <c r="Y382" s="3294">
        <v>122</v>
      </c>
      <c r="Z382" s="3295">
        <v>122</v>
      </c>
      <c r="AA382" s="3296">
        <v>122</v>
      </c>
      <c r="AB382"/>
      <c r="AC382" s="5149"/>
      <c r="AD382" s="3288" t="s">
        <v>14660</v>
      </c>
      <c r="AE382" s="3283" t="s">
        <v>14661</v>
      </c>
      <c r="AF382" s="3284">
        <v>0</v>
      </c>
      <c r="AG382" s="3285">
        <v>205</v>
      </c>
      <c r="AH382" s="3286">
        <v>102</v>
      </c>
      <c r="AI382"/>
      <c r="AJ382" s="5150"/>
      <c r="AK382" s="3299" t="s">
        <v>14662</v>
      </c>
      <c r="AL382" s="3283" t="s">
        <v>14663</v>
      </c>
      <c r="AM382" s="3284">
        <v>53</v>
      </c>
      <c r="AN382" s="3285">
        <v>94</v>
      </c>
      <c r="AO382" s="3286">
        <v>59</v>
      </c>
      <c r="AQ382" s="2730">
        <v>1</v>
      </c>
    </row>
    <row r="383" spans="22:43" ht="21" customHeight="1">
      <c r="V383" s="5151"/>
      <c r="W383" s="3292" t="s">
        <v>14664</v>
      </c>
      <c r="X383" s="3293" t="s">
        <v>14665</v>
      </c>
      <c r="Y383" s="3294">
        <v>120</v>
      </c>
      <c r="Z383" s="3295">
        <v>120</v>
      </c>
      <c r="AA383" s="3296">
        <v>120</v>
      </c>
      <c r="AB383"/>
      <c r="AC383" s="5152"/>
      <c r="AD383" s="3288" t="s">
        <v>14557</v>
      </c>
      <c r="AE383" s="3283" t="s">
        <v>14666</v>
      </c>
      <c r="AF383" s="3284">
        <v>60</v>
      </c>
      <c r="AG383" s="3285">
        <v>179</v>
      </c>
      <c r="AH383" s="3286">
        <v>113</v>
      </c>
      <c r="AI383"/>
      <c r="AJ383" s="5153"/>
      <c r="AK383" s="3299" t="s">
        <v>14667</v>
      </c>
      <c r="AL383" s="3283" t="s">
        <v>14668</v>
      </c>
      <c r="AM383" s="3284">
        <v>0</v>
      </c>
      <c r="AN383" s="3285">
        <v>86</v>
      </c>
      <c r="AO383" s="3286">
        <v>27</v>
      </c>
      <c r="AQ383" s="2730">
        <v>1</v>
      </c>
    </row>
    <row r="384" spans="22:43" ht="21" customHeight="1">
      <c r="V384" s="5154"/>
      <c r="W384" s="3292"/>
      <c r="X384" s="3293" t="s">
        <v>14669</v>
      </c>
      <c r="Y384" s="3294">
        <v>119</v>
      </c>
      <c r="Z384" s="3295">
        <v>119</v>
      </c>
      <c r="AA384" s="3296">
        <v>119</v>
      </c>
      <c r="AB384"/>
      <c r="AC384" s="5155"/>
      <c r="AD384" s="3299" t="s">
        <v>14670</v>
      </c>
      <c r="AE384" s="3283" t="s">
        <v>14671</v>
      </c>
      <c r="AF384" s="3284">
        <v>76</v>
      </c>
      <c r="AG384" s="3285">
        <v>166</v>
      </c>
      <c r="AH384" s="3286">
        <v>107</v>
      </c>
      <c r="AI384"/>
      <c r="AJ384" s="5156"/>
      <c r="AK384" s="3299" t="s">
        <v>14672</v>
      </c>
      <c r="AL384" s="3283" t="s">
        <v>14673</v>
      </c>
      <c r="AM384" s="3284">
        <v>24</v>
      </c>
      <c r="AN384" s="3285">
        <v>57</v>
      </c>
      <c r="AO384" s="3286">
        <v>30</v>
      </c>
      <c r="AQ384" s="2730">
        <v>1</v>
      </c>
    </row>
    <row r="385" spans="22:43" ht="21" customHeight="1">
      <c r="V385" s="5157"/>
      <c r="W385" s="3292" t="s">
        <v>14674</v>
      </c>
      <c r="X385" s="3293" t="s">
        <v>14675</v>
      </c>
      <c r="Y385" s="3294">
        <v>117</v>
      </c>
      <c r="Z385" s="3295">
        <v>117</v>
      </c>
      <c r="AA385" s="3296">
        <v>117</v>
      </c>
      <c r="AB385"/>
      <c r="AC385" s="5158"/>
      <c r="AD385" s="3299" t="s">
        <v>14676</v>
      </c>
      <c r="AE385" s="3283" t="s">
        <v>14677</v>
      </c>
      <c r="AF385" s="3284">
        <v>31</v>
      </c>
      <c r="AG385" s="3285">
        <v>160</v>
      </c>
      <c r="AH385" s="3286">
        <v>85</v>
      </c>
      <c r="AI385"/>
      <c r="AJ385" s="5159"/>
      <c r="AK385" s="3288" t="s">
        <v>14678</v>
      </c>
      <c r="AL385" s="3283" t="s">
        <v>14679</v>
      </c>
      <c r="AM385" s="3284">
        <v>191</v>
      </c>
      <c r="AN385" s="3285">
        <v>62</v>
      </c>
      <c r="AO385" s="3286">
        <v>255</v>
      </c>
      <c r="AQ385" s="2730">
        <v>1</v>
      </c>
    </row>
    <row r="386" spans="22:43" ht="21" customHeight="1">
      <c r="V386" s="5160"/>
      <c r="W386" s="3292" t="s">
        <v>14680</v>
      </c>
      <c r="X386" s="3293" t="s">
        <v>14681</v>
      </c>
      <c r="Y386" s="3294">
        <v>115</v>
      </c>
      <c r="Z386" s="3295">
        <v>115</v>
      </c>
      <c r="AA386" s="3296">
        <v>115</v>
      </c>
      <c r="AB386"/>
      <c r="AC386" s="5161"/>
      <c r="AD386" s="3288" t="s">
        <v>14682</v>
      </c>
      <c r="AE386" s="3283" t="s">
        <v>14683</v>
      </c>
      <c r="AF386" s="3284">
        <v>46</v>
      </c>
      <c r="AG386" s="3285">
        <v>139</v>
      </c>
      <c r="AH386" s="3286">
        <v>87</v>
      </c>
      <c r="AI386"/>
      <c r="AJ386" s="5162"/>
      <c r="AK386" s="3288" t="s">
        <v>14684</v>
      </c>
      <c r="AL386" s="3283" t="s">
        <v>14685</v>
      </c>
      <c r="AM386" s="3284">
        <v>178</v>
      </c>
      <c r="AN386" s="3285">
        <v>58</v>
      </c>
      <c r="AO386" s="3286">
        <v>238</v>
      </c>
      <c r="AQ386" s="2730">
        <v>1</v>
      </c>
    </row>
    <row r="387" spans="22:43" ht="21" customHeight="1">
      <c r="V387" s="5163"/>
      <c r="W387" s="3292" t="s">
        <v>14686</v>
      </c>
      <c r="X387" s="3293" t="s">
        <v>14687</v>
      </c>
      <c r="Y387" s="3294">
        <v>112</v>
      </c>
      <c r="Z387" s="3295">
        <v>112</v>
      </c>
      <c r="AA387" s="3296">
        <v>112</v>
      </c>
      <c r="AB387"/>
      <c r="AC387" s="5164"/>
      <c r="AD387" s="3288" t="s">
        <v>14688</v>
      </c>
      <c r="AE387" s="3283" t="s">
        <v>14689</v>
      </c>
      <c r="AF387" s="3284">
        <v>0</v>
      </c>
      <c r="AG387" s="3285">
        <v>139</v>
      </c>
      <c r="AH387" s="3286">
        <v>69</v>
      </c>
      <c r="AI387"/>
      <c r="AJ387" s="5165"/>
      <c r="AK387" s="3288" t="s">
        <v>14690</v>
      </c>
      <c r="AL387" s="3283" t="s">
        <v>14691</v>
      </c>
      <c r="AM387" s="3284">
        <v>148</v>
      </c>
      <c r="AN387" s="3285">
        <v>0</v>
      </c>
      <c r="AO387" s="3286">
        <v>211</v>
      </c>
      <c r="AQ387" s="2730">
        <v>1</v>
      </c>
    </row>
    <row r="388" spans="22:43" ht="21" customHeight="1">
      <c r="V388" s="5166"/>
      <c r="W388" s="3292" t="s">
        <v>14692</v>
      </c>
      <c r="X388" s="3293" t="s">
        <v>14693</v>
      </c>
      <c r="Y388" s="3294">
        <v>110</v>
      </c>
      <c r="Z388" s="3295">
        <v>110</v>
      </c>
      <c r="AA388" s="3296">
        <v>110</v>
      </c>
      <c r="AB388"/>
      <c r="AC388" s="5167"/>
      <c r="AD388" s="3299" t="s">
        <v>14694</v>
      </c>
      <c r="AE388" s="3283" t="s">
        <v>14695</v>
      </c>
      <c r="AF388" s="3284">
        <v>56</v>
      </c>
      <c r="AG388" s="3285">
        <v>111</v>
      </c>
      <c r="AH388" s="3286">
        <v>72</v>
      </c>
      <c r="AI388"/>
      <c r="AJ388" s="5168"/>
      <c r="AK388" s="3288" t="s">
        <v>14696</v>
      </c>
      <c r="AL388" s="3283" t="s">
        <v>14697</v>
      </c>
      <c r="AM388" s="3284">
        <v>153</v>
      </c>
      <c r="AN388" s="3285">
        <v>50</v>
      </c>
      <c r="AO388" s="3286">
        <v>205</v>
      </c>
      <c r="AQ388" s="2730">
        <v>1</v>
      </c>
    </row>
    <row r="389" spans="22:43" ht="21" customHeight="1">
      <c r="V389" s="5169"/>
      <c r="W389" s="3292" t="s">
        <v>14698</v>
      </c>
      <c r="X389" s="3293" t="s">
        <v>14699</v>
      </c>
      <c r="Y389" s="3294">
        <v>107</v>
      </c>
      <c r="Z389" s="3295">
        <v>107</v>
      </c>
      <c r="AA389" s="3296">
        <v>107</v>
      </c>
      <c r="AB389"/>
      <c r="AC389" s="5170"/>
      <c r="AD389" s="3299" t="s">
        <v>14700</v>
      </c>
      <c r="AE389" s="3283" t="s">
        <v>14701</v>
      </c>
      <c r="AF389" s="3284">
        <v>0</v>
      </c>
      <c r="AG389" s="3285">
        <v>98</v>
      </c>
      <c r="AH389" s="3286">
        <v>45</v>
      </c>
      <c r="AI389"/>
      <c r="AJ389" s="5171"/>
      <c r="AK389" s="3288" t="s">
        <v>14702</v>
      </c>
      <c r="AL389" s="3283" t="s">
        <v>14697</v>
      </c>
      <c r="AM389" s="3284">
        <v>154</v>
      </c>
      <c r="AN389" s="3285">
        <v>50</v>
      </c>
      <c r="AO389" s="3286">
        <v>205</v>
      </c>
      <c r="AQ389" s="2730">
        <v>1</v>
      </c>
    </row>
    <row r="390" spans="22:43" ht="21" customHeight="1">
      <c r="V390" s="5172"/>
      <c r="W390" s="3292" t="s">
        <v>14703</v>
      </c>
      <c r="X390" s="3293" t="s">
        <v>14704</v>
      </c>
      <c r="Y390" s="3294">
        <v>105</v>
      </c>
      <c r="Z390" s="3295">
        <v>105</v>
      </c>
      <c r="AA390" s="3296">
        <v>105</v>
      </c>
      <c r="AB390"/>
      <c r="AC390" s="5173"/>
      <c r="AD390" s="3299" t="s">
        <v>14705</v>
      </c>
      <c r="AE390" s="3283" t="s">
        <v>14706</v>
      </c>
      <c r="AF390" s="3284">
        <v>23</v>
      </c>
      <c r="AG390" s="3285">
        <v>87</v>
      </c>
      <c r="AH390" s="3286">
        <v>50</v>
      </c>
      <c r="AI390"/>
      <c r="AJ390" s="5174"/>
      <c r="AK390" s="3288" t="s">
        <v>14707</v>
      </c>
      <c r="AL390" s="3283" t="s">
        <v>14708</v>
      </c>
      <c r="AM390" s="3284">
        <v>153</v>
      </c>
      <c r="AN390" s="3285">
        <v>50</v>
      </c>
      <c r="AO390" s="3286">
        <v>204</v>
      </c>
      <c r="AQ390" s="2730">
        <v>1</v>
      </c>
    </row>
    <row r="391" spans="22:43" ht="21" customHeight="1">
      <c r="V391" s="5175"/>
      <c r="W391" s="3292" t="s">
        <v>14709</v>
      </c>
      <c r="X391" s="3293" t="s">
        <v>14710</v>
      </c>
      <c r="Y391" s="3294">
        <v>102</v>
      </c>
      <c r="Z391" s="3295">
        <v>102</v>
      </c>
      <c r="AA391" s="3296">
        <v>102</v>
      </c>
      <c r="AB391"/>
      <c r="AC391" s="5176"/>
      <c r="AD391" s="3299" t="s">
        <v>14711</v>
      </c>
      <c r="AE391" s="3283" t="s">
        <v>14712</v>
      </c>
      <c r="AF391" s="3284">
        <v>9</v>
      </c>
      <c r="AG391" s="3285">
        <v>82</v>
      </c>
      <c r="AH391" s="3286">
        <v>40</v>
      </c>
      <c r="AI391"/>
      <c r="AJ391" s="5177"/>
      <c r="AK391" s="3299" t="s">
        <v>14713</v>
      </c>
      <c r="AL391" s="3283" t="s">
        <v>14714</v>
      </c>
      <c r="AM391" s="3284">
        <v>136</v>
      </c>
      <c r="AN391" s="3285">
        <v>77</v>
      </c>
      <c r="AO391" s="3286">
        <v>167</v>
      </c>
      <c r="AQ391" s="2730">
        <v>1</v>
      </c>
    </row>
    <row r="392" spans="22:43" ht="21" customHeight="1">
      <c r="V392" s="5178"/>
      <c r="W392" s="3292" t="s">
        <v>14715</v>
      </c>
      <c r="X392" s="3293" t="s">
        <v>14716</v>
      </c>
      <c r="Y392" s="3294">
        <v>99</v>
      </c>
      <c r="Z392" s="3295">
        <v>99</v>
      </c>
      <c r="AA392" s="3296">
        <v>99</v>
      </c>
      <c r="AB392"/>
      <c r="AC392" s="5179"/>
      <c r="AD392" s="3299" t="s">
        <v>14717</v>
      </c>
      <c r="AE392" s="3283" t="s">
        <v>14718</v>
      </c>
      <c r="AF392" s="3284">
        <v>23</v>
      </c>
      <c r="AG392" s="3285">
        <v>54</v>
      </c>
      <c r="AH392" s="3286">
        <v>32</v>
      </c>
      <c r="AI392"/>
      <c r="AJ392" s="5180"/>
      <c r="AK392" s="3288" t="s">
        <v>14719</v>
      </c>
      <c r="AL392" s="3283" t="s">
        <v>14720</v>
      </c>
      <c r="AM392" s="3284">
        <v>104</v>
      </c>
      <c r="AN392" s="3285">
        <v>34</v>
      </c>
      <c r="AO392" s="3286">
        <v>139</v>
      </c>
      <c r="AQ392" s="2730">
        <v>1</v>
      </c>
    </row>
    <row r="393" spans="22:43" ht="21" customHeight="1">
      <c r="V393" s="5181"/>
      <c r="W393" s="3292" t="s">
        <v>14721</v>
      </c>
      <c r="X393" s="3293" t="s">
        <v>14722</v>
      </c>
      <c r="Y393" s="3294">
        <v>97</v>
      </c>
      <c r="Z393" s="3295">
        <v>97</v>
      </c>
      <c r="AA393" s="3296">
        <v>97</v>
      </c>
      <c r="AB393"/>
      <c r="AC393" s="5182"/>
      <c r="AD393" s="3299" t="s">
        <v>14723</v>
      </c>
      <c r="AE393" s="3283" t="s">
        <v>14724</v>
      </c>
      <c r="AF393" s="3284">
        <v>0</v>
      </c>
      <c r="AG393" s="3285">
        <v>49</v>
      </c>
      <c r="AH393" s="3286">
        <v>24</v>
      </c>
      <c r="AI393"/>
      <c r="AJ393" s="5183"/>
      <c r="AK393" s="3299" t="s">
        <v>14725</v>
      </c>
      <c r="AL393" s="3283" t="s">
        <v>14726</v>
      </c>
      <c r="AM393" s="3284">
        <v>18</v>
      </c>
      <c r="AN393" s="3285">
        <v>13</v>
      </c>
      <c r="AO393" s="3286">
        <v>22</v>
      </c>
      <c r="AQ393" s="2730">
        <v>1</v>
      </c>
    </row>
    <row r="394" spans="22:43" ht="21" customHeight="1">
      <c r="V394" s="5184"/>
      <c r="W394" s="3313" t="s">
        <v>14279</v>
      </c>
      <c r="X394" s="3293" t="s">
        <v>14727</v>
      </c>
      <c r="Y394" s="3294">
        <v>96</v>
      </c>
      <c r="Z394" s="3295">
        <v>96</v>
      </c>
      <c r="AA394" s="3296">
        <v>96</v>
      </c>
      <c r="AB394"/>
      <c r="AC394" s="5185"/>
      <c r="AD394" s="3299" t="s">
        <v>14728</v>
      </c>
      <c r="AE394" s="3283" t="s">
        <v>14728</v>
      </c>
      <c r="AF394" s="3284">
        <v>0</v>
      </c>
      <c r="AG394" s="3285">
        <v>0</v>
      </c>
      <c r="AH394" s="3286">
        <v>0</v>
      </c>
      <c r="AI394"/>
      <c r="AJ394" s="5186"/>
      <c r="AK394" s="3288" t="s">
        <v>14729</v>
      </c>
      <c r="AL394" s="3283" t="s">
        <v>14730</v>
      </c>
      <c r="AM394" s="3284">
        <v>160</v>
      </c>
      <c r="AN394" s="3285">
        <v>32</v>
      </c>
      <c r="AO394" s="3286">
        <v>240</v>
      </c>
      <c r="AQ394" s="2730">
        <v>1</v>
      </c>
    </row>
    <row r="395" spans="22:43" ht="21" customHeight="1">
      <c r="V395" s="5187"/>
      <c r="W395" s="3292" t="s">
        <v>14731</v>
      </c>
      <c r="X395" s="3293" t="s">
        <v>14732</v>
      </c>
      <c r="Y395" s="3294">
        <v>94</v>
      </c>
      <c r="Z395" s="3295">
        <v>94</v>
      </c>
      <c r="AA395" s="3296">
        <v>94</v>
      </c>
      <c r="AB395"/>
      <c r="AC395" s="5188"/>
      <c r="AD395" s="3288" t="s">
        <v>14733</v>
      </c>
      <c r="AE395" s="3283" t="s">
        <v>14734</v>
      </c>
      <c r="AF395" s="3284">
        <v>255</v>
      </c>
      <c r="AG395" s="3285">
        <v>185</v>
      </c>
      <c r="AH395" s="3286">
        <v>15</v>
      </c>
      <c r="AI395"/>
      <c r="AJ395" s="5189"/>
      <c r="AK395" s="3288"/>
      <c r="AL395" s="3283" t="s">
        <v>14735</v>
      </c>
      <c r="AM395" s="3284">
        <v>153</v>
      </c>
      <c r="AN395" s="3285">
        <v>102</v>
      </c>
      <c r="AO395" s="3286">
        <v>204</v>
      </c>
      <c r="AQ395" s="2730">
        <v>1</v>
      </c>
    </row>
    <row r="396" spans="22:43" ht="21" customHeight="1">
      <c r="V396" s="5190"/>
      <c r="W396" s="3292" t="s">
        <v>14736</v>
      </c>
      <c r="X396" s="3293" t="s">
        <v>14737</v>
      </c>
      <c r="Y396" s="3294">
        <v>92</v>
      </c>
      <c r="Z396" s="3295">
        <v>92</v>
      </c>
      <c r="AA396" s="3296">
        <v>92</v>
      </c>
      <c r="AB396"/>
      <c r="AC396" s="5191"/>
      <c r="AD396" s="3288" t="s">
        <v>14738</v>
      </c>
      <c r="AE396" s="3283" t="s">
        <v>14739</v>
      </c>
      <c r="AF396" s="3284">
        <v>255</v>
      </c>
      <c r="AG396" s="3285">
        <v>193</v>
      </c>
      <c r="AH396" s="3286">
        <v>37</v>
      </c>
      <c r="AI396"/>
      <c r="AJ396" s="5192"/>
      <c r="AK396" s="3299" t="s">
        <v>13352</v>
      </c>
      <c r="AL396" s="3283" t="s">
        <v>14740</v>
      </c>
      <c r="AM396" s="3284">
        <v>136</v>
      </c>
      <c r="AN396" s="3285">
        <v>6</v>
      </c>
      <c r="AO396" s="3286">
        <v>206</v>
      </c>
      <c r="AQ396" s="2730">
        <v>1</v>
      </c>
    </row>
    <row r="397" spans="22:43" ht="21" customHeight="1">
      <c r="V397" s="5193"/>
      <c r="W397" s="3292" t="s">
        <v>14741</v>
      </c>
      <c r="X397" s="3293" t="s">
        <v>14742</v>
      </c>
      <c r="Y397" s="3294">
        <v>89</v>
      </c>
      <c r="Z397" s="3295">
        <v>89</v>
      </c>
      <c r="AA397" s="3296">
        <v>89</v>
      </c>
      <c r="AB397"/>
      <c r="AC397" s="5194"/>
      <c r="AD397" s="3288" t="s">
        <v>14743</v>
      </c>
      <c r="AE397" s="3283" t="s">
        <v>14744</v>
      </c>
      <c r="AF397" s="3284">
        <v>205</v>
      </c>
      <c r="AG397" s="3285">
        <v>192</v>
      </c>
      <c r="AH397" s="3286">
        <v>176</v>
      </c>
      <c r="AI397"/>
      <c r="AJ397" s="5195"/>
      <c r="AK397" s="3288" t="s">
        <v>14745</v>
      </c>
      <c r="AL397" s="3283" t="s">
        <v>14746</v>
      </c>
      <c r="AM397" s="3284">
        <v>85</v>
      </c>
      <c r="AN397" s="3285">
        <v>26</v>
      </c>
      <c r="AO397" s="3286">
        <v>139</v>
      </c>
      <c r="AQ397" s="2730">
        <v>1</v>
      </c>
    </row>
    <row r="398" spans="22:43" ht="21" customHeight="1">
      <c r="V398" s="5196"/>
      <c r="W398" s="3292" t="s">
        <v>14747</v>
      </c>
      <c r="X398" s="3293" t="s">
        <v>14748</v>
      </c>
      <c r="Y398" s="3294">
        <v>87</v>
      </c>
      <c r="Z398" s="3295">
        <v>87</v>
      </c>
      <c r="AA398" s="3296">
        <v>87</v>
      </c>
      <c r="AB398"/>
      <c r="AC398" s="5197"/>
      <c r="AD398" s="3299" t="s">
        <v>14749</v>
      </c>
      <c r="AE398" s="3283" t="s">
        <v>14750</v>
      </c>
      <c r="AF398" s="3284">
        <v>255</v>
      </c>
      <c r="AG398" s="3285">
        <v>193</v>
      </c>
      <c r="AH398" s="3286">
        <v>79</v>
      </c>
      <c r="AI398"/>
      <c r="AJ398" s="5198"/>
      <c r="AK398" s="3299" t="s">
        <v>14751</v>
      </c>
      <c r="AL398" s="3283" t="s">
        <v>14752</v>
      </c>
      <c r="AM398" s="3284">
        <v>50</v>
      </c>
      <c r="AN398" s="3285">
        <v>23</v>
      </c>
      <c r="AO398" s="3286">
        <v>77</v>
      </c>
      <c r="AQ398" s="2730">
        <v>1</v>
      </c>
    </row>
    <row r="399" spans="22:43" ht="21" customHeight="1">
      <c r="V399" s="5199"/>
      <c r="W399" s="3313" t="s">
        <v>14753</v>
      </c>
      <c r="X399" s="3293" t="s">
        <v>14754</v>
      </c>
      <c r="Y399" s="3294">
        <v>85</v>
      </c>
      <c r="Z399" s="3295">
        <v>85</v>
      </c>
      <c r="AA399" s="3296">
        <v>85</v>
      </c>
      <c r="AB399"/>
      <c r="AC399" s="5200"/>
      <c r="AD399" s="3299" t="s">
        <v>14755</v>
      </c>
      <c r="AE399" s="3283" t="s">
        <v>14756</v>
      </c>
      <c r="AF399" s="3284">
        <v>255</v>
      </c>
      <c r="AG399" s="3285">
        <v>203</v>
      </c>
      <c r="AH399" s="3286">
        <v>96</v>
      </c>
      <c r="AI399"/>
      <c r="AJ399" s="5201"/>
      <c r="AK399" s="3299" t="s">
        <v>14757</v>
      </c>
      <c r="AL399" s="3283" t="s">
        <v>14758</v>
      </c>
      <c r="AM399" s="3284">
        <v>47</v>
      </c>
      <c r="AN399" s="3285">
        <v>33</v>
      </c>
      <c r="AO399" s="3286">
        <v>64</v>
      </c>
      <c r="AQ399" s="2730">
        <v>1</v>
      </c>
    </row>
    <row r="400" spans="22:43" ht="21" customHeight="1">
      <c r="V400" s="5202"/>
      <c r="W400" s="3292" t="s">
        <v>12059</v>
      </c>
      <c r="X400" s="3293" t="s">
        <v>14759</v>
      </c>
      <c r="Y400" s="3294">
        <v>84</v>
      </c>
      <c r="Z400" s="3295">
        <v>84</v>
      </c>
      <c r="AA400" s="3296">
        <v>84</v>
      </c>
      <c r="AB400"/>
      <c r="AC400" s="5203"/>
      <c r="AD400" s="3288" t="s">
        <v>14760</v>
      </c>
      <c r="AE400" s="3283" t="s">
        <v>14761</v>
      </c>
      <c r="AF400" s="3284">
        <v>238</v>
      </c>
      <c r="AG400" s="3285">
        <v>197</v>
      </c>
      <c r="AH400" s="3286">
        <v>145</v>
      </c>
      <c r="AI400"/>
      <c r="AJ400" s="5204"/>
      <c r="AK400" s="3299" t="s">
        <v>14762</v>
      </c>
      <c r="AL400" s="3283" t="s">
        <v>14763</v>
      </c>
      <c r="AM400" s="3284">
        <v>201</v>
      </c>
      <c r="AN400" s="3285">
        <v>160</v>
      </c>
      <c r="AO400" s="3286">
        <v>220</v>
      </c>
      <c r="AQ400" s="2730">
        <v>1</v>
      </c>
    </row>
    <row r="401" spans="1:45" ht="21" customHeight="1">
      <c r="V401" s="5205"/>
      <c r="W401" s="3292" t="s">
        <v>14764</v>
      </c>
      <c r="X401" s="3293" t="s">
        <v>14765</v>
      </c>
      <c r="Y401" s="3294">
        <v>82</v>
      </c>
      <c r="Z401" s="3295">
        <v>82</v>
      </c>
      <c r="AA401" s="3296">
        <v>82</v>
      </c>
      <c r="AB401"/>
      <c r="AC401" s="5206"/>
      <c r="AD401" s="3299" t="s">
        <v>14766</v>
      </c>
      <c r="AE401" s="3283" t="s">
        <v>14767</v>
      </c>
      <c r="AF401" s="3284">
        <v>251</v>
      </c>
      <c r="AG401" s="3285">
        <v>201</v>
      </c>
      <c r="AH401" s="3286">
        <v>127</v>
      </c>
      <c r="AI401"/>
      <c r="AJ401" s="5207"/>
      <c r="AK401" s="3299" t="s">
        <v>14768</v>
      </c>
      <c r="AL401" s="3283" t="s">
        <v>14769</v>
      </c>
      <c r="AM401" s="3284">
        <v>207</v>
      </c>
      <c r="AN401" s="3285">
        <v>160</v>
      </c>
      <c r="AO401" s="3286">
        <v>233</v>
      </c>
      <c r="AQ401" s="2730">
        <v>1</v>
      </c>
    </row>
    <row r="402" spans="1:45" ht="21" customHeight="1">
      <c r="V402" s="5208"/>
      <c r="W402" s="3292" t="s">
        <v>14770</v>
      </c>
      <c r="X402" s="3293" t="s">
        <v>14771</v>
      </c>
      <c r="Y402" s="3294">
        <v>79</v>
      </c>
      <c r="Z402" s="3295">
        <v>79</v>
      </c>
      <c r="AA402" s="3296">
        <v>79</v>
      </c>
      <c r="AB402"/>
      <c r="AC402" s="5209"/>
      <c r="AD402" s="3288" t="s">
        <v>14772</v>
      </c>
      <c r="AE402" s="3283" t="s">
        <v>14773</v>
      </c>
      <c r="AF402" s="3284">
        <v>235</v>
      </c>
      <c r="AG402" s="3285">
        <v>199</v>
      </c>
      <c r="AH402" s="3286">
        <v>158</v>
      </c>
      <c r="AI402"/>
      <c r="AJ402" s="5210"/>
      <c r="AK402" s="3299" t="s">
        <v>14774</v>
      </c>
      <c r="AL402" s="3283" t="s">
        <v>14775</v>
      </c>
      <c r="AM402" s="3284">
        <v>214</v>
      </c>
      <c r="AN402" s="3285">
        <v>202</v>
      </c>
      <c r="AO402" s="3286">
        <v>221</v>
      </c>
      <c r="AQ402" s="2730">
        <v>1</v>
      </c>
    </row>
    <row r="403" spans="1:45" ht="21" customHeight="1">
      <c r="V403" s="5211"/>
      <c r="W403" s="3292" t="s">
        <v>14776</v>
      </c>
      <c r="X403" s="3293" t="s">
        <v>14777</v>
      </c>
      <c r="Y403" s="3294">
        <v>77</v>
      </c>
      <c r="Z403" s="3295">
        <v>77</v>
      </c>
      <c r="AA403" s="3296">
        <v>77</v>
      </c>
      <c r="AB403"/>
      <c r="AC403" s="5212"/>
      <c r="AD403" s="3288" t="s">
        <v>14778</v>
      </c>
      <c r="AE403" s="3283" t="s">
        <v>14779</v>
      </c>
      <c r="AF403" s="3284">
        <v>238</v>
      </c>
      <c r="AG403" s="3285">
        <v>207</v>
      </c>
      <c r="AH403" s="3286">
        <v>161</v>
      </c>
      <c r="AI403"/>
      <c r="AJ403" s="5213"/>
      <c r="AK403" s="3299" t="s">
        <v>14780</v>
      </c>
      <c r="AL403" s="3283" t="s">
        <v>14781</v>
      </c>
      <c r="AM403" s="3284">
        <v>182</v>
      </c>
      <c r="AN403" s="3285">
        <v>102</v>
      </c>
      <c r="AO403" s="3286">
        <v>210</v>
      </c>
      <c r="AQ403" s="2730">
        <v>1</v>
      </c>
    </row>
    <row r="404" spans="1:45" ht="21" customHeight="1">
      <c r="V404" s="5214"/>
      <c r="W404" s="5215"/>
      <c r="X404" s="5215"/>
      <c r="Y404" s="5216"/>
      <c r="Z404" s="5217"/>
      <c r="AA404" s="5217"/>
      <c r="AB404"/>
      <c r="AC404" s="5218"/>
      <c r="AD404" s="3288" t="s">
        <v>14782</v>
      </c>
      <c r="AE404" s="3283" t="s">
        <v>14783</v>
      </c>
      <c r="AF404" s="3284">
        <v>255</v>
      </c>
      <c r="AG404" s="3285">
        <v>211</v>
      </c>
      <c r="AH404" s="3286">
        <v>155</v>
      </c>
      <c r="AI404"/>
      <c r="AJ404" s="5219"/>
      <c r="AK404" s="5220" t="s">
        <v>14784</v>
      </c>
      <c r="AL404" s="5221" t="s">
        <v>14785</v>
      </c>
      <c r="AM404" s="5222">
        <v>64</v>
      </c>
      <c r="AN404" s="5223">
        <v>26</v>
      </c>
      <c r="AO404" s="5224">
        <v>76</v>
      </c>
      <c r="AQ404" s="2730">
        <v>1</v>
      </c>
    </row>
    <row r="405" spans="1:45" ht="21" customHeight="1">
      <c r="V405" s="5225">
        <v>9</v>
      </c>
      <c r="W405" s="5225">
        <v>23</v>
      </c>
      <c r="X405" s="5225">
        <v>37</v>
      </c>
      <c r="Y405" s="5225">
        <v>8</v>
      </c>
      <c r="Z405" s="5225">
        <v>8</v>
      </c>
      <c r="AA405" s="5225">
        <v>8</v>
      </c>
      <c r="AB405"/>
      <c r="AC405" s="5225">
        <v>9</v>
      </c>
      <c r="AD405" s="5225">
        <v>23</v>
      </c>
      <c r="AE405" s="5225">
        <v>37</v>
      </c>
      <c r="AF405" s="5225">
        <v>8</v>
      </c>
      <c r="AG405" s="5225">
        <v>8</v>
      </c>
      <c r="AH405" s="5225">
        <v>8</v>
      </c>
      <c r="AI405"/>
      <c r="AJ405" s="5225">
        <v>9</v>
      </c>
      <c r="AK405" s="5225">
        <v>23</v>
      </c>
      <c r="AL405" s="5225">
        <v>37</v>
      </c>
      <c r="AM405" s="5225">
        <v>8</v>
      </c>
      <c r="AN405" s="5225">
        <v>8</v>
      </c>
      <c r="AO405" s="5225">
        <v>8</v>
      </c>
      <c r="AQ405" s="2730">
        <v>1</v>
      </c>
    </row>
    <row r="406" spans="1:45" ht="21" customHeight="1">
      <c r="V406" s="5226">
        <f t="shared" ref="V406:AA406" ca="1" si="6">CELL("largeur",V406)</f>
        <v>9</v>
      </c>
      <c r="W406" s="5226">
        <f t="shared" ca="1" si="6"/>
        <v>23</v>
      </c>
      <c r="X406" s="5226">
        <f t="shared" ca="1" si="6"/>
        <v>37</v>
      </c>
      <c r="Y406" s="5226">
        <f t="shared" ca="1" si="6"/>
        <v>8</v>
      </c>
      <c r="Z406" s="5226">
        <f t="shared" ca="1" si="6"/>
        <v>8</v>
      </c>
      <c r="AA406" s="5226">
        <f t="shared" ca="1" si="6"/>
        <v>8</v>
      </c>
      <c r="AB406"/>
      <c r="AC406" s="5226">
        <f t="shared" ref="AC406:AH406" ca="1" si="7">CELL("largeur",AC406)</f>
        <v>9</v>
      </c>
      <c r="AD406" s="5226">
        <f t="shared" ca="1" si="7"/>
        <v>23</v>
      </c>
      <c r="AE406" s="5226">
        <f t="shared" ca="1" si="7"/>
        <v>37</v>
      </c>
      <c r="AF406" s="5226">
        <f t="shared" ca="1" si="7"/>
        <v>8</v>
      </c>
      <c r="AG406" s="5226">
        <f t="shared" ca="1" si="7"/>
        <v>8</v>
      </c>
      <c r="AH406" s="5226">
        <f t="shared" ca="1" si="7"/>
        <v>8</v>
      </c>
      <c r="AI406"/>
      <c r="AJ406" s="5226">
        <f t="shared" ref="AJ406:AO406" ca="1" si="8">CELL("largeur",AJ406)</f>
        <v>9</v>
      </c>
      <c r="AK406" s="5226">
        <f t="shared" ca="1" si="8"/>
        <v>23</v>
      </c>
      <c r="AL406" s="5226">
        <f t="shared" ca="1" si="8"/>
        <v>37</v>
      </c>
      <c r="AM406" s="5226">
        <f t="shared" ca="1" si="8"/>
        <v>8</v>
      </c>
      <c r="AN406" s="5226">
        <f t="shared" ca="1" si="8"/>
        <v>8</v>
      </c>
      <c r="AO406" s="5226">
        <f t="shared" ca="1" si="8"/>
        <v>8</v>
      </c>
      <c r="AQ406" s="2730">
        <v>1</v>
      </c>
    </row>
    <row r="407" spans="1:45" ht="21" customHeight="1">
      <c r="AQ407" s="2731" t="s">
        <v>7037</v>
      </c>
      <c r="AR407" s="3193"/>
      <c r="AS407" s="3193"/>
    </row>
    <row r="408" spans="1:45" ht="21" customHeight="1">
      <c r="A408" s="2730">
        <v>1</v>
      </c>
      <c r="B408" s="2730">
        <v>1</v>
      </c>
      <c r="C408" s="2730">
        <v>1</v>
      </c>
      <c r="D408" s="2730">
        <v>1</v>
      </c>
      <c r="E408" s="2730">
        <v>1</v>
      </c>
      <c r="F408" s="2730">
        <v>1</v>
      </c>
      <c r="G408" s="2730">
        <v>1</v>
      </c>
      <c r="H408" s="2730">
        <v>1</v>
      </c>
      <c r="I408" s="2730">
        <v>1</v>
      </c>
      <c r="J408" s="2730">
        <v>1</v>
      </c>
      <c r="K408" s="2730">
        <v>1</v>
      </c>
      <c r="L408" s="2730">
        <v>1</v>
      </c>
      <c r="M408" s="2730">
        <v>1</v>
      </c>
      <c r="N408" s="2730">
        <v>1</v>
      </c>
      <c r="O408" s="2730">
        <v>1</v>
      </c>
      <c r="P408" s="2730">
        <v>1</v>
      </c>
      <c r="Q408" s="2730">
        <v>1</v>
      </c>
      <c r="R408" s="2730">
        <v>1</v>
      </c>
      <c r="S408" s="2730">
        <v>1</v>
      </c>
      <c r="T408" s="2730">
        <v>1</v>
      </c>
      <c r="U408" s="2730">
        <v>1</v>
      </c>
      <c r="V408" s="2730">
        <v>1</v>
      </c>
      <c r="W408" s="2730">
        <v>1</v>
      </c>
      <c r="X408" s="2730">
        <v>1</v>
      </c>
      <c r="Y408" s="2730">
        <v>1</v>
      </c>
      <c r="Z408" s="2730">
        <v>1</v>
      </c>
      <c r="AA408" s="2730">
        <v>1</v>
      </c>
      <c r="AB408" s="2730">
        <v>1</v>
      </c>
      <c r="AC408" s="2730">
        <v>1</v>
      </c>
      <c r="AD408" s="2730">
        <v>1</v>
      </c>
      <c r="AE408" s="2730">
        <v>1</v>
      </c>
      <c r="AF408" s="2730">
        <v>1</v>
      </c>
      <c r="AG408" s="2730">
        <v>1</v>
      </c>
      <c r="AH408" s="2730">
        <v>1</v>
      </c>
      <c r="AI408" s="2730">
        <v>1</v>
      </c>
      <c r="AJ408" s="2730">
        <v>1</v>
      </c>
      <c r="AK408" s="2730">
        <v>1</v>
      </c>
      <c r="AL408" s="2730">
        <v>1</v>
      </c>
      <c r="AM408" s="2730">
        <v>1</v>
      </c>
      <c r="AN408" s="2730">
        <v>1</v>
      </c>
      <c r="AO408" s="2730">
        <v>1</v>
      </c>
      <c r="AP408" s="2730">
        <v>1</v>
      </c>
      <c r="AQ408" s="2732" t="str">
        <f>ADDRESS(ROW(),COLUMN(),4)</f>
        <v>AQ408</v>
      </c>
      <c r="AR408" s="3095"/>
      <c r="AS408" s="3096" t="str">
        <f>ADDRESS(ROW(),COLUMN(),4)</f>
        <v>AS408</v>
      </c>
    </row>
  </sheetData>
  <mergeCells count="35">
    <mergeCell ref="AD7:AF7"/>
    <mergeCell ref="B8:C9"/>
    <mergeCell ref="E8:F9"/>
    <mergeCell ref="AD9:AF9"/>
    <mergeCell ref="B10:C11"/>
    <mergeCell ref="K11:R11"/>
    <mergeCell ref="AD11:AF11"/>
    <mergeCell ref="B22:C23"/>
    <mergeCell ref="E22:F23"/>
    <mergeCell ref="H22:I22"/>
    <mergeCell ref="K22:T22"/>
    <mergeCell ref="B13:C14"/>
    <mergeCell ref="E13:F14"/>
    <mergeCell ref="H13:I13"/>
    <mergeCell ref="H14:I16"/>
    <mergeCell ref="B16:C17"/>
    <mergeCell ref="E16:F17"/>
    <mergeCell ref="H18:I19"/>
    <mergeCell ref="B19:C20"/>
    <mergeCell ref="E19:F20"/>
    <mergeCell ref="K20:R21"/>
    <mergeCell ref="H21:I21"/>
    <mergeCell ref="H24:I24"/>
    <mergeCell ref="B25:C26"/>
    <mergeCell ref="E25:F26"/>
    <mergeCell ref="H26:I26"/>
    <mergeCell ref="B28:C29"/>
    <mergeCell ref="E28:F29"/>
    <mergeCell ref="H29:I29"/>
    <mergeCell ref="B31:C32"/>
    <mergeCell ref="E31:F32"/>
    <mergeCell ref="H31:I31"/>
    <mergeCell ref="H32:I32"/>
    <mergeCell ref="B34:C35"/>
    <mergeCell ref="E34:F35"/>
  </mergeCells>
  <hyperlinks>
    <hyperlink ref="K20" r:id="rId1" xr:uid="{9585586E-6155-4594-B777-9FECDF8FA05B}"/>
    <hyperlink ref="AD13" r:id="rId2" xr:uid="{D8D52826-C6EB-415C-8099-9D701DD8DE96}"/>
    <hyperlink ref="AD15" r:id="rId3" xr:uid="{1774BB2C-FCEF-455C-9E89-7E3A64174B1F}"/>
    <hyperlink ref="AD17" r:id="rId4" xr:uid="{7E470ECB-EDCD-45DA-ACC9-95356017F23C}"/>
    <hyperlink ref="AD19" r:id="rId5" xr:uid="{D380003B-F9DA-4074-899F-2154261255DA}"/>
    <hyperlink ref="AD9" r:id="rId6" xr:uid="{67D96979-E19D-450B-A5AB-0C9CD94E4D19}"/>
    <hyperlink ref="AD7" r:id="rId7" xr:uid="{30CED206-D687-432F-BF37-2EFF84FB21CB}"/>
    <hyperlink ref="AD11" r:id="rId8" xr:uid="{F3C7DA5A-833B-45F8-BBA3-0E0329061C7C}"/>
    <hyperlink ref="AD21" r:id="rId9" xr:uid="{F975C733-403C-414C-8D25-CCADB53A9B89}"/>
    <hyperlink ref="K54" r:id="rId10" xr:uid="{A6FE0E46-B143-4251-86CD-87DAA600E2DF}"/>
    <hyperlink ref="V16" r:id="rId11" xr:uid="{B03C1CA0-D47A-4049-9361-FC15B07C97C0}"/>
    <hyperlink ref="V15" r:id="rId12" xr:uid="{6615E9EC-D318-41FC-9C24-AC380AB11268}"/>
    <hyperlink ref="V19" r:id="rId13" xr:uid="{E782A829-C9D6-4823-A635-D15B05C6047F}"/>
  </hyperlinks>
  <pageMargins left="0.7" right="0.7" top="0.75" bottom="0.75" header="0.3" footer="0.3"/>
  <pageSetup paperSize="9" orientation="portrait" r:id="rId1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D7946-D199-4681-AB43-6069102ACDCB}">
  <dimension ref="A1:V316"/>
  <sheetViews>
    <sheetView workbookViewId="0">
      <selection activeCell="L32" sqref="L32"/>
    </sheetView>
  </sheetViews>
  <sheetFormatPr baseColWidth="10" defaultRowHeight="15"/>
  <cols>
    <col min="1" max="1" width="6.140625" style="3170" customWidth="1"/>
    <col min="2" max="2" width="4.5703125" style="3170" customWidth="1"/>
    <col min="3" max="3" width="16.5703125" style="3170" customWidth="1"/>
    <col min="4" max="4" width="21.42578125" style="3170" customWidth="1"/>
    <col min="5" max="5" width="23" style="3170" customWidth="1"/>
    <col min="6" max="6" width="29.42578125" style="3170" customWidth="1"/>
    <col min="7" max="21" width="11.42578125" style="3170"/>
    <col min="23" max="16384" width="11.42578125" style="3170"/>
  </cols>
  <sheetData>
    <row r="1" spans="1:22">
      <c r="A1" s="12"/>
      <c r="B1" s="12"/>
      <c r="C1" s="12"/>
      <c r="D1" s="12"/>
      <c r="E1" s="12"/>
      <c r="F1" s="12"/>
      <c r="G1" s="12"/>
      <c r="H1" s="12"/>
      <c r="I1" s="12"/>
      <c r="J1" s="12"/>
      <c r="K1" s="12"/>
      <c r="L1" s="12"/>
      <c r="M1" s="12"/>
      <c r="N1" s="12"/>
      <c r="O1" s="12"/>
      <c r="P1" s="12"/>
      <c r="Q1" s="12"/>
      <c r="R1" s="12"/>
      <c r="S1" s="12"/>
      <c r="T1" s="12"/>
      <c r="U1" s="12"/>
      <c r="V1" s="2730">
        <v>1</v>
      </c>
    </row>
    <row r="2" spans="1:22">
      <c r="A2" s="12"/>
      <c r="B2" s="12"/>
      <c r="C2" s="12"/>
      <c r="D2" s="12"/>
      <c r="E2" s="12"/>
      <c r="F2" s="12"/>
      <c r="G2" s="12"/>
      <c r="H2" s="12"/>
      <c r="I2" s="12"/>
      <c r="J2" s="12"/>
      <c r="K2" s="12"/>
      <c r="L2" s="12"/>
      <c r="M2" s="12"/>
      <c r="N2" s="12"/>
      <c r="O2" s="12"/>
      <c r="P2" s="12"/>
      <c r="Q2" s="12"/>
      <c r="R2" s="12"/>
      <c r="S2" s="12"/>
      <c r="T2" s="12"/>
      <c r="U2" s="12"/>
      <c r="V2" s="2730">
        <v>1</v>
      </c>
    </row>
    <row r="3" spans="1:22">
      <c r="A3" s="12"/>
      <c r="B3" s="12"/>
      <c r="C3" s="12"/>
      <c r="D3" s="12"/>
      <c r="E3" s="12"/>
      <c r="F3" s="12"/>
      <c r="G3" s="12"/>
      <c r="H3" s="12"/>
      <c r="I3" s="12"/>
      <c r="J3" s="12"/>
      <c r="K3" s="12"/>
      <c r="L3" s="12"/>
      <c r="M3" s="12"/>
      <c r="N3" s="12"/>
      <c r="O3" s="12"/>
      <c r="P3" s="12"/>
      <c r="Q3" s="12"/>
      <c r="R3" s="12"/>
      <c r="S3" s="12"/>
      <c r="T3" s="12"/>
      <c r="U3" s="12"/>
      <c r="V3" s="2730">
        <v>1</v>
      </c>
    </row>
    <row r="4" spans="1:22" ht="18.75">
      <c r="A4" s="12"/>
      <c r="B4" s="12"/>
      <c r="C4" s="739" t="s">
        <v>11491</v>
      </c>
      <c r="D4" s="12"/>
      <c r="E4" s="12"/>
      <c r="F4" s="12"/>
      <c r="G4" s="12"/>
      <c r="H4" s="9887" t="str">
        <f>IF(ISNUMBER(IFERROR(VALUE("0,5"),"")),"sur cet ordi.saisissez une VIRGULE comme séparateur décimal",IF(ISNUMBER(IFERROR(VALUE("0.5"),"")),"sur cet ordi.saisissez un POINT comme séparateur décimal","Impossible de déterminer le séparateur décimal"))</f>
        <v>sur cet ordi.saisissez un POINT comme séparateur décimal</v>
      </c>
      <c r="I4" s="9887"/>
      <c r="J4" s="9887"/>
      <c r="K4" s="9887"/>
      <c r="L4" s="9887"/>
      <c r="M4" s="9887"/>
      <c r="N4" s="9887"/>
      <c r="O4" s="9887"/>
      <c r="P4" s="12"/>
      <c r="Q4" s="12"/>
      <c r="R4" s="12"/>
      <c r="S4" s="12"/>
      <c r="T4" s="12"/>
      <c r="U4" s="12"/>
      <c r="V4" s="2730">
        <v>1</v>
      </c>
    </row>
    <row r="5" spans="1:22">
      <c r="A5" s="12"/>
      <c r="B5" s="12"/>
      <c r="C5" s="716"/>
      <c r="D5" s="12"/>
      <c r="E5" s="12"/>
      <c r="F5" s="12"/>
      <c r="G5" s="12"/>
      <c r="H5" s="9887"/>
      <c r="I5" s="9887"/>
      <c r="J5" s="9887"/>
      <c r="K5" s="9887"/>
      <c r="L5" s="9887"/>
      <c r="M5" s="9887"/>
      <c r="N5" s="9887"/>
      <c r="O5" s="9887"/>
      <c r="P5" s="12"/>
      <c r="Q5" s="12"/>
      <c r="R5" s="12"/>
      <c r="S5" s="12"/>
      <c r="T5" s="12"/>
      <c r="U5" s="12"/>
      <c r="V5" s="2730">
        <v>1</v>
      </c>
    </row>
    <row r="6" spans="1:22">
      <c r="A6" s="12"/>
      <c r="B6" s="12"/>
      <c r="C6" s="716" t="s">
        <v>11492</v>
      </c>
      <c r="D6" s="12"/>
      <c r="E6" s="12"/>
      <c r="F6" s="12"/>
      <c r="G6" s="12"/>
      <c r="H6" s="12"/>
      <c r="I6" s="12"/>
      <c r="J6" s="12"/>
      <c r="K6" s="12"/>
      <c r="L6" s="12"/>
      <c r="M6" s="12"/>
      <c r="N6" s="12"/>
      <c r="O6" s="12"/>
      <c r="P6" s="12"/>
      <c r="Q6" s="12"/>
      <c r="R6" s="12"/>
      <c r="S6" s="12"/>
      <c r="T6" s="12"/>
      <c r="U6" s="12"/>
      <c r="V6" s="2730">
        <v>1</v>
      </c>
    </row>
    <row r="7" spans="1:22">
      <c r="A7" s="12"/>
      <c r="B7" s="12"/>
      <c r="C7" s="716" t="s">
        <v>11493</v>
      </c>
      <c r="D7" s="12"/>
      <c r="E7" s="12"/>
      <c r="F7" s="12"/>
      <c r="G7" s="12"/>
      <c r="H7" s="12"/>
      <c r="I7" s="12"/>
      <c r="J7" s="12"/>
      <c r="K7" s="12"/>
      <c r="L7" s="12"/>
      <c r="M7" s="12"/>
      <c r="N7" s="12"/>
      <c r="O7" s="12"/>
      <c r="P7" s="12"/>
      <c r="Q7" s="12"/>
      <c r="R7" s="12"/>
      <c r="S7" s="12"/>
      <c r="T7" s="12"/>
      <c r="U7" s="12"/>
      <c r="V7" s="2730">
        <v>1</v>
      </c>
    </row>
    <row r="8" spans="1:22">
      <c r="A8" s="12"/>
      <c r="B8" s="12"/>
      <c r="C8" s="716" t="s">
        <v>11494</v>
      </c>
      <c r="D8" s="12"/>
      <c r="E8" s="12"/>
      <c r="F8" s="12"/>
      <c r="G8" s="12"/>
      <c r="H8" s="12"/>
      <c r="I8" s="12"/>
      <c r="J8" s="12"/>
      <c r="K8" s="12"/>
      <c r="L8" s="12"/>
      <c r="M8" s="12"/>
      <c r="N8" s="12"/>
      <c r="O8" s="12"/>
      <c r="P8" s="12"/>
      <c r="Q8" s="12"/>
      <c r="R8" s="12"/>
      <c r="S8" s="12"/>
      <c r="T8" s="12"/>
      <c r="U8" s="12"/>
      <c r="V8" s="2730">
        <v>1</v>
      </c>
    </row>
    <row r="9" spans="1:22">
      <c r="A9" s="12"/>
      <c r="B9" s="12"/>
      <c r="C9" s="716" t="s">
        <v>11495</v>
      </c>
      <c r="D9" s="12"/>
      <c r="E9" s="12"/>
      <c r="F9" s="12"/>
      <c r="G9" s="12"/>
      <c r="H9" s="12"/>
      <c r="I9" s="12"/>
      <c r="J9" s="12"/>
      <c r="K9" s="12"/>
      <c r="L9" s="12"/>
      <c r="M9" s="12"/>
      <c r="N9" s="12"/>
      <c r="O9" s="12"/>
      <c r="P9" s="12"/>
      <c r="Q9" s="12"/>
      <c r="R9" s="12"/>
      <c r="S9" s="12"/>
      <c r="T9" s="12"/>
      <c r="U9" s="12"/>
      <c r="V9" s="2730">
        <v>1</v>
      </c>
    </row>
    <row r="10" spans="1:22">
      <c r="A10" s="12"/>
      <c r="B10" s="12"/>
      <c r="C10" s="716"/>
      <c r="D10" s="12"/>
      <c r="E10" s="12"/>
      <c r="F10" s="12"/>
      <c r="G10" s="12"/>
      <c r="H10" s="12"/>
      <c r="I10" s="12"/>
      <c r="J10" s="12"/>
      <c r="K10" s="12"/>
      <c r="L10" s="12"/>
      <c r="M10" s="12"/>
      <c r="N10" s="12"/>
      <c r="O10" s="12"/>
      <c r="P10" s="12"/>
      <c r="Q10" s="12"/>
      <c r="R10" s="12"/>
      <c r="S10" s="12"/>
      <c r="T10" s="12"/>
      <c r="U10" s="12"/>
      <c r="V10" s="2730">
        <v>1</v>
      </c>
    </row>
    <row r="11" spans="1:22" ht="15.75">
      <c r="A11" s="12"/>
      <c r="B11" s="12"/>
      <c r="C11" s="3171" t="s">
        <v>11496</v>
      </c>
      <c r="D11" s="12"/>
      <c r="E11" s="12"/>
      <c r="F11" s="12"/>
      <c r="G11" s="12"/>
      <c r="H11" s="12"/>
      <c r="I11" s="12"/>
      <c r="J11" s="12"/>
      <c r="K11" s="12"/>
      <c r="L11" s="12"/>
      <c r="M11" s="12"/>
      <c r="N11" s="12"/>
      <c r="O11" s="12"/>
      <c r="P11" s="12"/>
      <c r="Q11" s="12"/>
      <c r="R11" s="12"/>
      <c r="S11" s="12"/>
      <c r="T11" s="12"/>
      <c r="U11" s="12"/>
      <c r="V11" s="2730">
        <v>1</v>
      </c>
    </row>
    <row r="12" spans="1:22">
      <c r="A12" s="12"/>
      <c r="B12" s="12"/>
      <c r="C12" s="12"/>
      <c r="D12" s="12"/>
      <c r="E12" s="12"/>
      <c r="F12" s="12"/>
      <c r="G12" s="12"/>
      <c r="H12" s="12"/>
      <c r="I12" s="12"/>
      <c r="J12" s="12"/>
      <c r="K12" s="12"/>
      <c r="L12" s="12"/>
      <c r="M12" s="12"/>
      <c r="N12" s="12"/>
      <c r="O12" s="12"/>
      <c r="P12" s="12"/>
      <c r="Q12" s="12"/>
      <c r="R12" s="12"/>
      <c r="S12" s="12"/>
      <c r="T12" s="12"/>
      <c r="U12" s="12"/>
      <c r="V12" s="2730">
        <v>1</v>
      </c>
    </row>
    <row r="13" spans="1:22">
      <c r="A13" s="12"/>
      <c r="B13" s="12"/>
      <c r="C13" s="12" t="s">
        <v>11497</v>
      </c>
      <c r="D13" s="12"/>
      <c r="E13" s="12"/>
      <c r="F13" s="12"/>
      <c r="G13" s="12"/>
      <c r="H13" s="12"/>
      <c r="I13" s="12"/>
      <c r="J13" s="12"/>
      <c r="K13" s="12"/>
      <c r="L13" s="12"/>
      <c r="M13" s="12"/>
      <c r="N13" s="12"/>
      <c r="O13" s="12"/>
      <c r="P13" s="12"/>
      <c r="Q13" s="12"/>
      <c r="R13" s="12"/>
      <c r="S13" s="12"/>
      <c r="T13" s="12"/>
      <c r="U13" s="12"/>
      <c r="V13" s="2730">
        <v>1</v>
      </c>
    </row>
    <row r="14" spans="1:22">
      <c r="A14" s="12"/>
      <c r="B14" s="12"/>
      <c r="C14" s="12"/>
      <c r="D14" s="12"/>
      <c r="E14" s="12"/>
      <c r="F14" s="12"/>
      <c r="G14" s="12"/>
      <c r="H14" s="12"/>
      <c r="I14" s="12"/>
      <c r="J14" s="12"/>
      <c r="K14" s="12"/>
      <c r="L14" s="12"/>
      <c r="M14" s="12"/>
      <c r="N14" s="12"/>
      <c r="O14" s="12"/>
      <c r="P14" s="12"/>
      <c r="Q14" s="12"/>
      <c r="R14" s="12"/>
      <c r="S14" s="12"/>
      <c r="T14" s="12"/>
      <c r="U14" s="12"/>
      <c r="V14" s="2730">
        <v>1</v>
      </c>
    </row>
    <row r="15" spans="1:22">
      <c r="A15" s="12"/>
      <c r="B15" s="12"/>
      <c r="C15" s="12" t="s">
        <v>11498</v>
      </c>
      <c r="D15" s="12"/>
      <c r="E15" s="12"/>
      <c r="F15" s="12"/>
      <c r="G15" s="12"/>
      <c r="H15" s="12"/>
      <c r="I15" s="12"/>
      <c r="J15" s="12"/>
      <c r="K15" s="12"/>
      <c r="L15" s="12"/>
      <c r="M15" s="12"/>
      <c r="N15" s="12"/>
      <c r="O15" s="12"/>
      <c r="P15" s="12"/>
      <c r="Q15" s="12"/>
      <c r="R15" s="12"/>
      <c r="S15" s="12"/>
      <c r="T15" s="12"/>
      <c r="U15" s="12"/>
      <c r="V15" s="2730">
        <v>1</v>
      </c>
    </row>
    <row r="16" spans="1:22">
      <c r="A16" s="12"/>
      <c r="B16" s="12"/>
      <c r="C16" s="12"/>
      <c r="D16" s="12"/>
      <c r="E16" s="12"/>
      <c r="F16" s="12"/>
      <c r="G16" s="12"/>
      <c r="H16" s="12"/>
      <c r="I16" s="12"/>
      <c r="J16" s="12"/>
      <c r="K16" s="12"/>
      <c r="L16" s="12"/>
      <c r="M16" s="12"/>
      <c r="N16" s="12"/>
      <c r="O16" s="12"/>
      <c r="P16" s="12"/>
      <c r="Q16" s="12"/>
      <c r="R16" s="12"/>
      <c r="S16" s="12"/>
      <c r="T16" s="12"/>
      <c r="U16" s="12"/>
      <c r="V16" s="2730">
        <v>1</v>
      </c>
    </row>
    <row r="17" spans="1:22" ht="15.75">
      <c r="A17" s="12"/>
      <c r="B17" s="12"/>
      <c r="C17" s="3171" t="s">
        <v>11499</v>
      </c>
      <c r="D17" s="12"/>
      <c r="E17" s="12"/>
      <c r="F17" s="12"/>
      <c r="G17" s="12"/>
      <c r="H17" s="12"/>
      <c r="I17" s="12"/>
      <c r="J17" s="12"/>
      <c r="K17" s="12"/>
      <c r="L17" s="12"/>
      <c r="M17" s="12"/>
      <c r="N17" s="12"/>
      <c r="O17" s="12"/>
      <c r="P17" s="12"/>
      <c r="Q17" s="12"/>
      <c r="R17" s="12"/>
      <c r="S17" s="12"/>
      <c r="T17" s="12"/>
      <c r="U17" s="12"/>
      <c r="V17" s="2730">
        <v>1</v>
      </c>
    </row>
    <row r="18" spans="1:22">
      <c r="A18" s="12"/>
      <c r="B18" s="12"/>
      <c r="C18" s="12"/>
      <c r="D18" s="12"/>
      <c r="E18" s="12"/>
      <c r="F18" s="12"/>
      <c r="G18" s="12"/>
      <c r="H18" s="12"/>
      <c r="I18" s="12"/>
      <c r="J18" s="12"/>
      <c r="K18" s="12"/>
      <c r="L18" s="12"/>
      <c r="M18" s="12"/>
      <c r="N18" s="12"/>
      <c r="O18" s="12"/>
      <c r="P18" s="12"/>
      <c r="Q18" s="12"/>
      <c r="R18" s="12"/>
      <c r="S18" s="12"/>
      <c r="T18" s="12"/>
      <c r="U18" s="12"/>
      <c r="V18" s="2730">
        <v>1</v>
      </c>
    </row>
    <row r="19" spans="1:22" ht="15.75">
      <c r="A19" s="12"/>
      <c r="B19" s="12"/>
      <c r="C19" s="3172" t="s">
        <v>11500</v>
      </c>
      <c r="D19" s="12"/>
      <c r="E19" s="12"/>
      <c r="F19" s="12"/>
      <c r="G19" s="12"/>
      <c r="H19" s="12"/>
      <c r="I19" s="12"/>
      <c r="J19" s="12"/>
      <c r="K19" s="12"/>
      <c r="L19" s="12"/>
      <c r="M19" s="12"/>
      <c r="N19" s="12"/>
      <c r="O19" s="12"/>
      <c r="P19" s="12"/>
      <c r="Q19" s="12"/>
      <c r="R19" s="12"/>
      <c r="S19" s="12"/>
      <c r="T19" s="12"/>
      <c r="U19" s="12"/>
      <c r="V19" s="2730">
        <v>1</v>
      </c>
    </row>
    <row r="20" spans="1:22" ht="15.75">
      <c r="A20" s="12"/>
      <c r="B20" s="12"/>
      <c r="C20" s="3172" t="s">
        <v>11501</v>
      </c>
      <c r="D20" s="12"/>
      <c r="E20" s="12"/>
      <c r="F20" s="12"/>
      <c r="G20" s="12"/>
      <c r="H20" s="12"/>
      <c r="I20" s="12"/>
      <c r="J20" s="12"/>
      <c r="K20" s="12"/>
      <c r="L20" s="12"/>
      <c r="M20" s="12"/>
      <c r="N20" s="12"/>
      <c r="O20" s="12"/>
      <c r="P20" s="12"/>
      <c r="Q20" s="12"/>
      <c r="R20" s="12"/>
      <c r="S20" s="12"/>
      <c r="T20" s="12"/>
      <c r="U20" s="12"/>
      <c r="V20" s="2730">
        <v>1</v>
      </c>
    </row>
    <row r="21" spans="1:22" ht="15.75">
      <c r="A21" s="12"/>
      <c r="B21" s="12"/>
      <c r="C21" s="3172" t="s">
        <v>11502</v>
      </c>
      <c r="D21" s="12"/>
      <c r="E21" s="12"/>
      <c r="F21" s="12"/>
      <c r="G21" s="12"/>
      <c r="H21" s="12"/>
      <c r="I21" s="12"/>
      <c r="J21" s="12"/>
      <c r="K21" s="12"/>
      <c r="L21" s="12"/>
      <c r="M21" s="12"/>
      <c r="N21" s="12"/>
      <c r="O21" s="12"/>
      <c r="P21" s="12"/>
      <c r="Q21" s="12"/>
      <c r="R21" s="12"/>
      <c r="S21" s="12"/>
      <c r="T21" s="12"/>
      <c r="U21" s="12"/>
      <c r="V21" s="2730">
        <v>1</v>
      </c>
    </row>
    <row r="22" spans="1:22">
      <c r="A22" s="12"/>
      <c r="B22" s="12"/>
      <c r="C22" s="12"/>
      <c r="D22" s="12"/>
      <c r="E22" s="12"/>
      <c r="F22" s="12"/>
      <c r="G22" s="12"/>
      <c r="H22" s="12"/>
      <c r="I22" s="12"/>
      <c r="J22" s="12"/>
      <c r="K22" s="12"/>
      <c r="L22" s="12"/>
      <c r="M22" s="12"/>
      <c r="N22" s="12"/>
      <c r="O22" s="12"/>
      <c r="P22" s="12"/>
      <c r="Q22" s="12"/>
      <c r="R22" s="12"/>
      <c r="S22" s="12"/>
      <c r="T22" s="12"/>
      <c r="U22" s="12"/>
      <c r="V22" s="2730">
        <v>1</v>
      </c>
    </row>
    <row r="23" spans="1:22">
      <c r="A23" s="12"/>
      <c r="B23" s="12"/>
      <c r="C23" s="2783" t="s">
        <v>11503</v>
      </c>
      <c r="D23" s="12"/>
      <c r="E23" s="12"/>
      <c r="F23" s="12"/>
      <c r="G23" s="12"/>
      <c r="H23" s="12"/>
      <c r="I23" s="12"/>
      <c r="J23" s="12"/>
      <c r="K23" s="12"/>
      <c r="L23" s="12"/>
      <c r="M23" s="12"/>
      <c r="N23" s="12"/>
      <c r="O23" s="12"/>
      <c r="P23" s="12"/>
      <c r="Q23" s="12"/>
      <c r="R23" s="12"/>
      <c r="S23" s="12"/>
      <c r="T23" s="12"/>
      <c r="U23" s="12"/>
      <c r="V23" s="2730">
        <v>1</v>
      </c>
    </row>
    <row r="24" spans="1:22">
      <c r="A24" s="12"/>
      <c r="B24" s="12"/>
      <c r="C24" s="2783" t="s">
        <v>11504</v>
      </c>
      <c r="D24" s="12"/>
      <c r="E24" s="12"/>
      <c r="F24" s="12"/>
      <c r="G24" s="12"/>
      <c r="H24" s="12"/>
      <c r="I24" s="12"/>
      <c r="J24" s="12"/>
      <c r="K24" s="12"/>
      <c r="L24" s="12"/>
      <c r="M24" s="12"/>
      <c r="N24" s="12"/>
      <c r="O24" s="12"/>
      <c r="P24" s="12"/>
      <c r="Q24" s="12"/>
      <c r="R24" s="12"/>
      <c r="S24" s="12"/>
      <c r="T24" s="12"/>
      <c r="U24" s="12"/>
      <c r="V24" s="2730">
        <v>1</v>
      </c>
    </row>
    <row r="25" spans="1:22">
      <c r="A25" s="12"/>
      <c r="B25" s="12"/>
      <c r="C25" s="2783"/>
      <c r="D25" s="12"/>
      <c r="E25" s="12"/>
      <c r="F25" s="12"/>
      <c r="G25" s="12"/>
      <c r="H25" s="12"/>
      <c r="I25" s="12"/>
      <c r="J25" s="12"/>
      <c r="K25" s="12"/>
      <c r="L25" s="12"/>
      <c r="M25" s="12"/>
      <c r="N25" s="12"/>
      <c r="O25" s="12"/>
      <c r="P25" s="12"/>
      <c r="Q25" s="12"/>
      <c r="R25" s="12"/>
      <c r="S25" s="12"/>
      <c r="T25" s="12"/>
      <c r="U25" s="12"/>
      <c r="V25" s="2730">
        <v>1</v>
      </c>
    </row>
    <row r="26" spans="1:22">
      <c r="A26" s="12"/>
      <c r="B26" s="12"/>
      <c r="C26" s="2783" t="s">
        <v>11505</v>
      </c>
      <c r="D26" s="12"/>
      <c r="E26" s="12"/>
      <c r="F26" s="12"/>
      <c r="G26" s="12"/>
      <c r="H26" s="12"/>
      <c r="I26" s="12"/>
      <c r="J26" s="12"/>
      <c r="K26" s="12"/>
      <c r="L26" s="12"/>
      <c r="M26" s="12"/>
      <c r="N26" s="12"/>
      <c r="O26" s="12"/>
      <c r="P26" s="12"/>
      <c r="Q26" s="12"/>
      <c r="R26" s="12"/>
      <c r="S26" s="12"/>
      <c r="T26" s="12"/>
      <c r="U26" s="12"/>
      <c r="V26" s="2730">
        <v>1</v>
      </c>
    </row>
    <row r="27" spans="1:22">
      <c r="A27" s="12"/>
      <c r="B27" s="12"/>
      <c r="C27" s="2783"/>
      <c r="D27" s="12"/>
      <c r="E27" s="12"/>
      <c r="F27" s="12"/>
      <c r="G27" s="12"/>
      <c r="H27" s="12"/>
      <c r="I27" s="12"/>
      <c r="J27" s="12"/>
      <c r="K27" s="12"/>
      <c r="L27" s="12"/>
      <c r="M27" s="12"/>
      <c r="N27" s="12"/>
      <c r="O27" s="12"/>
      <c r="P27" s="12"/>
      <c r="Q27" s="12"/>
      <c r="R27" s="12"/>
      <c r="S27" s="12"/>
      <c r="T27" s="12"/>
      <c r="U27" s="12"/>
      <c r="V27" s="2730">
        <v>1</v>
      </c>
    </row>
    <row r="28" spans="1:22">
      <c r="A28" s="12"/>
      <c r="B28" s="12"/>
      <c r="C28" s="12" t="s">
        <v>11506</v>
      </c>
      <c r="D28" s="12"/>
      <c r="E28" s="12"/>
      <c r="F28" s="12"/>
      <c r="G28" s="12"/>
      <c r="H28" s="12"/>
      <c r="I28" s="12"/>
      <c r="J28" s="12"/>
      <c r="K28" s="12"/>
      <c r="L28" s="12"/>
      <c r="M28" s="12"/>
      <c r="N28" s="12"/>
      <c r="O28" s="12"/>
      <c r="P28" s="12"/>
      <c r="Q28" s="12"/>
      <c r="R28" s="12"/>
      <c r="S28" s="12"/>
      <c r="T28" s="12"/>
      <c r="U28" s="12"/>
      <c r="V28" s="2730">
        <v>1</v>
      </c>
    </row>
    <row r="29" spans="1:22">
      <c r="A29" s="12"/>
      <c r="B29" s="12"/>
      <c r="C29" s="2783" t="s">
        <v>11507</v>
      </c>
      <c r="D29" s="12"/>
      <c r="E29" s="12"/>
      <c r="F29" s="12"/>
      <c r="G29" s="12"/>
      <c r="H29" s="12"/>
      <c r="I29" s="12"/>
      <c r="J29" s="12"/>
      <c r="K29" s="12"/>
      <c r="L29" s="12"/>
      <c r="M29" s="12"/>
      <c r="N29" s="12"/>
      <c r="O29" s="12"/>
      <c r="P29" s="12"/>
      <c r="Q29" s="12"/>
      <c r="R29" s="12"/>
      <c r="S29" s="12"/>
      <c r="T29" s="12"/>
      <c r="U29" s="12"/>
      <c r="V29" s="2730">
        <v>1</v>
      </c>
    </row>
    <row r="30" spans="1:22">
      <c r="A30" s="12"/>
      <c r="B30" s="12"/>
      <c r="C30" s="12"/>
      <c r="D30" s="12"/>
      <c r="E30" s="12"/>
      <c r="F30" s="12"/>
      <c r="G30" s="12"/>
      <c r="H30" s="12"/>
      <c r="I30" s="12"/>
      <c r="J30" s="12"/>
      <c r="K30" s="12"/>
      <c r="L30" s="12"/>
      <c r="M30" s="12"/>
      <c r="N30" s="12"/>
      <c r="O30" s="12"/>
      <c r="P30" s="12"/>
      <c r="Q30" s="12"/>
      <c r="R30" s="12"/>
      <c r="S30" s="12"/>
      <c r="T30" s="12"/>
      <c r="U30" s="12"/>
      <c r="V30" s="2730">
        <v>1</v>
      </c>
    </row>
    <row r="31" spans="1:22">
      <c r="A31" s="12"/>
      <c r="B31" s="12"/>
      <c r="C31" s="12" t="s">
        <v>11508</v>
      </c>
      <c r="D31" s="12"/>
      <c r="E31" s="12"/>
      <c r="F31" s="12"/>
      <c r="G31" s="12"/>
      <c r="H31" s="12"/>
      <c r="I31" s="12"/>
      <c r="J31" s="12"/>
      <c r="K31" s="12"/>
      <c r="L31" s="12"/>
      <c r="M31" s="12"/>
      <c r="N31" s="12"/>
      <c r="O31" s="12"/>
      <c r="P31" s="12"/>
      <c r="Q31" s="12"/>
      <c r="R31" s="12"/>
      <c r="S31" s="12"/>
      <c r="T31" s="12"/>
      <c r="U31" s="12"/>
      <c r="V31" s="2730">
        <v>1</v>
      </c>
    </row>
    <row r="32" spans="1:22">
      <c r="A32" s="12"/>
      <c r="B32" s="12"/>
      <c r="C32" s="12"/>
      <c r="D32" s="12"/>
      <c r="E32" s="12"/>
      <c r="F32" s="12"/>
      <c r="G32" s="12"/>
      <c r="H32" s="12"/>
      <c r="I32" s="12"/>
      <c r="J32" s="12"/>
      <c r="K32" s="12"/>
      <c r="L32" s="12"/>
      <c r="M32" s="12"/>
      <c r="N32" s="12"/>
      <c r="O32" s="12"/>
      <c r="P32" s="12"/>
      <c r="Q32" s="12"/>
      <c r="R32" s="12"/>
      <c r="S32" s="12"/>
      <c r="T32" s="12"/>
      <c r="U32" s="12"/>
      <c r="V32" s="2730">
        <v>1</v>
      </c>
    </row>
    <row r="33" spans="1:22">
      <c r="A33" s="12"/>
      <c r="B33" s="12"/>
      <c r="C33" s="12" t="s">
        <v>11509</v>
      </c>
      <c r="D33" s="12"/>
      <c r="E33" s="12"/>
      <c r="F33" s="12"/>
      <c r="G33" s="12"/>
      <c r="H33" s="12"/>
      <c r="I33" s="12"/>
      <c r="J33" s="12"/>
      <c r="K33" s="12"/>
      <c r="L33" s="12"/>
      <c r="M33" s="12"/>
      <c r="N33" s="12"/>
      <c r="O33" s="12"/>
      <c r="P33" s="12"/>
      <c r="Q33" s="12"/>
      <c r="R33" s="12"/>
      <c r="S33" s="12"/>
      <c r="T33" s="12"/>
      <c r="U33" s="12"/>
      <c r="V33" s="2730">
        <v>1</v>
      </c>
    </row>
    <row r="34" spans="1:22">
      <c r="A34" s="12"/>
      <c r="B34" s="12"/>
      <c r="C34" s="12" t="s">
        <v>11510</v>
      </c>
      <c r="D34" s="12"/>
      <c r="E34" s="12"/>
      <c r="F34" s="12"/>
      <c r="G34" s="12"/>
      <c r="H34" s="12"/>
      <c r="I34" s="12"/>
      <c r="J34" s="12"/>
      <c r="K34" s="12"/>
      <c r="L34" s="12"/>
      <c r="M34" s="12"/>
      <c r="N34" s="12"/>
      <c r="O34" s="12"/>
      <c r="P34" s="12"/>
      <c r="Q34" s="12"/>
      <c r="R34" s="12"/>
      <c r="S34" s="12"/>
      <c r="T34" s="12"/>
      <c r="U34" s="12"/>
      <c r="V34" s="2730">
        <v>1</v>
      </c>
    </row>
    <row r="35" spans="1:22">
      <c r="A35" s="12"/>
      <c r="B35" s="12"/>
      <c r="C35" s="12"/>
      <c r="D35" s="12"/>
      <c r="E35" s="12"/>
      <c r="F35" s="12"/>
      <c r="G35" s="12"/>
      <c r="H35" s="12"/>
      <c r="I35" s="12"/>
      <c r="J35" s="12"/>
      <c r="K35" s="12"/>
      <c r="L35" s="12"/>
      <c r="M35" s="12"/>
      <c r="N35" s="12"/>
      <c r="O35" s="12"/>
      <c r="P35" s="12"/>
      <c r="Q35" s="12"/>
      <c r="R35" s="12"/>
      <c r="S35" s="12"/>
      <c r="T35" s="12"/>
      <c r="U35" s="12"/>
      <c r="V35" s="2730">
        <v>1</v>
      </c>
    </row>
    <row r="36" spans="1:22" ht="18">
      <c r="A36" s="12"/>
      <c r="B36" s="12"/>
      <c r="C36" s="3173" t="s">
        <v>11511</v>
      </c>
      <c r="D36" s="12"/>
      <c r="E36" s="12"/>
      <c r="F36" s="12"/>
      <c r="G36" s="12"/>
      <c r="H36" s="12"/>
      <c r="I36" s="12"/>
      <c r="J36" s="12"/>
      <c r="K36" s="12"/>
      <c r="L36" s="12"/>
      <c r="M36" s="12"/>
      <c r="N36" s="12"/>
      <c r="O36" s="12"/>
      <c r="P36" s="12"/>
      <c r="Q36" s="12"/>
      <c r="R36" s="12"/>
      <c r="S36" s="12"/>
      <c r="T36" s="12"/>
      <c r="U36" s="12"/>
      <c r="V36" s="2730">
        <v>1</v>
      </c>
    </row>
    <row r="37" spans="1:22">
      <c r="A37" s="12"/>
      <c r="B37" s="12"/>
      <c r="C37" s="716"/>
      <c r="D37" s="12"/>
      <c r="E37" s="12"/>
      <c r="F37" s="12"/>
      <c r="G37" s="12"/>
      <c r="H37" s="12"/>
      <c r="I37" s="12"/>
      <c r="J37" s="12"/>
      <c r="K37" s="12"/>
      <c r="L37" s="12"/>
      <c r="M37" s="12"/>
      <c r="N37" s="12"/>
      <c r="O37" s="12"/>
      <c r="P37" s="12"/>
      <c r="Q37" s="12"/>
      <c r="R37" s="12"/>
      <c r="S37" s="12"/>
      <c r="T37" s="12"/>
      <c r="U37" s="12"/>
      <c r="V37" s="2730">
        <v>1</v>
      </c>
    </row>
    <row r="38" spans="1:22">
      <c r="A38" s="12"/>
      <c r="B38" s="12"/>
      <c r="C38" s="423" t="s">
        <v>11512</v>
      </c>
      <c r="D38" s="12"/>
      <c r="E38" s="12"/>
      <c r="F38" s="12"/>
      <c r="G38" s="12"/>
      <c r="H38" s="12"/>
      <c r="I38" s="12"/>
      <c r="J38" s="12"/>
      <c r="K38" s="12"/>
      <c r="L38" s="12"/>
      <c r="M38" s="12"/>
      <c r="N38" s="12"/>
      <c r="O38" s="12"/>
      <c r="P38" s="12"/>
      <c r="Q38" s="12"/>
      <c r="R38" s="12"/>
      <c r="S38" s="12"/>
      <c r="T38" s="12"/>
      <c r="U38" s="12"/>
      <c r="V38" s="2730">
        <v>1</v>
      </c>
    </row>
    <row r="39" spans="1:22">
      <c r="A39" s="12"/>
      <c r="B39" s="12"/>
      <c r="C39" s="716"/>
      <c r="D39" s="12"/>
      <c r="E39" s="12"/>
      <c r="F39" s="12"/>
      <c r="G39" s="12"/>
      <c r="H39" s="12"/>
      <c r="I39" s="12"/>
      <c r="J39" s="12"/>
      <c r="K39" s="12"/>
      <c r="L39" s="12"/>
      <c r="M39" s="12"/>
      <c r="N39" s="12"/>
      <c r="O39" s="12"/>
      <c r="P39" s="12"/>
      <c r="Q39" s="12"/>
      <c r="R39" s="12"/>
      <c r="S39" s="12"/>
      <c r="T39" s="12"/>
      <c r="U39" s="12"/>
      <c r="V39" s="2730">
        <v>1</v>
      </c>
    </row>
    <row r="40" spans="1:22">
      <c r="A40" s="12"/>
      <c r="B40" s="12"/>
      <c r="C40" s="716" t="s">
        <v>11513</v>
      </c>
      <c r="D40" s="12"/>
      <c r="E40" s="12"/>
      <c r="F40" s="12"/>
      <c r="G40" s="12"/>
      <c r="H40" s="12"/>
      <c r="I40" s="12"/>
      <c r="J40" s="12"/>
      <c r="K40" s="12"/>
      <c r="L40" s="12"/>
      <c r="M40" s="12"/>
      <c r="N40" s="12"/>
      <c r="O40" s="12"/>
      <c r="P40" s="12"/>
      <c r="Q40" s="12"/>
      <c r="R40" s="12"/>
      <c r="S40" s="12"/>
      <c r="T40" s="12"/>
      <c r="U40" s="12"/>
      <c r="V40" s="2730">
        <v>1</v>
      </c>
    </row>
    <row r="41" spans="1:22">
      <c r="A41" s="12"/>
      <c r="B41" s="12"/>
      <c r="C41" s="716" t="s">
        <v>11514</v>
      </c>
      <c r="D41" s="12"/>
      <c r="E41" s="12"/>
      <c r="F41" s="12"/>
      <c r="G41" s="12"/>
      <c r="H41" s="12"/>
      <c r="I41" s="12"/>
      <c r="J41" s="12"/>
      <c r="K41" s="12"/>
      <c r="L41" s="12"/>
      <c r="M41" s="12"/>
      <c r="N41" s="12"/>
      <c r="O41" s="12"/>
      <c r="P41" s="12"/>
      <c r="Q41" s="12"/>
      <c r="R41" s="12"/>
      <c r="S41" s="12"/>
      <c r="T41" s="12"/>
      <c r="U41" s="12"/>
      <c r="V41" s="2730">
        <v>1</v>
      </c>
    </row>
    <row r="42" spans="1:22">
      <c r="A42" s="12"/>
      <c r="B42" s="12"/>
      <c r="C42" s="3174" t="s">
        <v>11515</v>
      </c>
      <c r="D42" s="12"/>
      <c r="E42" s="12"/>
      <c r="F42" s="12"/>
      <c r="G42" s="12"/>
      <c r="H42" s="12"/>
      <c r="I42" s="12"/>
      <c r="J42" s="12"/>
      <c r="K42" s="12"/>
      <c r="L42" s="12"/>
      <c r="M42" s="12"/>
      <c r="N42" s="12"/>
      <c r="O42" s="12"/>
      <c r="P42" s="12"/>
      <c r="Q42" s="12"/>
      <c r="R42" s="12"/>
      <c r="S42" s="12"/>
      <c r="T42" s="12"/>
      <c r="U42" s="12"/>
      <c r="V42" s="2730">
        <v>1</v>
      </c>
    </row>
    <row r="43" spans="1:22">
      <c r="A43" s="12"/>
      <c r="B43" s="12"/>
      <c r="C43" s="716"/>
      <c r="D43" s="12"/>
      <c r="E43" s="12"/>
      <c r="F43" s="12"/>
      <c r="G43" s="12"/>
      <c r="H43" s="12"/>
      <c r="I43" s="12"/>
      <c r="J43" s="12"/>
      <c r="K43" s="12"/>
      <c r="L43" s="12"/>
      <c r="M43" s="12"/>
      <c r="N43" s="12"/>
      <c r="O43" s="12"/>
      <c r="P43" s="12"/>
      <c r="Q43" s="12"/>
      <c r="R43" s="12"/>
      <c r="S43" s="12"/>
      <c r="T43" s="12"/>
      <c r="U43" s="12"/>
      <c r="V43" s="2730">
        <v>1</v>
      </c>
    </row>
    <row r="44" spans="1:22">
      <c r="A44" s="12"/>
      <c r="B44" s="12"/>
      <c r="C44" s="423" t="s">
        <v>11516</v>
      </c>
      <c r="D44" s="12"/>
      <c r="E44" s="12"/>
      <c r="F44" s="12"/>
      <c r="G44" s="12"/>
      <c r="H44" s="12"/>
      <c r="I44" s="12"/>
      <c r="J44" s="12"/>
      <c r="K44" s="12"/>
      <c r="L44" s="12"/>
      <c r="M44" s="12"/>
      <c r="N44" s="12"/>
      <c r="O44" s="12"/>
      <c r="P44" s="12"/>
      <c r="Q44" s="12"/>
      <c r="R44" s="12"/>
      <c r="S44" s="12"/>
      <c r="T44" s="12"/>
      <c r="U44" s="12"/>
      <c r="V44" s="2730">
        <v>1</v>
      </c>
    </row>
    <row r="45" spans="1:22">
      <c r="A45" s="12"/>
      <c r="B45" s="12"/>
      <c r="C45" s="3174" t="s">
        <v>11517</v>
      </c>
      <c r="D45" s="12"/>
      <c r="E45" s="12"/>
      <c r="F45" s="12"/>
      <c r="G45" s="12"/>
      <c r="H45" s="12"/>
      <c r="I45" s="12"/>
      <c r="J45" s="12"/>
      <c r="K45" s="12"/>
      <c r="L45" s="12"/>
      <c r="M45" s="12"/>
      <c r="N45" s="12"/>
      <c r="O45" s="12"/>
      <c r="P45" s="12"/>
      <c r="Q45" s="12"/>
      <c r="R45" s="12"/>
      <c r="S45" s="12"/>
      <c r="T45" s="12"/>
      <c r="U45" s="12"/>
      <c r="V45" s="2730">
        <v>1</v>
      </c>
    </row>
    <row r="46" spans="1:22">
      <c r="A46" s="12"/>
      <c r="B46" s="12"/>
      <c r="C46" s="716" t="s">
        <v>11518</v>
      </c>
      <c r="D46" s="12"/>
      <c r="E46" s="12"/>
      <c r="F46" s="12"/>
      <c r="G46" s="12"/>
      <c r="H46" s="12"/>
      <c r="I46" s="12"/>
      <c r="J46" s="12"/>
      <c r="K46" s="12"/>
      <c r="L46" s="12"/>
      <c r="M46" s="12"/>
      <c r="N46" s="12"/>
      <c r="O46" s="12"/>
      <c r="P46" s="12"/>
      <c r="Q46" s="12"/>
      <c r="R46" s="12"/>
      <c r="S46" s="12"/>
      <c r="T46" s="12"/>
      <c r="U46" s="12"/>
      <c r="V46" s="2730">
        <v>1</v>
      </c>
    </row>
    <row r="47" spans="1:22">
      <c r="A47" s="12"/>
      <c r="B47" s="12"/>
      <c r="C47" s="12"/>
      <c r="D47" s="12"/>
      <c r="E47" s="12"/>
      <c r="F47" s="12"/>
      <c r="G47" s="12"/>
      <c r="H47" s="12"/>
      <c r="I47" s="12"/>
      <c r="J47" s="12"/>
      <c r="K47" s="12"/>
      <c r="L47" s="12"/>
      <c r="M47" s="12"/>
      <c r="N47" s="12"/>
      <c r="O47" s="12"/>
      <c r="P47" s="12"/>
      <c r="Q47" s="12"/>
      <c r="R47" s="12"/>
      <c r="S47" s="12"/>
      <c r="T47" s="12"/>
      <c r="U47" s="12"/>
      <c r="V47" s="2730">
        <v>1</v>
      </c>
    </row>
    <row r="48" spans="1:22" ht="18">
      <c r="A48" s="12"/>
      <c r="B48" s="12"/>
      <c r="C48" s="3173" t="s">
        <v>11519</v>
      </c>
      <c r="D48" s="12"/>
      <c r="E48" s="12"/>
      <c r="F48" s="12"/>
      <c r="G48" s="12"/>
      <c r="H48" s="12"/>
      <c r="I48" s="12"/>
      <c r="J48" s="12"/>
      <c r="K48" s="12"/>
      <c r="L48" s="12"/>
      <c r="M48" s="12"/>
      <c r="N48" s="12"/>
      <c r="O48" s="12"/>
      <c r="P48" s="12"/>
      <c r="Q48" s="12"/>
      <c r="R48" s="12"/>
      <c r="S48" s="12"/>
      <c r="T48" s="12"/>
      <c r="U48" s="12"/>
      <c r="V48" s="2730">
        <v>1</v>
      </c>
    </row>
    <row r="49" spans="1:22">
      <c r="A49" s="12"/>
      <c r="B49" s="12"/>
      <c r="C49" s="12" t="s">
        <v>11520</v>
      </c>
      <c r="D49" s="12"/>
      <c r="E49" s="12"/>
      <c r="F49" s="12"/>
      <c r="G49" s="12"/>
      <c r="H49" s="12"/>
      <c r="I49" s="12"/>
      <c r="J49" s="12"/>
      <c r="K49" s="12"/>
      <c r="L49" s="12"/>
      <c r="M49" s="12"/>
      <c r="N49" s="12"/>
      <c r="O49" s="12"/>
      <c r="P49" s="12"/>
      <c r="Q49" s="12"/>
      <c r="R49" s="12"/>
      <c r="S49" s="12"/>
      <c r="T49" s="12"/>
      <c r="U49" s="12"/>
      <c r="V49" s="2730">
        <v>1</v>
      </c>
    </row>
    <row r="50" spans="1:22">
      <c r="A50" s="12"/>
      <c r="B50" s="12"/>
      <c r="C50" s="2783" t="s">
        <v>11521</v>
      </c>
      <c r="D50" s="12"/>
      <c r="E50" s="12"/>
      <c r="F50" s="12"/>
      <c r="G50" s="12"/>
      <c r="H50" s="12"/>
      <c r="I50" s="12"/>
      <c r="J50" s="12"/>
      <c r="K50" s="12"/>
      <c r="L50" s="12"/>
      <c r="M50" s="12"/>
      <c r="N50" s="12"/>
      <c r="O50" s="12"/>
      <c r="P50" s="12"/>
      <c r="Q50" s="12"/>
      <c r="R50" s="12"/>
      <c r="S50" s="12"/>
      <c r="T50" s="12"/>
      <c r="U50" s="12"/>
      <c r="V50" s="2730">
        <v>1</v>
      </c>
    </row>
    <row r="51" spans="1:22">
      <c r="A51" s="12"/>
      <c r="B51" s="12"/>
      <c r="C51" s="12"/>
      <c r="D51" s="12"/>
      <c r="E51" s="12"/>
      <c r="F51" s="12"/>
      <c r="G51" s="12"/>
      <c r="H51" s="12"/>
      <c r="I51" s="12"/>
      <c r="J51" s="12"/>
      <c r="K51" s="12"/>
      <c r="L51" s="12"/>
      <c r="M51" s="12"/>
      <c r="N51" s="12"/>
      <c r="O51" s="12"/>
      <c r="P51" s="12"/>
      <c r="Q51" s="12"/>
      <c r="R51" s="12"/>
      <c r="S51" s="12"/>
      <c r="T51" s="12"/>
      <c r="U51" s="12"/>
      <c r="V51" s="2730">
        <v>1</v>
      </c>
    </row>
    <row r="52" spans="1:22">
      <c r="A52" s="12"/>
      <c r="B52" s="12"/>
      <c r="C52" s="12" t="s">
        <v>11522</v>
      </c>
      <c r="D52" s="12"/>
      <c r="E52" s="12"/>
      <c r="F52" s="12"/>
      <c r="G52" s="12"/>
      <c r="H52" s="12"/>
      <c r="I52" s="12"/>
      <c r="J52" s="12"/>
      <c r="K52" s="12"/>
      <c r="L52" s="12"/>
      <c r="M52" s="12"/>
      <c r="N52" s="12"/>
      <c r="O52" s="12"/>
      <c r="P52" s="12"/>
      <c r="Q52" s="12"/>
      <c r="R52" s="12"/>
      <c r="S52" s="12"/>
      <c r="T52" s="12"/>
      <c r="U52" s="12"/>
      <c r="V52" s="2730">
        <v>1</v>
      </c>
    </row>
    <row r="53" spans="1:22">
      <c r="A53" s="12"/>
      <c r="B53" s="12"/>
      <c r="C53" s="12"/>
      <c r="D53" s="12"/>
      <c r="E53" s="12"/>
      <c r="F53" s="12"/>
      <c r="G53" s="12"/>
      <c r="H53" s="12"/>
      <c r="I53" s="12"/>
      <c r="J53" s="12"/>
      <c r="K53" s="12"/>
      <c r="L53" s="12"/>
      <c r="M53" s="12"/>
      <c r="N53" s="12"/>
      <c r="O53" s="12"/>
      <c r="P53" s="12"/>
      <c r="Q53" s="12"/>
      <c r="R53" s="12"/>
      <c r="S53" s="12"/>
      <c r="T53" s="12"/>
      <c r="U53" s="12"/>
      <c r="V53" s="2730">
        <v>1</v>
      </c>
    </row>
    <row r="54" spans="1:22">
      <c r="A54" s="12"/>
      <c r="B54" s="12"/>
      <c r="C54" s="12" t="s">
        <v>11523</v>
      </c>
      <c r="D54" s="12"/>
      <c r="E54" s="12"/>
      <c r="F54" s="12"/>
      <c r="G54" s="12"/>
      <c r="H54" s="12"/>
      <c r="I54" s="12"/>
      <c r="J54" s="12"/>
      <c r="K54" s="12"/>
      <c r="L54" s="12"/>
      <c r="M54" s="12"/>
      <c r="N54" s="12"/>
      <c r="O54" s="12"/>
      <c r="P54" s="12"/>
      <c r="Q54" s="12"/>
      <c r="R54" s="12"/>
      <c r="S54" s="12"/>
      <c r="T54" s="12"/>
      <c r="U54" s="12"/>
      <c r="V54" s="2730">
        <v>1</v>
      </c>
    </row>
    <row r="55" spans="1:22">
      <c r="A55" s="12"/>
      <c r="B55" s="12"/>
      <c r="C55" s="12"/>
      <c r="D55" s="12"/>
      <c r="E55" s="12"/>
      <c r="F55" s="12"/>
      <c r="G55" s="12"/>
      <c r="H55" s="12"/>
      <c r="I55" s="12"/>
      <c r="J55" s="12"/>
      <c r="K55" s="12"/>
      <c r="L55" s="12"/>
      <c r="M55" s="12"/>
      <c r="N55" s="12"/>
      <c r="O55" s="12"/>
      <c r="P55" s="12"/>
      <c r="Q55" s="12"/>
      <c r="R55" s="12"/>
      <c r="S55" s="12"/>
      <c r="T55" s="12"/>
      <c r="U55" s="12"/>
      <c r="V55" s="2730">
        <v>1</v>
      </c>
    </row>
    <row r="56" spans="1:22">
      <c r="A56" s="12"/>
      <c r="B56" s="12"/>
      <c r="C56" s="12"/>
      <c r="D56" s="12"/>
      <c r="E56" s="12"/>
      <c r="F56" s="12"/>
      <c r="G56" s="12"/>
      <c r="H56" s="12"/>
      <c r="I56" s="12"/>
      <c r="J56" s="12"/>
      <c r="K56" s="12"/>
      <c r="L56" s="12"/>
      <c r="M56" s="12"/>
      <c r="N56" s="12"/>
      <c r="O56" s="12"/>
      <c r="P56" s="12"/>
      <c r="Q56" s="12"/>
      <c r="R56" s="12"/>
      <c r="S56" s="12"/>
      <c r="T56" s="12"/>
      <c r="U56" s="12"/>
      <c r="V56" s="2730">
        <v>1</v>
      </c>
    </row>
    <row r="57" spans="1:22" ht="18.75">
      <c r="A57" s="12"/>
      <c r="B57" s="12"/>
      <c r="C57" s="3175" t="s">
        <v>11524</v>
      </c>
      <c r="D57" s="3176"/>
      <c r="E57" s="12"/>
      <c r="F57" s="12"/>
      <c r="G57" s="12"/>
      <c r="H57" s="12"/>
      <c r="I57" s="12"/>
      <c r="J57" s="12"/>
      <c r="K57" s="12"/>
      <c r="L57" s="12"/>
      <c r="M57" s="12"/>
      <c r="N57" s="12"/>
      <c r="O57" s="12"/>
      <c r="P57" s="12"/>
      <c r="Q57" s="12"/>
      <c r="R57" s="12"/>
      <c r="S57" s="12"/>
      <c r="T57" s="12"/>
      <c r="U57" s="12"/>
      <c r="V57" s="2730">
        <v>1</v>
      </c>
    </row>
    <row r="58" spans="1:22" ht="15.75">
      <c r="A58" s="12"/>
      <c r="B58" s="12"/>
      <c r="C58" s="3177"/>
      <c r="D58" s="3176"/>
      <c r="E58" s="12"/>
      <c r="F58" s="12"/>
      <c r="G58" s="12"/>
      <c r="H58" s="12"/>
      <c r="I58" s="12"/>
      <c r="J58" s="12"/>
      <c r="K58" s="12"/>
      <c r="L58" s="12"/>
      <c r="M58" s="12"/>
      <c r="N58" s="12"/>
      <c r="O58" s="12"/>
      <c r="P58" s="12"/>
      <c r="Q58" s="12"/>
      <c r="R58" s="12"/>
      <c r="S58" s="12"/>
      <c r="T58" s="12"/>
      <c r="U58" s="12"/>
      <c r="V58" s="2730">
        <v>1</v>
      </c>
    </row>
    <row r="59" spans="1:22" ht="18.75">
      <c r="A59" s="12"/>
      <c r="B59" s="12"/>
      <c r="C59" s="3178" t="s">
        <v>11525</v>
      </c>
      <c r="D59" s="3176"/>
      <c r="E59" s="12"/>
      <c r="F59" s="12"/>
      <c r="G59" s="12"/>
      <c r="H59" s="12"/>
      <c r="I59" s="12"/>
      <c r="J59" s="12"/>
      <c r="K59" s="12"/>
      <c r="L59" s="12"/>
      <c r="M59" s="12"/>
      <c r="N59" s="12"/>
      <c r="O59" s="12"/>
      <c r="P59" s="12"/>
      <c r="Q59" s="12"/>
      <c r="R59" s="12"/>
      <c r="S59" s="12"/>
      <c r="T59" s="12"/>
      <c r="U59" s="12"/>
      <c r="V59" s="2730">
        <v>1</v>
      </c>
    </row>
    <row r="60" spans="1:22" ht="18.75">
      <c r="A60" s="12"/>
      <c r="B60" s="12"/>
      <c r="C60" s="3178"/>
      <c r="D60" s="3176"/>
      <c r="E60" s="12"/>
      <c r="F60" s="12"/>
      <c r="G60" s="12"/>
      <c r="H60" s="12"/>
      <c r="I60" s="12"/>
      <c r="J60" s="12"/>
      <c r="K60" s="12"/>
      <c r="L60" s="12"/>
      <c r="M60" s="12"/>
      <c r="N60" s="12"/>
      <c r="O60" s="12"/>
      <c r="P60" s="12"/>
      <c r="Q60" s="12"/>
      <c r="R60" s="12"/>
      <c r="S60" s="12"/>
      <c r="T60" s="12"/>
      <c r="U60" s="12"/>
      <c r="V60" s="2730">
        <v>1</v>
      </c>
    </row>
    <row r="61" spans="1:22" ht="15.75">
      <c r="A61" s="12"/>
      <c r="B61" s="12"/>
      <c r="C61" s="3179" t="s">
        <v>11526</v>
      </c>
      <c r="D61" s="3176"/>
      <c r="E61" s="12"/>
      <c r="F61" s="12"/>
      <c r="G61" s="12"/>
      <c r="H61" s="12"/>
      <c r="I61" s="12"/>
      <c r="J61" s="12"/>
      <c r="K61" s="12"/>
      <c r="L61" s="12"/>
      <c r="M61" s="12"/>
      <c r="N61" s="12"/>
      <c r="O61" s="12"/>
      <c r="P61" s="12"/>
      <c r="Q61" s="12"/>
      <c r="R61" s="12"/>
      <c r="S61" s="12"/>
      <c r="T61" s="12"/>
      <c r="U61" s="12"/>
      <c r="V61" s="2730">
        <v>1</v>
      </c>
    </row>
    <row r="62" spans="1:22">
      <c r="A62" s="12"/>
      <c r="B62" s="12"/>
      <c r="C62" s="12"/>
      <c r="D62" s="3176"/>
      <c r="E62" s="12"/>
      <c r="F62" s="12"/>
      <c r="G62" s="12"/>
      <c r="H62" s="12"/>
      <c r="I62" s="12"/>
      <c r="J62" s="12"/>
      <c r="K62" s="12"/>
      <c r="L62" s="12"/>
      <c r="M62" s="12"/>
      <c r="N62" s="12"/>
      <c r="O62" s="12"/>
      <c r="P62" s="12"/>
      <c r="Q62" s="12"/>
      <c r="R62" s="12"/>
      <c r="S62" s="12"/>
      <c r="T62" s="12"/>
      <c r="U62" s="12"/>
      <c r="V62" s="2730">
        <v>1</v>
      </c>
    </row>
    <row r="63" spans="1:22" ht="15.75">
      <c r="A63" s="674" t="s">
        <v>11527</v>
      </c>
      <c r="B63" s="12"/>
      <c r="C63" s="3177" t="s">
        <v>11498</v>
      </c>
      <c r="D63" s="3176"/>
      <c r="E63" s="12"/>
      <c r="F63" s="12"/>
      <c r="G63" s="12"/>
      <c r="H63" s="12"/>
      <c r="I63" s="12"/>
      <c r="J63" s="12"/>
      <c r="K63" s="12"/>
      <c r="L63" s="12"/>
      <c r="M63" s="12"/>
      <c r="N63" s="12"/>
      <c r="O63" s="12"/>
      <c r="P63" s="12"/>
      <c r="Q63" s="12"/>
      <c r="R63" s="12"/>
      <c r="S63" s="12"/>
      <c r="T63" s="12"/>
      <c r="U63" s="12"/>
      <c r="V63" s="2730">
        <v>1</v>
      </c>
    </row>
    <row r="64" spans="1:22" ht="15.75">
      <c r="A64" s="714">
        <f>LEN(C64)</f>
        <v>877</v>
      </c>
      <c r="B64" s="674"/>
      <c r="C64" s="3171" t="s">
        <v>11528</v>
      </c>
      <c r="D64" s="12"/>
      <c r="E64" s="12"/>
      <c r="F64" s="12"/>
      <c r="G64" s="12"/>
      <c r="H64" s="12"/>
      <c r="I64" s="12"/>
      <c r="J64" s="12"/>
      <c r="K64" s="12"/>
      <c r="L64" s="12"/>
      <c r="M64" s="12"/>
      <c r="N64" s="12"/>
      <c r="O64" s="12"/>
      <c r="P64" s="12"/>
      <c r="Q64" s="12"/>
      <c r="R64" s="12"/>
      <c r="S64" s="12"/>
      <c r="T64" s="12"/>
      <c r="U64" s="12"/>
      <c r="V64" s="2730"/>
    </row>
    <row r="65" spans="1:22" ht="15.75">
      <c r="A65" s="12"/>
      <c r="B65" s="12"/>
      <c r="C65" s="3171"/>
      <c r="D65" s="12"/>
      <c r="E65" s="12"/>
      <c r="F65" s="12"/>
      <c r="G65" s="12"/>
      <c r="H65" s="12"/>
      <c r="I65" s="12"/>
      <c r="J65" s="12"/>
      <c r="K65" s="12"/>
      <c r="L65" s="12"/>
      <c r="M65" s="12"/>
      <c r="N65" s="12"/>
      <c r="O65" s="12"/>
      <c r="P65" s="12"/>
      <c r="Q65" s="12"/>
      <c r="R65" s="12"/>
      <c r="S65" s="12"/>
      <c r="T65" s="12"/>
      <c r="U65" s="12"/>
      <c r="V65" s="2730">
        <v>1</v>
      </c>
    </row>
    <row r="66" spans="1:22">
      <c r="A66" s="12"/>
      <c r="B66" s="12"/>
      <c r="C66" s="2783" t="s">
        <v>11529</v>
      </c>
      <c r="D66" s="12"/>
      <c r="E66" s="12"/>
      <c r="F66" s="12"/>
      <c r="G66" s="12"/>
      <c r="H66" s="12"/>
      <c r="I66" s="12"/>
      <c r="J66" s="12"/>
      <c r="K66" s="12"/>
      <c r="L66" s="12"/>
      <c r="M66" s="12"/>
      <c r="N66" s="12"/>
      <c r="O66" s="12"/>
      <c r="P66" s="12"/>
      <c r="Q66" s="12"/>
      <c r="R66" s="12"/>
      <c r="S66" s="12"/>
      <c r="T66" s="12"/>
      <c r="U66" s="12"/>
      <c r="V66" s="2730">
        <v>1</v>
      </c>
    </row>
    <row r="67" spans="1:22">
      <c r="A67" s="12"/>
      <c r="B67" s="12"/>
      <c r="C67" s="12"/>
      <c r="D67" s="12"/>
      <c r="E67" s="12"/>
      <c r="F67" s="12"/>
      <c r="G67" s="12"/>
      <c r="H67" s="12"/>
      <c r="I67" s="12"/>
      <c r="J67" s="12"/>
      <c r="K67" s="12"/>
      <c r="L67" s="12"/>
      <c r="M67" s="12"/>
      <c r="N67" s="12"/>
      <c r="O67" s="12"/>
      <c r="P67" s="12"/>
      <c r="Q67" s="12"/>
      <c r="R67" s="12"/>
      <c r="S67" s="12"/>
      <c r="T67" s="12"/>
      <c r="U67" s="12"/>
      <c r="V67" s="2730">
        <v>1</v>
      </c>
    </row>
    <row r="68" spans="1:22" ht="30" customHeight="1">
      <c r="A68" s="12"/>
      <c r="B68" s="12"/>
      <c r="C68" s="3177" t="s">
        <v>11530</v>
      </c>
      <c r="D68" s="12"/>
      <c r="E68" s="12"/>
      <c r="F68" s="12"/>
      <c r="G68" s="12"/>
      <c r="H68" s="12"/>
      <c r="I68" s="12"/>
      <c r="J68" s="12"/>
      <c r="K68" s="12"/>
      <c r="L68" s="12"/>
      <c r="M68" s="12"/>
      <c r="N68" s="12"/>
      <c r="O68" s="12"/>
      <c r="P68" s="12"/>
      <c r="Q68" s="12"/>
      <c r="R68" s="12"/>
      <c r="S68" s="12"/>
      <c r="T68" s="12"/>
      <c r="U68" s="12"/>
      <c r="V68" s="2730">
        <v>1</v>
      </c>
    </row>
    <row r="69" spans="1:22">
      <c r="A69" s="716"/>
      <c r="B69" s="12"/>
      <c r="C69" s="12"/>
      <c r="D69" s="12"/>
      <c r="E69" s="12"/>
      <c r="F69" s="12"/>
      <c r="G69" s="12"/>
      <c r="H69" s="12"/>
      <c r="I69" s="12"/>
      <c r="J69" s="12"/>
      <c r="K69" s="12"/>
      <c r="L69" s="12"/>
      <c r="M69" s="12"/>
      <c r="N69" s="12"/>
      <c r="O69" s="12"/>
      <c r="P69" s="12"/>
      <c r="Q69" s="12"/>
      <c r="R69" s="12"/>
      <c r="S69" s="12"/>
      <c r="T69" s="12"/>
      <c r="U69" s="12"/>
      <c r="V69" s="2730">
        <v>1</v>
      </c>
    </row>
    <row r="70" spans="1:22">
      <c r="A70" s="674">
        <f>LEN(C70)</f>
        <v>64</v>
      </c>
      <c r="B70" s="674"/>
      <c r="C70" s="12" t="s">
        <v>11531</v>
      </c>
      <c r="D70" s="12"/>
      <c r="E70" s="12"/>
      <c r="F70" s="12"/>
      <c r="G70" s="12"/>
      <c r="H70" s="12"/>
      <c r="I70" s="12"/>
      <c r="J70" s="12"/>
      <c r="K70" s="12"/>
      <c r="L70" s="12"/>
      <c r="M70" s="12"/>
      <c r="N70" s="12"/>
      <c r="O70" s="12"/>
      <c r="P70" s="12"/>
      <c r="Q70" s="12"/>
      <c r="R70" s="12"/>
      <c r="S70" s="12"/>
      <c r="T70" s="12"/>
      <c r="U70" s="12"/>
      <c r="V70" s="2730">
        <v>1</v>
      </c>
    </row>
    <row r="71" spans="1:22">
      <c r="A71" s="674">
        <f>LEN(C71)</f>
        <v>70</v>
      </c>
      <c r="B71" s="674"/>
      <c r="C71" s="12" t="s">
        <v>11532</v>
      </c>
      <c r="D71" s="12"/>
      <c r="E71" s="12"/>
      <c r="F71" s="12"/>
      <c r="G71" s="12"/>
      <c r="H71" s="12"/>
      <c r="I71" s="12"/>
      <c r="J71" s="12"/>
      <c r="K71" s="12"/>
      <c r="L71" s="12"/>
      <c r="M71" s="12"/>
      <c r="N71" s="12"/>
      <c r="O71" s="12"/>
      <c r="P71" s="12"/>
      <c r="Q71" s="12"/>
      <c r="R71" s="12"/>
      <c r="S71" s="12"/>
      <c r="T71" s="12"/>
      <c r="U71" s="12"/>
      <c r="V71" s="2730">
        <v>1</v>
      </c>
    </row>
    <row r="72" spans="1:22">
      <c r="A72" s="12"/>
      <c r="B72" s="12"/>
      <c r="C72" s="12"/>
      <c r="D72" s="12"/>
      <c r="E72" s="12"/>
      <c r="F72" s="12"/>
      <c r="G72" s="12"/>
      <c r="H72" s="12"/>
      <c r="I72" s="12"/>
      <c r="J72" s="12"/>
      <c r="K72" s="12"/>
      <c r="L72" s="12"/>
      <c r="M72" s="12"/>
      <c r="N72" s="12"/>
      <c r="O72" s="12"/>
      <c r="P72" s="12"/>
      <c r="Q72" s="12"/>
      <c r="R72" s="12"/>
      <c r="S72" s="12"/>
      <c r="T72" s="12"/>
      <c r="U72" s="12"/>
      <c r="V72" s="2730">
        <v>1</v>
      </c>
    </row>
    <row r="73" spans="1:22">
      <c r="A73" s="674">
        <f t="shared" ref="A73:A75" si="0">LEN(C73)</f>
        <v>65</v>
      </c>
      <c r="B73" s="674"/>
      <c r="C73" s="12" t="s">
        <v>11533</v>
      </c>
      <c r="D73" s="12"/>
      <c r="E73" s="12"/>
      <c r="F73" s="12"/>
      <c r="G73" s="12"/>
      <c r="H73" s="12"/>
      <c r="I73" s="12"/>
      <c r="J73" s="12"/>
      <c r="K73" s="12"/>
      <c r="L73" s="12"/>
      <c r="M73" s="12"/>
      <c r="N73" s="12"/>
      <c r="O73" s="12"/>
      <c r="P73" s="12"/>
      <c r="Q73" s="12"/>
      <c r="R73" s="12"/>
      <c r="S73" s="12"/>
      <c r="T73" s="12"/>
      <c r="U73" s="12"/>
      <c r="V73" s="2730">
        <v>1</v>
      </c>
    </row>
    <row r="74" spans="1:22">
      <c r="A74" s="674">
        <f t="shared" si="0"/>
        <v>67</v>
      </c>
      <c r="B74" s="674"/>
      <c r="C74" s="12" t="s">
        <v>11534</v>
      </c>
      <c r="D74" s="12"/>
      <c r="E74" s="12"/>
      <c r="F74" s="12"/>
      <c r="G74" s="12"/>
      <c r="H74" s="12"/>
      <c r="I74" s="12"/>
      <c r="J74" s="12"/>
      <c r="K74" s="12"/>
      <c r="L74" s="12"/>
      <c r="M74" s="12"/>
      <c r="N74" s="12"/>
      <c r="O74" s="12"/>
      <c r="P74" s="12"/>
      <c r="Q74" s="12"/>
      <c r="R74" s="12"/>
      <c r="S74" s="12"/>
      <c r="T74" s="12"/>
      <c r="U74" s="12"/>
      <c r="V74" s="2730">
        <v>1</v>
      </c>
    </row>
    <row r="75" spans="1:22">
      <c r="A75" s="674">
        <f t="shared" si="0"/>
        <v>33</v>
      </c>
      <c r="B75" s="674"/>
      <c r="C75" s="12" t="s">
        <v>11535</v>
      </c>
      <c r="D75" s="12"/>
      <c r="E75" s="12"/>
      <c r="F75" s="12"/>
      <c r="G75" s="12"/>
      <c r="H75" s="12"/>
      <c r="I75" s="12"/>
      <c r="J75" s="12"/>
      <c r="K75" s="12"/>
      <c r="L75" s="12"/>
      <c r="M75" s="12"/>
      <c r="N75" s="12"/>
      <c r="O75" s="12"/>
      <c r="P75" s="12"/>
      <c r="Q75" s="12"/>
      <c r="R75" s="12"/>
      <c r="S75" s="12"/>
      <c r="T75" s="12"/>
      <c r="U75" s="12"/>
      <c r="V75" s="2730">
        <v>1</v>
      </c>
    </row>
    <row r="76" spans="1:22">
      <c r="A76" s="12"/>
      <c r="B76" s="12"/>
      <c r="C76" s="12"/>
      <c r="D76" s="12"/>
      <c r="E76" s="12"/>
      <c r="F76" s="12"/>
      <c r="G76" s="12"/>
      <c r="H76" s="12"/>
      <c r="I76" s="12"/>
      <c r="J76" s="12"/>
      <c r="K76" s="12"/>
      <c r="L76" s="12"/>
      <c r="M76" s="12"/>
      <c r="N76" s="12"/>
      <c r="O76" s="12"/>
      <c r="P76" s="12"/>
      <c r="Q76" s="12"/>
      <c r="R76" s="12"/>
      <c r="S76" s="12"/>
      <c r="T76" s="12"/>
      <c r="U76" s="12"/>
      <c r="V76" s="2730">
        <v>1</v>
      </c>
    </row>
    <row r="77" spans="1:22">
      <c r="A77" s="674">
        <f t="shared" ref="A77:A78" si="1">LEN(C77)</f>
        <v>64</v>
      </c>
      <c r="B77" s="674"/>
      <c r="C77" s="12" t="s">
        <v>11536</v>
      </c>
      <c r="D77" s="12"/>
      <c r="E77" s="12"/>
      <c r="F77" s="12"/>
      <c r="G77" s="12"/>
      <c r="H77" s="12"/>
      <c r="I77" s="12"/>
      <c r="J77" s="12"/>
      <c r="K77" s="12"/>
      <c r="L77" s="12"/>
      <c r="M77" s="12"/>
      <c r="N77" s="12"/>
      <c r="O77" s="12"/>
      <c r="P77" s="12"/>
      <c r="Q77" s="12"/>
      <c r="R77" s="12"/>
      <c r="S77" s="12"/>
      <c r="T77" s="12"/>
      <c r="U77" s="12"/>
      <c r="V77" s="2730">
        <v>1</v>
      </c>
    </row>
    <row r="78" spans="1:22">
      <c r="A78" s="674">
        <f t="shared" si="1"/>
        <v>56</v>
      </c>
      <c r="B78" s="674"/>
      <c r="C78" s="12" t="s">
        <v>11537</v>
      </c>
      <c r="D78" s="12"/>
      <c r="E78" s="12"/>
      <c r="F78" s="12"/>
      <c r="G78" s="12"/>
      <c r="H78" s="12"/>
      <c r="I78" s="12"/>
      <c r="J78" s="12"/>
      <c r="K78" s="12"/>
      <c r="L78" s="12"/>
      <c r="M78" s="12"/>
      <c r="N78" s="12"/>
      <c r="O78" s="12"/>
      <c r="P78" s="12"/>
      <c r="Q78" s="12"/>
      <c r="R78" s="12"/>
      <c r="S78" s="12"/>
      <c r="T78" s="12"/>
      <c r="U78" s="12"/>
      <c r="V78" s="2730">
        <v>1</v>
      </c>
    </row>
    <row r="79" spans="1:22">
      <c r="A79" s="12"/>
      <c r="B79" s="12"/>
      <c r="C79" s="12"/>
      <c r="D79" s="12"/>
      <c r="E79" s="12"/>
      <c r="F79" s="12"/>
      <c r="G79" s="12"/>
      <c r="H79" s="12"/>
      <c r="I79" s="12"/>
      <c r="J79" s="12"/>
      <c r="K79" s="12"/>
      <c r="L79" s="12"/>
      <c r="M79" s="12"/>
      <c r="N79" s="12"/>
      <c r="O79" s="12"/>
      <c r="P79" s="12"/>
      <c r="Q79" s="12"/>
      <c r="R79" s="12"/>
      <c r="S79" s="12"/>
      <c r="T79" s="12"/>
      <c r="U79" s="12"/>
      <c r="V79" s="2730">
        <v>1</v>
      </c>
    </row>
    <row r="80" spans="1:22">
      <c r="A80" s="674">
        <f t="shared" ref="A80:A82" si="2">LEN(C80)</f>
        <v>61</v>
      </c>
      <c r="B80" s="674"/>
      <c r="C80" s="12" t="s">
        <v>11538</v>
      </c>
      <c r="D80" s="12"/>
      <c r="E80" s="12"/>
      <c r="F80" s="12"/>
      <c r="G80" s="12"/>
      <c r="H80" s="12"/>
      <c r="I80" s="12"/>
      <c r="J80" s="12"/>
      <c r="K80" s="12"/>
      <c r="L80" s="12"/>
      <c r="M80" s="12"/>
      <c r="N80" s="12"/>
      <c r="O80" s="12"/>
      <c r="P80" s="12"/>
      <c r="Q80" s="12"/>
      <c r="R80" s="12"/>
      <c r="S80" s="12"/>
      <c r="T80" s="12"/>
      <c r="U80" s="12"/>
      <c r="V80" s="2730">
        <v>1</v>
      </c>
    </row>
    <row r="81" spans="1:22">
      <c r="A81" s="674">
        <f t="shared" si="2"/>
        <v>62</v>
      </c>
      <c r="B81" s="674"/>
      <c r="C81" s="12" t="s">
        <v>11539</v>
      </c>
      <c r="D81" s="12"/>
      <c r="E81" s="12"/>
      <c r="F81" s="12"/>
      <c r="G81" s="12"/>
      <c r="H81" s="12"/>
      <c r="I81" s="12"/>
      <c r="J81" s="12"/>
      <c r="K81" s="12"/>
      <c r="L81" s="12"/>
      <c r="M81" s="12"/>
      <c r="N81" s="12"/>
      <c r="O81" s="12"/>
      <c r="P81" s="12"/>
      <c r="Q81" s="12"/>
      <c r="R81" s="12"/>
      <c r="S81" s="12"/>
      <c r="T81" s="12"/>
      <c r="U81" s="12"/>
      <c r="V81" s="2730">
        <v>1</v>
      </c>
    </row>
    <row r="82" spans="1:22">
      <c r="A82" s="674">
        <f t="shared" si="2"/>
        <v>29</v>
      </c>
      <c r="B82" s="674"/>
      <c r="C82" s="12" t="s">
        <v>11540</v>
      </c>
      <c r="D82" s="12"/>
      <c r="E82" s="12"/>
      <c r="F82" s="12"/>
      <c r="G82" s="12"/>
      <c r="H82" s="12"/>
      <c r="I82" s="12"/>
      <c r="J82" s="12"/>
      <c r="K82" s="12"/>
      <c r="L82" s="12"/>
      <c r="M82" s="12"/>
      <c r="N82" s="12"/>
      <c r="O82" s="12"/>
      <c r="P82" s="12"/>
      <c r="Q82" s="12"/>
      <c r="R82" s="12"/>
      <c r="S82" s="12"/>
      <c r="T82" s="12"/>
      <c r="U82" s="12"/>
      <c r="V82" s="2730">
        <v>1</v>
      </c>
    </row>
    <row r="83" spans="1:22">
      <c r="A83" s="12"/>
      <c r="B83" s="12"/>
      <c r="C83" s="12"/>
      <c r="D83" s="12"/>
      <c r="E83" s="12"/>
      <c r="F83" s="12"/>
      <c r="G83" s="12"/>
      <c r="H83" s="12"/>
      <c r="I83" s="12"/>
      <c r="J83" s="12"/>
      <c r="K83" s="12"/>
      <c r="L83" s="12"/>
      <c r="M83" s="12"/>
      <c r="N83" s="12"/>
      <c r="O83" s="12"/>
      <c r="P83" s="12"/>
      <c r="Q83" s="12"/>
      <c r="R83" s="12"/>
      <c r="S83" s="12"/>
      <c r="T83" s="12"/>
      <c r="U83" s="12"/>
      <c r="V83" s="2730">
        <v>1</v>
      </c>
    </row>
    <row r="84" spans="1:22">
      <c r="A84" s="674">
        <f t="shared" ref="A84:A85" si="3">LEN(C84)</f>
        <v>65</v>
      </c>
      <c r="B84" s="674"/>
      <c r="C84" s="12" t="s">
        <v>11541</v>
      </c>
      <c r="D84" s="12"/>
      <c r="E84" s="12"/>
      <c r="F84" s="12"/>
      <c r="G84" s="12"/>
      <c r="H84" s="12"/>
      <c r="I84" s="12"/>
      <c r="J84" s="12"/>
      <c r="K84" s="12"/>
      <c r="L84" s="12"/>
      <c r="M84" s="12"/>
      <c r="N84" s="12"/>
      <c r="O84" s="12"/>
      <c r="P84" s="12"/>
      <c r="Q84" s="12"/>
      <c r="R84" s="12"/>
      <c r="S84" s="12"/>
      <c r="T84" s="12"/>
      <c r="U84" s="12"/>
      <c r="V84" s="2730">
        <v>1</v>
      </c>
    </row>
    <row r="85" spans="1:22">
      <c r="A85" s="674">
        <f t="shared" si="3"/>
        <v>9</v>
      </c>
      <c r="B85" s="674"/>
      <c r="C85" s="12" t="s">
        <v>11542</v>
      </c>
      <c r="D85" s="12"/>
      <c r="E85" s="12"/>
      <c r="F85" s="12"/>
      <c r="G85" s="12"/>
      <c r="H85" s="12"/>
      <c r="I85" s="12"/>
      <c r="J85" s="12"/>
      <c r="K85" s="12"/>
      <c r="L85" s="12"/>
      <c r="M85" s="12"/>
      <c r="N85" s="12"/>
      <c r="O85" s="12"/>
      <c r="P85" s="12"/>
      <c r="Q85" s="12"/>
      <c r="R85" s="12"/>
      <c r="S85" s="12"/>
      <c r="T85" s="12"/>
      <c r="U85" s="12"/>
      <c r="V85" s="2730">
        <v>1</v>
      </c>
    </row>
    <row r="86" spans="1:22">
      <c r="A86" s="12"/>
      <c r="B86" s="12"/>
      <c r="C86" s="12"/>
      <c r="D86" s="12"/>
      <c r="E86" s="12"/>
      <c r="F86" s="12"/>
      <c r="G86" s="12"/>
      <c r="H86" s="12"/>
      <c r="I86" s="12"/>
      <c r="J86" s="12"/>
      <c r="K86" s="12"/>
      <c r="L86" s="12"/>
      <c r="M86" s="12"/>
      <c r="N86" s="12"/>
      <c r="O86" s="12"/>
      <c r="P86" s="12"/>
      <c r="Q86" s="12"/>
      <c r="R86" s="12"/>
      <c r="S86" s="12"/>
      <c r="T86" s="12"/>
      <c r="U86" s="12"/>
      <c r="V86" s="2730">
        <v>1</v>
      </c>
    </row>
    <row r="87" spans="1:22">
      <c r="A87" s="674">
        <f t="shared" ref="A87:A89" si="4">LEN(C87)</f>
        <v>8</v>
      </c>
      <c r="B87" s="674"/>
      <c r="C87" s="2783" t="s">
        <v>11543</v>
      </c>
      <c r="D87" s="12"/>
      <c r="E87" s="12"/>
      <c r="F87" s="12"/>
      <c r="G87" s="12"/>
      <c r="H87" s="12"/>
      <c r="I87" s="12"/>
      <c r="J87" s="12"/>
      <c r="K87" s="12"/>
      <c r="L87" s="12"/>
      <c r="M87" s="12"/>
      <c r="N87" s="12"/>
      <c r="O87" s="12"/>
      <c r="P87" s="12"/>
      <c r="Q87" s="12"/>
      <c r="R87" s="12"/>
      <c r="S87" s="12"/>
      <c r="T87" s="12"/>
      <c r="U87" s="12"/>
      <c r="V87" s="2730">
        <v>1</v>
      </c>
    </row>
    <row r="88" spans="1:22">
      <c r="A88" s="674">
        <f t="shared" si="4"/>
        <v>67</v>
      </c>
      <c r="B88" s="674"/>
      <c r="C88" s="12" t="s">
        <v>11544</v>
      </c>
      <c r="D88" s="12"/>
      <c r="E88" s="12"/>
      <c r="F88" s="12"/>
      <c r="G88" s="12"/>
      <c r="H88" s="12"/>
      <c r="I88" s="12"/>
      <c r="J88" s="12"/>
      <c r="K88" s="12"/>
      <c r="L88" s="12"/>
      <c r="M88" s="12"/>
      <c r="N88" s="12"/>
      <c r="O88" s="12"/>
      <c r="P88" s="12"/>
      <c r="Q88" s="12"/>
      <c r="R88" s="12"/>
      <c r="S88" s="12"/>
      <c r="T88" s="12"/>
      <c r="U88" s="12"/>
      <c r="V88" s="2730">
        <v>1</v>
      </c>
    </row>
    <row r="89" spans="1:22">
      <c r="A89" s="674">
        <f t="shared" si="4"/>
        <v>66</v>
      </c>
      <c r="B89" s="674"/>
      <c r="C89" s="12" t="s">
        <v>11545</v>
      </c>
      <c r="D89" s="12"/>
      <c r="E89" s="12"/>
      <c r="F89" s="12"/>
      <c r="G89" s="12"/>
      <c r="H89" s="12"/>
      <c r="I89" s="12"/>
      <c r="J89" s="12"/>
      <c r="K89" s="12"/>
      <c r="L89" s="12"/>
      <c r="M89" s="12"/>
      <c r="N89" s="12"/>
      <c r="O89" s="12"/>
      <c r="P89" s="12"/>
      <c r="Q89" s="12"/>
      <c r="R89" s="12"/>
      <c r="S89" s="12"/>
      <c r="T89" s="12"/>
      <c r="U89" s="12"/>
      <c r="V89" s="2730">
        <v>1</v>
      </c>
    </row>
    <row r="90" spans="1:22">
      <c r="A90" s="12"/>
      <c r="B90" s="12"/>
      <c r="C90" s="12"/>
      <c r="D90" s="12"/>
      <c r="E90" s="12"/>
      <c r="F90" s="12"/>
      <c r="G90" s="12"/>
      <c r="H90" s="12"/>
      <c r="I90" s="12"/>
      <c r="J90" s="12"/>
      <c r="K90" s="12"/>
      <c r="L90" s="12"/>
      <c r="M90" s="12"/>
      <c r="N90" s="12"/>
      <c r="O90" s="12"/>
      <c r="P90" s="12"/>
      <c r="Q90" s="12"/>
      <c r="R90" s="12"/>
      <c r="S90" s="12"/>
      <c r="T90" s="12"/>
      <c r="U90" s="12"/>
      <c r="V90" s="2730">
        <v>1</v>
      </c>
    </row>
    <row r="91" spans="1:22">
      <c r="A91" s="12"/>
      <c r="B91" s="12"/>
      <c r="C91" s="12"/>
      <c r="D91" s="12"/>
      <c r="E91" s="12"/>
      <c r="F91" s="12"/>
      <c r="G91" s="12"/>
      <c r="H91" s="12"/>
      <c r="I91" s="12"/>
      <c r="J91" s="12"/>
      <c r="K91" s="12"/>
      <c r="L91" s="12"/>
      <c r="M91" s="12"/>
      <c r="N91" s="12"/>
      <c r="O91" s="12"/>
      <c r="P91" s="12"/>
      <c r="Q91" s="12"/>
      <c r="R91" s="12"/>
      <c r="S91" s="12"/>
      <c r="T91" s="12"/>
      <c r="U91" s="12"/>
      <c r="V91" s="2730">
        <v>1</v>
      </c>
    </row>
    <row r="92" spans="1:22" ht="15.75">
      <c r="A92" s="12"/>
      <c r="B92" s="3180" t="s">
        <v>11546</v>
      </c>
      <c r="C92" s="2883" t="s">
        <v>11547</v>
      </c>
      <c r="D92" s="12"/>
      <c r="E92" s="12"/>
      <c r="F92" s="12"/>
      <c r="G92" s="12"/>
      <c r="H92" s="12"/>
      <c r="I92" s="12"/>
      <c r="J92" s="12"/>
      <c r="K92" s="12"/>
      <c r="L92" s="12"/>
      <c r="M92" s="12"/>
      <c r="N92" s="12"/>
      <c r="O92" s="12"/>
      <c r="P92" s="12"/>
      <c r="Q92" s="12"/>
      <c r="R92" s="12"/>
      <c r="S92" s="12"/>
      <c r="T92" s="12"/>
      <c r="U92" s="12"/>
      <c r="V92" s="2730">
        <v>1</v>
      </c>
    </row>
    <row r="93" spans="1:22">
      <c r="A93" s="12"/>
      <c r="B93" s="12"/>
      <c r="C93" s="2783" t="s">
        <v>11548</v>
      </c>
      <c r="D93" s="12"/>
      <c r="E93" s="12"/>
      <c r="F93" s="12"/>
      <c r="G93" s="12"/>
      <c r="H93" s="12"/>
      <c r="I93" s="12"/>
      <c r="J93" s="12"/>
      <c r="K93" s="12"/>
      <c r="L93" s="12"/>
      <c r="M93" s="12"/>
      <c r="N93" s="12"/>
      <c r="O93" s="12"/>
      <c r="P93" s="12"/>
      <c r="Q93" s="12"/>
      <c r="R93" s="12"/>
      <c r="S93" s="12"/>
      <c r="T93" s="12"/>
      <c r="U93" s="12"/>
      <c r="V93" s="2730">
        <v>1</v>
      </c>
    </row>
    <row r="94" spans="1:22">
      <c r="A94" s="12"/>
      <c r="B94" s="12"/>
      <c r="C94" s="2883" t="s">
        <v>11549</v>
      </c>
      <c r="D94" s="12"/>
      <c r="E94" s="12"/>
      <c r="F94" s="12"/>
      <c r="G94" s="12"/>
      <c r="H94" s="12"/>
      <c r="I94" s="12"/>
      <c r="J94" s="12"/>
      <c r="K94" s="12"/>
      <c r="L94" s="12"/>
      <c r="M94" s="12"/>
      <c r="N94" s="12"/>
      <c r="O94" s="12"/>
      <c r="P94" s="12"/>
      <c r="Q94" s="12"/>
      <c r="R94" s="12"/>
      <c r="S94" s="12"/>
      <c r="T94" s="12"/>
      <c r="U94" s="12"/>
      <c r="V94" s="2730">
        <v>1</v>
      </c>
    </row>
    <row r="95" spans="1:22">
      <c r="A95" s="12"/>
      <c r="B95" s="12"/>
      <c r="C95" s="12"/>
      <c r="D95" s="12"/>
      <c r="E95" s="12"/>
      <c r="F95" s="12"/>
      <c r="G95" s="12"/>
      <c r="H95" s="12"/>
      <c r="I95" s="12"/>
      <c r="J95" s="12"/>
      <c r="K95" s="12"/>
      <c r="L95" s="12"/>
      <c r="M95" s="12"/>
      <c r="N95" s="12"/>
      <c r="O95" s="12"/>
      <c r="P95" s="12"/>
      <c r="Q95" s="12"/>
      <c r="R95" s="12"/>
      <c r="S95" s="12"/>
      <c r="T95" s="12"/>
      <c r="U95" s="12"/>
      <c r="V95" s="2730">
        <v>1</v>
      </c>
    </row>
    <row r="96" spans="1:22" ht="15.75">
      <c r="A96" s="12"/>
      <c r="B96" s="3180" t="s">
        <v>11550</v>
      </c>
      <c r="C96" s="12" t="s">
        <v>11551</v>
      </c>
      <c r="D96" s="12"/>
      <c r="E96" s="12"/>
      <c r="F96" s="12"/>
      <c r="G96" s="12"/>
      <c r="H96" s="12"/>
      <c r="I96" s="12"/>
      <c r="J96" s="12"/>
      <c r="K96" s="12"/>
      <c r="L96" s="12"/>
      <c r="M96" s="12"/>
      <c r="N96" s="12"/>
      <c r="O96" s="12"/>
      <c r="P96" s="12"/>
      <c r="Q96" s="12"/>
      <c r="R96" s="12"/>
      <c r="S96" s="12"/>
      <c r="T96" s="12"/>
      <c r="U96" s="12"/>
      <c r="V96" s="2730">
        <v>1</v>
      </c>
    </row>
    <row r="97" spans="1:22">
      <c r="A97" s="12"/>
      <c r="B97" s="12"/>
      <c r="C97" s="12" t="s">
        <v>11552</v>
      </c>
      <c r="D97" s="12"/>
      <c r="E97" s="12"/>
      <c r="F97" s="12"/>
      <c r="G97" s="12"/>
      <c r="H97" s="12"/>
      <c r="I97" s="12"/>
      <c r="J97" s="12"/>
      <c r="K97" s="12"/>
      <c r="L97" s="12"/>
      <c r="M97" s="12"/>
      <c r="N97" s="12"/>
      <c r="O97" s="12"/>
      <c r="P97" s="12"/>
      <c r="Q97" s="12"/>
      <c r="R97" s="12"/>
      <c r="S97" s="12"/>
      <c r="T97" s="12"/>
      <c r="U97" s="12"/>
      <c r="V97" s="2730">
        <v>1</v>
      </c>
    </row>
    <row r="98" spans="1:22">
      <c r="A98" s="12"/>
      <c r="B98" s="12"/>
      <c r="C98" s="12" t="s">
        <v>11553</v>
      </c>
      <c r="D98" s="12"/>
      <c r="E98" s="12"/>
      <c r="F98" s="12"/>
      <c r="G98" s="12"/>
      <c r="H98" s="12"/>
      <c r="I98" s="12"/>
      <c r="J98" s="12"/>
      <c r="K98" s="12"/>
      <c r="L98" s="12"/>
      <c r="M98" s="12"/>
      <c r="N98" s="12"/>
      <c r="O98" s="12"/>
      <c r="P98" s="12"/>
      <c r="Q98" s="12"/>
      <c r="R98" s="12"/>
      <c r="S98" s="12"/>
      <c r="T98" s="12"/>
      <c r="U98" s="12"/>
      <c r="V98" s="2730">
        <v>1</v>
      </c>
    </row>
    <row r="99" spans="1:22">
      <c r="A99" s="12"/>
      <c r="B99" s="12"/>
      <c r="C99" s="12"/>
      <c r="D99" s="12"/>
      <c r="E99" s="12"/>
      <c r="F99" s="12"/>
      <c r="G99" s="12"/>
      <c r="H99" s="12"/>
      <c r="I99" s="12"/>
      <c r="J99" s="12"/>
      <c r="K99" s="12"/>
      <c r="L99" s="12"/>
      <c r="M99" s="12"/>
      <c r="N99" s="12"/>
      <c r="O99" s="12"/>
      <c r="P99" s="12"/>
      <c r="Q99" s="12"/>
      <c r="R99" s="12"/>
      <c r="S99" s="12"/>
      <c r="T99" s="12"/>
      <c r="U99" s="12"/>
      <c r="V99" s="2730">
        <v>1</v>
      </c>
    </row>
    <row r="100" spans="1:22">
      <c r="A100" s="12"/>
      <c r="B100" s="12"/>
      <c r="C100" s="12" t="s">
        <v>11554</v>
      </c>
      <c r="D100" s="12"/>
      <c r="E100" s="12"/>
      <c r="F100" s="12"/>
      <c r="G100" s="12"/>
      <c r="H100" s="12"/>
      <c r="I100" s="12"/>
      <c r="J100" s="12"/>
      <c r="K100" s="12"/>
      <c r="L100" s="12"/>
      <c r="M100" s="12"/>
      <c r="N100" s="12"/>
      <c r="O100" s="12"/>
      <c r="P100" s="12"/>
      <c r="Q100" s="12"/>
      <c r="R100" s="12"/>
      <c r="S100" s="12"/>
      <c r="T100" s="12"/>
      <c r="U100" s="12"/>
      <c r="V100" s="2730">
        <v>1</v>
      </c>
    </row>
    <row r="101" spans="1:22">
      <c r="A101" s="12"/>
      <c r="B101" s="12"/>
      <c r="C101" s="12" t="s">
        <v>11555</v>
      </c>
      <c r="D101" s="12"/>
      <c r="E101" s="12"/>
      <c r="F101" s="12"/>
      <c r="G101" s="12"/>
      <c r="H101" s="12"/>
      <c r="I101" s="12"/>
      <c r="J101" s="12"/>
      <c r="K101" s="12"/>
      <c r="L101" s="12"/>
      <c r="M101" s="12"/>
      <c r="N101" s="12"/>
      <c r="O101" s="12"/>
      <c r="P101" s="12"/>
      <c r="Q101" s="12"/>
      <c r="R101" s="12"/>
      <c r="S101" s="12"/>
      <c r="T101" s="12"/>
      <c r="U101" s="12"/>
      <c r="V101" s="2730">
        <v>1</v>
      </c>
    </row>
    <row r="102" spans="1:22">
      <c r="A102" s="12"/>
      <c r="B102" s="12"/>
      <c r="C102" s="12" t="s">
        <v>11556</v>
      </c>
      <c r="D102" s="12"/>
      <c r="E102" s="12"/>
      <c r="F102" s="12"/>
      <c r="G102" s="12"/>
      <c r="H102" s="12"/>
      <c r="I102" s="12"/>
      <c r="J102" s="12"/>
      <c r="K102" s="12"/>
      <c r="L102" s="12"/>
      <c r="M102" s="12"/>
      <c r="N102" s="12"/>
      <c r="O102" s="12"/>
      <c r="P102" s="12"/>
      <c r="Q102" s="12"/>
      <c r="R102" s="12"/>
      <c r="S102" s="12"/>
      <c r="T102" s="12"/>
      <c r="U102" s="12"/>
      <c r="V102" s="2730">
        <v>1</v>
      </c>
    </row>
    <row r="103" spans="1:22">
      <c r="A103" s="12"/>
      <c r="B103" s="12"/>
      <c r="C103" s="12"/>
      <c r="D103" s="12"/>
      <c r="E103" s="12"/>
      <c r="F103" s="12"/>
      <c r="G103" s="12"/>
      <c r="H103" s="12"/>
      <c r="I103" s="12"/>
      <c r="J103" s="12"/>
      <c r="K103" s="12"/>
      <c r="L103" s="12"/>
      <c r="M103" s="12"/>
      <c r="N103" s="12"/>
      <c r="O103" s="12"/>
      <c r="P103" s="12"/>
      <c r="Q103" s="12"/>
      <c r="R103" s="12"/>
      <c r="S103" s="12"/>
      <c r="T103" s="12"/>
      <c r="U103" s="12"/>
      <c r="V103" s="2730">
        <v>1</v>
      </c>
    </row>
    <row r="104" spans="1:22">
      <c r="A104" s="12"/>
      <c r="B104" s="12"/>
      <c r="C104" s="12" t="s">
        <v>11557</v>
      </c>
      <c r="D104" s="12"/>
      <c r="E104" s="12"/>
      <c r="F104" s="12"/>
      <c r="G104" s="12"/>
      <c r="H104" s="12"/>
      <c r="I104" s="12"/>
      <c r="J104" s="12"/>
      <c r="K104" s="12"/>
      <c r="L104" s="12"/>
      <c r="M104" s="12"/>
      <c r="N104" s="12"/>
      <c r="O104" s="12"/>
      <c r="P104" s="12"/>
      <c r="Q104" s="12"/>
      <c r="R104" s="12"/>
      <c r="S104" s="12"/>
      <c r="T104" s="12"/>
      <c r="U104" s="12"/>
      <c r="V104" s="2730">
        <v>1</v>
      </c>
    </row>
    <row r="105" spans="1:22">
      <c r="A105" s="12"/>
      <c r="B105" s="12"/>
      <c r="C105" s="12" t="s">
        <v>11558</v>
      </c>
      <c r="D105" s="12"/>
      <c r="E105" s="12"/>
      <c r="F105" s="12"/>
      <c r="G105" s="12"/>
      <c r="H105" s="12"/>
      <c r="I105" s="12"/>
      <c r="J105" s="12"/>
      <c r="K105" s="12"/>
      <c r="L105" s="12"/>
      <c r="M105" s="12"/>
      <c r="N105" s="12"/>
      <c r="O105" s="12"/>
      <c r="P105" s="12"/>
      <c r="Q105" s="12"/>
      <c r="R105" s="12"/>
      <c r="S105" s="12"/>
      <c r="T105" s="12"/>
      <c r="U105" s="12"/>
      <c r="V105" s="2730">
        <v>1</v>
      </c>
    </row>
    <row r="106" spans="1:22">
      <c r="A106" s="12"/>
      <c r="B106" s="12"/>
      <c r="C106" s="12"/>
      <c r="D106" s="12"/>
      <c r="E106" s="12"/>
      <c r="F106" s="12"/>
      <c r="G106" s="12"/>
      <c r="H106" s="12"/>
      <c r="I106" s="12"/>
      <c r="J106" s="12"/>
      <c r="K106" s="12"/>
      <c r="L106" s="12"/>
      <c r="M106" s="12"/>
      <c r="N106" s="12"/>
      <c r="O106" s="12"/>
      <c r="P106" s="12"/>
      <c r="Q106" s="12"/>
      <c r="R106" s="12"/>
      <c r="S106" s="12"/>
      <c r="T106" s="12"/>
      <c r="U106" s="12"/>
      <c r="V106" s="2730">
        <v>1</v>
      </c>
    </row>
    <row r="107" spans="1:22">
      <c r="A107" s="12"/>
      <c r="B107" s="12"/>
      <c r="C107" s="12" t="s">
        <v>11559</v>
      </c>
      <c r="D107" s="12"/>
      <c r="E107" s="12"/>
      <c r="F107" s="12"/>
      <c r="G107" s="12"/>
      <c r="H107" s="12"/>
      <c r="I107" s="12"/>
      <c r="J107" s="12"/>
      <c r="K107" s="12"/>
      <c r="L107" s="12"/>
      <c r="M107" s="12"/>
      <c r="N107" s="12"/>
      <c r="O107" s="12"/>
      <c r="P107" s="12"/>
      <c r="Q107" s="12"/>
      <c r="R107" s="12"/>
      <c r="S107" s="12"/>
      <c r="T107" s="12"/>
      <c r="U107" s="12"/>
      <c r="V107" s="2730">
        <v>1</v>
      </c>
    </row>
    <row r="108" spans="1:22">
      <c r="A108" s="12"/>
      <c r="B108" s="12"/>
      <c r="C108" s="12" t="s">
        <v>11560</v>
      </c>
      <c r="D108" s="12"/>
      <c r="E108" s="12"/>
      <c r="F108" s="12"/>
      <c r="G108" s="12"/>
      <c r="H108" s="12"/>
      <c r="I108" s="12"/>
      <c r="J108" s="12"/>
      <c r="K108" s="12"/>
      <c r="L108" s="12"/>
      <c r="M108" s="12"/>
      <c r="N108" s="12"/>
      <c r="O108" s="12"/>
      <c r="P108" s="12"/>
      <c r="Q108" s="12"/>
      <c r="R108" s="12"/>
      <c r="S108" s="12"/>
      <c r="T108" s="12"/>
      <c r="U108" s="12"/>
      <c r="V108" s="2730">
        <v>1</v>
      </c>
    </row>
    <row r="109" spans="1:22">
      <c r="A109" s="12"/>
      <c r="B109" s="12"/>
      <c r="C109" s="12"/>
      <c r="D109" s="12"/>
      <c r="E109" s="12"/>
      <c r="F109" s="12"/>
      <c r="G109" s="12"/>
      <c r="H109" s="12"/>
      <c r="I109" s="12"/>
      <c r="J109" s="12"/>
      <c r="K109" s="12"/>
      <c r="L109" s="12"/>
      <c r="M109" s="12"/>
      <c r="N109" s="12"/>
      <c r="O109" s="12"/>
      <c r="P109" s="12"/>
      <c r="Q109" s="12"/>
      <c r="R109" s="12"/>
      <c r="S109" s="12"/>
      <c r="T109" s="12"/>
      <c r="U109" s="12"/>
      <c r="V109" s="2730">
        <v>1</v>
      </c>
    </row>
    <row r="110" spans="1:22">
      <c r="A110" s="12"/>
      <c r="B110" s="12"/>
      <c r="C110" s="12" t="s">
        <v>11561</v>
      </c>
      <c r="D110" s="12"/>
      <c r="E110" s="12"/>
      <c r="F110" s="12"/>
      <c r="G110" s="12"/>
      <c r="H110" s="12"/>
      <c r="I110" s="12"/>
      <c r="J110" s="12"/>
      <c r="K110" s="12"/>
      <c r="L110" s="12"/>
      <c r="M110" s="12"/>
      <c r="N110" s="12"/>
      <c r="O110" s="12"/>
      <c r="P110" s="12"/>
      <c r="Q110" s="12"/>
      <c r="R110" s="12"/>
      <c r="S110" s="12"/>
      <c r="T110" s="12"/>
      <c r="U110" s="12"/>
      <c r="V110" s="2730">
        <v>1</v>
      </c>
    </row>
    <row r="111" spans="1:22">
      <c r="A111" s="12"/>
      <c r="B111" s="12"/>
      <c r="C111" s="12" t="s">
        <v>11562</v>
      </c>
      <c r="D111" s="12"/>
      <c r="E111" s="12"/>
      <c r="F111" s="12"/>
      <c r="G111" s="12"/>
      <c r="H111" s="12"/>
      <c r="I111" s="12"/>
      <c r="J111" s="12"/>
      <c r="K111" s="12"/>
      <c r="L111" s="12"/>
      <c r="M111" s="12"/>
      <c r="N111" s="12"/>
      <c r="O111" s="12"/>
      <c r="P111" s="12"/>
      <c r="Q111" s="12"/>
      <c r="R111" s="12"/>
      <c r="S111" s="12"/>
      <c r="T111" s="12"/>
      <c r="U111" s="12"/>
      <c r="V111" s="2730">
        <v>1</v>
      </c>
    </row>
    <row r="112" spans="1:22">
      <c r="A112" s="12"/>
      <c r="B112" s="12"/>
      <c r="C112" s="12" t="s">
        <v>11563</v>
      </c>
      <c r="D112" s="12"/>
      <c r="E112" s="12"/>
      <c r="F112" s="12"/>
      <c r="G112" s="12"/>
      <c r="H112" s="12"/>
      <c r="I112" s="12"/>
      <c r="J112" s="12"/>
      <c r="K112" s="12"/>
      <c r="L112" s="12"/>
      <c r="M112" s="12"/>
      <c r="N112" s="12"/>
      <c r="O112" s="12"/>
      <c r="P112" s="12"/>
      <c r="Q112" s="12"/>
      <c r="R112" s="12"/>
      <c r="S112" s="12"/>
      <c r="T112" s="12"/>
      <c r="U112" s="12"/>
      <c r="V112" s="2730">
        <v>1</v>
      </c>
    </row>
    <row r="113" spans="1:22">
      <c r="A113" s="12"/>
      <c r="B113" s="12"/>
      <c r="C113" s="12"/>
      <c r="D113" s="12"/>
      <c r="E113" s="12"/>
      <c r="F113" s="12"/>
      <c r="G113" s="12"/>
      <c r="H113" s="12"/>
      <c r="I113" s="12"/>
      <c r="J113" s="12"/>
      <c r="K113" s="12"/>
      <c r="L113" s="12"/>
      <c r="M113" s="12"/>
      <c r="N113" s="12"/>
      <c r="O113" s="12"/>
      <c r="P113" s="12"/>
      <c r="Q113" s="12"/>
      <c r="R113" s="12"/>
      <c r="S113" s="12"/>
      <c r="T113" s="12"/>
      <c r="U113" s="12"/>
      <c r="V113" s="2730">
        <v>1</v>
      </c>
    </row>
    <row r="114" spans="1:22" ht="15.75">
      <c r="A114" s="12"/>
      <c r="B114" s="3181" t="s">
        <v>11564</v>
      </c>
      <c r="C114" s="12"/>
      <c r="D114" s="12"/>
      <c r="E114" s="12"/>
      <c r="F114" s="12"/>
      <c r="G114" s="12"/>
      <c r="H114" s="12"/>
      <c r="I114" s="12"/>
      <c r="J114" s="12"/>
      <c r="K114" s="12"/>
      <c r="L114" s="12"/>
      <c r="M114" s="12"/>
      <c r="N114" s="12"/>
      <c r="O114" s="12"/>
      <c r="P114" s="12"/>
      <c r="Q114" s="12"/>
      <c r="R114" s="12"/>
      <c r="S114" s="12"/>
      <c r="T114" s="12"/>
      <c r="U114" s="12"/>
      <c r="V114" s="2730">
        <v>1</v>
      </c>
    </row>
    <row r="115" spans="1:22">
      <c r="A115" s="12"/>
      <c r="B115" s="12"/>
      <c r="C115" s="12" t="s">
        <v>11565</v>
      </c>
      <c r="D115" s="12"/>
      <c r="E115" s="12"/>
      <c r="F115" s="12"/>
      <c r="G115" s="12"/>
      <c r="H115" s="12"/>
      <c r="I115" s="12"/>
      <c r="J115" s="12"/>
      <c r="K115" s="12"/>
      <c r="L115" s="12"/>
      <c r="M115" s="12"/>
      <c r="N115" s="12"/>
      <c r="O115" s="12"/>
      <c r="P115" s="12"/>
      <c r="Q115" s="12"/>
      <c r="R115" s="12"/>
      <c r="S115" s="12"/>
      <c r="T115" s="12"/>
      <c r="U115" s="12"/>
      <c r="V115" s="2730">
        <v>1</v>
      </c>
    </row>
    <row r="116" spans="1:22">
      <c r="A116" s="12"/>
      <c r="B116" s="12"/>
      <c r="C116" s="12" t="s">
        <v>11566</v>
      </c>
      <c r="D116" s="12"/>
      <c r="E116" s="12"/>
      <c r="F116" s="12"/>
      <c r="G116" s="12"/>
      <c r="H116" s="12"/>
      <c r="I116" s="12"/>
      <c r="J116" s="12"/>
      <c r="K116" s="12"/>
      <c r="L116" s="12"/>
      <c r="M116" s="12"/>
      <c r="N116" s="12"/>
      <c r="O116" s="12"/>
      <c r="P116" s="12"/>
      <c r="Q116" s="12"/>
      <c r="R116" s="12"/>
      <c r="S116" s="12"/>
      <c r="T116" s="12"/>
      <c r="U116" s="12"/>
      <c r="V116" s="2730">
        <v>1</v>
      </c>
    </row>
    <row r="117" spans="1:22">
      <c r="A117" s="12"/>
      <c r="B117" s="12"/>
      <c r="C117" s="12"/>
      <c r="D117" s="12"/>
      <c r="E117" s="12"/>
      <c r="F117" s="12"/>
      <c r="G117" s="12"/>
      <c r="H117" s="12"/>
      <c r="I117" s="12"/>
      <c r="J117" s="12"/>
      <c r="K117" s="12"/>
      <c r="L117" s="12"/>
      <c r="M117" s="12"/>
      <c r="N117" s="12"/>
      <c r="O117" s="12"/>
      <c r="P117" s="12"/>
      <c r="Q117" s="12"/>
      <c r="R117" s="12"/>
      <c r="S117" s="12"/>
      <c r="T117" s="12"/>
      <c r="U117" s="12"/>
      <c r="V117" s="2730">
        <v>1</v>
      </c>
    </row>
    <row r="118" spans="1:22" ht="15.75">
      <c r="A118" s="12"/>
      <c r="B118" s="3181" t="s">
        <v>11567</v>
      </c>
      <c r="C118" s="12"/>
      <c r="D118" s="12"/>
      <c r="E118" s="12"/>
      <c r="F118" s="12"/>
      <c r="G118" s="12"/>
      <c r="H118" s="12"/>
      <c r="I118" s="12"/>
      <c r="J118" s="12"/>
      <c r="K118" s="12"/>
      <c r="L118" s="12"/>
      <c r="M118" s="12"/>
      <c r="N118" s="12"/>
      <c r="O118" s="12"/>
      <c r="P118" s="12"/>
      <c r="Q118" s="12"/>
      <c r="R118" s="12"/>
      <c r="S118" s="12"/>
      <c r="T118" s="12"/>
      <c r="U118" s="12"/>
      <c r="V118" s="2730">
        <v>1</v>
      </c>
    </row>
    <row r="119" spans="1:22">
      <c r="A119" s="12"/>
      <c r="B119" s="12"/>
      <c r="C119" s="12" t="s">
        <v>11568</v>
      </c>
      <c r="D119" s="12"/>
      <c r="E119" s="12"/>
      <c r="F119" s="12"/>
      <c r="G119" s="12"/>
      <c r="H119" s="12"/>
      <c r="I119" s="12"/>
      <c r="J119" s="12"/>
      <c r="K119" s="12"/>
      <c r="L119" s="12"/>
      <c r="M119" s="12"/>
      <c r="N119" s="12"/>
      <c r="O119" s="12"/>
      <c r="P119" s="12"/>
      <c r="Q119" s="12"/>
      <c r="R119" s="12"/>
      <c r="S119" s="12"/>
      <c r="T119" s="12"/>
      <c r="U119" s="12"/>
      <c r="V119" s="2730">
        <v>1</v>
      </c>
    </row>
    <row r="120" spans="1:22">
      <c r="A120" s="12"/>
      <c r="B120" s="12"/>
      <c r="C120" s="12"/>
      <c r="D120" s="12"/>
      <c r="E120" s="12"/>
      <c r="F120" s="12"/>
      <c r="G120" s="12"/>
      <c r="H120" s="12"/>
      <c r="I120" s="12"/>
      <c r="J120" s="12"/>
      <c r="K120" s="12"/>
      <c r="L120" s="12"/>
      <c r="M120" s="12"/>
      <c r="N120" s="12"/>
      <c r="O120" s="12"/>
      <c r="P120" s="12"/>
      <c r="Q120" s="12"/>
      <c r="R120" s="12"/>
      <c r="S120" s="12"/>
      <c r="T120" s="12"/>
      <c r="U120" s="12"/>
      <c r="V120" s="2730">
        <v>1</v>
      </c>
    </row>
    <row r="121" spans="1:22" ht="18">
      <c r="A121" s="12"/>
      <c r="B121" s="12"/>
      <c r="C121" s="3173" t="s">
        <v>11569</v>
      </c>
      <c r="D121" s="12"/>
      <c r="E121" s="12"/>
      <c r="F121" s="12"/>
      <c r="G121" s="12"/>
      <c r="H121" s="12"/>
      <c r="I121" s="12"/>
      <c r="J121" s="12"/>
      <c r="K121" s="12"/>
      <c r="L121" s="12"/>
      <c r="M121" s="12"/>
      <c r="N121" s="3173" t="s">
        <v>11570</v>
      </c>
      <c r="O121" s="12"/>
      <c r="P121" s="12"/>
      <c r="Q121" s="12"/>
      <c r="R121" s="12"/>
      <c r="S121" s="12"/>
      <c r="T121" s="12"/>
      <c r="U121" s="12"/>
      <c r="V121" s="2730">
        <v>1</v>
      </c>
    </row>
    <row r="122" spans="1:22">
      <c r="A122" s="12"/>
      <c r="B122" s="12"/>
      <c r="C122" s="12"/>
      <c r="D122" s="12"/>
      <c r="E122" s="12"/>
      <c r="F122" s="12"/>
      <c r="G122" s="12"/>
      <c r="H122" s="12"/>
      <c r="I122" s="12"/>
      <c r="J122" s="12"/>
      <c r="K122" s="12"/>
      <c r="L122" s="12"/>
      <c r="M122" s="12"/>
      <c r="N122" s="716"/>
      <c r="O122" s="12"/>
      <c r="P122" s="12"/>
      <c r="Q122" s="12"/>
      <c r="R122" s="12"/>
      <c r="S122" s="12"/>
      <c r="T122" s="12"/>
      <c r="U122" s="12"/>
      <c r="V122" s="2730">
        <v>1</v>
      </c>
    </row>
    <row r="123" spans="1:22">
      <c r="A123" s="12"/>
      <c r="B123" s="12"/>
      <c r="C123" s="12" t="s">
        <v>11571</v>
      </c>
      <c r="D123" s="12"/>
      <c r="E123" s="12"/>
      <c r="F123" s="12"/>
      <c r="G123" s="12"/>
      <c r="H123" s="12"/>
      <c r="I123" s="12"/>
      <c r="J123" s="12"/>
      <c r="K123" s="12"/>
      <c r="L123" s="12"/>
      <c r="M123" s="12"/>
      <c r="N123" s="423" t="s">
        <v>11572</v>
      </c>
      <c r="O123" s="12"/>
      <c r="P123" s="12"/>
      <c r="Q123" s="12"/>
      <c r="R123" s="12"/>
      <c r="S123" s="12"/>
      <c r="T123" s="12"/>
      <c r="U123" s="12"/>
      <c r="V123" s="2730">
        <v>1</v>
      </c>
    </row>
    <row r="124" spans="1:22">
      <c r="A124" s="12"/>
      <c r="B124" s="12"/>
      <c r="C124" s="12"/>
      <c r="D124" s="12"/>
      <c r="E124" s="12"/>
      <c r="F124" s="12"/>
      <c r="G124" s="12"/>
      <c r="H124" s="12"/>
      <c r="I124" s="12"/>
      <c r="J124" s="12"/>
      <c r="K124" s="12"/>
      <c r="L124" s="12"/>
      <c r="M124" s="12"/>
      <c r="N124" s="423" t="s">
        <v>11573</v>
      </c>
      <c r="O124" s="12"/>
      <c r="P124" s="12"/>
      <c r="Q124" s="12"/>
      <c r="R124" s="12"/>
      <c r="S124" s="12"/>
      <c r="T124" s="12"/>
      <c r="U124" s="12"/>
      <c r="V124" s="2730">
        <v>1</v>
      </c>
    </row>
    <row r="125" spans="1:22">
      <c r="A125" s="12"/>
      <c r="B125" s="12"/>
      <c r="C125" s="12" t="s">
        <v>11574</v>
      </c>
      <c r="D125" s="12"/>
      <c r="E125" s="12"/>
      <c r="F125" s="12"/>
      <c r="G125" s="12"/>
      <c r="H125" s="12"/>
      <c r="I125" s="12"/>
      <c r="J125" s="12"/>
      <c r="K125" s="12"/>
      <c r="L125" s="12"/>
      <c r="M125" s="12"/>
      <c r="N125" s="423" t="s">
        <v>11575</v>
      </c>
      <c r="O125" s="12"/>
      <c r="P125" s="12"/>
      <c r="Q125" s="12"/>
      <c r="R125" s="12"/>
      <c r="S125" s="12"/>
      <c r="T125" s="12"/>
      <c r="U125" s="12"/>
      <c r="V125" s="2730">
        <v>1</v>
      </c>
    </row>
    <row r="126" spans="1:22">
      <c r="A126" s="12"/>
      <c r="B126" s="12"/>
      <c r="C126" s="716"/>
      <c r="D126" s="12"/>
      <c r="E126" s="12"/>
      <c r="F126" s="12"/>
      <c r="G126" s="12"/>
      <c r="H126" s="12"/>
      <c r="I126" s="12"/>
      <c r="J126" s="12"/>
      <c r="K126" s="12"/>
      <c r="L126" s="12"/>
      <c r="M126" s="12"/>
      <c r="N126" s="423" t="s">
        <v>11576</v>
      </c>
      <c r="O126" s="12"/>
      <c r="P126" s="12"/>
      <c r="Q126" s="12"/>
      <c r="R126" s="12"/>
      <c r="S126" s="12"/>
      <c r="T126" s="12"/>
      <c r="U126" s="12"/>
      <c r="V126" s="2730">
        <v>1</v>
      </c>
    </row>
    <row r="127" spans="1:22">
      <c r="A127" s="12"/>
      <c r="B127" s="12"/>
      <c r="C127" s="3182" t="s">
        <v>11577</v>
      </c>
      <c r="D127" s="12"/>
      <c r="E127" s="12"/>
      <c r="F127" s="12"/>
      <c r="G127" s="12"/>
      <c r="H127" s="12"/>
      <c r="I127" s="12"/>
      <c r="J127" s="12"/>
      <c r="K127" s="12"/>
      <c r="L127" s="12"/>
      <c r="M127" s="12"/>
      <c r="N127" s="423" t="s">
        <v>11578</v>
      </c>
      <c r="O127" s="12"/>
      <c r="P127" s="12"/>
      <c r="Q127" s="12"/>
      <c r="R127" s="12"/>
      <c r="S127" s="12"/>
      <c r="T127" s="12"/>
      <c r="U127" s="12"/>
      <c r="V127" s="2730">
        <v>1</v>
      </c>
    </row>
    <row r="128" spans="1:22">
      <c r="A128" s="12"/>
      <c r="B128" s="12"/>
      <c r="C128" s="3182" t="s">
        <v>11579</v>
      </c>
      <c r="D128" s="12"/>
      <c r="E128" s="12"/>
      <c r="F128" s="12"/>
      <c r="G128" s="12"/>
      <c r="H128" s="12"/>
      <c r="I128" s="12"/>
      <c r="J128" s="12"/>
      <c r="K128" s="12"/>
      <c r="L128" s="12"/>
      <c r="M128" s="12"/>
      <c r="N128" s="423" t="s">
        <v>11580</v>
      </c>
      <c r="O128" s="12"/>
      <c r="P128" s="12"/>
      <c r="Q128" s="12"/>
      <c r="R128" s="12"/>
      <c r="S128" s="12"/>
      <c r="T128" s="12"/>
      <c r="U128" s="12"/>
      <c r="V128" s="2730">
        <v>1</v>
      </c>
    </row>
    <row r="129" spans="1:22">
      <c r="A129" s="12"/>
      <c r="B129" s="12"/>
      <c r="C129" s="3182" t="s">
        <v>11581</v>
      </c>
      <c r="D129" s="12"/>
      <c r="E129" s="12"/>
      <c r="F129" s="12"/>
      <c r="G129" s="12"/>
      <c r="H129" s="12"/>
      <c r="I129" s="12"/>
      <c r="J129" s="12"/>
      <c r="K129" s="12"/>
      <c r="L129" s="12"/>
      <c r="M129" s="12"/>
      <c r="N129" s="423" t="s">
        <v>11582</v>
      </c>
      <c r="O129" s="12"/>
      <c r="P129" s="12"/>
      <c r="Q129" s="12"/>
      <c r="R129" s="12"/>
      <c r="S129" s="12"/>
      <c r="T129" s="12"/>
      <c r="U129" s="12"/>
      <c r="V129" s="2730">
        <v>1</v>
      </c>
    </row>
    <row r="130" spans="1:22">
      <c r="A130" s="12"/>
      <c r="B130" s="12"/>
      <c r="C130" s="3182" t="s">
        <v>11583</v>
      </c>
      <c r="D130" s="12"/>
      <c r="E130" s="12"/>
      <c r="F130" s="12"/>
      <c r="G130" s="12"/>
      <c r="H130" s="12"/>
      <c r="I130" s="12"/>
      <c r="J130" s="12"/>
      <c r="K130" s="12"/>
      <c r="L130" s="12"/>
      <c r="M130" s="12"/>
      <c r="N130" s="423" t="s">
        <v>11584</v>
      </c>
      <c r="O130" s="12"/>
      <c r="P130" s="12"/>
      <c r="Q130" s="12"/>
      <c r="R130" s="12"/>
      <c r="S130" s="12"/>
      <c r="T130" s="12"/>
      <c r="U130" s="12"/>
      <c r="V130" s="2730">
        <v>1</v>
      </c>
    </row>
    <row r="131" spans="1:22">
      <c r="A131" s="12"/>
      <c r="B131" s="12"/>
      <c r="C131" s="12"/>
      <c r="D131" s="12"/>
      <c r="E131" s="12"/>
      <c r="F131" s="12"/>
      <c r="G131" s="12"/>
      <c r="H131" s="12"/>
      <c r="I131" s="12"/>
      <c r="J131" s="12"/>
      <c r="K131" s="12"/>
      <c r="L131" s="12"/>
      <c r="M131" s="12"/>
      <c r="N131" s="423" t="s">
        <v>11585</v>
      </c>
      <c r="O131" s="12"/>
      <c r="P131" s="12"/>
      <c r="Q131" s="12"/>
      <c r="R131" s="12"/>
      <c r="S131" s="12"/>
      <c r="T131" s="12"/>
      <c r="U131" s="12"/>
      <c r="V131" s="2730">
        <v>1</v>
      </c>
    </row>
    <row r="132" spans="1:22" ht="18">
      <c r="A132" s="12"/>
      <c r="B132" s="12"/>
      <c r="C132" s="3173" t="s">
        <v>11586</v>
      </c>
      <c r="D132" s="12"/>
      <c r="E132" s="12"/>
      <c r="F132" s="12"/>
      <c r="G132" s="12"/>
      <c r="H132" s="12"/>
      <c r="I132" s="12"/>
      <c r="J132" s="12"/>
      <c r="K132" s="12"/>
      <c r="L132" s="12"/>
      <c r="M132" s="12"/>
      <c r="N132" s="423" t="s">
        <v>11587</v>
      </c>
      <c r="O132" s="12"/>
      <c r="P132" s="12"/>
      <c r="Q132" s="12"/>
      <c r="R132" s="12"/>
      <c r="S132" s="12"/>
      <c r="T132" s="12"/>
      <c r="U132" s="12"/>
      <c r="V132" s="2730">
        <v>1</v>
      </c>
    </row>
    <row r="133" spans="1:22">
      <c r="A133" s="12"/>
      <c r="B133" s="12"/>
      <c r="C133" s="12"/>
      <c r="D133" s="12"/>
      <c r="E133" s="12"/>
      <c r="F133" s="12"/>
      <c r="G133" s="12"/>
      <c r="H133" s="12"/>
      <c r="I133" s="12"/>
      <c r="J133" s="12"/>
      <c r="K133" s="12"/>
      <c r="L133" s="12"/>
      <c r="M133" s="12"/>
      <c r="N133" s="12"/>
      <c r="O133" s="12"/>
      <c r="P133" s="12"/>
      <c r="Q133" s="12"/>
      <c r="R133" s="12"/>
      <c r="S133" s="12"/>
      <c r="T133" s="12"/>
      <c r="U133" s="12"/>
      <c r="V133" s="2730">
        <v>1</v>
      </c>
    </row>
    <row r="134" spans="1:22" ht="18">
      <c r="A134" s="12"/>
      <c r="B134" s="12"/>
      <c r="C134" s="2783" t="s">
        <v>11588</v>
      </c>
      <c r="D134" s="12"/>
      <c r="E134" s="12"/>
      <c r="F134" s="12"/>
      <c r="G134" s="12"/>
      <c r="H134" s="12"/>
      <c r="I134" s="12"/>
      <c r="J134" s="12"/>
      <c r="K134" s="12"/>
      <c r="L134" s="12"/>
      <c r="M134" s="12"/>
      <c r="N134" s="3173" t="s">
        <v>11589</v>
      </c>
      <c r="O134" s="12"/>
      <c r="P134" s="12"/>
      <c r="Q134" s="12"/>
      <c r="R134" s="12"/>
      <c r="S134" s="12"/>
      <c r="T134" s="12"/>
      <c r="U134" s="12"/>
      <c r="V134" s="2730">
        <v>1</v>
      </c>
    </row>
    <row r="135" spans="1:22">
      <c r="A135" s="12"/>
      <c r="B135" s="12"/>
      <c r="C135" s="12"/>
      <c r="D135" s="12"/>
      <c r="E135" s="12"/>
      <c r="F135" s="12"/>
      <c r="G135" s="12"/>
      <c r="H135" s="12"/>
      <c r="I135" s="12"/>
      <c r="J135" s="12"/>
      <c r="K135" s="12"/>
      <c r="L135" s="12"/>
      <c r="M135" s="12"/>
      <c r="N135" s="716"/>
      <c r="O135" s="12"/>
      <c r="P135" s="12"/>
      <c r="Q135" s="12"/>
      <c r="R135" s="12"/>
      <c r="S135" s="12"/>
      <c r="T135" s="12"/>
      <c r="U135" s="12"/>
      <c r="V135" s="2730">
        <v>1</v>
      </c>
    </row>
    <row r="136" spans="1:22">
      <c r="A136" s="12"/>
      <c r="B136" s="12"/>
      <c r="C136" s="12" t="s">
        <v>11574</v>
      </c>
      <c r="D136" s="12"/>
      <c r="E136" s="12"/>
      <c r="F136" s="12"/>
      <c r="G136" s="12"/>
      <c r="H136" s="12"/>
      <c r="I136" s="12"/>
      <c r="J136" s="12"/>
      <c r="K136" s="12"/>
      <c r="L136" s="12"/>
      <c r="M136" s="12"/>
      <c r="N136" s="423" t="s">
        <v>11590</v>
      </c>
      <c r="O136" s="12"/>
      <c r="P136" s="12"/>
      <c r="Q136" s="12"/>
      <c r="R136" s="12"/>
      <c r="S136" s="12"/>
      <c r="T136" s="12"/>
      <c r="U136" s="12"/>
      <c r="V136" s="2730">
        <v>1</v>
      </c>
    </row>
    <row r="137" spans="1:22">
      <c r="A137" s="12"/>
      <c r="B137" s="12"/>
      <c r="C137" s="716"/>
      <c r="D137" s="12"/>
      <c r="E137" s="12"/>
      <c r="F137" s="12"/>
      <c r="G137" s="12"/>
      <c r="H137" s="12"/>
      <c r="I137" s="12"/>
      <c r="J137" s="12"/>
      <c r="K137" s="12"/>
      <c r="L137" s="12"/>
      <c r="M137" s="12"/>
      <c r="N137" s="423" t="s">
        <v>11591</v>
      </c>
      <c r="O137" s="12"/>
      <c r="P137" s="12"/>
      <c r="Q137" s="12"/>
      <c r="R137" s="12"/>
      <c r="S137" s="12"/>
      <c r="T137" s="12"/>
      <c r="U137" s="12"/>
      <c r="V137" s="2730">
        <v>1</v>
      </c>
    </row>
    <row r="138" spans="1:22">
      <c r="A138" s="12"/>
      <c r="B138" s="12"/>
      <c r="C138" s="3182" t="s">
        <v>11592</v>
      </c>
      <c r="D138" s="12"/>
      <c r="E138" s="12"/>
      <c r="F138" s="12"/>
      <c r="G138" s="12"/>
      <c r="H138" s="12"/>
      <c r="I138" s="12"/>
      <c r="J138" s="12"/>
      <c r="K138" s="12"/>
      <c r="L138" s="12"/>
      <c r="M138" s="12"/>
      <c r="N138" s="423" t="s">
        <v>11593</v>
      </c>
      <c r="O138" s="12"/>
      <c r="P138" s="12"/>
      <c r="Q138" s="12"/>
      <c r="R138" s="12"/>
      <c r="S138" s="12"/>
      <c r="T138" s="12"/>
      <c r="U138" s="12"/>
      <c r="V138" s="2730">
        <v>1</v>
      </c>
    </row>
    <row r="139" spans="1:22">
      <c r="A139" s="12"/>
      <c r="B139" s="12"/>
      <c r="C139" s="3182" t="s">
        <v>11594</v>
      </c>
      <c r="D139" s="12"/>
      <c r="E139" s="12"/>
      <c r="F139" s="12"/>
      <c r="G139" s="12"/>
      <c r="H139" s="12"/>
      <c r="I139" s="12"/>
      <c r="J139" s="12"/>
      <c r="K139" s="12"/>
      <c r="L139" s="12"/>
      <c r="M139" s="12"/>
      <c r="N139" s="423" t="s">
        <v>11595</v>
      </c>
      <c r="O139" s="12"/>
      <c r="P139" s="12"/>
      <c r="Q139" s="12"/>
      <c r="R139" s="12"/>
      <c r="S139" s="12"/>
      <c r="T139" s="12"/>
      <c r="U139" s="12"/>
      <c r="V139" s="2730">
        <v>1</v>
      </c>
    </row>
    <row r="140" spans="1:22">
      <c r="A140" s="12"/>
      <c r="B140" s="12"/>
      <c r="C140" s="3182" t="s">
        <v>11596</v>
      </c>
      <c r="D140" s="12"/>
      <c r="E140" s="12"/>
      <c r="F140" s="12"/>
      <c r="G140" s="12"/>
      <c r="H140" s="12"/>
      <c r="I140" s="12"/>
      <c r="J140" s="12"/>
      <c r="K140" s="12"/>
      <c r="L140" s="12"/>
      <c r="M140" s="12"/>
      <c r="N140" s="423" t="s">
        <v>11597</v>
      </c>
      <c r="O140" s="12"/>
      <c r="P140" s="12"/>
      <c r="Q140" s="12"/>
      <c r="R140" s="12"/>
      <c r="S140" s="12"/>
      <c r="T140" s="12"/>
      <c r="U140" s="12"/>
      <c r="V140" s="2730">
        <v>1</v>
      </c>
    </row>
    <row r="141" spans="1:22">
      <c r="A141" s="12"/>
      <c r="B141" s="12"/>
      <c r="C141" s="3182" t="s">
        <v>11598</v>
      </c>
      <c r="D141" s="12"/>
      <c r="E141" s="12"/>
      <c r="F141" s="12"/>
      <c r="G141" s="12"/>
      <c r="H141" s="12"/>
      <c r="I141" s="12"/>
      <c r="J141" s="12"/>
      <c r="K141" s="12"/>
      <c r="L141" s="12"/>
      <c r="M141" s="12"/>
      <c r="N141" s="423" t="s">
        <v>11599</v>
      </c>
      <c r="O141" s="12"/>
      <c r="P141" s="12"/>
      <c r="Q141" s="12"/>
      <c r="R141" s="12"/>
      <c r="S141" s="12"/>
      <c r="T141" s="12"/>
      <c r="U141" s="12"/>
      <c r="V141" s="2730">
        <v>1</v>
      </c>
    </row>
    <row r="142" spans="1:22">
      <c r="A142" s="12"/>
      <c r="B142" s="12"/>
      <c r="C142" s="12"/>
      <c r="D142" s="12"/>
      <c r="E142" s="12"/>
      <c r="F142" s="12"/>
      <c r="G142" s="12"/>
      <c r="H142" s="12"/>
      <c r="I142" s="12"/>
      <c r="J142" s="12"/>
      <c r="K142" s="12"/>
      <c r="L142" s="12"/>
      <c r="M142" s="12"/>
      <c r="N142" s="423" t="s">
        <v>11600</v>
      </c>
      <c r="O142" s="12"/>
      <c r="P142" s="12"/>
      <c r="Q142" s="12"/>
      <c r="R142" s="12"/>
      <c r="S142" s="12"/>
      <c r="T142" s="12"/>
      <c r="U142" s="12"/>
      <c r="V142" s="2730">
        <v>1</v>
      </c>
    </row>
    <row r="143" spans="1:22" ht="18">
      <c r="A143" s="12"/>
      <c r="B143" s="12"/>
      <c r="C143" s="3173" t="s">
        <v>11601</v>
      </c>
      <c r="D143" s="12"/>
      <c r="E143" s="12"/>
      <c r="F143" s="12"/>
      <c r="G143" s="12"/>
      <c r="H143" s="12"/>
      <c r="I143" s="12"/>
      <c r="J143" s="12"/>
      <c r="K143" s="12"/>
      <c r="L143" s="12"/>
      <c r="M143" s="12"/>
      <c r="N143" s="423" t="s">
        <v>11602</v>
      </c>
      <c r="O143" s="12"/>
      <c r="P143" s="12"/>
      <c r="Q143" s="12"/>
      <c r="R143" s="12"/>
      <c r="S143" s="12"/>
      <c r="T143" s="12"/>
      <c r="U143" s="12"/>
      <c r="V143" s="2730">
        <v>1</v>
      </c>
    </row>
    <row r="144" spans="1:22">
      <c r="A144" s="12"/>
      <c r="B144" s="12"/>
      <c r="C144" s="12"/>
      <c r="D144" s="12"/>
      <c r="E144" s="12"/>
      <c r="F144" s="12"/>
      <c r="G144" s="12"/>
      <c r="H144" s="12"/>
      <c r="I144" s="12"/>
      <c r="J144" s="12"/>
      <c r="K144" s="12"/>
      <c r="L144" s="12"/>
      <c r="M144" s="12"/>
      <c r="N144" s="423" t="s">
        <v>11603</v>
      </c>
      <c r="O144" s="12"/>
      <c r="P144" s="12"/>
      <c r="Q144" s="12"/>
      <c r="R144" s="12"/>
      <c r="S144" s="12"/>
      <c r="T144" s="12"/>
      <c r="U144" s="12"/>
      <c r="V144" s="2730">
        <v>1</v>
      </c>
    </row>
    <row r="145" spans="1:22">
      <c r="A145" s="12"/>
      <c r="B145" s="12"/>
      <c r="C145" s="12" t="s">
        <v>11604</v>
      </c>
      <c r="D145" s="12"/>
      <c r="E145" s="12"/>
      <c r="F145" s="12"/>
      <c r="G145" s="12"/>
      <c r="H145" s="12"/>
      <c r="I145" s="12"/>
      <c r="J145" s="12"/>
      <c r="K145" s="12"/>
      <c r="L145" s="12"/>
      <c r="M145" s="12"/>
      <c r="N145" s="423" t="s">
        <v>11605</v>
      </c>
      <c r="O145" s="12"/>
      <c r="P145" s="12"/>
      <c r="Q145" s="12"/>
      <c r="R145" s="12"/>
      <c r="S145" s="12"/>
      <c r="T145" s="12"/>
      <c r="U145" s="12"/>
      <c r="V145" s="2730">
        <v>1</v>
      </c>
    </row>
    <row r="146" spans="1:22">
      <c r="A146" s="12"/>
      <c r="B146" s="12"/>
      <c r="C146" s="12"/>
      <c r="D146" s="12"/>
      <c r="E146" s="12"/>
      <c r="F146" s="12"/>
      <c r="G146" s="12"/>
      <c r="H146" s="12"/>
      <c r="I146" s="12"/>
      <c r="J146" s="12"/>
      <c r="K146" s="12"/>
      <c r="L146" s="12"/>
      <c r="M146" s="12"/>
      <c r="N146" s="12"/>
      <c r="O146" s="12"/>
      <c r="P146" s="12"/>
      <c r="Q146" s="12"/>
      <c r="R146" s="12"/>
      <c r="S146" s="12"/>
      <c r="T146" s="12"/>
      <c r="U146" s="12"/>
      <c r="V146" s="2730">
        <v>1</v>
      </c>
    </row>
    <row r="147" spans="1:22" ht="18">
      <c r="A147" s="12"/>
      <c r="B147" s="12"/>
      <c r="C147" s="12" t="s">
        <v>11574</v>
      </c>
      <c r="D147" s="12"/>
      <c r="E147" s="12"/>
      <c r="F147" s="12"/>
      <c r="G147" s="12"/>
      <c r="H147" s="12"/>
      <c r="I147" s="12"/>
      <c r="J147" s="12"/>
      <c r="K147" s="12"/>
      <c r="L147" s="12"/>
      <c r="M147" s="12"/>
      <c r="N147" s="3173" t="s">
        <v>11606</v>
      </c>
      <c r="O147" s="12"/>
      <c r="P147" s="12"/>
      <c r="Q147" s="12"/>
      <c r="R147" s="12"/>
      <c r="S147" s="12"/>
      <c r="T147" s="12"/>
      <c r="U147" s="12"/>
      <c r="V147" s="2730">
        <v>1</v>
      </c>
    </row>
    <row r="148" spans="1:22">
      <c r="A148" s="12"/>
      <c r="B148" s="12"/>
      <c r="C148" s="716"/>
      <c r="D148" s="12"/>
      <c r="E148" s="12"/>
      <c r="F148" s="12"/>
      <c r="G148" s="12"/>
      <c r="H148" s="12"/>
      <c r="I148" s="12"/>
      <c r="J148" s="12"/>
      <c r="K148" s="12"/>
      <c r="L148" s="12"/>
      <c r="M148" s="12"/>
      <c r="N148" s="716"/>
      <c r="O148" s="12"/>
      <c r="P148" s="12"/>
      <c r="Q148" s="12"/>
      <c r="R148" s="12"/>
      <c r="S148" s="12"/>
      <c r="T148" s="12"/>
      <c r="U148" s="12"/>
      <c r="V148" s="2730">
        <v>1</v>
      </c>
    </row>
    <row r="149" spans="1:22">
      <c r="A149" s="12"/>
      <c r="B149" s="12"/>
      <c r="C149" s="3182" t="s">
        <v>11607</v>
      </c>
      <c r="D149" s="12"/>
      <c r="E149" s="12"/>
      <c r="F149" s="12"/>
      <c r="G149" s="12"/>
      <c r="H149" s="12"/>
      <c r="I149" s="12"/>
      <c r="J149" s="12"/>
      <c r="K149" s="12"/>
      <c r="L149" s="12"/>
      <c r="M149" s="12"/>
      <c r="N149" s="423" t="s">
        <v>11608</v>
      </c>
      <c r="O149" s="12"/>
      <c r="P149" s="12"/>
      <c r="Q149" s="12"/>
      <c r="R149" s="12"/>
      <c r="S149" s="12"/>
      <c r="T149" s="12"/>
      <c r="U149" s="12"/>
      <c r="V149" s="2730">
        <v>1</v>
      </c>
    </row>
    <row r="150" spans="1:22">
      <c r="A150" s="12"/>
      <c r="B150" s="12"/>
      <c r="C150" s="3182" t="s">
        <v>11609</v>
      </c>
      <c r="D150" s="12"/>
      <c r="E150" s="12"/>
      <c r="F150" s="12"/>
      <c r="G150" s="12"/>
      <c r="H150" s="12"/>
      <c r="I150" s="12"/>
      <c r="J150" s="12"/>
      <c r="K150" s="12"/>
      <c r="L150" s="12"/>
      <c r="M150" s="12"/>
      <c r="N150" s="423" t="s">
        <v>11610</v>
      </c>
      <c r="O150" s="12"/>
      <c r="P150" s="12"/>
      <c r="Q150" s="12"/>
      <c r="R150" s="12"/>
      <c r="S150" s="12"/>
      <c r="T150" s="12"/>
      <c r="U150" s="12"/>
      <c r="V150" s="2730">
        <v>1</v>
      </c>
    </row>
    <row r="151" spans="1:22">
      <c r="A151" s="12"/>
      <c r="B151" s="12"/>
      <c r="C151" s="3182" t="s">
        <v>11611</v>
      </c>
      <c r="D151" s="12"/>
      <c r="E151" s="12"/>
      <c r="F151" s="12"/>
      <c r="G151" s="12"/>
      <c r="H151" s="12"/>
      <c r="I151" s="12"/>
      <c r="J151" s="12"/>
      <c r="K151" s="12"/>
      <c r="L151" s="12"/>
      <c r="M151" s="12"/>
      <c r="N151" s="423" t="s">
        <v>11612</v>
      </c>
      <c r="O151" s="12"/>
      <c r="P151" s="12"/>
      <c r="Q151" s="12"/>
      <c r="R151" s="12"/>
      <c r="S151" s="12"/>
      <c r="T151" s="12"/>
      <c r="U151" s="12"/>
      <c r="V151" s="2730">
        <v>1</v>
      </c>
    </row>
    <row r="152" spans="1:22">
      <c r="A152" s="12"/>
      <c r="B152" s="12"/>
      <c r="C152" s="12"/>
      <c r="D152" s="12"/>
      <c r="E152" s="12"/>
      <c r="F152" s="12"/>
      <c r="G152" s="12"/>
      <c r="H152" s="12"/>
      <c r="I152" s="12"/>
      <c r="J152" s="12"/>
      <c r="K152" s="12"/>
      <c r="L152" s="12"/>
      <c r="M152" s="12"/>
      <c r="N152" s="423" t="s">
        <v>11613</v>
      </c>
      <c r="O152" s="12"/>
      <c r="P152" s="12"/>
      <c r="Q152" s="12"/>
      <c r="R152" s="12"/>
      <c r="S152" s="12"/>
      <c r="T152" s="12"/>
      <c r="U152" s="12"/>
      <c r="V152" s="2730">
        <v>1</v>
      </c>
    </row>
    <row r="153" spans="1:22" ht="18">
      <c r="A153" s="12"/>
      <c r="B153" s="12"/>
      <c r="C153" s="3173" t="s">
        <v>11614</v>
      </c>
      <c r="D153" s="12"/>
      <c r="E153" s="12"/>
      <c r="F153" s="12"/>
      <c r="G153" s="12"/>
      <c r="H153" s="12"/>
      <c r="I153" s="12"/>
      <c r="J153" s="12"/>
      <c r="K153" s="12"/>
      <c r="L153" s="12"/>
      <c r="M153" s="12"/>
      <c r="N153" s="423" t="s">
        <v>11615</v>
      </c>
      <c r="O153" s="12"/>
      <c r="P153" s="12"/>
      <c r="Q153" s="12"/>
      <c r="R153" s="12"/>
      <c r="S153" s="12"/>
      <c r="T153" s="12"/>
      <c r="U153" s="12"/>
      <c r="V153" s="2730">
        <v>1</v>
      </c>
    </row>
    <row r="154" spans="1:22">
      <c r="A154" s="12"/>
      <c r="B154" s="12"/>
      <c r="C154" s="12"/>
      <c r="D154" s="12"/>
      <c r="E154" s="12"/>
      <c r="F154" s="12"/>
      <c r="G154" s="12"/>
      <c r="H154" s="12"/>
      <c r="I154" s="12"/>
      <c r="J154" s="12"/>
      <c r="K154" s="12"/>
      <c r="L154" s="12"/>
      <c r="M154" s="12"/>
      <c r="N154" s="423" t="s">
        <v>11616</v>
      </c>
      <c r="O154" s="12"/>
      <c r="P154" s="12"/>
      <c r="Q154" s="12"/>
      <c r="R154" s="12"/>
      <c r="S154" s="12"/>
      <c r="T154" s="12"/>
      <c r="U154" s="12"/>
      <c r="V154" s="2730">
        <v>1</v>
      </c>
    </row>
    <row r="155" spans="1:22">
      <c r="A155" s="12"/>
      <c r="B155" s="12"/>
      <c r="C155" s="12" t="s">
        <v>11617</v>
      </c>
      <c r="D155" s="12"/>
      <c r="E155" s="12"/>
      <c r="F155" s="12"/>
      <c r="G155" s="12"/>
      <c r="H155" s="12"/>
      <c r="I155" s="12"/>
      <c r="J155" s="12"/>
      <c r="K155" s="12"/>
      <c r="L155" s="12"/>
      <c r="M155" s="12"/>
      <c r="N155" s="423" t="s">
        <v>11618</v>
      </c>
      <c r="O155" s="12"/>
      <c r="P155" s="12"/>
      <c r="Q155" s="12"/>
      <c r="R155" s="12"/>
      <c r="S155" s="12"/>
      <c r="T155" s="12"/>
      <c r="U155" s="12"/>
      <c r="V155" s="2730">
        <v>1</v>
      </c>
    </row>
    <row r="156" spans="1:22">
      <c r="A156" s="12"/>
      <c r="B156" s="12"/>
      <c r="C156" s="12"/>
      <c r="D156" s="12"/>
      <c r="E156" s="12"/>
      <c r="F156" s="12"/>
      <c r="G156" s="12"/>
      <c r="H156" s="12"/>
      <c r="I156" s="12"/>
      <c r="J156" s="12"/>
      <c r="K156" s="12"/>
      <c r="L156" s="12"/>
      <c r="M156" s="12"/>
      <c r="N156" s="423" t="s">
        <v>11619</v>
      </c>
      <c r="O156" s="12"/>
      <c r="P156" s="12"/>
      <c r="Q156" s="12"/>
      <c r="R156" s="12"/>
      <c r="S156" s="12"/>
      <c r="T156" s="12"/>
      <c r="U156" s="12"/>
      <c r="V156" s="2730">
        <v>1</v>
      </c>
    </row>
    <row r="157" spans="1:22">
      <c r="A157" s="12"/>
      <c r="B157" s="12"/>
      <c r="C157" s="12" t="s">
        <v>11574</v>
      </c>
      <c r="D157" s="12"/>
      <c r="E157" s="12"/>
      <c r="F157" s="12"/>
      <c r="G157" s="12"/>
      <c r="H157" s="12"/>
      <c r="I157" s="12"/>
      <c r="J157" s="12"/>
      <c r="K157" s="12"/>
      <c r="L157" s="12"/>
      <c r="M157" s="12"/>
      <c r="N157" s="423" t="s">
        <v>11620</v>
      </c>
      <c r="O157" s="12"/>
      <c r="P157" s="12"/>
      <c r="Q157" s="12"/>
      <c r="R157" s="12"/>
      <c r="S157" s="12"/>
      <c r="T157" s="12"/>
      <c r="U157" s="12"/>
      <c r="V157" s="2730">
        <v>1</v>
      </c>
    </row>
    <row r="158" spans="1:22">
      <c r="A158" s="12"/>
      <c r="B158" s="12"/>
      <c r="C158" s="716"/>
      <c r="D158" s="12"/>
      <c r="E158" s="12"/>
      <c r="F158" s="12"/>
      <c r="G158" s="12"/>
      <c r="H158" s="12"/>
      <c r="I158" s="12"/>
      <c r="J158" s="12"/>
      <c r="K158" s="12"/>
      <c r="L158" s="12"/>
      <c r="M158" s="12"/>
      <c r="N158" s="423" t="s">
        <v>11621</v>
      </c>
      <c r="O158" s="12"/>
      <c r="P158" s="12"/>
      <c r="Q158" s="12"/>
      <c r="R158" s="12"/>
      <c r="S158" s="12"/>
      <c r="T158" s="12"/>
      <c r="U158" s="12"/>
      <c r="V158" s="2730">
        <v>1</v>
      </c>
    </row>
    <row r="159" spans="1:22">
      <c r="A159" s="12"/>
      <c r="B159" s="12"/>
      <c r="C159" s="3182" t="s">
        <v>11622</v>
      </c>
      <c r="D159" s="12"/>
      <c r="E159" s="12"/>
      <c r="F159" s="12"/>
      <c r="G159" s="12"/>
      <c r="H159" s="12"/>
      <c r="I159" s="12"/>
      <c r="J159" s="12"/>
      <c r="K159" s="12"/>
      <c r="L159" s="12"/>
      <c r="M159" s="12"/>
      <c r="N159" s="12"/>
      <c r="O159" s="12"/>
      <c r="P159" s="12"/>
      <c r="Q159" s="12"/>
      <c r="R159" s="12"/>
      <c r="S159" s="12"/>
      <c r="T159" s="12"/>
      <c r="U159" s="12"/>
      <c r="V159" s="2730">
        <v>1</v>
      </c>
    </row>
    <row r="160" spans="1:22" ht="18">
      <c r="A160" s="12"/>
      <c r="B160" s="12"/>
      <c r="C160" s="3182" t="s">
        <v>11623</v>
      </c>
      <c r="D160" s="12"/>
      <c r="E160" s="12"/>
      <c r="F160" s="12"/>
      <c r="G160" s="12"/>
      <c r="H160" s="12"/>
      <c r="I160" s="12"/>
      <c r="J160" s="12"/>
      <c r="K160" s="12"/>
      <c r="L160" s="12"/>
      <c r="M160" s="12"/>
      <c r="N160" s="3173" t="s">
        <v>11624</v>
      </c>
      <c r="O160" s="12"/>
      <c r="P160" s="12"/>
      <c r="Q160" s="12"/>
      <c r="R160" s="12"/>
      <c r="S160" s="12"/>
      <c r="T160" s="12"/>
      <c r="U160" s="12"/>
      <c r="V160" s="2730">
        <v>1</v>
      </c>
    </row>
    <row r="161" spans="1:22">
      <c r="A161" s="12"/>
      <c r="B161" s="12"/>
      <c r="C161" s="3182" t="s">
        <v>11625</v>
      </c>
      <c r="D161" s="12"/>
      <c r="E161" s="12"/>
      <c r="F161" s="12"/>
      <c r="G161" s="12"/>
      <c r="H161" s="12"/>
      <c r="I161" s="12"/>
      <c r="J161" s="12"/>
      <c r="K161" s="12"/>
      <c r="L161" s="12"/>
      <c r="M161" s="12"/>
      <c r="N161" s="716"/>
      <c r="O161" s="12"/>
      <c r="P161" s="12"/>
      <c r="Q161" s="12"/>
      <c r="R161" s="12"/>
      <c r="S161" s="12"/>
      <c r="T161" s="12"/>
      <c r="U161" s="12"/>
      <c r="V161" s="2730">
        <v>1</v>
      </c>
    </row>
    <row r="162" spans="1:22">
      <c r="A162" s="12"/>
      <c r="B162" s="12"/>
      <c r="C162" s="12"/>
      <c r="D162" s="12"/>
      <c r="E162" s="12"/>
      <c r="F162" s="12"/>
      <c r="G162" s="12"/>
      <c r="H162" s="12"/>
      <c r="I162" s="12"/>
      <c r="J162" s="12"/>
      <c r="K162" s="12"/>
      <c r="L162" s="12"/>
      <c r="M162" s="12"/>
      <c r="N162" s="423" t="s">
        <v>11626</v>
      </c>
      <c r="O162" s="12"/>
      <c r="P162" s="12"/>
      <c r="Q162" s="12"/>
      <c r="R162" s="12"/>
      <c r="S162" s="12"/>
      <c r="T162" s="12"/>
      <c r="U162" s="12"/>
      <c r="V162" s="2730">
        <v>1</v>
      </c>
    </row>
    <row r="163" spans="1:22" ht="18">
      <c r="A163" s="12"/>
      <c r="B163" s="12"/>
      <c r="C163" s="3173" t="s">
        <v>11627</v>
      </c>
      <c r="D163" s="12"/>
      <c r="E163" s="12"/>
      <c r="F163" s="12"/>
      <c r="G163" s="12"/>
      <c r="H163" s="12"/>
      <c r="I163" s="12"/>
      <c r="J163" s="12"/>
      <c r="K163" s="12"/>
      <c r="L163" s="12"/>
      <c r="M163" s="12"/>
      <c r="N163" s="423" t="s">
        <v>11628</v>
      </c>
      <c r="O163" s="12"/>
      <c r="P163" s="12"/>
      <c r="Q163" s="12"/>
      <c r="R163" s="12"/>
      <c r="S163" s="12"/>
      <c r="T163" s="12"/>
      <c r="U163" s="12"/>
      <c r="V163" s="2730">
        <v>1</v>
      </c>
    </row>
    <row r="164" spans="1:22">
      <c r="A164" s="12"/>
      <c r="B164" s="12"/>
      <c r="C164" s="12"/>
      <c r="D164" s="12"/>
      <c r="E164" s="12"/>
      <c r="F164" s="12"/>
      <c r="G164" s="12"/>
      <c r="H164" s="12"/>
      <c r="I164" s="12"/>
      <c r="J164" s="12"/>
      <c r="K164" s="12"/>
      <c r="L164" s="12"/>
      <c r="M164" s="12"/>
      <c r="N164" s="423" t="s">
        <v>11629</v>
      </c>
      <c r="O164" s="12"/>
      <c r="P164" s="12"/>
      <c r="Q164" s="12"/>
      <c r="R164" s="12"/>
      <c r="S164" s="12"/>
      <c r="T164" s="12"/>
      <c r="U164" s="12"/>
      <c r="V164" s="2730">
        <v>1</v>
      </c>
    </row>
    <row r="165" spans="1:22">
      <c r="A165" s="12"/>
      <c r="B165" s="12"/>
      <c r="C165" s="12" t="s">
        <v>11630</v>
      </c>
      <c r="D165" s="12"/>
      <c r="E165" s="12"/>
      <c r="F165" s="12"/>
      <c r="G165" s="12"/>
      <c r="H165" s="12"/>
      <c r="I165" s="12"/>
      <c r="J165" s="12"/>
      <c r="K165" s="12"/>
      <c r="L165" s="12"/>
      <c r="M165" s="12"/>
      <c r="N165" s="423" t="s">
        <v>11631</v>
      </c>
      <c r="O165" s="12"/>
      <c r="P165" s="12"/>
      <c r="Q165" s="12"/>
      <c r="R165" s="12"/>
      <c r="S165" s="12"/>
      <c r="T165" s="12"/>
      <c r="U165" s="12"/>
      <c r="V165" s="2730">
        <v>1</v>
      </c>
    </row>
    <row r="166" spans="1:22">
      <c r="A166" s="12"/>
      <c r="B166" s="12"/>
      <c r="C166" s="12"/>
      <c r="D166" s="12"/>
      <c r="E166" s="12"/>
      <c r="F166" s="12"/>
      <c r="G166" s="12"/>
      <c r="H166" s="12"/>
      <c r="I166" s="12"/>
      <c r="J166" s="12"/>
      <c r="K166" s="12"/>
      <c r="L166" s="12"/>
      <c r="M166" s="12"/>
      <c r="N166" s="423" t="s">
        <v>277</v>
      </c>
      <c r="O166" s="12"/>
      <c r="P166" s="12"/>
      <c r="Q166" s="12"/>
      <c r="R166" s="12"/>
      <c r="S166" s="12"/>
      <c r="T166" s="12"/>
      <c r="U166" s="12"/>
      <c r="V166" s="2730">
        <v>1</v>
      </c>
    </row>
    <row r="167" spans="1:22">
      <c r="A167" s="12"/>
      <c r="B167" s="12"/>
      <c r="C167" s="12" t="s">
        <v>11574</v>
      </c>
      <c r="D167" s="12"/>
      <c r="E167" s="12"/>
      <c r="F167" s="12"/>
      <c r="G167" s="12"/>
      <c r="H167" s="12"/>
      <c r="I167" s="12"/>
      <c r="J167" s="12"/>
      <c r="K167" s="12"/>
      <c r="L167" s="12"/>
      <c r="M167" s="12"/>
      <c r="N167" s="423" t="s">
        <v>11632</v>
      </c>
      <c r="O167" s="12"/>
      <c r="P167" s="12"/>
      <c r="Q167" s="12"/>
      <c r="R167" s="12"/>
      <c r="S167" s="12"/>
      <c r="T167" s="12"/>
      <c r="U167" s="12"/>
      <c r="V167" s="2730">
        <v>1</v>
      </c>
    </row>
    <row r="168" spans="1:22">
      <c r="A168" s="12"/>
      <c r="B168" s="12"/>
      <c r="C168" s="716"/>
      <c r="D168" s="12"/>
      <c r="E168" s="12"/>
      <c r="F168" s="12"/>
      <c r="G168" s="12"/>
      <c r="H168" s="12"/>
      <c r="I168" s="12"/>
      <c r="J168" s="12"/>
      <c r="K168" s="12"/>
      <c r="L168" s="12"/>
      <c r="M168" s="12"/>
      <c r="N168" s="423" t="s">
        <v>11633</v>
      </c>
      <c r="O168" s="12"/>
      <c r="P168" s="12"/>
      <c r="Q168" s="12"/>
      <c r="R168" s="12"/>
      <c r="S168" s="12"/>
      <c r="T168" s="12"/>
      <c r="U168" s="12"/>
      <c r="V168" s="2730">
        <v>1</v>
      </c>
    </row>
    <row r="169" spans="1:22">
      <c r="A169" s="12"/>
      <c r="B169" s="12"/>
      <c r="C169" s="3182" t="s">
        <v>11634</v>
      </c>
      <c r="D169" s="12"/>
      <c r="E169" s="12"/>
      <c r="F169" s="12"/>
      <c r="G169" s="12"/>
      <c r="H169" s="12"/>
      <c r="I169" s="12"/>
      <c r="J169" s="12"/>
      <c r="K169" s="12"/>
      <c r="L169" s="12"/>
      <c r="M169" s="12"/>
      <c r="N169" s="423" t="s">
        <v>11635</v>
      </c>
      <c r="O169" s="12"/>
      <c r="P169" s="12"/>
      <c r="Q169" s="12"/>
      <c r="R169" s="12"/>
      <c r="S169" s="12"/>
      <c r="T169" s="12"/>
      <c r="U169" s="12"/>
      <c r="V169" s="2730">
        <v>1</v>
      </c>
    </row>
    <row r="170" spans="1:22">
      <c r="A170" s="12"/>
      <c r="B170" s="12"/>
      <c r="C170" s="3182" t="s">
        <v>11636</v>
      </c>
      <c r="D170" s="12"/>
      <c r="E170" s="12"/>
      <c r="F170" s="12"/>
      <c r="G170" s="12"/>
      <c r="H170" s="12"/>
      <c r="I170" s="12"/>
      <c r="J170" s="12"/>
      <c r="K170" s="12"/>
      <c r="L170" s="12"/>
      <c r="M170" s="12"/>
      <c r="N170" s="423" t="s">
        <v>11637</v>
      </c>
      <c r="O170" s="12"/>
      <c r="P170" s="12"/>
      <c r="Q170" s="12"/>
      <c r="R170" s="12"/>
      <c r="S170" s="12"/>
      <c r="T170" s="12"/>
      <c r="U170" s="12"/>
      <c r="V170" s="2730">
        <v>1</v>
      </c>
    </row>
    <row r="171" spans="1:22">
      <c r="A171" s="12"/>
      <c r="B171" s="12"/>
      <c r="C171" s="3182" t="s">
        <v>11638</v>
      </c>
      <c r="D171" s="12"/>
      <c r="E171" s="12"/>
      <c r="F171" s="12"/>
      <c r="G171" s="12"/>
      <c r="H171" s="12"/>
      <c r="I171" s="12"/>
      <c r="J171" s="12"/>
      <c r="K171" s="12"/>
      <c r="L171" s="12"/>
      <c r="M171" s="12"/>
      <c r="N171" s="423" t="s">
        <v>11639</v>
      </c>
      <c r="O171" s="12"/>
      <c r="P171" s="12"/>
      <c r="Q171" s="12"/>
      <c r="R171" s="12"/>
      <c r="S171" s="12"/>
      <c r="T171" s="12"/>
      <c r="U171" s="12"/>
      <c r="V171" s="2730">
        <v>1</v>
      </c>
    </row>
    <row r="172" spans="1:22">
      <c r="A172" s="12"/>
      <c r="B172" s="12"/>
      <c r="C172" s="12"/>
      <c r="D172" s="12"/>
      <c r="E172" s="12"/>
      <c r="F172" s="12"/>
      <c r="G172" s="12"/>
      <c r="H172" s="12"/>
      <c r="I172" s="12"/>
      <c r="J172" s="12"/>
      <c r="K172" s="12"/>
      <c r="L172" s="12"/>
      <c r="M172" s="12"/>
      <c r="N172" s="12"/>
      <c r="O172" s="12"/>
      <c r="P172" s="12"/>
      <c r="Q172" s="12"/>
      <c r="R172" s="12"/>
      <c r="S172" s="12"/>
      <c r="T172" s="12"/>
      <c r="U172" s="12"/>
      <c r="V172" s="2730">
        <v>1</v>
      </c>
    </row>
    <row r="173" spans="1:22" ht="18">
      <c r="A173" s="12"/>
      <c r="B173" s="12"/>
      <c r="C173" s="3173" t="s">
        <v>11640</v>
      </c>
      <c r="D173" s="12"/>
      <c r="E173" s="12"/>
      <c r="F173" s="12"/>
      <c r="G173" s="12"/>
      <c r="H173" s="12"/>
      <c r="I173" s="12"/>
      <c r="J173" s="12"/>
      <c r="K173" s="12"/>
      <c r="L173" s="12"/>
      <c r="M173" s="12"/>
      <c r="N173" s="3173" t="s">
        <v>11641</v>
      </c>
      <c r="O173" s="12"/>
      <c r="P173" s="12"/>
      <c r="Q173" s="12"/>
      <c r="R173" s="12"/>
      <c r="S173" s="12"/>
      <c r="T173" s="12"/>
      <c r="U173" s="12"/>
      <c r="V173" s="2730">
        <v>1</v>
      </c>
    </row>
    <row r="174" spans="1:22">
      <c r="A174" s="12"/>
      <c r="B174" s="12"/>
      <c r="C174" s="12"/>
      <c r="D174" s="12"/>
      <c r="E174" s="12"/>
      <c r="F174" s="12"/>
      <c r="G174" s="12"/>
      <c r="H174" s="12"/>
      <c r="I174" s="12"/>
      <c r="J174" s="12"/>
      <c r="K174" s="12"/>
      <c r="L174" s="12"/>
      <c r="M174" s="12"/>
      <c r="N174" s="716"/>
      <c r="O174" s="12"/>
      <c r="P174" s="12"/>
      <c r="Q174" s="12"/>
      <c r="R174" s="12"/>
      <c r="S174" s="12"/>
      <c r="T174" s="12"/>
      <c r="U174" s="12"/>
      <c r="V174" s="2730">
        <v>1</v>
      </c>
    </row>
    <row r="175" spans="1:22">
      <c r="A175" s="12"/>
      <c r="B175" s="12"/>
      <c r="C175" s="12" t="s">
        <v>11642</v>
      </c>
      <c r="D175" s="12"/>
      <c r="E175" s="12"/>
      <c r="F175" s="12"/>
      <c r="G175" s="12"/>
      <c r="H175" s="12"/>
      <c r="I175" s="12"/>
      <c r="J175" s="12"/>
      <c r="K175" s="12"/>
      <c r="L175" s="12"/>
      <c r="M175" s="12"/>
      <c r="N175" s="423" t="s">
        <v>11643</v>
      </c>
      <c r="O175" s="12"/>
      <c r="P175" s="12"/>
      <c r="Q175" s="12"/>
      <c r="R175" s="12"/>
      <c r="S175" s="12"/>
      <c r="T175" s="12"/>
      <c r="U175" s="12"/>
      <c r="V175" s="2730">
        <v>1</v>
      </c>
    </row>
    <row r="176" spans="1:22">
      <c r="A176" s="12"/>
      <c r="B176" s="12"/>
      <c r="C176" s="12"/>
      <c r="D176" s="12"/>
      <c r="E176" s="12"/>
      <c r="F176" s="12"/>
      <c r="G176" s="12"/>
      <c r="H176" s="12"/>
      <c r="I176" s="12"/>
      <c r="J176" s="12"/>
      <c r="K176" s="12"/>
      <c r="L176" s="12"/>
      <c r="M176" s="12"/>
      <c r="N176" s="423" t="s">
        <v>11644</v>
      </c>
      <c r="O176" s="12"/>
      <c r="P176" s="12"/>
      <c r="Q176" s="12"/>
      <c r="R176" s="12"/>
      <c r="S176" s="12"/>
      <c r="T176" s="12"/>
      <c r="U176" s="12"/>
      <c r="V176" s="2730">
        <v>1</v>
      </c>
    </row>
    <row r="177" spans="1:22">
      <c r="A177" s="12"/>
      <c r="B177" s="12"/>
      <c r="C177" s="12" t="s">
        <v>11574</v>
      </c>
      <c r="D177" s="12"/>
      <c r="E177" s="12"/>
      <c r="F177" s="12"/>
      <c r="G177" s="12"/>
      <c r="H177" s="12"/>
      <c r="I177" s="12"/>
      <c r="J177" s="12"/>
      <c r="K177" s="12"/>
      <c r="L177" s="12"/>
      <c r="M177" s="12"/>
      <c r="N177" s="423" t="s">
        <v>11645</v>
      </c>
      <c r="O177" s="12"/>
      <c r="P177" s="12"/>
      <c r="Q177" s="12"/>
      <c r="R177" s="12"/>
      <c r="S177" s="12"/>
      <c r="T177" s="12"/>
      <c r="U177" s="12"/>
      <c r="V177" s="2730">
        <v>1</v>
      </c>
    </row>
    <row r="178" spans="1:22">
      <c r="A178" s="12"/>
      <c r="B178" s="12"/>
      <c r="C178" s="716"/>
      <c r="D178" s="12"/>
      <c r="E178" s="12"/>
      <c r="F178" s="12"/>
      <c r="G178" s="12"/>
      <c r="H178" s="12"/>
      <c r="I178" s="12"/>
      <c r="J178" s="12"/>
      <c r="K178" s="12"/>
      <c r="L178" s="12"/>
      <c r="M178" s="12"/>
      <c r="N178" s="423" t="s">
        <v>11646</v>
      </c>
      <c r="O178" s="12"/>
      <c r="P178" s="12"/>
      <c r="Q178" s="12"/>
      <c r="R178" s="12"/>
      <c r="S178" s="12"/>
      <c r="T178" s="12"/>
      <c r="U178" s="12"/>
      <c r="V178" s="2730">
        <v>1</v>
      </c>
    </row>
    <row r="179" spans="1:22">
      <c r="A179" s="12"/>
      <c r="B179" s="12"/>
      <c r="C179" s="3182" t="s">
        <v>11647</v>
      </c>
      <c r="D179" s="12"/>
      <c r="E179" s="12"/>
      <c r="F179" s="12"/>
      <c r="G179" s="12"/>
      <c r="H179" s="12"/>
      <c r="I179" s="12"/>
      <c r="J179" s="12"/>
      <c r="K179" s="12"/>
      <c r="L179" s="12"/>
      <c r="M179" s="12"/>
      <c r="N179" s="423" t="s">
        <v>11648</v>
      </c>
      <c r="O179" s="12"/>
      <c r="P179" s="12"/>
      <c r="Q179" s="12"/>
      <c r="R179" s="12"/>
      <c r="S179" s="12"/>
      <c r="T179" s="12"/>
      <c r="U179" s="12"/>
      <c r="V179" s="2730">
        <v>1</v>
      </c>
    </row>
    <row r="180" spans="1:22">
      <c r="A180" s="12"/>
      <c r="B180" s="12"/>
      <c r="C180" s="3182" t="s">
        <v>11649</v>
      </c>
      <c r="D180" s="12"/>
      <c r="E180" s="12"/>
      <c r="F180" s="12"/>
      <c r="G180" s="12"/>
      <c r="H180" s="12"/>
      <c r="I180" s="12"/>
      <c r="J180" s="12"/>
      <c r="K180" s="12"/>
      <c r="L180" s="12"/>
      <c r="M180" s="12"/>
      <c r="N180" s="423" t="s">
        <v>11650</v>
      </c>
      <c r="O180" s="12"/>
      <c r="P180" s="12"/>
      <c r="Q180" s="12"/>
      <c r="R180" s="12"/>
      <c r="S180" s="12"/>
      <c r="T180" s="12"/>
      <c r="U180" s="12"/>
      <c r="V180" s="2730">
        <v>1</v>
      </c>
    </row>
    <row r="181" spans="1:22">
      <c r="A181" s="12"/>
      <c r="B181" s="12"/>
      <c r="C181" s="3182" t="s">
        <v>11651</v>
      </c>
      <c r="D181" s="12"/>
      <c r="E181" s="12"/>
      <c r="F181" s="12"/>
      <c r="G181" s="12"/>
      <c r="H181" s="12"/>
      <c r="I181" s="12"/>
      <c r="J181" s="12"/>
      <c r="K181" s="12"/>
      <c r="L181" s="12"/>
      <c r="M181" s="12"/>
      <c r="N181" s="423" t="s">
        <v>11652</v>
      </c>
      <c r="O181" s="12"/>
      <c r="P181" s="12"/>
      <c r="Q181" s="12"/>
      <c r="R181" s="12"/>
      <c r="S181" s="12"/>
      <c r="T181" s="12"/>
      <c r="U181" s="12"/>
      <c r="V181" s="2730">
        <v>1</v>
      </c>
    </row>
    <row r="182" spans="1:22">
      <c r="A182" s="12"/>
      <c r="B182" s="12"/>
      <c r="C182" s="12"/>
      <c r="D182" s="12"/>
      <c r="E182" s="12"/>
      <c r="F182" s="12"/>
      <c r="G182" s="12"/>
      <c r="H182" s="12"/>
      <c r="I182" s="12"/>
      <c r="J182" s="12"/>
      <c r="K182" s="12"/>
      <c r="L182" s="12"/>
      <c r="M182" s="12"/>
      <c r="N182" s="423" t="s">
        <v>11653</v>
      </c>
      <c r="O182" s="12"/>
      <c r="P182" s="12"/>
      <c r="Q182" s="12"/>
      <c r="R182" s="12"/>
      <c r="S182" s="12"/>
      <c r="T182" s="12"/>
      <c r="U182" s="12"/>
      <c r="V182" s="2730">
        <v>1</v>
      </c>
    </row>
    <row r="183" spans="1:22" ht="18">
      <c r="A183" s="12"/>
      <c r="B183" s="12"/>
      <c r="C183" s="3173" t="s">
        <v>11654</v>
      </c>
      <c r="D183" s="12"/>
      <c r="E183" s="12"/>
      <c r="F183" s="12"/>
      <c r="G183" s="12"/>
      <c r="H183" s="12"/>
      <c r="I183" s="12"/>
      <c r="J183" s="12"/>
      <c r="K183" s="12"/>
      <c r="L183" s="12"/>
      <c r="M183" s="12"/>
      <c r="N183" s="423" t="s">
        <v>11655</v>
      </c>
      <c r="O183" s="12"/>
      <c r="P183" s="12"/>
      <c r="Q183" s="12"/>
      <c r="R183" s="12"/>
      <c r="S183" s="12"/>
      <c r="T183" s="12"/>
      <c r="U183" s="12"/>
      <c r="V183" s="2730">
        <v>1</v>
      </c>
    </row>
    <row r="184" spans="1:22">
      <c r="A184" s="12"/>
      <c r="B184" s="12"/>
      <c r="C184" s="12"/>
      <c r="D184" s="12"/>
      <c r="E184" s="12"/>
      <c r="F184" s="12"/>
      <c r="G184" s="12"/>
      <c r="H184" s="12"/>
      <c r="I184" s="12"/>
      <c r="J184" s="12"/>
      <c r="K184" s="12"/>
      <c r="L184" s="12"/>
      <c r="M184" s="12"/>
      <c r="N184" s="423" t="s">
        <v>11656</v>
      </c>
      <c r="O184" s="12"/>
      <c r="P184" s="12"/>
      <c r="Q184" s="12"/>
      <c r="R184" s="12"/>
      <c r="S184" s="12"/>
      <c r="T184" s="12"/>
      <c r="U184" s="12"/>
      <c r="V184" s="2730">
        <v>1</v>
      </c>
    </row>
    <row r="185" spans="1:22">
      <c r="A185" s="12"/>
      <c r="B185" s="12"/>
      <c r="C185" s="12" t="s">
        <v>11657</v>
      </c>
      <c r="D185" s="12"/>
      <c r="E185" s="12"/>
      <c r="F185" s="12"/>
      <c r="G185" s="12"/>
      <c r="H185" s="12"/>
      <c r="I185" s="12"/>
      <c r="J185" s="12"/>
      <c r="K185" s="12"/>
      <c r="L185" s="12"/>
      <c r="M185" s="12"/>
      <c r="N185" s="12"/>
      <c r="O185" s="12"/>
      <c r="P185" s="12"/>
      <c r="Q185" s="12"/>
      <c r="R185" s="12"/>
      <c r="S185" s="12"/>
      <c r="T185" s="12"/>
      <c r="U185" s="12"/>
      <c r="V185" s="2730">
        <v>1</v>
      </c>
    </row>
    <row r="186" spans="1:22" ht="18">
      <c r="A186" s="12"/>
      <c r="B186" s="12"/>
      <c r="C186" s="12"/>
      <c r="D186" s="12"/>
      <c r="E186" s="12"/>
      <c r="F186" s="12"/>
      <c r="G186" s="12"/>
      <c r="H186" s="12"/>
      <c r="I186" s="12"/>
      <c r="J186" s="12"/>
      <c r="K186" s="12"/>
      <c r="L186" s="12"/>
      <c r="M186" s="12"/>
      <c r="N186" s="3173" t="s">
        <v>11658</v>
      </c>
      <c r="O186" s="12"/>
      <c r="P186" s="12"/>
      <c r="Q186" s="12"/>
      <c r="R186" s="12"/>
      <c r="S186" s="12"/>
      <c r="T186" s="12"/>
      <c r="U186" s="12"/>
      <c r="V186" s="2730">
        <v>1</v>
      </c>
    </row>
    <row r="187" spans="1:22">
      <c r="A187" s="12"/>
      <c r="B187" s="12"/>
      <c r="C187" s="12" t="s">
        <v>11574</v>
      </c>
      <c r="D187" s="12"/>
      <c r="E187" s="12"/>
      <c r="F187" s="12"/>
      <c r="G187" s="12"/>
      <c r="H187" s="12"/>
      <c r="I187" s="12"/>
      <c r="J187" s="12"/>
      <c r="K187" s="12"/>
      <c r="L187" s="12"/>
      <c r="M187" s="12"/>
      <c r="N187" s="716"/>
      <c r="O187" s="12"/>
      <c r="P187" s="12"/>
      <c r="Q187" s="12"/>
      <c r="R187" s="12"/>
      <c r="S187" s="12"/>
      <c r="T187" s="12"/>
      <c r="U187" s="12"/>
      <c r="V187" s="2730">
        <v>1</v>
      </c>
    </row>
    <row r="188" spans="1:22">
      <c r="A188" s="12"/>
      <c r="B188" s="12"/>
      <c r="C188" s="716"/>
      <c r="D188" s="12"/>
      <c r="E188" s="12"/>
      <c r="F188" s="12"/>
      <c r="G188" s="12"/>
      <c r="H188" s="12"/>
      <c r="I188" s="12"/>
      <c r="J188" s="12"/>
      <c r="K188" s="12"/>
      <c r="L188" s="12"/>
      <c r="M188" s="12"/>
      <c r="N188" s="423" t="s">
        <v>11659</v>
      </c>
      <c r="O188" s="12"/>
      <c r="P188" s="12"/>
      <c r="Q188" s="12"/>
      <c r="R188" s="12"/>
      <c r="S188" s="12"/>
      <c r="T188" s="12"/>
      <c r="U188" s="12"/>
      <c r="V188" s="2730">
        <v>1</v>
      </c>
    </row>
    <row r="189" spans="1:22">
      <c r="A189" s="12"/>
      <c r="B189" s="12"/>
      <c r="C189" s="3182" t="s">
        <v>11660</v>
      </c>
      <c r="D189" s="12"/>
      <c r="E189" s="12"/>
      <c r="F189" s="12"/>
      <c r="G189" s="12"/>
      <c r="H189" s="12"/>
      <c r="I189" s="12"/>
      <c r="J189" s="12"/>
      <c r="K189" s="12"/>
      <c r="L189" s="12"/>
      <c r="M189" s="12"/>
      <c r="N189" s="423" t="s">
        <v>11661</v>
      </c>
      <c r="O189" s="12"/>
      <c r="P189" s="12"/>
      <c r="Q189" s="12"/>
      <c r="R189" s="12"/>
      <c r="S189" s="12"/>
      <c r="T189" s="12"/>
      <c r="U189" s="12"/>
      <c r="V189" s="2730">
        <v>1</v>
      </c>
    </row>
    <row r="190" spans="1:22">
      <c r="A190" s="12"/>
      <c r="B190" s="12"/>
      <c r="C190" s="3182" t="s">
        <v>11662</v>
      </c>
      <c r="D190" s="12"/>
      <c r="E190" s="12"/>
      <c r="F190" s="12"/>
      <c r="G190" s="12"/>
      <c r="H190" s="12"/>
      <c r="I190" s="12"/>
      <c r="J190" s="12"/>
      <c r="K190" s="12"/>
      <c r="L190" s="12"/>
      <c r="M190" s="12"/>
      <c r="N190" s="423" t="s">
        <v>11663</v>
      </c>
      <c r="O190" s="12"/>
      <c r="P190" s="12"/>
      <c r="Q190" s="12"/>
      <c r="R190" s="12"/>
      <c r="S190" s="12"/>
      <c r="T190" s="12"/>
      <c r="U190" s="12"/>
      <c r="V190" s="2730">
        <v>1</v>
      </c>
    </row>
    <row r="191" spans="1:22">
      <c r="A191" s="12"/>
      <c r="B191" s="12"/>
      <c r="C191" s="3182" t="s">
        <v>11664</v>
      </c>
      <c r="D191" s="12"/>
      <c r="E191" s="12"/>
      <c r="F191" s="12"/>
      <c r="G191" s="12"/>
      <c r="H191" s="12"/>
      <c r="I191" s="12"/>
      <c r="J191" s="12"/>
      <c r="K191" s="12"/>
      <c r="L191" s="12"/>
      <c r="M191" s="12"/>
      <c r="N191" s="423" t="s">
        <v>11665</v>
      </c>
      <c r="O191" s="12"/>
      <c r="P191" s="12"/>
      <c r="Q191" s="12"/>
      <c r="R191" s="12"/>
      <c r="S191" s="12"/>
      <c r="T191" s="12"/>
      <c r="U191" s="12"/>
      <c r="V191" s="2730">
        <v>1</v>
      </c>
    </row>
    <row r="192" spans="1:22">
      <c r="A192" s="12"/>
      <c r="B192" s="12"/>
      <c r="C192" s="12"/>
      <c r="D192" s="12"/>
      <c r="E192" s="12"/>
      <c r="F192" s="12"/>
      <c r="G192" s="12"/>
      <c r="H192" s="12"/>
      <c r="I192" s="12"/>
      <c r="J192" s="12"/>
      <c r="K192" s="12"/>
      <c r="L192" s="12"/>
      <c r="M192" s="12"/>
      <c r="N192" s="423" t="s">
        <v>11666</v>
      </c>
      <c r="O192" s="12"/>
      <c r="P192" s="12"/>
      <c r="Q192" s="12"/>
      <c r="R192" s="12"/>
      <c r="S192" s="12"/>
      <c r="T192" s="12"/>
      <c r="U192" s="12"/>
      <c r="V192" s="2730">
        <v>1</v>
      </c>
    </row>
    <row r="193" spans="1:22">
      <c r="A193" s="12"/>
      <c r="B193" s="12"/>
      <c r="C193" s="12" t="s">
        <v>11667</v>
      </c>
      <c r="D193" s="12"/>
      <c r="E193" s="12"/>
      <c r="F193" s="12"/>
      <c r="G193" s="12"/>
      <c r="H193" s="12"/>
      <c r="I193" s="12"/>
      <c r="J193" s="12"/>
      <c r="K193" s="12"/>
      <c r="L193" s="12"/>
      <c r="M193" s="12"/>
      <c r="N193" s="423" t="s">
        <v>11668</v>
      </c>
      <c r="O193" s="12"/>
      <c r="P193" s="12"/>
      <c r="Q193" s="12"/>
      <c r="R193" s="12"/>
      <c r="S193" s="12"/>
      <c r="T193" s="12"/>
      <c r="U193" s="12"/>
      <c r="V193" s="2730">
        <v>1</v>
      </c>
    </row>
    <row r="194" spans="1:22">
      <c r="A194" s="12"/>
      <c r="B194" s="12"/>
      <c r="C194" s="12" t="s">
        <v>11669</v>
      </c>
      <c r="D194" s="12"/>
      <c r="E194" s="12"/>
      <c r="F194" s="12"/>
      <c r="G194" s="12"/>
      <c r="H194" s="12"/>
      <c r="I194" s="12"/>
      <c r="J194" s="12"/>
      <c r="K194" s="12"/>
      <c r="L194" s="12"/>
      <c r="M194" s="12"/>
      <c r="N194" s="423" t="s">
        <v>11670</v>
      </c>
      <c r="O194" s="12"/>
      <c r="P194" s="12"/>
      <c r="Q194" s="12"/>
      <c r="R194" s="12"/>
      <c r="S194" s="12"/>
      <c r="T194" s="12"/>
      <c r="U194" s="12"/>
      <c r="V194" s="2730">
        <v>1</v>
      </c>
    </row>
    <row r="195" spans="1:22">
      <c r="A195" s="12"/>
      <c r="B195" s="12"/>
      <c r="C195" s="12"/>
      <c r="D195" s="12"/>
      <c r="E195" s="12"/>
      <c r="F195" s="12"/>
      <c r="G195" s="12"/>
      <c r="H195" s="12"/>
      <c r="I195" s="12"/>
      <c r="J195" s="12"/>
      <c r="K195" s="12"/>
      <c r="L195" s="12"/>
      <c r="M195" s="12"/>
      <c r="N195" s="423" t="s">
        <v>11671</v>
      </c>
      <c r="O195" s="12"/>
      <c r="P195" s="12"/>
      <c r="Q195" s="12"/>
      <c r="R195" s="12"/>
      <c r="S195" s="12"/>
      <c r="T195" s="12"/>
      <c r="U195" s="12"/>
      <c r="V195" s="2730">
        <v>1</v>
      </c>
    </row>
    <row r="196" spans="1:22">
      <c r="A196" s="12"/>
      <c r="B196" s="12"/>
      <c r="C196" s="12"/>
      <c r="D196" s="12"/>
      <c r="E196" s="12"/>
      <c r="F196" s="12"/>
      <c r="G196" s="12"/>
      <c r="H196" s="12"/>
      <c r="I196" s="12"/>
      <c r="J196" s="12"/>
      <c r="K196" s="12"/>
      <c r="L196" s="12"/>
      <c r="M196" s="12"/>
      <c r="N196" s="423" t="s">
        <v>11672</v>
      </c>
      <c r="O196" s="12"/>
      <c r="P196" s="12"/>
      <c r="Q196" s="12"/>
      <c r="R196" s="12"/>
      <c r="S196" s="12"/>
      <c r="T196" s="12"/>
      <c r="U196" s="12"/>
      <c r="V196" s="2730">
        <v>1</v>
      </c>
    </row>
    <row r="197" spans="1:22">
      <c r="A197" s="12"/>
      <c r="B197" s="12"/>
      <c r="C197" s="2783" t="s">
        <v>11673</v>
      </c>
      <c r="D197" s="12"/>
      <c r="E197" s="12"/>
      <c r="F197" s="12"/>
      <c r="G197" s="12"/>
      <c r="H197" s="12"/>
      <c r="I197" s="12"/>
      <c r="J197" s="12"/>
      <c r="K197" s="12"/>
      <c r="L197" s="12"/>
      <c r="M197" s="12"/>
      <c r="N197" s="423" t="s">
        <v>11674</v>
      </c>
      <c r="O197" s="12"/>
      <c r="P197" s="12"/>
      <c r="Q197" s="12"/>
      <c r="R197" s="12"/>
      <c r="S197" s="12"/>
      <c r="T197" s="12"/>
      <c r="U197" s="12"/>
      <c r="V197" s="2730">
        <v>1</v>
      </c>
    </row>
    <row r="198" spans="1:22">
      <c r="A198" s="12"/>
      <c r="B198" s="12"/>
      <c r="C198" s="12" t="s">
        <v>11675</v>
      </c>
      <c r="D198" s="12"/>
      <c r="E198" s="12"/>
      <c r="F198" s="12"/>
      <c r="G198" s="12"/>
      <c r="H198" s="12"/>
      <c r="I198" s="12"/>
      <c r="J198" s="12"/>
      <c r="K198" s="12"/>
      <c r="L198" s="12"/>
      <c r="M198" s="12"/>
      <c r="N198" s="12"/>
      <c r="O198" s="12"/>
      <c r="P198" s="12"/>
      <c r="Q198" s="12"/>
      <c r="R198" s="12"/>
      <c r="S198" s="12"/>
      <c r="T198" s="12"/>
      <c r="U198" s="12"/>
      <c r="V198" s="2730">
        <v>1</v>
      </c>
    </row>
    <row r="199" spans="1:22">
      <c r="A199" s="12"/>
      <c r="B199" s="12"/>
      <c r="C199" s="12"/>
      <c r="D199" s="12"/>
      <c r="E199" s="12"/>
      <c r="F199" s="12"/>
      <c r="G199" s="12"/>
      <c r="H199" s="12"/>
      <c r="I199" s="12"/>
      <c r="J199" s="12"/>
      <c r="K199" s="12"/>
      <c r="L199" s="12"/>
      <c r="M199" s="12"/>
      <c r="N199" s="12" t="s">
        <v>11676</v>
      </c>
      <c r="O199" s="12"/>
      <c r="P199" s="12"/>
      <c r="Q199" s="12"/>
      <c r="R199" s="12"/>
      <c r="S199" s="12"/>
      <c r="T199" s="12"/>
      <c r="U199" s="12"/>
      <c r="V199" s="2730">
        <v>1</v>
      </c>
    </row>
    <row r="200" spans="1:22">
      <c r="A200" s="12"/>
      <c r="B200" s="12"/>
      <c r="C200" s="2783" t="s">
        <v>11677</v>
      </c>
      <c r="D200" s="12"/>
      <c r="E200" s="12"/>
      <c r="F200" s="12"/>
      <c r="G200" s="12"/>
      <c r="H200" s="12"/>
      <c r="I200" s="12"/>
      <c r="J200" s="12"/>
      <c r="K200" s="12"/>
      <c r="L200" s="12"/>
      <c r="M200" s="12"/>
      <c r="N200" s="12" t="s">
        <v>11678</v>
      </c>
      <c r="O200" s="12"/>
      <c r="P200" s="12"/>
      <c r="Q200" s="12"/>
      <c r="R200" s="12"/>
      <c r="S200" s="12"/>
      <c r="T200" s="12"/>
      <c r="U200" s="12"/>
      <c r="V200" s="2730">
        <v>1</v>
      </c>
    </row>
    <row r="201" spans="1:22">
      <c r="A201" s="12"/>
      <c r="B201" s="12"/>
      <c r="C201" s="3183" t="s">
        <v>11679</v>
      </c>
      <c r="D201" s="12"/>
      <c r="E201" s="12"/>
      <c r="F201" s="12"/>
      <c r="G201" s="12"/>
      <c r="H201" s="12"/>
      <c r="I201" s="12"/>
      <c r="J201" s="12"/>
      <c r="K201" s="12"/>
      <c r="L201" s="12"/>
      <c r="M201" s="12"/>
      <c r="N201" s="12"/>
      <c r="O201" s="12"/>
      <c r="P201" s="12"/>
      <c r="Q201" s="12"/>
      <c r="R201" s="12"/>
      <c r="S201" s="12"/>
      <c r="T201" s="12"/>
      <c r="U201" s="12"/>
      <c r="V201" s="2730">
        <v>1</v>
      </c>
    </row>
    <row r="202" spans="1:22">
      <c r="A202" s="12"/>
      <c r="B202" s="12"/>
      <c r="C202" s="12"/>
      <c r="D202" s="12"/>
      <c r="E202" s="12"/>
      <c r="F202" s="12"/>
      <c r="G202" s="12"/>
      <c r="H202" s="12"/>
      <c r="I202" s="12"/>
      <c r="J202" s="12"/>
      <c r="K202" s="12"/>
      <c r="L202" s="12"/>
      <c r="M202" s="12"/>
      <c r="N202" s="12"/>
      <c r="O202" s="12"/>
      <c r="P202" s="12"/>
      <c r="Q202" s="12"/>
      <c r="R202" s="12"/>
      <c r="S202" s="12"/>
      <c r="T202" s="12"/>
      <c r="U202" s="12"/>
      <c r="V202" s="2730">
        <v>1</v>
      </c>
    </row>
    <row r="203" spans="1:22">
      <c r="A203" s="12"/>
      <c r="B203" s="12"/>
      <c r="C203" s="2783" t="s">
        <v>11680</v>
      </c>
      <c r="D203" s="12"/>
      <c r="E203" s="12"/>
      <c r="F203" s="12"/>
      <c r="G203" s="12"/>
      <c r="H203" s="12"/>
      <c r="I203" s="12"/>
      <c r="J203" s="12"/>
      <c r="K203" s="12"/>
      <c r="L203" s="12"/>
      <c r="M203" s="12"/>
      <c r="N203" s="12"/>
      <c r="O203" s="12"/>
      <c r="P203" s="12"/>
      <c r="Q203" s="12"/>
      <c r="R203" s="12"/>
      <c r="S203" s="12"/>
      <c r="T203" s="12"/>
      <c r="U203" s="12"/>
      <c r="V203" s="2730">
        <v>1</v>
      </c>
    </row>
    <row r="204" spans="1:22">
      <c r="A204" s="12"/>
      <c r="B204" s="12"/>
      <c r="C204" s="3183" t="s">
        <v>11681</v>
      </c>
      <c r="D204" s="12"/>
      <c r="E204" s="12"/>
      <c r="F204" s="12"/>
      <c r="G204" s="12"/>
      <c r="H204" s="12"/>
      <c r="I204" s="12"/>
      <c r="J204" s="12"/>
      <c r="K204" s="12"/>
      <c r="L204" s="12"/>
      <c r="M204" s="12"/>
      <c r="N204" s="12"/>
      <c r="O204" s="12"/>
      <c r="P204" s="12"/>
      <c r="Q204" s="12"/>
      <c r="R204" s="12"/>
      <c r="S204" s="12"/>
      <c r="T204" s="12"/>
      <c r="U204" s="12"/>
      <c r="V204" s="2730">
        <v>1</v>
      </c>
    </row>
    <row r="205" spans="1:22">
      <c r="A205" s="12"/>
      <c r="B205" s="12"/>
      <c r="C205" s="12"/>
      <c r="D205" s="12"/>
      <c r="E205" s="12"/>
      <c r="F205" s="12"/>
      <c r="G205" s="12"/>
      <c r="H205" s="12"/>
      <c r="I205" s="12"/>
      <c r="J205" s="12"/>
      <c r="K205" s="12"/>
      <c r="L205" s="12"/>
      <c r="M205" s="12"/>
      <c r="N205" s="12"/>
      <c r="O205" s="12"/>
      <c r="P205" s="12"/>
      <c r="Q205" s="12"/>
      <c r="R205" s="12"/>
      <c r="S205" s="12"/>
      <c r="T205" s="12"/>
      <c r="U205" s="12"/>
      <c r="V205" s="2730">
        <v>1</v>
      </c>
    </row>
    <row r="206" spans="1:22">
      <c r="A206" s="12"/>
      <c r="B206" s="12"/>
      <c r="C206" s="2783" t="s">
        <v>11682</v>
      </c>
      <c r="D206" s="12"/>
      <c r="E206" s="12"/>
      <c r="F206" s="12"/>
      <c r="G206" s="12"/>
      <c r="H206" s="12"/>
      <c r="I206" s="12"/>
      <c r="J206" s="12"/>
      <c r="K206" s="12"/>
      <c r="L206" s="12"/>
      <c r="M206" s="12"/>
      <c r="N206" s="2783" t="s">
        <v>11683</v>
      </c>
      <c r="O206" s="12"/>
      <c r="P206" s="12"/>
      <c r="Q206" s="12"/>
      <c r="R206" s="12"/>
      <c r="S206" s="12"/>
      <c r="T206" s="12"/>
      <c r="U206" s="12"/>
      <c r="V206" s="2730">
        <v>1</v>
      </c>
    </row>
    <row r="207" spans="1:22">
      <c r="A207" s="12"/>
      <c r="B207" s="12"/>
      <c r="C207" s="3183" t="s">
        <v>11684</v>
      </c>
      <c r="D207" s="12"/>
      <c r="E207" s="12"/>
      <c r="F207" s="12"/>
      <c r="G207" s="12"/>
      <c r="H207" s="12"/>
      <c r="I207" s="12"/>
      <c r="J207" s="12"/>
      <c r="K207" s="12"/>
      <c r="L207" s="12"/>
      <c r="M207" s="12"/>
      <c r="N207" s="3183" t="s">
        <v>11685</v>
      </c>
      <c r="O207" s="12"/>
      <c r="P207" s="12"/>
      <c r="Q207" s="12"/>
      <c r="R207" s="12"/>
      <c r="S207" s="12"/>
      <c r="T207" s="12"/>
      <c r="U207" s="12"/>
      <c r="V207" s="2730">
        <v>1</v>
      </c>
    </row>
    <row r="208" spans="1:22">
      <c r="A208" s="12"/>
      <c r="B208" s="12"/>
      <c r="C208" s="12"/>
      <c r="D208" s="12"/>
      <c r="E208" s="12"/>
      <c r="F208" s="12"/>
      <c r="G208" s="12"/>
      <c r="H208" s="12"/>
      <c r="I208" s="12"/>
      <c r="J208" s="12"/>
      <c r="K208" s="12"/>
      <c r="L208" s="12"/>
      <c r="M208" s="12"/>
      <c r="N208" s="12"/>
      <c r="O208" s="12"/>
      <c r="P208" s="12"/>
      <c r="Q208" s="12"/>
      <c r="R208" s="12"/>
      <c r="S208" s="12"/>
      <c r="T208" s="12"/>
      <c r="U208" s="12"/>
      <c r="V208" s="2730">
        <v>1</v>
      </c>
    </row>
    <row r="209" spans="1:22">
      <c r="A209" s="12"/>
      <c r="B209" s="12"/>
      <c r="C209" s="3184" t="s">
        <v>11686</v>
      </c>
      <c r="D209" s="3185" t="s">
        <v>11687</v>
      </c>
      <c r="F209" s="12"/>
      <c r="G209" s="12"/>
      <c r="H209" s="12"/>
      <c r="I209" s="12"/>
      <c r="J209" s="12"/>
      <c r="K209" s="12"/>
      <c r="L209" s="12"/>
      <c r="M209" s="12"/>
      <c r="N209" s="12"/>
      <c r="O209" s="12"/>
      <c r="P209" s="12"/>
      <c r="Q209" s="12"/>
      <c r="R209" s="12"/>
      <c r="S209" s="12"/>
      <c r="T209" s="12"/>
      <c r="U209" s="12"/>
      <c r="V209" s="2730">
        <v>1</v>
      </c>
    </row>
    <row r="210" spans="1:22">
      <c r="A210" s="12"/>
      <c r="B210" s="12"/>
      <c r="C210" s="12"/>
      <c r="D210" s="12"/>
      <c r="E210" s="12"/>
      <c r="F210" s="12"/>
      <c r="G210" s="12"/>
      <c r="H210" s="12"/>
      <c r="I210" s="12"/>
      <c r="J210" s="12"/>
      <c r="K210" s="12"/>
      <c r="L210" s="12"/>
      <c r="M210" s="12"/>
      <c r="N210" s="12"/>
      <c r="O210" s="12"/>
      <c r="P210" s="12"/>
      <c r="Q210" s="12"/>
      <c r="R210" s="12"/>
      <c r="S210" s="12"/>
      <c r="T210" s="12"/>
      <c r="U210" s="12"/>
      <c r="V210" s="2730">
        <v>1</v>
      </c>
    </row>
    <row r="211" spans="1:22">
      <c r="A211" s="12"/>
      <c r="B211" s="12"/>
      <c r="C211" s="12"/>
      <c r="D211" s="12"/>
      <c r="E211" s="12"/>
      <c r="F211" s="12"/>
      <c r="G211" s="12"/>
      <c r="H211" s="12"/>
      <c r="I211" s="12"/>
      <c r="J211" s="12"/>
      <c r="K211" s="12"/>
      <c r="L211" s="12"/>
      <c r="M211" s="12"/>
      <c r="N211" s="12"/>
      <c r="O211" s="12"/>
      <c r="P211" s="12"/>
      <c r="Q211" s="12"/>
      <c r="R211" s="12"/>
      <c r="S211" s="12"/>
      <c r="T211" s="12"/>
      <c r="U211" s="12"/>
      <c r="V211" s="2730">
        <v>1</v>
      </c>
    </row>
    <row r="212" spans="1:22" ht="18.75">
      <c r="A212" s="12"/>
      <c r="B212" s="12"/>
      <c r="C212" s="3186" t="s">
        <v>11688</v>
      </c>
      <c r="D212" s="12"/>
      <c r="E212" s="12"/>
      <c r="F212" s="12"/>
      <c r="G212" s="12"/>
      <c r="H212" s="12"/>
      <c r="I212" s="12"/>
      <c r="J212" s="12"/>
      <c r="K212" s="12"/>
      <c r="L212" s="12"/>
      <c r="M212" s="12"/>
      <c r="N212" s="12"/>
      <c r="O212" s="12"/>
      <c r="P212" s="12"/>
      <c r="Q212" s="12"/>
      <c r="R212" s="12"/>
      <c r="S212" s="12"/>
      <c r="T212" s="12"/>
      <c r="U212" s="12"/>
      <c r="V212" s="2730">
        <v>1</v>
      </c>
    </row>
    <row r="213" spans="1:22">
      <c r="A213" s="12"/>
      <c r="B213" s="12"/>
      <c r="C213" s="12"/>
      <c r="D213" s="12"/>
      <c r="E213" s="12"/>
      <c r="F213" s="12"/>
      <c r="G213" s="12"/>
      <c r="H213" s="12"/>
      <c r="I213" s="12"/>
      <c r="J213" s="12"/>
      <c r="K213" s="12"/>
      <c r="L213" s="12"/>
      <c r="M213" s="12"/>
      <c r="N213" s="12"/>
      <c r="O213" s="12"/>
      <c r="P213" s="12"/>
      <c r="Q213" s="12"/>
      <c r="R213" s="12"/>
      <c r="S213" s="12"/>
      <c r="T213" s="12"/>
      <c r="U213" s="12"/>
      <c r="V213" s="2730">
        <v>1</v>
      </c>
    </row>
    <row r="214" spans="1:22" ht="18">
      <c r="A214" s="12"/>
      <c r="B214" s="12"/>
      <c r="C214" s="3173" t="s">
        <v>11689</v>
      </c>
      <c r="D214" s="1"/>
      <c r="E214" s="1"/>
      <c r="F214" s="1"/>
      <c r="G214" s="12"/>
      <c r="H214" s="12"/>
      <c r="I214" s="12"/>
      <c r="J214" s="12"/>
      <c r="K214" s="12"/>
      <c r="L214" s="12"/>
      <c r="M214" s="12"/>
      <c r="N214" s="12"/>
      <c r="O214" s="12"/>
      <c r="P214" s="12"/>
      <c r="Q214" s="12"/>
      <c r="R214" s="12"/>
      <c r="S214" s="12"/>
      <c r="T214" s="12"/>
      <c r="U214" s="12"/>
      <c r="V214" s="2730">
        <v>1</v>
      </c>
    </row>
    <row r="215" spans="1:22">
      <c r="A215" s="12"/>
      <c r="B215" s="12"/>
      <c r="C215" s="1"/>
      <c r="D215" s="1"/>
      <c r="E215" s="1"/>
      <c r="F215" s="1"/>
      <c r="G215" s="12"/>
      <c r="H215" s="12"/>
      <c r="I215" s="12"/>
      <c r="J215" s="12"/>
      <c r="K215" s="12"/>
      <c r="L215" s="12"/>
      <c r="M215" s="12"/>
      <c r="N215" s="12"/>
      <c r="O215" s="12"/>
      <c r="P215" s="12"/>
      <c r="Q215" s="12"/>
      <c r="R215" s="12"/>
      <c r="S215" s="12"/>
      <c r="T215" s="12"/>
      <c r="U215" s="12"/>
      <c r="V215" s="2730">
        <v>1</v>
      </c>
    </row>
    <row r="216" spans="1:22">
      <c r="A216" s="12"/>
      <c r="B216" s="12"/>
      <c r="C216" s="1" t="s">
        <v>11690</v>
      </c>
      <c r="D216" s="1"/>
      <c r="E216" s="1"/>
      <c r="F216" s="1"/>
      <c r="G216" s="12"/>
      <c r="H216" s="12"/>
      <c r="I216" s="12"/>
      <c r="J216" s="12"/>
      <c r="K216" s="12"/>
      <c r="L216" s="12"/>
      <c r="M216" s="12"/>
      <c r="N216" s="12"/>
      <c r="O216" s="12"/>
      <c r="P216" s="12"/>
      <c r="Q216" s="12"/>
      <c r="R216" s="12"/>
      <c r="S216" s="12"/>
      <c r="T216" s="12"/>
      <c r="U216" s="12"/>
      <c r="V216" s="2730">
        <v>1</v>
      </c>
    </row>
    <row r="217" spans="1:22">
      <c r="A217" s="12"/>
      <c r="B217" s="12"/>
      <c r="C217" s="1"/>
      <c r="D217" s="1"/>
      <c r="E217" s="1"/>
      <c r="F217" s="1"/>
      <c r="G217" s="12"/>
      <c r="H217" s="12"/>
      <c r="I217" s="12"/>
      <c r="J217" s="12"/>
      <c r="K217" s="12"/>
      <c r="L217" s="12"/>
      <c r="M217" s="12"/>
      <c r="N217" s="12"/>
      <c r="O217" s="12"/>
      <c r="P217" s="12"/>
      <c r="Q217" s="12"/>
      <c r="R217" s="12"/>
      <c r="S217" s="12"/>
      <c r="T217" s="12"/>
      <c r="U217" s="12"/>
      <c r="V217" s="2730">
        <v>1</v>
      </c>
    </row>
    <row r="218" spans="1:22">
      <c r="A218" s="12"/>
      <c r="B218" s="12"/>
      <c r="C218" s="12"/>
      <c r="D218" s="3183" t="s">
        <v>11691</v>
      </c>
      <c r="E218" s="1"/>
      <c r="F218" s="1"/>
      <c r="G218" s="12"/>
      <c r="H218" s="12"/>
      <c r="I218" s="12"/>
      <c r="J218" s="12"/>
      <c r="K218" s="12"/>
      <c r="L218" s="12"/>
      <c r="M218" s="12"/>
      <c r="N218" s="12"/>
      <c r="O218" s="12"/>
      <c r="P218" s="12"/>
      <c r="Q218" s="12"/>
      <c r="R218" s="12"/>
      <c r="S218" s="12"/>
      <c r="T218" s="12"/>
      <c r="U218" s="12"/>
      <c r="V218" s="2730">
        <v>1</v>
      </c>
    </row>
    <row r="219" spans="1:22">
      <c r="A219" s="12"/>
      <c r="B219" s="12"/>
      <c r="C219" s="1"/>
      <c r="D219" s="1"/>
      <c r="E219" s="1"/>
      <c r="F219" s="1"/>
      <c r="G219" s="12"/>
      <c r="H219" s="12"/>
      <c r="I219" s="12"/>
      <c r="J219" s="12"/>
      <c r="K219" s="12"/>
      <c r="L219" s="12"/>
      <c r="M219" s="12"/>
      <c r="N219" s="12"/>
      <c r="O219" s="12"/>
      <c r="P219" s="12"/>
      <c r="Q219" s="12"/>
      <c r="R219" s="12"/>
      <c r="S219" s="12"/>
      <c r="T219" s="12"/>
      <c r="U219" s="12"/>
      <c r="V219" s="2730">
        <v>1</v>
      </c>
    </row>
    <row r="220" spans="1:22" ht="23.25">
      <c r="A220" s="12"/>
      <c r="B220" s="12"/>
      <c r="C220" s="3187" t="s">
        <v>11692</v>
      </c>
      <c r="D220" s="1"/>
      <c r="E220" s="1"/>
      <c r="F220" s="1"/>
      <c r="G220" s="12"/>
      <c r="H220" s="12"/>
      <c r="I220" s="12"/>
      <c r="J220" s="12"/>
      <c r="K220" s="12"/>
      <c r="L220" s="12"/>
      <c r="M220" s="12"/>
      <c r="N220" s="12"/>
      <c r="O220" s="12"/>
      <c r="P220" s="12"/>
      <c r="Q220" s="12"/>
      <c r="R220" s="12"/>
      <c r="S220" s="12"/>
      <c r="T220" s="12"/>
      <c r="U220" s="12"/>
      <c r="V220" s="2730">
        <v>1</v>
      </c>
    </row>
    <row r="221" spans="1:22">
      <c r="A221" s="12"/>
      <c r="B221" s="12"/>
      <c r="C221" s="3188"/>
      <c r="D221" s="1"/>
      <c r="E221" s="1"/>
      <c r="F221" s="1"/>
      <c r="G221" s="12"/>
      <c r="H221" s="12"/>
      <c r="I221" s="12"/>
      <c r="J221" s="12"/>
      <c r="K221" s="12"/>
      <c r="L221" s="12"/>
      <c r="M221" s="12"/>
      <c r="N221" s="12"/>
      <c r="O221" s="12"/>
      <c r="P221" s="12"/>
      <c r="Q221" s="12"/>
      <c r="R221" s="12"/>
      <c r="S221" s="12"/>
      <c r="T221" s="12"/>
      <c r="U221" s="12"/>
      <c r="V221" s="2730">
        <v>1</v>
      </c>
    </row>
    <row r="222" spans="1:22">
      <c r="A222" s="12"/>
      <c r="B222" s="12"/>
      <c r="C222" s="3189" t="s">
        <v>11693</v>
      </c>
      <c r="D222" s="1"/>
      <c r="E222" s="1"/>
      <c r="F222" s="1"/>
      <c r="G222" s="12"/>
      <c r="H222" s="12"/>
      <c r="I222" s="12"/>
      <c r="J222" s="12"/>
      <c r="K222" s="12"/>
      <c r="L222" s="12"/>
      <c r="M222" s="12"/>
      <c r="N222" s="12"/>
      <c r="O222" s="12"/>
      <c r="P222" s="12"/>
      <c r="Q222" s="12"/>
      <c r="R222" s="12"/>
      <c r="S222" s="12"/>
      <c r="T222" s="12"/>
      <c r="U222" s="12"/>
      <c r="V222" s="2730">
        <v>1</v>
      </c>
    </row>
    <row r="223" spans="1:22">
      <c r="A223" s="12"/>
      <c r="B223" s="12"/>
      <c r="C223" s="3189" t="s">
        <v>11694</v>
      </c>
      <c r="D223" s="1"/>
      <c r="E223" s="1"/>
      <c r="F223" s="1"/>
      <c r="G223" s="12"/>
      <c r="H223" s="12"/>
      <c r="I223" s="12"/>
      <c r="J223" s="12"/>
      <c r="K223" s="12"/>
      <c r="L223" s="12"/>
      <c r="M223" s="12"/>
      <c r="N223" s="12"/>
      <c r="O223" s="12"/>
      <c r="P223" s="12"/>
      <c r="Q223" s="12"/>
      <c r="R223" s="12"/>
      <c r="S223" s="12"/>
      <c r="T223" s="12"/>
      <c r="U223" s="12"/>
      <c r="V223" s="2730">
        <v>1</v>
      </c>
    </row>
    <row r="224" spans="1:22">
      <c r="A224" s="12"/>
      <c r="B224" s="12"/>
      <c r="C224" s="3189" t="s">
        <v>11695</v>
      </c>
      <c r="D224" s="1"/>
      <c r="E224" s="1"/>
      <c r="F224" s="1"/>
      <c r="G224" s="12"/>
      <c r="H224" s="12"/>
      <c r="I224" s="12"/>
      <c r="J224" s="12"/>
      <c r="K224" s="12"/>
      <c r="L224" s="12"/>
      <c r="M224" s="12"/>
      <c r="N224" s="12"/>
      <c r="O224" s="12"/>
      <c r="P224" s="12"/>
      <c r="Q224" s="12"/>
      <c r="R224" s="12"/>
      <c r="S224" s="12"/>
      <c r="T224" s="12"/>
      <c r="U224" s="12"/>
      <c r="V224" s="2730">
        <v>1</v>
      </c>
    </row>
    <row r="225" spans="1:22">
      <c r="A225" s="12"/>
      <c r="B225" s="12"/>
      <c r="C225" s="3189" t="s">
        <v>11696</v>
      </c>
      <c r="D225" s="1"/>
      <c r="E225" s="1"/>
      <c r="F225" s="1"/>
      <c r="G225" s="12"/>
      <c r="H225" s="12"/>
      <c r="I225" s="12"/>
      <c r="J225" s="12"/>
      <c r="K225" s="12"/>
      <c r="L225" s="12"/>
      <c r="M225" s="12"/>
      <c r="N225" s="12"/>
      <c r="O225" s="12"/>
      <c r="P225" s="12"/>
      <c r="Q225" s="12"/>
      <c r="R225" s="12"/>
      <c r="S225" s="12"/>
      <c r="T225" s="12"/>
      <c r="U225" s="12"/>
      <c r="V225" s="2730">
        <v>1</v>
      </c>
    </row>
    <row r="226" spans="1:22">
      <c r="A226" s="12"/>
      <c r="B226" s="12"/>
      <c r="C226" s="3189" t="s">
        <v>11697</v>
      </c>
      <c r="D226" s="1"/>
      <c r="E226" s="1"/>
      <c r="F226" s="1"/>
      <c r="G226" s="12"/>
      <c r="H226" s="12"/>
      <c r="I226" s="12"/>
      <c r="J226" s="12"/>
      <c r="K226" s="12"/>
      <c r="L226" s="12"/>
      <c r="M226" s="12"/>
      <c r="N226" s="12"/>
      <c r="O226" s="12"/>
      <c r="P226" s="12"/>
      <c r="Q226" s="12"/>
      <c r="R226" s="12"/>
      <c r="S226" s="12"/>
      <c r="T226" s="12"/>
      <c r="U226" s="12"/>
      <c r="V226" s="2730">
        <v>1</v>
      </c>
    </row>
    <row r="227" spans="1:22">
      <c r="A227" s="12"/>
      <c r="B227" s="12"/>
      <c r="C227" s="3189" t="s">
        <v>11698</v>
      </c>
      <c r="D227" s="1"/>
      <c r="E227" s="1"/>
      <c r="F227" s="1"/>
      <c r="G227" s="12"/>
      <c r="H227" s="12"/>
      <c r="I227" s="12"/>
      <c r="J227" s="12"/>
      <c r="K227" s="12"/>
      <c r="L227" s="12"/>
      <c r="M227" s="12"/>
      <c r="N227" s="12"/>
      <c r="O227" s="12"/>
      <c r="P227" s="12"/>
      <c r="Q227" s="12"/>
      <c r="R227" s="12"/>
      <c r="S227" s="12"/>
      <c r="T227" s="12"/>
      <c r="U227" s="12"/>
      <c r="V227" s="2730">
        <v>1</v>
      </c>
    </row>
    <row r="228" spans="1:22">
      <c r="A228" s="12"/>
      <c r="B228" s="12"/>
      <c r="C228" s="3189" t="s">
        <v>11699</v>
      </c>
      <c r="D228" s="1"/>
      <c r="E228" s="1"/>
      <c r="F228" s="1"/>
      <c r="G228" s="12"/>
      <c r="H228" s="12"/>
      <c r="I228" s="12"/>
      <c r="J228" s="12"/>
      <c r="K228" s="12"/>
      <c r="L228" s="12"/>
      <c r="M228" s="12"/>
      <c r="N228" s="12"/>
      <c r="O228" s="12"/>
      <c r="P228" s="12"/>
      <c r="Q228" s="12"/>
      <c r="R228" s="12"/>
      <c r="S228" s="12"/>
      <c r="T228" s="12"/>
      <c r="U228" s="12"/>
      <c r="V228" s="2730">
        <v>1</v>
      </c>
    </row>
    <row r="229" spans="1:22">
      <c r="A229" s="12"/>
      <c r="B229" s="12"/>
      <c r="C229" s="3189" t="s">
        <v>11700</v>
      </c>
      <c r="D229" s="1"/>
      <c r="E229" s="1"/>
      <c r="F229" s="1"/>
      <c r="G229" s="12"/>
      <c r="H229" s="12"/>
      <c r="I229" s="12"/>
      <c r="J229" s="12"/>
      <c r="K229" s="12"/>
      <c r="L229" s="12"/>
      <c r="M229" s="12"/>
      <c r="N229" s="12"/>
      <c r="O229" s="12"/>
      <c r="P229" s="12"/>
      <c r="Q229" s="12"/>
      <c r="R229" s="12"/>
      <c r="S229" s="12"/>
      <c r="T229" s="12"/>
      <c r="U229" s="12"/>
      <c r="V229" s="2730">
        <v>1</v>
      </c>
    </row>
    <row r="230" spans="1:22">
      <c r="A230" s="12"/>
      <c r="B230" s="12"/>
      <c r="C230" s="3189" t="s">
        <v>11701</v>
      </c>
      <c r="D230" s="1"/>
      <c r="E230" s="1"/>
      <c r="F230" s="1"/>
      <c r="G230" s="12"/>
      <c r="H230" s="12"/>
      <c r="I230" s="12"/>
      <c r="J230" s="12"/>
      <c r="K230" s="12"/>
      <c r="L230" s="12"/>
      <c r="M230" s="12"/>
      <c r="N230" s="12"/>
      <c r="O230" s="12"/>
      <c r="P230" s="12"/>
      <c r="Q230" s="12"/>
      <c r="R230" s="12"/>
      <c r="S230" s="12"/>
      <c r="T230" s="12"/>
      <c r="U230" s="12"/>
      <c r="V230" s="2730">
        <v>1</v>
      </c>
    </row>
    <row r="231" spans="1:22">
      <c r="A231" s="12"/>
      <c r="B231" s="12"/>
      <c r="C231" s="3189" t="s">
        <v>11702</v>
      </c>
      <c r="D231" s="1"/>
      <c r="E231" s="1"/>
      <c r="F231" s="1"/>
      <c r="G231" s="12"/>
      <c r="H231" s="12"/>
      <c r="I231" s="12"/>
      <c r="J231" s="12"/>
      <c r="K231" s="12"/>
      <c r="L231" s="12"/>
      <c r="M231" s="12"/>
      <c r="N231" s="12"/>
      <c r="O231" s="12"/>
      <c r="P231" s="12"/>
      <c r="Q231" s="12"/>
      <c r="R231" s="12"/>
      <c r="S231" s="12"/>
      <c r="T231" s="12"/>
      <c r="U231" s="12"/>
      <c r="V231" s="2730">
        <v>1</v>
      </c>
    </row>
    <row r="232" spans="1:22">
      <c r="A232" s="12"/>
      <c r="B232" s="12"/>
      <c r="C232" s="3189" t="s">
        <v>11703</v>
      </c>
      <c r="D232" s="1"/>
      <c r="E232" s="1"/>
      <c r="F232" s="1"/>
      <c r="G232" s="12"/>
      <c r="H232" s="12"/>
      <c r="I232" s="12"/>
      <c r="J232" s="12"/>
      <c r="K232" s="12"/>
      <c r="L232" s="12"/>
      <c r="M232" s="12"/>
      <c r="N232" s="12"/>
      <c r="O232" s="12"/>
      <c r="P232" s="12"/>
      <c r="Q232" s="12"/>
      <c r="R232" s="12"/>
      <c r="S232" s="12"/>
      <c r="T232" s="12"/>
      <c r="U232" s="12"/>
      <c r="V232" s="2730">
        <v>1</v>
      </c>
    </row>
    <row r="233" spans="1:22">
      <c r="A233" s="12"/>
      <c r="B233" s="12"/>
      <c r="C233" s="3189" t="s">
        <v>11704</v>
      </c>
      <c r="D233" s="1"/>
      <c r="E233" s="1"/>
      <c r="F233" s="1"/>
      <c r="G233" s="12"/>
      <c r="H233" s="12"/>
      <c r="I233" s="12"/>
      <c r="J233" s="12"/>
      <c r="K233" s="12"/>
      <c r="L233" s="12"/>
      <c r="M233" s="12"/>
      <c r="N233" s="12"/>
      <c r="O233" s="12"/>
      <c r="P233" s="12"/>
      <c r="Q233" s="12"/>
      <c r="R233" s="12"/>
      <c r="S233" s="12"/>
      <c r="T233" s="12"/>
      <c r="U233" s="12"/>
      <c r="V233" s="2730">
        <v>1</v>
      </c>
    </row>
    <row r="234" spans="1:22">
      <c r="A234" s="12"/>
      <c r="B234" s="12"/>
      <c r="C234" s="3189" t="s">
        <v>11705</v>
      </c>
      <c r="D234" s="1"/>
      <c r="E234" s="1"/>
      <c r="F234" s="1"/>
      <c r="G234" s="12"/>
      <c r="H234" s="12"/>
      <c r="I234" s="12"/>
      <c r="J234" s="12"/>
      <c r="K234" s="12"/>
      <c r="L234" s="12"/>
      <c r="M234" s="12"/>
      <c r="N234" s="12"/>
      <c r="O234" s="12"/>
      <c r="P234" s="12"/>
      <c r="Q234" s="12"/>
      <c r="R234" s="12"/>
      <c r="S234" s="12"/>
      <c r="T234" s="12"/>
      <c r="U234" s="12"/>
      <c r="V234" s="2730">
        <v>1</v>
      </c>
    </row>
    <row r="235" spans="1:22">
      <c r="A235" s="12"/>
      <c r="B235" s="12"/>
      <c r="C235" s="3189" t="s">
        <v>11706</v>
      </c>
      <c r="D235" s="1"/>
      <c r="E235" s="1"/>
      <c r="F235" s="1"/>
      <c r="G235" s="12"/>
      <c r="H235" s="12"/>
      <c r="I235" s="12"/>
      <c r="J235" s="12"/>
      <c r="K235" s="12"/>
      <c r="L235" s="12"/>
      <c r="M235" s="12"/>
      <c r="N235" s="12"/>
      <c r="O235" s="12"/>
      <c r="P235" s="12"/>
      <c r="Q235" s="12"/>
      <c r="R235" s="12"/>
      <c r="S235" s="12"/>
      <c r="T235" s="12"/>
      <c r="U235" s="12"/>
      <c r="V235" s="2730">
        <v>1</v>
      </c>
    </row>
    <row r="236" spans="1:22">
      <c r="A236" s="12"/>
      <c r="B236" s="12"/>
      <c r="C236" s="3189" t="s">
        <v>11707</v>
      </c>
      <c r="D236" s="1"/>
      <c r="E236" s="1"/>
      <c r="F236" s="1"/>
      <c r="G236" s="12"/>
      <c r="H236" s="12"/>
      <c r="I236" s="12"/>
      <c r="J236" s="12"/>
      <c r="K236" s="12"/>
      <c r="L236" s="12"/>
      <c r="M236" s="12"/>
      <c r="N236" s="12"/>
      <c r="O236" s="12"/>
      <c r="P236" s="12"/>
      <c r="Q236" s="12"/>
      <c r="R236" s="12"/>
      <c r="S236" s="12"/>
      <c r="T236" s="12"/>
      <c r="U236" s="12"/>
      <c r="V236" s="2730">
        <v>1</v>
      </c>
    </row>
    <row r="237" spans="1:22">
      <c r="A237" s="12"/>
      <c r="B237" s="12"/>
      <c r="C237" s="3189" t="s">
        <v>11708</v>
      </c>
      <c r="D237" s="1"/>
      <c r="E237" s="1"/>
      <c r="F237" s="1"/>
      <c r="G237" s="12"/>
      <c r="H237" s="12"/>
      <c r="I237" s="12"/>
      <c r="J237" s="12"/>
      <c r="K237" s="12"/>
      <c r="L237" s="12"/>
      <c r="M237" s="12"/>
      <c r="N237" s="12"/>
      <c r="O237" s="12"/>
      <c r="P237" s="12"/>
      <c r="Q237" s="12"/>
      <c r="R237" s="12"/>
      <c r="S237" s="12"/>
      <c r="T237" s="12"/>
      <c r="U237" s="12"/>
      <c r="V237" s="2730">
        <v>1</v>
      </c>
    </row>
    <row r="238" spans="1:22">
      <c r="A238" s="12"/>
      <c r="B238" s="12"/>
      <c r="C238" s="1"/>
      <c r="D238" s="1"/>
      <c r="E238" s="1"/>
      <c r="F238" s="1"/>
      <c r="G238" s="12"/>
      <c r="H238" s="12"/>
      <c r="I238" s="12"/>
      <c r="J238" s="12"/>
      <c r="K238" s="12"/>
      <c r="L238" s="12"/>
      <c r="M238" s="12"/>
      <c r="N238" s="12"/>
      <c r="O238" s="12"/>
      <c r="P238" s="12"/>
      <c r="Q238" s="12"/>
      <c r="R238" s="12"/>
      <c r="S238" s="12"/>
      <c r="T238" s="12"/>
      <c r="U238" s="12"/>
      <c r="V238" s="2730">
        <v>1</v>
      </c>
    </row>
    <row r="239" spans="1:22" ht="23.25">
      <c r="A239" s="12"/>
      <c r="B239" s="12"/>
      <c r="C239" s="3187" t="s">
        <v>11709</v>
      </c>
      <c r="D239" s="1"/>
      <c r="E239" s="1"/>
      <c r="F239" s="1"/>
      <c r="G239" s="12"/>
      <c r="H239" s="12"/>
      <c r="I239" s="12"/>
      <c r="J239" s="12"/>
      <c r="K239" s="12"/>
      <c r="L239" s="12"/>
      <c r="M239" s="12"/>
      <c r="N239" s="12"/>
      <c r="O239" s="12"/>
      <c r="P239" s="12"/>
      <c r="Q239" s="12"/>
      <c r="R239" s="12"/>
      <c r="S239" s="12"/>
      <c r="T239" s="12"/>
      <c r="U239" s="12"/>
      <c r="V239" s="2730">
        <v>1</v>
      </c>
    </row>
    <row r="240" spans="1:22">
      <c r="A240" s="12"/>
      <c r="B240" s="12"/>
      <c r="C240" s="1"/>
      <c r="D240" s="1"/>
      <c r="E240" s="1"/>
      <c r="F240" s="1"/>
      <c r="G240" s="12"/>
      <c r="H240" s="12"/>
      <c r="I240" s="12"/>
      <c r="J240" s="12"/>
      <c r="K240" s="12"/>
      <c r="L240" s="12"/>
      <c r="M240" s="12"/>
      <c r="N240" s="12"/>
      <c r="O240" s="12"/>
      <c r="P240" s="12"/>
      <c r="Q240" s="12"/>
      <c r="R240" s="12"/>
      <c r="S240" s="12"/>
      <c r="T240" s="12"/>
      <c r="U240" s="12"/>
      <c r="V240" s="2730">
        <v>1</v>
      </c>
    </row>
    <row r="241" spans="1:22" ht="18">
      <c r="A241" s="12"/>
      <c r="B241" s="12"/>
      <c r="C241" s="3173" t="s">
        <v>11710</v>
      </c>
      <c r="D241" s="1"/>
      <c r="E241" s="1"/>
      <c r="F241" s="1"/>
      <c r="G241" s="12"/>
      <c r="H241" s="12"/>
      <c r="I241" s="12"/>
      <c r="J241" s="12"/>
      <c r="K241" s="12"/>
      <c r="L241" s="12"/>
      <c r="M241" s="12"/>
      <c r="N241" s="12"/>
      <c r="O241" s="12"/>
      <c r="P241" s="12"/>
      <c r="Q241" s="12"/>
      <c r="R241" s="12"/>
      <c r="S241" s="12"/>
      <c r="T241" s="12"/>
      <c r="U241" s="12"/>
      <c r="V241" s="2730">
        <v>1</v>
      </c>
    </row>
    <row r="242" spans="1:22">
      <c r="A242" s="12"/>
      <c r="B242" s="12"/>
      <c r="C242" s="1"/>
      <c r="D242" s="1"/>
      <c r="E242" s="1"/>
      <c r="F242" s="1"/>
      <c r="G242" s="12"/>
      <c r="H242" s="12"/>
      <c r="I242" s="12"/>
      <c r="J242" s="12"/>
      <c r="K242" s="12"/>
      <c r="L242" s="12"/>
      <c r="M242" s="12"/>
      <c r="N242" s="12"/>
      <c r="O242" s="12"/>
      <c r="P242" s="12"/>
      <c r="Q242" s="12"/>
      <c r="R242" s="12"/>
      <c r="S242" s="12"/>
      <c r="T242" s="12"/>
      <c r="U242" s="12"/>
      <c r="V242" s="2730">
        <v>1</v>
      </c>
    </row>
    <row r="243" spans="1:22">
      <c r="A243" s="12"/>
      <c r="B243" s="12"/>
      <c r="C243" s="1" t="s">
        <v>11711</v>
      </c>
      <c r="D243" s="1"/>
      <c r="E243" s="1"/>
      <c r="F243" s="1"/>
      <c r="G243" s="12"/>
      <c r="H243" s="12"/>
      <c r="I243" s="12"/>
      <c r="J243" s="12"/>
      <c r="K243" s="12"/>
      <c r="L243" s="12"/>
      <c r="M243" s="12"/>
      <c r="N243" s="12"/>
      <c r="O243" s="12"/>
      <c r="P243" s="12"/>
      <c r="Q243" s="12"/>
      <c r="R243" s="12"/>
      <c r="S243" s="12"/>
      <c r="T243" s="12"/>
      <c r="U243" s="12"/>
      <c r="V243" s="2730">
        <v>1</v>
      </c>
    </row>
    <row r="244" spans="1:22">
      <c r="A244" s="12"/>
      <c r="B244" s="12"/>
      <c r="C244" s="3188"/>
      <c r="D244" s="1"/>
      <c r="E244" s="1"/>
      <c r="F244" s="1"/>
      <c r="G244" s="12"/>
      <c r="H244" s="12"/>
      <c r="I244" s="12"/>
      <c r="J244" s="12"/>
      <c r="K244" s="12"/>
      <c r="L244" s="12"/>
      <c r="M244" s="12"/>
      <c r="N244" s="12"/>
      <c r="O244" s="12"/>
      <c r="P244" s="12"/>
      <c r="Q244" s="12"/>
      <c r="R244" s="12"/>
      <c r="S244" s="12"/>
      <c r="T244" s="12"/>
      <c r="U244" s="12"/>
      <c r="V244" s="2730">
        <v>1</v>
      </c>
    </row>
    <row r="245" spans="1:22">
      <c r="A245" s="12"/>
      <c r="B245" s="12"/>
      <c r="C245" s="3188" t="s">
        <v>11712</v>
      </c>
      <c r="D245" s="1"/>
      <c r="E245" s="1"/>
      <c r="F245" s="1"/>
      <c r="G245" s="12"/>
      <c r="H245" s="12"/>
      <c r="I245" s="12"/>
      <c r="J245" s="12"/>
      <c r="K245" s="12"/>
      <c r="L245" s="12"/>
      <c r="M245" s="12"/>
      <c r="N245" s="12"/>
      <c r="O245" s="12"/>
      <c r="P245" s="12"/>
      <c r="Q245" s="12"/>
      <c r="R245" s="12"/>
      <c r="S245" s="12"/>
      <c r="T245" s="12"/>
      <c r="U245" s="12"/>
      <c r="V245" s="2730">
        <v>1</v>
      </c>
    </row>
    <row r="246" spans="1:22">
      <c r="A246" s="12"/>
      <c r="B246" s="12"/>
      <c r="C246" s="3188" t="s">
        <v>11713</v>
      </c>
      <c r="D246" s="1"/>
      <c r="E246" s="1"/>
      <c r="F246" s="1"/>
      <c r="G246" s="12"/>
      <c r="H246" s="12"/>
      <c r="I246" s="12"/>
      <c r="J246" s="12"/>
      <c r="K246" s="12"/>
      <c r="L246" s="12"/>
      <c r="M246" s="12"/>
      <c r="N246" s="12"/>
      <c r="O246" s="12"/>
      <c r="P246" s="12"/>
      <c r="Q246" s="12"/>
      <c r="R246" s="12"/>
      <c r="S246" s="12"/>
      <c r="T246" s="12"/>
      <c r="U246" s="12"/>
      <c r="V246" s="2730">
        <v>1</v>
      </c>
    </row>
    <row r="247" spans="1:22">
      <c r="A247" s="12"/>
      <c r="B247" s="12"/>
      <c r="C247" s="3188" t="s">
        <v>11714</v>
      </c>
      <c r="D247" s="1"/>
      <c r="E247" s="1"/>
      <c r="F247" s="1"/>
      <c r="G247" s="12"/>
      <c r="H247" s="12"/>
      <c r="I247" s="12"/>
      <c r="J247" s="12"/>
      <c r="K247" s="12"/>
      <c r="L247" s="12"/>
      <c r="M247" s="12"/>
      <c r="N247" s="12"/>
      <c r="O247" s="12"/>
      <c r="P247" s="12"/>
      <c r="Q247" s="12"/>
      <c r="R247" s="12"/>
      <c r="S247" s="12"/>
      <c r="T247" s="12"/>
      <c r="U247" s="12"/>
      <c r="V247" s="2730">
        <v>1</v>
      </c>
    </row>
    <row r="248" spans="1:22">
      <c r="A248" s="12"/>
      <c r="B248" s="12"/>
      <c r="C248" s="3188" t="s">
        <v>11715</v>
      </c>
      <c r="D248" s="1"/>
      <c r="E248" s="1"/>
      <c r="F248" s="1"/>
      <c r="G248" s="12"/>
      <c r="H248" s="12"/>
      <c r="I248" s="12"/>
      <c r="J248" s="12"/>
      <c r="K248" s="12"/>
      <c r="L248" s="12"/>
      <c r="M248" s="12"/>
      <c r="N248" s="12"/>
      <c r="O248" s="12"/>
      <c r="P248" s="12"/>
      <c r="Q248" s="12"/>
      <c r="R248" s="12"/>
      <c r="S248" s="12"/>
      <c r="T248" s="12"/>
      <c r="U248" s="12"/>
      <c r="V248" s="2730">
        <v>1</v>
      </c>
    </row>
    <row r="249" spans="1:22">
      <c r="A249" s="12"/>
      <c r="B249" s="12"/>
      <c r="C249" s="1"/>
      <c r="D249" s="1"/>
      <c r="E249" s="1"/>
      <c r="F249" s="1"/>
      <c r="G249" s="12"/>
      <c r="H249" s="12"/>
      <c r="I249" s="12"/>
      <c r="J249" s="12"/>
      <c r="K249" s="12"/>
      <c r="L249" s="12"/>
      <c r="M249" s="12"/>
      <c r="N249" s="12"/>
      <c r="O249" s="12"/>
      <c r="P249" s="12"/>
      <c r="Q249" s="12"/>
      <c r="R249" s="12"/>
      <c r="S249" s="12"/>
      <c r="T249" s="12"/>
      <c r="U249" s="12"/>
      <c r="V249" s="2730">
        <v>1</v>
      </c>
    </row>
    <row r="250" spans="1:22" ht="18">
      <c r="A250" s="12"/>
      <c r="B250" s="12"/>
      <c r="C250" s="3173" t="s">
        <v>11716</v>
      </c>
      <c r="D250" s="1"/>
      <c r="E250" s="1"/>
      <c r="F250" s="1"/>
      <c r="G250" s="12"/>
      <c r="H250" s="12"/>
      <c r="I250" s="12"/>
      <c r="J250" s="12"/>
      <c r="K250" s="12"/>
      <c r="L250" s="12"/>
      <c r="M250" s="12"/>
      <c r="N250" s="12"/>
      <c r="O250" s="12"/>
      <c r="P250" s="12"/>
      <c r="Q250" s="12"/>
      <c r="R250" s="12"/>
      <c r="S250" s="12"/>
      <c r="T250" s="12"/>
      <c r="U250" s="12"/>
      <c r="V250" s="2730">
        <v>1</v>
      </c>
    </row>
    <row r="251" spans="1:22">
      <c r="A251" s="12"/>
      <c r="B251" s="12"/>
      <c r="C251" s="1"/>
      <c r="D251" s="1"/>
      <c r="E251" s="1"/>
      <c r="F251" s="1"/>
      <c r="G251" s="12"/>
      <c r="H251" s="12"/>
      <c r="I251" s="12"/>
      <c r="J251" s="12"/>
      <c r="K251" s="12"/>
      <c r="L251" s="12"/>
      <c r="M251" s="12"/>
      <c r="N251" s="12"/>
      <c r="O251" s="12"/>
      <c r="P251" s="12"/>
      <c r="Q251" s="12"/>
      <c r="R251" s="12"/>
      <c r="S251" s="12"/>
      <c r="T251" s="12"/>
      <c r="U251" s="12"/>
      <c r="V251" s="2730">
        <v>1</v>
      </c>
    </row>
    <row r="252" spans="1:22">
      <c r="A252" s="12"/>
      <c r="B252" s="12"/>
      <c r="C252" s="1" t="s">
        <v>11717</v>
      </c>
      <c r="D252" s="1"/>
      <c r="E252" s="1"/>
      <c r="F252" s="1"/>
      <c r="G252" s="12"/>
      <c r="H252" s="12"/>
      <c r="I252" s="12"/>
      <c r="J252" s="12"/>
      <c r="K252" s="12"/>
      <c r="L252" s="12"/>
      <c r="M252" s="12"/>
      <c r="N252" s="12"/>
      <c r="O252" s="12"/>
      <c r="P252" s="12"/>
      <c r="Q252" s="12"/>
      <c r="R252" s="12"/>
      <c r="S252" s="12"/>
      <c r="T252" s="12"/>
      <c r="U252" s="12"/>
      <c r="V252" s="2730">
        <v>1</v>
      </c>
    </row>
    <row r="253" spans="1:22">
      <c r="A253" s="12"/>
      <c r="B253" s="12"/>
      <c r="C253" s="3188"/>
      <c r="D253" s="1"/>
      <c r="E253" s="1"/>
      <c r="F253" s="1"/>
      <c r="G253" s="12"/>
      <c r="H253" s="12"/>
      <c r="I253" s="12"/>
      <c r="J253" s="12"/>
      <c r="K253" s="12"/>
      <c r="L253" s="12"/>
      <c r="M253" s="12"/>
      <c r="N253" s="12"/>
      <c r="O253" s="12"/>
      <c r="P253" s="12"/>
      <c r="Q253" s="12"/>
      <c r="R253" s="12"/>
      <c r="S253" s="12"/>
      <c r="T253" s="12"/>
      <c r="U253" s="12"/>
      <c r="V253" s="2730">
        <v>1</v>
      </c>
    </row>
    <row r="254" spans="1:22">
      <c r="A254" s="12"/>
      <c r="B254" s="12"/>
      <c r="C254" s="3188" t="s">
        <v>11718</v>
      </c>
      <c r="D254" s="1"/>
      <c r="E254" s="1"/>
      <c r="F254" s="1"/>
      <c r="G254" s="12"/>
      <c r="H254" s="12"/>
      <c r="I254" s="12"/>
      <c r="J254" s="12"/>
      <c r="K254" s="12"/>
      <c r="L254" s="12"/>
      <c r="M254" s="12"/>
      <c r="N254" s="12"/>
      <c r="O254" s="12"/>
      <c r="P254" s="12"/>
      <c r="Q254" s="12"/>
      <c r="R254" s="12"/>
      <c r="S254" s="12"/>
      <c r="T254" s="12"/>
      <c r="U254" s="12"/>
      <c r="V254" s="2730">
        <v>1</v>
      </c>
    </row>
    <row r="255" spans="1:22">
      <c r="A255" s="12"/>
      <c r="B255" s="12"/>
      <c r="C255" s="3188" t="s">
        <v>11719</v>
      </c>
      <c r="D255" s="1"/>
      <c r="E255" s="1"/>
      <c r="F255" s="1"/>
      <c r="G255" s="12"/>
      <c r="H255" s="12"/>
      <c r="I255" s="12"/>
      <c r="J255" s="12"/>
      <c r="K255" s="12"/>
      <c r="L255" s="12"/>
      <c r="M255" s="12"/>
      <c r="N255" s="12"/>
      <c r="O255" s="12"/>
      <c r="P255" s="12"/>
      <c r="Q255" s="12"/>
      <c r="R255" s="12"/>
      <c r="S255" s="12"/>
      <c r="T255" s="12"/>
      <c r="U255" s="12"/>
      <c r="V255" s="2730">
        <v>1</v>
      </c>
    </row>
    <row r="256" spans="1:22">
      <c r="A256" s="12"/>
      <c r="B256" s="12"/>
      <c r="C256" s="1"/>
      <c r="D256" s="1"/>
      <c r="E256" s="1"/>
      <c r="F256" s="1"/>
      <c r="G256" s="12"/>
      <c r="H256" s="12"/>
      <c r="I256" s="12"/>
      <c r="J256" s="12"/>
      <c r="K256" s="12"/>
      <c r="L256" s="12"/>
      <c r="M256" s="12"/>
      <c r="N256" s="12"/>
      <c r="O256" s="12"/>
      <c r="P256" s="12"/>
      <c r="Q256" s="12"/>
      <c r="R256" s="12"/>
      <c r="S256" s="12"/>
      <c r="T256" s="12"/>
      <c r="U256" s="12"/>
      <c r="V256" s="2730">
        <v>1</v>
      </c>
    </row>
    <row r="257" spans="1:22">
      <c r="A257" s="12"/>
      <c r="B257" s="12"/>
      <c r="C257" s="1" t="s">
        <v>11720</v>
      </c>
      <c r="D257" s="1"/>
      <c r="E257" s="1"/>
      <c r="F257" s="1"/>
      <c r="G257" s="12"/>
      <c r="H257" s="12"/>
      <c r="I257" s="12"/>
      <c r="J257" s="12"/>
      <c r="K257" s="12"/>
      <c r="L257" s="12"/>
      <c r="M257" s="12"/>
      <c r="N257" s="12"/>
      <c r="O257" s="12"/>
      <c r="P257" s="12"/>
      <c r="Q257" s="12"/>
      <c r="R257" s="12"/>
      <c r="S257" s="12"/>
      <c r="T257" s="12"/>
      <c r="U257" s="12"/>
      <c r="V257" s="2730">
        <v>1</v>
      </c>
    </row>
    <row r="258" spans="1:22">
      <c r="A258" s="12"/>
      <c r="B258" s="12"/>
      <c r="C258" s="3188"/>
      <c r="D258" s="1"/>
      <c r="E258" s="1"/>
      <c r="F258" s="1"/>
      <c r="G258" s="12"/>
      <c r="H258" s="12"/>
      <c r="I258" s="12"/>
      <c r="J258" s="12"/>
      <c r="K258" s="12"/>
      <c r="L258" s="12"/>
      <c r="M258" s="12"/>
      <c r="N258" s="12"/>
      <c r="O258" s="12"/>
      <c r="P258" s="12"/>
      <c r="Q258" s="12"/>
      <c r="R258" s="12"/>
      <c r="S258" s="12"/>
      <c r="T258" s="12"/>
      <c r="U258" s="12"/>
      <c r="V258" s="2730">
        <v>1</v>
      </c>
    </row>
    <row r="259" spans="1:22">
      <c r="A259" s="12"/>
      <c r="B259" s="12"/>
      <c r="C259" s="3188" t="s">
        <v>11721</v>
      </c>
      <c r="D259" s="1"/>
      <c r="E259" s="1"/>
      <c r="F259" s="1"/>
      <c r="G259" s="12"/>
      <c r="H259" s="12"/>
      <c r="I259" s="12"/>
      <c r="J259" s="12"/>
      <c r="K259" s="12"/>
      <c r="L259" s="12"/>
      <c r="M259" s="12"/>
      <c r="N259" s="12"/>
      <c r="O259" s="12"/>
      <c r="P259" s="12"/>
      <c r="Q259" s="12"/>
      <c r="R259" s="12"/>
      <c r="S259" s="12"/>
      <c r="T259" s="12"/>
      <c r="U259" s="12"/>
      <c r="V259" s="2730">
        <v>1</v>
      </c>
    </row>
    <row r="260" spans="1:22">
      <c r="A260" s="12"/>
      <c r="B260" s="12"/>
      <c r="C260" s="3188"/>
      <c r="D260" s="1"/>
      <c r="E260" s="1"/>
      <c r="F260" s="1"/>
      <c r="G260" s="12"/>
      <c r="H260" s="12"/>
      <c r="I260" s="12"/>
      <c r="J260" s="12"/>
      <c r="K260" s="12"/>
      <c r="L260" s="12"/>
      <c r="M260" s="12"/>
      <c r="N260" s="12"/>
      <c r="O260" s="12"/>
      <c r="P260" s="12"/>
      <c r="Q260" s="12"/>
      <c r="R260" s="12"/>
      <c r="S260" s="12"/>
      <c r="T260" s="12"/>
      <c r="U260" s="12"/>
      <c r="V260" s="2730">
        <v>1</v>
      </c>
    </row>
    <row r="261" spans="1:22">
      <c r="A261" s="12"/>
      <c r="B261" s="12"/>
      <c r="C261" s="3188" t="s">
        <v>11722</v>
      </c>
      <c r="D261" s="1"/>
      <c r="E261" s="1"/>
      <c r="F261" s="1"/>
      <c r="G261" s="12"/>
      <c r="H261" s="12"/>
      <c r="I261" s="12"/>
      <c r="J261" s="12"/>
      <c r="K261" s="12"/>
      <c r="L261" s="12"/>
      <c r="M261" s="12"/>
      <c r="N261" s="12"/>
      <c r="O261" s="12"/>
      <c r="P261" s="12"/>
      <c r="Q261" s="12"/>
      <c r="R261" s="12"/>
      <c r="S261" s="12"/>
      <c r="T261" s="12"/>
      <c r="U261" s="12"/>
      <c r="V261" s="2730">
        <v>1</v>
      </c>
    </row>
    <row r="262" spans="1:22">
      <c r="A262" s="12"/>
      <c r="B262" s="12"/>
      <c r="C262" s="3188" t="s">
        <v>11723</v>
      </c>
      <c r="D262" s="1"/>
      <c r="E262" s="1"/>
      <c r="F262" s="1"/>
      <c r="G262" s="12"/>
      <c r="H262" s="12"/>
      <c r="I262" s="12"/>
      <c r="J262" s="12"/>
      <c r="K262" s="12"/>
      <c r="L262" s="12"/>
      <c r="M262" s="12"/>
      <c r="N262" s="12"/>
      <c r="O262" s="12"/>
      <c r="P262" s="12"/>
      <c r="Q262" s="12"/>
      <c r="R262" s="12"/>
      <c r="S262" s="12"/>
      <c r="T262" s="12"/>
      <c r="U262" s="12"/>
      <c r="V262" s="2730">
        <v>1</v>
      </c>
    </row>
    <row r="263" spans="1:22">
      <c r="A263" s="12"/>
      <c r="B263" s="12"/>
      <c r="C263" s="3188" t="s">
        <v>11724</v>
      </c>
      <c r="D263" s="1"/>
      <c r="E263" s="1"/>
      <c r="F263" s="1"/>
      <c r="G263" s="12"/>
      <c r="H263" s="12"/>
      <c r="I263" s="12"/>
      <c r="J263" s="12"/>
      <c r="K263" s="12"/>
      <c r="L263" s="12"/>
      <c r="M263" s="12"/>
      <c r="N263" s="12"/>
      <c r="O263" s="12"/>
      <c r="P263" s="12"/>
      <c r="Q263" s="12"/>
      <c r="R263" s="12"/>
      <c r="S263" s="12"/>
      <c r="T263" s="12"/>
      <c r="U263" s="12"/>
      <c r="V263" s="2730">
        <v>1</v>
      </c>
    </row>
    <row r="264" spans="1:22">
      <c r="A264" s="12"/>
      <c r="B264" s="12"/>
      <c r="C264" s="1"/>
      <c r="D264" s="1"/>
      <c r="E264" s="1"/>
      <c r="F264" s="1"/>
      <c r="G264" s="12"/>
      <c r="H264" s="12"/>
      <c r="I264" s="12"/>
      <c r="J264" s="12"/>
      <c r="K264" s="12"/>
      <c r="L264" s="12"/>
      <c r="M264" s="12"/>
      <c r="N264" s="12"/>
      <c r="O264" s="12"/>
      <c r="P264" s="12"/>
      <c r="Q264" s="12"/>
      <c r="R264" s="12"/>
      <c r="S264" s="12"/>
      <c r="T264" s="12"/>
      <c r="U264" s="12"/>
      <c r="V264" s="2730">
        <v>1</v>
      </c>
    </row>
    <row r="265" spans="1:22" ht="18">
      <c r="A265" s="12"/>
      <c r="B265" s="12"/>
      <c r="C265" s="3173" t="s">
        <v>11725</v>
      </c>
      <c r="D265" s="1"/>
      <c r="E265" s="1"/>
      <c r="F265" s="1"/>
      <c r="G265" s="12"/>
      <c r="H265" s="12"/>
      <c r="I265" s="12"/>
      <c r="J265" s="12"/>
      <c r="K265" s="12"/>
      <c r="L265" s="12"/>
      <c r="M265" s="12"/>
      <c r="N265" s="12"/>
      <c r="O265" s="12"/>
      <c r="P265" s="12"/>
      <c r="Q265" s="12"/>
      <c r="R265" s="12"/>
      <c r="S265" s="12"/>
      <c r="T265" s="12"/>
      <c r="U265" s="12"/>
      <c r="V265" s="2730">
        <v>1</v>
      </c>
    </row>
    <row r="266" spans="1:22">
      <c r="A266" s="12"/>
      <c r="B266" s="12"/>
      <c r="C266" s="3188"/>
      <c r="D266" s="1"/>
      <c r="E266" s="1"/>
      <c r="F266" s="1"/>
      <c r="G266" s="12"/>
      <c r="H266" s="12"/>
      <c r="I266" s="12"/>
      <c r="J266" s="12"/>
      <c r="K266" s="12"/>
      <c r="L266" s="12"/>
      <c r="M266" s="12"/>
      <c r="N266" s="12"/>
      <c r="O266" s="12"/>
      <c r="P266" s="12"/>
      <c r="Q266" s="12"/>
      <c r="R266" s="12"/>
      <c r="S266" s="12"/>
      <c r="T266" s="12"/>
      <c r="U266" s="12"/>
      <c r="V266" s="2730">
        <v>1</v>
      </c>
    </row>
    <row r="267" spans="1:22">
      <c r="A267" s="12"/>
      <c r="B267" s="12"/>
      <c r="C267" s="3188" t="s">
        <v>11726</v>
      </c>
      <c r="D267" s="1"/>
      <c r="E267" s="1"/>
      <c r="F267" s="1"/>
      <c r="G267" s="12"/>
      <c r="H267" s="12"/>
      <c r="I267" s="12"/>
      <c r="J267" s="12"/>
      <c r="K267" s="12"/>
      <c r="L267" s="12"/>
      <c r="M267" s="12"/>
      <c r="N267" s="12"/>
      <c r="O267" s="12"/>
      <c r="P267" s="12"/>
      <c r="Q267" s="12"/>
      <c r="R267" s="12"/>
      <c r="S267" s="12"/>
      <c r="T267" s="12"/>
      <c r="U267" s="12"/>
      <c r="V267" s="2730">
        <v>1</v>
      </c>
    </row>
    <row r="268" spans="1:22">
      <c r="A268" s="12"/>
      <c r="B268" s="12"/>
      <c r="C268" s="3188" t="s">
        <v>11727</v>
      </c>
      <c r="D268" s="1"/>
      <c r="E268" s="1"/>
      <c r="F268" s="1"/>
      <c r="G268" s="12"/>
      <c r="H268" s="12"/>
      <c r="I268" s="12"/>
      <c r="J268" s="12"/>
      <c r="K268" s="12"/>
      <c r="L268" s="12"/>
      <c r="M268" s="12"/>
      <c r="N268" s="12"/>
      <c r="O268" s="12"/>
      <c r="P268" s="12"/>
      <c r="Q268" s="12"/>
      <c r="R268" s="12"/>
      <c r="S268" s="12"/>
      <c r="T268" s="12"/>
      <c r="U268" s="12"/>
      <c r="V268" s="2730">
        <v>1</v>
      </c>
    </row>
    <row r="269" spans="1:22">
      <c r="A269" s="12"/>
      <c r="B269" s="12"/>
      <c r="C269" s="1"/>
      <c r="D269" s="1"/>
      <c r="E269" s="1"/>
      <c r="F269" s="1"/>
      <c r="G269" s="12"/>
      <c r="H269" s="12"/>
      <c r="I269" s="12"/>
      <c r="J269" s="12"/>
      <c r="K269" s="12"/>
      <c r="L269" s="12"/>
      <c r="M269" s="12"/>
      <c r="N269" s="12"/>
      <c r="O269" s="12"/>
      <c r="P269" s="12"/>
      <c r="Q269" s="12"/>
      <c r="R269" s="12"/>
      <c r="S269" s="12"/>
      <c r="T269" s="12"/>
      <c r="U269" s="12"/>
      <c r="V269" s="2730">
        <v>1</v>
      </c>
    </row>
    <row r="270" spans="1:22">
      <c r="A270" s="12"/>
      <c r="B270" s="12"/>
      <c r="C270" s="1" t="s">
        <v>11728</v>
      </c>
      <c r="D270" s="1"/>
      <c r="E270" s="1"/>
      <c r="F270" s="1"/>
      <c r="G270" s="12"/>
      <c r="H270" s="12"/>
      <c r="I270" s="12"/>
      <c r="J270" s="12"/>
      <c r="K270" s="12"/>
      <c r="L270" s="12"/>
      <c r="M270" s="12"/>
      <c r="N270" s="12"/>
      <c r="O270" s="12"/>
      <c r="P270" s="12"/>
      <c r="Q270" s="12"/>
      <c r="R270" s="12"/>
      <c r="S270" s="12"/>
      <c r="T270" s="12"/>
      <c r="U270" s="12"/>
      <c r="V270" s="2730">
        <v>1</v>
      </c>
    </row>
    <row r="271" spans="1:22">
      <c r="A271" s="12"/>
      <c r="B271" s="12"/>
      <c r="C271" s="3188"/>
      <c r="D271" s="1"/>
      <c r="E271" s="1"/>
      <c r="F271" s="1"/>
      <c r="G271" s="12"/>
      <c r="H271" s="12"/>
      <c r="I271" s="12"/>
      <c r="J271" s="12"/>
      <c r="K271" s="12"/>
      <c r="L271" s="12"/>
      <c r="M271" s="12"/>
      <c r="N271" s="12"/>
      <c r="O271" s="12"/>
      <c r="P271" s="12"/>
      <c r="Q271" s="12"/>
      <c r="R271" s="12"/>
      <c r="S271" s="12"/>
      <c r="T271" s="12"/>
      <c r="U271" s="12"/>
      <c r="V271" s="2730">
        <v>1</v>
      </c>
    </row>
    <row r="272" spans="1:22">
      <c r="A272" s="12"/>
      <c r="B272" s="12"/>
      <c r="C272" s="3188" t="s">
        <v>11729</v>
      </c>
      <c r="D272" s="1"/>
      <c r="E272" s="1"/>
      <c r="F272" s="1"/>
      <c r="G272" s="12"/>
      <c r="H272" s="12"/>
      <c r="I272" s="12"/>
      <c r="J272" s="12"/>
      <c r="K272" s="12"/>
      <c r="L272" s="12"/>
      <c r="M272" s="12"/>
      <c r="N272" s="12"/>
      <c r="O272" s="12"/>
      <c r="P272" s="12"/>
      <c r="Q272" s="12"/>
      <c r="R272" s="12"/>
      <c r="S272" s="12"/>
      <c r="T272" s="12"/>
      <c r="U272" s="12"/>
      <c r="V272" s="2730">
        <v>1</v>
      </c>
    </row>
    <row r="273" spans="1:22">
      <c r="A273" s="12"/>
      <c r="B273" s="12"/>
      <c r="C273" s="1"/>
      <c r="D273" s="1"/>
      <c r="E273" s="1"/>
      <c r="F273" s="1"/>
      <c r="G273" s="12"/>
      <c r="H273" s="12"/>
      <c r="I273" s="12"/>
      <c r="J273" s="12"/>
      <c r="K273" s="12"/>
      <c r="L273" s="12"/>
      <c r="M273" s="12"/>
      <c r="N273" s="12"/>
      <c r="O273" s="12"/>
      <c r="P273" s="12"/>
      <c r="Q273" s="12"/>
      <c r="R273" s="12"/>
      <c r="S273" s="12"/>
      <c r="T273" s="12"/>
      <c r="U273" s="12"/>
      <c r="V273" s="2730">
        <v>1</v>
      </c>
    </row>
    <row r="274" spans="1:22" ht="18">
      <c r="A274" s="12"/>
      <c r="B274" s="12"/>
      <c r="C274" s="3173" t="s">
        <v>11730</v>
      </c>
      <c r="D274" s="1"/>
      <c r="E274" s="1"/>
      <c r="F274" s="1"/>
      <c r="G274" s="12"/>
      <c r="H274" s="12"/>
      <c r="I274" s="12"/>
      <c r="J274" s="12"/>
      <c r="K274" s="12"/>
      <c r="L274" s="12"/>
      <c r="M274" s="12"/>
      <c r="N274" s="12"/>
      <c r="O274" s="12"/>
      <c r="P274" s="12"/>
      <c r="Q274" s="12"/>
      <c r="R274" s="12"/>
      <c r="S274" s="12"/>
      <c r="T274" s="12"/>
      <c r="U274" s="12"/>
      <c r="V274" s="2730">
        <v>1</v>
      </c>
    </row>
    <row r="275" spans="1:22">
      <c r="A275" s="12"/>
      <c r="B275" s="12"/>
      <c r="C275" s="3188"/>
      <c r="D275" s="1"/>
      <c r="E275" s="1"/>
      <c r="F275" s="1"/>
      <c r="G275" s="12"/>
      <c r="H275" s="12"/>
      <c r="I275" s="12"/>
      <c r="J275" s="12"/>
      <c r="K275" s="12"/>
      <c r="L275" s="12"/>
      <c r="M275" s="12"/>
      <c r="N275" s="12"/>
      <c r="O275" s="12"/>
      <c r="P275" s="12"/>
      <c r="Q275" s="12"/>
      <c r="R275" s="12"/>
      <c r="S275" s="12"/>
      <c r="T275" s="12"/>
      <c r="U275" s="12"/>
      <c r="V275" s="2730">
        <v>1</v>
      </c>
    </row>
    <row r="276" spans="1:22">
      <c r="A276" s="12"/>
      <c r="B276" s="12"/>
      <c r="C276" s="3188" t="s">
        <v>11731</v>
      </c>
      <c r="D276" s="1"/>
      <c r="E276" s="1"/>
      <c r="F276" s="1"/>
      <c r="G276" s="12"/>
      <c r="H276" s="12"/>
      <c r="I276" s="12"/>
      <c r="J276" s="12"/>
      <c r="K276" s="12"/>
      <c r="L276" s="12"/>
      <c r="M276" s="12"/>
      <c r="N276" s="12"/>
      <c r="O276" s="12"/>
      <c r="P276" s="12"/>
      <c r="Q276" s="12"/>
      <c r="R276" s="12"/>
      <c r="S276" s="12"/>
      <c r="T276" s="12"/>
      <c r="U276" s="12"/>
      <c r="V276" s="2730">
        <v>1</v>
      </c>
    </row>
    <row r="277" spans="1:22">
      <c r="A277" s="12"/>
      <c r="B277" s="12"/>
      <c r="C277" s="3188" t="s">
        <v>11732</v>
      </c>
      <c r="D277" s="1"/>
      <c r="E277" s="1"/>
      <c r="F277" s="1"/>
      <c r="G277" s="12"/>
      <c r="H277" s="12"/>
      <c r="I277" s="12"/>
      <c r="J277" s="12"/>
      <c r="K277" s="12"/>
      <c r="L277" s="12"/>
      <c r="M277" s="12"/>
      <c r="N277" s="12"/>
      <c r="O277" s="12"/>
      <c r="P277" s="12"/>
      <c r="Q277" s="12"/>
      <c r="R277" s="12"/>
      <c r="S277" s="12"/>
      <c r="T277" s="12"/>
      <c r="U277" s="12"/>
      <c r="V277" s="2730">
        <v>1</v>
      </c>
    </row>
    <row r="278" spans="1:22">
      <c r="A278" s="12"/>
      <c r="B278" s="12"/>
      <c r="C278" s="3188" t="s">
        <v>11733</v>
      </c>
      <c r="D278" s="1"/>
      <c r="E278" s="1"/>
      <c r="F278" s="1"/>
      <c r="G278" s="12"/>
      <c r="H278" s="12"/>
      <c r="I278" s="12"/>
      <c r="J278" s="12"/>
      <c r="K278" s="12"/>
      <c r="L278" s="12"/>
      <c r="M278" s="12"/>
      <c r="N278" s="12"/>
      <c r="O278" s="12"/>
      <c r="P278" s="12"/>
      <c r="Q278" s="12"/>
      <c r="R278" s="12"/>
      <c r="S278" s="12"/>
      <c r="T278" s="12"/>
      <c r="U278" s="12"/>
      <c r="V278" s="2730">
        <v>1</v>
      </c>
    </row>
    <row r="279" spans="1:22">
      <c r="A279" s="12"/>
      <c r="B279" s="12"/>
      <c r="C279" s="1"/>
      <c r="D279" s="1"/>
      <c r="E279" s="1"/>
      <c r="F279" s="1"/>
      <c r="G279" s="12"/>
      <c r="H279" s="12"/>
      <c r="I279" s="12"/>
      <c r="J279" s="12"/>
      <c r="K279" s="12"/>
      <c r="L279" s="12"/>
      <c r="M279" s="12"/>
      <c r="N279" s="12"/>
      <c r="O279" s="12"/>
      <c r="P279" s="12"/>
      <c r="Q279" s="12"/>
      <c r="R279" s="12"/>
      <c r="S279" s="12"/>
      <c r="T279" s="12"/>
      <c r="U279" s="12"/>
      <c r="V279" s="2730">
        <v>1</v>
      </c>
    </row>
    <row r="280" spans="1:22">
      <c r="A280" s="12"/>
      <c r="B280" s="12"/>
      <c r="C280" s="1" t="s">
        <v>11734</v>
      </c>
      <c r="D280" s="1"/>
      <c r="E280" s="1"/>
      <c r="F280" s="1"/>
      <c r="G280" s="12"/>
      <c r="H280" s="12"/>
      <c r="I280" s="12"/>
      <c r="J280" s="12"/>
      <c r="K280" s="12"/>
      <c r="L280" s="12"/>
      <c r="M280" s="12"/>
      <c r="N280" s="12"/>
      <c r="O280" s="12"/>
      <c r="P280" s="12"/>
      <c r="Q280" s="12"/>
      <c r="R280" s="12"/>
      <c r="S280" s="12"/>
      <c r="T280" s="12"/>
      <c r="U280" s="12"/>
      <c r="V280" s="2730">
        <v>1</v>
      </c>
    </row>
    <row r="281" spans="1:22">
      <c r="A281" s="12"/>
      <c r="B281" s="12"/>
      <c r="C281" s="3188"/>
      <c r="D281" s="1"/>
      <c r="E281" s="1"/>
      <c r="F281" s="1"/>
      <c r="G281" s="12"/>
      <c r="H281" s="12"/>
      <c r="I281" s="12"/>
      <c r="J281" s="12"/>
      <c r="K281" s="12"/>
      <c r="L281" s="12"/>
      <c r="M281" s="12"/>
      <c r="N281" s="12"/>
      <c r="O281" s="12"/>
      <c r="P281" s="12"/>
      <c r="Q281" s="12"/>
      <c r="R281" s="12"/>
      <c r="S281" s="12"/>
      <c r="T281" s="12"/>
      <c r="U281" s="12"/>
      <c r="V281" s="2730">
        <v>1</v>
      </c>
    </row>
    <row r="282" spans="1:22">
      <c r="A282" s="12"/>
      <c r="B282" s="12"/>
      <c r="C282" s="3188" t="s">
        <v>11735</v>
      </c>
      <c r="D282" s="1"/>
      <c r="E282" s="1"/>
      <c r="F282" s="1"/>
      <c r="G282" s="12"/>
      <c r="H282" s="12"/>
      <c r="I282" s="12"/>
      <c r="J282" s="12"/>
      <c r="K282" s="12"/>
      <c r="L282" s="12"/>
      <c r="M282" s="12"/>
      <c r="N282" s="12"/>
      <c r="O282" s="12"/>
      <c r="P282" s="12"/>
      <c r="Q282" s="12"/>
      <c r="R282" s="12"/>
      <c r="S282" s="12"/>
      <c r="T282" s="12"/>
      <c r="U282" s="12"/>
      <c r="V282" s="2730">
        <v>1</v>
      </c>
    </row>
    <row r="283" spans="1:22">
      <c r="A283" s="12"/>
      <c r="B283" s="12"/>
      <c r="C283" s="1"/>
      <c r="D283" s="1"/>
      <c r="E283" s="1"/>
      <c r="F283" s="1"/>
      <c r="G283" s="12"/>
      <c r="H283" s="12"/>
      <c r="I283" s="12"/>
      <c r="J283" s="12"/>
      <c r="K283" s="12"/>
      <c r="L283" s="12"/>
      <c r="M283" s="12"/>
      <c r="N283" s="12"/>
      <c r="O283" s="12"/>
      <c r="P283" s="12"/>
      <c r="Q283" s="12"/>
      <c r="R283" s="12"/>
      <c r="S283" s="12"/>
      <c r="T283" s="12"/>
      <c r="U283" s="12"/>
      <c r="V283" s="2730">
        <v>1</v>
      </c>
    </row>
    <row r="284" spans="1:22" ht="18">
      <c r="A284" s="12"/>
      <c r="B284" s="12"/>
      <c r="C284" s="3173" t="s">
        <v>11736</v>
      </c>
      <c r="D284" s="1"/>
      <c r="E284" s="1"/>
      <c r="F284" s="1"/>
      <c r="G284" s="12"/>
      <c r="H284" s="12"/>
      <c r="I284" s="12"/>
      <c r="J284" s="12"/>
      <c r="K284" s="12"/>
      <c r="L284" s="12"/>
      <c r="M284" s="12"/>
      <c r="N284" s="12"/>
      <c r="O284" s="12"/>
      <c r="P284" s="12"/>
      <c r="Q284" s="12"/>
      <c r="R284" s="12"/>
      <c r="S284" s="12"/>
      <c r="T284" s="12"/>
      <c r="U284" s="12"/>
      <c r="V284" s="2730">
        <v>1</v>
      </c>
    </row>
    <row r="285" spans="1:22">
      <c r="A285" s="12"/>
      <c r="B285" s="12"/>
      <c r="C285" s="1"/>
      <c r="D285" s="1"/>
      <c r="E285" s="1"/>
      <c r="F285" s="1"/>
      <c r="G285" s="12"/>
      <c r="H285" s="12"/>
      <c r="I285" s="12"/>
      <c r="J285" s="12"/>
      <c r="K285" s="12"/>
      <c r="L285" s="12"/>
      <c r="M285" s="12"/>
      <c r="N285" s="12"/>
      <c r="O285" s="12"/>
      <c r="P285" s="12"/>
      <c r="Q285" s="12"/>
      <c r="R285" s="12"/>
      <c r="S285" s="12"/>
      <c r="T285" s="12"/>
      <c r="U285" s="12"/>
      <c r="V285" s="2730">
        <v>1</v>
      </c>
    </row>
    <row r="286" spans="1:22">
      <c r="A286" s="12"/>
      <c r="B286" s="12"/>
      <c r="C286" s="1" t="s">
        <v>11737</v>
      </c>
      <c r="D286" s="1"/>
      <c r="E286" s="1"/>
      <c r="F286" s="1"/>
      <c r="G286" s="12"/>
      <c r="H286" s="12"/>
      <c r="I286" s="12"/>
      <c r="J286" s="12"/>
      <c r="K286" s="12"/>
      <c r="L286" s="12"/>
      <c r="M286" s="12"/>
      <c r="N286" s="12"/>
      <c r="O286" s="12"/>
      <c r="P286" s="12"/>
      <c r="Q286" s="12"/>
      <c r="R286" s="12"/>
      <c r="S286" s="12"/>
      <c r="T286" s="12"/>
      <c r="U286" s="12"/>
      <c r="V286" s="2730">
        <v>1</v>
      </c>
    </row>
    <row r="287" spans="1:22">
      <c r="A287" s="12"/>
      <c r="B287" s="12"/>
      <c r="C287" s="3188"/>
      <c r="D287" s="1"/>
      <c r="E287" s="1"/>
      <c r="F287" s="1"/>
      <c r="G287" s="12"/>
      <c r="H287" s="12"/>
      <c r="I287" s="12"/>
      <c r="J287" s="12"/>
      <c r="K287" s="12"/>
      <c r="L287" s="12"/>
      <c r="M287" s="12"/>
      <c r="N287" s="12"/>
      <c r="O287" s="12"/>
      <c r="P287" s="12"/>
      <c r="Q287" s="12"/>
      <c r="R287" s="12"/>
      <c r="S287" s="12"/>
      <c r="T287" s="12"/>
      <c r="U287" s="12"/>
      <c r="V287" s="2730">
        <v>1</v>
      </c>
    </row>
    <row r="288" spans="1:22">
      <c r="A288" s="12"/>
      <c r="B288" s="12"/>
      <c r="C288" s="3188" t="s">
        <v>11738</v>
      </c>
      <c r="D288" s="1"/>
      <c r="E288" s="1"/>
      <c r="F288" s="1"/>
      <c r="G288" s="12"/>
      <c r="H288" s="12"/>
      <c r="I288" s="12"/>
      <c r="J288" s="12"/>
      <c r="K288" s="12"/>
      <c r="L288" s="12"/>
      <c r="M288" s="12"/>
      <c r="N288" s="12"/>
      <c r="O288" s="12"/>
      <c r="P288" s="12"/>
      <c r="Q288" s="12"/>
      <c r="R288" s="12"/>
      <c r="S288" s="12"/>
      <c r="T288" s="12"/>
      <c r="U288" s="12"/>
      <c r="V288" s="2730">
        <v>1</v>
      </c>
    </row>
    <row r="289" spans="1:22">
      <c r="A289" s="12"/>
      <c r="B289" s="12"/>
      <c r="C289" s="1"/>
      <c r="D289" s="1"/>
      <c r="E289" s="1"/>
      <c r="F289" s="1"/>
      <c r="G289" s="12"/>
      <c r="H289" s="12"/>
      <c r="I289" s="12"/>
      <c r="J289" s="12"/>
      <c r="K289" s="12"/>
      <c r="L289" s="12"/>
      <c r="M289" s="12"/>
      <c r="N289" s="12"/>
      <c r="O289" s="12"/>
      <c r="P289" s="12"/>
      <c r="Q289" s="12"/>
      <c r="R289" s="12"/>
      <c r="S289" s="12"/>
      <c r="T289" s="12"/>
      <c r="U289" s="12"/>
      <c r="V289" s="2730">
        <v>1</v>
      </c>
    </row>
    <row r="290" spans="1:22">
      <c r="A290" s="12"/>
      <c r="B290" s="12"/>
      <c r="C290" s="1" t="s">
        <v>11739</v>
      </c>
      <c r="D290" s="1"/>
      <c r="E290" s="1"/>
      <c r="F290" s="1"/>
      <c r="G290" s="12"/>
      <c r="H290" s="12"/>
      <c r="I290" s="12"/>
      <c r="J290" s="12"/>
      <c r="K290" s="12"/>
      <c r="L290" s="12"/>
      <c r="M290" s="12"/>
      <c r="N290" s="12"/>
      <c r="O290" s="12"/>
      <c r="P290" s="12"/>
      <c r="Q290" s="12"/>
      <c r="R290" s="12"/>
      <c r="S290" s="12"/>
      <c r="T290" s="12"/>
      <c r="U290" s="12"/>
      <c r="V290" s="2730">
        <v>1</v>
      </c>
    </row>
    <row r="291" spans="1:22">
      <c r="A291" s="12"/>
      <c r="B291" s="12"/>
      <c r="C291" s="3188"/>
      <c r="D291" s="1"/>
      <c r="E291" s="1"/>
      <c r="F291" s="1"/>
      <c r="G291" s="12"/>
      <c r="H291" s="12"/>
      <c r="I291" s="12"/>
      <c r="J291" s="12"/>
      <c r="K291" s="12"/>
      <c r="L291" s="12"/>
      <c r="M291" s="12"/>
      <c r="N291" s="12"/>
      <c r="O291" s="12"/>
      <c r="P291" s="12"/>
      <c r="Q291" s="12"/>
      <c r="R291" s="12"/>
      <c r="S291" s="12"/>
      <c r="T291" s="12"/>
      <c r="U291" s="12"/>
      <c r="V291" s="2730">
        <v>1</v>
      </c>
    </row>
    <row r="292" spans="1:22">
      <c r="A292" s="12"/>
      <c r="B292" s="12"/>
      <c r="C292" s="3188" t="s">
        <v>11740</v>
      </c>
      <c r="D292" s="1"/>
      <c r="E292" s="1"/>
      <c r="F292" s="1"/>
      <c r="G292" s="12"/>
      <c r="H292" s="12"/>
      <c r="I292" s="12"/>
      <c r="J292" s="12"/>
      <c r="K292" s="12"/>
      <c r="L292" s="12"/>
      <c r="M292" s="12"/>
      <c r="N292" s="12"/>
      <c r="O292" s="12"/>
      <c r="P292" s="12"/>
      <c r="Q292" s="12"/>
      <c r="R292" s="12"/>
      <c r="S292" s="12"/>
      <c r="T292" s="12"/>
      <c r="U292" s="12"/>
      <c r="V292" s="2730">
        <v>1</v>
      </c>
    </row>
    <row r="293" spans="1:22">
      <c r="A293" s="12"/>
      <c r="B293" s="12"/>
      <c r="C293" s="3188" t="s">
        <v>11741</v>
      </c>
      <c r="D293" s="1"/>
      <c r="E293" s="1"/>
      <c r="F293" s="1"/>
      <c r="G293" s="12"/>
      <c r="H293" s="12"/>
      <c r="I293" s="12"/>
      <c r="J293" s="12"/>
      <c r="K293" s="12"/>
      <c r="L293" s="12"/>
      <c r="M293" s="12"/>
      <c r="N293" s="12"/>
      <c r="O293" s="12"/>
      <c r="P293" s="12"/>
      <c r="Q293" s="12"/>
      <c r="R293" s="12"/>
      <c r="S293" s="12"/>
      <c r="T293" s="12"/>
      <c r="U293" s="12"/>
      <c r="V293" s="2730">
        <v>1</v>
      </c>
    </row>
    <row r="294" spans="1:22">
      <c r="A294" s="12"/>
      <c r="B294" s="12"/>
      <c r="C294" s="1"/>
      <c r="D294" s="1"/>
      <c r="E294" s="1"/>
      <c r="F294" s="1"/>
      <c r="G294" s="12"/>
      <c r="H294" s="12"/>
      <c r="I294" s="12"/>
      <c r="J294" s="12"/>
      <c r="K294" s="12"/>
      <c r="L294" s="12"/>
      <c r="M294" s="12"/>
      <c r="N294" s="12"/>
      <c r="O294" s="12"/>
      <c r="P294" s="12"/>
      <c r="Q294" s="12"/>
      <c r="R294" s="12"/>
      <c r="S294" s="12"/>
      <c r="T294" s="12"/>
      <c r="U294" s="12"/>
      <c r="V294" s="2730">
        <v>1</v>
      </c>
    </row>
    <row r="295" spans="1:22" ht="18">
      <c r="A295" s="12"/>
      <c r="B295" s="12"/>
      <c r="C295" s="3173" t="s">
        <v>11742</v>
      </c>
      <c r="D295" s="1"/>
      <c r="E295" s="1"/>
      <c r="F295" s="1"/>
      <c r="G295" s="12"/>
      <c r="H295" s="12"/>
      <c r="I295" s="12"/>
      <c r="J295" s="12"/>
      <c r="K295" s="12"/>
      <c r="L295" s="12"/>
      <c r="M295" s="12"/>
      <c r="N295" s="12"/>
      <c r="O295" s="12"/>
      <c r="P295" s="12"/>
      <c r="Q295" s="12"/>
      <c r="R295" s="12"/>
      <c r="S295" s="12"/>
      <c r="T295" s="12"/>
      <c r="U295" s="12"/>
      <c r="V295" s="2730">
        <v>1</v>
      </c>
    </row>
    <row r="296" spans="1:22">
      <c r="A296" s="12"/>
      <c r="B296" s="12"/>
      <c r="C296" s="3188"/>
      <c r="D296" s="1"/>
      <c r="E296" s="1"/>
      <c r="F296" s="1"/>
      <c r="G296" s="12"/>
      <c r="H296" s="12"/>
      <c r="I296" s="12"/>
      <c r="J296" s="12"/>
      <c r="K296" s="12"/>
      <c r="L296" s="12"/>
      <c r="M296" s="12"/>
      <c r="N296" s="12"/>
      <c r="O296" s="12"/>
      <c r="P296" s="12"/>
      <c r="Q296" s="12"/>
      <c r="R296" s="12"/>
      <c r="S296" s="12"/>
      <c r="T296" s="12"/>
      <c r="U296" s="12"/>
      <c r="V296" s="2730">
        <v>1</v>
      </c>
    </row>
    <row r="297" spans="1:22">
      <c r="A297" s="12"/>
      <c r="B297" s="12"/>
      <c r="C297" s="3188" t="s">
        <v>11743</v>
      </c>
      <c r="D297" s="1"/>
      <c r="E297" s="1"/>
      <c r="F297" s="1"/>
      <c r="G297" s="12"/>
      <c r="H297" s="12"/>
      <c r="I297" s="12"/>
      <c r="J297" s="12"/>
      <c r="K297" s="12"/>
      <c r="L297" s="12"/>
      <c r="M297" s="12"/>
      <c r="N297" s="12"/>
      <c r="O297" s="12"/>
      <c r="P297" s="12"/>
      <c r="Q297" s="12"/>
      <c r="R297" s="12"/>
      <c r="S297" s="12"/>
      <c r="T297" s="12"/>
      <c r="U297" s="12"/>
      <c r="V297" s="2730">
        <v>1</v>
      </c>
    </row>
    <row r="298" spans="1:22">
      <c r="A298" s="12"/>
      <c r="B298" s="12"/>
      <c r="C298" s="3188" t="s">
        <v>11744</v>
      </c>
      <c r="D298" s="1"/>
      <c r="E298" s="1"/>
      <c r="F298" s="1"/>
      <c r="G298" s="12"/>
      <c r="H298" s="12"/>
      <c r="I298" s="12"/>
      <c r="J298" s="12"/>
      <c r="K298" s="12"/>
      <c r="L298" s="12"/>
      <c r="M298" s="12"/>
      <c r="N298" s="12"/>
      <c r="O298" s="12"/>
      <c r="P298" s="12"/>
      <c r="Q298" s="12"/>
      <c r="R298" s="12"/>
      <c r="S298" s="12"/>
      <c r="T298" s="12"/>
      <c r="U298" s="12"/>
      <c r="V298" s="2730">
        <v>1</v>
      </c>
    </row>
    <row r="299" spans="1:22">
      <c r="A299" s="12"/>
      <c r="B299" s="12"/>
      <c r="C299" s="1"/>
      <c r="D299" s="1"/>
      <c r="E299" s="1"/>
      <c r="F299" s="1"/>
      <c r="G299" s="12"/>
      <c r="H299" s="12"/>
      <c r="I299" s="12"/>
      <c r="J299" s="12"/>
      <c r="K299" s="12"/>
      <c r="L299" s="12"/>
      <c r="M299" s="12"/>
      <c r="N299" s="12"/>
      <c r="O299" s="12"/>
      <c r="P299" s="12"/>
      <c r="Q299" s="12"/>
      <c r="R299" s="12"/>
      <c r="S299" s="12"/>
      <c r="T299" s="12"/>
      <c r="U299" s="12"/>
      <c r="V299" s="2730">
        <v>1</v>
      </c>
    </row>
    <row r="300" spans="1:22">
      <c r="A300" s="12"/>
      <c r="B300" s="12"/>
      <c r="C300" s="1"/>
      <c r="D300" s="1"/>
      <c r="E300" s="1"/>
      <c r="F300" s="1"/>
      <c r="G300" s="12"/>
      <c r="H300" s="12"/>
      <c r="I300" s="12"/>
      <c r="J300" s="12"/>
      <c r="K300" s="12"/>
      <c r="L300" s="12"/>
      <c r="M300" s="12"/>
      <c r="N300" s="12"/>
      <c r="O300" s="12"/>
      <c r="P300" s="12"/>
      <c r="Q300" s="12"/>
      <c r="R300" s="12"/>
      <c r="S300" s="12"/>
      <c r="T300" s="12"/>
      <c r="U300" s="12"/>
      <c r="V300" s="2730">
        <v>1</v>
      </c>
    </row>
    <row r="301" spans="1:22">
      <c r="A301" s="12"/>
      <c r="B301" s="12"/>
      <c r="C301" s="1"/>
      <c r="D301" s="1"/>
      <c r="E301" s="1"/>
      <c r="F301" s="1"/>
      <c r="G301" s="12"/>
      <c r="H301" s="12"/>
      <c r="I301" s="12"/>
      <c r="J301" s="12"/>
      <c r="K301" s="12"/>
      <c r="L301" s="12"/>
      <c r="M301" s="12"/>
      <c r="N301" s="12"/>
      <c r="O301" s="12"/>
      <c r="P301" s="12"/>
      <c r="Q301" s="12"/>
      <c r="R301" s="12"/>
      <c r="S301" s="12"/>
      <c r="T301" s="12"/>
      <c r="U301" s="12"/>
      <c r="V301" s="2730">
        <v>1</v>
      </c>
    </row>
    <row r="302" spans="1:22" ht="23.25">
      <c r="A302" s="12"/>
      <c r="B302" s="12"/>
      <c r="C302" s="3187" t="s">
        <v>11745</v>
      </c>
      <c r="D302" s="1"/>
      <c r="E302" s="1"/>
      <c r="F302" s="1"/>
      <c r="G302" s="12"/>
      <c r="H302" s="12"/>
      <c r="I302" s="12"/>
      <c r="J302" s="12"/>
      <c r="K302" s="12"/>
      <c r="L302" s="12"/>
      <c r="M302" s="12"/>
      <c r="N302" s="12"/>
      <c r="O302" s="12"/>
      <c r="P302" s="12"/>
      <c r="Q302" s="12"/>
      <c r="R302" s="12"/>
      <c r="S302" s="12"/>
      <c r="T302" s="12"/>
      <c r="U302" s="12"/>
      <c r="V302" s="2730">
        <v>1</v>
      </c>
    </row>
    <row r="303" spans="1:22">
      <c r="A303" s="12"/>
      <c r="B303" s="12"/>
      <c r="C303" s="1"/>
      <c r="D303" s="1"/>
      <c r="E303" s="1"/>
      <c r="F303" s="1"/>
      <c r="G303" s="12"/>
      <c r="H303" s="12"/>
      <c r="I303" s="12"/>
      <c r="J303" s="12"/>
      <c r="K303" s="12"/>
      <c r="L303" s="12"/>
      <c r="M303" s="12"/>
      <c r="N303" s="12"/>
      <c r="O303" s="12"/>
      <c r="P303" s="12"/>
      <c r="Q303" s="12"/>
      <c r="R303" s="12"/>
      <c r="S303" s="12"/>
      <c r="T303" s="12"/>
      <c r="U303" s="12"/>
      <c r="V303" s="2730">
        <v>1</v>
      </c>
    </row>
    <row r="304" spans="1:22">
      <c r="A304" s="12"/>
      <c r="B304" s="12"/>
      <c r="C304" s="3190" t="s">
        <v>11746</v>
      </c>
      <c r="D304" s="3190" t="s">
        <v>11747</v>
      </c>
      <c r="E304" s="3190" t="s">
        <v>11748</v>
      </c>
      <c r="F304" s="3190" t="s">
        <v>11749</v>
      </c>
      <c r="G304" s="12"/>
      <c r="H304" s="12"/>
      <c r="I304" s="12"/>
      <c r="J304" s="12"/>
      <c r="K304" s="12"/>
      <c r="L304" s="12"/>
      <c r="M304" s="12"/>
      <c r="N304" s="12"/>
      <c r="O304" s="12"/>
      <c r="P304" s="12"/>
      <c r="Q304" s="12"/>
      <c r="R304" s="12"/>
      <c r="S304" s="12"/>
      <c r="T304" s="12"/>
      <c r="U304" s="12"/>
      <c r="V304" s="2730">
        <v>1</v>
      </c>
    </row>
    <row r="305" spans="1:22" ht="30">
      <c r="A305" s="12"/>
      <c r="B305" s="12"/>
      <c r="C305" s="3004" t="s">
        <v>11750</v>
      </c>
      <c r="D305" s="3004" t="s">
        <v>11751</v>
      </c>
      <c r="E305" s="3004" t="s">
        <v>11752</v>
      </c>
      <c r="F305" s="3004" t="s">
        <v>11753</v>
      </c>
      <c r="G305" s="12"/>
      <c r="H305" s="12"/>
      <c r="I305" s="12"/>
      <c r="J305" s="12"/>
      <c r="K305" s="12"/>
      <c r="L305" s="12"/>
      <c r="M305" s="12"/>
      <c r="N305" s="12"/>
      <c r="O305" s="12"/>
      <c r="P305" s="12"/>
      <c r="Q305" s="12"/>
      <c r="R305" s="12"/>
      <c r="S305" s="12"/>
      <c r="T305" s="12"/>
      <c r="U305" s="12"/>
      <c r="V305" s="2730">
        <v>1</v>
      </c>
    </row>
    <row r="306" spans="1:22" ht="30">
      <c r="A306" s="12"/>
      <c r="B306" s="12"/>
      <c r="C306" s="3004" t="s">
        <v>11754</v>
      </c>
      <c r="D306" s="3004" t="s">
        <v>11755</v>
      </c>
      <c r="E306" s="3004" t="s">
        <v>11756</v>
      </c>
      <c r="F306" s="3004" t="s">
        <v>11757</v>
      </c>
      <c r="G306" s="12"/>
      <c r="H306" s="12"/>
      <c r="I306" s="12"/>
      <c r="J306" s="12"/>
      <c r="K306" s="12"/>
      <c r="L306" s="12"/>
      <c r="M306" s="12"/>
      <c r="N306" s="12"/>
      <c r="O306" s="12"/>
      <c r="P306" s="12"/>
      <c r="Q306" s="12"/>
      <c r="R306" s="12"/>
      <c r="S306" s="12"/>
      <c r="T306" s="12"/>
      <c r="U306" s="12"/>
      <c r="V306" s="2730">
        <v>1</v>
      </c>
    </row>
    <row r="307" spans="1:22" ht="30">
      <c r="A307" s="12"/>
      <c r="B307" s="12"/>
      <c r="C307" s="3004" t="s">
        <v>11758</v>
      </c>
      <c r="D307" s="3004" t="s">
        <v>11759</v>
      </c>
      <c r="E307" s="3004" t="s">
        <v>11760</v>
      </c>
      <c r="F307" s="3004" t="s">
        <v>11761</v>
      </c>
      <c r="G307" s="12"/>
      <c r="H307" s="12"/>
      <c r="I307" s="12"/>
      <c r="J307" s="12"/>
      <c r="K307" s="12"/>
      <c r="L307" s="12"/>
      <c r="M307" s="12"/>
      <c r="N307" s="12"/>
      <c r="O307" s="12"/>
      <c r="P307" s="12"/>
      <c r="Q307" s="12"/>
      <c r="R307" s="12"/>
      <c r="S307" s="12"/>
      <c r="T307" s="12"/>
      <c r="U307" s="12"/>
      <c r="V307" s="2730">
        <v>1</v>
      </c>
    </row>
    <row r="308" spans="1:22" ht="30">
      <c r="A308" s="12"/>
      <c r="B308" s="12"/>
      <c r="C308" s="3004" t="s">
        <v>11762</v>
      </c>
      <c r="D308" s="3004" t="s">
        <v>11763</v>
      </c>
      <c r="E308" s="3004" t="s">
        <v>11764</v>
      </c>
      <c r="F308" s="3004" t="s">
        <v>11765</v>
      </c>
      <c r="G308" s="12"/>
      <c r="H308" s="12"/>
      <c r="I308" s="12"/>
      <c r="J308" s="12"/>
      <c r="K308" s="12"/>
      <c r="L308" s="12"/>
      <c r="M308" s="12"/>
      <c r="N308" s="12"/>
      <c r="O308" s="12"/>
      <c r="P308" s="12"/>
      <c r="Q308" s="12"/>
      <c r="R308" s="12"/>
      <c r="S308" s="12"/>
      <c r="T308" s="12"/>
      <c r="U308" s="12"/>
      <c r="V308" s="2730">
        <v>1</v>
      </c>
    </row>
    <row r="309" spans="1:22" ht="30">
      <c r="A309" s="12"/>
      <c r="B309" s="12"/>
      <c r="C309" s="3004" t="s">
        <v>8647</v>
      </c>
      <c r="D309" s="3004" t="s">
        <v>11759</v>
      </c>
      <c r="E309" s="3004" t="s">
        <v>11766</v>
      </c>
      <c r="F309" s="3004" t="s">
        <v>11767</v>
      </c>
      <c r="G309" s="12"/>
      <c r="H309" s="12"/>
      <c r="I309" s="12"/>
      <c r="J309" s="12"/>
      <c r="K309" s="12"/>
      <c r="L309" s="12"/>
      <c r="M309" s="12"/>
      <c r="N309" s="12"/>
      <c r="O309" s="12"/>
      <c r="P309" s="12"/>
      <c r="Q309" s="12"/>
      <c r="R309" s="12"/>
      <c r="S309" s="12"/>
      <c r="T309" s="12"/>
      <c r="U309" s="12"/>
      <c r="V309" s="2730">
        <v>1</v>
      </c>
    </row>
    <row r="310" spans="1:22" ht="30">
      <c r="A310" s="12"/>
      <c r="B310" s="12"/>
      <c r="C310" s="3004" t="s">
        <v>11768</v>
      </c>
      <c r="D310" s="3004" t="s">
        <v>11769</v>
      </c>
      <c r="E310" s="3004" t="s">
        <v>11770</v>
      </c>
      <c r="F310" s="3004" t="s">
        <v>11771</v>
      </c>
      <c r="G310" s="12"/>
      <c r="H310" s="12"/>
      <c r="I310" s="12"/>
      <c r="J310" s="12"/>
      <c r="K310" s="12"/>
      <c r="L310" s="12"/>
      <c r="M310" s="12"/>
      <c r="N310" s="12"/>
      <c r="O310" s="12"/>
      <c r="P310" s="12"/>
      <c r="Q310" s="12"/>
      <c r="R310" s="12"/>
      <c r="S310" s="12"/>
      <c r="T310" s="12"/>
      <c r="U310" s="12"/>
      <c r="V310" s="2730">
        <v>1</v>
      </c>
    </row>
    <row r="311" spans="1:22">
      <c r="A311" s="12"/>
      <c r="B311" s="12"/>
      <c r="C311" s="1"/>
      <c r="D311" s="1"/>
      <c r="E311" s="1"/>
      <c r="F311" s="1"/>
      <c r="G311" s="12"/>
      <c r="H311" s="12"/>
      <c r="I311" s="12"/>
      <c r="J311" s="12"/>
      <c r="K311" s="12"/>
      <c r="L311" s="12"/>
      <c r="M311" s="12"/>
      <c r="N311" s="12"/>
      <c r="O311" s="12"/>
      <c r="P311" s="12"/>
      <c r="Q311" s="12"/>
      <c r="R311" s="12"/>
      <c r="S311" s="12"/>
      <c r="T311" s="12"/>
      <c r="U311" s="12"/>
      <c r="V311" s="2730">
        <v>1</v>
      </c>
    </row>
    <row r="312" spans="1:22">
      <c r="A312" s="12"/>
      <c r="B312" s="12"/>
      <c r="C312" s="1"/>
      <c r="D312" s="1"/>
      <c r="E312" s="1"/>
      <c r="F312" s="1"/>
      <c r="G312" s="12"/>
      <c r="H312" s="12"/>
      <c r="I312" s="12"/>
      <c r="J312" s="12"/>
      <c r="K312" s="12"/>
      <c r="L312" s="12"/>
      <c r="M312" s="12"/>
      <c r="N312" s="12"/>
      <c r="O312" s="12"/>
      <c r="P312" s="12"/>
      <c r="Q312" s="12"/>
      <c r="R312" s="12"/>
      <c r="S312" s="12"/>
      <c r="T312" s="12"/>
      <c r="U312" s="12"/>
      <c r="V312" s="2730">
        <v>1</v>
      </c>
    </row>
    <row r="313" spans="1:22">
      <c r="A313" s="12"/>
      <c r="B313" s="12"/>
      <c r="C313" s="1" t="s">
        <v>11772</v>
      </c>
      <c r="D313" s="1"/>
      <c r="E313" s="1"/>
      <c r="F313" s="1"/>
      <c r="G313" s="12"/>
      <c r="H313" s="12"/>
      <c r="I313" s="12"/>
      <c r="J313" s="12"/>
      <c r="K313" s="12"/>
      <c r="L313" s="12"/>
      <c r="M313" s="12"/>
      <c r="N313" s="12"/>
      <c r="O313" s="12"/>
      <c r="P313" s="12"/>
      <c r="Q313" s="12"/>
      <c r="R313" s="12"/>
      <c r="S313" s="12"/>
      <c r="T313" s="12"/>
      <c r="U313" s="12"/>
      <c r="V313" s="2730">
        <v>1</v>
      </c>
    </row>
    <row r="314" spans="1:22">
      <c r="A314" s="12"/>
      <c r="B314" s="12"/>
      <c r="C314" s="12"/>
      <c r="D314" s="12"/>
      <c r="E314" s="12"/>
      <c r="F314" s="12"/>
      <c r="G314" s="12"/>
      <c r="H314" s="12"/>
      <c r="I314" s="12"/>
      <c r="J314" s="12"/>
      <c r="K314" s="12"/>
      <c r="L314" s="12"/>
      <c r="M314" s="12"/>
      <c r="N314" s="12"/>
      <c r="O314" s="12"/>
      <c r="P314" s="12"/>
      <c r="Q314" s="12"/>
      <c r="R314" s="12"/>
      <c r="S314" s="12"/>
      <c r="T314" s="12"/>
      <c r="U314" s="12"/>
      <c r="V314" s="2730">
        <v>1</v>
      </c>
    </row>
    <row r="315" spans="1:22">
      <c r="A315" s="12"/>
      <c r="B315" s="12"/>
      <c r="C315" s="12"/>
      <c r="D315" s="12"/>
      <c r="E315" s="12"/>
      <c r="F315" s="12"/>
      <c r="G315" s="12"/>
      <c r="H315" s="12"/>
      <c r="I315" s="12"/>
      <c r="J315" s="12"/>
      <c r="K315" s="12"/>
      <c r="L315" s="12"/>
      <c r="M315" s="12"/>
      <c r="N315" s="12"/>
      <c r="O315" s="12"/>
      <c r="P315" s="12"/>
      <c r="Q315" s="12"/>
      <c r="R315" s="12"/>
      <c r="S315" s="12"/>
      <c r="T315" s="12"/>
      <c r="U315" s="12"/>
      <c r="V315" s="2730">
        <v>1</v>
      </c>
    </row>
    <row r="316" spans="1:22">
      <c r="A316" s="2730">
        <v>1</v>
      </c>
      <c r="B316" s="2730">
        <v>1</v>
      </c>
      <c r="C316" s="2730">
        <v>1</v>
      </c>
      <c r="D316" s="2730">
        <v>1</v>
      </c>
      <c r="E316" s="2730">
        <v>1</v>
      </c>
      <c r="F316" s="2730">
        <v>1</v>
      </c>
      <c r="G316" s="2730">
        <v>1</v>
      </c>
      <c r="H316" s="2730">
        <v>1</v>
      </c>
      <c r="I316" s="2730">
        <v>1</v>
      </c>
      <c r="J316" s="2730">
        <v>1</v>
      </c>
      <c r="K316" s="2730">
        <v>1</v>
      </c>
      <c r="L316" s="2730">
        <v>1</v>
      </c>
      <c r="M316" s="2730">
        <v>1</v>
      </c>
      <c r="N316" s="2730">
        <v>1</v>
      </c>
      <c r="O316" s="2730">
        <v>1</v>
      </c>
      <c r="P316" s="2730">
        <v>1</v>
      </c>
      <c r="Q316" s="2730">
        <v>1</v>
      </c>
      <c r="R316" s="2730">
        <v>1</v>
      </c>
      <c r="S316" s="2730">
        <v>1</v>
      </c>
      <c r="T316" s="2730">
        <v>1</v>
      </c>
      <c r="U316" s="2730">
        <v>1</v>
      </c>
      <c r="V316" s="3191" t="s">
        <v>7037</v>
      </c>
    </row>
  </sheetData>
  <mergeCells count="1">
    <mergeCell ref="H4:O5"/>
  </mergeCells>
  <hyperlinks>
    <hyperlink ref="C201" r:id="rId1" xr:uid="{B2AB5273-CED3-462C-B750-50362F285DD0}"/>
    <hyperlink ref="C207" r:id="rId2" xr:uid="{001B302C-F1AA-470D-8326-9EA59AC7E7C9}"/>
    <hyperlink ref="C204" r:id="rId3" xr:uid="{2A5063FB-73ED-4EF6-8B4C-AB7CDEFE356A}"/>
    <hyperlink ref="N207" r:id="rId4" xr:uid="{7227DE97-CA93-43F4-BB88-075C13E8245D}"/>
    <hyperlink ref="D209" r:id="rId5" xr:uid="{2809589E-6A40-4D23-8763-B8A774DC4417}"/>
    <hyperlink ref="D218" r:id="rId6" xr:uid="{9DCDE09F-B1DE-41EB-9C35-A46A94EA99AF}"/>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17F1C-48CA-4215-B82F-076564449082}">
  <dimension ref="A1:AI339"/>
  <sheetViews>
    <sheetView zoomScaleNormal="100" workbookViewId="0">
      <selection activeCell="N16" sqref="N16"/>
    </sheetView>
  </sheetViews>
  <sheetFormatPr baseColWidth="10" defaultRowHeight="15"/>
  <cols>
    <col min="1" max="1" width="4.85546875" style="1697" customWidth="1"/>
    <col min="2" max="2" width="6" style="2684" customWidth="1"/>
    <col min="3" max="3" width="16.140625" style="2689" customWidth="1"/>
    <col min="4" max="4" width="18.140625" style="2690" customWidth="1"/>
    <col min="5" max="5" width="6.140625" style="1697" customWidth="1"/>
    <col min="6" max="6" width="4.85546875" style="1697" customWidth="1"/>
    <col min="7" max="7" width="6" style="2684" customWidth="1"/>
    <col min="8" max="8" width="11.42578125" style="1697"/>
    <col min="9" max="9" width="18.140625" style="2690" customWidth="1"/>
    <col min="10" max="10" width="6.140625" style="1697" customWidth="1"/>
    <col min="11" max="11" width="4.85546875" style="1697" customWidth="1"/>
    <col min="12" max="12" width="7.42578125" style="2684" customWidth="1"/>
    <col min="13" max="13" width="11.42578125" style="1697"/>
    <col min="14" max="14" width="18.140625" style="2690" customWidth="1"/>
    <col min="15" max="15" width="6.140625" style="1697" customWidth="1"/>
    <col min="16" max="16" width="8.5703125" style="1697" customWidth="1"/>
    <col min="17" max="17" width="6" style="2684" customWidth="1"/>
    <col min="18" max="18" width="11.42578125" style="1697"/>
    <col min="19" max="19" width="18.140625" style="2690" customWidth="1"/>
    <col min="20" max="20" width="11.42578125" style="1697"/>
    <col min="21" max="21" width="8.42578125" style="1697" customWidth="1"/>
    <col min="22" max="16384" width="11.42578125" style="1697"/>
  </cols>
  <sheetData>
    <row r="1" spans="1:30" ht="44.25" customHeight="1">
      <c r="A1" s="9888" t="s">
        <v>3088</v>
      </c>
      <c r="B1" s="9888"/>
      <c r="C1" s="9888"/>
      <c r="D1" s="9888"/>
      <c r="E1" s="9888"/>
      <c r="F1" s="9888"/>
      <c r="G1" s="9888"/>
      <c r="H1" s="9888"/>
      <c r="I1" s="9888"/>
      <c r="J1" s="9888"/>
      <c r="K1" s="9888"/>
      <c r="L1" s="9888"/>
      <c r="M1" s="9888"/>
      <c r="N1" s="9888"/>
      <c r="O1" s="9888"/>
      <c r="P1" s="9888"/>
      <c r="Q1" s="9888"/>
      <c r="R1" s="9888"/>
      <c r="S1" s="9888"/>
      <c r="T1" s="9888"/>
      <c r="U1" s="9888"/>
      <c r="V1" s="2659" t="s">
        <v>2766</v>
      </c>
      <c r="W1" s="2660"/>
      <c r="X1" s="2660"/>
      <c r="Y1" s="2660"/>
      <c r="Z1" s="2660"/>
      <c r="AA1" s="2660"/>
      <c r="AB1" s="2661" t="str">
        <f ca="1">"Page "&amp;_xlfn.SHEET()&amp;" sur "&amp;_xlfn.SHEETS()</f>
        <v>Page 37 sur 41</v>
      </c>
      <c r="AC1" s="2662"/>
      <c r="AD1" s="2662"/>
    </row>
    <row r="2" spans="1:30" ht="15.75" customHeight="1">
      <c r="A2" s="1702"/>
      <c r="B2" s="2663"/>
      <c r="C2" s="2664"/>
      <c r="D2" s="2665"/>
      <c r="E2" s="1702"/>
      <c r="F2" s="1702"/>
      <c r="G2" s="2663"/>
      <c r="H2" s="1702"/>
      <c r="I2" s="2665"/>
      <c r="J2" s="1702"/>
      <c r="K2" s="1702"/>
      <c r="L2" s="2663"/>
      <c r="M2" s="1702"/>
      <c r="N2" s="2665"/>
      <c r="O2" s="1702"/>
      <c r="P2" s="1702"/>
      <c r="Q2" s="2663"/>
      <c r="R2" s="1702"/>
      <c r="S2" s="2665"/>
      <c r="T2" s="1702"/>
      <c r="U2" s="1702"/>
      <c r="V2" s="1702"/>
      <c r="W2" s="1702"/>
      <c r="X2" s="1702"/>
      <c r="Y2" s="1702"/>
      <c r="Z2" s="1702"/>
      <c r="AA2" s="1702"/>
      <c r="AB2" s="1702"/>
      <c r="AC2" s="1702"/>
      <c r="AD2" s="1702"/>
    </row>
    <row r="3" spans="1:30">
      <c r="A3" s="1702"/>
      <c r="B3" s="2663"/>
      <c r="C3" s="2666" t="s">
        <v>3089</v>
      </c>
      <c r="D3" s="2665"/>
      <c r="E3" s="1702"/>
      <c r="F3" s="1702"/>
      <c r="G3" s="2663"/>
      <c r="H3" s="1702"/>
      <c r="I3" s="2665"/>
      <c r="J3" s="1702"/>
      <c r="K3" s="1702"/>
      <c r="L3" s="2663"/>
      <c r="M3" s="1702"/>
      <c r="N3" s="2665"/>
      <c r="O3" s="2667"/>
      <c r="P3" s="1702"/>
      <c r="Q3" s="2663"/>
      <c r="R3" s="1702"/>
      <c r="S3" s="2665"/>
      <c r="T3" s="1702"/>
      <c r="U3" s="1702"/>
      <c r="V3" s="1702"/>
      <c r="W3" s="1702"/>
      <c r="X3" s="1702"/>
      <c r="Y3" s="1702"/>
      <c r="Z3" s="1702"/>
      <c r="AA3" s="1702"/>
      <c r="AB3" s="1702"/>
      <c r="AC3" s="1702"/>
      <c r="AD3" s="1702"/>
    </row>
    <row r="4" spans="1:30" ht="21">
      <c r="A4" s="1702"/>
      <c r="B4" s="2663"/>
      <c r="C4" s="2668" t="s">
        <v>3090</v>
      </c>
      <c r="D4" s="2669" t="s">
        <v>3091</v>
      </c>
      <c r="E4" s="1702"/>
      <c r="F4" s="1702"/>
      <c r="G4" s="2663"/>
      <c r="H4" s="1702"/>
      <c r="I4" s="2665"/>
      <c r="J4" s="1702"/>
      <c r="K4" s="1702"/>
      <c r="L4" s="2663"/>
      <c r="M4" s="1702"/>
      <c r="N4" s="2668" t="s">
        <v>3090</v>
      </c>
      <c r="O4" s="2670" t="s">
        <v>3092</v>
      </c>
      <c r="P4" s="2671"/>
      <c r="Q4" s="2663"/>
      <c r="R4" s="1702"/>
      <c r="S4" s="2672"/>
      <c r="T4" s="2668" t="s">
        <v>3090</v>
      </c>
      <c r="U4" s="2670" t="s">
        <v>3093</v>
      </c>
      <c r="V4" s="2671"/>
      <c r="W4" s="1702"/>
      <c r="X4" s="1702"/>
      <c r="Y4" s="1702"/>
      <c r="Z4" s="2668" t="s">
        <v>3090</v>
      </c>
      <c r="AA4" s="2670" t="s">
        <v>3094</v>
      </c>
      <c r="AB4" s="2671"/>
      <c r="AC4" s="1702"/>
      <c r="AD4" s="1702"/>
    </row>
    <row r="5" spans="1:30" ht="23.25">
      <c r="A5" s="1702"/>
      <c r="B5" s="2663"/>
      <c r="C5" s="2673"/>
      <c r="D5" s="2669"/>
      <c r="E5" s="1702"/>
      <c r="F5" s="1702"/>
      <c r="G5" s="2663"/>
      <c r="H5" s="1702"/>
      <c r="I5" s="2665"/>
      <c r="J5" s="1702"/>
      <c r="K5" s="1702"/>
      <c r="L5" s="2663"/>
      <c r="M5" s="1702"/>
      <c r="N5" s="2674"/>
      <c r="O5" s="2667"/>
      <c r="P5" s="1702"/>
      <c r="Q5" s="2663"/>
      <c r="R5" s="1702"/>
      <c r="S5" s="2672"/>
      <c r="T5" s="2675"/>
      <c r="U5" s="1702"/>
      <c r="V5" s="1702"/>
      <c r="W5" s="1702"/>
      <c r="X5" s="1702"/>
      <c r="Y5" s="1702"/>
      <c r="Z5" s="1702"/>
      <c r="AA5" s="1702"/>
      <c r="AB5" s="1702"/>
      <c r="AC5" s="1702"/>
      <c r="AD5" s="1702"/>
    </row>
    <row r="6" spans="1:30" ht="21">
      <c r="A6" s="1702"/>
      <c r="B6" s="2663"/>
      <c r="C6" s="2668" t="s">
        <v>3090</v>
      </c>
      <c r="D6" s="2676" t="s">
        <v>3095</v>
      </c>
      <c r="E6" s="1702"/>
      <c r="F6" s="1702"/>
      <c r="G6" s="2663"/>
      <c r="H6" s="1702"/>
      <c r="I6" s="2665"/>
      <c r="J6" s="1702"/>
      <c r="K6" s="1702"/>
      <c r="L6" s="2663"/>
      <c r="M6" s="1702"/>
      <c r="N6" s="2668" t="s">
        <v>3090</v>
      </c>
      <c r="O6" s="2670" t="s">
        <v>3096</v>
      </c>
      <c r="P6" s="2671"/>
      <c r="Q6" s="2663"/>
      <c r="R6" s="1702"/>
      <c r="S6" s="2672"/>
      <c r="T6" s="2668" t="s">
        <v>3090</v>
      </c>
      <c r="U6" s="2670" t="s">
        <v>3097</v>
      </c>
      <c r="V6" s="2671"/>
      <c r="W6" s="1702"/>
      <c r="X6" s="1702"/>
      <c r="Y6" s="1702"/>
      <c r="Z6" s="2668" t="s">
        <v>3090</v>
      </c>
      <c r="AA6" s="2670" t="s">
        <v>3098</v>
      </c>
      <c r="AB6" s="2671"/>
      <c r="AC6" s="1702"/>
      <c r="AD6" s="1702"/>
    </row>
    <row r="7" spans="1:30" ht="23.25">
      <c r="A7" s="1702"/>
      <c r="B7" s="2663"/>
      <c r="C7" s="2673"/>
      <c r="D7" s="2669"/>
      <c r="E7" s="1702"/>
      <c r="F7" s="1702"/>
      <c r="G7" s="2663"/>
      <c r="H7" s="1702"/>
      <c r="I7" s="2665"/>
      <c r="J7" s="1702"/>
      <c r="K7" s="1702"/>
      <c r="L7" s="2663"/>
      <c r="M7" s="1702"/>
      <c r="N7" s="2674"/>
      <c r="O7" s="1702"/>
      <c r="P7" s="1702"/>
      <c r="Q7" s="2663"/>
      <c r="R7" s="1702"/>
      <c r="S7" s="2672"/>
      <c r="T7" s="1702"/>
      <c r="U7" s="1702"/>
      <c r="V7" s="1702"/>
      <c r="W7" s="1702"/>
      <c r="X7" s="1702"/>
      <c r="Y7" s="1702"/>
      <c r="Z7" s="1702"/>
      <c r="AA7" s="1702"/>
      <c r="AB7" s="1702"/>
      <c r="AC7" s="1702"/>
      <c r="AD7" s="1702"/>
    </row>
    <row r="8" spans="1:30" ht="21">
      <c r="A8" s="1702"/>
      <c r="B8" s="2663"/>
      <c r="C8" s="2668" t="s">
        <v>3090</v>
      </c>
      <c r="D8" s="2670" t="s">
        <v>3099</v>
      </c>
      <c r="E8" s="1702"/>
      <c r="F8" s="1702"/>
      <c r="G8" s="2663"/>
      <c r="H8" s="1702"/>
      <c r="I8" s="2665"/>
      <c r="J8" s="1702"/>
      <c r="K8" s="1702"/>
      <c r="L8" s="2663"/>
      <c r="M8" s="1702"/>
      <c r="N8" s="2668" t="s">
        <v>3090</v>
      </c>
      <c r="O8" s="2670" t="s">
        <v>3100</v>
      </c>
      <c r="P8" s="2671"/>
      <c r="Q8" s="2663"/>
      <c r="R8" s="1702"/>
      <c r="S8" s="2672"/>
      <c r="T8" s="2668" t="s">
        <v>3090</v>
      </c>
      <c r="U8" s="2670" t="s">
        <v>3101</v>
      </c>
      <c r="V8" s="2671"/>
      <c r="W8" s="1702"/>
      <c r="X8" s="1702"/>
      <c r="Y8" s="1702"/>
      <c r="Z8" s="2668" t="s">
        <v>3090</v>
      </c>
      <c r="AA8" s="2670" t="s">
        <v>3102</v>
      </c>
      <c r="AB8" s="2671"/>
      <c r="AC8" s="1702"/>
      <c r="AD8" s="1702"/>
    </row>
    <row r="9" spans="1:30" ht="19.5" customHeight="1">
      <c r="A9" s="1702"/>
      <c r="B9" s="2663"/>
      <c r="C9" s="2664"/>
      <c r="D9" s="2665"/>
      <c r="E9" s="1702"/>
      <c r="F9" s="1702"/>
      <c r="G9" s="2663"/>
      <c r="H9" s="1702"/>
      <c r="I9" s="2665"/>
      <c r="J9" s="1702"/>
      <c r="K9" s="1702"/>
      <c r="L9" s="2663"/>
      <c r="M9" s="1702"/>
      <c r="N9" s="2665"/>
      <c r="O9" s="1702"/>
      <c r="P9" s="1702"/>
      <c r="Q9" s="2663"/>
      <c r="R9" s="1702"/>
      <c r="S9" s="2665"/>
      <c r="T9" s="1702"/>
      <c r="U9" s="1702"/>
      <c r="V9" s="1702"/>
      <c r="W9" s="1702"/>
      <c r="X9" s="1702"/>
      <c r="Y9" s="1702"/>
      <c r="Z9" s="1702"/>
      <c r="AA9" s="1702"/>
      <c r="AB9" s="1702"/>
      <c r="AC9" s="1702"/>
      <c r="AD9" s="1702"/>
    </row>
    <row r="10" spans="1:30" ht="39" customHeight="1">
      <c r="A10" s="1702"/>
      <c r="B10" s="2663"/>
      <c r="C10" s="2677" t="s">
        <v>3103</v>
      </c>
      <c r="D10" s="2678" t="s">
        <v>3104</v>
      </c>
      <c r="E10" s="2679"/>
      <c r="F10" s="2679"/>
      <c r="G10" s="2680"/>
      <c r="H10" s="2679"/>
      <c r="I10" s="2681"/>
      <c r="J10" s="2679"/>
      <c r="K10" s="2679"/>
      <c r="L10" s="2680"/>
      <c r="M10" s="2679"/>
      <c r="N10" s="2681"/>
      <c r="O10" s="2679"/>
      <c r="P10" s="2679"/>
      <c r="Q10" s="2680"/>
      <c r="R10" s="2679"/>
      <c r="S10" s="2681"/>
      <c r="T10" s="2679"/>
      <c r="U10" s="2679"/>
      <c r="V10" s="2679"/>
      <c r="W10" s="2679"/>
      <c r="X10" s="2679"/>
      <c r="Y10" s="2679"/>
      <c r="Z10" s="2679"/>
      <c r="AA10" s="1702"/>
      <c r="AB10" s="1702"/>
      <c r="AC10" s="1702"/>
      <c r="AD10" s="1702"/>
    </row>
    <row r="11" spans="1:30" ht="19.5" customHeight="1">
      <c r="A11" s="1702"/>
      <c r="B11" s="2663"/>
      <c r="C11" s="2664"/>
      <c r="D11" s="2665"/>
      <c r="E11" s="1702"/>
      <c r="F11" s="1702"/>
      <c r="G11" s="2663"/>
      <c r="H11" s="1702"/>
      <c r="I11" s="2665"/>
      <c r="J11" s="1702"/>
      <c r="K11" s="1702"/>
      <c r="L11" s="2663"/>
      <c r="M11" s="1702"/>
      <c r="N11" s="2665"/>
      <c r="O11" s="1702"/>
      <c r="P11" s="1702"/>
      <c r="Q11" s="2663"/>
      <c r="R11" s="1702"/>
      <c r="S11" s="2665"/>
      <c r="T11" s="1702"/>
      <c r="U11" s="1702"/>
      <c r="V11" s="1702"/>
      <c r="W11" s="1702"/>
      <c r="X11" s="1702"/>
      <c r="Y11" s="1702"/>
      <c r="Z11" s="1702"/>
      <c r="AA11" s="1702"/>
      <c r="AB11" s="1702"/>
      <c r="AC11" s="1702"/>
      <c r="AD11" s="1702"/>
    </row>
    <row r="12" spans="1:30" ht="38.25" customHeight="1">
      <c r="A12" s="1702"/>
      <c r="B12" s="2663"/>
      <c r="C12" s="2677" t="s">
        <v>3103</v>
      </c>
      <c r="D12" s="2678" t="s">
        <v>3105</v>
      </c>
      <c r="E12" s="2679"/>
      <c r="F12" s="2679"/>
      <c r="G12" s="2680"/>
      <c r="H12" s="2679"/>
      <c r="I12" s="2681"/>
      <c r="J12" s="2679"/>
      <c r="K12" s="2679"/>
      <c r="L12" s="2680"/>
      <c r="M12" s="2679"/>
      <c r="N12" s="2681"/>
      <c r="O12" s="2679"/>
      <c r="P12" s="2679"/>
      <c r="Q12" s="2680"/>
      <c r="R12" s="2679"/>
      <c r="S12" s="2681"/>
      <c r="T12" s="2679"/>
      <c r="U12" s="2679"/>
      <c r="V12" s="2679"/>
      <c r="W12" s="2679"/>
      <c r="X12" s="2679"/>
      <c r="Y12" s="2679"/>
      <c r="Z12" s="2679"/>
      <c r="AA12" s="2679"/>
      <c r="AB12" s="2679"/>
      <c r="AC12" s="2679"/>
      <c r="AD12" s="2679"/>
    </row>
    <row r="13" spans="1:30" ht="19.5" customHeight="1">
      <c r="A13" s="1702"/>
      <c r="B13" s="2663"/>
      <c r="C13" s="2664"/>
      <c r="D13" s="2665"/>
      <c r="E13" s="1702"/>
      <c r="F13" s="1702"/>
      <c r="G13" s="2663"/>
      <c r="H13" s="1702"/>
      <c r="I13" s="2665"/>
      <c r="J13" s="1702"/>
      <c r="K13" s="1702"/>
      <c r="L13" s="2663"/>
      <c r="M13" s="1702"/>
      <c r="N13" s="2665"/>
      <c r="O13" s="1702"/>
      <c r="P13" s="1702"/>
      <c r="Q13" s="2663"/>
      <c r="R13" s="1702"/>
      <c r="S13" s="2665"/>
      <c r="T13" s="1702"/>
      <c r="U13" s="1702"/>
      <c r="V13" s="1702"/>
      <c r="W13" s="1702"/>
      <c r="X13" s="1702"/>
      <c r="Y13" s="1702"/>
      <c r="Z13" s="1702"/>
      <c r="AA13" s="1702"/>
      <c r="AB13" s="1702"/>
      <c r="AC13" s="1702"/>
      <c r="AD13" s="1702"/>
    </row>
    <row r="14" spans="1:30">
      <c r="A14" s="1702"/>
      <c r="B14" s="1702"/>
      <c r="C14" s="1697"/>
      <c r="D14" s="2682" t="s">
        <v>3106</v>
      </c>
      <c r="E14" s="2683" t="s">
        <v>3107</v>
      </c>
      <c r="F14" s="2136"/>
      <c r="G14" s="1697"/>
      <c r="H14" s="2683" t="s">
        <v>3108</v>
      </c>
      <c r="I14" s="2683" t="s">
        <v>3109</v>
      </c>
      <c r="J14" s="2683" t="s">
        <v>3110</v>
      </c>
      <c r="M14" s="2685" t="s">
        <v>3111</v>
      </c>
      <c r="N14" s="2685" t="s">
        <v>3112</v>
      </c>
      <c r="O14" s="2136"/>
      <c r="P14" s="2685" t="s">
        <v>3113</v>
      </c>
      <c r="Q14" s="2136"/>
      <c r="S14" s="2136"/>
      <c r="T14" s="2136"/>
      <c r="U14" s="2136"/>
      <c r="V14" s="2136"/>
      <c r="W14" s="2136"/>
      <c r="X14" s="2686" t="s">
        <v>3114</v>
      </c>
      <c r="Y14" s="2136"/>
      <c r="AB14" s="2687" t="s">
        <v>3115</v>
      </c>
    </row>
    <row r="15" spans="1:30" ht="19.5" customHeight="1">
      <c r="A15" s="1702"/>
      <c r="B15" s="2663"/>
      <c r="C15" s="2664"/>
      <c r="D15" s="2665"/>
      <c r="E15" s="1702"/>
      <c r="F15" s="1702"/>
      <c r="G15" s="2663"/>
      <c r="H15" s="1702"/>
      <c r="I15" s="2665"/>
      <c r="J15" s="1702"/>
      <c r="K15" s="1702"/>
      <c r="L15" s="2663"/>
      <c r="M15" s="1702"/>
      <c r="N15" s="2665"/>
      <c r="O15" s="1702"/>
      <c r="P15" s="1702"/>
      <c r="Q15" s="2663"/>
      <c r="R15" s="1702"/>
      <c r="S15" s="2665"/>
      <c r="T15" s="1702"/>
      <c r="U15" s="1702"/>
      <c r="V15" s="1702"/>
      <c r="W15" s="1702"/>
      <c r="X15" s="1702"/>
      <c r="Y15" s="1702"/>
      <c r="Z15" s="1702"/>
      <c r="AA15" s="1702"/>
      <c r="AB15" s="1702"/>
      <c r="AC15" s="1702"/>
      <c r="AD15" s="1702"/>
    </row>
    <row r="16" spans="1:30" ht="25.5">
      <c r="A16" s="2688">
        <v>1</v>
      </c>
      <c r="B16" s="2684" t="s">
        <v>3116</v>
      </c>
      <c r="C16" s="2689" t="s">
        <v>3117</v>
      </c>
      <c r="D16" s="2690" t="s">
        <v>3118</v>
      </c>
      <c r="E16" s="2691"/>
      <c r="F16" s="2688">
        <v>325</v>
      </c>
      <c r="G16" s="2684" t="s">
        <v>3119</v>
      </c>
      <c r="H16" s="2689" t="s">
        <v>3120</v>
      </c>
      <c r="I16" s="2690" t="s">
        <v>3121</v>
      </c>
      <c r="J16" s="2691"/>
      <c r="K16" s="2688">
        <v>649</v>
      </c>
      <c r="L16" s="2684" t="s">
        <v>3122</v>
      </c>
      <c r="M16" s="2689" t="s">
        <v>3123</v>
      </c>
      <c r="N16" s="2690" t="s">
        <v>3124</v>
      </c>
      <c r="O16" s="2691"/>
      <c r="P16" s="2688">
        <v>973</v>
      </c>
      <c r="Q16" s="2684" t="s">
        <v>3125</v>
      </c>
      <c r="R16" s="2689" t="s">
        <v>3126</v>
      </c>
      <c r="S16" s="2690" t="s">
        <v>3127</v>
      </c>
      <c r="T16" s="1702"/>
      <c r="U16" s="2692" t="s">
        <v>3128</v>
      </c>
      <c r="W16" s="2691"/>
      <c r="X16" s="2693"/>
      <c r="Y16" s="2693"/>
      <c r="Z16" s="2693"/>
      <c r="AA16" s="2693"/>
      <c r="AB16" s="2693"/>
      <c r="AC16" s="2693"/>
      <c r="AD16" s="2693"/>
    </row>
    <row r="17" spans="1:35" ht="21">
      <c r="A17" s="2688">
        <v>2</v>
      </c>
      <c r="B17" s="2684" t="s">
        <v>3129</v>
      </c>
      <c r="C17" s="2689" t="s">
        <v>3130</v>
      </c>
      <c r="D17" s="2690" t="s">
        <v>3131</v>
      </c>
      <c r="E17" s="2691"/>
      <c r="F17" s="2688">
        <v>326</v>
      </c>
      <c r="G17" s="2684" t="s">
        <v>3132</v>
      </c>
      <c r="H17" s="2689" t="s">
        <v>3133</v>
      </c>
      <c r="I17" s="2690" t="s">
        <v>3134</v>
      </c>
      <c r="J17" s="2691"/>
      <c r="K17" s="2688">
        <v>650</v>
      </c>
      <c r="L17" s="2684" t="s">
        <v>3135</v>
      </c>
      <c r="M17" s="2689" t="s">
        <v>3136</v>
      </c>
      <c r="N17" s="2690" t="s">
        <v>3137</v>
      </c>
      <c r="O17" s="2691"/>
      <c r="P17" s="2688">
        <v>974</v>
      </c>
      <c r="Q17" s="2684" t="s">
        <v>3138</v>
      </c>
      <c r="R17" s="2689" t="s">
        <v>3139</v>
      </c>
      <c r="S17" s="2690" t="s">
        <v>3140</v>
      </c>
      <c r="T17" s="1702"/>
      <c r="U17" s="2668" t="s">
        <v>3090</v>
      </c>
      <c r="V17" s="2694" t="s">
        <v>3141</v>
      </c>
      <c r="W17" s="2695"/>
      <c r="X17" s="2696"/>
      <c r="Y17" s="2693"/>
      <c r="Z17" s="2693"/>
      <c r="AA17" s="2693"/>
      <c r="AB17" s="2693"/>
      <c r="AC17" s="2693"/>
      <c r="AD17" s="2693"/>
      <c r="AH17" s="2697"/>
    </row>
    <row r="18" spans="1:35" ht="21">
      <c r="A18" s="2688">
        <v>3</v>
      </c>
      <c r="B18" s="2684" t="s">
        <v>3142</v>
      </c>
      <c r="C18" s="2689" t="s">
        <v>3143</v>
      </c>
      <c r="D18" s="2690" t="s">
        <v>3144</v>
      </c>
      <c r="E18" s="2691"/>
      <c r="F18" s="2688">
        <v>327</v>
      </c>
      <c r="G18" s="2684" t="s">
        <v>3145</v>
      </c>
      <c r="H18" s="2689" t="s">
        <v>3146</v>
      </c>
      <c r="I18" s="2690" t="s">
        <v>3147</v>
      </c>
      <c r="J18" s="2691"/>
      <c r="K18" s="2688">
        <v>651</v>
      </c>
      <c r="L18" s="2684" t="s">
        <v>3148</v>
      </c>
      <c r="M18" s="2689" t="s">
        <v>3149</v>
      </c>
      <c r="N18" s="2690" t="s">
        <v>3150</v>
      </c>
      <c r="O18" s="2691"/>
      <c r="P18" s="2688">
        <v>975</v>
      </c>
      <c r="Q18" s="2684" t="s">
        <v>3151</v>
      </c>
      <c r="R18" s="2689" t="s">
        <v>3152</v>
      </c>
      <c r="S18" s="2690" t="s">
        <v>3153</v>
      </c>
      <c r="T18" s="1702"/>
      <c r="U18" s="2692" t="s">
        <v>3089</v>
      </c>
      <c r="V18" s="2692"/>
      <c r="W18" s="2691"/>
      <c r="X18" s="2696"/>
      <c r="Y18" s="2693"/>
      <c r="Z18" s="2693"/>
      <c r="AA18" s="2693"/>
      <c r="AB18" s="2693"/>
      <c r="AC18" s="2693"/>
      <c r="AD18" s="2693"/>
      <c r="AH18" s="2697"/>
    </row>
    <row r="19" spans="1:35" ht="21">
      <c r="A19" s="2688">
        <v>4</v>
      </c>
      <c r="B19" s="2684" t="s">
        <v>3154</v>
      </c>
      <c r="C19" s="2689" t="s">
        <v>3155</v>
      </c>
      <c r="D19" s="2690" t="s">
        <v>3156</v>
      </c>
      <c r="E19" s="2691"/>
      <c r="F19" s="2688">
        <v>328</v>
      </c>
      <c r="G19" s="2684" t="s">
        <v>3157</v>
      </c>
      <c r="H19" s="2689" t="s">
        <v>3158</v>
      </c>
      <c r="I19" s="2690" t="s">
        <v>3159</v>
      </c>
      <c r="J19" s="2691"/>
      <c r="K19" s="2688">
        <v>652</v>
      </c>
      <c r="L19" s="2684" t="s">
        <v>3160</v>
      </c>
      <c r="M19" s="2689" t="s">
        <v>3161</v>
      </c>
      <c r="N19" s="2690" t="s">
        <v>3162</v>
      </c>
      <c r="O19" s="2691"/>
      <c r="P19" s="2688">
        <v>976</v>
      </c>
      <c r="Q19" s="2684" t="s">
        <v>3163</v>
      </c>
      <c r="R19" s="2689" t="s">
        <v>3164</v>
      </c>
      <c r="S19" s="2690" t="s">
        <v>3165</v>
      </c>
      <c r="T19" s="1702"/>
      <c r="U19" s="2668" t="s">
        <v>3090</v>
      </c>
      <c r="V19" s="2694" t="s">
        <v>3091</v>
      </c>
      <c r="W19" s="2695"/>
      <c r="X19" s="2696"/>
      <c r="Y19" s="2693"/>
      <c r="Z19" s="2693"/>
      <c r="AA19" s="2693"/>
      <c r="AB19" s="2693"/>
      <c r="AC19" s="2693"/>
      <c r="AD19" s="2693"/>
      <c r="AH19" s="2697"/>
      <c r="AI19" s="2697"/>
    </row>
    <row r="20" spans="1:35" ht="25.5">
      <c r="A20" s="2688">
        <v>5</v>
      </c>
      <c r="B20" s="2684" t="s">
        <v>3166</v>
      </c>
      <c r="C20" s="2689" t="s">
        <v>3167</v>
      </c>
      <c r="D20" s="2690" t="s">
        <v>3168</v>
      </c>
      <c r="E20" s="2691"/>
      <c r="F20" s="2688">
        <v>329</v>
      </c>
      <c r="G20" s="2684" t="s">
        <v>3169</v>
      </c>
      <c r="H20" s="2689" t="s">
        <v>3170</v>
      </c>
      <c r="I20" s="2690" t="s">
        <v>3171</v>
      </c>
      <c r="J20" s="2691"/>
      <c r="K20" s="2688">
        <v>653</v>
      </c>
      <c r="L20" s="2684" t="s">
        <v>3172</v>
      </c>
      <c r="M20" s="2689" t="s">
        <v>3173</v>
      </c>
      <c r="N20" s="2690" t="s">
        <v>3174</v>
      </c>
      <c r="O20" s="2691"/>
      <c r="P20" s="2688">
        <v>977</v>
      </c>
      <c r="Q20" s="2684" t="s">
        <v>3175</v>
      </c>
      <c r="R20" s="2689" t="s">
        <v>3176</v>
      </c>
      <c r="S20" s="2690" t="s">
        <v>3177</v>
      </c>
      <c r="T20" s="1702"/>
      <c r="U20" s="2698"/>
      <c r="V20" s="2692" t="s">
        <v>3178</v>
      </c>
      <c r="W20" s="2691"/>
      <c r="X20" s="2696"/>
      <c r="Y20" s="2693"/>
      <c r="Z20" s="2693"/>
      <c r="AA20" s="2693"/>
      <c r="AB20" s="2693"/>
      <c r="AC20" s="2693"/>
      <c r="AD20" s="2693"/>
    </row>
    <row r="21" spans="1:35" ht="38.25">
      <c r="A21" s="2688">
        <v>6</v>
      </c>
      <c r="B21" s="2684">
        <v>2795</v>
      </c>
      <c r="C21" s="2689" t="s">
        <v>3179</v>
      </c>
      <c r="D21" s="2690" t="s">
        <v>3180</v>
      </c>
      <c r="E21" s="2691"/>
      <c r="F21" s="2688">
        <v>330</v>
      </c>
      <c r="G21" s="2684" t="s">
        <v>3181</v>
      </c>
      <c r="H21" s="2689" t="s">
        <v>3182</v>
      </c>
      <c r="I21" s="2690" t="s">
        <v>3183</v>
      </c>
      <c r="J21" s="2691"/>
      <c r="K21" s="2688">
        <v>654</v>
      </c>
      <c r="L21" s="2684" t="s">
        <v>3184</v>
      </c>
      <c r="M21" s="2689" t="s">
        <v>3185</v>
      </c>
      <c r="N21" s="2690" t="s">
        <v>3186</v>
      </c>
      <c r="O21" s="2691"/>
      <c r="P21" s="2688">
        <v>978</v>
      </c>
      <c r="Q21" s="2684" t="s">
        <v>3187</v>
      </c>
      <c r="R21" s="2689" t="s">
        <v>3188</v>
      </c>
      <c r="S21" s="2690" t="s">
        <v>3189</v>
      </c>
      <c r="T21" s="1702"/>
      <c r="U21" s="2691"/>
      <c r="V21" s="2691"/>
      <c r="W21" s="2691"/>
      <c r="X21" s="2691"/>
      <c r="Y21" s="2691"/>
      <c r="Z21" s="2691"/>
      <c r="AA21" s="2691"/>
      <c r="AB21" s="2691"/>
      <c r="AC21" s="2691"/>
      <c r="AD21" s="2691"/>
    </row>
    <row r="22" spans="1:35" ht="25.5">
      <c r="A22" s="2688">
        <v>7</v>
      </c>
      <c r="B22" s="2684">
        <v>2796</v>
      </c>
      <c r="C22" s="2689" t="s">
        <v>3190</v>
      </c>
      <c r="D22" s="2690" t="s">
        <v>3191</v>
      </c>
      <c r="E22" s="2691"/>
      <c r="F22" s="2688">
        <v>331</v>
      </c>
      <c r="G22" s="2684" t="s">
        <v>3192</v>
      </c>
      <c r="H22" s="2689" t="s">
        <v>3193</v>
      </c>
      <c r="I22" s="2690" t="s">
        <v>3194</v>
      </c>
      <c r="J22" s="2691"/>
      <c r="K22" s="2688">
        <v>655</v>
      </c>
      <c r="L22" s="2684" t="s">
        <v>3195</v>
      </c>
      <c r="M22" s="2689" t="s">
        <v>3196</v>
      </c>
      <c r="N22" s="2690" t="s">
        <v>3197</v>
      </c>
      <c r="O22" s="2691"/>
      <c r="P22" s="2688">
        <v>979</v>
      </c>
      <c r="Q22" s="2684" t="s">
        <v>3198</v>
      </c>
      <c r="R22" s="2689" t="s">
        <v>3199</v>
      </c>
      <c r="S22" s="2690" t="s">
        <v>3200</v>
      </c>
      <c r="T22" s="1702"/>
      <c r="U22" s="2691"/>
      <c r="V22" s="2691"/>
      <c r="W22" s="2691"/>
      <c r="X22" s="2695"/>
      <c r="Y22" s="2695"/>
      <c r="Z22" s="2695"/>
      <c r="AA22" s="2695"/>
      <c r="AB22" s="2695"/>
      <c r="AC22" s="2695"/>
      <c r="AD22" s="2691"/>
    </row>
    <row r="23" spans="1:35" ht="21">
      <c r="A23" s="2688">
        <v>8</v>
      </c>
      <c r="B23" s="2684">
        <v>2797</v>
      </c>
      <c r="C23" s="2689" t="s">
        <v>3201</v>
      </c>
      <c r="D23" s="2690" t="s">
        <v>3202</v>
      </c>
      <c r="E23" s="2691"/>
      <c r="F23" s="2688">
        <v>332</v>
      </c>
      <c r="G23" s="2684" t="s">
        <v>3203</v>
      </c>
      <c r="H23" s="2689" t="s">
        <v>3204</v>
      </c>
      <c r="I23" s="2690" t="s">
        <v>3205</v>
      </c>
      <c r="J23" s="2691"/>
      <c r="K23" s="2688">
        <v>656</v>
      </c>
      <c r="L23" s="2684" t="s">
        <v>3206</v>
      </c>
      <c r="M23" s="2689" t="s">
        <v>3207</v>
      </c>
      <c r="N23" s="2690" t="s">
        <v>3208</v>
      </c>
      <c r="O23" s="2691"/>
      <c r="P23" s="2688">
        <v>980</v>
      </c>
      <c r="Q23" s="2684" t="s">
        <v>3209</v>
      </c>
      <c r="R23" s="2689" t="s">
        <v>3210</v>
      </c>
      <c r="S23" s="2690" t="s">
        <v>3211</v>
      </c>
      <c r="T23" s="1702"/>
      <c r="U23" s="2695" t="s">
        <v>3212</v>
      </c>
      <c r="V23" s="2695"/>
      <c r="W23" s="2695"/>
      <c r="X23" s="2695"/>
      <c r="Y23" s="2691"/>
      <c r="Z23" s="2691"/>
      <c r="AA23" s="2691"/>
      <c r="AB23" s="2691"/>
      <c r="AC23" s="2691"/>
      <c r="AD23" s="2691"/>
      <c r="AE23" s="1702"/>
    </row>
    <row r="24" spans="1:35" ht="25.5">
      <c r="A24" s="2688">
        <v>9</v>
      </c>
      <c r="B24" s="2684" t="s">
        <v>3213</v>
      </c>
      <c r="C24" s="2689" t="s">
        <v>3214</v>
      </c>
      <c r="D24" s="2690" t="s">
        <v>3215</v>
      </c>
      <c r="E24" s="2691"/>
      <c r="F24" s="2688">
        <v>333</v>
      </c>
      <c r="G24" s="2684" t="s">
        <v>3216</v>
      </c>
      <c r="H24" s="2689" t="s">
        <v>3217</v>
      </c>
      <c r="I24" s="2690" t="s">
        <v>3218</v>
      </c>
      <c r="J24" s="2691"/>
      <c r="K24" s="2688">
        <v>657</v>
      </c>
      <c r="L24" s="2684" t="s">
        <v>3219</v>
      </c>
      <c r="M24" s="2689" t="s">
        <v>3220</v>
      </c>
      <c r="N24" s="2690" t="s">
        <v>3221</v>
      </c>
      <c r="O24" s="2691"/>
      <c r="P24" s="2688">
        <v>981</v>
      </c>
      <c r="Q24" s="2684" t="s">
        <v>3222</v>
      </c>
      <c r="R24" s="2689" t="s">
        <v>3223</v>
      </c>
      <c r="S24" s="2690" t="s">
        <v>3224</v>
      </c>
      <c r="T24" s="1702"/>
      <c r="U24" s="2695" t="s">
        <v>3225</v>
      </c>
      <c r="V24" s="2695"/>
      <c r="W24" s="2695"/>
      <c r="X24" s="2695"/>
      <c r="Y24" s="2691"/>
      <c r="Z24" s="2691"/>
      <c r="AA24" s="2691"/>
      <c r="AB24" s="2691"/>
      <c r="AC24" s="2691"/>
      <c r="AD24" s="2691"/>
    </row>
    <row r="25" spans="1:35" ht="21">
      <c r="A25" s="2688">
        <v>10</v>
      </c>
      <c r="B25" s="2684" t="s">
        <v>3226</v>
      </c>
      <c r="C25" s="2689" t="s">
        <v>3227</v>
      </c>
      <c r="E25" s="2691"/>
      <c r="F25" s="2688">
        <v>334</v>
      </c>
      <c r="G25" s="2684" t="s">
        <v>3228</v>
      </c>
      <c r="H25" s="2689" t="s">
        <v>3229</v>
      </c>
      <c r="I25" s="2690" t="s">
        <v>3230</v>
      </c>
      <c r="J25" s="2691"/>
      <c r="K25" s="2688">
        <v>658</v>
      </c>
      <c r="L25" s="2684" t="s">
        <v>3231</v>
      </c>
      <c r="M25" s="2689" t="s">
        <v>3232</v>
      </c>
      <c r="N25" s="2690" t="s">
        <v>3233</v>
      </c>
      <c r="O25" s="2691"/>
      <c r="P25" s="2688">
        <v>982</v>
      </c>
      <c r="Q25" s="2684" t="s">
        <v>3234</v>
      </c>
      <c r="R25" s="2689" t="s">
        <v>3235</v>
      </c>
      <c r="S25" s="2690" t="s">
        <v>3236</v>
      </c>
      <c r="T25" s="1702"/>
      <c r="U25" s="2695"/>
      <c r="V25" s="2695" t="s">
        <v>3237</v>
      </c>
      <c r="W25" s="2695"/>
      <c r="X25" s="2695"/>
      <c r="Y25" s="2691"/>
      <c r="Z25" s="2691"/>
      <c r="AA25" s="2691"/>
      <c r="AB25" s="2691"/>
      <c r="AC25" s="2691"/>
      <c r="AD25" s="2691"/>
    </row>
    <row r="26" spans="1:35" ht="21">
      <c r="A26" s="2688">
        <v>11</v>
      </c>
      <c r="B26" s="2684" t="s">
        <v>3238</v>
      </c>
      <c r="C26" s="2689" t="s">
        <v>3239</v>
      </c>
      <c r="E26" s="2691"/>
      <c r="F26" s="2688">
        <v>335</v>
      </c>
      <c r="G26" s="2684" t="s">
        <v>3240</v>
      </c>
      <c r="H26" s="2689" t="s">
        <v>3241</v>
      </c>
      <c r="I26" s="2690" t="s">
        <v>3242</v>
      </c>
      <c r="J26" s="2691"/>
      <c r="K26" s="2688">
        <v>659</v>
      </c>
      <c r="L26" s="2684" t="s">
        <v>3243</v>
      </c>
      <c r="M26" s="2689" t="s">
        <v>3244</v>
      </c>
      <c r="N26" s="2690" t="s">
        <v>3245</v>
      </c>
      <c r="O26" s="2691"/>
      <c r="P26" s="2688">
        <v>983</v>
      </c>
      <c r="Q26" s="2684" t="s">
        <v>3246</v>
      </c>
      <c r="R26" s="2689" t="s">
        <v>3247</v>
      </c>
      <c r="S26" s="2690" t="s">
        <v>3248</v>
      </c>
      <c r="T26" s="1702"/>
      <c r="U26" s="2695"/>
      <c r="V26" s="2695" t="s">
        <v>3249</v>
      </c>
      <c r="W26" s="2695"/>
      <c r="X26" s="2695"/>
      <c r="Y26" s="2691"/>
      <c r="Z26" s="2691"/>
      <c r="AA26" s="2691"/>
      <c r="AB26" s="2691"/>
      <c r="AC26" s="2691"/>
      <c r="AD26" s="2691"/>
    </row>
    <row r="27" spans="1:35" ht="18.75">
      <c r="A27" s="2688">
        <v>12</v>
      </c>
      <c r="B27" s="2684">
        <v>3030</v>
      </c>
      <c r="C27" s="2689" t="s">
        <v>3250</v>
      </c>
      <c r="E27" s="2691"/>
      <c r="F27" s="2688">
        <v>336</v>
      </c>
      <c r="G27" s="2684" t="s">
        <v>3251</v>
      </c>
      <c r="H27" s="2689" t="s">
        <v>3252</v>
      </c>
      <c r="I27" s="2690" t="s">
        <v>3253</v>
      </c>
      <c r="J27" s="2691"/>
      <c r="K27" s="2688">
        <v>660</v>
      </c>
      <c r="L27" s="2684" t="s">
        <v>3254</v>
      </c>
      <c r="M27" s="2689" t="s">
        <v>3255</v>
      </c>
      <c r="N27" s="2690" t="s">
        <v>3256</v>
      </c>
      <c r="O27" s="2691"/>
      <c r="P27" s="2688">
        <v>984</v>
      </c>
      <c r="Q27" s="2684" t="s">
        <v>3257</v>
      </c>
      <c r="R27" s="2689" t="s">
        <v>3258</v>
      </c>
      <c r="S27" s="2690" t="s">
        <v>3259</v>
      </c>
      <c r="T27" s="1702"/>
      <c r="U27" s="2698"/>
      <c r="V27" s="2691"/>
      <c r="W27" s="2691"/>
      <c r="X27" s="2691"/>
      <c r="Y27" s="2691"/>
      <c r="Z27" s="2691"/>
      <c r="AA27" s="2691"/>
      <c r="AB27" s="2691"/>
      <c r="AC27" s="2691"/>
      <c r="AD27" s="2691"/>
    </row>
    <row r="28" spans="1:35">
      <c r="A28" s="2688">
        <v>13</v>
      </c>
      <c r="B28" s="2684" t="s">
        <v>3260</v>
      </c>
      <c r="C28" s="2689" t="s">
        <v>3261</v>
      </c>
      <c r="E28" s="2691"/>
      <c r="F28" s="2688">
        <v>337</v>
      </c>
      <c r="G28" s="2684" t="s">
        <v>3262</v>
      </c>
      <c r="H28" s="2689" t="s">
        <v>3263</v>
      </c>
      <c r="I28" s="2690" t="s">
        <v>3264</v>
      </c>
      <c r="J28" s="2691"/>
      <c r="K28" s="2688">
        <v>661</v>
      </c>
      <c r="L28" s="2684" t="s">
        <v>3265</v>
      </c>
      <c r="M28" s="2689" t="s">
        <v>3266</v>
      </c>
      <c r="N28" s="2690" t="s">
        <v>3267</v>
      </c>
      <c r="O28" s="2691"/>
      <c r="P28" s="2688">
        <v>985</v>
      </c>
      <c r="Q28" s="2684" t="s">
        <v>3268</v>
      </c>
      <c r="R28" s="2689" t="s">
        <v>3269</v>
      </c>
      <c r="S28" s="2690" t="s">
        <v>3270</v>
      </c>
      <c r="T28" s="1702"/>
      <c r="U28" s="1702"/>
      <c r="V28" s="1702"/>
      <c r="W28" s="1702"/>
      <c r="X28" s="1702"/>
      <c r="Y28" s="1702"/>
      <c r="Z28" s="1702"/>
      <c r="AA28" s="1702"/>
      <c r="AB28" s="1702"/>
      <c r="AC28" s="1702"/>
      <c r="AD28" s="1702"/>
      <c r="AE28" s="1702"/>
      <c r="AF28" s="1702"/>
      <c r="AG28" s="1702"/>
    </row>
    <row r="29" spans="1:35">
      <c r="A29" s="2688">
        <v>14</v>
      </c>
      <c r="B29" s="2684" t="s">
        <v>3271</v>
      </c>
      <c r="C29" s="2689" t="s">
        <v>3272</v>
      </c>
      <c r="E29" s="2691"/>
      <c r="F29" s="2688">
        <v>338</v>
      </c>
      <c r="G29" s="2684" t="s">
        <v>3273</v>
      </c>
      <c r="H29" s="2689" t="s">
        <v>3274</v>
      </c>
      <c r="I29" s="2690" t="s">
        <v>3275</v>
      </c>
      <c r="J29" s="2691"/>
      <c r="K29" s="2688">
        <v>662</v>
      </c>
      <c r="L29" s="2684" t="s">
        <v>3276</v>
      </c>
      <c r="M29" s="2689" t="s">
        <v>3277</v>
      </c>
      <c r="N29" s="2690" t="s">
        <v>3278</v>
      </c>
      <c r="O29" s="2691"/>
      <c r="P29" s="2688">
        <v>986</v>
      </c>
      <c r="Q29" s="2684" t="s">
        <v>3279</v>
      </c>
      <c r="R29" s="2689" t="s">
        <v>3280</v>
      </c>
      <c r="S29" s="2690" t="s">
        <v>3281</v>
      </c>
      <c r="T29" s="1702"/>
      <c r="U29" s="1702"/>
      <c r="V29" s="1702"/>
      <c r="W29" s="1702"/>
      <c r="X29" s="1702"/>
      <c r="Y29" s="1702"/>
      <c r="Z29" s="1702"/>
      <c r="AA29" s="1702"/>
      <c r="AB29" s="1702"/>
      <c r="AC29" s="1702"/>
      <c r="AD29" s="1702"/>
    </row>
    <row r="30" spans="1:35">
      <c r="A30" s="2688">
        <v>15</v>
      </c>
      <c r="B30" s="2684">
        <v>2049</v>
      </c>
      <c r="C30" s="2689" t="s">
        <v>3282</v>
      </c>
      <c r="E30" s="2691"/>
      <c r="F30" s="2688">
        <v>339</v>
      </c>
      <c r="G30" s="2684" t="s">
        <v>3283</v>
      </c>
      <c r="H30" s="2689" t="s">
        <v>3284</v>
      </c>
      <c r="I30" s="2690" t="s">
        <v>3285</v>
      </c>
      <c r="J30" s="2691"/>
      <c r="K30" s="2688">
        <v>663</v>
      </c>
      <c r="L30" s="2684" t="s">
        <v>3286</v>
      </c>
      <c r="M30" s="2689" t="s">
        <v>3287</v>
      </c>
      <c r="N30" s="2690" t="s">
        <v>3288</v>
      </c>
      <c r="O30" s="2691"/>
      <c r="P30" s="2688">
        <v>987</v>
      </c>
      <c r="Q30" s="2684" t="s">
        <v>3289</v>
      </c>
      <c r="R30" s="2689" t="s">
        <v>3290</v>
      </c>
      <c r="S30" s="2690" t="s">
        <v>3291</v>
      </c>
      <c r="T30" s="1702"/>
      <c r="U30" s="1702"/>
      <c r="V30" s="1702"/>
      <c r="W30" s="1702"/>
      <c r="X30" s="1702"/>
      <c r="Y30" s="1702"/>
      <c r="Z30" s="1702"/>
      <c r="AA30" s="1702"/>
      <c r="AB30" s="1702"/>
      <c r="AC30" s="1702"/>
      <c r="AD30" s="1702"/>
    </row>
    <row r="31" spans="1:35" ht="25.5">
      <c r="A31" s="2688">
        <v>16</v>
      </c>
      <c r="B31" s="2684" t="s">
        <v>3292</v>
      </c>
      <c r="C31" s="2689" t="s">
        <v>3293</v>
      </c>
      <c r="E31" s="2691"/>
      <c r="F31" s="2688">
        <v>340</v>
      </c>
      <c r="G31" s="2684" t="s">
        <v>3294</v>
      </c>
      <c r="H31" s="2689" t="s">
        <v>3295</v>
      </c>
      <c r="I31" s="2690" t="s">
        <v>3296</v>
      </c>
      <c r="J31" s="2691"/>
      <c r="K31" s="2688">
        <v>664</v>
      </c>
      <c r="L31" s="2684" t="s">
        <v>3297</v>
      </c>
      <c r="M31" s="2689" t="s">
        <v>3298</v>
      </c>
      <c r="N31" s="2690" t="s">
        <v>3299</v>
      </c>
      <c r="O31" s="2691"/>
      <c r="P31" s="2688">
        <v>988</v>
      </c>
      <c r="Q31" s="2684" t="s">
        <v>3300</v>
      </c>
      <c r="R31" s="2689" t="s">
        <v>3301</v>
      </c>
      <c r="S31" s="2690" t="s">
        <v>3302</v>
      </c>
      <c r="T31" s="1702"/>
      <c r="U31" s="1702"/>
      <c r="V31" s="1702"/>
      <c r="W31" s="1702"/>
      <c r="X31" s="1702"/>
      <c r="Y31" s="1702"/>
      <c r="Z31" s="1702"/>
      <c r="AA31" s="1702"/>
      <c r="AB31" s="1702"/>
      <c r="AC31" s="1702"/>
      <c r="AD31" s="1702"/>
    </row>
    <row r="32" spans="1:35">
      <c r="A32" s="2688">
        <v>17</v>
      </c>
      <c r="B32" s="2684" t="s">
        <v>3303</v>
      </c>
      <c r="C32" s="2689" t="s">
        <v>3304</v>
      </c>
      <c r="E32" s="2691"/>
      <c r="F32" s="2688">
        <v>341</v>
      </c>
      <c r="G32" s="2684" t="s">
        <v>3305</v>
      </c>
      <c r="H32" s="2689" t="s">
        <v>3306</v>
      </c>
      <c r="I32" s="2690" t="s">
        <v>3307</v>
      </c>
      <c r="J32" s="2691"/>
      <c r="K32" s="2688">
        <v>665</v>
      </c>
      <c r="L32" s="2684" t="s">
        <v>3308</v>
      </c>
      <c r="M32" s="2689" t="s">
        <v>3309</v>
      </c>
      <c r="N32" s="2690" t="s">
        <v>3310</v>
      </c>
      <c r="O32" s="2691"/>
      <c r="P32" s="2688">
        <v>989</v>
      </c>
      <c r="Q32" s="2684" t="s">
        <v>3311</v>
      </c>
      <c r="R32" s="2689" t="s">
        <v>3312</v>
      </c>
      <c r="S32" s="2690" t="s">
        <v>3313</v>
      </c>
      <c r="T32" s="1702"/>
      <c r="U32" s="1702"/>
      <c r="V32" s="1702"/>
      <c r="W32" s="1702"/>
      <c r="X32" s="1702"/>
      <c r="Y32" s="1702"/>
      <c r="Z32" s="1702"/>
      <c r="AA32" s="1702"/>
      <c r="AB32" s="1702"/>
      <c r="AC32" s="1702"/>
      <c r="AD32" s="1702"/>
    </row>
    <row r="33" spans="1:30">
      <c r="A33" s="2688">
        <v>18</v>
      </c>
      <c r="B33" s="2684" t="s">
        <v>3314</v>
      </c>
      <c r="C33" s="2689" t="s">
        <v>3315</v>
      </c>
      <c r="E33" s="2691"/>
      <c r="F33" s="2688">
        <v>342</v>
      </c>
      <c r="G33" s="2684" t="s">
        <v>3316</v>
      </c>
      <c r="H33" s="2689" t="s">
        <v>3317</v>
      </c>
      <c r="I33" s="2690" t="s">
        <v>3318</v>
      </c>
      <c r="J33" s="2691"/>
      <c r="K33" s="2688">
        <v>666</v>
      </c>
      <c r="L33" s="2684" t="s">
        <v>3319</v>
      </c>
      <c r="M33" s="2689" t="s">
        <v>3320</v>
      </c>
      <c r="N33" s="2690" t="s">
        <v>3321</v>
      </c>
      <c r="O33" s="2691"/>
      <c r="P33" s="2688">
        <v>990</v>
      </c>
      <c r="Q33" s="2684" t="s">
        <v>3322</v>
      </c>
      <c r="R33" s="2689" t="s">
        <v>3323</v>
      </c>
      <c r="S33" s="2690" t="s">
        <v>3324</v>
      </c>
      <c r="T33" s="1702"/>
      <c r="U33" s="1702"/>
      <c r="V33" s="1702"/>
      <c r="W33" s="1702"/>
      <c r="X33" s="1702"/>
      <c r="Y33" s="1702"/>
      <c r="Z33" s="1702"/>
      <c r="AA33" s="1702"/>
      <c r="AB33" s="1702"/>
      <c r="AC33" s="1702"/>
      <c r="AD33" s="1702"/>
    </row>
    <row r="34" spans="1:30">
      <c r="A34" s="2688">
        <v>19</v>
      </c>
      <c r="B34" s="2684" t="s">
        <v>3325</v>
      </c>
      <c r="C34" s="2689" t="s">
        <v>3326</v>
      </c>
      <c r="E34" s="2691"/>
      <c r="F34" s="2688">
        <v>343</v>
      </c>
      <c r="G34" s="2684" t="s">
        <v>3327</v>
      </c>
      <c r="H34" s="2689" t="s">
        <v>3328</v>
      </c>
      <c r="I34" s="2690" t="s">
        <v>3329</v>
      </c>
      <c r="J34" s="2691"/>
      <c r="K34" s="2688">
        <v>667</v>
      </c>
      <c r="L34" s="2684" t="s">
        <v>3330</v>
      </c>
      <c r="M34" s="2689" t="s">
        <v>3331</v>
      </c>
      <c r="N34" s="2690" t="s">
        <v>3332</v>
      </c>
      <c r="O34" s="2691"/>
      <c r="P34" s="2688">
        <v>991</v>
      </c>
      <c r="Q34" s="2684" t="s">
        <v>3333</v>
      </c>
      <c r="R34" s="2689" t="s">
        <v>3334</v>
      </c>
      <c r="S34" s="2690" t="s">
        <v>3335</v>
      </c>
      <c r="T34" s="1702"/>
      <c r="U34" s="1702"/>
      <c r="V34" s="1702"/>
      <c r="W34" s="1702"/>
      <c r="X34" s="1702"/>
      <c r="Y34" s="1702"/>
      <c r="Z34" s="1702"/>
      <c r="AA34" s="1702"/>
      <c r="AB34" s="1702"/>
      <c r="AC34" s="1702"/>
      <c r="AD34" s="1702"/>
    </row>
    <row r="35" spans="1:30" ht="38.25">
      <c r="A35" s="2688">
        <v>20</v>
      </c>
      <c r="B35" s="2684" t="s">
        <v>3336</v>
      </c>
      <c r="C35" s="2689" t="s">
        <v>3337</v>
      </c>
      <c r="E35" s="2691"/>
      <c r="F35" s="2688">
        <v>344</v>
      </c>
      <c r="G35" s="2684" t="s">
        <v>3338</v>
      </c>
      <c r="H35" s="2689" t="s">
        <v>3339</v>
      </c>
      <c r="I35" s="2690" t="s">
        <v>3340</v>
      </c>
      <c r="J35" s="2691"/>
      <c r="K35" s="2688">
        <v>668</v>
      </c>
      <c r="L35" s="2684" t="s">
        <v>3341</v>
      </c>
      <c r="M35" s="2689" t="s">
        <v>3342</v>
      </c>
      <c r="N35" s="2690" t="s">
        <v>3343</v>
      </c>
      <c r="O35" s="2691"/>
      <c r="P35" s="2688">
        <v>992</v>
      </c>
      <c r="Q35" s="2684" t="s">
        <v>3344</v>
      </c>
      <c r="R35" s="2689" t="s">
        <v>3345</v>
      </c>
      <c r="S35" s="2690" t="s">
        <v>3346</v>
      </c>
      <c r="T35" s="1702"/>
      <c r="U35" s="1702"/>
      <c r="V35" s="1702"/>
      <c r="W35" s="1702"/>
      <c r="X35" s="1702"/>
      <c r="Y35" s="1702"/>
      <c r="Z35" s="1702"/>
      <c r="AA35" s="1702"/>
      <c r="AB35" s="1702"/>
      <c r="AC35" s="1702"/>
      <c r="AD35" s="1702"/>
    </row>
    <row r="36" spans="1:30">
      <c r="A36" s="2688">
        <v>21</v>
      </c>
      <c r="B36" s="2684" t="s">
        <v>3347</v>
      </c>
      <c r="C36" s="2689" t="s">
        <v>3348</v>
      </c>
      <c r="E36" s="2691"/>
      <c r="F36" s="2688">
        <v>345</v>
      </c>
      <c r="G36" s="2684" t="s">
        <v>3349</v>
      </c>
      <c r="H36" s="2689" t="s">
        <v>3350</v>
      </c>
      <c r="I36" s="2690" t="s">
        <v>3351</v>
      </c>
      <c r="J36" s="2691"/>
      <c r="K36" s="2688">
        <v>669</v>
      </c>
      <c r="L36" s="2684" t="s">
        <v>3352</v>
      </c>
      <c r="M36" s="2689" t="s">
        <v>3353</v>
      </c>
      <c r="N36" s="2690" t="s">
        <v>3354</v>
      </c>
      <c r="O36" s="2691"/>
      <c r="P36" s="2688">
        <v>993</v>
      </c>
      <c r="Q36" s="2684" t="s">
        <v>3355</v>
      </c>
      <c r="R36" s="2689" t="s">
        <v>3356</v>
      </c>
      <c r="S36" s="2690" t="s">
        <v>3357</v>
      </c>
      <c r="T36" s="1702"/>
      <c r="U36" s="1702"/>
      <c r="V36" s="1702"/>
      <c r="W36" s="1702"/>
      <c r="X36" s="1702"/>
      <c r="Y36" s="1702"/>
      <c r="Z36" s="1702"/>
      <c r="AA36" s="1702"/>
      <c r="AB36" s="1702"/>
      <c r="AC36" s="1702"/>
      <c r="AD36" s="1702"/>
    </row>
    <row r="37" spans="1:30" ht="25.5">
      <c r="A37" s="2688">
        <v>22</v>
      </c>
      <c r="B37" s="2684" t="s">
        <v>3358</v>
      </c>
      <c r="C37" s="2689" t="s">
        <v>3359</v>
      </c>
      <c r="E37" s="2691"/>
      <c r="F37" s="2688">
        <v>346</v>
      </c>
      <c r="G37" s="2684" t="s">
        <v>3360</v>
      </c>
      <c r="H37" s="2689" t="s">
        <v>3361</v>
      </c>
      <c r="I37" s="2690" t="s">
        <v>3362</v>
      </c>
      <c r="J37" s="2691"/>
      <c r="K37" s="2688">
        <v>670</v>
      </c>
      <c r="L37" s="2684" t="s">
        <v>3363</v>
      </c>
      <c r="M37" s="2689" t="s">
        <v>3364</v>
      </c>
      <c r="N37" s="2690" t="s">
        <v>3365</v>
      </c>
      <c r="O37" s="2691"/>
      <c r="P37" s="2688">
        <v>994</v>
      </c>
      <c r="Q37" s="2684" t="s">
        <v>3366</v>
      </c>
      <c r="R37" s="2689" t="s">
        <v>3367</v>
      </c>
      <c r="S37" s="2690" t="s">
        <v>3368</v>
      </c>
      <c r="T37" s="1702"/>
      <c r="U37" s="1702"/>
      <c r="V37" s="1702"/>
      <c r="W37" s="1702"/>
      <c r="X37" s="1702"/>
      <c r="Y37" s="1702"/>
      <c r="Z37" s="1702"/>
      <c r="AA37" s="1702"/>
      <c r="AB37" s="1702"/>
      <c r="AC37" s="1702"/>
      <c r="AD37" s="1702"/>
    </row>
    <row r="38" spans="1:30" ht="25.5">
      <c r="A38" s="2688">
        <v>23</v>
      </c>
      <c r="B38" s="2684" t="s">
        <v>3369</v>
      </c>
      <c r="C38" s="2689" t="s">
        <v>3370</v>
      </c>
      <c r="E38" s="2691"/>
      <c r="F38" s="2688">
        <v>347</v>
      </c>
      <c r="G38" s="2684" t="s">
        <v>3371</v>
      </c>
      <c r="H38" s="2689" t="s">
        <v>3372</v>
      </c>
      <c r="I38" s="2690" t="s">
        <v>3373</v>
      </c>
      <c r="J38" s="2691"/>
      <c r="K38" s="2688">
        <v>671</v>
      </c>
      <c r="L38" s="2684" t="s">
        <v>3374</v>
      </c>
      <c r="M38" s="2689" t="s">
        <v>3375</v>
      </c>
      <c r="N38" s="2690" t="s">
        <v>3376</v>
      </c>
      <c r="O38" s="2691"/>
      <c r="P38" s="2688">
        <v>995</v>
      </c>
      <c r="Q38" s="2684" t="s">
        <v>3377</v>
      </c>
      <c r="R38" s="2689" t="s">
        <v>3378</v>
      </c>
      <c r="S38" s="2690" t="s">
        <v>3379</v>
      </c>
      <c r="T38" s="1702"/>
      <c r="U38" s="1702"/>
      <c r="V38" s="1702"/>
      <c r="W38" s="1702"/>
      <c r="X38" s="1702"/>
      <c r="Y38" s="1702"/>
      <c r="Z38" s="1702"/>
      <c r="AA38" s="1702"/>
      <c r="AB38" s="1702"/>
      <c r="AC38" s="1702"/>
      <c r="AD38" s="1702"/>
    </row>
    <row r="39" spans="1:30">
      <c r="A39" s="2688">
        <v>24</v>
      </c>
      <c r="B39" s="2684" t="s">
        <v>3380</v>
      </c>
      <c r="C39" s="2689" t="s">
        <v>3381</v>
      </c>
      <c r="D39" s="2690" t="s">
        <v>3382</v>
      </c>
      <c r="E39" s="2691"/>
      <c r="F39" s="2688">
        <v>348</v>
      </c>
      <c r="G39" s="2684" t="s">
        <v>3383</v>
      </c>
      <c r="H39" s="2689" t="s">
        <v>3384</v>
      </c>
      <c r="I39" s="2690" t="s">
        <v>3385</v>
      </c>
      <c r="J39" s="2691"/>
      <c r="K39" s="2688">
        <v>672</v>
      </c>
      <c r="L39" s="2684" t="s">
        <v>3386</v>
      </c>
      <c r="M39" s="2689" t="s">
        <v>3387</v>
      </c>
      <c r="N39" s="2690" t="s">
        <v>3388</v>
      </c>
      <c r="O39" s="2691"/>
      <c r="P39" s="2688">
        <v>996</v>
      </c>
      <c r="Q39" s="2684" t="s">
        <v>3389</v>
      </c>
      <c r="R39" s="2689" t="s">
        <v>3390</v>
      </c>
      <c r="T39" s="1702"/>
      <c r="U39" s="1702"/>
      <c r="V39" s="1702"/>
      <c r="W39" s="1702"/>
      <c r="X39" s="1702"/>
      <c r="Y39" s="1702"/>
      <c r="Z39" s="1702"/>
      <c r="AA39" s="1702"/>
      <c r="AB39" s="1702"/>
      <c r="AC39" s="1702"/>
      <c r="AD39" s="1702"/>
    </row>
    <row r="40" spans="1:30" ht="25.5">
      <c r="A40" s="2688">
        <v>25</v>
      </c>
      <c r="B40" s="2684" t="s">
        <v>3391</v>
      </c>
      <c r="C40" s="2689" t="s">
        <v>3392</v>
      </c>
      <c r="D40" s="2690" t="s">
        <v>3393</v>
      </c>
      <c r="E40" s="2691"/>
      <c r="F40" s="2688">
        <v>349</v>
      </c>
      <c r="G40" s="2684" t="s">
        <v>3394</v>
      </c>
      <c r="H40" s="2689" t="s">
        <v>3395</v>
      </c>
      <c r="I40" s="2690" t="s">
        <v>3396</v>
      </c>
      <c r="J40" s="2691"/>
      <c r="K40" s="2688">
        <v>673</v>
      </c>
      <c r="L40" s="2684" t="s">
        <v>3397</v>
      </c>
      <c r="M40" s="2689" t="s">
        <v>3398</v>
      </c>
      <c r="N40" s="2690" t="s">
        <v>3399</v>
      </c>
      <c r="O40" s="2691"/>
      <c r="P40" s="2688">
        <v>997</v>
      </c>
      <c r="Q40" s="2684" t="s">
        <v>3400</v>
      </c>
      <c r="R40" s="2689" t="s">
        <v>3401</v>
      </c>
      <c r="T40" s="1702"/>
      <c r="U40" s="1702"/>
      <c r="V40" s="1702"/>
      <c r="W40" s="1702"/>
      <c r="X40" s="1702"/>
      <c r="Y40" s="1702"/>
      <c r="Z40" s="1702"/>
      <c r="AA40" s="1702"/>
      <c r="AB40" s="1702"/>
      <c r="AC40" s="1702"/>
      <c r="AD40" s="1702"/>
    </row>
    <row r="41" spans="1:30">
      <c r="A41" s="2688">
        <v>26</v>
      </c>
      <c r="B41" s="2684" t="s">
        <v>3402</v>
      </c>
      <c r="C41" s="2689" t="s">
        <v>3403</v>
      </c>
      <c r="D41" s="2690" t="s">
        <v>3393</v>
      </c>
      <c r="E41" s="2691"/>
      <c r="F41" s="2688">
        <v>350</v>
      </c>
      <c r="G41" s="2684" t="s">
        <v>3404</v>
      </c>
      <c r="H41" s="2689" t="s">
        <v>3405</v>
      </c>
      <c r="I41" s="2690" t="s">
        <v>3406</v>
      </c>
      <c r="J41" s="2691"/>
      <c r="K41" s="2688">
        <v>674</v>
      </c>
      <c r="L41" s="2684" t="s">
        <v>3407</v>
      </c>
      <c r="M41" s="2689" t="s">
        <v>3408</v>
      </c>
      <c r="N41" s="2690" t="s">
        <v>3409</v>
      </c>
      <c r="O41" s="2691"/>
      <c r="P41" s="2688">
        <v>998</v>
      </c>
      <c r="Q41" s="2684" t="s">
        <v>3410</v>
      </c>
      <c r="R41" s="2689" t="s">
        <v>3411</v>
      </c>
      <c r="T41" s="1702"/>
      <c r="U41" s="1702"/>
      <c r="V41" s="1702"/>
      <c r="W41" s="1702"/>
      <c r="X41" s="1702"/>
      <c r="Y41" s="1702"/>
      <c r="Z41" s="1702"/>
      <c r="AA41" s="1702"/>
      <c r="AB41" s="1702"/>
      <c r="AC41" s="1702"/>
      <c r="AD41" s="1702"/>
    </row>
    <row r="42" spans="1:30" ht="25.5">
      <c r="A42" s="2688">
        <v>27</v>
      </c>
      <c r="B42" s="2684" t="s">
        <v>3412</v>
      </c>
      <c r="C42" s="2689" t="s">
        <v>3413</v>
      </c>
      <c r="D42" s="2690" t="s">
        <v>3414</v>
      </c>
      <c r="E42" s="2691"/>
      <c r="F42" s="2688">
        <v>351</v>
      </c>
      <c r="G42" s="2684" t="s">
        <v>3415</v>
      </c>
      <c r="H42" s="2689" t="s">
        <v>3416</v>
      </c>
      <c r="I42" s="2690" t="s">
        <v>3417</v>
      </c>
      <c r="J42" s="2691"/>
      <c r="K42" s="2688">
        <v>675</v>
      </c>
      <c r="L42" s="2684" t="s">
        <v>3418</v>
      </c>
      <c r="M42" s="2689" t="s">
        <v>3419</v>
      </c>
      <c r="N42" s="2690" t="s">
        <v>3420</v>
      </c>
      <c r="O42" s="2691"/>
      <c r="P42" s="2688">
        <v>999</v>
      </c>
      <c r="Q42" s="2684" t="s">
        <v>3421</v>
      </c>
      <c r="R42" s="2689" t="s">
        <v>3422</v>
      </c>
      <c r="S42" s="2690" t="s">
        <v>3423</v>
      </c>
      <c r="T42" s="1702"/>
      <c r="U42" s="1702"/>
      <c r="V42" s="1702"/>
      <c r="W42" s="1702"/>
      <c r="X42" s="1702"/>
      <c r="Y42" s="1702"/>
      <c r="Z42" s="1702"/>
      <c r="AA42" s="1702"/>
      <c r="AB42" s="1702"/>
      <c r="AC42" s="1702"/>
      <c r="AD42" s="1702"/>
    </row>
    <row r="43" spans="1:30" ht="38.25">
      <c r="A43" s="2688">
        <v>28</v>
      </c>
      <c r="B43" s="2684" t="s">
        <v>3424</v>
      </c>
      <c r="C43" s="2689" t="s">
        <v>3425</v>
      </c>
      <c r="D43" s="2690" t="s">
        <v>3426</v>
      </c>
      <c r="E43" s="2691"/>
      <c r="F43" s="2688">
        <v>352</v>
      </c>
      <c r="G43" s="2684" t="s">
        <v>3427</v>
      </c>
      <c r="H43" s="2689" t="s">
        <v>3428</v>
      </c>
      <c r="I43" s="2690" t="s">
        <v>3429</v>
      </c>
      <c r="J43" s="2691"/>
      <c r="K43" s="2688">
        <v>676</v>
      </c>
      <c r="L43" s="2684" t="s">
        <v>3430</v>
      </c>
      <c r="M43" s="2689" t="s">
        <v>3431</v>
      </c>
      <c r="N43" s="2690" t="s">
        <v>3432</v>
      </c>
      <c r="O43" s="2691"/>
      <c r="P43" s="2688">
        <v>1000</v>
      </c>
      <c r="Q43" s="2684" t="s">
        <v>3433</v>
      </c>
      <c r="R43" s="2689" t="s">
        <v>3434</v>
      </c>
      <c r="S43" s="2690" t="s">
        <v>3435</v>
      </c>
      <c r="T43" s="1702"/>
      <c r="U43" s="1702"/>
      <c r="V43" s="1702"/>
      <c r="W43" s="1702"/>
      <c r="X43" s="1702"/>
      <c r="Y43" s="1702"/>
      <c r="Z43" s="1702"/>
      <c r="AA43" s="1702"/>
      <c r="AB43" s="1702"/>
      <c r="AC43" s="1702"/>
      <c r="AD43" s="1702"/>
    </row>
    <row r="44" spans="1:30" ht="38.25">
      <c r="A44" s="2688">
        <v>29</v>
      </c>
      <c r="B44" s="2684" t="s">
        <v>3436</v>
      </c>
      <c r="C44" s="2689" t="s">
        <v>3437</v>
      </c>
      <c r="D44" s="2690" t="s">
        <v>3438</v>
      </c>
      <c r="E44" s="2691"/>
      <c r="F44" s="2688">
        <v>353</v>
      </c>
      <c r="G44" s="2684" t="s">
        <v>3439</v>
      </c>
      <c r="H44" s="2689" t="s">
        <v>3440</v>
      </c>
      <c r="I44" s="2690" t="s">
        <v>3441</v>
      </c>
      <c r="J44" s="2691"/>
      <c r="K44" s="2688">
        <v>677</v>
      </c>
      <c r="L44" s="2684" t="s">
        <v>3442</v>
      </c>
      <c r="M44" s="2689" t="s">
        <v>3443</v>
      </c>
      <c r="N44" s="2690" t="s">
        <v>3444</v>
      </c>
      <c r="O44" s="2691"/>
      <c r="P44" s="2688">
        <v>1001</v>
      </c>
      <c r="Q44" s="2684" t="s">
        <v>3445</v>
      </c>
      <c r="R44" s="2689" t="s">
        <v>3446</v>
      </c>
      <c r="S44" s="2690" t="s">
        <v>3447</v>
      </c>
      <c r="T44" s="1702"/>
      <c r="U44" s="1702"/>
      <c r="V44" s="1702"/>
      <c r="W44" s="1702"/>
      <c r="X44" s="1702"/>
      <c r="Y44" s="1702"/>
      <c r="Z44" s="1702"/>
      <c r="AA44" s="1702"/>
      <c r="AB44" s="1702"/>
      <c r="AC44" s="1702"/>
      <c r="AD44" s="1702"/>
    </row>
    <row r="45" spans="1:30" ht="38.25">
      <c r="A45" s="2688">
        <v>30</v>
      </c>
      <c r="B45" s="2684">
        <v>2328</v>
      </c>
      <c r="C45" s="2689" t="s">
        <v>3448</v>
      </c>
      <c r="D45" s="2690" t="s">
        <v>3449</v>
      </c>
      <c r="E45" s="2691"/>
      <c r="F45" s="2688">
        <v>354</v>
      </c>
      <c r="G45" s="2684" t="s">
        <v>3450</v>
      </c>
      <c r="H45" s="2689" t="s">
        <v>3451</v>
      </c>
      <c r="I45" s="2690" t="s">
        <v>3452</v>
      </c>
      <c r="J45" s="2691"/>
      <c r="K45" s="2688">
        <v>678</v>
      </c>
      <c r="L45" s="2684" t="s">
        <v>3453</v>
      </c>
      <c r="M45" s="2689" t="s">
        <v>3454</v>
      </c>
      <c r="N45" s="2690" t="s">
        <v>3455</v>
      </c>
      <c r="O45" s="2691"/>
      <c r="P45" s="2688">
        <v>1002</v>
      </c>
      <c r="Q45" s="2684" t="s">
        <v>3456</v>
      </c>
      <c r="R45" s="2689" t="s">
        <v>3457</v>
      </c>
      <c r="S45" s="2690" t="s">
        <v>3458</v>
      </c>
      <c r="T45" s="1702"/>
      <c r="U45" s="1702"/>
      <c r="V45" s="1702"/>
      <c r="W45" s="1702"/>
      <c r="X45" s="1702"/>
      <c r="Y45" s="1702"/>
      <c r="Z45" s="1702"/>
      <c r="AA45" s="1702"/>
      <c r="AB45" s="1702"/>
      <c r="AC45" s="1702"/>
      <c r="AD45" s="1702"/>
    </row>
    <row r="46" spans="1:30" ht="38.25">
      <c r="A46" s="2688">
        <v>31</v>
      </c>
      <c r="B46" s="2684">
        <v>2935</v>
      </c>
      <c r="C46" s="2689" t="s">
        <v>3459</v>
      </c>
      <c r="D46" s="2690" t="s">
        <v>3460</v>
      </c>
      <c r="E46" s="2691"/>
      <c r="F46" s="2688">
        <v>355</v>
      </c>
      <c r="G46" s="2684" t="s">
        <v>3461</v>
      </c>
      <c r="H46" s="2689" t="s">
        <v>3462</v>
      </c>
      <c r="I46" s="2690" t="s">
        <v>3463</v>
      </c>
      <c r="J46" s="2691"/>
      <c r="K46" s="2688">
        <v>679</v>
      </c>
      <c r="L46" s="2684" t="s">
        <v>3464</v>
      </c>
      <c r="M46" s="2689" t="s">
        <v>3465</v>
      </c>
      <c r="N46" s="2690" t="s">
        <v>3466</v>
      </c>
      <c r="O46" s="2691"/>
      <c r="P46" s="2688">
        <v>1003</v>
      </c>
      <c r="Q46" s="2684" t="s">
        <v>3467</v>
      </c>
      <c r="R46" s="2689" t="s">
        <v>3468</v>
      </c>
      <c r="S46" s="2690" t="s">
        <v>3469</v>
      </c>
      <c r="T46" s="1702"/>
      <c r="U46" s="1702"/>
      <c r="V46" s="1702"/>
      <c r="W46" s="1702"/>
      <c r="X46" s="1702"/>
      <c r="Y46" s="1702"/>
      <c r="Z46" s="1702"/>
      <c r="AA46" s="1702"/>
      <c r="AB46" s="1702"/>
      <c r="AC46" s="1702"/>
      <c r="AD46" s="1702"/>
    </row>
    <row r="47" spans="1:30" ht="25.5">
      <c r="A47" s="2688">
        <v>32</v>
      </c>
      <c r="B47" s="2684">
        <v>2934</v>
      </c>
      <c r="C47" s="2689" t="s">
        <v>3470</v>
      </c>
      <c r="D47" s="2690" t="s">
        <v>3471</v>
      </c>
      <c r="E47" s="2691"/>
      <c r="F47" s="2688">
        <v>356</v>
      </c>
      <c r="G47" s="2684" t="s">
        <v>3472</v>
      </c>
      <c r="H47" s="2689" t="s">
        <v>3473</v>
      </c>
      <c r="I47" s="2690" t="s">
        <v>3474</v>
      </c>
      <c r="J47" s="2691"/>
      <c r="K47" s="2688">
        <v>680</v>
      </c>
      <c r="L47" s="2684" t="s">
        <v>3475</v>
      </c>
      <c r="M47" s="2689" t="s">
        <v>3476</v>
      </c>
      <c r="N47" s="2690" t="s">
        <v>3477</v>
      </c>
      <c r="O47" s="2691"/>
      <c r="P47" s="2688">
        <v>1004</v>
      </c>
      <c r="Q47" s="2684" t="s">
        <v>3478</v>
      </c>
      <c r="R47" s="2689" t="s">
        <v>3479</v>
      </c>
      <c r="S47" s="2690" t="s">
        <v>3480</v>
      </c>
      <c r="T47" s="1702"/>
      <c r="U47" s="1702"/>
      <c r="V47" s="1702"/>
      <c r="W47" s="1702"/>
      <c r="X47" s="1702"/>
      <c r="Y47" s="1702"/>
      <c r="Z47" s="1702"/>
      <c r="AA47" s="1702"/>
      <c r="AB47" s="1702"/>
      <c r="AC47" s="1702"/>
      <c r="AD47" s="1702"/>
    </row>
    <row r="48" spans="1:30" ht="25.5">
      <c r="A48" s="2688">
        <v>33</v>
      </c>
      <c r="B48" s="2684" t="s">
        <v>3481</v>
      </c>
      <c r="C48" s="2689" t="s">
        <v>3482</v>
      </c>
      <c r="D48" s="2690" t="s">
        <v>3483</v>
      </c>
      <c r="E48" s="2691"/>
      <c r="F48" s="2688">
        <v>357</v>
      </c>
      <c r="G48" s="2684" t="s">
        <v>3484</v>
      </c>
      <c r="H48" s="2689" t="s">
        <v>3485</v>
      </c>
      <c r="I48" s="2690" t="s">
        <v>3486</v>
      </c>
      <c r="J48" s="2691"/>
      <c r="K48" s="2688">
        <v>681</v>
      </c>
      <c r="L48" s="2684" t="s">
        <v>3487</v>
      </c>
      <c r="M48" s="2689" t="s">
        <v>3488</v>
      </c>
      <c r="N48" s="2690" t="s">
        <v>3489</v>
      </c>
      <c r="O48" s="2691"/>
      <c r="P48" s="2688">
        <v>1005</v>
      </c>
      <c r="Q48" s="2684" t="s">
        <v>3490</v>
      </c>
      <c r="R48" s="2689" t="s">
        <v>3491</v>
      </c>
      <c r="S48" s="2690" t="s">
        <v>3492</v>
      </c>
      <c r="T48" s="1702"/>
      <c r="U48" s="1702"/>
      <c r="V48" s="1702"/>
      <c r="W48" s="1702"/>
      <c r="X48" s="1702"/>
      <c r="Y48" s="1702"/>
      <c r="Z48" s="1702"/>
      <c r="AA48" s="1702"/>
      <c r="AB48" s="1702"/>
      <c r="AC48" s="1702"/>
      <c r="AD48" s="1702"/>
    </row>
    <row r="49" spans="1:30">
      <c r="A49" s="2688">
        <v>34</v>
      </c>
      <c r="B49" s="2684" t="s">
        <v>3493</v>
      </c>
      <c r="C49" s="2689" t="s">
        <v>3494</v>
      </c>
      <c r="D49" s="2690" t="s">
        <v>3495</v>
      </c>
      <c r="E49" s="2691"/>
      <c r="F49" s="2688">
        <v>358</v>
      </c>
      <c r="G49" s="2684" t="s">
        <v>3496</v>
      </c>
      <c r="H49" s="2689" t="s">
        <v>3497</v>
      </c>
      <c r="I49" s="2690" t="s">
        <v>3498</v>
      </c>
      <c r="J49" s="2691"/>
      <c r="K49" s="2688">
        <v>682</v>
      </c>
      <c r="L49" s="2684" t="s">
        <v>3499</v>
      </c>
      <c r="M49" s="2689" t="s">
        <v>3500</v>
      </c>
      <c r="N49" s="2690" t="s">
        <v>3501</v>
      </c>
      <c r="O49" s="2691"/>
      <c r="P49" s="2688">
        <v>1006</v>
      </c>
      <c r="Q49" s="2684" t="s">
        <v>3502</v>
      </c>
      <c r="R49" s="2689" t="s">
        <v>3503</v>
      </c>
      <c r="S49" s="2690" t="s">
        <v>3504</v>
      </c>
      <c r="T49" s="1702"/>
      <c r="U49" s="1702"/>
      <c r="V49" s="1702"/>
      <c r="W49" s="1702"/>
      <c r="X49" s="1702"/>
      <c r="Y49" s="1702"/>
      <c r="Z49" s="1702"/>
      <c r="AA49" s="1702"/>
      <c r="AB49" s="1702"/>
      <c r="AC49" s="1702"/>
      <c r="AD49" s="1702"/>
    </row>
    <row r="50" spans="1:30">
      <c r="A50" s="2688">
        <v>35</v>
      </c>
      <c r="B50" s="2684" t="s">
        <v>3505</v>
      </c>
      <c r="C50" s="2689" t="s">
        <v>3506</v>
      </c>
      <c r="D50" s="2690" t="s">
        <v>3507</v>
      </c>
      <c r="E50" s="2691"/>
      <c r="F50" s="2688">
        <v>359</v>
      </c>
      <c r="G50" s="2684" t="s">
        <v>3508</v>
      </c>
      <c r="H50" s="2689" t="s">
        <v>3509</v>
      </c>
      <c r="I50" s="2690" t="s">
        <v>3510</v>
      </c>
      <c r="J50" s="2691"/>
      <c r="K50" s="2688">
        <v>683</v>
      </c>
      <c r="L50" s="2684" t="s">
        <v>3511</v>
      </c>
      <c r="M50" s="2689" t="s">
        <v>3512</v>
      </c>
      <c r="N50" s="2690" t="s">
        <v>3513</v>
      </c>
      <c r="O50" s="2691"/>
      <c r="P50" s="2688">
        <v>1007</v>
      </c>
      <c r="Q50" s="2684" t="s">
        <v>3514</v>
      </c>
      <c r="R50" s="2689" t="s">
        <v>3515</v>
      </c>
      <c r="S50" s="2690" t="s">
        <v>3516</v>
      </c>
      <c r="T50" s="1702"/>
      <c r="U50" s="1702"/>
      <c r="V50" s="1702"/>
      <c r="W50" s="1702"/>
      <c r="X50" s="1702"/>
      <c r="Y50" s="1702"/>
      <c r="Z50" s="1702"/>
      <c r="AA50" s="1702"/>
      <c r="AB50" s="1702"/>
      <c r="AC50" s="1702"/>
      <c r="AD50" s="1702"/>
    </row>
    <row r="51" spans="1:30" ht="25.5">
      <c r="A51" s="2688">
        <v>36</v>
      </c>
      <c r="B51" s="2684" t="s">
        <v>3517</v>
      </c>
      <c r="C51" s="2689" t="s">
        <v>3518</v>
      </c>
      <c r="D51" s="2690" t="s">
        <v>3519</v>
      </c>
      <c r="E51" s="2691"/>
      <c r="F51" s="2688">
        <v>360</v>
      </c>
      <c r="G51" s="2684" t="s">
        <v>3520</v>
      </c>
      <c r="H51" s="2689" t="s">
        <v>3521</v>
      </c>
      <c r="I51" s="2690" t="s">
        <v>3522</v>
      </c>
      <c r="J51" s="2691"/>
      <c r="K51" s="2688">
        <v>684</v>
      </c>
      <c r="L51" s="2684" t="s">
        <v>3523</v>
      </c>
      <c r="M51" s="2689" t="s">
        <v>3524</v>
      </c>
      <c r="N51" s="2690" t="s">
        <v>3525</v>
      </c>
      <c r="O51" s="2691"/>
      <c r="P51" s="2688">
        <v>1008</v>
      </c>
      <c r="Q51" s="2684" t="s">
        <v>3526</v>
      </c>
      <c r="R51" s="2689" t="s">
        <v>3527</v>
      </c>
      <c r="S51" s="2690" t="s">
        <v>3528</v>
      </c>
      <c r="T51" s="1702"/>
      <c r="U51" s="1702"/>
      <c r="V51" s="1702"/>
      <c r="W51" s="1702"/>
      <c r="X51" s="1702"/>
      <c r="Y51" s="1702"/>
      <c r="Z51" s="1702"/>
      <c r="AA51" s="1702"/>
      <c r="AB51" s="1702"/>
      <c r="AC51" s="1702"/>
      <c r="AD51" s="1702"/>
    </row>
    <row r="52" spans="1:30">
      <c r="A52" s="2688">
        <v>37</v>
      </c>
      <c r="B52" s="2684" t="s">
        <v>3529</v>
      </c>
      <c r="C52" s="2689" t="s">
        <v>3530</v>
      </c>
      <c r="D52" s="2690" t="s">
        <v>3531</v>
      </c>
      <c r="E52" s="2691"/>
      <c r="F52" s="2688">
        <v>361</v>
      </c>
      <c r="G52" s="2684" t="s">
        <v>3532</v>
      </c>
      <c r="H52" s="2689" t="s">
        <v>3533</v>
      </c>
      <c r="I52" s="2690" t="s">
        <v>3534</v>
      </c>
      <c r="J52" s="2691"/>
      <c r="K52" s="2688">
        <v>685</v>
      </c>
      <c r="L52" s="2684" t="s">
        <v>3535</v>
      </c>
      <c r="M52" s="2689" t="s">
        <v>3536</v>
      </c>
      <c r="N52" s="2690" t="s">
        <v>3537</v>
      </c>
      <c r="O52" s="2691"/>
      <c r="P52" s="2688">
        <v>1009</v>
      </c>
      <c r="Q52" s="2684" t="s">
        <v>3538</v>
      </c>
      <c r="R52" s="2689" t="s">
        <v>3539</v>
      </c>
      <c r="S52" s="2690" t="s">
        <v>3540</v>
      </c>
      <c r="T52" s="1702"/>
      <c r="U52" s="1702"/>
      <c r="V52" s="1702"/>
      <c r="W52" s="1702"/>
      <c r="X52" s="1702"/>
      <c r="Y52" s="1702"/>
      <c r="Z52" s="1702"/>
      <c r="AA52" s="1702"/>
      <c r="AB52" s="1702"/>
      <c r="AC52" s="1702"/>
      <c r="AD52" s="1702"/>
    </row>
    <row r="53" spans="1:30" ht="25.5">
      <c r="A53" s="2688">
        <v>38</v>
      </c>
      <c r="B53" s="2684" t="s">
        <v>3541</v>
      </c>
      <c r="C53" s="2689" t="s">
        <v>3542</v>
      </c>
      <c r="D53" s="2690" t="s">
        <v>3543</v>
      </c>
      <c r="E53" s="2691"/>
      <c r="F53" s="2688">
        <v>362</v>
      </c>
      <c r="G53" s="2684" t="s">
        <v>3544</v>
      </c>
      <c r="H53" s="2689" t="s">
        <v>3545</v>
      </c>
      <c r="I53" s="2690" t="s">
        <v>3546</v>
      </c>
      <c r="J53" s="2691"/>
      <c r="K53" s="2688">
        <v>686</v>
      </c>
      <c r="L53" s="2684" t="s">
        <v>3547</v>
      </c>
      <c r="M53" s="2689" t="s">
        <v>3548</v>
      </c>
      <c r="N53" s="2690" t="s">
        <v>3549</v>
      </c>
      <c r="O53" s="2691"/>
      <c r="P53" s="2688">
        <v>1010</v>
      </c>
      <c r="Q53" s="2684" t="s">
        <v>3550</v>
      </c>
      <c r="R53" s="2689" t="s">
        <v>3551</v>
      </c>
      <c r="S53" s="2690" t="s">
        <v>3552</v>
      </c>
      <c r="T53" s="1702"/>
      <c r="U53" s="1702"/>
      <c r="V53" s="1702"/>
      <c r="W53" s="1702"/>
      <c r="X53" s="1702"/>
      <c r="Y53" s="1702"/>
      <c r="Z53" s="1702"/>
      <c r="AA53" s="1702"/>
      <c r="AB53" s="1702"/>
      <c r="AC53" s="1702"/>
      <c r="AD53" s="1702"/>
    </row>
    <row r="54" spans="1:30" ht="25.5">
      <c r="A54" s="2688">
        <v>39</v>
      </c>
      <c r="B54" s="2684" t="s">
        <v>3553</v>
      </c>
      <c r="C54" s="2689" t="s">
        <v>3554</v>
      </c>
      <c r="D54" s="2690" t="s">
        <v>3555</v>
      </c>
      <c r="E54" s="2691"/>
      <c r="F54" s="2688">
        <v>363</v>
      </c>
      <c r="G54" s="2684" t="s">
        <v>3556</v>
      </c>
      <c r="H54" s="2689" t="s">
        <v>3557</v>
      </c>
      <c r="I54" s="2690" t="s">
        <v>3558</v>
      </c>
      <c r="J54" s="2691"/>
      <c r="K54" s="2688">
        <v>687</v>
      </c>
      <c r="L54" s="2684" t="s">
        <v>3559</v>
      </c>
      <c r="M54" s="2689" t="s">
        <v>3560</v>
      </c>
      <c r="N54" s="2690" t="s">
        <v>3561</v>
      </c>
      <c r="O54" s="2691"/>
      <c r="P54" s="2688">
        <v>1011</v>
      </c>
      <c r="Q54" s="2684" t="s">
        <v>3562</v>
      </c>
      <c r="R54" s="2689" t="s">
        <v>3563</v>
      </c>
      <c r="S54" s="2690" t="s">
        <v>3564</v>
      </c>
      <c r="T54" s="1702"/>
      <c r="U54" s="1702"/>
      <c r="V54" s="1702"/>
      <c r="W54" s="1702"/>
      <c r="X54" s="1702"/>
      <c r="Y54" s="1702"/>
      <c r="Z54" s="1702"/>
      <c r="AA54" s="1702"/>
      <c r="AB54" s="1702"/>
      <c r="AC54" s="1702"/>
      <c r="AD54" s="1702"/>
    </row>
    <row r="55" spans="1:30" ht="25.5">
      <c r="A55" s="2688">
        <v>40</v>
      </c>
      <c r="B55" s="2684" t="s">
        <v>3565</v>
      </c>
      <c r="C55" s="2689" t="s">
        <v>3566</v>
      </c>
      <c r="D55" s="2690" t="s">
        <v>3567</v>
      </c>
      <c r="E55" s="2691"/>
      <c r="F55" s="2688">
        <v>364</v>
      </c>
      <c r="G55" s="2684" t="s">
        <v>3568</v>
      </c>
      <c r="H55" s="2689" t="s">
        <v>3569</v>
      </c>
      <c r="I55" s="2690" t="s">
        <v>3570</v>
      </c>
      <c r="J55" s="2691"/>
      <c r="K55" s="2688">
        <v>688</v>
      </c>
      <c r="L55" s="2684" t="s">
        <v>3571</v>
      </c>
      <c r="M55" s="2689" t="s">
        <v>3572</v>
      </c>
      <c r="N55" s="2690" t="s">
        <v>3573</v>
      </c>
      <c r="O55" s="2691"/>
      <c r="P55" s="2688">
        <v>1012</v>
      </c>
      <c r="Q55" s="2684" t="s">
        <v>3574</v>
      </c>
      <c r="R55" s="2689" t="s">
        <v>3575</v>
      </c>
      <c r="S55" s="2690" t="s">
        <v>3576</v>
      </c>
      <c r="T55" s="1702"/>
      <c r="U55" s="1702"/>
      <c r="V55" s="1702"/>
      <c r="W55" s="1702"/>
      <c r="X55" s="1702"/>
      <c r="Y55" s="1702"/>
      <c r="Z55" s="1702"/>
      <c r="AA55" s="1702"/>
      <c r="AB55" s="1702"/>
      <c r="AC55" s="1702"/>
      <c r="AD55" s="1702"/>
    </row>
    <row r="56" spans="1:30">
      <c r="A56" s="2688">
        <v>41</v>
      </c>
      <c r="B56" s="2684">
        <v>2197</v>
      </c>
      <c r="C56" s="2689" t="s">
        <v>3577</v>
      </c>
      <c r="D56" s="2690" t="s">
        <v>3578</v>
      </c>
      <c r="E56" s="2691"/>
      <c r="F56" s="2688">
        <v>365</v>
      </c>
      <c r="G56" s="2684" t="s">
        <v>3579</v>
      </c>
      <c r="H56" s="2689" t="s">
        <v>3580</v>
      </c>
      <c r="I56" s="2690" t="s">
        <v>3581</v>
      </c>
      <c r="J56" s="2691"/>
      <c r="K56" s="2688">
        <v>689</v>
      </c>
      <c r="L56" s="2684" t="s">
        <v>3582</v>
      </c>
      <c r="M56" s="2689" t="s">
        <v>3583</v>
      </c>
      <c r="N56" s="2690" t="s">
        <v>3510</v>
      </c>
      <c r="O56" s="2691"/>
      <c r="P56" s="2688">
        <v>1013</v>
      </c>
      <c r="Q56" s="2684" t="s">
        <v>3584</v>
      </c>
      <c r="R56" s="2689" t="s">
        <v>3585</v>
      </c>
      <c r="S56" s="2690" t="s">
        <v>3586</v>
      </c>
      <c r="T56" s="1702"/>
      <c r="U56" s="1702"/>
      <c r="V56" s="1702"/>
      <c r="W56" s="1702"/>
      <c r="X56" s="1702"/>
      <c r="Y56" s="1702"/>
      <c r="Z56" s="1702"/>
      <c r="AA56" s="1702"/>
      <c r="AB56" s="1702"/>
      <c r="AC56" s="1702"/>
      <c r="AD56" s="1702"/>
    </row>
    <row r="57" spans="1:30" ht="38.25">
      <c r="A57" s="2688">
        <v>42</v>
      </c>
      <c r="B57" s="2684" t="s">
        <v>3587</v>
      </c>
      <c r="C57" s="2689" t="s">
        <v>3588</v>
      </c>
      <c r="D57" s="2690" t="s">
        <v>3589</v>
      </c>
      <c r="E57" s="2691"/>
      <c r="F57" s="2688">
        <v>366</v>
      </c>
      <c r="G57" s="2684" t="s">
        <v>3590</v>
      </c>
      <c r="H57" s="2689" t="s">
        <v>3591</v>
      </c>
      <c r="I57" s="2690" t="s">
        <v>3592</v>
      </c>
      <c r="J57" s="2691"/>
      <c r="K57" s="2688">
        <v>690</v>
      </c>
      <c r="L57" s="2684" t="s">
        <v>3593</v>
      </c>
      <c r="M57" s="2689" t="s">
        <v>3594</v>
      </c>
      <c r="N57" s="2690" t="s">
        <v>3595</v>
      </c>
      <c r="O57" s="2691"/>
      <c r="P57" s="2688">
        <v>1014</v>
      </c>
      <c r="Q57" s="2684" t="s">
        <v>3596</v>
      </c>
      <c r="R57" s="2689" t="s">
        <v>3597</v>
      </c>
      <c r="S57" s="2690" t="s">
        <v>3598</v>
      </c>
      <c r="T57" s="1702"/>
      <c r="U57" s="1702"/>
      <c r="V57" s="1702"/>
      <c r="W57" s="1702"/>
      <c r="X57" s="1702"/>
      <c r="Y57" s="1702"/>
      <c r="Z57" s="1702"/>
      <c r="AA57" s="1702"/>
      <c r="AB57" s="1702"/>
      <c r="AC57" s="1702"/>
      <c r="AD57" s="1702"/>
    </row>
    <row r="58" spans="1:30">
      <c r="A58" s="2688">
        <v>43</v>
      </c>
      <c r="B58" s="2684" t="s">
        <v>3599</v>
      </c>
      <c r="C58" s="2689" t="s">
        <v>3600</v>
      </c>
      <c r="D58" s="2690" t="s">
        <v>3601</v>
      </c>
      <c r="E58" s="2691"/>
      <c r="F58" s="2688">
        <v>367</v>
      </c>
      <c r="G58" s="2684" t="s">
        <v>3602</v>
      </c>
      <c r="H58" s="2689" t="s">
        <v>3603</v>
      </c>
      <c r="I58" s="2690" t="s">
        <v>3604</v>
      </c>
      <c r="J58" s="2691"/>
      <c r="K58" s="2688">
        <v>691</v>
      </c>
      <c r="L58" s="2684" t="s">
        <v>3605</v>
      </c>
      <c r="M58" s="2689" t="s">
        <v>3606</v>
      </c>
      <c r="N58" s="2690" t="s">
        <v>3607</v>
      </c>
      <c r="O58" s="2691"/>
      <c r="P58" s="2688">
        <v>1015</v>
      </c>
      <c r="Q58" s="2684" t="s">
        <v>3608</v>
      </c>
      <c r="R58" s="2689" t="s">
        <v>3609</v>
      </c>
      <c r="S58" s="2690" t="s">
        <v>3610</v>
      </c>
      <c r="T58" s="1702"/>
      <c r="U58" s="1702"/>
      <c r="V58" s="1702"/>
      <c r="W58" s="1702"/>
      <c r="X58" s="1702"/>
      <c r="Y58" s="1702"/>
      <c r="Z58" s="1702"/>
      <c r="AA58" s="1702"/>
      <c r="AB58" s="1702"/>
      <c r="AC58" s="1702"/>
      <c r="AD58" s="1702"/>
    </row>
    <row r="59" spans="1:30" ht="25.5">
      <c r="A59" s="2688">
        <v>44</v>
      </c>
      <c r="B59" s="2684">
        <v>2198</v>
      </c>
      <c r="C59" s="2689" t="s">
        <v>3611</v>
      </c>
      <c r="D59" s="2690" t="s">
        <v>3612</v>
      </c>
      <c r="E59" s="2691"/>
      <c r="F59" s="2688">
        <v>368</v>
      </c>
      <c r="G59" s="2684" t="s">
        <v>3613</v>
      </c>
      <c r="H59" s="2689" t="s">
        <v>3614</v>
      </c>
      <c r="I59" s="2690" t="s">
        <v>3615</v>
      </c>
      <c r="J59" s="2691"/>
      <c r="K59" s="2688">
        <v>692</v>
      </c>
      <c r="L59" s="2684" t="s">
        <v>3616</v>
      </c>
      <c r="M59" s="2689" t="s">
        <v>3617</v>
      </c>
      <c r="N59" s="2690" t="s">
        <v>3618</v>
      </c>
      <c r="O59" s="2691"/>
      <c r="P59" s="2688">
        <v>1016</v>
      </c>
      <c r="Q59" s="2684" t="s">
        <v>3619</v>
      </c>
      <c r="R59" s="2689" t="s">
        <v>3620</v>
      </c>
      <c r="S59" s="2690" t="s">
        <v>3621</v>
      </c>
      <c r="T59" s="1702"/>
      <c r="U59" s="1702"/>
      <c r="V59" s="1702"/>
      <c r="W59" s="1702"/>
      <c r="X59" s="1702"/>
      <c r="Y59" s="1702"/>
      <c r="Z59" s="1702"/>
      <c r="AA59" s="1702"/>
      <c r="AB59" s="1702"/>
      <c r="AC59" s="1702"/>
      <c r="AD59" s="1702"/>
    </row>
    <row r="60" spans="1:30">
      <c r="A60" s="2688">
        <v>45</v>
      </c>
      <c r="B60" s="2684">
        <v>2199</v>
      </c>
      <c r="C60" s="2689" t="s">
        <v>3622</v>
      </c>
      <c r="D60" s="2690" t="s">
        <v>3623</v>
      </c>
      <c r="E60" s="2691"/>
      <c r="F60" s="2688">
        <v>369</v>
      </c>
      <c r="G60" s="2684" t="s">
        <v>3624</v>
      </c>
      <c r="H60" s="2689" t="s">
        <v>3625</v>
      </c>
      <c r="I60" s="2690" t="s">
        <v>3626</v>
      </c>
      <c r="J60" s="2691"/>
      <c r="K60" s="2688">
        <v>693</v>
      </c>
      <c r="L60" s="2684" t="s">
        <v>3627</v>
      </c>
      <c r="M60" s="2689" t="s">
        <v>3628</v>
      </c>
      <c r="N60" s="2690" t="s">
        <v>3629</v>
      </c>
      <c r="O60" s="2691"/>
      <c r="P60" s="2688">
        <v>1017</v>
      </c>
      <c r="Q60" s="2684" t="s">
        <v>3630</v>
      </c>
      <c r="R60" s="2689" t="s">
        <v>3631</v>
      </c>
      <c r="S60" s="2690" t="s">
        <v>3632</v>
      </c>
      <c r="T60" s="1702"/>
      <c r="U60" s="1702"/>
      <c r="V60" s="1702"/>
      <c r="W60" s="1702"/>
      <c r="X60" s="1702"/>
      <c r="Y60" s="1702"/>
      <c r="Z60" s="1702"/>
      <c r="AA60" s="1702"/>
      <c r="AB60" s="1702"/>
      <c r="AC60" s="1702"/>
      <c r="AD60" s="1702"/>
    </row>
    <row r="61" spans="1:30" ht="25.5">
      <c r="A61" s="2688">
        <v>46</v>
      </c>
      <c r="B61" s="2684" t="s">
        <v>3633</v>
      </c>
      <c r="C61" s="2689" t="s">
        <v>3634</v>
      </c>
      <c r="D61" s="2690" t="s">
        <v>3635</v>
      </c>
      <c r="E61" s="2691"/>
      <c r="F61" s="2688">
        <v>370</v>
      </c>
      <c r="G61" s="2684" t="s">
        <v>3636</v>
      </c>
      <c r="H61" s="2689" t="s">
        <v>3637</v>
      </c>
      <c r="I61" s="2690" t="s">
        <v>3638</v>
      </c>
      <c r="J61" s="2691"/>
      <c r="K61" s="2688">
        <v>694</v>
      </c>
      <c r="L61" s="2684" t="s">
        <v>3639</v>
      </c>
      <c r="M61" s="2689" t="s">
        <v>3640</v>
      </c>
      <c r="N61" s="2690" t="s">
        <v>3641</v>
      </c>
      <c r="O61" s="2691"/>
      <c r="P61" s="2688">
        <v>1018</v>
      </c>
      <c r="Q61" s="2684" t="s">
        <v>3642</v>
      </c>
      <c r="R61" s="2689" t="s">
        <v>3643</v>
      </c>
      <c r="S61" s="2690" t="s">
        <v>3644</v>
      </c>
      <c r="T61" s="1702"/>
      <c r="U61" s="1702"/>
      <c r="V61" s="1702"/>
      <c r="W61" s="1702"/>
      <c r="X61" s="1702"/>
      <c r="Y61" s="1702"/>
      <c r="Z61" s="1702"/>
      <c r="AA61" s="1702"/>
      <c r="AB61" s="1702"/>
      <c r="AC61" s="1702"/>
      <c r="AD61" s="1702"/>
    </row>
    <row r="62" spans="1:30">
      <c r="A62" s="2688">
        <v>47</v>
      </c>
      <c r="B62" s="2684">
        <v>2196</v>
      </c>
      <c r="C62" s="2689" t="s">
        <v>3645</v>
      </c>
      <c r="D62" s="2690" t="s">
        <v>3646</v>
      </c>
      <c r="E62" s="2691"/>
      <c r="F62" s="2688">
        <v>371</v>
      </c>
      <c r="G62" s="2684" t="s">
        <v>3647</v>
      </c>
      <c r="H62" s="2689" t="s">
        <v>3648</v>
      </c>
      <c r="I62" s="2690" t="s">
        <v>3649</v>
      </c>
      <c r="J62" s="2691"/>
      <c r="K62" s="2688">
        <v>695</v>
      </c>
      <c r="L62" s="2684" t="s">
        <v>3650</v>
      </c>
      <c r="M62" s="2689" t="s">
        <v>3651</v>
      </c>
      <c r="N62" s="2690" t="s">
        <v>3652</v>
      </c>
      <c r="O62" s="2691"/>
      <c r="P62" s="2688">
        <v>1019</v>
      </c>
      <c r="Q62" s="2684" t="s">
        <v>3653</v>
      </c>
      <c r="R62" s="2689" t="s">
        <v>3654</v>
      </c>
      <c r="S62" s="2690" t="s">
        <v>3655</v>
      </c>
      <c r="T62" s="1702"/>
      <c r="U62" s="1702"/>
      <c r="V62" s="1702"/>
      <c r="W62" s="1702"/>
      <c r="X62" s="1702"/>
      <c r="Y62" s="1702"/>
      <c r="Z62" s="1702"/>
      <c r="AA62" s="1702"/>
      <c r="AB62" s="1702"/>
      <c r="AC62" s="1702"/>
      <c r="AD62" s="1702"/>
    </row>
    <row r="63" spans="1:30">
      <c r="A63" s="2688">
        <v>48</v>
      </c>
      <c r="B63" s="2684">
        <v>2194</v>
      </c>
      <c r="C63" s="2689" t="s">
        <v>3656</v>
      </c>
      <c r="D63" s="2690" t="s">
        <v>3657</v>
      </c>
      <c r="E63" s="2691"/>
      <c r="F63" s="2688">
        <v>372</v>
      </c>
      <c r="G63" s="2684" t="s">
        <v>3658</v>
      </c>
      <c r="H63" s="2689" t="s">
        <v>3659</v>
      </c>
      <c r="I63" s="2690" t="s">
        <v>3660</v>
      </c>
      <c r="J63" s="2691"/>
      <c r="K63" s="2688">
        <v>696</v>
      </c>
      <c r="L63" s="2684" t="s">
        <v>3661</v>
      </c>
      <c r="M63" s="2689" t="s">
        <v>3662</v>
      </c>
      <c r="N63" s="2690" t="s">
        <v>3663</v>
      </c>
      <c r="O63" s="2691"/>
      <c r="P63" s="2688">
        <v>1020</v>
      </c>
      <c r="Q63" s="2684" t="s">
        <v>3664</v>
      </c>
      <c r="R63" s="2689" t="s">
        <v>3665</v>
      </c>
      <c r="S63" s="2690" t="s">
        <v>3666</v>
      </c>
      <c r="T63" s="1702"/>
      <c r="U63" s="1702"/>
      <c r="V63" s="1702"/>
      <c r="W63" s="1702"/>
      <c r="X63" s="1702"/>
      <c r="Y63" s="1702"/>
      <c r="Z63" s="1702"/>
      <c r="AA63" s="1702"/>
      <c r="AB63" s="1702"/>
      <c r="AC63" s="1702"/>
      <c r="AD63" s="1702"/>
    </row>
    <row r="64" spans="1:30" ht="25.5">
      <c r="A64" s="2688">
        <v>49</v>
      </c>
      <c r="B64" s="2684">
        <v>2195</v>
      </c>
      <c r="C64" s="2689" t="s">
        <v>3667</v>
      </c>
      <c r="D64" s="2690" t="s">
        <v>3668</v>
      </c>
      <c r="E64" s="2691"/>
      <c r="F64" s="2688">
        <v>373</v>
      </c>
      <c r="G64" s="2684" t="s">
        <v>3669</v>
      </c>
      <c r="H64" s="2689" t="s">
        <v>3670</v>
      </c>
      <c r="I64" s="2690" t="s">
        <v>3671</v>
      </c>
      <c r="J64" s="2691"/>
      <c r="K64" s="2688">
        <v>697</v>
      </c>
      <c r="L64" s="2684" t="s">
        <v>3672</v>
      </c>
      <c r="M64" s="2689" t="s">
        <v>3673</v>
      </c>
      <c r="N64" s="2690" t="s">
        <v>3674</v>
      </c>
      <c r="O64" s="2691"/>
      <c r="P64" s="2688">
        <v>1021</v>
      </c>
      <c r="Q64" s="2684" t="s">
        <v>3675</v>
      </c>
      <c r="R64" s="2689" t="s">
        <v>3676</v>
      </c>
      <c r="S64" s="2690" t="s">
        <v>3677</v>
      </c>
      <c r="T64" s="1702"/>
      <c r="U64" s="1702"/>
      <c r="V64" s="1702"/>
      <c r="W64" s="1702"/>
      <c r="X64" s="1702"/>
      <c r="Y64" s="1702"/>
      <c r="Z64" s="1702"/>
      <c r="AA64" s="1702"/>
      <c r="AB64" s="1702"/>
      <c r="AC64" s="1702"/>
      <c r="AD64" s="1702"/>
    </row>
    <row r="65" spans="1:30" ht="25.5">
      <c r="A65" s="2688">
        <v>50</v>
      </c>
      <c r="B65" s="2684" t="s">
        <v>3678</v>
      </c>
      <c r="C65" s="2689" t="s">
        <v>2992</v>
      </c>
      <c r="D65" s="2690" t="s">
        <v>3679</v>
      </c>
      <c r="E65" s="2691"/>
      <c r="F65" s="2688">
        <v>374</v>
      </c>
      <c r="G65" s="2684" t="s">
        <v>3680</v>
      </c>
      <c r="H65" s="2689" t="s">
        <v>3681</v>
      </c>
      <c r="I65" s="2690" t="s">
        <v>3682</v>
      </c>
      <c r="J65" s="2691"/>
      <c r="K65" s="2688">
        <v>698</v>
      </c>
      <c r="L65" s="2684" t="s">
        <v>3683</v>
      </c>
      <c r="M65" s="2689" t="s">
        <v>3684</v>
      </c>
      <c r="N65" s="2690" t="s">
        <v>3685</v>
      </c>
      <c r="O65" s="2691"/>
      <c r="P65" s="2688">
        <v>1022</v>
      </c>
      <c r="Q65" s="2684" t="s">
        <v>3686</v>
      </c>
      <c r="R65" s="2689" t="s">
        <v>3687</v>
      </c>
      <c r="S65" s="2690" t="s">
        <v>3688</v>
      </c>
      <c r="T65" s="1702"/>
      <c r="U65" s="1702"/>
      <c r="V65" s="1702"/>
      <c r="W65" s="1702"/>
      <c r="X65" s="1702"/>
      <c r="Y65" s="1702"/>
      <c r="Z65" s="1702"/>
      <c r="AA65" s="1702"/>
      <c r="AB65" s="1702"/>
      <c r="AC65" s="1702"/>
      <c r="AD65" s="1702"/>
    </row>
    <row r="66" spans="1:30" ht="25.5">
      <c r="A66" s="2688">
        <v>51</v>
      </c>
      <c r="B66" s="2684" t="s">
        <v>3689</v>
      </c>
      <c r="C66" s="2689" t="s">
        <v>2995</v>
      </c>
      <c r="D66" s="2690" t="s">
        <v>3690</v>
      </c>
      <c r="E66" s="2691"/>
      <c r="F66" s="2688">
        <v>375</v>
      </c>
      <c r="G66" s="2684" t="s">
        <v>3691</v>
      </c>
      <c r="H66" s="2689" t="s">
        <v>3692</v>
      </c>
      <c r="I66" s="2690" t="s">
        <v>3693</v>
      </c>
      <c r="J66" s="2691"/>
      <c r="K66" s="2688">
        <v>699</v>
      </c>
      <c r="L66" s="2684" t="s">
        <v>3694</v>
      </c>
      <c r="M66" s="2689" t="s">
        <v>3695</v>
      </c>
      <c r="N66" s="2690" t="s">
        <v>3696</v>
      </c>
      <c r="O66" s="2691"/>
      <c r="P66" s="2688">
        <v>1023</v>
      </c>
      <c r="Q66" s="2684" t="s">
        <v>3697</v>
      </c>
      <c r="R66" s="2689" t="s">
        <v>3698</v>
      </c>
      <c r="S66" s="2690" t="s">
        <v>3699</v>
      </c>
      <c r="T66" s="1702"/>
      <c r="U66" s="1702"/>
      <c r="V66" s="1702"/>
      <c r="W66" s="1702"/>
      <c r="X66" s="1702"/>
      <c r="Y66" s="1702"/>
      <c r="Z66" s="1702"/>
      <c r="AA66" s="1702"/>
      <c r="AB66" s="1702"/>
      <c r="AC66" s="1702"/>
      <c r="AD66" s="1702"/>
    </row>
    <row r="67" spans="1:30" ht="51">
      <c r="A67" s="2688">
        <v>52</v>
      </c>
      <c r="B67" s="2684">
        <v>2600</v>
      </c>
      <c r="C67" s="2689" t="s">
        <v>3700</v>
      </c>
      <c r="D67" s="2690" t="s">
        <v>3701</v>
      </c>
      <c r="E67" s="2691"/>
      <c r="F67" s="2688">
        <v>376</v>
      </c>
      <c r="G67" s="2684" t="s">
        <v>3702</v>
      </c>
      <c r="H67" s="2689" t="s">
        <v>3703</v>
      </c>
      <c r="I67" s="2690" t="s">
        <v>3704</v>
      </c>
      <c r="J67" s="2691"/>
      <c r="K67" s="2688">
        <v>700</v>
      </c>
      <c r="L67" s="2684" t="s">
        <v>3705</v>
      </c>
      <c r="M67" s="2689" t="s">
        <v>3706</v>
      </c>
      <c r="N67" s="2690" t="s">
        <v>3707</v>
      </c>
      <c r="O67" s="2691"/>
      <c r="P67" s="2688">
        <v>1024</v>
      </c>
      <c r="Q67" s="2684" t="s">
        <v>3708</v>
      </c>
      <c r="R67" s="2689" t="s">
        <v>3709</v>
      </c>
      <c r="S67" s="2690" t="s">
        <v>3710</v>
      </c>
      <c r="T67" s="1702"/>
      <c r="U67" s="1702"/>
      <c r="V67" s="1702"/>
      <c r="W67" s="1702"/>
      <c r="X67" s="1702"/>
      <c r="Y67" s="1702"/>
      <c r="Z67" s="1702"/>
      <c r="AA67" s="1702"/>
      <c r="AB67" s="1702"/>
      <c r="AC67" s="1702"/>
      <c r="AD67" s="1702"/>
    </row>
    <row r="68" spans="1:30" ht="51">
      <c r="A68" s="2688">
        <v>53</v>
      </c>
      <c r="B68" s="2684">
        <v>2601</v>
      </c>
      <c r="C68" s="2689" t="s">
        <v>3711</v>
      </c>
      <c r="D68" s="2690" t="s">
        <v>3712</v>
      </c>
      <c r="E68" s="2691"/>
      <c r="F68" s="2688">
        <v>377</v>
      </c>
      <c r="G68" s="2684" t="s">
        <v>3713</v>
      </c>
      <c r="H68" s="2689" t="s">
        <v>3714</v>
      </c>
      <c r="I68" s="2690" t="s">
        <v>3715</v>
      </c>
      <c r="J68" s="2691"/>
      <c r="K68" s="2688">
        <v>701</v>
      </c>
      <c r="L68" s="2684" t="s">
        <v>3716</v>
      </c>
      <c r="M68" s="2689" t="s">
        <v>3717</v>
      </c>
      <c r="N68" s="2690" t="s">
        <v>3718</v>
      </c>
      <c r="O68" s="2691"/>
      <c r="P68" s="2688">
        <v>1025</v>
      </c>
      <c r="Q68" s="2684" t="s">
        <v>3719</v>
      </c>
      <c r="R68" s="2689" t="s">
        <v>3720</v>
      </c>
      <c r="S68" s="2690" t="s">
        <v>3721</v>
      </c>
      <c r="T68" s="1702"/>
      <c r="U68" s="1702"/>
      <c r="V68" s="1702"/>
      <c r="W68" s="1702"/>
      <c r="X68" s="1702"/>
      <c r="Y68" s="1702"/>
      <c r="Z68" s="1702"/>
      <c r="AA68" s="1702"/>
      <c r="AB68" s="1702"/>
      <c r="AC68" s="1702"/>
      <c r="AD68" s="1702"/>
    </row>
    <row r="69" spans="1:30">
      <c r="A69" s="2688">
        <v>54</v>
      </c>
      <c r="B69" s="2684">
        <v>2602</v>
      </c>
      <c r="C69" s="2689" t="s">
        <v>3722</v>
      </c>
      <c r="D69" s="2690" t="s">
        <v>3723</v>
      </c>
      <c r="E69" s="2691"/>
      <c r="F69" s="2688">
        <v>378</v>
      </c>
      <c r="G69" s="2684" t="s">
        <v>3724</v>
      </c>
      <c r="H69" s="2689" t="s">
        <v>3725</v>
      </c>
      <c r="I69" s="2690" t="s">
        <v>3726</v>
      </c>
      <c r="J69" s="2691"/>
      <c r="K69" s="2688">
        <v>702</v>
      </c>
      <c r="L69" s="2684" t="s">
        <v>3727</v>
      </c>
      <c r="M69" s="2689" t="s">
        <v>3728</v>
      </c>
      <c r="N69" s="2690" t="s">
        <v>3729</v>
      </c>
      <c r="O69" s="2691"/>
      <c r="P69" s="2688">
        <v>1026</v>
      </c>
      <c r="Q69" s="2684" t="s">
        <v>3730</v>
      </c>
      <c r="R69" s="2689" t="s">
        <v>3731</v>
      </c>
      <c r="S69" s="2690" t="s">
        <v>3732</v>
      </c>
      <c r="T69" s="1702"/>
      <c r="U69" s="1702"/>
      <c r="V69" s="1702"/>
      <c r="W69" s="1702"/>
      <c r="X69" s="1702"/>
      <c r="Y69" s="1702"/>
      <c r="Z69" s="1702"/>
      <c r="AA69" s="1702"/>
      <c r="AB69" s="1702"/>
      <c r="AC69" s="1702"/>
      <c r="AD69" s="1702"/>
    </row>
    <row r="70" spans="1:30">
      <c r="A70" s="2688">
        <v>55</v>
      </c>
      <c r="B70" s="2684">
        <v>2603</v>
      </c>
      <c r="C70" s="2689" t="s">
        <v>3733</v>
      </c>
      <c r="D70" s="2690" t="s">
        <v>3734</v>
      </c>
      <c r="E70" s="2691"/>
      <c r="F70" s="2688">
        <v>379</v>
      </c>
      <c r="G70" s="2684" t="s">
        <v>3735</v>
      </c>
      <c r="H70" s="2689" t="s">
        <v>3736</v>
      </c>
      <c r="I70" s="2690" t="s">
        <v>3737</v>
      </c>
      <c r="J70" s="2691"/>
      <c r="K70" s="2688">
        <v>703</v>
      </c>
      <c r="L70" s="2684" t="s">
        <v>3738</v>
      </c>
      <c r="M70" s="2689" t="s">
        <v>3739</v>
      </c>
      <c r="N70" s="2690" t="s">
        <v>3740</v>
      </c>
      <c r="O70" s="2691"/>
      <c r="P70" s="2688">
        <v>1027</v>
      </c>
      <c r="Q70" s="2684" t="s">
        <v>3741</v>
      </c>
      <c r="R70" s="2689" t="s">
        <v>3742</v>
      </c>
      <c r="S70" s="2690" t="s">
        <v>3743</v>
      </c>
      <c r="T70" s="1702"/>
      <c r="U70" s="1702"/>
      <c r="V70" s="1702"/>
      <c r="W70" s="1702"/>
      <c r="X70" s="1702"/>
      <c r="Y70" s="1702"/>
      <c r="Z70" s="1702"/>
      <c r="AA70" s="1702"/>
      <c r="AB70" s="1702"/>
      <c r="AC70" s="1702"/>
      <c r="AD70" s="1702"/>
    </row>
    <row r="71" spans="1:30">
      <c r="A71" s="2688">
        <v>56</v>
      </c>
      <c r="B71" s="2684">
        <v>2604</v>
      </c>
      <c r="C71" s="2689" t="s">
        <v>3744</v>
      </c>
      <c r="D71" s="2690" t="s">
        <v>3745</v>
      </c>
      <c r="E71" s="2691"/>
      <c r="F71" s="2688">
        <v>380</v>
      </c>
      <c r="G71" s="2684" t="s">
        <v>3746</v>
      </c>
      <c r="H71" s="2689" t="s">
        <v>3747</v>
      </c>
      <c r="I71" s="2690" t="s">
        <v>3748</v>
      </c>
      <c r="J71" s="2691"/>
      <c r="K71" s="2688">
        <v>704</v>
      </c>
      <c r="L71" s="2684" t="s">
        <v>3749</v>
      </c>
      <c r="M71" s="2689" t="s">
        <v>3750</v>
      </c>
      <c r="N71" s="2690" t="s">
        <v>3751</v>
      </c>
      <c r="O71" s="2691"/>
      <c r="P71" s="2688">
        <v>1028</v>
      </c>
      <c r="Q71" s="2684" t="s">
        <v>3752</v>
      </c>
      <c r="R71" s="2689" t="s">
        <v>3753</v>
      </c>
      <c r="S71" s="2690" t="s">
        <v>3754</v>
      </c>
      <c r="T71" s="1702"/>
      <c r="U71" s="1702"/>
      <c r="V71" s="1702"/>
      <c r="W71" s="1702"/>
      <c r="X71" s="1702"/>
      <c r="Y71" s="1702"/>
      <c r="Z71" s="1702"/>
      <c r="AA71" s="1702"/>
      <c r="AB71" s="1702"/>
      <c r="AC71" s="1702"/>
      <c r="AD71" s="1702"/>
    </row>
    <row r="72" spans="1:30">
      <c r="A72" s="2688">
        <v>57</v>
      </c>
      <c r="B72" s="2684" t="s">
        <v>3755</v>
      </c>
      <c r="C72" s="2689" t="s">
        <v>3756</v>
      </c>
      <c r="D72" s="2690" t="s">
        <v>3757</v>
      </c>
      <c r="E72" s="2691"/>
      <c r="F72" s="2688">
        <v>381</v>
      </c>
      <c r="G72" s="2684" t="s">
        <v>3758</v>
      </c>
      <c r="H72" s="2689" t="s">
        <v>3759</v>
      </c>
      <c r="I72" s="2690" t="s">
        <v>3760</v>
      </c>
      <c r="J72" s="2691"/>
      <c r="K72" s="2688">
        <v>705</v>
      </c>
      <c r="L72" s="2684" t="s">
        <v>3761</v>
      </c>
      <c r="M72" s="2689" t="s">
        <v>3762</v>
      </c>
      <c r="N72" s="2690" t="s">
        <v>3763</v>
      </c>
      <c r="O72" s="2691"/>
      <c r="P72" s="2688">
        <v>1029</v>
      </c>
      <c r="Q72" s="2684" t="s">
        <v>3764</v>
      </c>
      <c r="R72" s="2689" t="s">
        <v>3765</v>
      </c>
      <c r="S72" s="2690" t="s">
        <v>3766</v>
      </c>
      <c r="T72" s="1702"/>
      <c r="U72" s="1702"/>
      <c r="V72" s="1702"/>
      <c r="W72" s="1702"/>
      <c r="X72" s="1702"/>
      <c r="Y72" s="1702"/>
      <c r="Z72" s="1702"/>
      <c r="AA72" s="1702"/>
      <c r="AB72" s="1702"/>
      <c r="AC72" s="1702"/>
      <c r="AD72" s="1702"/>
    </row>
    <row r="73" spans="1:30" ht="25.5">
      <c r="A73" s="2688">
        <v>58</v>
      </c>
      <c r="B73" s="2684">
        <v>2611</v>
      </c>
      <c r="C73" s="2689" t="s">
        <v>3767</v>
      </c>
      <c r="D73" s="2690" t="s">
        <v>3768</v>
      </c>
      <c r="E73" s="2691"/>
      <c r="F73" s="2688">
        <v>382</v>
      </c>
      <c r="G73" s="2684" t="s">
        <v>3769</v>
      </c>
      <c r="H73" s="2689" t="s">
        <v>3770</v>
      </c>
      <c r="I73" s="2690" t="s">
        <v>3771</v>
      </c>
      <c r="J73" s="2691"/>
      <c r="K73" s="2688">
        <v>706</v>
      </c>
      <c r="L73" s="2684" t="s">
        <v>3772</v>
      </c>
      <c r="M73" s="2689" t="s">
        <v>3773</v>
      </c>
      <c r="N73" s="2690" t="s">
        <v>3774</v>
      </c>
      <c r="O73" s="2691"/>
      <c r="P73" s="2688">
        <v>1030</v>
      </c>
      <c r="Q73" s="2684" t="s">
        <v>3775</v>
      </c>
      <c r="R73" s="2689" t="s">
        <v>3776</v>
      </c>
      <c r="S73" s="2690" t="s">
        <v>3777</v>
      </c>
      <c r="T73" s="1702"/>
      <c r="U73" s="1702"/>
      <c r="V73" s="1702"/>
      <c r="W73" s="1702"/>
      <c r="X73" s="1702"/>
      <c r="Y73" s="1702"/>
      <c r="Z73" s="1702"/>
      <c r="AA73" s="1702"/>
      <c r="AB73" s="1702"/>
      <c r="AC73" s="1702"/>
      <c r="AD73" s="1702"/>
    </row>
    <row r="74" spans="1:30" ht="25.5">
      <c r="A74" s="2688">
        <v>59</v>
      </c>
      <c r="B74" s="2684">
        <v>2620</v>
      </c>
      <c r="C74" s="2689" t="s">
        <v>3778</v>
      </c>
      <c r="D74" s="2690" t="s">
        <v>3779</v>
      </c>
      <c r="E74" s="2691"/>
      <c r="F74" s="2688">
        <v>383</v>
      </c>
      <c r="G74" s="2684" t="s">
        <v>3780</v>
      </c>
      <c r="H74" s="2689" t="s">
        <v>3781</v>
      </c>
      <c r="I74" s="2690" t="s">
        <v>3782</v>
      </c>
      <c r="J74" s="2691"/>
      <c r="K74" s="2688">
        <v>707</v>
      </c>
      <c r="L74" s="2684" t="s">
        <v>3783</v>
      </c>
      <c r="M74" s="2689" t="s">
        <v>3784</v>
      </c>
      <c r="N74" s="2690" t="s">
        <v>3785</v>
      </c>
      <c r="O74" s="2691"/>
      <c r="P74" s="2688">
        <v>1031</v>
      </c>
      <c r="Q74" s="2684" t="s">
        <v>3786</v>
      </c>
      <c r="R74" s="2689" t="s">
        <v>3787</v>
      </c>
      <c r="T74" s="1702"/>
      <c r="U74" s="1702"/>
      <c r="V74" s="1702"/>
      <c r="W74" s="1702"/>
      <c r="X74" s="1702"/>
      <c r="Y74" s="1702"/>
      <c r="Z74" s="1702"/>
      <c r="AA74" s="1702"/>
      <c r="AB74" s="1702"/>
      <c r="AC74" s="1702"/>
      <c r="AD74" s="1702"/>
    </row>
    <row r="75" spans="1:30">
      <c r="A75" s="2688">
        <v>60</v>
      </c>
      <c r="B75" s="2684">
        <v>2622</v>
      </c>
      <c r="C75" s="2689" t="s">
        <v>3788</v>
      </c>
      <c r="D75" s="2690" t="s">
        <v>3789</v>
      </c>
      <c r="E75" s="2691"/>
      <c r="F75" s="2688">
        <v>384</v>
      </c>
      <c r="G75" s="2684" t="s">
        <v>3790</v>
      </c>
      <c r="H75" s="2689" t="s">
        <v>3791</v>
      </c>
      <c r="I75" s="2690" t="s">
        <v>3792</v>
      </c>
      <c r="J75" s="2691"/>
      <c r="K75" s="2688">
        <v>708</v>
      </c>
      <c r="L75" s="2684" t="s">
        <v>3793</v>
      </c>
      <c r="M75" s="2689" t="s">
        <v>3794</v>
      </c>
      <c r="N75" s="2690" t="s">
        <v>3795</v>
      </c>
      <c r="O75" s="2691"/>
      <c r="P75" s="2688">
        <v>1032</v>
      </c>
      <c r="Q75" s="2684" t="s">
        <v>3796</v>
      </c>
      <c r="R75" s="2689" t="s">
        <v>3797</v>
      </c>
      <c r="S75" s="2690" t="s">
        <v>3798</v>
      </c>
      <c r="T75" s="1702"/>
      <c r="U75" s="1702"/>
      <c r="V75" s="1702"/>
      <c r="W75" s="1702"/>
      <c r="X75" s="1702"/>
      <c r="Y75" s="1702"/>
      <c r="Z75" s="1702"/>
      <c r="AA75" s="1702"/>
      <c r="AB75" s="1702"/>
      <c r="AC75" s="1702"/>
      <c r="AD75" s="1702"/>
    </row>
    <row r="76" spans="1:30">
      <c r="A76" s="2688">
        <v>61</v>
      </c>
      <c r="B76" s="2684">
        <v>2623</v>
      </c>
      <c r="C76" s="2689" t="s">
        <v>3799</v>
      </c>
      <c r="D76" s="2690" t="s">
        <v>3800</v>
      </c>
      <c r="E76" s="2691"/>
      <c r="F76" s="2688">
        <v>385</v>
      </c>
      <c r="G76" s="2684" t="s">
        <v>3801</v>
      </c>
      <c r="H76" s="2689" t="s">
        <v>3802</v>
      </c>
      <c r="I76" s="2690" t="s">
        <v>3803</v>
      </c>
      <c r="J76" s="2691"/>
      <c r="K76" s="2688">
        <v>709</v>
      </c>
      <c r="L76" s="2684" t="s">
        <v>3804</v>
      </c>
      <c r="M76" s="2689" t="s">
        <v>3805</v>
      </c>
      <c r="N76" s="2690" t="s">
        <v>3806</v>
      </c>
      <c r="O76" s="2691"/>
      <c r="P76" s="2688">
        <v>1033</v>
      </c>
      <c r="Q76" s="2684" t="s">
        <v>3807</v>
      </c>
      <c r="R76" s="2689" t="s">
        <v>3808</v>
      </c>
      <c r="S76" s="2690" t="s">
        <v>3809</v>
      </c>
      <c r="T76" s="1702"/>
      <c r="U76" s="1702"/>
      <c r="V76" s="1702"/>
      <c r="W76" s="1702"/>
      <c r="X76" s="1702"/>
      <c r="Y76" s="1702"/>
      <c r="Z76" s="1702"/>
      <c r="AA76" s="1702"/>
      <c r="AB76" s="1702"/>
      <c r="AC76" s="1702"/>
      <c r="AD76" s="1702"/>
    </row>
    <row r="77" spans="1:30" ht="25.5">
      <c r="A77" s="2688">
        <v>62</v>
      </c>
      <c r="B77" s="2684">
        <v>2626</v>
      </c>
      <c r="C77" s="2689" t="s">
        <v>3810</v>
      </c>
      <c r="D77" s="2690" t="s">
        <v>3811</v>
      </c>
      <c r="E77" s="2691"/>
      <c r="F77" s="2688">
        <v>386</v>
      </c>
      <c r="G77" s="2684" t="s">
        <v>3812</v>
      </c>
      <c r="H77" s="2689" t="s">
        <v>3813</v>
      </c>
      <c r="I77" s="2690" t="s">
        <v>3814</v>
      </c>
      <c r="J77" s="2691"/>
      <c r="K77" s="2688">
        <v>710</v>
      </c>
      <c r="L77" s="2684" t="s">
        <v>3815</v>
      </c>
      <c r="M77" s="2689" t="s">
        <v>3816</v>
      </c>
      <c r="N77" s="2690" t="s">
        <v>3817</v>
      </c>
      <c r="O77" s="2691"/>
      <c r="P77" s="2688">
        <v>1034</v>
      </c>
      <c r="Q77" s="2684" t="s">
        <v>3818</v>
      </c>
      <c r="R77" s="2689" t="s">
        <v>3819</v>
      </c>
      <c r="S77" s="2690" t="s">
        <v>3820</v>
      </c>
      <c r="T77" s="1702"/>
      <c r="U77" s="1702"/>
      <c r="V77" s="1702"/>
      <c r="W77" s="1702"/>
      <c r="X77" s="1702"/>
      <c r="Y77" s="1702"/>
      <c r="Z77" s="1702"/>
      <c r="AA77" s="1702"/>
      <c r="AB77" s="1702"/>
      <c r="AC77" s="1702"/>
      <c r="AD77" s="1702"/>
    </row>
    <row r="78" spans="1:30" ht="25.5">
      <c r="A78" s="2688">
        <v>63</v>
      </c>
      <c r="B78" s="2684" t="s">
        <v>3821</v>
      </c>
      <c r="C78" s="2689" t="s">
        <v>3822</v>
      </c>
      <c r="D78" s="2690" t="s">
        <v>3823</v>
      </c>
      <c r="E78" s="2691"/>
      <c r="F78" s="2688">
        <v>387</v>
      </c>
      <c r="G78" s="2684" t="s">
        <v>3824</v>
      </c>
      <c r="H78" s="2689" t="s">
        <v>3825</v>
      </c>
      <c r="I78" s="2690" t="s">
        <v>3826</v>
      </c>
      <c r="J78" s="2691"/>
      <c r="K78" s="2688">
        <v>711</v>
      </c>
      <c r="L78" s="2684" t="s">
        <v>3827</v>
      </c>
      <c r="M78" s="2689" t="s">
        <v>3828</v>
      </c>
      <c r="N78" s="2690" t="s">
        <v>3829</v>
      </c>
      <c r="O78" s="2691"/>
      <c r="P78" s="2688">
        <v>1035</v>
      </c>
      <c r="Q78" s="2684" t="s">
        <v>3830</v>
      </c>
      <c r="R78" s="2689" t="s">
        <v>3831</v>
      </c>
      <c r="S78" s="2690" t="s">
        <v>3832</v>
      </c>
      <c r="T78" s="1702"/>
      <c r="U78" s="1702"/>
      <c r="V78" s="1702"/>
      <c r="W78" s="1702"/>
      <c r="X78" s="1702"/>
      <c r="Y78" s="1702"/>
      <c r="Z78" s="1702"/>
      <c r="AA78" s="1702"/>
      <c r="AB78" s="1702"/>
      <c r="AC78" s="1702"/>
      <c r="AD78" s="1702"/>
    </row>
    <row r="79" spans="1:30" ht="25.5">
      <c r="A79" s="2688">
        <v>64</v>
      </c>
      <c r="B79" s="2684" t="s">
        <v>3833</v>
      </c>
      <c r="C79" s="2689" t="s">
        <v>3834</v>
      </c>
      <c r="D79" s="2690" t="s">
        <v>3835</v>
      </c>
      <c r="E79" s="2691"/>
      <c r="F79" s="2688">
        <v>388</v>
      </c>
      <c r="G79" s="2684" t="s">
        <v>3836</v>
      </c>
      <c r="H79" s="2689" t="s">
        <v>3837</v>
      </c>
      <c r="I79" s="2690" t="s">
        <v>3838</v>
      </c>
      <c r="J79" s="2691"/>
      <c r="K79" s="2688">
        <v>712</v>
      </c>
      <c r="L79" s="2684" t="s">
        <v>3839</v>
      </c>
      <c r="M79" s="2689" t="s">
        <v>3840</v>
      </c>
      <c r="N79" s="2690" t="s">
        <v>3841</v>
      </c>
      <c r="O79" s="2691"/>
      <c r="P79" s="2688">
        <v>1036</v>
      </c>
      <c r="Q79" s="2684" t="s">
        <v>3842</v>
      </c>
      <c r="R79" s="2689" t="s">
        <v>3843</v>
      </c>
      <c r="S79" s="2690" t="s">
        <v>3844</v>
      </c>
      <c r="T79" s="1702"/>
      <c r="U79" s="1702"/>
      <c r="V79" s="1702"/>
      <c r="W79" s="1702"/>
      <c r="X79" s="1702"/>
      <c r="Y79" s="1702"/>
      <c r="Z79" s="1702"/>
      <c r="AA79" s="1702"/>
      <c r="AB79" s="1702"/>
      <c r="AC79" s="1702"/>
      <c r="AD79" s="1702"/>
    </row>
    <row r="80" spans="1:30" ht="25.5">
      <c r="A80" s="2688">
        <v>65</v>
      </c>
      <c r="B80" s="2684" t="s">
        <v>3845</v>
      </c>
      <c r="C80" s="2689" t="s">
        <v>3846</v>
      </c>
      <c r="D80" s="2690" t="s">
        <v>3847</v>
      </c>
      <c r="E80" s="2691"/>
      <c r="F80" s="2688">
        <v>389</v>
      </c>
      <c r="G80" s="2684" t="s">
        <v>3848</v>
      </c>
      <c r="H80" s="2689" t="s">
        <v>3849</v>
      </c>
      <c r="I80" s="2690" t="s">
        <v>3850</v>
      </c>
      <c r="J80" s="2691"/>
      <c r="K80" s="2688">
        <v>713</v>
      </c>
      <c r="L80" s="2684" t="s">
        <v>3851</v>
      </c>
      <c r="M80" s="2689" t="s">
        <v>3852</v>
      </c>
      <c r="N80" s="2690" t="s">
        <v>3853</v>
      </c>
      <c r="O80" s="2691"/>
      <c r="P80" s="2688">
        <v>1037</v>
      </c>
      <c r="Q80" s="2684" t="s">
        <v>3854</v>
      </c>
      <c r="R80" s="2689" t="s">
        <v>3855</v>
      </c>
      <c r="S80" s="2690" t="s">
        <v>3856</v>
      </c>
      <c r="T80" s="1702"/>
      <c r="U80" s="1702"/>
      <c r="V80" s="1702"/>
      <c r="W80" s="1702"/>
      <c r="X80" s="1702"/>
      <c r="Y80" s="1702"/>
      <c r="Z80" s="1702"/>
      <c r="AA80" s="1702"/>
      <c r="AB80" s="1702"/>
      <c r="AC80" s="1702"/>
      <c r="AD80" s="1702"/>
    </row>
    <row r="81" spans="1:30" ht="25.5">
      <c r="A81" s="2688">
        <v>66</v>
      </c>
      <c r="B81" s="2684">
        <v>2638</v>
      </c>
      <c r="C81" s="2689" t="s">
        <v>3857</v>
      </c>
      <c r="D81" s="2690" t="s">
        <v>3858</v>
      </c>
      <c r="E81" s="2691"/>
      <c r="F81" s="2688">
        <v>390</v>
      </c>
      <c r="G81" s="2684" t="s">
        <v>3859</v>
      </c>
      <c r="H81" s="2689" t="s">
        <v>3860</v>
      </c>
      <c r="I81" s="2690" t="s">
        <v>3861</v>
      </c>
      <c r="J81" s="2691"/>
      <c r="K81" s="2688">
        <v>714</v>
      </c>
      <c r="L81" s="2684" t="s">
        <v>3862</v>
      </c>
      <c r="M81" s="2689" t="s">
        <v>3863</v>
      </c>
      <c r="N81" s="2690" t="s">
        <v>3864</v>
      </c>
      <c r="O81" s="2691"/>
      <c r="P81" s="2688">
        <v>1038</v>
      </c>
      <c r="Q81" s="2684" t="s">
        <v>3865</v>
      </c>
      <c r="R81" s="2689" t="s">
        <v>3866</v>
      </c>
      <c r="S81" s="2690" t="s">
        <v>3867</v>
      </c>
      <c r="T81" s="1702"/>
      <c r="U81" s="1702"/>
      <c r="V81" s="1702"/>
      <c r="W81" s="1702"/>
      <c r="X81" s="1702"/>
      <c r="Y81" s="1702"/>
      <c r="Z81" s="1702"/>
      <c r="AA81" s="1702"/>
      <c r="AB81" s="1702"/>
      <c r="AC81" s="1702"/>
      <c r="AD81" s="1702"/>
    </row>
    <row r="82" spans="1:30" ht="25.5">
      <c r="A82" s="2688">
        <v>67</v>
      </c>
      <c r="B82" s="2684">
        <v>2639</v>
      </c>
      <c r="C82" s="2689" t="s">
        <v>3868</v>
      </c>
      <c r="D82" s="2690" t="s">
        <v>3869</v>
      </c>
      <c r="E82" s="2691"/>
      <c r="F82" s="2688">
        <v>391</v>
      </c>
      <c r="G82" s="2684" t="s">
        <v>3870</v>
      </c>
      <c r="H82" s="2689" t="s">
        <v>3871</v>
      </c>
      <c r="I82" s="2690" t="s">
        <v>3872</v>
      </c>
      <c r="J82" s="2691"/>
      <c r="K82" s="2688">
        <v>715</v>
      </c>
      <c r="L82" s="2684" t="s">
        <v>3873</v>
      </c>
      <c r="M82" s="2689" t="s">
        <v>3874</v>
      </c>
      <c r="N82" s="2690" t="s">
        <v>3875</v>
      </c>
      <c r="O82" s="2691"/>
      <c r="P82" s="2688">
        <v>1039</v>
      </c>
      <c r="Q82" s="2684" t="s">
        <v>3876</v>
      </c>
      <c r="R82" s="2689" t="s">
        <v>3112</v>
      </c>
      <c r="S82" s="2690" t="s">
        <v>3877</v>
      </c>
      <c r="T82" s="1702"/>
      <c r="U82" s="1702"/>
      <c r="V82" s="1702"/>
      <c r="W82" s="1702"/>
      <c r="X82" s="1702"/>
      <c r="Y82" s="1702"/>
      <c r="Z82" s="1702"/>
      <c r="AA82" s="1702"/>
      <c r="AB82" s="1702"/>
      <c r="AC82" s="1702"/>
      <c r="AD82" s="1702"/>
    </row>
    <row r="83" spans="1:30">
      <c r="A83" s="2688">
        <v>68</v>
      </c>
      <c r="B83" s="2684" t="s">
        <v>3878</v>
      </c>
      <c r="C83" s="2689" t="s">
        <v>3879</v>
      </c>
      <c r="D83" s="2690" t="s">
        <v>3880</v>
      </c>
      <c r="E83" s="2691"/>
      <c r="F83" s="2688">
        <v>392</v>
      </c>
      <c r="G83" s="2684" t="s">
        <v>3881</v>
      </c>
      <c r="H83" s="2689" t="s">
        <v>3882</v>
      </c>
      <c r="I83" s="2690" t="s">
        <v>3883</v>
      </c>
      <c r="J83" s="2691"/>
      <c r="K83" s="2688">
        <v>716</v>
      </c>
      <c r="L83" s="2684" t="s">
        <v>3884</v>
      </c>
      <c r="M83" s="2689" t="s">
        <v>3885</v>
      </c>
      <c r="N83" s="2690" t="s">
        <v>3886</v>
      </c>
      <c r="O83" s="2691"/>
      <c r="P83" s="2688">
        <v>1040</v>
      </c>
      <c r="Q83" s="2684" t="s">
        <v>3887</v>
      </c>
      <c r="R83" s="2689" t="s">
        <v>3888</v>
      </c>
      <c r="S83" s="2690" t="s">
        <v>3889</v>
      </c>
      <c r="T83" s="1702"/>
      <c r="U83" s="1702"/>
      <c r="V83" s="1702"/>
      <c r="W83" s="1702"/>
      <c r="X83" s="1702"/>
      <c r="Y83" s="1702"/>
      <c r="Z83" s="1702"/>
      <c r="AA83" s="1702"/>
      <c r="AB83" s="1702"/>
      <c r="AC83" s="1702"/>
      <c r="AD83" s="1702"/>
    </row>
    <row r="84" spans="1:30" ht="25.5">
      <c r="A84" s="2688">
        <v>69</v>
      </c>
      <c r="B84" s="2684">
        <v>2640</v>
      </c>
      <c r="C84" s="2689" t="s">
        <v>3077</v>
      </c>
      <c r="D84" s="2690" t="s">
        <v>3890</v>
      </c>
      <c r="E84" s="2691"/>
      <c r="F84" s="2688">
        <v>393</v>
      </c>
      <c r="G84" s="2684" t="s">
        <v>3891</v>
      </c>
      <c r="H84" s="2689" t="s">
        <v>3892</v>
      </c>
      <c r="I84" s="2690" t="s">
        <v>3893</v>
      </c>
      <c r="J84" s="2691"/>
      <c r="K84" s="2688">
        <v>717</v>
      </c>
      <c r="L84" s="2684" t="s">
        <v>3894</v>
      </c>
      <c r="M84" s="2689" t="s">
        <v>3895</v>
      </c>
      <c r="N84" s="2690" t="s">
        <v>3302</v>
      </c>
      <c r="O84" s="2691"/>
      <c r="P84" s="2688">
        <v>1041</v>
      </c>
      <c r="Q84" s="2684" t="s">
        <v>3896</v>
      </c>
      <c r="R84" s="2689" t="s">
        <v>3897</v>
      </c>
      <c r="S84" s="2690" t="s">
        <v>3898</v>
      </c>
      <c r="T84" s="1702"/>
      <c r="U84" s="1702"/>
      <c r="V84" s="1702"/>
      <c r="W84" s="1702"/>
      <c r="X84" s="1702"/>
      <c r="Y84" s="1702"/>
      <c r="Z84" s="1702"/>
      <c r="AA84" s="1702"/>
      <c r="AB84" s="1702"/>
      <c r="AC84" s="1702"/>
      <c r="AD84" s="1702"/>
    </row>
    <row r="85" spans="1:30" ht="25.5">
      <c r="A85" s="2688">
        <v>70</v>
      </c>
      <c r="B85" s="2684">
        <v>2642</v>
      </c>
      <c r="C85" s="2689" t="s">
        <v>3076</v>
      </c>
      <c r="D85" s="2690" t="s">
        <v>3899</v>
      </c>
      <c r="E85" s="2691"/>
      <c r="F85" s="2688">
        <v>394</v>
      </c>
      <c r="G85" s="2684" t="s">
        <v>3900</v>
      </c>
      <c r="H85" s="2689" t="s">
        <v>3901</v>
      </c>
      <c r="I85" s="2690" t="s">
        <v>3902</v>
      </c>
      <c r="J85" s="2691"/>
      <c r="K85" s="2688">
        <v>718</v>
      </c>
      <c r="L85" s="2684" t="s">
        <v>3903</v>
      </c>
      <c r="M85" s="2689" t="s">
        <v>3904</v>
      </c>
      <c r="N85" s="2690" t="s">
        <v>3905</v>
      </c>
      <c r="O85" s="2691"/>
      <c r="P85" s="2688">
        <v>1042</v>
      </c>
      <c r="Q85" s="2684" t="s">
        <v>3906</v>
      </c>
      <c r="R85" s="2689" t="s">
        <v>3907</v>
      </c>
      <c r="S85" s="2690" t="s">
        <v>3908</v>
      </c>
      <c r="T85" s="1702"/>
      <c r="U85" s="1702"/>
      <c r="V85" s="1702"/>
      <c r="W85" s="1702"/>
      <c r="X85" s="1702"/>
      <c r="Y85" s="1702"/>
      <c r="Z85" s="1702"/>
      <c r="AA85" s="1702"/>
      <c r="AB85" s="1702"/>
      <c r="AC85" s="1702"/>
      <c r="AD85" s="1702"/>
    </row>
    <row r="86" spans="1:30" ht="25.5">
      <c r="A86" s="2688">
        <v>71</v>
      </c>
      <c r="B86" s="2684">
        <v>2648</v>
      </c>
      <c r="C86" s="2689" t="s">
        <v>3909</v>
      </c>
      <c r="D86" s="2690" t="s">
        <v>3910</v>
      </c>
      <c r="E86" s="2691"/>
      <c r="F86" s="2688">
        <v>395</v>
      </c>
      <c r="G86" s="2684" t="s">
        <v>3911</v>
      </c>
      <c r="H86" s="2689" t="s">
        <v>3912</v>
      </c>
      <c r="I86" s="2690" t="s">
        <v>3913</v>
      </c>
      <c r="J86" s="2691"/>
      <c r="K86" s="2688">
        <v>719</v>
      </c>
      <c r="L86" s="2684" t="s">
        <v>3914</v>
      </c>
      <c r="M86" s="2689" t="s">
        <v>3915</v>
      </c>
      <c r="N86" s="2690" t="s">
        <v>3916</v>
      </c>
      <c r="O86" s="2691"/>
      <c r="P86" s="2688">
        <v>1043</v>
      </c>
      <c r="Q86" s="2684" t="s">
        <v>3917</v>
      </c>
      <c r="R86" s="2689" t="s">
        <v>3918</v>
      </c>
      <c r="S86" s="2690" t="s">
        <v>3919</v>
      </c>
      <c r="T86" s="1702"/>
      <c r="U86" s="1702"/>
      <c r="V86" s="1702"/>
      <c r="W86" s="1702"/>
      <c r="X86" s="1702"/>
      <c r="Y86" s="1702"/>
      <c r="Z86" s="1702"/>
      <c r="AA86" s="1702"/>
      <c r="AB86" s="1702"/>
      <c r="AC86" s="1702"/>
      <c r="AD86" s="1702"/>
    </row>
    <row r="87" spans="1:30">
      <c r="A87" s="2688">
        <v>72</v>
      </c>
      <c r="B87" s="2684">
        <v>2649</v>
      </c>
      <c r="C87" s="2689" t="s">
        <v>3920</v>
      </c>
      <c r="D87" s="2690" t="s">
        <v>3921</v>
      </c>
      <c r="E87" s="2691"/>
      <c r="F87" s="2688">
        <v>396</v>
      </c>
      <c r="G87" s="2684" t="s">
        <v>3922</v>
      </c>
      <c r="H87" s="2689" t="s">
        <v>3923</v>
      </c>
      <c r="I87" s="2690" t="s">
        <v>3924</v>
      </c>
      <c r="J87" s="2691"/>
      <c r="K87" s="2688">
        <v>720</v>
      </c>
      <c r="L87" s="2684" t="s">
        <v>3925</v>
      </c>
      <c r="M87" s="2689" t="s">
        <v>3926</v>
      </c>
      <c r="N87" s="2690" t="s">
        <v>3927</v>
      </c>
      <c r="O87" s="2691"/>
      <c r="P87" s="2688">
        <v>1044</v>
      </c>
      <c r="Q87" s="2684" t="s">
        <v>3928</v>
      </c>
      <c r="R87" s="2689" t="s">
        <v>3929</v>
      </c>
      <c r="S87" s="2690" t="s">
        <v>3930</v>
      </c>
      <c r="T87" s="1702"/>
      <c r="U87" s="1702"/>
      <c r="V87" s="1702"/>
      <c r="W87" s="1702"/>
      <c r="X87" s="1702"/>
      <c r="Y87" s="1702"/>
      <c r="Z87" s="1702"/>
      <c r="AA87" s="1702"/>
      <c r="AB87" s="1702"/>
      <c r="AC87" s="1702"/>
      <c r="AD87" s="1702"/>
    </row>
    <row r="88" spans="1:30" ht="25.5">
      <c r="A88" s="2688">
        <v>73</v>
      </c>
      <c r="B88" s="2684" t="s">
        <v>3931</v>
      </c>
      <c r="C88" s="2689" t="s">
        <v>3932</v>
      </c>
      <c r="D88" s="2690" t="s">
        <v>3933</v>
      </c>
      <c r="E88" s="2691"/>
      <c r="F88" s="2688">
        <v>397</v>
      </c>
      <c r="G88" s="2684" t="s">
        <v>3934</v>
      </c>
      <c r="H88" s="2689" t="s">
        <v>3935</v>
      </c>
      <c r="I88" s="2690" t="s">
        <v>3936</v>
      </c>
      <c r="J88" s="2691"/>
      <c r="K88" s="2688">
        <v>721</v>
      </c>
      <c r="L88" s="2684" t="s">
        <v>3937</v>
      </c>
      <c r="M88" s="2689" t="s">
        <v>3938</v>
      </c>
      <c r="N88" s="2690" t="s">
        <v>3939</v>
      </c>
      <c r="O88" s="2691"/>
      <c r="P88" s="2688">
        <v>1045</v>
      </c>
      <c r="Q88" s="2684" t="s">
        <v>3940</v>
      </c>
      <c r="R88" s="2689" t="s">
        <v>3941</v>
      </c>
      <c r="S88" s="2690" t="s">
        <v>3942</v>
      </c>
      <c r="T88" s="1702"/>
      <c r="U88" s="1702"/>
      <c r="V88" s="1702"/>
      <c r="W88" s="1702"/>
      <c r="X88" s="1702"/>
      <c r="Y88" s="1702"/>
      <c r="Z88" s="1702"/>
      <c r="AA88" s="1702"/>
      <c r="AB88" s="1702"/>
      <c r="AC88" s="1702"/>
      <c r="AD88" s="1702"/>
    </row>
    <row r="89" spans="1:30">
      <c r="A89" s="2688">
        <v>74</v>
      </c>
      <c r="B89" s="2684" t="s">
        <v>3943</v>
      </c>
      <c r="C89" s="2689" t="s">
        <v>3944</v>
      </c>
      <c r="D89" s="2690" t="s">
        <v>3945</v>
      </c>
      <c r="E89" s="2691"/>
      <c r="F89" s="2688">
        <v>398</v>
      </c>
      <c r="G89" s="2684" t="s">
        <v>3946</v>
      </c>
      <c r="H89" s="2689" t="s">
        <v>3947</v>
      </c>
      <c r="I89" s="2690" t="s">
        <v>3948</v>
      </c>
      <c r="J89" s="2691"/>
      <c r="K89" s="2688">
        <v>722</v>
      </c>
      <c r="L89" s="2684" t="s">
        <v>3949</v>
      </c>
      <c r="M89" s="2689" t="s">
        <v>3950</v>
      </c>
      <c r="N89" s="2690" t="s">
        <v>3951</v>
      </c>
      <c r="O89" s="2691"/>
      <c r="P89" s="2688">
        <v>1046</v>
      </c>
      <c r="Q89" s="2684" t="s">
        <v>3952</v>
      </c>
      <c r="R89" s="2689" t="s">
        <v>3953</v>
      </c>
      <c r="S89" s="2690" t="s">
        <v>3954</v>
      </c>
      <c r="T89" s="1702"/>
      <c r="U89" s="1702"/>
      <c r="V89" s="1702"/>
      <c r="W89" s="1702"/>
      <c r="X89" s="1702"/>
      <c r="Y89" s="1702"/>
      <c r="Z89" s="1702"/>
      <c r="AA89" s="1702"/>
      <c r="AB89" s="1702"/>
      <c r="AC89" s="1702"/>
      <c r="AD89" s="1702"/>
    </row>
    <row r="90" spans="1:30" ht="25.5">
      <c r="A90" s="2688">
        <v>75</v>
      </c>
      <c r="B90" s="2684" t="s">
        <v>3955</v>
      </c>
      <c r="C90" s="2689" t="s">
        <v>3956</v>
      </c>
      <c r="D90" s="2690" t="s">
        <v>3957</v>
      </c>
      <c r="E90" s="2691"/>
      <c r="F90" s="2688">
        <v>399</v>
      </c>
      <c r="G90" s="2684" t="s">
        <v>3958</v>
      </c>
      <c r="H90" s="2689" t="s">
        <v>3959</v>
      </c>
      <c r="I90" s="2690" t="s">
        <v>3960</v>
      </c>
      <c r="J90" s="2691"/>
      <c r="K90" s="2688">
        <v>723</v>
      </c>
      <c r="L90" s="2684" t="s">
        <v>3961</v>
      </c>
      <c r="M90" s="2689" t="s">
        <v>3962</v>
      </c>
      <c r="N90" s="2690" t="s">
        <v>3963</v>
      </c>
      <c r="O90" s="2691"/>
      <c r="P90" s="2688">
        <v>1047</v>
      </c>
      <c r="Q90" s="2684" t="s">
        <v>3964</v>
      </c>
      <c r="R90" s="2689" t="s">
        <v>3965</v>
      </c>
      <c r="S90" s="2690" t="s">
        <v>3966</v>
      </c>
      <c r="T90" s="1702"/>
      <c r="U90" s="1702"/>
      <c r="V90" s="1702"/>
      <c r="W90" s="1702"/>
      <c r="X90" s="1702"/>
      <c r="Y90" s="1702"/>
      <c r="Z90" s="1702"/>
      <c r="AA90" s="1702"/>
      <c r="AB90" s="1702"/>
      <c r="AC90" s="1702"/>
      <c r="AD90" s="1702"/>
    </row>
    <row r="91" spans="1:30">
      <c r="A91" s="2688">
        <v>76</v>
      </c>
      <c r="B91" s="2684" t="s">
        <v>3967</v>
      </c>
      <c r="C91" s="2689" t="s">
        <v>3968</v>
      </c>
      <c r="D91" s="2690" t="s">
        <v>3969</v>
      </c>
      <c r="E91" s="2691"/>
      <c r="F91" s="2688">
        <v>400</v>
      </c>
      <c r="G91" s="2684" t="s">
        <v>3970</v>
      </c>
      <c r="H91" s="2689" t="s">
        <v>3971</v>
      </c>
      <c r="I91" s="2690" t="s">
        <v>3972</v>
      </c>
      <c r="J91" s="2691"/>
      <c r="K91" s="2688">
        <v>724</v>
      </c>
      <c r="L91" s="2684" t="s">
        <v>3973</v>
      </c>
      <c r="M91" s="2689" t="s">
        <v>3974</v>
      </c>
      <c r="N91" s="2690" t="s">
        <v>3975</v>
      </c>
      <c r="O91" s="2691"/>
      <c r="P91" s="2688">
        <v>1048</v>
      </c>
      <c r="Q91" s="2684" t="s">
        <v>3976</v>
      </c>
      <c r="R91" s="2689" t="s">
        <v>3977</v>
      </c>
      <c r="S91" s="2690" t="s">
        <v>3978</v>
      </c>
      <c r="T91" s="1702"/>
      <c r="U91" s="1702"/>
      <c r="V91" s="1702"/>
      <c r="W91" s="1702"/>
      <c r="X91" s="1702"/>
      <c r="Y91" s="1702"/>
      <c r="Z91" s="1702"/>
      <c r="AA91" s="1702"/>
      <c r="AB91" s="1702"/>
      <c r="AC91" s="1702"/>
      <c r="AD91" s="1702"/>
    </row>
    <row r="92" spans="1:30">
      <c r="A92" s="2688">
        <v>77</v>
      </c>
      <c r="B92" s="2684" t="s">
        <v>3979</v>
      </c>
      <c r="C92" s="2689" t="s">
        <v>3980</v>
      </c>
      <c r="D92" s="2690" t="s">
        <v>2282</v>
      </c>
      <c r="E92" s="2691"/>
      <c r="F92" s="2688">
        <v>401</v>
      </c>
      <c r="G92" s="2684" t="s">
        <v>3981</v>
      </c>
      <c r="H92" s="2689" t="s">
        <v>3982</v>
      </c>
      <c r="I92" s="2690" t="s">
        <v>3983</v>
      </c>
      <c r="J92" s="2691"/>
      <c r="K92" s="2688">
        <v>725</v>
      </c>
      <c r="L92" s="2684" t="s">
        <v>3984</v>
      </c>
      <c r="M92" s="2689" t="s">
        <v>3985</v>
      </c>
      <c r="N92" s="2690" t="s">
        <v>3986</v>
      </c>
      <c r="O92" s="2691"/>
      <c r="P92" s="2688">
        <v>1049</v>
      </c>
      <c r="Q92" s="2684" t="s">
        <v>3987</v>
      </c>
      <c r="R92" s="2689" t="s">
        <v>3988</v>
      </c>
      <c r="S92" s="2690" t="s">
        <v>3989</v>
      </c>
      <c r="T92" s="1702"/>
      <c r="U92" s="1702"/>
      <c r="V92" s="1702"/>
      <c r="W92" s="1702"/>
      <c r="X92" s="1702"/>
      <c r="Y92" s="1702"/>
      <c r="Z92" s="1702"/>
      <c r="AA92" s="1702"/>
      <c r="AB92" s="1702"/>
      <c r="AC92" s="1702"/>
      <c r="AD92" s="1702"/>
    </row>
    <row r="93" spans="1:30">
      <c r="A93" s="2688">
        <v>78</v>
      </c>
      <c r="B93" s="2684" t="s">
        <v>3990</v>
      </c>
      <c r="C93" s="2689" t="s">
        <v>3991</v>
      </c>
      <c r="D93" s="2690" t="s">
        <v>3992</v>
      </c>
      <c r="E93" s="2691"/>
      <c r="F93" s="2688">
        <v>402</v>
      </c>
      <c r="G93" s="2684" t="s">
        <v>3993</v>
      </c>
      <c r="H93" s="2689" t="s">
        <v>3994</v>
      </c>
      <c r="I93" s="2690" t="s">
        <v>3995</v>
      </c>
      <c r="J93" s="2691"/>
      <c r="K93" s="2688">
        <v>726</v>
      </c>
      <c r="L93" s="2684" t="s">
        <v>3996</v>
      </c>
      <c r="M93" s="2689" t="s">
        <v>3997</v>
      </c>
      <c r="N93" s="2690" t="s">
        <v>3998</v>
      </c>
      <c r="O93" s="2691"/>
      <c r="P93" s="2688">
        <v>1050</v>
      </c>
      <c r="Q93" s="2684" t="s">
        <v>3999</v>
      </c>
      <c r="R93" s="2689" t="s">
        <v>4000</v>
      </c>
      <c r="S93" s="2690" t="s">
        <v>4001</v>
      </c>
      <c r="T93" s="1702"/>
      <c r="U93" s="1702"/>
      <c r="V93" s="1702"/>
      <c r="W93" s="1702"/>
      <c r="X93" s="1702"/>
      <c r="Y93" s="1702"/>
      <c r="Z93" s="1702"/>
      <c r="AA93" s="1702"/>
      <c r="AB93" s="1702"/>
      <c r="AC93" s="1702"/>
      <c r="AD93" s="1702"/>
    </row>
    <row r="94" spans="1:30" ht="25.5">
      <c r="A94" s="2688">
        <v>79</v>
      </c>
      <c r="B94" s="2684">
        <v>2650</v>
      </c>
      <c r="C94" s="2689" t="s">
        <v>4002</v>
      </c>
      <c r="D94" s="2690" t="s">
        <v>4003</v>
      </c>
      <c r="E94" s="2691"/>
      <c r="F94" s="2688">
        <v>403</v>
      </c>
      <c r="G94" s="2684" t="s">
        <v>4004</v>
      </c>
      <c r="H94" s="2689" t="s">
        <v>4005</v>
      </c>
      <c r="I94" s="2690" t="s">
        <v>4006</v>
      </c>
      <c r="J94" s="2691"/>
      <c r="K94" s="2688">
        <v>727</v>
      </c>
      <c r="L94" s="2684" t="s">
        <v>4007</v>
      </c>
      <c r="M94" s="2689" t="s">
        <v>4008</v>
      </c>
      <c r="N94" s="2690" t="s">
        <v>4009</v>
      </c>
      <c r="O94" s="2691"/>
      <c r="P94" s="2688">
        <v>1051</v>
      </c>
      <c r="Q94" s="2684" t="s">
        <v>4010</v>
      </c>
      <c r="R94" s="2689" t="s">
        <v>4011</v>
      </c>
      <c r="S94" s="2690" t="s">
        <v>4012</v>
      </c>
      <c r="T94" s="1702"/>
      <c r="U94" s="1702"/>
      <c r="V94" s="1702"/>
      <c r="W94" s="1702"/>
      <c r="X94" s="1702"/>
      <c r="Y94" s="1702"/>
      <c r="Z94" s="1702"/>
      <c r="AA94" s="1702"/>
      <c r="AB94" s="1702"/>
      <c r="AC94" s="1702"/>
      <c r="AD94" s="1702"/>
    </row>
    <row r="95" spans="1:30" ht="25.5">
      <c r="A95" s="2688">
        <v>80</v>
      </c>
      <c r="B95" s="2684">
        <v>2651</v>
      </c>
      <c r="C95" s="2689" t="s">
        <v>4013</v>
      </c>
      <c r="D95" s="2690" t="s">
        <v>4014</v>
      </c>
      <c r="E95" s="2691"/>
      <c r="F95" s="2688">
        <v>404</v>
      </c>
      <c r="G95" s="2684" t="s">
        <v>4015</v>
      </c>
      <c r="H95" s="2689" t="s">
        <v>4016</v>
      </c>
      <c r="I95" s="2690" t="s">
        <v>4017</v>
      </c>
      <c r="J95" s="2691"/>
      <c r="K95" s="2688">
        <v>728</v>
      </c>
      <c r="L95" s="2684" t="s">
        <v>4018</v>
      </c>
      <c r="M95" s="2689" t="s">
        <v>4019</v>
      </c>
      <c r="N95" s="2690" t="s">
        <v>4020</v>
      </c>
      <c r="O95" s="2691"/>
      <c r="P95" s="2688">
        <v>1052</v>
      </c>
      <c r="Q95" s="2684" t="s">
        <v>4021</v>
      </c>
      <c r="R95" s="2689" t="s">
        <v>4022</v>
      </c>
      <c r="S95" s="2690" t="s">
        <v>4023</v>
      </c>
      <c r="T95" s="1702"/>
      <c r="U95" s="1702"/>
      <c r="V95" s="1702"/>
      <c r="W95" s="1702"/>
      <c r="X95" s="1702"/>
      <c r="Y95" s="1702"/>
      <c r="Z95" s="1702"/>
      <c r="AA95" s="1702"/>
      <c r="AB95" s="1702"/>
      <c r="AC95" s="1702"/>
      <c r="AD95" s="1702"/>
    </row>
    <row r="96" spans="1:30" ht="25.5">
      <c r="A96" s="2688">
        <v>81</v>
      </c>
      <c r="B96" s="2684">
        <v>2652</v>
      </c>
      <c r="C96" s="2689" t="s">
        <v>4024</v>
      </c>
      <c r="D96" s="2690" t="s">
        <v>4025</v>
      </c>
      <c r="E96" s="2691"/>
      <c r="F96" s="2688">
        <v>405</v>
      </c>
      <c r="G96" s="2684" t="s">
        <v>4026</v>
      </c>
      <c r="H96" s="2689" t="s">
        <v>4027</v>
      </c>
      <c r="I96" s="2690" t="s">
        <v>4028</v>
      </c>
      <c r="J96" s="2691"/>
      <c r="K96" s="2688">
        <v>729</v>
      </c>
      <c r="L96" s="2684" t="s">
        <v>4029</v>
      </c>
      <c r="M96" s="2689" t="s">
        <v>4030</v>
      </c>
      <c r="N96" s="2690" t="s">
        <v>4031</v>
      </c>
      <c r="O96" s="2691"/>
      <c r="P96" s="2688">
        <v>1053</v>
      </c>
      <c r="Q96" s="2684" t="s">
        <v>4032</v>
      </c>
      <c r="R96" s="2689" t="s">
        <v>4033</v>
      </c>
      <c r="S96" s="2690" t="s">
        <v>4034</v>
      </c>
      <c r="T96" s="1702"/>
      <c r="U96" s="1702"/>
      <c r="V96" s="1702"/>
      <c r="W96" s="1702"/>
      <c r="X96" s="1702"/>
      <c r="Y96" s="1702"/>
      <c r="Z96" s="1702"/>
      <c r="AA96" s="1702"/>
      <c r="AB96" s="1702"/>
      <c r="AC96" s="1702"/>
      <c r="AD96" s="1702"/>
    </row>
    <row r="97" spans="1:30" ht="25.5">
      <c r="A97" s="2688">
        <v>82</v>
      </c>
      <c r="B97" s="2684">
        <v>2653</v>
      </c>
      <c r="C97" s="2689" t="s">
        <v>4035</v>
      </c>
      <c r="D97" s="2690" t="s">
        <v>4036</v>
      </c>
      <c r="E97" s="2691"/>
      <c r="F97" s="2688">
        <v>406</v>
      </c>
      <c r="G97" s="2684" t="s">
        <v>4037</v>
      </c>
      <c r="H97" s="2689" t="s">
        <v>4038</v>
      </c>
      <c r="I97" s="2690" t="s">
        <v>4039</v>
      </c>
      <c r="J97" s="2691"/>
      <c r="K97" s="2688">
        <v>730</v>
      </c>
      <c r="L97" s="2684" t="s">
        <v>4040</v>
      </c>
      <c r="M97" s="2689" t="s">
        <v>4041</v>
      </c>
      <c r="N97" s="2690" t="s">
        <v>4042</v>
      </c>
      <c r="O97" s="2691"/>
      <c r="P97" s="2688">
        <v>1054</v>
      </c>
      <c r="Q97" s="2684" t="s">
        <v>4043</v>
      </c>
      <c r="R97" s="2689" t="s">
        <v>3106</v>
      </c>
      <c r="S97" s="2690" t="s">
        <v>4044</v>
      </c>
      <c r="T97" s="1702"/>
      <c r="U97" s="1702"/>
      <c r="V97" s="1702"/>
      <c r="W97" s="1702"/>
      <c r="X97" s="1702"/>
      <c r="Y97" s="1702"/>
      <c r="Z97" s="1702"/>
      <c r="AA97" s="1702"/>
      <c r="AB97" s="1702"/>
      <c r="AC97" s="1702"/>
      <c r="AD97" s="1702"/>
    </row>
    <row r="98" spans="1:30" ht="25.5">
      <c r="A98" s="2688">
        <v>83</v>
      </c>
      <c r="B98" s="2684" t="s">
        <v>4045</v>
      </c>
      <c r="C98" s="2689" t="s">
        <v>4046</v>
      </c>
      <c r="D98" s="2690" t="s">
        <v>4047</v>
      </c>
      <c r="E98" s="2691"/>
      <c r="F98" s="2688">
        <v>407</v>
      </c>
      <c r="G98" s="2684" t="s">
        <v>4048</v>
      </c>
      <c r="H98" s="2689" t="s">
        <v>4049</v>
      </c>
      <c r="I98" s="2690" t="s">
        <v>4050</v>
      </c>
      <c r="J98" s="2691"/>
      <c r="K98" s="2688">
        <v>731</v>
      </c>
      <c r="L98" s="2684" t="s">
        <v>4051</v>
      </c>
      <c r="M98" s="2689" t="s">
        <v>4052</v>
      </c>
      <c r="N98" s="2690" t="s">
        <v>4053</v>
      </c>
      <c r="O98" s="2691"/>
      <c r="P98" s="2688">
        <v>1055</v>
      </c>
      <c r="Q98" s="2684" t="s">
        <v>4054</v>
      </c>
      <c r="R98" s="2689" t="s">
        <v>4055</v>
      </c>
      <c r="S98" s="2690" t="s">
        <v>4056</v>
      </c>
      <c r="T98" s="1702"/>
      <c r="U98" s="1702"/>
      <c r="V98" s="1702"/>
      <c r="W98" s="1702"/>
      <c r="X98" s="1702"/>
      <c r="Y98" s="1702"/>
      <c r="Z98" s="1702"/>
      <c r="AA98" s="1702"/>
      <c r="AB98" s="1702"/>
      <c r="AC98" s="1702"/>
      <c r="AD98" s="1702"/>
    </row>
    <row r="99" spans="1:30">
      <c r="A99" s="2688">
        <v>84</v>
      </c>
      <c r="B99" s="2684">
        <v>2660</v>
      </c>
      <c r="C99" s="2689" t="s">
        <v>3080</v>
      </c>
      <c r="D99" s="2690" t="s">
        <v>4057</v>
      </c>
      <c r="E99" s="2691"/>
      <c r="F99" s="2688">
        <v>408</v>
      </c>
      <c r="G99" s="2684" t="s">
        <v>4058</v>
      </c>
      <c r="H99" s="2689" t="s">
        <v>4059</v>
      </c>
      <c r="I99" s="2690" t="s">
        <v>4060</v>
      </c>
      <c r="J99" s="2691"/>
      <c r="K99" s="2688">
        <v>732</v>
      </c>
      <c r="L99" s="2684" t="s">
        <v>4061</v>
      </c>
      <c r="M99" s="2689" t="s">
        <v>4062</v>
      </c>
      <c r="N99" s="2690" t="s">
        <v>4063</v>
      </c>
      <c r="O99" s="2691"/>
      <c r="P99" s="2688">
        <v>1056</v>
      </c>
      <c r="Q99" s="2684" t="s">
        <v>4064</v>
      </c>
      <c r="R99" s="2689" t="s">
        <v>4065</v>
      </c>
      <c r="S99" s="2690" t="s">
        <v>4066</v>
      </c>
      <c r="T99" s="1702"/>
      <c r="U99" s="1702"/>
      <c r="V99" s="1702"/>
      <c r="W99" s="1702"/>
      <c r="X99" s="1702"/>
      <c r="Y99" s="1702"/>
      <c r="Z99" s="1702"/>
      <c r="AA99" s="1702"/>
      <c r="AB99" s="1702"/>
      <c r="AC99" s="1702"/>
      <c r="AD99" s="1702"/>
    </row>
    <row r="100" spans="1:30" ht="25.5">
      <c r="A100" s="2688">
        <v>85</v>
      </c>
      <c r="B100" s="2684">
        <v>2663</v>
      </c>
      <c r="C100" s="2689" t="s">
        <v>4067</v>
      </c>
      <c r="D100" s="2690" t="s">
        <v>4068</v>
      </c>
      <c r="E100" s="2691"/>
      <c r="F100" s="2688">
        <v>409</v>
      </c>
      <c r="G100" s="2684" t="s">
        <v>4069</v>
      </c>
      <c r="H100" s="2689" t="s">
        <v>4070</v>
      </c>
      <c r="I100" s="2690" t="s">
        <v>4071</v>
      </c>
      <c r="J100" s="2691"/>
      <c r="K100" s="2688">
        <v>733</v>
      </c>
      <c r="L100" s="2684" t="s">
        <v>4072</v>
      </c>
      <c r="M100" s="2689" t="s">
        <v>4073</v>
      </c>
      <c r="N100" s="2690" t="s">
        <v>4074</v>
      </c>
      <c r="O100" s="2691"/>
      <c r="P100" s="2688">
        <v>1057</v>
      </c>
      <c r="Q100" s="2684" t="s">
        <v>4075</v>
      </c>
      <c r="R100" s="2689" t="s">
        <v>4076</v>
      </c>
      <c r="S100" s="2690" t="s">
        <v>4077</v>
      </c>
      <c r="T100" s="1702"/>
      <c r="U100" s="1702"/>
      <c r="V100" s="1702"/>
      <c r="W100" s="1702"/>
      <c r="X100" s="1702"/>
      <c r="Y100" s="1702"/>
      <c r="Z100" s="1702"/>
      <c r="AA100" s="1702"/>
      <c r="AB100" s="1702"/>
      <c r="AC100" s="1702"/>
      <c r="AD100" s="1702"/>
    </row>
    <row r="101" spans="1:30" ht="25.5">
      <c r="A101" s="2688">
        <v>86</v>
      </c>
      <c r="B101" s="2684">
        <v>2665</v>
      </c>
      <c r="C101" s="2689" t="s">
        <v>4078</v>
      </c>
      <c r="D101" s="2690" t="s">
        <v>4079</v>
      </c>
      <c r="E101" s="2691"/>
      <c r="F101" s="2688">
        <v>410</v>
      </c>
      <c r="G101" s="2684" t="s">
        <v>4080</v>
      </c>
      <c r="H101" s="2689" t="s">
        <v>4081</v>
      </c>
      <c r="I101" s="2690" t="s">
        <v>4082</v>
      </c>
      <c r="J101" s="2691"/>
      <c r="K101" s="2688">
        <v>734</v>
      </c>
      <c r="L101" s="2684" t="s">
        <v>4083</v>
      </c>
      <c r="M101" s="2689" t="s">
        <v>4084</v>
      </c>
      <c r="N101" s="2690" t="s">
        <v>4085</v>
      </c>
      <c r="O101" s="2691"/>
      <c r="P101" s="2688">
        <v>1058</v>
      </c>
      <c r="Q101" s="2684" t="s">
        <v>4086</v>
      </c>
      <c r="R101" s="2689" t="s">
        <v>4087</v>
      </c>
      <c r="S101" s="2690" t="s">
        <v>4088</v>
      </c>
      <c r="T101" s="1702"/>
      <c r="U101" s="1702"/>
      <c r="V101" s="1702"/>
      <c r="W101" s="1702"/>
      <c r="X101" s="1702"/>
      <c r="Y101" s="1702"/>
      <c r="Z101" s="1702"/>
      <c r="AA101" s="1702"/>
      <c r="AB101" s="1702"/>
      <c r="AC101" s="1702"/>
      <c r="AD101" s="1702"/>
    </row>
    <row r="102" spans="1:30" ht="25.5">
      <c r="A102" s="2688">
        <v>87</v>
      </c>
      <c r="B102" s="2684">
        <v>2666</v>
      </c>
      <c r="C102" s="2689" t="s">
        <v>4089</v>
      </c>
      <c r="D102" s="2690" t="s">
        <v>4090</v>
      </c>
      <c r="E102" s="2691"/>
      <c r="F102" s="2688">
        <v>411</v>
      </c>
      <c r="G102" s="2684" t="s">
        <v>4091</v>
      </c>
      <c r="H102" s="2689" t="s">
        <v>4092</v>
      </c>
      <c r="I102" s="2690" t="s">
        <v>4093</v>
      </c>
      <c r="J102" s="2691"/>
      <c r="K102" s="2688">
        <v>735</v>
      </c>
      <c r="L102" s="2684" t="s">
        <v>4094</v>
      </c>
      <c r="M102" s="2689" t="s">
        <v>4095</v>
      </c>
      <c r="N102" s="2690" t="s">
        <v>4096</v>
      </c>
      <c r="O102" s="2691"/>
      <c r="P102" s="2688">
        <v>1059</v>
      </c>
      <c r="Q102" s="2684" t="s">
        <v>4097</v>
      </c>
      <c r="R102" s="2689" t="s">
        <v>4098</v>
      </c>
      <c r="S102" s="2690" t="s">
        <v>4099</v>
      </c>
      <c r="T102" s="1702"/>
      <c r="U102" s="1702"/>
      <c r="V102" s="1702"/>
      <c r="W102" s="1702"/>
      <c r="X102" s="1702"/>
      <c r="Y102" s="1702"/>
      <c r="Z102" s="1702"/>
      <c r="AA102" s="1702"/>
      <c r="AB102" s="1702"/>
      <c r="AC102" s="1702"/>
      <c r="AD102" s="1702"/>
    </row>
    <row r="103" spans="1:30" ht="25.5">
      <c r="A103" s="2688">
        <v>88</v>
      </c>
      <c r="B103" s="2684">
        <v>2668</v>
      </c>
      <c r="C103" s="2689" t="s">
        <v>4100</v>
      </c>
      <c r="D103" s="2690" t="s">
        <v>4101</v>
      </c>
      <c r="E103" s="2691"/>
      <c r="F103" s="2688">
        <v>412</v>
      </c>
      <c r="G103" s="2684" t="s">
        <v>4102</v>
      </c>
      <c r="H103" s="2689" t="s">
        <v>4103</v>
      </c>
      <c r="I103" s="2690" t="s">
        <v>4104</v>
      </c>
      <c r="J103" s="2691"/>
      <c r="K103" s="2688">
        <v>736</v>
      </c>
      <c r="L103" s="2684" t="s">
        <v>4105</v>
      </c>
      <c r="M103" s="2689" t="s">
        <v>4106</v>
      </c>
      <c r="N103" s="2690" t="s">
        <v>3864</v>
      </c>
      <c r="O103" s="2691"/>
      <c r="P103" s="2688">
        <v>1060</v>
      </c>
      <c r="Q103" s="2684" t="s">
        <v>4107</v>
      </c>
      <c r="R103" s="2689" t="s">
        <v>4108</v>
      </c>
      <c r="S103" s="2690" t="s">
        <v>4109</v>
      </c>
      <c r="T103" s="1702"/>
      <c r="U103" s="1702"/>
      <c r="V103" s="1702"/>
      <c r="W103" s="1702"/>
      <c r="X103" s="1702"/>
      <c r="Y103" s="1702"/>
      <c r="Z103" s="1702"/>
      <c r="AA103" s="1702"/>
      <c r="AB103" s="1702"/>
      <c r="AC103" s="1702"/>
      <c r="AD103" s="1702"/>
    </row>
    <row r="104" spans="1:30">
      <c r="A104" s="2688">
        <v>89</v>
      </c>
      <c r="B104" s="2684">
        <v>2702</v>
      </c>
      <c r="C104" s="2689" t="s">
        <v>4110</v>
      </c>
      <c r="D104" s="2690" t="s">
        <v>4111</v>
      </c>
      <c r="E104" s="2691"/>
      <c r="F104" s="2688">
        <v>413</v>
      </c>
      <c r="G104" s="2684" t="s">
        <v>4112</v>
      </c>
      <c r="H104" s="2689" t="s">
        <v>4113</v>
      </c>
      <c r="I104" s="2690" t="s">
        <v>4114</v>
      </c>
      <c r="J104" s="2691"/>
      <c r="K104" s="2688">
        <v>737</v>
      </c>
      <c r="L104" s="2684" t="s">
        <v>4115</v>
      </c>
      <c r="M104" s="2689" t="s">
        <v>4116</v>
      </c>
      <c r="N104" s="2690" t="s">
        <v>4117</v>
      </c>
      <c r="O104" s="2691"/>
      <c r="P104" s="2688">
        <v>1061</v>
      </c>
      <c r="Q104" s="2684" t="s">
        <v>4118</v>
      </c>
      <c r="R104" s="2689" t="s">
        <v>4119</v>
      </c>
      <c r="S104" s="2690" t="s">
        <v>4120</v>
      </c>
      <c r="T104" s="1702"/>
      <c r="U104" s="1702"/>
      <c r="V104" s="1702"/>
      <c r="W104" s="1702"/>
      <c r="X104" s="1702"/>
      <c r="Y104" s="1702"/>
      <c r="Z104" s="1702"/>
      <c r="AA104" s="1702"/>
      <c r="AB104" s="1702"/>
      <c r="AC104" s="1702"/>
      <c r="AD104" s="1702"/>
    </row>
    <row r="105" spans="1:30">
      <c r="A105" s="2688">
        <v>90</v>
      </c>
      <c r="B105" s="2684">
        <v>2708</v>
      </c>
      <c r="C105" s="2689" t="s">
        <v>4121</v>
      </c>
      <c r="D105" s="2690" t="s">
        <v>4122</v>
      </c>
      <c r="E105" s="2691"/>
      <c r="F105" s="2688">
        <v>414</v>
      </c>
      <c r="G105" s="2684" t="s">
        <v>4123</v>
      </c>
      <c r="H105" s="2689" t="s">
        <v>4124</v>
      </c>
      <c r="I105" s="2690" t="s">
        <v>4125</v>
      </c>
      <c r="J105" s="2691"/>
      <c r="K105" s="2688">
        <v>738</v>
      </c>
      <c r="L105" s="2684" t="s">
        <v>4126</v>
      </c>
      <c r="M105" s="2689" t="s">
        <v>4127</v>
      </c>
      <c r="N105" s="2690" t="s">
        <v>4128</v>
      </c>
      <c r="O105" s="2691"/>
      <c r="P105" s="2688">
        <v>1062</v>
      </c>
      <c r="Q105" s="2684" t="s">
        <v>4129</v>
      </c>
      <c r="R105" s="2689" t="s">
        <v>4130</v>
      </c>
      <c r="S105" s="2690" t="s">
        <v>4131</v>
      </c>
      <c r="T105" s="1702"/>
      <c r="U105" s="1702"/>
      <c r="V105" s="1702"/>
      <c r="W105" s="1702"/>
      <c r="X105" s="1702"/>
      <c r="Y105" s="1702"/>
      <c r="Z105" s="1702"/>
      <c r="AA105" s="1702"/>
      <c r="AB105" s="1702"/>
      <c r="AC105" s="1702"/>
      <c r="AD105" s="1702"/>
    </row>
    <row r="106" spans="1:30">
      <c r="A106" s="2688">
        <v>91</v>
      </c>
      <c r="B106" s="2684">
        <v>2709</v>
      </c>
      <c r="C106" s="2689" t="s">
        <v>4132</v>
      </c>
      <c r="D106" s="2690" t="s">
        <v>4133</v>
      </c>
      <c r="E106" s="2691"/>
      <c r="F106" s="2688">
        <v>415</v>
      </c>
      <c r="G106" s="2684" t="s">
        <v>4134</v>
      </c>
      <c r="H106" s="2689" t="s">
        <v>4135</v>
      </c>
      <c r="I106" s="2690" t="s">
        <v>4136</v>
      </c>
      <c r="J106" s="2691"/>
      <c r="K106" s="2688">
        <v>739</v>
      </c>
      <c r="L106" s="2684" t="s">
        <v>4137</v>
      </c>
      <c r="M106" s="2689" t="s">
        <v>4138</v>
      </c>
      <c r="N106" s="2690" t="s">
        <v>4139</v>
      </c>
      <c r="O106" s="2691"/>
      <c r="P106" s="2688">
        <v>1063</v>
      </c>
      <c r="Q106" s="2684" t="s">
        <v>4140</v>
      </c>
      <c r="R106" s="2689" t="s">
        <v>4141</v>
      </c>
      <c r="S106" s="2690" t="s">
        <v>4142</v>
      </c>
      <c r="T106" s="1702"/>
      <c r="U106" s="1702"/>
      <c r="V106" s="1702"/>
      <c r="W106" s="1702"/>
      <c r="X106" s="1702"/>
      <c r="Y106" s="1702"/>
      <c r="Z106" s="1702"/>
      <c r="AA106" s="1702"/>
      <c r="AB106" s="1702"/>
      <c r="AC106" s="1702"/>
      <c r="AD106" s="1702"/>
    </row>
    <row r="107" spans="1:30" ht="38.25">
      <c r="A107" s="2688">
        <v>92</v>
      </c>
      <c r="B107" s="2684" t="s">
        <v>4143</v>
      </c>
      <c r="C107" s="2689" t="s">
        <v>4144</v>
      </c>
      <c r="D107" s="2690" t="s">
        <v>4145</v>
      </c>
      <c r="E107" s="2691"/>
      <c r="F107" s="2688">
        <v>416</v>
      </c>
      <c r="G107" s="2684" t="s">
        <v>4146</v>
      </c>
      <c r="H107" s="2689" t="s">
        <v>4147</v>
      </c>
      <c r="I107" s="2690" t="s">
        <v>4148</v>
      </c>
      <c r="J107" s="2691"/>
      <c r="K107" s="2688">
        <v>740</v>
      </c>
      <c r="L107" s="2684" t="s">
        <v>4149</v>
      </c>
      <c r="M107" s="2689" t="s">
        <v>4150</v>
      </c>
      <c r="N107" s="2690" t="s">
        <v>4151</v>
      </c>
      <c r="O107" s="2691"/>
      <c r="P107" s="2688">
        <v>1064</v>
      </c>
      <c r="Q107" s="2684" t="s">
        <v>4152</v>
      </c>
      <c r="R107" s="2689" t="s">
        <v>4153</v>
      </c>
      <c r="S107" s="2690" t="s">
        <v>4154</v>
      </c>
      <c r="T107" s="1702"/>
      <c r="U107" s="1702"/>
      <c r="V107" s="1702"/>
      <c r="W107" s="1702"/>
      <c r="X107" s="1702"/>
      <c r="Y107" s="1702"/>
      <c r="Z107" s="1702"/>
      <c r="AA107" s="1702"/>
      <c r="AB107" s="1702"/>
      <c r="AC107" s="1702"/>
      <c r="AD107" s="1702"/>
    </row>
    <row r="108" spans="1:30" ht="25.5">
      <c r="A108" s="2688">
        <v>93</v>
      </c>
      <c r="B108" s="2684" t="s">
        <v>4155</v>
      </c>
      <c r="C108" s="2689" t="s">
        <v>4156</v>
      </c>
      <c r="D108" s="2690" t="s">
        <v>4157</v>
      </c>
      <c r="E108" s="2691"/>
      <c r="F108" s="2688">
        <v>417</v>
      </c>
      <c r="G108" s="2684" t="s">
        <v>4158</v>
      </c>
      <c r="H108" s="2689" t="s">
        <v>4159</v>
      </c>
      <c r="I108" s="2690" t="s">
        <v>4160</v>
      </c>
      <c r="J108" s="2691"/>
      <c r="K108" s="2688">
        <v>741</v>
      </c>
      <c r="L108" s="2684" t="s">
        <v>4161</v>
      </c>
      <c r="M108" s="2689" t="s">
        <v>4162</v>
      </c>
      <c r="N108" s="2690" t="s">
        <v>4163</v>
      </c>
      <c r="O108" s="2691"/>
      <c r="P108" s="2688">
        <v>1065</v>
      </c>
      <c r="Q108" s="2684" t="s">
        <v>4164</v>
      </c>
      <c r="R108" s="2689" t="s">
        <v>4165</v>
      </c>
      <c r="S108" s="2690" t="s">
        <v>4166</v>
      </c>
      <c r="T108" s="1702"/>
      <c r="U108" s="1702"/>
      <c r="V108" s="1702"/>
      <c r="W108" s="1702"/>
      <c r="X108" s="1702"/>
      <c r="Y108" s="1702"/>
      <c r="Z108" s="1702"/>
      <c r="AA108" s="1702"/>
      <c r="AB108" s="1702"/>
      <c r="AC108" s="1702"/>
      <c r="AD108" s="1702"/>
    </row>
    <row r="109" spans="1:30" ht="25.5">
      <c r="A109" s="2688">
        <v>94</v>
      </c>
      <c r="B109" s="2684" t="s">
        <v>4167</v>
      </c>
      <c r="C109" s="2689" t="s">
        <v>4168</v>
      </c>
      <c r="D109" s="2690" t="s">
        <v>4169</v>
      </c>
      <c r="E109" s="2691"/>
      <c r="F109" s="2688">
        <v>418</v>
      </c>
      <c r="G109" s="2684" t="s">
        <v>4170</v>
      </c>
      <c r="H109" s="2689" t="s">
        <v>4171</v>
      </c>
      <c r="I109" s="2690" t="s">
        <v>4172</v>
      </c>
      <c r="J109" s="2691"/>
      <c r="K109" s="2688">
        <v>742</v>
      </c>
      <c r="L109" s="2684" t="s">
        <v>4173</v>
      </c>
      <c r="M109" s="2689" t="s">
        <v>4174</v>
      </c>
      <c r="N109" s="2690" t="s">
        <v>4175</v>
      </c>
      <c r="O109" s="2691"/>
      <c r="P109" s="2688">
        <v>1066</v>
      </c>
      <c r="Q109" s="2684" t="s">
        <v>4176</v>
      </c>
      <c r="R109" s="2689" t="s">
        <v>4177</v>
      </c>
      <c r="S109" s="2690" t="s">
        <v>4178</v>
      </c>
      <c r="T109" s="1702"/>
      <c r="U109" s="1702"/>
      <c r="V109" s="1702"/>
      <c r="W109" s="1702"/>
      <c r="X109" s="1702"/>
      <c r="Y109" s="1702"/>
      <c r="Z109" s="1702"/>
      <c r="AA109" s="1702"/>
      <c r="AB109" s="1702"/>
      <c r="AC109" s="1702"/>
      <c r="AD109" s="1702"/>
    </row>
    <row r="110" spans="1:30">
      <c r="A110" s="2688">
        <v>95</v>
      </c>
      <c r="B110" s="2684">
        <v>2712</v>
      </c>
      <c r="C110" s="2689" t="s">
        <v>4179</v>
      </c>
      <c r="D110" s="2690" t="s">
        <v>4180</v>
      </c>
      <c r="E110" s="2691"/>
      <c r="F110" s="2688">
        <v>419</v>
      </c>
      <c r="G110" s="2684" t="s">
        <v>4181</v>
      </c>
      <c r="H110" s="2689" t="s">
        <v>4182</v>
      </c>
      <c r="I110" s="2690" t="s">
        <v>4183</v>
      </c>
      <c r="J110" s="2691"/>
      <c r="K110" s="2688">
        <v>743</v>
      </c>
      <c r="L110" s="2684" t="s">
        <v>4184</v>
      </c>
      <c r="M110" s="2689" t="s">
        <v>4185</v>
      </c>
      <c r="N110" s="2690" t="s">
        <v>4186</v>
      </c>
      <c r="O110" s="2691"/>
      <c r="P110" s="2688">
        <v>1067</v>
      </c>
      <c r="Q110" s="2684" t="s">
        <v>4187</v>
      </c>
      <c r="R110" s="2689" t="s">
        <v>4188</v>
      </c>
      <c r="S110" s="2690" t="s">
        <v>4189</v>
      </c>
      <c r="T110" s="1702"/>
      <c r="U110" s="1702"/>
      <c r="V110" s="1702"/>
      <c r="W110" s="1702"/>
      <c r="X110" s="1702"/>
      <c r="Y110" s="1702"/>
      <c r="Z110" s="1702"/>
      <c r="AA110" s="1702"/>
      <c r="AB110" s="1702"/>
      <c r="AC110" s="1702"/>
      <c r="AD110" s="1702"/>
    </row>
    <row r="111" spans="1:30" ht="25.5">
      <c r="A111" s="2688">
        <v>96</v>
      </c>
      <c r="B111" s="2684">
        <v>2714</v>
      </c>
      <c r="C111" s="2689" t="s">
        <v>4190</v>
      </c>
      <c r="D111" s="2690" t="s">
        <v>4191</v>
      </c>
      <c r="E111" s="2691"/>
      <c r="F111" s="2688">
        <v>420</v>
      </c>
      <c r="G111" s="2684" t="s">
        <v>4192</v>
      </c>
      <c r="H111" s="2689" t="s">
        <v>4193</v>
      </c>
      <c r="I111" s="2690" t="s">
        <v>4194</v>
      </c>
      <c r="J111" s="2691"/>
      <c r="K111" s="2688">
        <v>744</v>
      </c>
      <c r="L111" s="2684" t="s">
        <v>4195</v>
      </c>
      <c r="M111" s="2689" t="s">
        <v>4196</v>
      </c>
      <c r="N111" s="2690" t="s">
        <v>4197</v>
      </c>
      <c r="O111" s="2691"/>
      <c r="P111" s="2688">
        <v>1068</v>
      </c>
      <c r="Q111" s="2684" t="s">
        <v>4198</v>
      </c>
      <c r="R111" s="2689" t="s">
        <v>4199</v>
      </c>
      <c r="S111" s="2690" t="s">
        <v>4200</v>
      </c>
      <c r="T111" s="1702"/>
      <c r="U111" s="1702"/>
      <c r="V111" s="1702"/>
      <c r="W111" s="1702"/>
      <c r="X111" s="1702"/>
      <c r="Y111" s="1702"/>
      <c r="Z111" s="1702"/>
      <c r="AA111" s="1702"/>
      <c r="AB111" s="1702"/>
      <c r="AC111" s="1702"/>
      <c r="AD111" s="1702"/>
    </row>
    <row r="112" spans="1:30" ht="25.5">
      <c r="A112" s="2688">
        <v>97</v>
      </c>
      <c r="B112" s="2684">
        <v>2716</v>
      </c>
      <c r="C112" s="2689" t="s">
        <v>4201</v>
      </c>
      <c r="D112" s="2690" t="s">
        <v>4202</v>
      </c>
      <c r="E112" s="2691"/>
      <c r="F112" s="2688">
        <v>421</v>
      </c>
      <c r="G112" s="2684" t="s">
        <v>4203</v>
      </c>
      <c r="H112" s="2689" t="s">
        <v>4204</v>
      </c>
      <c r="I112" s="2690" t="s">
        <v>4205</v>
      </c>
      <c r="J112" s="2691"/>
      <c r="K112" s="2688">
        <v>745</v>
      </c>
      <c r="L112" s="2684" t="s">
        <v>4206</v>
      </c>
      <c r="M112" s="2689" t="s">
        <v>4207</v>
      </c>
      <c r="N112" s="2690" t="s">
        <v>4208</v>
      </c>
      <c r="O112" s="2691"/>
      <c r="P112" s="2688">
        <v>1069</v>
      </c>
      <c r="Q112" s="2684" t="s">
        <v>4209</v>
      </c>
      <c r="R112" s="2689" t="s">
        <v>4210</v>
      </c>
      <c r="S112" s="2690" t="s">
        <v>4211</v>
      </c>
      <c r="T112" s="1702"/>
      <c r="U112" s="1702"/>
      <c r="V112" s="1702"/>
      <c r="W112" s="1702"/>
      <c r="X112" s="1702"/>
      <c r="Y112" s="1702"/>
      <c r="Z112" s="1702"/>
      <c r="AA112" s="1702"/>
      <c r="AB112" s="1702"/>
      <c r="AC112" s="1702"/>
      <c r="AD112" s="1702"/>
    </row>
    <row r="113" spans="1:30">
      <c r="A113" s="2688">
        <v>98</v>
      </c>
      <c r="B113" s="2684" t="s">
        <v>4212</v>
      </c>
      <c r="C113" s="2689" t="s">
        <v>4213</v>
      </c>
      <c r="D113" s="2690" t="s">
        <v>4214</v>
      </c>
      <c r="E113" s="2691"/>
      <c r="F113" s="2688">
        <v>422</v>
      </c>
      <c r="G113" s="2684" t="s">
        <v>4215</v>
      </c>
      <c r="H113" s="2689" t="s">
        <v>4216</v>
      </c>
      <c r="I113" s="2690" t="s">
        <v>4217</v>
      </c>
      <c r="J113" s="2691"/>
      <c r="K113" s="2688">
        <v>746</v>
      </c>
      <c r="L113" s="2684" t="s">
        <v>4218</v>
      </c>
      <c r="M113" s="2689" t="s">
        <v>4219</v>
      </c>
      <c r="N113" s="2690" t="s">
        <v>4220</v>
      </c>
      <c r="O113" s="2691"/>
      <c r="P113" s="2688">
        <v>1070</v>
      </c>
      <c r="Q113" s="2684" t="s">
        <v>4221</v>
      </c>
      <c r="R113" s="2689" t="s">
        <v>4222</v>
      </c>
      <c r="S113" s="2690" t="s">
        <v>4223</v>
      </c>
      <c r="T113" s="1702"/>
      <c r="U113" s="1702"/>
      <c r="V113" s="1702"/>
      <c r="W113" s="1702"/>
      <c r="X113" s="1702"/>
      <c r="Y113" s="1702"/>
      <c r="Z113" s="1702"/>
      <c r="AA113" s="1702"/>
      <c r="AB113" s="1702"/>
      <c r="AC113" s="1702"/>
      <c r="AD113" s="1702"/>
    </row>
    <row r="114" spans="1:30">
      <c r="A114" s="2688">
        <v>99</v>
      </c>
      <c r="B114" s="2684">
        <v>2721</v>
      </c>
      <c r="C114" s="2689" t="s">
        <v>4224</v>
      </c>
      <c r="D114" s="2690" t="s">
        <v>4225</v>
      </c>
      <c r="E114" s="2691"/>
      <c r="F114" s="2688">
        <v>423</v>
      </c>
      <c r="G114" s="2684" t="s">
        <v>4226</v>
      </c>
      <c r="H114" s="2689" t="s">
        <v>4227</v>
      </c>
      <c r="I114" s="2690" t="s">
        <v>4228</v>
      </c>
      <c r="J114" s="2691"/>
      <c r="K114" s="2688">
        <v>747</v>
      </c>
      <c r="L114" s="2684" t="s">
        <v>4229</v>
      </c>
      <c r="M114" s="2689" t="s">
        <v>4230</v>
      </c>
      <c r="N114" s="2690" t="s">
        <v>4231</v>
      </c>
      <c r="O114" s="2691"/>
      <c r="P114" s="2688">
        <v>1071</v>
      </c>
      <c r="Q114" s="2684" t="s">
        <v>4232</v>
      </c>
      <c r="R114" s="2689" t="s">
        <v>4233</v>
      </c>
      <c r="S114" s="2690" t="s">
        <v>4234</v>
      </c>
      <c r="T114" s="1702"/>
      <c r="U114" s="1702"/>
      <c r="V114" s="1702"/>
      <c r="W114" s="1702"/>
      <c r="X114" s="1702"/>
      <c r="Y114" s="1702"/>
      <c r="Z114" s="1702"/>
      <c r="AA114" s="1702"/>
      <c r="AB114" s="1702"/>
      <c r="AC114" s="1702"/>
      <c r="AD114" s="1702"/>
    </row>
    <row r="115" spans="1:30" ht="25.5">
      <c r="A115" s="2688">
        <v>100</v>
      </c>
      <c r="B115" s="2684">
        <v>2733</v>
      </c>
      <c r="C115" s="2689" t="s">
        <v>4235</v>
      </c>
      <c r="D115" s="2690" t="s">
        <v>4236</v>
      </c>
      <c r="E115" s="2691"/>
      <c r="F115" s="2688">
        <v>424</v>
      </c>
      <c r="G115" s="2684" t="s">
        <v>4237</v>
      </c>
      <c r="H115" s="2689" t="s">
        <v>4238</v>
      </c>
      <c r="I115" s="2690" t="s">
        <v>4239</v>
      </c>
      <c r="J115" s="2691"/>
      <c r="K115" s="2688">
        <v>748</v>
      </c>
      <c r="L115" s="2684" t="s">
        <v>4240</v>
      </c>
      <c r="M115" s="2689" t="s">
        <v>4241</v>
      </c>
      <c r="N115" s="2690" t="s">
        <v>4242</v>
      </c>
      <c r="O115" s="2691"/>
      <c r="P115" s="2688">
        <v>1072</v>
      </c>
      <c r="Q115" s="2684" t="s">
        <v>4243</v>
      </c>
      <c r="R115" s="2689" t="s">
        <v>4244</v>
      </c>
      <c r="S115" s="2690" t="s">
        <v>4245</v>
      </c>
      <c r="T115" s="1702"/>
      <c r="U115" s="1702"/>
      <c r="V115" s="1702"/>
      <c r="W115" s="1702"/>
      <c r="X115" s="1702"/>
      <c r="Y115" s="1702"/>
      <c r="Z115" s="1702"/>
      <c r="AA115" s="1702"/>
      <c r="AB115" s="1702"/>
      <c r="AC115" s="1702"/>
      <c r="AD115" s="1702"/>
    </row>
    <row r="116" spans="1:30" ht="25.5">
      <c r="A116" s="2688">
        <v>101</v>
      </c>
      <c r="B116" s="2684">
        <v>2734</v>
      </c>
      <c r="C116" s="2689" t="s">
        <v>4246</v>
      </c>
      <c r="D116" s="2690" t="s">
        <v>4247</v>
      </c>
      <c r="E116" s="2691"/>
      <c r="F116" s="2688">
        <v>425</v>
      </c>
      <c r="G116" s="2684" t="s">
        <v>4248</v>
      </c>
      <c r="H116" s="2689" t="s">
        <v>4249</v>
      </c>
      <c r="I116" s="2690" t="s">
        <v>4250</v>
      </c>
      <c r="J116" s="2691"/>
      <c r="K116" s="2688">
        <v>749</v>
      </c>
      <c r="L116" s="2684" t="s">
        <v>4251</v>
      </c>
      <c r="M116" s="2689" t="s">
        <v>4252</v>
      </c>
      <c r="N116" s="2690" t="s">
        <v>4253</v>
      </c>
      <c r="O116" s="2691"/>
      <c r="P116" s="2688">
        <v>1073</v>
      </c>
      <c r="Q116" s="2684" t="s">
        <v>4254</v>
      </c>
      <c r="R116" s="2689" t="s">
        <v>4255</v>
      </c>
      <c r="S116" s="2690" t="s">
        <v>4256</v>
      </c>
      <c r="T116" s="1702"/>
      <c r="U116" s="1702"/>
      <c r="V116" s="1702"/>
      <c r="W116" s="1702"/>
      <c r="X116" s="1702"/>
      <c r="Y116" s="1702"/>
      <c r="Z116" s="1702"/>
      <c r="AA116" s="1702"/>
      <c r="AB116" s="1702"/>
      <c r="AC116" s="1702"/>
      <c r="AD116" s="1702"/>
    </row>
    <row r="117" spans="1:30">
      <c r="A117" s="2688">
        <v>102</v>
      </c>
      <c r="B117" s="2684">
        <v>2744</v>
      </c>
      <c r="C117" s="2689" t="s">
        <v>4257</v>
      </c>
      <c r="D117" s="2690" t="s">
        <v>4258</v>
      </c>
      <c r="E117" s="2691"/>
      <c r="F117" s="2688">
        <v>426</v>
      </c>
      <c r="G117" s="2684" t="s">
        <v>4259</v>
      </c>
      <c r="H117" s="2689" t="s">
        <v>4260</v>
      </c>
      <c r="I117" s="2690" t="s">
        <v>4261</v>
      </c>
      <c r="J117" s="2691"/>
      <c r="K117" s="2688">
        <v>750</v>
      </c>
      <c r="L117" s="2684" t="s">
        <v>4262</v>
      </c>
      <c r="M117" s="2689" t="s">
        <v>4263</v>
      </c>
      <c r="N117" s="2690" t="s">
        <v>4264</v>
      </c>
      <c r="O117" s="2691"/>
      <c r="P117" s="2688">
        <v>1074</v>
      </c>
      <c r="Q117" s="2684" t="s">
        <v>4265</v>
      </c>
      <c r="R117" s="2689" t="s">
        <v>4266</v>
      </c>
      <c r="S117" s="2690" t="s">
        <v>4267</v>
      </c>
      <c r="T117" s="1702"/>
      <c r="U117" s="1702"/>
      <c r="V117" s="1702"/>
      <c r="W117" s="1702"/>
      <c r="X117" s="1702"/>
      <c r="Y117" s="1702"/>
      <c r="Z117" s="1702"/>
      <c r="AA117" s="1702"/>
      <c r="AB117" s="1702"/>
      <c r="AC117" s="1702"/>
      <c r="AD117" s="1702"/>
    </row>
    <row r="118" spans="1:30" ht="25.5">
      <c r="A118" s="2688">
        <v>103</v>
      </c>
      <c r="B118" s="2684">
        <v>2747</v>
      </c>
      <c r="C118" s="2689" t="s">
        <v>4268</v>
      </c>
      <c r="D118" s="2690" t="s">
        <v>4269</v>
      </c>
      <c r="E118" s="2691"/>
      <c r="F118" s="2688">
        <v>427</v>
      </c>
      <c r="G118" s="2684" t="s">
        <v>4270</v>
      </c>
      <c r="H118" s="2689" t="s">
        <v>4271</v>
      </c>
      <c r="I118" s="2690" t="s">
        <v>4272</v>
      </c>
      <c r="J118" s="2691"/>
      <c r="K118" s="2688">
        <v>751</v>
      </c>
      <c r="L118" s="2684" t="s">
        <v>4273</v>
      </c>
      <c r="M118" s="2689" t="s">
        <v>4274</v>
      </c>
      <c r="N118" s="2690" t="s">
        <v>4275</v>
      </c>
      <c r="O118" s="2691"/>
      <c r="P118" s="2688">
        <v>1075</v>
      </c>
      <c r="Q118" s="2684" t="s">
        <v>4276</v>
      </c>
      <c r="R118" s="2689" t="s">
        <v>4277</v>
      </c>
      <c r="S118" s="2690" t="s">
        <v>4278</v>
      </c>
      <c r="T118" s="1702"/>
      <c r="U118" s="1702"/>
      <c r="V118" s="1702"/>
      <c r="W118" s="1702"/>
      <c r="X118" s="1702"/>
      <c r="Y118" s="1702"/>
      <c r="Z118" s="1702"/>
      <c r="AA118" s="1702"/>
      <c r="AB118" s="1702"/>
      <c r="AC118" s="1702"/>
      <c r="AD118" s="1702"/>
    </row>
    <row r="119" spans="1:30" ht="25.5">
      <c r="A119" s="2688">
        <v>104</v>
      </c>
      <c r="B119" s="2684" t="s">
        <v>4279</v>
      </c>
      <c r="C119" s="2689" t="s">
        <v>4280</v>
      </c>
      <c r="D119" s="2690" t="s">
        <v>4281</v>
      </c>
      <c r="E119" s="2691"/>
      <c r="F119" s="2688">
        <v>428</v>
      </c>
      <c r="G119" s="2684" t="s">
        <v>4282</v>
      </c>
      <c r="H119" s="2689" t="s">
        <v>4283</v>
      </c>
      <c r="I119" s="2690" t="s">
        <v>4284</v>
      </c>
      <c r="J119" s="2691"/>
      <c r="K119" s="2688">
        <v>752</v>
      </c>
      <c r="L119" s="2684" t="s">
        <v>4285</v>
      </c>
      <c r="M119" s="2689" t="s">
        <v>4286</v>
      </c>
      <c r="N119" s="2690" t="s">
        <v>4287</v>
      </c>
      <c r="O119" s="2691"/>
      <c r="P119" s="2688">
        <v>1076</v>
      </c>
      <c r="Q119" s="2684" t="s">
        <v>4288</v>
      </c>
      <c r="R119" s="2689" t="s">
        <v>4289</v>
      </c>
      <c r="S119" s="2690" t="s">
        <v>4290</v>
      </c>
      <c r="T119" s="1702"/>
      <c r="U119" s="1702"/>
      <c r="V119" s="1702"/>
      <c r="W119" s="1702"/>
      <c r="X119" s="1702"/>
      <c r="Y119" s="1702"/>
      <c r="Z119" s="1702"/>
      <c r="AA119" s="1702"/>
      <c r="AB119" s="1702"/>
      <c r="AC119" s="1702"/>
      <c r="AD119" s="1702"/>
    </row>
    <row r="120" spans="1:30" ht="25.5">
      <c r="A120" s="2688">
        <v>105</v>
      </c>
      <c r="B120" s="2684">
        <v>2753</v>
      </c>
      <c r="C120" s="2689" t="s">
        <v>4291</v>
      </c>
      <c r="D120" s="2690" t="s">
        <v>4292</v>
      </c>
      <c r="E120" s="2691"/>
      <c r="F120" s="2688">
        <v>429</v>
      </c>
      <c r="G120" s="2684" t="s">
        <v>4293</v>
      </c>
      <c r="H120" s="2689" t="s">
        <v>4294</v>
      </c>
      <c r="I120" s="2690" t="s">
        <v>4295</v>
      </c>
      <c r="J120" s="2691"/>
      <c r="K120" s="2688">
        <v>753</v>
      </c>
      <c r="L120" s="2684" t="s">
        <v>4296</v>
      </c>
      <c r="M120" s="2689" t="s">
        <v>4297</v>
      </c>
      <c r="N120" s="2690" t="s">
        <v>4298</v>
      </c>
      <c r="O120" s="2691"/>
      <c r="P120" s="2688">
        <v>1077</v>
      </c>
      <c r="Q120" s="2684" t="s">
        <v>4299</v>
      </c>
      <c r="R120" s="2689" t="s">
        <v>4300</v>
      </c>
      <c r="S120" s="2690" t="s">
        <v>4301</v>
      </c>
      <c r="T120" s="1702"/>
      <c r="U120" s="1702"/>
      <c r="V120" s="1702"/>
      <c r="W120" s="1702"/>
      <c r="X120" s="1702"/>
      <c r="Y120" s="1702"/>
      <c r="Z120" s="1702"/>
      <c r="AA120" s="1702"/>
      <c r="AB120" s="1702"/>
      <c r="AC120" s="1702"/>
      <c r="AD120" s="1702"/>
    </row>
    <row r="121" spans="1:30" ht="25.5">
      <c r="A121" s="2688">
        <v>106</v>
      </c>
      <c r="B121" s="2684">
        <v>2754</v>
      </c>
      <c r="C121" s="2689" t="s">
        <v>4302</v>
      </c>
      <c r="D121" s="2690" t="s">
        <v>4303</v>
      </c>
      <c r="E121" s="2691"/>
      <c r="F121" s="2688">
        <v>430</v>
      </c>
      <c r="G121" s="2684" t="s">
        <v>4304</v>
      </c>
      <c r="H121" s="2689" t="s">
        <v>4305</v>
      </c>
      <c r="I121" s="2690" t="s">
        <v>4306</v>
      </c>
      <c r="J121" s="2691"/>
      <c r="K121" s="2688">
        <v>754</v>
      </c>
      <c r="L121" s="2684" t="s">
        <v>4307</v>
      </c>
      <c r="M121" s="2689" t="s">
        <v>4308</v>
      </c>
      <c r="N121" s="2690" t="s">
        <v>4309</v>
      </c>
      <c r="O121" s="2691"/>
      <c r="P121" s="2688">
        <v>1078</v>
      </c>
      <c r="Q121" s="2684" t="s">
        <v>4310</v>
      </c>
      <c r="R121" s="2689" t="s">
        <v>4311</v>
      </c>
      <c r="S121" s="2690" t="s">
        <v>4312</v>
      </c>
      <c r="T121" s="1702"/>
      <c r="U121" s="1702"/>
      <c r="V121" s="1702"/>
      <c r="W121" s="1702"/>
      <c r="X121" s="1702"/>
      <c r="Y121" s="1702"/>
      <c r="Z121" s="1702"/>
      <c r="AA121" s="1702"/>
      <c r="AB121" s="1702"/>
      <c r="AC121" s="1702"/>
      <c r="AD121" s="1702"/>
    </row>
    <row r="122" spans="1:30" ht="25.5">
      <c r="A122" s="2688">
        <v>107</v>
      </c>
      <c r="B122" s="2684">
        <v>2755</v>
      </c>
      <c r="C122" s="2689" t="s">
        <v>4313</v>
      </c>
      <c r="D122" s="2690" t="s">
        <v>4314</v>
      </c>
      <c r="E122" s="2691"/>
      <c r="F122" s="2688">
        <v>431</v>
      </c>
      <c r="G122" s="2684" t="s">
        <v>4315</v>
      </c>
      <c r="H122" s="2689" t="s">
        <v>4316</v>
      </c>
      <c r="I122" s="2690" t="s">
        <v>4317</v>
      </c>
      <c r="J122" s="2691"/>
      <c r="K122" s="2688">
        <v>755</v>
      </c>
      <c r="L122" s="2684" t="s">
        <v>4318</v>
      </c>
      <c r="M122" s="2689" t="s">
        <v>4319</v>
      </c>
      <c r="N122" s="2690" t="s">
        <v>4320</v>
      </c>
      <c r="O122" s="2691"/>
      <c r="P122" s="2688">
        <v>1079</v>
      </c>
      <c r="Q122" s="2684" t="s">
        <v>4321</v>
      </c>
      <c r="R122" s="2689" t="s">
        <v>4322</v>
      </c>
      <c r="S122" s="2690" t="s">
        <v>4323</v>
      </c>
      <c r="T122" s="1702"/>
      <c r="U122" s="1702"/>
      <c r="V122" s="1702"/>
      <c r="W122" s="1702"/>
      <c r="X122" s="1702"/>
      <c r="Y122" s="1702"/>
      <c r="Z122" s="1702"/>
      <c r="AA122" s="1702"/>
      <c r="AB122" s="1702"/>
      <c r="AC122" s="1702"/>
      <c r="AD122" s="1702"/>
    </row>
    <row r="123" spans="1:30" ht="25.5">
      <c r="A123" s="2688">
        <v>108</v>
      </c>
      <c r="B123" s="2684">
        <v>2757</v>
      </c>
      <c r="C123" s="2689" t="s">
        <v>4324</v>
      </c>
      <c r="D123" s="2690" t="s">
        <v>4325</v>
      </c>
      <c r="E123" s="2691"/>
      <c r="F123" s="2688">
        <v>432</v>
      </c>
      <c r="G123" s="2684" t="s">
        <v>4326</v>
      </c>
      <c r="H123" s="2689" t="s">
        <v>4327</v>
      </c>
      <c r="I123" s="2690" t="s">
        <v>4328</v>
      </c>
      <c r="J123" s="2691"/>
      <c r="K123" s="2688">
        <v>756</v>
      </c>
      <c r="L123" s="2684" t="s">
        <v>4329</v>
      </c>
      <c r="M123" s="2689" t="s">
        <v>4330</v>
      </c>
      <c r="N123" s="2690" t="s">
        <v>4331</v>
      </c>
      <c r="O123" s="2691"/>
      <c r="P123" s="2688">
        <v>1080</v>
      </c>
      <c r="Q123" s="2684" t="s">
        <v>4332</v>
      </c>
      <c r="R123" s="2689" t="s">
        <v>4333</v>
      </c>
      <c r="S123" s="2690" t="s">
        <v>4334</v>
      </c>
      <c r="T123" s="1702"/>
      <c r="U123" s="1702"/>
      <c r="V123" s="1702"/>
      <c r="W123" s="1702"/>
      <c r="X123" s="1702"/>
      <c r="Y123" s="1702"/>
      <c r="Z123" s="1702"/>
      <c r="AA123" s="1702"/>
      <c r="AB123" s="1702"/>
      <c r="AC123" s="1702"/>
      <c r="AD123" s="1702"/>
    </row>
    <row r="124" spans="1:30" ht="25.5">
      <c r="A124" s="2688">
        <v>109</v>
      </c>
      <c r="B124" s="2684">
        <v>2763</v>
      </c>
      <c r="C124" s="2689" t="s">
        <v>4335</v>
      </c>
      <c r="D124" s="2690" t="s">
        <v>4336</v>
      </c>
      <c r="E124" s="2691"/>
      <c r="F124" s="2688">
        <v>433</v>
      </c>
      <c r="G124" s="2684" t="s">
        <v>4337</v>
      </c>
      <c r="H124" s="2689" t="s">
        <v>4338</v>
      </c>
      <c r="I124" s="2690" t="s">
        <v>4339</v>
      </c>
      <c r="J124" s="2691"/>
      <c r="K124" s="2688">
        <v>757</v>
      </c>
      <c r="L124" s="2684" t="s">
        <v>4340</v>
      </c>
      <c r="M124" s="2689" t="s">
        <v>4341</v>
      </c>
      <c r="N124" s="2690" t="s">
        <v>4342</v>
      </c>
      <c r="O124" s="2691"/>
      <c r="P124" s="2688">
        <v>1081</v>
      </c>
      <c r="Q124" s="2684" t="s">
        <v>4343</v>
      </c>
      <c r="R124" s="2689" t="s">
        <v>4344</v>
      </c>
      <c r="S124" s="2690" t="s">
        <v>4345</v>
      </c>
      <c r="T124" s="1702"/>
      <c r="U124" s="1702"/>
      <c r="V124" s="1702"/>
      <c r="W124" s="1702"/>
      <c r="X124" s="1702"/>
      <c r="Y124" s="1702"/>
      <c r="Z124" s="1702"/>
      <c r="AA124" s="1702"/>
      <c r="AB124" s="1702"/>
      <c r="AC124" s="1702"/>
      <c r="AD124" s="1702"/>
    </row>
    <row r="125" spans="1:30">
      <c r="A125" s="2688">
        <v>110</v>
      </c>
      <c r="B125" s="2684">
        <v>2764</v>
      </c>
      <c r="C125" s="2689" t="s">
        <v>4346</v>
      </c>
      <c r="D125" s="2690" t="s">
        <v>4347</v>
      </c>
      <c r="E125" s="2691"/>
      <c r="F125" s="2688">
        <v>434</v>
      </c>
      <c r="G125" s="2684" t="s">
        <v>4348</v>
      </c>
      <c r="H125" s="2689" t="s">
        <v>4349</v>
      </c>
      <c r="I125" s="2690" t="s">
        <v>4350</v>
      </c>
      <c r="J125" s="2691"/>
      <c r="K125" s="2688">
        <v>758</v>
      </c>
      <c r="L125" s="2684" t="s">
        <v>4351</v>
      </c>
      <c r="M125" s="2689" t="s">
        <v>4352</v>
      </c>
      <c r="N125" s="2690" t="s">
        <v>4353</v>
      </c>
      <c r="O125" s="2691"/>
      <c r="P125" s="2688">
        <v>1082</v>
      </c>
      <c r="Q125" s="2684" t="s">
        <v>4354</v>
      </c>
      <c r="R125" s="2689" t="s">
        <v>4355</v>
      </c>
      <c r="S125" s="2690" t="s">
        <v>4356</v>
      </c>
      <c r="T125" s="1702"/>
      <c r="U125" s="1702"/>
      <c r="V125" s="1702"/>
      <c r="W125" s="1702"/>
      <c r="X125" s="1702"/>
      <c r="Y125" s="1702"/>
      <c r="Z125" s="1702"/>
      <c r="AA125" s="1702"/>
      <c r="AB125" s="1702"/>
      <c r="AC125" s="1702"/>
      <c r="AD125" s="1702"/>
    </row>
    <row r="126" spans="1:30">
      <c r="A126" s="2688">
        <v>111</v>
      </c>
      <c r="B126" s="2684">
        <v>2705</v>
      </c>
      <c r="C126" s="2689" t="s">
        <v>4357</v>
      </c>
      <c r="D126" s="2690" t="s">
        <v>4358</v>
      </c>
      <c r="E126" s="2691"/>
      <c r="F126" s="2688">
        <v>435</v>
      </c>
      <c r="G126" s="2684" t="s">
        <v>4359</v>
      </c>
      <c r="H126" s="2689" t="s">
        <v>4360</v>
      </c>
      <c r="I126" s="2690" t="s">
        <v>4361</v>
      </c>
      <c r="J126" s="2691"/>
      <c r="K126" s="2688">
        <v>759</v>
      </c>
      <c r="L126" s="2684" t="s">
        <v>4362</v>
      </c>
      <c r="M126" s="2689" t="s">
        <v>4363</v>
      </c>
      <c r="N126" s="2690" t="s">
        <v>3019</v>
      </c>
      <c r="O126" s="2691"/>
      <c r="P126" s="2688">
        <v>1083</v>
      </c>
      <c r="Q126" s="2684" t="s">
        <v>4364</v>
      </c>
      <c r="R126" s="2689" t="s">
        <v>4365</v>
      </c>
      <c r="S126" s="2690" t="s">
        <v>4366</v>
      </c>
      <c r="T126" s="1702"/>
      <c r="U126" s="1702"/>
      <c r="V126" s="1702"/>
      <c r="W126" s="1702"/>
      <c r="X126" s="1702"/>
      <c r="Y126" s="1702"/>
      <c r="Z126" s="1702"/>
      <c r="AA126" s="1702"/>
      <c r="AB126" s="1702"/>
      <c r="AC126" s="1702"/>
      <c r="AD126" s="1702"/>
    </row>
    <row r="127" spans="1:30">
      <c r="A127" s="2688">
        <v>112</v>
      </c>
      <c r="B127" s="2684" t="s">
        <v>4367</v>
      </c>
      <c r="C127" s="2689" t="s">
        <v>4368</v>
      </c>
      <c r="D127" s="2690" t="s">
        <v>4369</v>
      </c>
      <c r="E127" s="2691"/>
      <c r="F127" s="2688">
        <v>436</v>
      </c>
      <c r="G127" s="2684" t="s">
        <v>4370</v>
      </c>
      <c r="H127" s="2689" t="s">
        <v>4371</v>
      </c>
      <c r="I127" s="2690" t="s">
        <v>4372</v>
      </c>
      <c r="J127" s="2691"/>
      <c r="K127" s="2688">
        <v>760</v>
      </c>
      <c r="L127" s="2684" t="s">
        <v>4373</v>
      </c>
      <c r="M127" s="2689" t="s">
        <v>4374</v>
      </c>
      <c r="N127" s="2690" t="s">
        <v>4375</v>
      </c>
      <c r="O127" s="2691"/>
      <c r="P127" s="2688">
        <v>1084</v>
      </c>
      <c r="Q127" s="2684" t="s">
        <v>4376</v>
      </c>
      <c r="R127" s="2689" t="s">
        <v>4377</v>
      </c>
      <c r="S127" s="2690" t="s">
        <v>4378</v>
      </c>
      <c r="T127" s="1702"/>
      <c r="U127" s="1702"/>
      <c r="V127" s="1702"/>
      <c r="W127" s="1702"/>
      <c r="X127" s="1702"/>
      <c r="Y127" s="1702"/>
      <c r="Z127" s="1702"/>
      <c r="AA127" s="1702"/>
      <c r="AB127" s="1702"/>
      <c r="AC127" s="1702"/>
      <c r="AD127" s="1702"/>
    </row>
    <row r="128" spans="1:30" ht="25.5">
      <c r="A128" s="2688">
        <v>113</v>
      </c>
      <c r="B128" s="2684" t="s">
        <v>4379</v>
      </c>
      <c r="C128" s="2689" t="s">
        <v>4380</v>
      </c>
      <c r="D128" s="2690" t="s">
        <v>4381</v>
      </c>
      <c r="E128" s="2691"/>
      <c r="F128" s="2688">
        <v>437</v>
      </c>
      <c r="G128" s="2684" t="s">
        <v>4382</v>
      </c>
      <c r="H128" s="2689" t="s">
        <v>4383</v>
      </c>
      <c r="I128" s="2690" t="s">
        <v>4384</v>
      </c>
      <c r="J128" s="2691"/>
      <c r="K128" s="2688">
        <v>761</v>
      </c>
      <c r="L128" s="2684" t="s">
        <v>4385</v>
      </c>
      <c r="M128" s="2689" t="s">
        <v>4386</v>
      </c>
      <c r="N128" s="2690" t="s">
        <v>4387</v>
      </c>
      <c r="O128" s="2691"/>
      <c r="P128" s="2688">
        <v>1085</v>
      </c>
      <c r="Q128" s="2684" t="s">
        <v>4388</v>
      </c>
      <c r="R128" s="2689" t="s">
        <v>4389</v>
      </c>
      <c r="S128" s="2690" t="s">
        <v>4390</v>
      </c>
      <c r="T128" s="1702"/>
      <c r="U128" s="1702"/>
      <c r="V128" s="1702"/>
      <c r="W128" s="1702"/>
      <c r="X128" s="1702"/>
      <c r="Y128" s="1702"/>
      <c r="Z128" s="1702"/>
      <c r="AA128" s="1702"/>
      <c r="AB128" s="1702"/>
      <c r="AC128" s="1702"/>
      <c r="AD128" s="1702"/>
    </row>
    <row r="129" spans="1:30">
      <c r="A129" s="2688">
        <v>114</v>
      </c>
      <c r="B129" s="2684">
        <v>2728</v>
      </c>
      <c r="C129" s="2689" t="s">
        <v>4391</v>
      </c>
      <c r="D129" s="2690" t="s">
        <v>4392</v>
      </c>
      <c r="E129" s="2691"/>
      <c r="F129" s="2688">
        <v>438</v>
      </c>
      <c r="G129" s="2684" t="s">
        <v>4393</v>
      </c>
      <c r="H129" s="2689" t="s">
        <v>4394</v>
      </c>
      <c r="I129" s="2690" t="s">
        <v>4395</v>
      </c>
      <c r="J129" s="2691"/>
      <c r="K129" s="2688">
        <v>762</v>
      </c>
      <c r="L129" s="2684" t="s">
        <v>4396</v>
      </c>
      <c r="M129" s="2689" t="s">
        <v>4397</v>
      </c>
      <c r="N129" s="2690" t="s">
        <v>4398</v>
      </c>
      <c r="O129" s="2691"/>
      <c r="P129" s="2688">
        <v>1086</v>
      </c>
      <c r="Q129" s="2684" t="s">
        <v>4399</v>
      </c>
      <c r="R129" s="2689" t="s">
        <v>4400</v>
      </c>
      <c r="S129" s="2690" t="s">
        <v>4401</v>
      </c>
      <c r="T129" s="1702"/>
      <c r="U129" s="1702"/>
      <c r="V129" s="1702"/>
      <c r="W129" s="1702"/>
      <c r="X129" s="1702"/>
      <c r="Y129" s="1702"/>
      <c r="Z129" s="1702"/>
      <c r="AA129" s="1702"/>
      <c r="AB129" s="1702"/>
      <c r="AC129" s="1702"/>
      <c r="AD129" s="1702"/>
    </row>
    <row r="130" spans="1:30">
      <c r="A130" s="2688">
        <v>115</v>
      </c>
      <c r="B130" s="2684" t="s">
        <v>4402</v>
      </c>
      <c r="C130" s="2689" t="s">
        <v>4403</v>
      </c>
      <c r="D130" s="2690" t="s">
        <v>4404</v>
      </c>
      <c r="E130" s="2691"/>
      <c r="F130" s="2688">
        <v>439</v>
      </c>
      <c r="G130" s="2684" t="s">
        <v>4405</v>
      </c>
      <c r="H130" s="2689" t="s">
        <v>4406</v>
      </c>
      <c r="I130" s="2690" t="s">
        <v>4407</v>
      </c>
      <c r="J130" s="2691"/>
      <c r="K130" s="2688">
        <v>763</v>
      </c>
      <c r="L130" s="2684" t="s">
        <v>4408</v>
      </c>
      <c r="M130" s="2689" t="s">
        <v>4409</v>
      </c>
      <c r="N130" s="2690" t="s">
        <v>4410</v>
      </c>
      <c r="O130" s="2691"/>
      <c r="P130" s="2688">
        <v>1087</v>
      </c>
      <c r="Q130" s="2684" t="s">
        <v>4411</v>
      </c>
      <c r="R130" s="2689" t="s">
        <v>4412</v>
      </c>
      <c r="S130" s="2690" t="s">
        <v>4413</v>
      </c>
      <c r="T130" s="1702"/>
      <c r="U130" s="1702"/>
      <c r="V130" s="1702"/>
      <c r="W130" s="1702"/>
      <c r="X130" s="1702"/>
      <c r="Y130" s="1702"/>
      <c r="Z130" s="1702"/>
      <c r="AA130" s="1702"/>
      <c r="AB130" s="1702"/>
      <c r="AC130" s="1702"/>
      <c r="AD130" s="1702"/>
    </row>
    <row r="131" spans="1:30" ht="25.5">
      <c r="A131" s="2688">
        <v>116</v>
      </c>
      <c r="B131" s="2684">
        <v>2614</v>
      </c>
      <c r="C131" s="2689" t="s">
        <v>4414</v>
      </c>
      <c r="D131" s="2690" t="s">
        <v>4415</v>
      </c>
      <c r="E131" s="2691"/>
      <c r="F131" s="2688">
        <v>440</v>
      </c>
      <c r="G131" s="2684" t="s">
        <v>4416</v>
      </c>
      <c r="H131" s="2689" t="s">
        <v>4417</v>
      </c>
      <c r="I131" s="2690" t="s">
        <v>4418</v>
      </c>
      <c r="J131" s="2691"/>
      <c r="K131" s="2688">
        <v>764</v>
      </c>
      <c r="L131" s="2684" t="s">
        <v>4419</v>
      </c>
      <c r="M131" s="2689" t="s">
        <v>4420</v>
      </c>
      <c r="N131" s="2690" t="s">
        <v>4421</v>
      </c>
      <c r="O131" s="2691"/>
      <c r="P131" s="2688">
        <v>1088</v>
      </c>
      <c r="Q131" s="2684" t="s">
        <v>4422</v>
      </c>
      <c r="R131" s="2689" t="s">
        <v>4423</v>
      </c>
      <c r="S131" s="2690" t="s">
        <v>4424</v>
      </c>
      <c r="T131" s="1702"/>
      <c r="U131" s="1702"/>
      <c r="V131" s="1702"/>
      <c r="W131" s="1702"/>
      <c r="X131" s="1702"/>
      <c r="Y131" s="1702"/>
      <c r="Z131" s="1702"/>
      <c r="AA131" s="1702"/>
      <c r="AB131" s="1702"/>
      <c r="AC131" s="1702"/>
      <c r="AD131" s="1702"/>
    </row>
    <row r="132" spans="1:30" ht="25.5">
      <c r="A132" s="2688">
        <v>117</v>
      </c>
      <c r="B132" s="2684">
        <v>2615</v>
      </c>
      <c r="C132" s="2689" t="s">
        <v>4425</v>
      </c>
      <c r="D132" s="2690" t="s">
        <v>4426</v>
      </c>
      <c r="E132" s="2691"/>
      <c r="F132" s="2688">
        <v>441</v>
      </c>
      <c r="G132" s="2684" t="s">
        <v>4427</v>
      </c>
      <c r="H132" s="2689" t="s">
        <v>4428</v>
      </c>
      <c r="I132" s="2690" t="s">
        <v>4429</v>
      </c>
      <c r="J132" s="2691"/>
      <c r="K132" s="2688">
        <v>765</v>
      </c>
      <c r="L132" s="2684" t="s">
        <v>4430</v>
      </c>
      <c r="M132" s="2689" t="s">
        <v>4431</v>
      </c>
      <c r="N132" s="2690" t="s">
        <v>4432</v>
      </c>
      <c r="O132" s="2691"/>
      <c r="P132" s="2688">
        <v>1089</v>
      </c>
      <c r="Q132" s="2684" t="s">
        <v>4433</v>
      </c>
      <c r="R132" s="2689" t="s">
        <v>4434</v>
      </c>
      <c r="S132" s="2690" t="s">
        <v>4435</v>
      </c>
      <c r="T132" s="1702"/>
      <c r="U132" s="1702"/>
      <c r="V132" s="1702"/>
      <c r="W132" s="1702"/>
      <c r="X132" s="1702"/>
      <c r="Y132" s="1702"/>
      <c r="Z132" s="1702"/>
      <c r="AA132" s="1702"/>
      <c r="AB132" s="1702"/>
      <c r="AC132" s="1702"/>
      <c r="AD132" s="1702"/>
    </row>
    <row r="133" spans="1:30">
      <c r="A133" s="2688">
        <v>118</v>
      </c>
      <c r="B133" s="2684" t="s">
        <v>4436</v>
      </c>
      <c r="C133" s="2689" t="s">
        <v>4437</v>
      </c>
      <c r="D133" s="2690" t="s">
        <v>4438</v>
      </c>
      <c r="E133" s="2691"/>
      <c r="F133" s="2688">
        <v>442</v>
      </c>
      <c r="G133" s="2684" t="s">
        <v>4439</v>
      </c>
      <c r="H133" s="2689" t="s">
        <v>4440</v>
      </c>
      <c r="I133" s="2690" t="s">
        <v>4441</v>
      </c>
      <c r="J133" s="2691"/>
      <c r="K133" s="2688">
        <v>766</v>
      </c>
      <c r="L133" s="2684" t="s">
        <v>4442</v>
      </c>
      <c r="M133" s="2689" t="s">
        <v>4443</v>
      </c>
      <c r="N133" s="2690" t="s">
        <v>4444</v>
      </c>
      <c r="O133" s="2691"/>
      <c r="P133" s="2688">
        <v>1090</v>
      </c>
      <c r="Q133" s="2684" t="s">
        <v>4445</v>
      </c>
      <c r="R133" s="2689" t="s">
        <v>4446</v>
      </c>
      <c r="S133" s="2690" t="s">
        <v>4447</v>
      </c>
      <c r="T133" s="1702"/>
      <c r="U133" s="1702"/>
      <c r="V133" s="1702"/>
      <c r="W133" s="1702"/>
      <c r="X133" s="1702"/>
      <c r="Y133" s="1702"/>
      <c r="Z133" s="1702"/>
      <c r="AA133" s="1702"/>
      <c r="AB133" s="1702"/>
      <c r="AC133" s="1702"/>
      <c r="AD133" s="1702"/>
    </row>
    <row r="134" spans="1:30" ht="25.5">
      <c r="A134" s="2688">
        <v>119</v>
      </c>
      <c r="B134" s="2684" t="s">
        <v>4448</v>
      </c>
      <c r="C134" s="2689" t="s">
        <v>4449</v>
      </c>
      <c r="D134" s="2690" t="s">
        <v>4450</v>
      </c>
      <c r="E134" s="2691"/>
      <c r="F134" s="2688">
        <v>443</v>
      </c>
      <c r="G134" s="2684" t="s">
        <v>4451</v>
      </c>
      <c r="H134" s="2689" t="s">
        <v>4452</v>
      </c>
      <c r="I134" s="2690" t="s">
        <v>4453</v>
      </c>
      <c r="J134" s="2691"/>
      <c r="K134" s="2688">
        <v>767</v>
      </c>
      <c r="L134" s="2684" t="s">
        <v>4454</v>
      </c>
      <c r="M134" s="2689" t="s">
        <v>4455</v>
      </c>
      <c r="N134" s="2690" t="s">
        <v>4456</v>
      </c>
      <c r="O134" s="2691"/>
      <c r="P134" s="2688">
        <v>1091</v>
      </c>
      <c r="Q134" s="2684" t="s">
        <v>4457</v>
      </c>
      <c r="R134" s="2689" t="s">
        <v>4458</v>
      </c>
      <c r="S134" s="2690" t="s">
        <v>4459</v>
      </c>
      <c r="T134" s="1702"/>
      <c r="U134" s="1702"/>
      <c r="V134" s="1702"/>
      <c r="W134" s="1702"/>
      <c r="X134" s="1702"/>
      <c r="Y134" s="1702"/>
      <c r="Z134" s="1702"/>
      <c r="AA134" s="1702"/>
      <c r="AB134" s="1702"/>
      <c r="AC134" s="1702"/>
      <c r="AD134" s="1702"/>
    </row>
    <row r="135" spans="1:30">
      <c r="A135" s="2688">
        <v>120</v>
      </c>
      <c r="B135" s="2684" t="s">
        <v>4460</v>
      </c>
      <c r="C135" s="2689" t="s">
        <v>4461</v>
      </c>
      <c r="D135" s="2690" t="s">
        <v>4462</v>
      </c>
      <c r="E135" s="2691"/>
      <c r="F135" s="2688">
        <v>444</v>
      </c>
      <c r="G135" s="2684" t="s">
        <v>4463</v>
      </c>
      <c r="H135" s="2689" t="s">
        <v>4464</v>
      </c>
      <c r="I135" s="2690" t="s">
        <v>80</v>
      </c>
      <c r="J135" s="2691"/>
      <c r="K135" s="2688">
        <v>768</v>
      </c>
      <c r="L135" s="2684" t="s">
        <v>4465</v>
      </c>
      <c r="M135" s="2689" t="s">
        <v>4466</v>
      </c>
      <c r="N135" s="2690" t="s">
        <v>4467</v>
      </c>
      <c r="O135" s="2691"/>
      <c r="P135" s="2688">
        <v>1092</v>
      </c>
      <c r="Q135" s="2684" t="s">
        <v>4468</v>
      </c>
      <c r="R135" s="2689" t="s">
        <v>4469</v>
      </c>
      <c r="S135" s="2690" t="s">
        <v>4470</v>
      </c>
      <c r="T135" s="1702"/>
      <c r="U135" s="1702"/>
      <c r="V135" s="1702"/>
      <c r="W135" s="1702"/>
      <c r="X135" s="1702"/>
      <c r="Y135" s="1702"/>
      <c r="Z135" s="1702"/>
      <c r="AA135" s="1702"/>
      <c r="AB135" s="1702"/>
      <c r="AC135" s="1702"/>
      <c r="AD135" s="1702"/>
    </row>
    <row r="136" spans="1:30" ht="25.5">
      <c r="A136" s="2688">
        <v>121</v>
      </c>
      <c r="B136" s="2684" t="s">
        <v>4471</v>
      </c>
      <c r="C136" s="2689" t="s">
        <v>4472</v>
      </c>
      <c r="D136" s="2690" t="s">
        <v>4473</v>
      </c>
      <c r="E136" s="2691"/>
      <c r="F136" s="2688">
        <v>445</v>
      </c>
      <c r="G136" s="2684" t="s">
        <v>4474</v>
      </c>
      <c r="H136" s="2689" t="s">
        <v>4475</v>
      </c>
      <c r="I136" s="2690" t="s">
        <v>4476</v>
      </c>
      <c r="J136" s="2691"/>
      <c r="K136" s="2688">
        <v>769</v>
      </c>
      <c r="L136" s="2684" t="s">
        <v>4477</v>
      </c>
      <c r="M136" s="2689" t="s">
        <v>4478</v>
      </c>
      <c r="N136" s="2690" t="s">
        <v>4479</v>
      </c>
      <c r="O136" s="2691"/>
      <c r="P136" s="2688">
        <v>1093</v>
      </c>
      <c r="Q136" s="2684" t="s">
        <v>4480</v>
      </c>
      <c r="R136" s="2689" t="s">
        <v>4481</v>
      </c>
      <c r="S136" s="2690" t="s">
        <v>4482</v>
      </c>
      <c r="T136" s="1702"/>
      <c r="U136" s="1702"/>
      <c r="V136" s="1702"/>
      <c r="W136" s="1702"/>
      <c r="X136" s="1702"/>
      <c r="Y136" s="1702"/>
      <c r="Z136" s="1702"/>
      <c r="AA136" s="1702"/>
      <c r="AB136" s="1702"/>
      <c r="AC136" s="1702"/>
      <c r="AD136" s="1702"/>
    </row>
    <row r="137" spans="1:30" ht="25.5">
      <c r="A137" s="2688">
        <v>122</v>
      </c>
      <c r="B137" s="2684" t="s">
        <v>4483</v>
      </c>
      <c r="C137" s="2689" t="s">
        <v>4484</v>
      </c>
      <c r="D137" s="2690" t="s">
        <v>4485</v>
      </c>
      <c r="E137" s="2691"/>
      <c r="F137" s="2688">
        <v>446</v>
      </c>
      <c r="G137" s="2684" t="s">
        <v>4486</v>
      </c>
      <c r="H137" s="2689" t="s">
        <v>4487</v>
      </c>
      <c r="I137" s="2690" t="s">
        <v>4488</v>
      </c>
      <c r="J137" s="2691"/>
      <c r="K137" s="2688">
        <v>770</v>
      </c>
      <c r="L137" s="2684" t="s">
        <v>4489</v>
      </c>
      <c r="M137" s="2689" t="s">
        <v>4490</v>
      </c>
      <c r="N137" s="2690" t="s">
        <v>4491</v>
      </c>
      <c r="O137" s="2691"/>
      <c r="P137" s="2688">
        <v>1094</v>
      </c>
      <c r="Q137" s="2684" t="s">
        <v>4492</v>
      </c>
      <c r="R137" s="2689" t="s">
        <v>4493</v>
      </c>
      <c r="S137" s="2690" t="s">
        <v>4494</v>
      </c>
      <c r="T137" s="1702"/>
      <c r="U137" s="1702"/>
      <c r="V137" s="1702"/>
      <c r="W137" s="1702"/>
      <c r="X137" s="1702"/>
      <c r="Y137" s="1702"/>
      <c r="Z137" s="1702"/>
      <c r="AA137" s="1702"/>
      <c r="AB137" s="1702"/>
      <c r="AC137" s="1702"/>
      <c r="AD137" s="1702"/>
    </row>
    <row r="138" spans="1:30" ht="25.5">
      <c r="A138" s="2688">
        <v>123</v>
      </c>
      <c r="B138" s="2684" t="s">
        <v>4495</v>
      </c>
      <c r="C138" s="2689" t="s">
        <v>4496</v>
      </c>
      <c r="D138" s="2690" t="s">
        <v>4497</v>
      </c>
      <c r="E138" s="2691"/>
      <c r="F138" s="2688">
        <v>447</v>
      </c>
      <c r="G138" s="2684" t="s">
        <v>4498</v>
      </c>
      <c r="H138" s="2689" t="s">
        <v>4499</v>
      </c>
      <c r="I138" s="2690" t="s">
        <v>4500</v>
      </c>
      <c r="J138" s="2691"/>
      <c r="K138" s="2688">
        <v>771</v>
      </c>
      <c r="L138" s="2684" t="s">
        <v>4501</v>
      </c>
      <c r="M138" s="2689" t="s">
        <v>4502</v>
      </c>
      <c r="N138" s="2690" t="s">
        <v>4503</v>
      </c>
      <c r="O138" s="2691"/>
      <c r="P138" s="2688">
        <v>1095</v>
      </c>
      <c r="Q138" s="2684" t="s">
        <v>4504</v>
      </c>
      <c r="R138" s="2689" t="s">
        <v>4505</v>
      </c>
      <c r="S138" s="2690" t="s">
        <v>4506</v>
      </c>
      <c r="T138" s="1702"/>
      <c r="U138" s="1702"/>
      <c r="V138" s="1702"/>
      <c r="W138" s="1702"/>
      <c r="X138" s="1702"/>
      <c r="Y138" s="1702"/>
      <c r="Z138" s="1702"/>
      <c r="AA138" s="1702"/>
      <c r="AB138" s="1702"/>
      <c r="AC138" s="1702"/>
      <c r="AD138" s="1702"/>
    </row>
    <row r="139" spans="1:30">
      <c r="A139" s="2688">
        <v>124</v>
      </c>
      <c r="B139" s="2684" t="s">
        <v>4507</v>
      </c>
      <c r="C139" s="2689" t="s">
        <v>4508</v>
      </c>
      <c r="D139" s="2690" t="s">
        <v>4509</v>
      </c>
      <c r="E139" s="2691"/>
      <c r="F139" s="2688">
        <v>448</v>
      </c>
      <c r="G139" s="2684" t="s">
        <v>4510</v>
      </c>
      <c r="H139" s="2689" t="s">
        <v>4511</v>
      </c>
      <c r="I139" s="2690" t="s">
        <v>4512</v>
      </c>
      <c r="J139" s="2691"/>
      <c r="K139" s="2688">
        <v>772</v>
      </c>
      <c r="L139" s="2684" t="s">
        <v>4513</v>
      </c>
      <c r="M139" s="2689" t="s">
        <v>4514</v>
      </c>
      <c r="N139" s="2690" t="s">
        <v>4515</v>
      </c>
      <c r="O139" s="2691"/>
      <c r="P139" s="2688">
        <v>1096</v>
      </c>
      <c r="Q139" s="2684" t="s">
        <v>4516</v>
      </c>
      <c r="R139" s="2689" t="s">
        <v>4517</v>
      </c>
      <c r="S139" s="2690" t="s">
        <v>4518</v>
      </c>
      <c r="T139" s="1702"/>
      <c r="U139" s="1702"/>
      <c r="V139" s="1702"/>
      <c r="W139" s="1702"/>
      <c r="X139" s="1702"/>
      <c r="Y139" s="1702"/>
      <c r="Z139" s="1702"/>
      <c r="AA139" s="1702"/>
      <c r="AB139" s="1702"/>
      <c r="AC139" s="1702"/>
      <c r="AD139" s="1702"/>
    </row>
    <row r="140" spans="1:30">
      <c r="A140" s="2688">
        <v>125</v>
      </c>
      <c r="B140" s="2684" t="s">
        <v>4519</v>
      </c>
      <c r="C140" s="2689" t="s">
        <v>4520</v>
      </c>
      <c r="D140" s="2690" t="s">
        <v>4521</v>
      </c>
      <c r="E140" s="2691"/>
      <c r="F140" s="2688">
        <v>449</v>
      </c>
      <c r="G140" s="2684" t="s">
        <v>4522</v>
      </c>
      <c r="H140" s="2689" t="s">
        <v>4523</v>
      </c>
      <c r="I140" s="2690" t="s">
        <v>4524</v>
      </c>
      <c r="J140" s="2691"/>
      <c r="K140" s="2688">
        <v>773</v>
      </c>
      <c r="L140" s="2684" t="s">
        <v>4525</v>
      </c>
      <c r="M140" s="2689" t="s">
        <v>4526</v>
      </c>
      <c r="N140" s="2690" t="s">
        <v>4527</v>
      </c>
      <c r="O140" s="2691"/>
      <c r="P140" s="2688">
        <v>1097</v>
      </c>
      <c r="Q140" s="2684" t="s">
        <v>4528</v>
      </c>
      <c r="R140" s="2689" t="s">
        <v>4529</v>
      </c>
      <c r="S140" s="2690" t="s">
        <v>4530</v>
      </c>
      <c r="T140" s="1702"/>
      <c r="U140" s="1702"/>
      <c r="V140" s="1702"/>
      <c r="W140" s="1702"/>
      <c r="X140" s="1702"/>
      <c r="Y140" s="1702"/>
      <c r="Z140" s="1702"/>
      <c r="AA140" s="1702"/>
      <c r="AB140" s="1702"/>
      <c r="AC140" s="1702"/>
      <c r="AD140" s="1702"/>
    </row>
    <row r="141" spans="1:30">
      <c r="A141" s="2688">
        <v>126</v>
      </c>
      <c r="B141" s="2684">
        <v>2618</v>
      </c>
      <c r="C141" s="2689" t="s">
        <v>4531</v>
      </c>
      <c r="D141" s="2690" t="s">
        <v>4532</v>
      </c>
      <c r="E141" s="2691"/>
      <c r="F141" s="2688">
        <v>450</v>
      </c>
      <c r="G141" s="2684" t="s">
        <v>4533</v>
      </c>
      <c r="H141" s="2689" t="s">
        <v>4534</v>
      </c>
      <c r="I141" s="2690" t="s">
        <v>4535</v>
      </c>
      <c r="J141" s="2691"/>
      <c r="K141" s="2688">
        <v>774</v>
      </c>
      <c r="L141" s="2684" t="s">
        <v>4536</v>
      </c>
      <c r="M141" s="2689" t="s">
        <v>4537</v>
      </c>
      <c r="N141" s="2690" t="s">
        <v>4538</v>
      </c>
      <c r="O141" s="2691"/>
      <c r="P141" s="2688">
        <v>1098</v>
      </c>
      <c r="Q141" s="2684" t="s">
        <v>4539</v>
      </c>
      <c r="R141" s="2689" t="s">
        <v>4540</v>
      </c>
      <c r="S141" s="2690" t="s">
        <v>4541</v>
      </c>
      <c r="T141" s="1702"/>
      <c r="U141" s="1702"/>
      <c r="V141" s="1702"/>
      <c r="W141" s="1702"/>
      <c r="X141" s="1702"/>
      <c r="Y141" s="1702"/>
      <c r="Z141" s="1702"/>
      <c r="AA141" s="1702"/>
      <c r="AB141" s="1702"/>
      <c r="AC141" s="1702"/>
      <c r="AD141" s="1702"/>
    </row>
    <row r="142" spans="1:30">
      <c r="A142" s="2688">
        <v>127</v>
      </c>
      <c r="B142" s="2684" t="s">
        <v>4542</v>
      </c>
      <c r="C142" s="2689" t="s">
        <v>4543</v>
      </c>
      <c r="D142" s="2690" t="s">
        <v>4544</v>
      </c>
      <c r="E142" s="2691"/>
      <c r="F142" s="2688">
        <v>451</v>
      </c>
      <c r="G142" s="2684" t="s">
        <v>4545</v>
      </c>
      <c r="H142" s="2689" t="s">
        <v>4546</v>
      </c>
      <c r="I142" s="2690" t="s">
        <v>4547</v>
      </c>
      <c r="J142" s="2691"/>
      <c r="K142" s="2688">
        <v>775</v>
      </c>
      <c r="L142" s="2684" t="s">
        <v>4548</v>
      </c>
      <c r="M142" s="2689" t="s">
        <v>4549</v>
      </c>
      <c r="N142" s="2690" t="s">
        <v>4550</v>
      </c>
      <c r="O142" s="2691"/>
      <c r="P142" s="2688">
        <v>1099</v>
      </c>
      <c r="Q142" s="2684" t="s">
        <v>4551</v>
      </c>
      <c r="R142" s="2689" t="s">
        <v>4552</v>
      </c>
      <c r="S142" s="2690" t="s">
        <v>4553</v>
      </c>
      <c r="T142" s="1702"/>
      <c r="U142" s="1702"/>
      <c r="V142" s="1702"/>
      <c r="W142" s="1702"/>
      <c r="X142" s="1702"/>
      <c r="Y142" s="1702"/>
      <c r="Z142" s="1702"/>
      <c r="AA142" s="1702"/>
      <c r="AB142" s="1702"/>
      <c r="AC142" s="1702"/>
      <c r="AD142" s="1702"/>
    </row>
    <row r="143" spans="1:30" ht="25.5">
      <c r="A143" s="2688">
        <v>128</v>
      </c>
      <c r="B143" s="2684" t="s">
        <v>4554</v>
      </c>
      <c r="C143" s="2689" t="s">
        <v>4555</v>
      </c>
      <c r="D143" s="2690" t="s">
        <v>4556</v>
      </c>
      <c r="E143" s="2691"/>
      <c r="F143" s="2688">
        <v>452</v>
      </c>
      <c r="G143" s="2684" t="s">
        <v>4557</v>
      </c>
      <c r="H143" s="2689" t="s">
        <v>4558</v>
      </c>
      <c r="I143" s="2690" t="s">
        <v>4559</v>
      </c>
      <c r="J143" s="2691"/>
      <c r="K143" s="2688">
        <v>776</v>
      </c>
      <c r="L143" s="2684" t="s">
        <v>4560</v>
      </c>
      <c r="M143" s="2689" t="s">
        <v>4561</v>
      </c>
      <c r="N143" s="2690" t="s">
        <v>4562</v>
      </c>
      <c r="O143" s="2691"/>
      <c r="P143" s="2688">
        <v>1100</v>
      </c>
      <c r="Q143" s="2684" t="s">
        <v>4563</v>
      </c>
      <c r="R143" s="2689" t="s">
        <v>4564</v>
      </c>
      <c r="S143" s="2690" t="s">
        <v>4565</v>
      </c>
      <c r="T143" s="1702"/>
      <c r="U143" s="1702"/>
      <c r="V143" s="1702"/>
      <c r="W143" s="1702"/>
      <c r="X143" s="1702"/>
      <c r="Y143" s="1702"/>
      <c r="Z143" s="1702"/>
      <c r="AA143" s="1702"/>
      <c r="AB143" s="1702"/>
      <c r="AC143" s="1702"/>
      <c r="AD143" s="1702"/>
    </row>
    <row r="144" spans="1:30">
      <c r="A144" s="2688">
        <v>129</v>
      </c>
      <c r="B144" s="2684">
        <v>2692</v>
      </c>
      <c r="C144" s="2689" t="s">
        <v>4566</v>
      </c>
      <c r="D144" s="2690" t="s">
        <v>4567</v>
      </c>
      <c r="E144" s="2691"/>
      <c r="F144" s="2688">
        <v>453</v>
      </c>
      <c r="G144" s="2684" t="s">
        <v>4568</v>
      </c>
      <c r="H144" s="2689" t="s">
        <v>4569</v>
      </c>
      <c r="I144" s="2690" t="s">
        <v>4570</v>
      </c>
      <c r="J144" s="2691"/>
      <c r="K144" s="2688">
        <v>777</v>
      </c>
      <c r="L144" s="2684" t="s">
        <v>4571</v>
      </c>
      <c r="M144" s="2689" t="s">
        <v>4572</v>
      </c>
      <c r="N144" s="2690" t="s">
        <v>4573</v>
      </c>
      <c r="O144" s="2691"/>
      <c r="P144" s="2688">
        <v>1101</v>
      </c>
      <c r="Q144" s="2684" t="s">
        <v>4574</v>
      </c>
      <c r="R144" s="2689" t="s">
        <v>4575</v>
      </c>
      <c r="S144" s="2690" t="s">
        <v>4576</v>
      </c>
      <c r="T144" s="1702"/>
      <c r="U144" s="1702"/>
      <c r="V144" s="1702"/>
      <c r="W144" s="1702"/>
      <c r="X144" s="1702"/>
      <c r="Y144" s="1702"/>
      <c r="Z144" s="1702"/>
      <c r="AA144" s="1702"/>
      <c r="AB144" s="1702"/>
      <c r="AC144" s="1702"/>
      <c r="AD144" s="1702"/>
    </row>
    <row r="145" spans="1:30">
      <c r="A145" s="2688">
        <v>130</v>
      </c>
      <c r="B145" s="2684">
        <v>2693</v>
      </c>
      <c r="C145" s="2689" t="s">
        <v>4577</v>
      </c>
      <c r="D145" s="2690" t="s">
        <v>4578</v>
      </c>
      <c r="E145" s="2691"/>
      <c r="F145" s="2688">
        <v>454</v>
      </c>
      <c r="G145" s="2684" t="s">
        <v>4579</v>
      </c>
      <c r="H145" s="2689" t="s">
        <v>4580</v>
      </c>
      <c r="I145" s="2690" t="s">
        <v>4581</v>
      </c>
      <c r="J145" s="2691"/>
      <c r="K145" s="2688">
        <v>778</v>
      </c>
      <c r="L145" s="2684" t="s">
        <v>4582</v>
      </c>
      <c r="M145" s="2689" t="s">
        <v>4583</v>
      </c>
      <c r="N145" s="2690" t="s">
        <v>4584</v>
      </c>
      <c r="O145" s="2691"/>
      <c r="P145" s="2688">
        <v>1102</v>
      </c>
      <c r="Q145" s="2684" t="s">
        <v>4585</v>
      </c>
      <c r="R145" s="2689" t="s">
        <v>4586</v>
      </c>
      <c r="S145" s="2690" t="s">
        <v>4587</v>
      </c>
      <c r="T145" s="1702"/>
      <c r="U145" s="1702"/>
      <c r="V145" s="1702"/>
      <c r="W145" s="1702"/>
      <c r="X145" s="1702"/>
      <c r="Y145" s="1702"/>
      <c r="Z145" s="1702"/>
      <c r="AA145" s="1702"/>
      <c r="AB145" s="1702"/>
      <c r="AC145" s="1702"/>
      <c r="AD145" s="1702"/>
    </row>
    <row r="146" spans="1:30">
      <c r="A146" s="2688">
        <v>131</v>
      </c>
      <c r="B146" s="2684">
        <v>2694</v>
      </c>
      <c r="C146" s="2689" t="s">
        <v>4588</v>
      </c>
      <c r="E146" s="2691"/>
      <c r="F146" s="2688">
        <v>455</v>
      </c>
      <c r="G146" s="2684" t="s">
        <v>4589</v>
      </c>
      <c r="H146" s="2689" t="s">
        <v>4590</v>
      </c>
      <c r="I146" s="2690" t="s">
        <v>4591</v>
      </c>
      <c r="J146" s="2691"/>
      <c r="K146" s="2688">
        <v>779</v>
      </c>
      <c r="L146" s="2684" t="s">
        <v>4592</v>
      </c>
      <c r="M146" s="2689" t="s">
        <v>4593</v>
      </c>
      <c r="N146" s="2690" t="s">
        <v>4594</v>
      </c>
      <c r="O146" s="2691"/>
      <c r="P146" s="2688">
        <v>1103</v>
      </c>
      <c r="Q146" s="2684" t="s">
        <v>4595</v>
      </c>
      <c r="R146" s="2689" t="s">
        <v>4596</v>
      </c>
      <c r="S146" s="2690" t="s">
        <v>4597</v>
      </c>
      <c r="T146" s="1702"/>
      <c r="U146" s="1702"/>
      <c r="V146" s="1702"/>
      <c r="W146" s="1702"/>
      <c r="X146" s="1702"/>
      <c r="Y146" s="1702"/>
      <c r="Z146" s="1702"/>
      <c r="AA146" s="1702"/>
      <c r="AB146" s="1702"/>
      <c r="AC146" s="1702"/>
      <c r="AD146" s="1702"/>
    </row>
    <row r="147" spans="1:30">
      <c r="A147" s="2688">
        <v>132</v>
      </c>
      <c r="B147" s="2684">
        <v>2695</v>
      </c>
      <c r="C147" s="2689" t="s">
        <v>4598</v>
      </c>
      <c r="E147" s="2691"/>
      <c r="F147" s="2688">
        <v>456</v>
      </c>
      <c r="G147" s="2684" t="s">
        <v>4599</v>
      </c>
      <c r="H147" s="2689" t="s">
        <v>4600</v>
      </c>
      <c r="I147" s="2690" t="s">
        <v>4601</v>
      </c>
      <c r="J147" s="2691"/>
      <c r="K147" s="2688">
        <v>780</v>
      </c>
      <c r="L147" s="2684" t="s">
        <v>4602</v>
      </c>
      <c r="M147" s="2689" t="s">
        <v>4603</v>
      </c>
      <c r="N147" s="2690" t="s">
        <v>4604</v>
      </c>
      <c r="O147" s="2691"/>
      <c r="P147" s="2688">
        <v>1104</v>
      </c>
      <c r="Q147" s="2684" t="s">
        <v>4605</v>
      </c>
      <c r="R147" s="2689" t="s">
        <v>4606</v>
      </c>
      <c r="S147" s="2690" t="s">
        <v>4607</v>
      </c>
      <c r="T147" s="1702"/>
      <c r="U147" s="1702"/>
      <c r="V147" s="1702"/>
      <c r="W147" s="1702"/>
      <c r="X147" s="1702"/>
      <c r="Y147" s="1702"/>
      <c r="Z147" s="1702"/>
      <c r="AA147" s="1702"/>
      <c r="AB147" s="1702"/>
      <c r="AC147" s="1702"/>
      <c r="AD147" s="1702"/>
    </row>
    <row r="148" spans="1:30">
      <c r="A148" s="2688">
        <v>133</v>
      </c>
      <c r="B148" s="2684">
        <v>2696</v>
      </c>
      <c r="C148" s="2689" t="s">
        <v>4608</v>
      </c>
      <c r="E148" s="2691"/>
      <c r="F148" s="2688">
        <v>457</v>
      </c>
      <c r="G148" s="2684" t="s">
        <v>4609</v>
      </c>
      <c r="H148" s="2689" t="s">
        <v>4610</v>
      </c>
      <c r="I148" s="2690" t="s">
        <v>4611</v>
      </c>
      <c r="J148" s="2691"/>
      <c r="K148" s="2688">
        <v>781</v>
      </c>
      <c r="L148" s="2684" t="s">
        <v>4612</v>
      </c>
      <c r="M148" s="2689" t="s">
        <v>4613</v>
      </c>
      <c r="N148" s="2690" t="s">
        <v>4614</v>
      </c>
      <c r="O148" s="2691"/>
      <c r="P148" s="2688">
        <v>1105</v>
      </c>
      <c r="Q148" s="2684" t="s">
        <v>4615</v>
      </c>
      <c r="R148" s="2689" t="s">
        <v>4616</v>
      </c>
      <c r="S148" s="2690" t="s">
        <v>4617</v>
      </c>
      <c r="T148" s="1702"/>
      <c r="U148" s="1702"/>
      <c r="V148" s="1702"/>
      <c r="W148" s="1702"/>
      <c r="X148" s="1702"/>
      <c r="Y148" s="1702"/>
      <c r="Z148" s="1702"/>
      <c r="AA148" s="1702"/>
      <c r="AB148" s="1702"/>
      <c r="AC148" s="1702"/>
      <c r="AD148" s="1702"/>
    </row>
    <row r="149" spans="1:30" ht="38.25">
      <c r="A149" s="2688">
        <v>134</v>
      </c>
      <c r="B149" s="2684">
        <v>2697</v>
      </c>
      <c r="C149" s="2689" t="s">
        <v>4618</v>
      </c>
      <c r="E149" s="2691"/>
      <c r="F149" s="2688">
        <v>458</v>
      </c>
      <c r="G149" s="2684" t="s">
        <v>4619</v>
      </c>
      <c r="H149" s="2689" t="s">
        <v>4620</v>
      </c>
      <c r="I149" s="2690" t="s">
        <v>4621</v>
      </c>
      <c r="J149" s="2691"/>
      <c r="K149" s="2688">
        <v>782</v>
      </c>
      <c r="L149" s="2684" t="s">
        <v>4622</v>
      </c>
      <c r="M149" s="2689" t="s">
        <v>4623</v>
      </c>
      <c r="N149" s="2690" t="s">
        <v>4624</v>
      </c>
      <c r="O149" s="2691"/>
      <c r="P149" s="2688">
        <v>1106</v>
      </c>
      <c r="Q149" s="2684" t="s">
        <v>4625</v>
      </c>
      <c r="R149" s="2689" t="s">
        <v>4626</v>
      </c>
      <c r="S149" s="2690" t="s">
        <v>4627</v>
      </c>
      <c r="T149" s="1702"/>
      <c r="U149" s="1702"/>
      <c r="V149" s="1702"/>
      <c r="W149" s="1702"/>
      <c r="X149" s="1702"/>
      <c r="Y149" s="1702"/>
      <c r="Z149" s="1702"/>
      <c r="AA149" s="1702"/>
      <c r="AB149" s="1702"/>
      <c r="AC149" s="1702"/>
      <c r="AD149" s="1702"/>
    </row>
    <row r="150" spans="1:30">
      <c r="A150" s="2688">
        <v>135</v>
      </c>
      <c r="B150" s="2684">
        <v>2699</v>
      </c>
      <c r="C150" s="2689" t="s">
        <v>4628</v>
      </c>
      <c r="D150" s="2690" t="s">
        <v>4629</v>
      </c>
      <c r="E150" s="2691"/>
      <c r="F150" s="2688">
        <v>459</v>
      </c>
      <c r="G150" s="2684" t="s">
        <v>4630</v>
      </c>
      <c r="H150" s="2689" t="s">
        <v>4631</v>
      </c>
      <c r="I150" s="2690" t="s">
        <v>4632</v>
      </c>
      <c r="J150" s="2691"/>
      <c r="K150" s="2688">
        <v>783</v>
      </c>
      <c r="L150" s="2684" t="s">
        <v>4633</v>
      </c>
      <c r="M150" s="2689" t="s">
        <v>4634</v>
      </c>
      <c r="N150" s="2690" t="s">
        <v>4635</v>
      </c>
      <c r="O150" s="2691"/>
      <c r="P150" s="2688">
        <v>1107</v>
      </c>
      <c r="Q150" s="2684" t="s">
        <v>4636</v>
      </c>
      <c r="R150" s="2689" t="s">
        <v>4637</v>
      </c>
      <c r="S150" s="2690" t="s">
        <v>4638</v>
      </c>
      <c r="T150" s="1702"/>
      <c r="U150" s="1702"/>
      <c r="V150" s="1702"/>
      <c r="W150" s="1702"/>
      <c r="X150" s="1702"/>
      <c r="Y150" s="1702"/>
      <c r="Z150" s="1702"/>
      <c r="AA150" s="1702"/>
      <c r="AB150" s="1702"/>
      <c r="AC150" s="1702"/>
      <c r="AD150" s="1702"/>
    </row>
    <row r="151" spans="1:30">
      <c r="A151" s="2688">
        <v>136</v>
      </c>
      <c r="B151" s="2684" t="s">
        <v>4639</v>
      </c>
      <c r="C151" s="2689" t="s">
        <v>4640</v>
      </c>
      <c r="D151" s="2690" t="s">
        <v>4641</v>
      </c>
      <c r="E151" s="2691"/>
      <c r="F151" s="2688">
        <v>460</v>
      </c>
      <c r="G151" s="2684" t="s">
        <v>4642</v>
      </c>
      <c r="H151" s="2689" t="s">
        <v>4643</v>
      </c>
      <c r="I151" s="2690" t="s">
        <v>4644</v>
      </c>
      <c r="J151" s="2691"/>
      <c r="K151" s="2688">
        <v>784</v>
      </c>
      <c r="L151" s="2684" t="s">
        <v>4645</v>
      </c>
      <c r="M151" s="2689" t="s">
        <v>4646</v>
      </c>
      <c r="N151" s="2690" t="s">
        <v>4647</v>
      </c>
      <c r="O151" s="2691"/>
      <c r="P151" s="2688">
        <v>1108</v>
      </c>
      <c r="Q151" s="2684" t="s">
        <v>4648</v>
      </c>
      <c r="R151" s="2689" t="s">
        <v>4649</v>
      </c>
      <c r="S151" s="2690" t="s">
        <v>4650</v>
      </c>
      <c r="T151" s="1702"/>
      <c r="U151" s="1702"/>
      <c r="V151" s="1702"/>
      <c r="W151" s="1702"/>
      <c r="X151" s="1702"/>
      <c r="Y151" s="1702"/>
      <c r="Z151" s="1702"/>
      <c r="AA151" s="1702"/>
      <c r="AB151" s="1702"/>
      <c r="AC151" s="1702"/>
      <c r="AD151" s="1702"/>
    </row>
    <row r="152" spans="1:30">
      <c r="A152" s="2688">
        <v>137</v>
      </c>
      <c r="B152" s="2684" t="s">
        <v>4651</v>
      </c>
      <c r="C152" s="2689" t="s">
        <v>4652</v>
      </c>
      <c r="D152" s="2690" t="s">
        <v>4653</v>
      </c>
      <c r="E152" s="2691"/>
      <c r="F152" s="2688">
        <v>461</v>
      </c>
      <c r="G152" s="2684" t="s">
        <v>4654</v>
      </c>
      <c r="H152" s="2689" t="s">
        <v>4655</v>
      </c>
      <c r="I152" s="2690" t="s">
        <v>4656</v>
      </c>
      <c r="J152" s="2691"/>
      <c r="K152" s="2688">
        <v>785</v>
      </c>
      <c r="L152" s="2684" t="s">
        <v>4657</v>
      </c>
      <c r="M152" s="2689" t="s">
        <v>4658</v>
      </c>
      <c r="N152" s="2690" t="s">
        <v>4659</v>
      </c>
      <c r="O152" s="2691"/>
      <c r="P152" s="2688">
        <v>1109</v>
      </c>
      <c r="Q152" s="2684" t="s">
        <v>4660</v>
      </c>
      <c r="R152" s="2689" t="s">
        <v>4661</v>
      </c>
      <c r="S152" s="2690" t="s">
        <v>4662</v>
      </c>
      <c r="T152" s="1702"/>
      <c r="U152" s="1702"/>
      <c r="V152" s="1702"/>
      <c r="W152" s="1702"/>
      <c r="X152" s="1702"/>
      <c r="Y152" s="1702"/>
      <c r="Z152" s="1702"/>
      <c r="AA152" s="1702"/>
      <c r="AB152" s="1702"/>
      <c r="AC152" s="1702"/>
      <c r="AD152" s="1702"/>
    </row>
    <row r="153" spans="1:30">
      <c r="A153" s="2688">
        <v>138</v>
      </c>
      <c r="B153" s="2684" t="s">
        <v>4663</v>
      </c>
      <c r="C153" s="2689" t="s">
        <v>4664</v>
      </c>
      <c r="D153" s="2690" t="s">
        <v>4665</v>
      </c>
      <c r="E153" s="2691"/>
      <c r="F153" s="2688">
        <v>462</v>
      </c>
      <c r="G153" s="2684" t="s">
        <v>4666</v>
      </c>
      <c r="H153" s="2689" t="s">
        <v>4667</v>
      </c>
      <c r="I153" s="2690" t="s">
        <v>4668</v>
      </c>
      <c r="J153" s="2691"/>
      <c r="K153" s="2688">
        <v>786</v>
      </c>
      <c r="L153" s="2684" t="s">
        <v>4669</v>
      </c>
      <c r="M153" s="2689" t="s">
        <v>4670</v>
      </c>
      <c r="N153" s="2690" t="s">
        <v>4671</v>
      </c>
      <c r="O153" s="2691"/>
      <c r="P153" s="2688">
        <v>1110</v>
      </c>
      <c r="Q153" s="2684" t="s">
        <v>4672</v>
      </c>
      <c r="R153" s="2689" t="s">
        <v>4673</v>
      </c>
      <c r="S153" s="2690" t="s">
        <v>4674</v>
      </c>
      <c r="T153" s="1702"/>
      <c r="U153" s="1702"/>
      <c r="V153" s="1702"/>
      <c r="W153" s="1702"/>
      <c r="X153" s="1702"/>
      <c r="Y153" s="1702"/>
      <c r="Z153" s="1702"/>
      <c r="AA153" s="1702"/>
      <c r="AB153" s="1702"/>
      <c r="AC153" s="1702"/>
      <c r="AD153" s="1702"/>
    </row>
    <row r="154" spans="1:30">
      <c r="A154" s="2688">
        <v>139</v>
      </c>
      <c r="B154" s="2684" t="s">
        <v>4675</v>
      </c>
      <c r="C154" s="2689" t="s">
        <v>4676</v>
      </c>
      <c r="D154" s="2690" t="s">
        <v>4677</v>
      </c>
      <c r="E154" s="2691"/>
      <c r="F154" s="2688">
        <v>463</v>
      </c>
      <c r="G154" s="2684" t="s">
        <v>4678</v>
      </c>
      <c r="H154" s="2689" t="s">
        <v>4679</v>
      </c>
      <c r="I154" s="2690" t="s">
        <v>4680</v>
      </c>
      <c r="J154" s="2691"/>
      <c r="K154" s="2688">
        <v>787</v>
      </c>
      <c r="L154" s="2684" t="s">
        <v>4681</v>
      </c>
      <c r="M154" s="2689" t="s">
        <v>4682</v>
      </c>
      <c r="N154" s="2690" t="s">
        <v>4683</v>
      </c>
      <c r="O154" s="2691"/>
      <c r="P154" s="2688">
        <v>1111</v>
      </c>
      <c r="Q154" s="2684" t="s">
        <v>4684</v>
      </c>
      <c r="R154" s="2689" t="s">
        <v>4685</v>
      </c>
      <c r="S154" s="2690" t="s">
        <v>4686</v>
      </c>
      <c r="T154" s="1702"/>
      <c r="U154" s="1702"/>
      <c r="V154" s="1702"/>
      <c r="W154" s="1702"/>
      <c r="X154" s="1702"/>
      <c r="Y154" s="1702"/>
      <c r="Z154" s="1702"/>
      <c r="AA154" s="1702"/>
      <c r="AB154" s="1702"/>
      <c r="AC154" s="1702"/>
      <c r="AD154" s="1702"/>
    </row>
    <row r="155" spans="1:30">
      <c r="A155" s="2688">
        <v>140</v>
      </c>
      <c r="B155" s="2684" t="s">
        <v>4687</v>
      </c>
      <c r="C155" s="2689" t="s">
        <v>4688</v>
      </c>
      <c r="D155" s="2690" t="s">
        <v>4689</v>
      </c>
      <c r="E155" s="2691"/>
      <c r="F155" s="2688">
        <v>464</v>
      </c>
      <c r="G155" s="2684" t="s">
        <v>4690</v>
      </c>
      <c r="H155" s="2689" t="s">
        <v>4691</v>
      </c>
      <c r="I155" s="2690" t="s">
        <v>4692</v>
      </c>
      <c r="J155" s="2691"/>
      <c r="K155" s="2688">
        <v>788</v>
      </c>
      <c r="L155" s="2684" t="s">
        <v>4693</v>
      </c>
      <c r="M155" s="2689" t="s">
        <v>4694</v>
      </c>
      <c r="N155" s="2690" t="s">
        <v>4695</v>
      </c>
      <c r="O155" s="2691"/>
      <c r="P155" s="2688">
        <v>1112</v>
      </c>
      <c r="Q155" s="2684" t="s">
        <v>4696</v>
      </c>
      <c r="R155" s="2689" t="s">
        <v>4697</v>
      </c>
      <c r="S155" s="2690" t="s">
        <v>1361</v>
      </c>
      <c r="T155" s="1702"/>
      <c r="U155" s="1702"/>
      <c r="V155" s="1702"/>
      <c r="W155" s="1702"/>
      <c r="X155" s="1702"/>
      <c r="Y155" s="1702"/>
      <c r="Z155" s="1702"/>
      <c r="AA155" s="1702"/>
      <c r="AB155" s="1702"/>
      <c r="AC155" s="1702"/>
      <c r="AD155" s="1702"/>
    </row>
    <row r="156" spans="1:30">
      <c r="A156" s="2688">
        <v>141</v>
      </c>
      <c r="B156" s="2684" t="s">
        <v>4698</v>
      </c>
      <c r="C156" s="2689" t="s">
        <v>4699</v>
      </c>
      <c r="D156" s="2690" t="s">
        <v>4700</v>
      </c>
      <c r="E156" s="2691"/>
      <c r="F156" s="2688">
        <v>465</v>
      </c>
      <c r="G156" s="2684" t="s">
        <v>4701</v>
      </c>
      <c r="H156" s="2689" t="s">
        <v>4702</v>
      </c>
      <c r="I156" s="2690" t="s">
        <v>4703</v>
      </c>
      <c r="J156" s="2691"/>
      <c r="K156" s="2688">
        <v>789</v>
      </c>
      <c r="L156" s="2684" t="s">
        <v>4704</v>
      </c>
      <c r="M156" s="2689" t="s">
        <v>4705</v>
      </c>
      <c r="N156" s="2690" t="s">
        <v>4706</v>
      </c>
      <c r="O156" s="2691"/>
      <c r="P156" s="2688">
        <v>1113</v>
      </c>
      <c r="Q156" s="2684" t="s">
        <v>4707</v>
      </c>
      <c r="R156" s="2689" t="s">
        <v>4708</v>
      </c>
      <c r="S156" s="2690" t="s">
        <v>4709</v>
      </c>
      <c r="T156" s="1702"/>
      <c r="U156" s="1702"/>
      <c r="V156" s="1702"/>
      <c r="W156" s="1702"/>
      <c r="X156" s="1702"/>
      <c r="Y156" s="1702"/>
      <c r="Z156" s="1702"/>
      <c r="AA156" s="1702"/>
      <c r="AB156" s="1702"/>
      <c r="AC156" s="1702"/>
      <c r="AD156" s="1702"/>
    </row>
    <row r="157" spans="1:30">
      <c r="A157" s="2688">
        <v>142</v>
      </c>
      <c r="B157" s="2684" t="s">
        <v>4710</v>
      </c>
      <c r="C157" s="2689" t="s">
        <v>4711</v>
      </c>
      <c r="D157" s="2690" t="s">
        <v>4712</v>
      </c>
      <c r="E157" s="2691"/>
      <c r="F157" s="2688">
        <v>466</v>
      </c>
      <c r="G157" s="2684" t="s">
        <v>4713</v>
      </c>
      <c r="H157" s="2689" t="s">
        <v>4714</v>
      </c>
      <c r="I157" s="2690" t="s">
        <v>4715</v>
      </c>
      <c r="J157" s="2691"/>
      <c r="K157" s="2688">
        <v>790</v>
      </c>
      <c r="L157" s="2684" t="s">
        <v>4716</v>
      </c>
      <c r="M157" s="2689" t="s">
        <v>4717</v>
      </c>
      <c r="N157" s="2690" t="s">
        <v>4718</v>
      </c>
      <c r="O157" s="2691"/>
      <c r="P157" s="2688">
        <v>1114</v>
      </c>
      <c r="Q157" s="2684" t="s">
        <v>4719</v>
      </c>
      <c r="R157" s="2689" t="s">
        <v>4720</v>
      </c>
      <c r="S157" s="2690" t="s">
        <v>737</v>
      </c>
      <c r="T157" s="1702"/>
      <c r="U157" s="1702"/>
      <c r="V157" s="1702"/>
      <c r="W157" s="1702"/>
      <c r="X157" s="1702"/>
      <c r="Y157" s="1702"/>
      <c r="Z157" s="1702"/>
      <c r="AA157" s="1702"/>
      <c r="AB157" s="1702"/>
      <c r="AC157" s="1702"/>
      <c r="AD157" s="1702"/>
    </row>
    <row r="158" spans="1:30" ht="25.5">
      <c r="A158" s="2688">
        <v>143</v>
      </c>
      <c r="B158" s="2684" t="s">
        <v>4721</v>
      </c>
      <c r="C158" s="2689" t="s">
        <v>4722</v>
      </c>
      <c r="D158" s="2690" t="s">
        <v>4723</v>
      </c>
      <c r="E158" s="2691"/>
      <c r="F158" s="2688">
        <v>467</v>
      </c>
      <c r="G158" s="2684" t="s">
        <v>4724</v>
      </c>
      <c r="H158" s="2689" t="s">
        <v>4725</v>
      </c>
      <c r="I158" s="2690" t="s">
        <v>4726</v>
      </c>
      <c r="J158" s="2691"/>
      <c r="K158" s="2688">
        <v>791</v>
      </c>
      <c r="L158" s="2684" t="s">
        <v>4727</v>
      </c>
      <c r="M158" s="2689" t="s">
        <v>4728</v>
      </c>
      <c r="N158" s="2690" t="s">
        <v>4729</v>
      </c>
      <c r="O158" s="2691"/>
      <c r="P158" s="2688">
        <v>1115</v>
      </c>
      <c r="Q158" s="2684" t="s">
        <v>4730</v>
      </c>
      <c r="R158" s="2689" t="s">
        <v>4731</v>
      </c>
      <c r="S158" s="2690" t="s">
        <v>4732</v>
      </c>
      <c r="T158" s="1702"/>
      <c r="U158" s="1702"/>
      <c r="V158" s="1702"/>
      <c r="W158" s="1702"/>
      <c r="X158" s="1702"/>
      <c r="Y158" s="1702"/>
      <c r="Z158" s="1702"/>
      <c r="AA158" s="1702"/>
      <c r="AB158" s="1702"/>
      <c r="AC158" s="1702"/>
      <c r="AD158" s="1702"/>
    </row>
    <row r="159" spans="1:30" ht="25.5">
      <c r="A159" s="2688">
        <v>144</v>
      </c>
      <c r="B159" s="2684" t="s">
        <v>4733</v>
      </c>
      <c r="C159" s="2689" t="s">
        <v>4734</v>
      </c>
      <c r="D159" s="2690" t="s">
        <v>4735</v>
      </c>
      <c r="E159" s="2691"/>
      <c r="F159" s="2688">
        <v>468</v>
      </c>
      <c r="G159" s="2684" t="s">
        <v>4736</v>
      </c>
      <c r="H159" s="2689" t="s">
        <v>4737</v>
      </c>
      <c r="I159" s="2690" t="s">
        <v>4738</v>
      </c>
      <c r="J159" s="2691"/>
      <c r="K159" s="2688">
        <v>792</v>
      </c>
      <c r="L159" s="2684" t="s">
        <v>4739</v>
      </c>
      <c r="M159" s="2689" t="s">
        <v>4740</v>
      </c>
      <c r="N159" s="2690" t="s">
        <v>4741</v>
      </c>
      <c r="O159" s="2691"/>
      <c r="P159" s="2688">
        <v>1116</v>
      </c>
      <c r="Q159" s="2684" t="s">
        <v>4742</v>
      </c>
      <c r="R159" s="2689" t="s">
        <v>4743</v>
      </c>
      <c r="S159" s="2690" t="s">
        <v>4744</v>
      </c>
      <c r="T159" s="1702"/>
      <c r="U159" s="1702"/>
      <c r="V159" s="1702"/>
      <c r="W159" s="1702"/>
      <c r="X159" s="1702"/>
      <c r="Y159" s="1702"/>
      <c r="Z159" s="1702"/>
      <c r="AA159" s="1702"/>
      <c r="AB159" s="1702"/>
      <c r="AC159" s="1702"/>
      <c r="AD159" s="1702"/>
    </row>
    <row r="160" spans="1:30" ht="25.5">
      <c r="A160" s="2688">
        <v>145</v>
      </c>
      <c r="B160" s="2684" t="s">
        <v>4745</v>
      </c>
      <c r="C160" s="2689" t="s">
        <v>4746</v>
      </c>
      <c r="D160" s="2690" t="s">
        <v>4747</v>
      </c>
      <c r="E160" s="2691"/>
      <c r="F160" s="2688">
        <v>469</v>
      </c>
      <c r="G160" s="2684" t="s">
        <v>4748</v>
      </c>
      <c r="H160" s="2689" t="s">
        <v>4749</v>
      </c>
      <c r="I160" s="2690" t="s">
        <v>4750</v>
      </c>
      <c r="J160" s="2691"/>
      <c r="K160" s="2688">
        <v>793</v>
      </c>
      <c r="L160" s="2684" t="s">
        <v>4751</v>
      </c>
      <c r="M160" s="2689" t="s">
        <v>4752</v>
      </c>
      <c r="N160" s="2690" t="s">
        <v>4753</v>
      </c>
      <c r="O160" s="2691"/>
      <c r="P160" s="2688">
        <v>1117</v>
      </c>
      <c r="Q160" s="2684" t="s">
        <v>4754</v>
      </c>
      <c r="R160" s="2689" t="s">
        <v>4755</v>
      </c>
      <c r="S160" s="2690" t="s">
        <v>4756</v>
      </c>
      <c r="T160" s="1702"/>
      <c r="U160" s="1702"/>
      <c r="V160" s="1702"/>
      <c r="W160" s="1702"/>
      <c r="X160" s="1702"/>
      <c r="Y160" s="1702"/>
      <c r="Z160" s="1702"/>
      <c r="AA160" s="1702"/>
      <c r="AB160" s="1702"/>
      <c r="AC160" s="1702"/>
      <c r="AD160" s="1702"/>
    </row>
    <row r="161" spans="1:30">
      <c r="A161" s="2688">
        <v>146</v>
      </c>
      <c r="B161" s="2684" t="s">
        <v>4757</v>
      </c>
      <c r="C161" s="2689" t="s">
        <v>4758</v>
      </c>
      <c r="D161" s="2690" t="s">
        <v>4759</v>
      </c>
      <c r="E161" s="2691"/>
      <c r="F161" s="2688">
        <v>470</v>
      </c>
      <c r="G161" s="2684" t="s">
        <v>4760</v>
      </c>
      <c r="H161" s="2689" t="s">
        <v>4761</v>
      </c>
      <c r="I161" s="2690" t="s">
        <v>4762</v>
      </c>
      <c r="J161" s="2691"/>
      <c r="K161" s="2688">
        <v>794</v>
      </c>
      <c r="L161" s="2684" t="s">
        <v>4763</v>
      </c>
      <c r="M161" s="2689" t="s">
        <v>4764</v>
      </c>
      <c r="N161" s="2690" t="s">
        <v>4765</v>
      </c>
      <c r="O161" s="2691"/>
      <c r="P161" s="2688">
        <v>1118</v>
      </c>
      <c r="Q161" s="2684" t="s">
        <v>4766</v>
      </c>
      <c r="R161" s="2689" t="s">
        <v>4767</v>
      </c>
      <c r="S161" s="2690" t="s">
        <v>4768</v>
      </c>
      <c r="T161" s="1702"/>
      <c r="U161" s="1702"/>
      <c r="V161" s="1702"/>
      <c r="W161" s="1702"/>
      <c r="X161" s="1702"/>
      <c r="Y161" s="1702"/>
      <c r="Z161" s="1702"/>
      <c r="AA161" s="1702"/>
      <c r="AB161" s="1702"/>
      <c r="AC161" s="1702"/>
      <c r="AD161" s="1702"/>
    </row>
    <row r="162" spans="1:30">
      <c r="A162" s="2688">
        <v>147</v>
      </c>
      <c r="B162" s="2684" t="s">
        <v>4769</v>
      </c>
      <c r="C162" s="2689" t="s">
        <v>4770</v>
      </c>
      <c r="D162" s="2690" t="s">
        <v>4771</v>
      </c>
      <c r="E162" s="2691"/>
      <c r="F162" s="2688">
        <v>471</v>
      </c>
      <c r="G162" s="2684" t="s">
        <v>4772</v>
      </c>
      <c r="H162" s="2689" t="s">
        <v>4773</v>
      </c>
      <c r="I162" s="2690" t="s">
        <v>4774</v>
      </c>
      <c r="J162" s="2691"/>
      <c r="K162" s="2688">
        <v>795</v>
      </c>
      <c r="L162" s="2684" t="s">
        <v>4775</v>
      </c>
      <c r="M162" s="2689" t="s">
        <v>4776</v>
      </c>
      <c r="N162" s="2690" t="s">
        <v>4777</v>
      </c>
      <c r="O162" s="2691"/>
      <c r="P162" s="2688">
        <v>1119</v>
      </c>
      <c r="Q162" s="2684" t="s">
        <v>4778</v>
      </c>
      <c r="R162" s="2689" t="s">
        <v>4779</v>
      </c>
      <c r="S162" s="2690" t="s">
        <v>4780</v>
      </c>
      <c r="T162" s="1702"/>
      <c r="U162" s="1702"/>
      <c r="V162" s="1702"/>
      <c r="W162" s="1702"/>
      <c r="X162" s="1702"/>
      <c r="Y162" s="1702"/>
      <c r="Z162" s="1702"/>
      <c r="AA162" s="1702"/>
      <c r="AB162" s="1702"/>
      <c r="AC162" s="1702"/>
      <c r="AD162" s="1702"/>
    </row>
    <row r="163" spans="1:30">
      <c r="A163" s="2688">
        <v>148</v>
      </c>
      <c r="B163" s="2684" t="s">
        <v>4781</v>
      </c>
      <c r="C163" s="2689" t="s">
        <v>4782</v>
      </c>
      <c r="D163" s="2690" t="s">
        <v>4783</v>
      </c>
      <c r="E163" s="2691"/>
      <c r="F163" s="2688">
        <v>472</v>
      </c>
      <c r="G163" s="2684" t="s">
        <v>4784</v>
      </c>
      <c r="H163" s="2689" t="s">
        <v>4785</v>
      </c>
      <c r="I163" s="2690" t="s">
        <v>4786</v>
      </c>
      <c r="J163" s="2691"/>
      <c r="K163" s="2688">
        <v>796</v>
      </c>
      <c r="L163" s="2684" t="s">
        <v>4787</v>
      </c>
      <c r="M163" s="2689" t="s">
        <v>4788</v>
      </c>
      <c r="N163" s="2690" t="s">
        <v>4789</v>
      </c>
      <c r="O163" s="2691"/>
      <c r="P163" s="2688">
        <v>1120</v>
      </c>
      <c r="Q163" s="2684" t="s">
        <v>4790</v>
      </c>
      <c r="R163" s="2689" t="s">
        <v>4791</v>
      </c>
      <c r="S163" s="2690" t="s">
        <v>4792</v>
      </c>
      <c r="T163" s="1702"/>
      <c r="U163" s="1702"/>
      <c r="V163" s="1702"/>
      <c r="W163" s="1702"/>
      <c r="X163" s="1702"/>
      <c r="Y163" s="1702"/>
      <c r="Z163" s="1702"/>
      <c r="AA163" s="1702"/>
      <c r="AB163" s="1702"/>
      <c r="AC163" s="1702"/>
      <c r="AD163" s="1702"/>
    </row>
    <row r="164" spans="1:30">
      <c r="A164" s="2688">
        <v>149</v>
      </c>
      <c r="B164" s="2684" t="s">
        <v>4793</v>
      </c>
      <c r="C164" s="2689" t="s">
        <v>4794</v>
      </c>
      <c r="D164" s="2690" t="s">
        <v>4795</v>
      </c>
      <c r="E164" s="2691"/>
      <c r="F164" s="2688">
        <v>473</v>
      </c>
      <c r="G164" s="2684" t="s">
        <v>4796</v>
      </c>
      <c r="H164" s="2689" t="s">
        <v>4797</v>
      </c>
      <c r="I164" s="2690" t="s">
        <v>4798</v>
      </c>
      <c r="J164" s="2691"/>
      <c r="K164" s="2688">
        <v>797</v>
      </c>
      <c r="L164" s="2684" t="s">
        <v>4799</v>
      </c>
      <c r="M164" s="2689" t="s">
        <v>4800</v>
      </c>
      <c r="N164" s="2690" t="s">
        <v>4801</v>
      </c>
      <c r="O164" s="2691"/>
      <c r="P164" s="2688">
        <v>1121</v>
      </c>
      <c r="Q164" s="2684" t="s">
        <v>4802</v>
      </c>
      <c r="R164" s="2689" t="s">
        <v>4803</v>
      </c>
      <c r="S164" s="2690" t="s">
        <v>118</v>
      </c>
      <c r="T164" s="1702"/>
      <c r="U164" s="1702"/>
      <c r="V164" s="1702"/>
      <c r="W164" s="1702"/>
      <c r="X164" s="1702"/>
      <c r="Y164" s="1702"/>
      <c r="Z164" s="1702"/>
      <c r="AA164" s="1702"/>
      <c r="AB164" s="1702"/>
      <c r="AC164" s="1702"/>
      <c r="AD164" s="1702"/>
    </row>
    <row r="165" spans="1:30">
      <c r="A165" s="2688">
        <v>150</v>
      </c>
      <c r="B165" s="2684" t="s">
        <v>4804</v>
      </c>
      <c r="C165" s="2689" t="s">
        <v>4805</v>
      </c>
      <c r="D165" s="2690" t="s">
        <v>4806</v>
      </c>
      <c r="E165" s="2691"/>
      <c r="F165" s="2688">
        <v>474</v>
      </c>
      <c r="G165" s="2684" t="s">
        <v>4807</v>
      </c>
      <c r="H165" s="2689" t="s">
        <v>4808</v>
      </c>
      <c r="I165" s="2690" t="s">
        <v>4809</v>
      </c>
      <c r="J165" s="2691"/>
      <c r="K165" s="2688">
        <v>798</v>
      </c>
      <c r="L165" s="2684" t="s">
        <v>4810</v>
      </c>
      <c r="M165" s="2689" t="s">
        <v>4811</v>
      </c>
      <c r="N165" s="2690" t="s">
        <v>4812</v>
      </c>
      <c r="O165" s="2691"/>
      <c r="P165" s="2688">
        <v>1122</v>
      </c>
      <c r="Q165" s="2684" t="s">
        <v>4813</v>
      </c>
      <c r="R165" s="2689" t="s">
        <v>4814</v>
      </c>
      <c r="S165" s="2690" t="s">
        <v>4815</v>
      </c>
      <c r="T165" s="1702"/>
      <c r="U165" s="1702"/>
      <c r="V165" s="1702"/>
      <c r="W165" s="1702"/>
      <c r="X165" s="1702"/>
      <c r="Y165" s="1702"/>
      <c r="Z165" s="1702"/>
      <c r="AA165" s="1702"/>
      <c r="AB165" s="1702"/>
      <c r="AC165" s="1702"/>
      <c r="AD165" s="1702"/>
    </row>
    <row r="166" spans="1:30">
      <c r="A166" s="2688">
        <v>151</v>
      </c>
      <c r="B166" s="2684" t="s">
        <v>4816</v>
      </c>
      <c r="C166" s="2689" t="s">
        <v>4817</v>
      </c>
      <c r="D166" s="2690" t="s">
        <v>4818</v>
      </c>
      <c r="E166" s="2691"/>
      <c r="F166" s="2688">
        <v>475</v>
      </c>
      <c r="G166" s="2684" t="s">
        <v>4819</v>
      </c>
      <c r="H166" s="2689" t="s">
        <v>4820</v>
      </c>
      <c r="I166" s="2690" t="s">
        <v>4821</v>
      </c>
      <c r="J166" s="2691"/>
      <c r="K166" s="2688">
        <v>799</v>
      </c>
      <c r="L166" s="2684" t="s">
        <v>4822</v>
      </c>
      <c r="M166" s="2689" t="s">
        <v>4823</v>
      </c>
      <c r="N166" s="2690" t="s">
        <v>4824</v>
      </c>
      <c r="O166" s="2691"/>
      <c r="P166" s="2688">
        <v>1123</v>
      </c>
      <c r="Q166" s="2684" t="s">
        <v>4825</v>
      </c>
      <c r="R166" s="2689" t="s">
        <v>4826</v>
      </c>
      <c r="S166" s="2690" t="s">
        <v>4827</v>
      </c>
      <c r="T166" s="1702"/>
      <c r="U166" s="1702"/>
      <c r="V166" s="1702"/>
      <c r="W166" s="1702"/>
      <c r="X166" s="1702"/>
      <c r="Y166" s="1702"/>
      <c r="Z166" s="1702"/>
      <c r="AA166" s="1702"/>
      <c r="AB166" s="1702"/>
      <c r="AC166" s="1702"/>
      <c r="AD166" s="1702"/>
    </row>
    <row r="167" spans="1:30">
      <c r="A167" s="2688">
        <v>152</v>
      </c>
      <c r="B167" s="2684" t="s">
        <v>4828</v>
      </c>
      <c r="C167" s="2689" t="s">
        <v>4829</v>
      </c>
      <c r="D167" s="2690" t="s">
        <v>4830</v>
      </c>
      <c r="E167" s="2691"/>
      <c r="F167" s="2688">
        <v>476</v>
      </c>
      <c r="G167" s="2684" t="s">
        <v>4831</v>
      </c>
      <c r="H167" s="2689" t="s">
        <v>4832</v>
      </c>
      <c r="I167" s="2690" t="s">
        <v>4833</v>
      </c>
      <c r="J167" s="2691"/>
      <c r="K167" s="2688">
        <v>800</v>
      </c>
      <c r="L167" s="2684" t="s">
        <v>4834</v>
      </c>
      <c r="M167" s="2689" t="s">
        <v>4835</v>
      </c>
      <c r="N167" s="2690" t="s">
        <v>4836</v>
      </c>
      <c r="O167" s="2691"/>
      <c r="P167" s="2688">
        <v>1124</v>
      </c>
      <c r="Q167" s="2684" t="s">
        <v>4837</v>
      </c>
      <c r="R167" s="2689" t="s">
        <v>4838</v>
      </c>
      <c r="S167" s="2690" t="s">
        <v>4839</v>
      </c>
      <c r="T167" s="1702"/>
      <c r="U167" s="1702"/>
      <c r="V167" s="1702"/>
      <c r="W167" s="1702"/>
      <c r="X167" s="1702"/>
      <c r="Y167" s="1702"/>
      <c r="Z167" s="1702"/>
      <c r="AA167" s="1702"/>
      <c r="AB167" s="1702"/>
      <c r="AC167" s="1702"/>
      <c r="AD167" s="1702"/>
    </row>
    <row r="168" spans="1:30">
      <c r="A168" s="2688">
        <v>153</v>
      </c>
      <c r="B168" s="2684" t="s">
        <v>4840</v>
      </c>
      <c r="C168" s="2689" t="s">
        <v>4841</v>
      </c>
      <c r="D168" s="2690" t="s">
        <v>4842</v>
      </c>
      <c r="E168" s="2691"/>
      <c r="F168" s="2688">
        <v>477</v>
      </c>
      <c r="G168" s="2684" t="s">
        <v>4843</v>
      </c>
      <c r="H168" s="2689" t="s">
        <v>4844</v>
      </c>
      <c r="I168" s="2690" t="s">
        <v>4845</v>
      </c>
      <c r="J168" s="2691"/>
      <c r="K168" s="2688">
        <v>801</v>
      </c>
      <c r="L168" s="2684" t="s">
        <v>4846</v>
      </c>
      <c r="M168" s="2689" t="s">
        <v>4847</v>
      </c>
      <c r="N168" s="2690" t="s">
        <v>4836</v>
      </c>
      <c r="O168" s="2691"/>
      <c r="P168" s="2688">
        <v>1125</v>
      </c>
      <c r="Q168" s="2684" t="s">
        <v>4848</v>
      </c>
      <c r="R168" s="2689" t="s">
        <v>4849</v>
      </c>
      <c r="S168" s="2690" t="s">
        <v>4850</v>
      </c>
      <c r="T168" s="1702"/>
      <c r="U168" s="1702"/>
      <c r="V168" s="1702"/>
      <c r="W168" s="1702"/>
      <c r="X168" s="1702"/>
      <c r="Y168" s="1702"/>
      <c r="Z168" s="1702"/>
      <c r="AA168" s="1702"/>
      <c r="AB168" s="1702"/>
      <c r="AC168" s="1702"/>
      <c r="AD168" s="1702"/>
    </row>
    <row r="169" spans="1:30">
      <c r="A169" s="2688">
        <v>154</v>
      </c>
      <c r="B169" s="2684" t="s">
        <v>4851</v>
      </c>
      <c r="C169" s="2689" t="s">
        <v>4852</v>
      </c>
      <c r="D169" s="2690" t="s">
        <v>4853</v>
      </c>
      <c r="E169" s="2691"/>
      <c r="F169" s="2688">
        <v>478</v>
      </c>
      <c r="G169" s="2684" t="s">
        <v>4854</v>
      </c>
      <c r="H169" s="2689" t="s">
        <v>4855</v>
      </c>
      <c r="I169" s="2690" t="s">
        <v>4856</v>
      </c>
      <c r="J169" s="2691"/>
      <c r="K169" s="2688">
        <v>802</v>
      </c>
      <c r="L169" s="2684" t="s">
        <v>4857</v>
      </c>
      <c r="M169" s="2689" t="s">
        <v>4858</v>
      </c>
      <c r="N169" s="2690" t="s">
        <v>4859</v>
      </c>
      <c r="O169" s="2691"/>
      <c r="P169" s="2688">
        <v>1126</v>
      </c>
      <c r="Q169" s="2684" t="s">
        <v>4860</v>
      </c>
      <c r="R169" s="2689" t="s">
        <v>4861</v>
      </c>
      <c r="S169" s="2690" t="s">
        <v>4862</v>
      </c>
      <c r="T169" s="1702"/>
      <c r="U169" s="1702"/>
      <c r="V169" s="1702"/>
      <c r="W169" s="1702"/>
      <c r="X169" s="1702"/>
      <c r="Y169" s="1702"/>
      <c r="Z169" s="1702"/>
      <c r="AA169" s="1702"/>
      <c r="AB169" s="1702"/>
      <c r="AC169" s="1702"/>
      <c r="AD169" s="1702"/>
    </row>
    <row r="170" spans="1:30" ht="25.5">
      <c r="A170" s="2688">
        <v>155</v>
      </c>
      <c r="B170" s="2684" t="s">
        <v>4863</v>
      </c>
      <c r="C170" s="2689" t="s">
        <v>4864</v>
      </c>
      <c r="D170" s="2690" t="s">
        <v>4865</v>
      </c>
      <c r="E170" s="2691"/>
      <c r="F170" s="2688">
        <v>479</v>
      </c>
      <c r="G170" s="2684" t="s">
        <v>4866</v>
      </c>
      <c r="H170" s="2689" t="s">
        <v>4867</v>
      </c>
      <c r="I170" s="2690" t="s">
        <v>4868</v>
      </c>
      <c r="J170" s="2691"/>
      <c r="K170" s="2688">
        <v>803</v>
      </c>
      <c r="L170" s="2684" t="s">
        <v>4869</v>
      </c>
      <c r="M170" s="2689" t="s">
        <v>4870</v>
      </c>
      <c r="N170" s="2690" t="s">
        <v>4169</v>
      </c>
      <c r="O170" s="2691"/>
      <c r="P170" s="2688">
        <v>1127</v>
      </c>
      <c r="Q170" s="2684" t="s">
        <v>4871</v>
      </c>
      <c r="R170" s="2689" t="s">
        <v>4872</v>
      </c>
      <c r="S170" s="2690" t="s">
        <v>4873</v>
      </c>
      <c r="T170" s="1702"/>
      <c r="U170" s="1702"/>
      <c r="V170" s="1702"/>
      <c r="W170" s="1702"/>
      <c r="X170" s="1702"/>
      <c r="Y170" s="1702"/>
      <c r="Z170" s="1702"/>
      <c r="AA170" s="1702"/>
      <c r="AB170" s="1702"/>
      <c r="AC170" s="1702"/>
      <c r="AD170" s="1702"/>
    </row>
    <row r="171" spans="1:30" ht="25.5">
      <c r="A171" s="2688">
        <v>156</v>
      </c>
      <c r="B171" s="2684" t="s">
        <v>4874</v>
      </c>
      <c r="C171" s="2689" t="s">
        <v>4875</v>
      </c>
      <c r="D171" s="2690" t="s">
        <v>4876</v>
      </c>
      <c r="E171" s="2691"/>
      <c r="F171" s="2688">
        <v>480</v>
      </c>
      <c r="G171" s="2684" t="s">
        <v>4877</v>
      </c>
      <c r="H171" s="2689" t="s">
        <v>4878</v>
      </c>
      <c r="I171" s="2690" t="s">
        <v>4879</v>
      </c>
      <c r="J171" s="2691"/>
      <c r="K171" s="2688">
        <v>804</v>
      </c>
      <c r="L171" s="2684" t="s">
        <v>4880</v>
      </c>
      <c r="M171" s="2689" t="s">
        <v>4881</v>
      </c>
      <c r="N171" s="2690" t="s">
        <v>4882</v>
      </c>
      <c r="O171" s="2691"/>
      <c r="P171" s="2688">
        <v>1128</v>
      </c>
      <c r="Q171" s="2684" t="s">
        <v>4883</v>
      </c>
      <c r="R171" s="2689" t="s">
        <v>4884</v>
      </c>
      <c r="S171" s="2690" t="s">
        <v>4885</v>
      </c>
      <c r="T171" s="1702"/>
      <c r="U171" s="1702"/>
      <c r="V171" s="1702"/>
      <c r="W171" s="1702"/>
      <c r="X171" s="1702"/>
      <c r="Y171" s="1702"/>
      <c r="Z171" s="1702"/>
      <c r="AA171" s="1702"/>
      <c r="AB171" s="1702"/>
      <c r="AC171" s="1702"/>
      <c r="AD171" s="1702"/>
    </row>
    <row r="172" spans="1:30">
      <c r="A172" s="2688">
        <v>157</v>
      </c>
      <c r="B172" s="2684" t="s">
        <v>4886</v>
      </c>
      <c r="C172" s="2689" t="s">
        <v>4887</v>
      </c>
      <c r="D172" s="2690" t="s">
        <v>4888</v>
      </c>
      <c r="E172" s="2691"/>
      <c r="F172" s="2688">
        <v>481</v>
      </c>
      <c r="G172" s="2684" t="s">
        <v>4889</v>
      </c>
      <c r="H172" s="2689" t="s">
        <v>4890</v>
      </c>
      <c r="I172" s="2690" t="s">
        <v>4891</v>
      </c>
      <c r="J172" s="2691"/>
      <c r="K172" s="2688">
        <v>805</v>
      </c>
      <c r="L172" s="2684" t="s">
        <v>4892</v>
      </c>
      <c r="M172" s="2689" t="s">
        <v>4893</v>
      </c>
      <c r="N172" s="2690" t="s">
        <v>4894</v>
      </c>
      <c r="O172" s="2691"/>
      <c r="P172" s="2688">
        <v>1129</v>
      </c>
      <c r="Q172" s="2684" t="s">
        <v>4895</v>
      </c>
      <c r="R172" s="2689" t="s">
        <v>4896</v>
      </c>
      <c r="S172" s="2690" t="s">
        <v>4897</v>
      </c>
      <c r="T172" s="1702"/>
      <c r="U172" s="1702"/>
      <c r="V172" s="1702"/>
      <c r="W172" s="1702"/>
      <c r="X172" s="1702"/>
      <c r="Y172" s="1702"/>
      <c r="Z172" s="1702"/>
      <c r="AA172" s="1702"/>
      <c r="AB172" s="1702"/>
      <c r="AC172" s="1702"/>
      <c r="AD172" s="1702"/>
    </row>
    <row r="173" spans="1:30" ht="25.5">
      <c r="A173" s="2688">
        <v>158</v>
      </c>
      <c r="B173" s="2684" t="s">
        <v>4898</v>
      </c>
      <c r="C173" s="2689" t="s">
        <v>4899</v>
      </c>
      <c r="D173" s="2690" t="s">
        <v>4900</v>
      </c>
      <c r="E173" s="2691"/>
      <c r="F173" s="2688">
        <v>482</v>
      </c>
      <c r="G173" s="2684" t="s">
        <v>4901</v>
      </c>
      <c r="H173" s="2689" t="s">
        <v>4902</v>
      </c>
      <c r="I173" s="2690" t="s">
        <v>4903</v>
      </c>
      <c r="J173" s="2691"/>
      <c r="K173" s="2688">
        <v>806</v>
      </c>
      <c r="L173" s="2684" t="s">
        <v>4904</v>
      </c>
      <c r="M173" s="2689" t="s">
        <v>4905</v>
      </c>
      <c r="N173" s="2690" t="s">
        <v>4906</v>
      </c>
      <c r="O173" s="2691"/>
      <c r="P173" s="2688">
        <v>1130</v>
      </c>
      <c r="Q173" s="2684" t="s">
        <v>4907</v>
      </c>
      <c r="R173" s="2689" t="s">
        <v>4908</v>
      </c>
      <c r="S173" s="2690" t="s">
        <v>4909</v>
      </c>
      <c r="T173" s="1702"/>
      <c r="U173" s="1702"/>
      <c r="V173" s="1702"/>
      <c r="W173" s="1702"/>
      <c r="X173" s="1702"/>
      <c r="Y173" s="1702"/>
      <c r="Z173" s="1702"/>
      <c r="AA173" s="1702"/>
      <c r="AB173" s="1702"/>
      <c r="AC173" s="1702"/>
      <c r="AD173" s="1702"/>
    </row>
    <row r="174" spans="1:30">
      <c r="A174" s="2688">
        <v>159</v>
      </c>
      <c r="B174" s="2684" t="s">
        <v>4910</v>
      </c>
      <c r="C174" s="2689" t="s">
        <v>4911</v>
      </c>
      <c r="D174" s="2690" t="s">
        <v>4912</v>
      </c>
      <c r="E174" s="2691"/>
      <c r="F174" s="2688">
        <v>483</v>
      </c>
      <c r="G174" s="2684" t="s">
        <v>4913</v>
      </c>
      <c r="H174" s="2689" t="s">
        <v>4914</v>
      </c>
      <c r="I174" s="2690" t="s">
        <v>4915</v>
      </c>
      <c r="J174" s="2691"/>
      <c r="K174" s="2688">
        <v>807</v>
      </c>
      <c r="L174" s="2684" t="s">
        <v>4916</v>
      </c>
      <c r="M174" s="2689" t="s">
        <v>4917</v>
      </c>
      <c r="N174" s="2690" t="s">
        <v>4918</v>
      </c>
      <c r="O174" s="2691"/>
      <c r="P174" s="2688">
        <v>1131</v>
      </c>
      <c r="Q174" s="2684" t="s">
        <v>4919</v>
      </c>
      <c r="R174" s="2689" t="s">
        <v>3108</v>
      </c>
      <c r="S174" s="2690" t="s">
        <v>4920</v>
      </c>
      <c r="T174" s="1702"/>
      <c r="U174" s="1702"/>
      <c r="V174" s="1702"/>
      <c r="W174" s="1702"/>
      <c r="X174" s="1702"/>
      <c r="Y174" s="1702"/>
      <c r="Z174" s="1702"/>
      <c r="AA174" s="1702"/>
      <c r="AB174" s="1702"/>
      <c r="AC174" s="1702"/>
      <c r="AD174" s="1702"/>
    </row>
    <row r="175" spans="1:30" ht="25.5">
      <c r="A175" s="2688">
        <v>160</v>
      </c>
      <c r="B175" s="2684" t="s">
        <v>4921</v>
      </c>
      <c r="C175" s="2689" t="s">
        <v>4922</v>
      </c>
      <c r="D175" s="2690" t="s">
        <v>4923</v>
      </c>
      <c r="E175" s="2691"/>
      <c r="F175" s="2688">
        <v>484</v>
      </c>
      <c r="G175" s="2684" t="s">
        <v>4924</v>
      </c>
      <c r="H175" s="2689" t="s">
        <v>4925</v>
      </c>
      <c r="I175" s="2690" t="s">
        <v>4926</v>
      </c>
      <c r="J175" s="2691"/>
      <c r="K175" s="2688">
        <v>808</v>
      </c>
      <c r="L175" s="2684" t="s">
        <v>4927</v>
      </c>
      <c r="M175" s="2689" t="s">
        <v>4928</v>
      </c>
      <c r="N175" s="2690" t="s">
        <v>4929</v>
      </c>
      <c r="O175" s="2691"/>
      <c r="P175" s="2688">
        <v>1132</v>
      </c>
      <c r="Q175" s="2684" t="s">
        <v>4930</v>
      </c>
      <c r="R175" s="2689" t="s">
        <v>4931</v>
      </c>
      <c r="S175" s="2690" t="s">
        <v>4932</v>
      </c>
      <c r="T175" s="1702"/>
      <c r="U175" s="1702"/>
      <c r="V175" s="1702"/>
      <c r="W175" s="1702"/>
      <c r="X175" s="1702"/>
      <c r="Y175" s="1702"/>
      <c r="Z175" s="1702"/>
      <c r="AA175" s="1702"/>
      <c r="AB175" s="1702"/>
      <c r="AC175" s="1702"/>
      <c r="AD175" s="1702"/>
    </row>
    <row r="176" spans="1:30" ht="25.5">
      <c r="A176" s="2688">
        <v>161</v>
      </c>
      <c r="B176" s="2684" t="s">
        <v>4933</v>
      </c>
      <c r="C176" s="2689" t="s">
        <v>4934</v>
      </c>
      <c r="D176" s="2690" t="s">
        <v>4935</v>
      </c>
      <c r="E176" s="2691"/>
      <c r="F176" s="2688">
        <v>485</v>
      </c>
      <c r="G176" s="2684" t="s">
        <v>4936</v>
      </c>
      <c r="H176" s="2689" t="s">
        <v>4937</v>
      </c>
      <c r="I176" s="2690" t="s">
        <v>4938</v>
      </c>
      <c r="J176" s="2691"/>
      <c r="K176" s="2688">
        <v>809</v>
      </c>
      <c r="L176" s="2684" t="s">
        <v>4939</v>
      </c>
      <c r="M176" s="2689" t="s">
        <v>4940</v>
      </c>
      <c r="N176" s="2690" t="s">
        <v>4941</v>
      </c>
      <c r="O176" s="2691"/>
      <c r="P176" s="2688">
        <v>1133</v>
      </c>
      <c r="Q176" s="2684" t="s">
        <v>4942</v>
      </c>
      <c r="R176" s="2689" t="s">
        <v>4943</v>
      </c>
      <c r="S176" s="2690" t="s">
        <v>4944</v>
      </c>
      <c r="T176" s="1702"/>
      <c r="U176" s="1702"/>
      <c r="V176" s="1702"/>
      <c r="W176" s="1702"/>
      <c r="X176" s="1702"/>
      <c r="Y176" s="1702"/>
      <c r="Z176" s="1702"/>
      <c r="AA176" s="1702"/>
      <c r="AB176" s="1702"/>
      <c r="AC176" s="1702"/>
      <c r="AD176" s="1702"/>
    </row>
    <row r="177" spans="1:30">
      <c r="A177" s="2688">
        <v>162</v>
      </c>
      <c r="B177" s="2684" t="s">
        <v>4945</v>
      </c>
      <c r="C177" s="2689" t="s">
        <v>4946</v>
      </c>
      <c r="D177" s="2690" t="s">
        <v>4947</v>
      </c>
      <c r="E177" s="2691"/>
      <c r="F177" s="2688">
        <v>486</v>
      </c>
      <c r="G177" s="2684" t="s">
        <v>4948</v>
      </c>
      <c r="H177" s="2689" t="s">
        <v>4949</v>
      </c>
      <c r="I177" s="2690" t="s">
        <v>4950</v>
      </c>
      <c r="J177" s="2691"/>
      <c r="K177" s="2688">
        <v>810</v>
      </c>
      <c r="L177" s="2684" t="s">
        <v>4951</v>
      </c>
      <c r="M177" s="2689" t="s">
        <v>4952</v>
      </c>
      <c r="N177" s="2690" t="s">
        <v>4453</v>
      </c>
      <c r="O177" s="2691"/>
      <c r="P177" s="2688">
        <v>1134</v>
      </c>
      <c r="Q177" s="2684" t="s">
        <v>4953</v>
      </c>
      <c r="R177" s="2689" t="s">
        <v>3107</v>
      </c>
      <c r="S177" s="2690" t="s">
        <v>4954</v>
      </c>
      <c r="T177" s="1702"/>
      <c r="U177" s="1702"/>
      <c r="V177" s="1702"/>
      <c r="W177" s="1702"/>
      <c r="X177" s="1702"/>
      <c r="Y177" s="1702"/>
      <c r="Z177" s="1702"/>
      <c r="AA177" s="1702"/>
      <c r="AB177" s="1702"/>
      <c r="AC177" s="1702"/>
      <c r="AD177" s="1702"/>
    </row>
    <row r="178" spans="1:30">
      <c r="A178" s="2688">
        <v>163</v>
      </c>
      <c r="B178" s="2684" t="s">
        <v>4955</v>
      </c>
      <c r="C178" s="2689" t="s">
        <v>4956</v>
      </c>
      <c r="D178" s="2690" t="s">
        <v>4957</v>
      </c>
      <c r="E178" s="2691"/>
      <c r="F178" s="2688">
        <v>487</v>
      </c>
      <c r="G178" s="2684" t="s">
        <v>4958</v>
      </c>
      <c r="H178" s="2689" t="s">
        <v>4959</v>
      </c>
      <c r="I178" s="2690" t="s">
        <v>4960</v>
      </c>
      <c r="J178" s="2691"/>
      <c r="K178" s="2688">
        <v>811</v>
      </c>
      <c r="L178" s="2684" t="s">
        <v>4961</v>
      </c>
      <c r="M178" s="2689" t="s">
        <v>4962</v>
      </c>
      <c r="N178" s="2690" t="s">
        <v>4963</v>
      </c>
      <c r="O178" s="2691"/>
      <c r="P178" s="2688">
        <v>1135</v>
      </c>
      <c r="Q178" s="2684" t="s">
        <v>4964</v>
      </c>
      <c r="R178" s="2689" t="s">
        <v>4965</v>
      </c>
      <c r="S178" s="2690" t="s">
        <v>4966</v>
      </c>
      <c r="T178" s="1702"/>
      <c r="U178" s="1702"/>
      <c r="V178" s="1702"/>
      <c r="W178" s="1702"/>
      <c r="X178" s="1702"/>
      <c r="Y178" s="1702"/>
      <c r="Z178" s="1702"/>
      <c r="AA178" s="1702"/>
      <c r="AB178" s="1702"/>
      <c r="AC178" s="1702"/>
      <c r="AD178" s="1702"/>
    </row>
    <row r="179" spans="1:30">
      <c r="A179" s="2688">
        <v>164</v>
      </c>
      <c r="B179" s="2684" t="s">
        <v>4967</v>
      </c>
      <c r="C179" s="2689" t="s">
        <v>4968</v>
      </c>
      <c r="D179" s="2690" t="s">
        <v>4969</v>
      </c>
      <c r="E179" s="2691"/>
      <c r="F179" s="2688">
        <v>488</v>
      </c>
      <c r="G179" s="2684" t="s">
        <v>4970</v>
      </c>
      <c r="H179" s="2689" t="s">
        <v>4971</v>
      </c>
      <c r="I179" s="2690" t="s">
        <v>4972</v>
      </c>
      <c r="J179" s="2691"/>
      <c r="K179" s="2688">
        <v>812</v>
      </c>
      <c r="L179" s="2684" t="s">
        <v>4973</v>
      </c>
      <c r="M179" s="2689" t="s">
        <v>4974</v>
      </c>
      <c r="N179" s="2690" t="s">
        <v>4975</v>
      </c>
      <c r="O179" s="2691"/>
      <c r="P179" s="2688">
        <v>1136</v>
      </c>
      <c r="Q179" s="2684" t="s">
        <v>4976</v>
      </c>
      <c r="R179" s="2689" t="s">
        <v>4977</v>
      </c>
      <c r="S179" s="2690" t="s">
        <v>4978</v>
      </c>
      <c r="T179" s="1702"/>
      <c r="U179" s="1702"/>
      <c r="V179" s="1702"/>
      <c r="W179" s="1702"/>
      <c r="X179" s="1702"/>
      <c r="Y179" s="1702"/>
      <c r="Z179" s="1702"/>
      <c r="AA179" s="1702"/>
      <c r="AB179" s="1702"/>
      <c r="AC179" s="1702"/>
      <c r="AD179" s="1702"/>
    </row>
    <row r="180" spans="1:30" ht="25.5">
      <c r="A180" s="2688">
        <v>165</v>
      </c>
      <c r="B180" s="2684">
        <v>30</v>
      </c>
      <c r="C180" s="2689" t="s">
        <v>2771</v>
      </c>
      <c r="D180" s="2690" t="s">
        <v>4979</v>
      </c>
      <c r="E180" s="2691"/>
      <c r="F180" s="2688">
        <v>489</v>
      </c>
      <c r="G180" s="2684" t="s">
        <v>4980</v>
      </c>
      <c r="H180" s="2689" t="s">
        <v>4981</v>
      </c>
      <c r="I180" s="2690" t="s">
        <v>4982</v>
      </c>
      <c r="J180" s="2691"/>
      <c r="K180" s="2688">
        <v>813</v>
      </c>
      <c r="L180" s="2684" t="s">
        <v>4983</v>
      </c>
      <c r="M180" s="2689" t="s">
        <v>4984</v>
      </c>
      <c r="N180" s="2690" t="s">
        <v>4985</v>
      </c>
      <c r="O180" s="2691"/>
      <c r="P180" s="2688">
        <v>1137</v>
      </c>
      <c r="Q180" s="2684" t="s">
        <v>4986</v>
      </c>
      <c r="R180" s="2689" t="s">
        <v>4987</v>
      </c>
      <c r="S180" s="2690" t="s">
        <v>4988</v>
      </c>
      <c r="T180" s="1702"/>
      <c r="U180" s="1702"/>
      <c r="V180" s="1702"/>
      <c r="W180" s="1702"/>
      <c r="X180" s="1702"/>
      <c r="Y180" s="1702"/>
      <c r="Z180" s="1702"/>
      <c r="AA180" s="1702"/>
      <c r="AB180" s="1702"/>
      <c r="AC180" s="1702"/>
      <c r="AD180" s="1702"/>
    </row>
    <row r="181" spans="1:30" ht="25.5">
      <c r="A181" s="2688">
        <v>166</v>
      </c>
      <c r="B181" s="2684">
        <v>2139</v>
      </c>
      <c r="C181" s="2689" t="s">
        <v>4989</v>
      </c>
      <c r="D181" s="2690" t="s">
        <v>4990</v>
      </c>
      <c r="E181" s="2691"/>
      <c r="F181" s="2688">
        <v>490</v>
      </c>
      <c r="G181" s="2684" t="s">
        <v>4991</v>
      </c>
      <c r="H181" s="2689" t="s">
        <v>4992</v>
      </c>
      <c r="I181" s="2690" t="s">
        <v>4993</v>
      </c>
      <c r="J181" s="2691"/>
      <c r="K181" s="2688">
        <v>814</v>
      </c>
      <c r="L181" s="2684" t="s">
        <v>4994</v>
      </c>
      <c r="M181" s="2689" t="s">
        <v>4995</v>
      </c>
      <c r="N181" s="2690" t="s">
        <v>4996</v>
      </c>
      <c r="O181" s="2691"/>
      <c r="P181" s="2688">
        <v>1138</v>
      </c>
      <c r="Q181" s="2684" t="s">
        <v>4997</v>
      </c>
      <c r="R181" s="2689" t="s">
        <v>4998</v>
      </c>
      <c r="S181" s="2690" t="s">
        <v>4999</v>
      </c>
      <c r="T181" s="1702"/>
      <c r="U181" s="1702"/>
      <c r="V181" s="1702"/>
      <c r="W181" s="1702"/>
      <c r="X181" s="1702"/>
      <c r="Y181" s="1702"/>
      <c r="Z181" s="1702"/>
      <c r="AA181" s="1702"/>
      <c r="AB181" s="1702"/>
      <c r="AC181" s="1702"/>
      <c r="AD181" s="1702"/>
    </row>
    <row r="182" spans="1:30">
      <c r="A182" s="2688">
        <v>167</v>
      </c>
      <c r="B182" s="2684" t="s">
        <v>5000</v>
      </c>
      <c r="C182" s="2689" t="s">
        <v>5001</v>
      </c>
      <c r="D182" s="2690" t="s">
        <v>5002</v>
      </c>
      <c r="E182" s="2691"/>
      <c r="F182" s="2688">
        <v>491</v>
      </c>
      <c r="G182" s="2684" t="s">
        <v>5003</v>
      </c>
      <c r="H182" s="2689" t="s">
        <v>5004</v>
      </c>
      <c r="I182" s="2690" t="s">
        <v>5005</v>
      </c>
      <c r="J182" s="2691"/>
      <c r="K182" s="2688">
        <v>815</v>
      </c>
      <c r="L182" s="2684" t="s">
        <v>5006</v>
      </c>
      <c r="M182" s="2689" t="s">
        <v>5007</v>
      </c>
      <c r="N182" s="2690" t="s">
        <v>5008</v>
      </c>
      <c r="O182" s="2691"/>
      <c r="P182" s="2688">
        <v>1139</v>
      </c>
      <c r="Q182" s="2684" t="s">
        <v>5009</v>
      </c>
      <c r="R182" s="2689" t="s">
        <v>5010</v>
      </c>
      <c r="T182" s="1702"/>
      <c r="U182" s="1702"/>
      <c r="V182" s="1702"/>
      <c r="W182" s="1702"/>
      <c r="X182" s="1702"/>
      <c r="Y182" s="1702"/>
      <c r="Z182" s="1702"/>
      <c r="AA182" s="1702"/>
      <c r="AB182" s="1702"/>
      <c r="AC182" s="1702"/>
      <c r="AD182" s="1702"/>
    </row>
    <row r="183" spans="1:30">
      <c r="A183" s="2688">
        <v>168</v>
      </c>
      <c r="B183" s="2684">
        <v>2122</v>
      </c>
      <c r="C183" s="2689" t="s">
        <v>5011</v>
      </c>
      <c r="D183" s="2690" t="s">
        <v>5012</v>
      </c>
      <c r="E183" s="2691"/>
      <c r="F183" s="2688">
        <v>492</v>
      </c>
      <c r="G183" s="2684" t="s">
        <v>5013</v>
      </c>
      <c r="H183" s="2689" t="s">
        <v>5014</v>
      </c>
      <c r="I183" s="2690" t="s">
        <v>5015</v>
      </c>
      <c r="J183" s="2691"/>
      <c r="K183" s="2688">
        <v>816</v>
      </c>
      <c r="L183" s="2684" t="s">
        <v>5016</v>
      </c>
      <c r="M183" s="2689" t="s">
        <v>5017</v>
      </c>
      <c r="N183" s="2690" t="s">
        <v>5018</v>
      </c>
      <c r="O183" s="2691"/>
      <c r="P183" s="2688">
        <v>1140</v>
      </c>
      <c r="Q183" s="2684" t="s">
        <v>5019</v>
      </c>
      <c r="R183" s="2689" t="s">
        <v>5020</v>
      </c>
      <c r="S183" s="2690" t="s">
        <v>5021</v>
      </c>
      <c r="T183" s="1702"/>
      <c r="U183" s="1702"/>
      <c r="V183" s="1702"/>
      <c r="W183" s="1702"/>
      <c r="X183" s="1702"/>
      <c r="Y183" s="1702"/>
      <c r="Z183" s="1702"/>
      <c r="AA183" s="1702"/>
      <c r="AB183" s="1702"/>
      <c r="AC183" s="1702"/>
      <c r="AD183" s="1702"/>
    </row>
    <row r="184" spans="1:30" ht="25.5">
      <c r="A184" s="2688">
        <v>169</v>
      </c>
      <c r="B184" s="2684" t="s">
        <v>5022</v>
      </c>
      <c r="C184" s="2689" t="s">
        <v>5023</v>
      </c>
      <c r="D184" s="2690" t="s">
        <v>5024</v>
      </c>
      <c r="E184" s="2691"/>
      <c r="F184" s="2688">
        <v>493</v>
      </c>
      <c r="G184" s="2684" t="s">
        <v>5025</v>
      </c>
      <c r="H184" s="2689" t="s">
        <v>5026</v>
      </c>
      <c r="I184" s="2690" t="s">
        <v>5027</v>
      </c>
      <c r="J184" s="2691"/>
      <c r="K184" s="2688">
        <v>817</v>
      </c>
      <c r="L184" s="2684" t="s">
        <v>5028</v>
      </c>
      <c r="M184" s="2689" t="s">
        <v>5029</v>
      </c>
      <c r="N184" s="2690" t="s">
        <v>5030</v>
      </c>
      <c r="O184" s="2691"/>
      <c r="P184" s="2688">
        <v>1141</v>
      </c>
      <c r="Q184" s="2684" t="s">
        <v>5031</v>
      </c>
      <c r="R184" s="2689" t="s">
        <v>5032</v>
      </c>
      <c r="S184" s="2690" t="s">
        <v>5033</v>
      </c>
      <c r="T184" s="1702"/>
      <c r="U184" s="1702"/>
      <c r="V184" s="1702"/>
      <c r="W184" s="1702"/>
      <c r="X184" s="1702"/>
      <c r="Y184" s="1702"/>
      <c r="Z184" s="1702"/>
      <c r="AA184" s="1702"/>
      <c r="AB184" s="1702"/>
      <c r="AC184" s="1702"/>
      <c r="AD184" s="1702"/>
    </row>
    <row r="185" spans="1:30">
      <c r="A185" s="2688">
        <v>170</v>
      </c>
      <c r="B185" s="2684" t="s">
        <v>5034</v>
      </c>
      <c r="C185" s="2689" t="s">
        <v>5035</v>
      </c>
      <c r="D185" s="2690" t="s">
        <v>5036</v>
      </c>
      <c r="E185" s="2691"/>
      <c r="F185" s="2688">
        <v>494</v>
      </c>
      <c r="G185" s="2684" t="s">
        <v>5037</v>
      </c>
      <c r="H185" s="2689" t="s">
        <v>5038</v>
      </c>
      <c r="I185" s="2690" t="s">
        <v>5039</v>
      </c>
      <c r="J185" s="2691"/>
      <c r="K185" s="2688">
        <v>818</v>
      </c>
      <c r="L185" s="2684" t="s">
        <v>5040</v>
      </c>
      <c r="M185" s="2689" t="s">
        <v>5041</v>
      </c>
      <c r="N185" s="2690" t="s">
        <v>5042</v>
      </c>
      <c r="O185" s="2691"/>
      <c r="P185" s="2688">
        <v>1142</v>
      </c>
      <c r="Q185" s="2684" t="s">
        <v>5043</v>
      </c>
      <c r="R185" s="2689" t="s">
        <v>5044</v>
      </c>
      <c r="S185" s="2690" t="s">
        <v>5045</v>
      </c>
      <c r="T185" s="1702"/>
      <c r="U185" s="1702"/>
      <c r="V185" s="1702"/>
      <c r="W185" s="1702"/>
      <c r="X185" s="1702"/>
      <c r="Y185" s="1702"/>
      <c r="Z185" s="1702"/>
      <c r="AA185" s="1702"/>
      <c r="AB185" s="1702"/>
      <c r="AC185" s="1702"/>
      <c r="AD185" s="1702"/>
    </row>
    <row r="186" spans="1:30" ht="25.5">
      <c r="A186" s="2688">
        <v>171</v>
      </c>
      <c r="B186" s="2684" t="s">
        <v>5046</v>
      </c>
      <c r="C186" s="2689" t="s">
        <v>5047</v>
      </c>
      <c r="D186" s="2690" t="s">
        <v>5048</v>
      </c>
      <c r="E186" s="2691"/>
      <c r="F186" s="2688">
        <v>495</v>
      </c>
      <c r="G186" s="2684" t="s">
        <v>5049</v>
      </c>
      <c r="H186" s="2689" t="s">
        <v>5050</v>
      </c>
      <c r="I186" s="2690" t="s">
        <v>5051</v>
      </c>
      <c r="J186" s="2691"/>
      <c r="K186" s="2688">
        <v>819</v>
      </c>
      <c r="L186" s="2684" t="s">
        <v>5052</v>
      </c>
      <c r="M186" s="2689" t="s">
        <v>5053</v>
      </c>
      <c r="N186" s="2690" t="s">
        <v>5054</v>
      </c>
      <c r="O186" s="2691"/>
      <c r="P186" s="2688">
        <v>1143</v>
      </c>
      <c r="Q186" s="2684" t="s">
        <v>5055</v>
      </c>
      <c r="R186" s="2689" t="s">
        <v>5056</v>
      </c>
      <c r="S186" s="2690" t="s">
        <v>5057</v>
      </c>
      <c r="T186" s="1702"/>
      <c r="U186" s="1702"/>
      <c r="V186" s="1702"/>
      <c r="W186" s="1702"/>
      <c r="X186" s="1702"/>
      <c r="Y186" s="1702"/>
      <c r="Z186" s="1702"/>
      <c r="AA186" s="1702"/>
      <c r="AB186" s="1702"/>
      <c r="AC186" s="1702"/>
      <c r="AD186" s="1702"/>
    </row>
    <row r="187" spans="1:30" ht="25.5">
      <c r="A187" s="2688">
        <v>172</v>
      </c>
      <c r="B187" s="2684" t="s">
        <v>5058</v>
      </c>
      <c r="C187" s="2689" t="s">
        <v>5059</v>
      </c>
      <c r="D187" s="2690" t="s">
        <v>5060</v>
      </c>
      <c r="E187" s="2691"/>
      <c r="F187" s="2688">
        <v>496</v>
      </c>
      <c r="G187" s="2684" t="s">
        <v>5061</v>
      </c>
      <c r="H187" s="2689" t="s">
        <v>5062</v>
      </c>
      <c r="I187" s="2690" t="s">
        <v>5063</v>
      </c>
      <c r="J187" s="2691"/>
      <c r="K187" s="2688">
        <v>820</v>
      </c>
      <c r="L187" s="2684" t="s">
        <v>5064</v>
      </c>
      <c r="M187" s="2689" t="s">
        <v>5065</v>
      </c>
      <c r="N187" s="2690" t="s">
        <v>5066</v>
      </c>
      <c r="O187" s="2691"/>
      <c r="P187" s="2688">
        <v>1144</v>
      </c>
      <c r="Q187" s="2684" t="s">
        <v>5067</v>
      </c>
      <c r="R187" s="2689" t="s">
        <v>5068</v>
      </c>
      <c r="S187" s="2690" t="s">
        <v>5069</v>
      </c>
      <c r="T187" s="1702"/>
      <c r="U187" s="1702"/>
      <c r="V187" s="1702"/>
      <c r="W187" s="1702"/>
      <c r="X187" s="1702"/>
      <c r="Y187" s="1702"/>
      <c r="Z187" s="1702"/>
      <c r="AA187" s="1702"/>
      <c r="AB187" s="1702"/>
      <c r="AC187" s="1702"/>
      <c r="AD187" s="1702"/>
    </row>
    <row r="188" spans="1:30" ht="25.5">
      <c r="A188" s="2688">
        <v>173</v>
      </c>
      <c r="B188" s="2684" t="s">
        <v>5070</v>
      </c>
      <c r="C188" s="2689" t="s">
        <v>5071</v>
      </c>
      <c r="D188" s="2690" t="s">
        <v>5072</v>
      </c>
      <c r="E188" s="2691"/>
      <c r="F188" s="2688">
        <v>497</v>
      </c>
      <c r="G188" s="2684" t="s">
        <v>5073</v>
      </c>
      <c r="H188" s="2689" t="s">
        <v>5074</v>
      </c>
      <c r="I188" s="2690" t="s">
        <v>5075</v>
      </c>
      <c r="J188" s="2691"/>
      <c r="K188" s="2688">
        <v>821</v>
      </c>
      <c r="L188" s="2684" t="s">
        <v>5076</v>
      </c>
      <c r="M188" s="2689" t="s">
        <v>5077</v>
      </c>
      <c r="N188" s="2690" t="s">
        <v>5078</v>
      </c>
      <c r="O188" s="2691"/>
      <c r="P188" s="2688">
        <v>1145</v>
      </c>
      <c r="Q188" s="2684" t="s">
        <v>5079</v>
      </c>
      <c r="R188" s="2689" t="s">
        <v>5080</v>
      </c>
      <c r="S188" s="2690" t="s">
        <v>5081</v>
      </c>
      <c r="T188" s="1702"/>
      <c r="U188" s="1702"/>
      <c r="V188" s="1702"/>
      <c r="W188" s="1702"/>
      <c r="X188" s="1702"/>
      <c r="Y188" s="1702"/>
      <c r="Z188" s="1702"/>
      <c r="AA188" s="1702"/>
      <c r="AB188" s="1702"/>
      <c r="AC188" s="1702"/>
      <c r="AD188" s="1702"/>
    </row>
    <row r="189" spans="1:30">
      <c r="A189" s="2688">
        <v>174</v>
      </c>
      <c r="B189" s="2684" t="s">
        <v>5082</v>
      </c>
      <c r="C189" s="2689" t="s">
        <v>5083</v>
      </c>
      <c r="D189" s="2690" t="s">
        <v>5084</v>
      </c>
      <c r="E189" s="2691"/>
      <c r="F189" s="2688">
        <v>498</v>
      </c>
      <c r="G189" s="2684" t="s">
        <v>5085</v>
      </c>
      <c r="H189" s="2689" t="s">
        <v>5086</v>
      </c>
      <c r="I189" s="2690" t="s">
        <v>5087</v>
      </c>
      <c r="J189" s="2691"/>
      <c r="K189" s="2688">
        <v>822</v>
      </c>
      <c r="L189" s="2684" t="s">
        <v>5088</v>
      </c>
      <c r="M189" s="2689" t="s">
        <v>5089</v>
      </c>
      <c r="N189" s="2690" t="s">
        <v>5090</v>
      </c>
      <c r="O189" s="2691"/>
      <c r="P189" s="2688">
        <v>1146</v>
      </c>
      <c r="Q189" s="2684" t="s">
        <v>5091</v>
      </c>
      <c r="R189" s="2689" t="s">
        <v>5092</v>
      </c>
      <c r="S189" s="2690" t="s">
        <v>5093</v>
      </c>
      <c r="T189" s="1702"/>
      <c r="U189" s="1702"/>
      <c r="V189" s="1702"/>
      <c r="W189" s="1702"/>
      <c r="X189" s="1702"/>
      <c r="Y189" s="1702"/>
      <c r="Z189" s="1702"/>
      <c r="AA189" s="1702"/>
      <c r="AB189" s="1702"/>
      <c r="AC189" s="1702"/>
      <c r="AD189" s="1702"/>
    </row>
    <row r="190" spans="1:30" ht="25.5">
      <c r="A190" s="2688">
        <v>175</v>
      </c>
      <c r="B190" s="2684" t="s">
        <v>5094</v>
      </c>
      <c r="C190" s="2689" t="s">
        <v>5095</v>
      </c>
      <c r="D190" s="2690" t="s">
        <v>5096</v>
      </c>
      <c r="E190" s="2691"/>
      <c r="F190" s="2688">
        <v>499</v>
      </c>
      <c r="G190" s="2684" t="s">
        <v>5097</v>
      </c>
      <c r="H190" s="2689" t="s">
        <v>5098</v>
      </c>
      <c r="I190" s="2690" t="s">
        <v>5099</v>
      </c>
      <c r="J190" s="2691"/>
      <c r="K190" s="2688">
        <v>823</v>
      </c>
      <c r="L190" s="2684" t="s">
        <v>5100</v>
      </c>
      <c r="M190" s="2689" t="s">
        <v>5101</v>
      </c>
      <c r="N190" s="2690" t="s">
        <v>5102</v>
      </c>
      <c r="O190" s="2691"/>
      <c r="P190" s="2688">
        <v>1147</v>
      </c>
      <c r="Q190" s="2684" t="s">
        <v>5103</v>
      </c>
      <c r="R190" s="2689" t="s">
        <v>5104</v>
      </c>
      <c r="S190" s="2690" t="s">
        <v>5105</v>
      </c>
      <c r="T190" s="1702"/>
      <c r="U190" s="1702"/>
      <c r="V190" s="1702"/>
      <c r="W190" s="1702"/>
      <c r="X190" s="1702"/>
      <c r="Y190" s="1702"/>
      <c r="Z190" s="1702"/>
      <c r="AA190" s="1702"/>
      <c r="AB190" s="1702"/>
      <c r="AC190" s="1702"/>
      <c r="AD190" s="1702"/>
    </row>
    <row r="191" spans="1:30" ht="25.5">
      <c r="A191" s="2688">
        <v>176</v>
      </c>
      <c r="B191" s="2684" t="s">
        <v>5106</v>
      </c>
      <c r="C191" s="2689" t="s">
        <v>5107</v>
      </c>
      <c r="D191" s="2690" t="s">
        <v>5108</v>
      </c>
      <c r="E191" s="2691"/>
      <c r="F191" s="2688">
        <v>500</v>
      </c>
      <c r="G191" s="2684" t="s">
        <v>5109</v>
      </c>
      <c r="H191" s="2689" t="s">
        <v>5110</v>
      </c>
      <c r="I191" s="2690" t="s">
        <v>5111</v>
      </c>
      <c r="J191" s="2691"/>
      <c r="K191" s="2688">
        <v>824</v>
      </c>
      <c r="L191" s="2684" t="s">
        <v>5112</v>
      </c>
      <c r="M191" s="2689" t="s">
        <v>5113</v>
      </c>
      <c r="N191" s="2690" t="s">
        <v>5114</v>
      </c>
      <c r="O191" s="2691"/>
      <c r="P191" s="2688">
        <v>1148</v>
      </c>
      <c r="Q191" s="2684" t="s">
        <v>5115</v>
      </c>
      <c r="R191" s="2689" t="s">
        <v>5116</v>
      </c>
      <c r="S191" s="2690" t="s">
        <v>5117</v>
      </c>
      <c r="T191" s="1702"/>
      <c r="U191" s="1702"/>
      <c r="V191" s="1702"/>
      <c r="W191" s="1702"/>
      <c r="X191" s="1702"/>
      <c r="Y191" s="1702"/>
      <c r="Z191" s="1702"/>
      <c r="AA191" s="1702"/>
      <c r="AB191" s="1702"/>
      <c r="AC191" s="1702"/>
      <c r="AD191" s="1702"/>
    </row>
    <row r="192" spans="1:30">
      <c r="A192" s="2688">
        <v>177</v>
      </c>
      <c r="B192" s="2684" t="s">
        <v>5118</v>
      </c>
      <c r="C192" s="2689" t="s">
        <v>5119</v>
      </c>
      <c r="D192" s="2690" t="s">
        <v>5120</v>
      </c>
      <c r="E192" s="2691"/>
      <c r="F192" s="2688">
        <v>501</v>
      </c>
      <c r="G192" s="2684" t="s">
        <v>5121</v>
      </c>
      <c r="H192" s="2689" t="s">
        <v>5122</v>
      </c>
      <c r="I192" s="2690" t="s">
        <v>5123</v>
      </c>
      <c r="J192" s="2691"/>
      <c r="K192" s="2688">
        <v>825</v>
      </c>
      <c r="L192" s="2684" t="s">
        <v>5124</v>
      </c>
      <c r="M192" s="2689" t="s">
        <v>5125</v>
      </c>
      <c r="N192" s="2690" t="s">
        <v>5126</v>
      </c>
      <c r="O192" s="2691"/>
      <c r="P192" s="2688">
        <v>1149</v>
      </c>
      <c r="Q192" s="2684" t="s">
        <v>5127</v>
      </c>
      <c r="R192" s="2689" t="s">
        <v>5128</v>
      </c>
      <c r="S192" s="2690" t="s">
        <v>5129</v>
      </c>
      <c r="T192" s="1702"/>
      <c r="U192" s="1702"/>
      <c r="V192" s="1702"/>
      <c r="W192" s="1702"/>
      <c r="X192" s="1702"/>
      <c r="Y192" s="1702"/>
      <c r="Z192" s="1702"/>
      <c r="AA192" s="1702"/>
      <c r="AB192" s="1702"/>
      <c r="AC192" s="1702"/>
      <c r="AD192" s="1702"/>
    </row>
    <row r="193" spans="1:30" ht="25.5">
      <c r="A193" s="2688">
        <v>178</v>
      </c>
      <c r="B193" s="2684" t="s">
        <v>5130</v>
      </c>
      <c r="C193" s="2689" t="s">
        <v>5131</v>
      </c>
      <c r="D193" s="2690" t="s">
        <v>5132</v>
      </c>
      <c r="E193" s="2691"/>
      <c r="F193" s="2688">
        <v>502</v>
      </c>
      <c r="G193" s="2684" t="s">
        <v>5133</v>
      </c>
      <c r="H193" s="2689" t="s">
        <v>5134</v>
      </c>
      <c r="I193" s="2690" t="s">
        <v>5135</v>
      </c>
      <c r="J193" s="2691"/>
      <c r="K193" s="2688">
        <v>826</v>
      </c>
      <c r="L193" s="2684" t="s">
        <v>5136</v>
      </c>
      <c r="M193" s="2689" t="s">
        <v>5137</v>
      </c>
      <c r="N193" s="2690" t="s">
        <v>5138</v>
      </c>
      <c r="O193" s="2691"/>
      <c r="P193" s="2688">
        <v>1150</v>
      </c>
      <c r="Q193" s="2684" t="s">
        <v>5139</v>
      </c>
      <c r="R193" s="2689" t="s">
        <v>5140</v>
      </c>
      <c r="S193" s="2690" t="s">
        <v>5141</v>
      </c>
      <c r="T193" s="1702"/>
      <c r="U193" s="1702"/>
      <c r="V193" s="1702"/>
      <c r="W193" s="1702"/>
      <c r="X193" s="1702"/>
      <c r="Y193" s="1702"/>
      <c r="Z193" s="1702"/>
      <c r="AA193" s="1702"/>
      <c r="AB193" s="1702"/>
      <c r="AC193" s="1702"/>
      <c r="AD193" s="1702"/>
    </row>
    <row r="194" spans="1:30">
      <c r="A194" s="2688">
        <v>179</v>
      </c>
      <c r="B194" s="2684" t="s">
        <v>5142</v>
      </c>
      <c r="C194" s="2689" t="s">
        <v>5143</v>
      </c>
      <c r="D194" s="2690" t="s">
        <v>5144</v>
      </c>
      <c r="E194" s="2691"/>
      <c r="F194" s="2688">
        <v>503</v>
      </c>
      <c r="G194" s="2684" t="s">
        <v>5145</v>
      </c>
      <c r="H194" s="2689" t="s">
        <v>5146</v>
      </c>
      <c r="I194" s="2690" t="s">
        <v>5147</v>
      </c>
      <c r="J194" s="2691"/>
      <c r="K194" s="2688">
        <v>827</v>
      </c>
      <c r="L194" s="2684" t="s">
        <v>5148</v>
      </c>
      <c r="M194" s="2689" t="s">
        <v>5149</v>
      </c>
      <c r="N194" s="2690" t="s">
        <v>5150</v>
      </c>
      <c r="O194" s="2691"/>
      <c r="P194" s="2688">
        <v>1151</v>
      </c>
      <c r="Q194" s="2684" t="s">
        <v>5151</v>
      </c>
      <c r="R194" s="2689" t="s">
        <v>5152</v>
      </c>
      <c r="S194" s="2690" t="s">
        <v>5153</v>
      </c>
      <c r="T194" s="1702"/>
      <c r="U194" s="1702"/>
      <c r="V194" s="1702"/>
      <c r="W194" s="1702"/>
      <c r="X194" s="1702"/>
      <c r="Y194" s="1702"/>
      <c r="Z194" s="1702"/>
      <c r="AA194" s="1702"/>
      <c r="AB194" s="1702"/>
      <c r="AC194" s="1702"/>
      <c r="AD194" s="1702"/>
    </row>
    <row r="195" spans="1:30">
      <c r="A195" s="2688">
        <v>180</v>
      </c>
      <c r="B195" s="2684" t="s">
        <v>5154</v>
      </c>
      <c r="C195" s="2689" t="s">
        <v>5155</v>
      </c>
      <c r="D195" s="2690" t="s">
        <v>5156</v>
      </c>
      <c r="E195" s="2691"/>
      <c r="F195" s="2688">
        <v>504</v>
      </c>
      <c r="G195" s="2684" t="s">
        <v>5157</v>
      </c>
      <c r="H195" s="2689" t="s">
        <v>5158</v>
      </c>
      <c r="I195" s="2690" t="s">
        <v>5159</v>
      </c>
      <c r="J195" s="2691"/>
      <c r="K195" s="2688">
        <v>828</v>
      </c>
      <c r="L195" s="2684" t="s">
        <v>5160</v>
      </c>
      <c r="M195" s="2689" t="s">
        <v>5161</v>
      </c>
      <c r="N195" s="2690" t="s">
        <v>5162</v>
      </c>
      <c r="O195" s="2691"/>
      <c r="P195" s="2688">
        <v>1152</v>
      </c>
      <c r="Q195" s="2684" t="s">
        <v>5163</v>
      </c>
      <c r="R195" s="2689" t="s">
        <v>5164</v>
      </c>
      <c r="S195" s="2690" t="s">
        <v>5165</v>
      </c>
      <c r="T195" s="1702"/>
      <c r="U195" s="1702"/>
      <c r="V195" s="1702"/>
      <c r="W195" s="1702"/>
      <c r="X195" s="1702"/>
      <c r="Y195" s="1702"/>
      <c r="Z195" s="1702"/>
      <c r="AA195" s="1702"/>
      <c r="AB195" s="1702"/>
      <c r="AC195" s="1702"/>
      <c r="AD195" s="1702"/>
    </row>
    <row r="196" spans="1:30">
      <c r="A196" s="2688">
        <v>181</v>
      </c>
      <c r="B196" s="2684" t="s">
        <v>5166</v>
      </c>
      <c r="C196" s="2689" t="s">
        <v>5167</v>
      </c>
      <c r="D196" s="2690" t="s">
        <v>5168</v>
      </c>
      <c r="E196" s="2691"/>
      <c r="F196" s="2688">
        <v>505</v>
      </c>
      <c r="G196" s="2684" t="s">
        <v>5169</v>
      </c>
      <c r="H196" s="2689" t="s">
        <v>5170</v>
      </c>
      <c r="I196" s="2690" t="s">
        <v>5171</v>
      </c>
      <c r="J196" s="2691"/>
      <c r="K196" s="2688">
        <v>829</v>
      </c>
      <c r="L196" s="2684" t="s">
        <v>5172</v>
      </c>
      <c r="M196" s="2689" t="s">
        <v>5173</v>
      </c>
      <c r="N196" s="2690" t="s">
        <v>5174</v>
      </c>
      <c r="O196" s="2691"/>
      <c r="P196" s="2688">
        <v>1153</v>
      </c>
      <c r="Q196" s="2684" t="s">
        <v>5175</v>
      </c>
      <c r="R196" s="2689" t="s">
        <v>5176</v>
      </c>
      <c r="S196" s="2690" t="s">
        <v>5177</v>
      </c>
      <c r="T196" s="1702"/>
      <c r="U196" s="1702"/>
      <c r="V196" s="1702"/>
      <c r="W196" s="1702"/>
      <c r="X196" s="1702"/>
      <c r="Y196" s="1702"/>
      <c r="Z196" s="1702"/>
      <c r="AA196" s="1702"/>
      <c r="AB196" s="1702"/>
      <c r="AC196" s="1702"/>
      <c r="AD196" s="1702"/>
    </row>
    <row r="197" spans="1:30">
      <c r="A197" s="2688">
        <v>182</v>
      </c>
      <c r="B197" s="2684" t="s">
        <v>5178</v>
      </c>
      <c r="C197" s="2689" t="s">
        <v>5179</v>
      </c>
      <c r="D197" s="2690" t="s">
        <v>5180</v>
      </c>
      <c r="E197" s="2691"/>
      <c r="F197" s="2688">
        <v>506</v>
      </c>
      <c r="G197" s="2684" t="s">
        <v>5181</v>
      </c>
      <c r="H197" s="2689" t="s">
        <v>5182</v>
      </c>
      <c r="I197" s="2690" t="s">
        <v>5183</v>
      </c>
      <c r="J197" s="2691"/>
      <c r="K197" s="2688">
        <v>830</v>
      </c>
      <c r="L197" s="2684" t="s">
        <v>5184</v>
      </c>
      <c r="M197" s="2689" t="s">
        <v>5185</v>
      </c>
      <c r="N197" s="2690" t="s">
        <v>5186</v>
      </c>
      <c r="O197" s="2691"/>
      <c r="P197" s="2688">
        <v>1154</v>
      </c>
      <c r="Q197" s="2684" t="s">
        <v>5187</v>
      </c>
      <c r="R197" s="2689" t="s">
        <v>5188</v>
      </c>
      <c r="S197" s="2690" t="s">
        <v>5189</v>
      </c>
      <c r="T197" s="1702"/>
      <c r="U197" s="1702"/>
      <c r="V197" s="1702"/>
      <c r="W197" s="1702"/>
      <c r="X197" s="1702"/>
      <c r="Y197" s="1702"/>
      <c r="Z197" s="1702"/>
      <c r="AA197" s="1702"/>
      <c r="AB197" s="1702"/>
      <c r="AC197" s="1702"/>
      <c r="AD197" s="1702"/>
    </row>
    <row r="198" spans="1:30">
      <c r="A198" s="2688">
        <v>183</v>
      </c>
      <c r="B198" s="2684" t="s">
        <v>5190</v>
      </c>
      <c r="C198" s="2689" t="s">
        <v>5191</v>
      </c>
      <c r="D198" s="2690" t="s">
        <v>5192</v>
      </c>
      <c r="E198" s="2691"/>
      <c r="F198" s="2688">
        <v>507</v>
      </c>
      <c r="G198" s="2684" t="s">
        <v>5193</v>
      </c>
      <c r="H198" s="2689" t="s">
        <v>5194</v>
      </c>
      <c r="I198" s="2690" t="s">
        <v>5195</v>
      </c>
      <c r="J198" s="2691"/>
      <c r="K198" s="2688">
        <v>831</v>
      </c>
      <c r="L198" s="2684" t="s">
        <v>5196</v>
      </c>
      <c r="M198" s="2689" t="s">
        <v>5197</v>
      </c>
      <c r="N198" s="2690" t="s">
        <v>5198</v>
      </c>
      <c r="O198" s="2691"/>
      <c r="P198" s="2688">
        <v>1155</v>
      </c>
      <c r="Q198" s="2684" t="s">
        <v>5199</v>
      </c>
      <c r="R198" s="2689" t="s">
        <v>5200</v>
      </c>
      <c r="S198" s="2690" t="s">
        <v>5201</v>
      </c>
      <c r="T198" s="1702"/>
      <c r="U198" s="1702"/>
      <c r="V198" s="1702"/>
      <c r="W198" s="1702"/>
      <c r="X198" s="1702"/>
      <c r="Y198" s="1702"/>
      <c r="Z198" s="1702"/>
      <c r="AA198" s="1702"/>
      <c r="AB198" s="1702"/>
      <c r="AC198" s="1702"/>
      <c r="AD198" s="1702"/>
    </row>
    <row r="199" spans="1:30">
      <c r="A199" s="2688">
        <v>184</v>
      </c>
      <c r="B199" s="2684" t="s">
        <v>5202</v>
      </c>
      <c r="C199" s="2689" t="s">
        <v>5203</v>
      </c>
      <c r="D199" s="2690" t="s">
        <v>5204</v>
      </c>
      <c r="E199" s="2691"/>
      <c r="F199" s="2688">
        <v>508</v>
      </c>
      <c r="G199" s="2684" t="s">
        <v>5205</v>
      </c>
      <c r="H199" s="2689" t="s">
        <v>5206</v>
      </c>
      <c r="I199" s="2690" t="s">
        <v>5207</v>
      </c>
      <c r="J199" s="2691"/>
      <c r="K199" s="2688">
        <v>832</v>
      </c>
      <c r="L199" s="2684" t="s">
        <v>5208</v>
      </c>
      <c r="M199" s="2689" t="s">
        <v>5209</v>
      </c>
      <c r="N199" s="2690" t="s">
        <v>5210</v>
      </c>
      <c r="O199" s="2691"/>
      <c r="P199" s="2688">
        <v>1156</v>
      </c>
      <c r="Q199" s="2684" t="s">
        <v>5211</v>
      </c>
      <c r="R199" s="2689" t="s">
        <v>5212</v>
      </c>
      <c r="S199" s="2690" t="s">
        <v>5213</v>
      </c>
      <c r="T199" s="1702"/>
      <c r="U199" s="1702"/>
      <c r="V199" s="1702"/>
      <c r="W199" s="1702"/>
      <c r="X199" s="1702"/>
      <c r="Y199" s="1702"/>
      <c r="Z199" s="1702"/>
      <c r="AA199" s="1702"/>
      <c r="AB199" s="1702"/>
      <c r="AC199" s="1702"/>
      <c r="AD199" s="1702"/>
    </row>
    <row r="200" spans="1:30">
      <c r="A200" s="2688">
        <v>185</v>
      </c>
      <c r="B200" s="2684" t="s">
        <v>5214</v>
      </c>
      <c r="C200" s="2689" t="s">
        <v>5215</v>
      </c>
      <c r="D200" s="2690" t="s">
        <v>5216</v>
      </c>
      <c r="E200" s="2691"/>
      <c r="F200" s="2688">
        <v>509</v>
      </c>
      <c r="G200" s="2684" t="s">
        <v>5217</v>
      </c>
      <c r="H200" s="2689" t="s">
        <v>5218</v>
      </c>
      <c r="I200" s="2690" t="s">
        <v>5219</v>
      </c>
      <c r="J200" s="2691"/>
      <c r="K200" s="2688">
        <v>833</v>
      </c>
      <c r="L200" s="2684" t="s">
        <v>5220</v>
      </c>
      <c r="M200" s="2689" t="s">
        <v>5221</v>
      </c>
      <c r="N200" s="2690" t="s">
        <v>5222</v>
      </c>
      <c r="O200" s="2691"/>
      <c r="P200" s="2688">
        <v>1157</v>
      </c>
      <c r="Q200" s="2684" t="s">
        <v>5223</v>
      </c>
      <c r="R200" s="2689" t="s">
        <v>5224</v>
      </c>
      <c r="S200" s="2690" t="s">
        <v>5225</v>
      </c>
      <c r="T200" s="1702"/>
      <c r="U200" s="1702"/>
      <c r="V200" s="1702"/>
      <c r="W200" s="1702"/>
      <c r="X200" s="1702"/>
      <c r="Y200" s="1702"/>
      <c r="Z200" s="1702"/>
      <c r="AA200" s="1702"/>
      <c r="AB200" s="1702"/>
      <c r="AC200" s="1702"/>
      <c r="AD200" s="1702"/>
    </row>
    <row r="201" spans="1:30" ht="25.5">
      <c r="A201" s="2688">
        <v>186</v>
      </c>
      <c r="B201" s="2684" t="s">
        <v>5226</v>
      </c>
      <c r="C201" s="2689" t="s">
        <v>5227</v>
      </c>
      <c r="D201" s="2690" t="s">
        <v>5228</v>
      </c>
      <c r="E201" s="2691"/>
      <c r="F201" s="2688">
        <v>510</v>
      </c>
      <c r="G201" s="2684" t="s">
        <v>5229</v>
      </c>
      <c r="H201" s="2689" t="s">
        <v>5230</v>
      </c>
      <c r="I201" s="2690" t="s">
        <v>5231</v>
      </c>
      <c r="J201" s="2691"/>
      <c r="K201" s="2688">
        <v>834</v>
      </c>
      <c r="L201" s="2684" t="s">
        <v>5220</v>
      </c>
      <c r="M201" s="2689" t="s">
        <v>5221</v>
      </c>
      <c r="N201" s="2690" t="s">
        <v>5232</v>
      </c>
      <c r="O201" s="2691"/>
      <c r="P201" s="2688">
        <v>1158</v>
      </c>
      <c r="Q201" s="2684" t="s">
        <v>5233</v>
      </c>
      <c r="R201" s="2689" t="s">
        <v>5234</v>
      </c>
      <c r="S201" s="2690" t="s">
        <v>5235</v>
      </c>
      <c r="T201" s="1702"/>
      <c r="U201" s="1702"/>
      <c r="V201" s="1702"/>
      <c r="W201" s="1702"/>
      <c r="X201" s="1702"/>
      <c r="Y201" s="1702"/>
      <c r="Z201" s="1702"/>
      <c r="AA201" s="1702"/>
      <c r="AB201" s="1702"/>
      <c r="AC201" s="1702"/>
      <c r="AD201" s="1702"/>
    </row>
    <row r="202" spans="1:30" ht="38.25">
      <c r="A202" s="2688">
        <v>187</v>
      </c>
      <c r="B202" s="2684" t="s">
        <v>5236</v>
      </c>
      <c r="C202" s="2689" t="s">
        <v>5237</v>
      </c>
      <c r="D202" s="2690" t="s">
        <v>5238</v>
      </c>
      <c r="E202" s="2691"/>
      <c r="F202" s="2688">
        <v>511</v>
      </c>
      <c r="G202" s="2684" t="s">
        <v>5239</v>
      </c>
      <c r="H202" s="2689" t="s">
        <v>5240</v>
      </c>
      <c r="I202" s="2690" t="s">
        <v>5241</v>
      </c>
      <c r="J202" s="2691"/>
      <c r="K202" s="2688">
        <v>835</v>
      </c>
      <c r="L202" s="2684" t="s">
        <v>5242</v>
      </c>
      <c r="M202" s="2689" t="s">
        <v>3109</v>
      </c>
      <c r="N202" s="2690" t="s">
        <v>5243</v>
      </c>
      <c r="O202" s="2691"/>
      <c r="P202" s="2688">
        <v>1159</v>
      </c>
      <c r="Q202" s="2684" t="s">
        <v>5244</v>
      </c>
      <c r="R202" s="2689" t="s">
        <v>5245</v>
      </c>
      <c r="S202" s="2690" t="s">
        <v>5246</v>
      </c>
      <c r="T202" s="1702"/>
      <c r="U202" s="1702"/>
      <c r="V202" s="1702"/>
      <c r="W202" s="1702"/>
      <c r="X202" s="1702"/>
      <c r="Y202" s="1702"/>
      <c r="Z202" s="1702"/>
      <c r="AA202" s="1702"/>
      <c r="AB202" s="1702"/>
      <c r="AC202" s="1702"/>
      <c r="AD202" s="1702"/>
    </row>
    <row r="203" spans="1:30" ht="25.5">
      <c r="A203" s="2688">
        <v>188</v>
      </c>
      <c r="B203" s="2684" t="s">
        <v>5247</v>
      </c>
      <c r="C203" s="2689" t="s">
        <v>5248</v>
      </c>
      <c r="D203" s="2690" t="s">
        <v>5249</v>
      </c>
      <c r="E203" s="2691"/>
      <c r="F203" s="2688">
        <v>512</v>
      </c>
      <c r="G203" s="2684" t="s">
        <v>5250</v>
      </c>
      <c r="H203" s="2689" t="s">
        <v>5251</v>
      </c>
      <c r="I203" s="2690" t="s">
        <v>5252</v>
      </c>
      <c r="J203" s="2691"/>
      <c r="K203" s="2688">
        <v>836</v>
      </c>
      <c r="L203" s="2684" t="s">
        <v>5253</v>
      </c>
      <c r="M203" s="2689" t="s">
        <v>3111</v>
      </c>
      <c r="N203" s="2690" t="s">
        <v>5254</v>
      </c>
      <c r="O203" s="2691"/>
      <c r="P203" s="2688">
        <v>1160</v>
      </c>
      <c r="Q203" s="2684" t="s">
        <v>5255</v>
      </c>
      <c r="R203" s="2689" t="s">
        <v>5256</v>
      </c>
      <c r="S203" s="2690" t="s">
        <v>5257</v>
      </c>
      <c r="T203" s="1702"/>
      <c r="U203" s="1702"/>
      <c r="V203" s="1702"/>
      <c r="W203" s="1702"/>
      <c r="X203" s="1702"/>
      <c r="Y203" s="1702"/>
      <c r="Z203" s="1702"/>
      <c r="AA203" s="1702"/>
      <c r="AB203" s="1702"/>
      <c r="AC203" s="1702"/>
      <c r="AD203" s="1702"/>
    </row>
    <row r="204" spans="1:30" ht="25.5">
      <c r="A204" s="2688">
        <v>189</v>
      </c>
      <c r="B204" s="2684" t="s">
        <v>5258</v>
      </c>
      <c r="C204" s="2689" t="s">
        <v>5259</v>
      </c>
      <c r="D204" s="2690" t="s">
        <v>5260</v>
      </c>
      <c r="E204" s="2691"/>
      <c r="F204" s="2688">
        <v>513</v>
      </c>
      <c r="G204" s="2684" t="s">
        <v>5261</v>
      </c>
      <c r="H204" s="2689" t="s">
        <v>5262</v>
      </c>
      <c r="I204" s="2690" t="s">
        <v>5263</v>
      </c>
      <c r="J204" s="2691"/>
      <c r="K204" s="2688">
        <v>837</v>
      </c>
      <c r="L204" s="2684" t="s">
        <v>5264</v>
      </c>
      <c r="M204" s="2689" t="s">
        <v>3110</v>
      </c>
      <c r="O204" s="2691"/>
      <c r="P204" s="2688">
        <v>1161</v>
      </c>
      <c r="Q204" s="2684" t="s">
        <v>5265</v>
      </c>
      <c r="R204" s="2689" t="s">
        <v>5266</v>
      </c>
      <c r="S204" s="2690" t="s">
        <v>5267</v>
      </c>
      <c r="T204" s="1702"/>
      <c r="U204" s="1702"/>
      <c r="V204" s="1702"/>
      <c r="W204" s="1702"/>
      <c r="X204" s="1702"/>
      <c r="Y204" s="1702"/>
      <c r="Z204" s="1702"/>
      <c r="AA204" s="1702"/>
      <c r="AB204" s="1702"/>
      <c r="AC204" s="1702"/>
      <c r="AD204" s="1702"/>
    </row>
    <row r="205" spans="1:30" ht="38.25">
      <c r="A205" s="2688">
        <v>190</v>
      </c>
      <c r="B205" s="2684" t="s">
        <v>5268</v>
      </c>
      <c r="C205" s="2689" t="s">
        <v>5269</v>
      </c>
      <c r="D205" s="2690" t="s">
        <v>5270</v>
      </c>
      <c r="E205" s="2691"/>
      <c r="F205" s="2688">
        <v>514</v>
      </c>
      <c r="G205" s="2684" t="s">
        <v>5271</v>
      </c>
      <c r="H205" s="2689" t="s">
        <v>5272</v>
      </c>
      <c r="I205" s="2690" t="s">
        <v>5273</v>
      </c>
      <c r="J205" s="2691"/>
      <c r="K205" s="2688">
        <v>838</v>
      </c>
      <c r="L205" s="2684" t="s">
        <v>5264</v>
      </c>
      <c r="M205" s="2689" t="s">
        <v>3110</v>
      </c>
      <c r="N205" s="2690" t="s">
        <v>5274</v>
      </c>
      <c r="O205" s="2691"/>
      <c r="P205" s="2688">
        <v>1162</v>
      </c>
      <c r="Q205" s="2684" t="s">
        <v>5275</v>
      </c>
      <c r="R205" s="2689" t="s">
        <v>5276</v>
      </c>
      <c r="S205" s="2690" t="s">
        <v>5277</v>
      </c>
      <c r="T205" s="1702"/>
      <c r="U205" s="1702"/>
      <c r="V205" s="1702"/>
      <c r="W205" s="1702"/>
      <c r="X205" s="1702"/>
      <c r="Y205" s="1702"/>
      <c r="Z205" s="1702"/>
      <c r="AA205" s="1702"/>
      <c r="AB205" s="1702"/>
      <c r="AC205" s="1702"/>
      <c r="AD205" s="1702"/>
    </row>
    <row r="206" spans="1:30" ht="38.25">
      <c r="A206" s="2688">
        <v>191</v>
      </c>
      <c r="B206" s="2684" t="s">
        <v>5278</v>
      </c>
      <c r="C206" s="2689" t="s">
        <v>5279</v>
      </c>
      <c r="D206" s="2690" t="s">
        <v>5280</v>
      </c>
      <c r="E206" s="2691"/>
      <c r="F206" s="2688">
        <v>515</v>
      </c>
      <c r="G206" s="2684" t="s">
        <v>5281</v>
      </c>
      <c r="H206" s="2689" t="s">
        <v>5282</v>
      </c>
      <c r="I206" s="2690" t="s">
        <v>5283</v>
      </c>
      <c r="J206" s="2691"/>
      <c r="K206" s="2688">
        <v>839</v>
      </c>
      <c r="L206" s="2684" t="s">
        <v>5284</v>
      </c>
      <c r="M206" s="2689" t="s">
        <v>5285</v>
      </c>
      <c r="N206" s="2690" t="s">
        <v>5286</v>
      </c>
      <c r="O206" s="2691"/>
      <c r="P206" s="2688">
        <v>1163</v>
      </c>
      <c r="Q206" s="2684" t="s">
        <v>5287</v>
      </c>
      <c r="R206" s="2689" t="s">
        <v>5288</v>
      </c>
      <c r="S206" s="2690" t="s">
        <v>5289</v>
      </c>
      <c r="T206" s="1702"/>
      <c r="U206" s="1702"/>
      <c r="V206" s="1702"/>
      <c r="W206" s="1702"/>
      <c r="X206" s="1702"/>
      <c r="Y206" s="1702"/>
      <c r="Z206" s="1702"/>
      <c r="AA206" s="1702"/>
      <c r="AB206" s="1702"/>
      <c r="AC206" s="1702"/>
      <c r="AD206" s="1702"/>
    </row>
    <row r="207" spans="1:30" ht="25.5">
      <c r="A207" s="2688">
        <v>192</v>
      </c>
      <c r="B207" s="2684" t="s">
        <v>5290</v>
      </c>
      <c r="C207" s="2689" t="s">
        <v>5291</v>
      </c>
      <c r="D207" s="2690" t="s">
        <v>5292</v>
      </c>
      <c r="E207" s="2691"/>
      <c r="F207" s="2688">
        <v>516</v>
      </c>
      <c r="G207" s="2684" t="s">
        <v>5293</v>
      </c>
      <c r="H207" s="2689" t="s">
        <v>5294</v>
      </c>
      <c r="I207" s="2690" t="s">
        <v>5295</v>
      </c>
      <c r="J207" s="2691"/>
      <c r="K207" s="2688">
        <v>840</v>
      </c>
      <c r="L207" s="2684" t="s">
        <v>5296</v>
      </c>
      <c r="M207" s="2689" t="s">
        <v>5297</v>
      </c>
      <c r="N207" s="2690" t="s">
        <v>5298</v>
      </c>
      <c r="O207" s="2691"/>
      <c r="P207" s="2688">
        <v>1164</v>
      </c>
      <c r="Q207" s="2684" t="s">
        <v>5299</v>
      </c>
      <c r="R207" s="2689" t="s">
        <v>5300</v>
      </c>
      <c r="S207" s="2690" t="s">
        <v>5301</v>
      </c>
      <c r="T207" s="1702"/>
      <c r="U207" s="1702"/>
      <c r="V207" s="1702"/>
      <c r="W207" s="1702"/>
      <c r="X207" s="1702"/>
      <c r="Y207" s="1702"/>
      <c r="Z207" s="1702"/>
      <c r="AA207" s="1702"/>
      <c r="AB207" s="1702"/>
      <c r="AC207" s="1702"/>
      <c r="AD207" s="1702"/>
    </row>
    <row r="208" spans="1:30" ht="25.5">
      <c r="A208" s="2688">
        <v>193</v>
      </c>
      <c r="B208" s="2684" t="s">
        <v>5302</v>
      </c>
      <c r="C208" s="2689" t="s">
        <v>5303</v>
      </c>
      <c r="D208" s="2690" t="s">
        <v>5304</v>
      </c>
      <c r="E208" s="2691"/>
      <c r="F208" s="2688">
        <v>517</v>
      </c>
      <c r="G208" s="2684" t="s">
        <v>5305</v>
      </c>
      <c r="H208" s="2689" t="s">
        <v>5306</v>
      </c>
      <c r="I208" s="2690" t="s">
        <v>5307</v>
      </c>
      <c r="J208" s="2691"/>
      <c r="K208" s="2688">
        <v>841</v>
      </c>
      <c r="L208" s="2684" t="s">
        <v>5308</v>
      </c>
      <c r="M208" s="2689" t="s">
        <v>5309</v>
      </c>
      <c r="N208" s="2690" t="s">
        <v>5310</v>
      </c>
      <c r="O208" s="2691"/>
      <c r="P208" s="2688">
        <v>1165</v>
      </c>
      <c r="Q208" s="2684" t="s">
        <v>5311</v>
      </c>
      <c r="R208" s="2689" t="s">
        <v>5312</v>
      </c>
      <c r="S208" s="2690" t="s">
        <v>5313</v>
      </c>
      <c r="T208" s="1702"/>
      <c r="U208" s="1702"/>
      <c r="V208" s="1702"/>
      <c r="W208" s="1702"/>
      <c r="X208" s="1702"/>
      <c r="Y208" s="1702"/>
      <c r="Z208" s="1702"/>
      <c r="AA208" s="1702"/>
      <c r="AB208" s="1702"/>
      <c r="AC208" s="1702"/>
      <c r="AD208" s="1702"/>
    </row>
    <row r="209" spans="1:30" ht="25.5">
      <c r="A209" s="2688">
        <v>194</v>
      </c>
      <c r="B209" s="2684" t="s">
        <v>5314</v>
      </c>
      <c r="C209" s="2689" t="s">
        <v>5315</v>
      </c>
      <c r="D209" s="2690" t="s">
        <v>5316</v>
      </c>
      <c r="E209" s="2691"/>
      <c r="F209" s="2688">
        <v>518</v>
      </c>
      <c r="G209" s="2684" t="s">
        <v>5317</v>
      </c>
      <c r="H209" s="2689" t="s">
        <v>5318</v>
      </c>
      <c r="I209" s="2690" t="s">
        <v>5319</v>
      </c>
      <c r="J209" s="2691"/>
      <c r="K209" s="2688">
        <v>842</v>
      </c>
      <c r="L209" s="2684" t="s">
        <v>5320</v>
      </c>
      <c r="M209" s="2689" t="s">
        <v>5321</v>
      </c>
      <c r="N209" s="2690" t="s">
        <v>5322</v>
      </c>
      <c r="O209" s="2691"/>
      <c r="P209" s="2688">
        <v>1166</v>
      </c>
      <c r="Q209" s="2684" t="s">
        <v>5323</v>
      </c>
      <c r="R209" s="2689" t="s">
        <v>5324</v>
      </c>
      <c r="S209" s="2690" t="s">
        <v>5325</v>
      </c>
      <c r="T209" s="1702"/>
      <c r="U209" s="1702"/>
      <c r="V209" s="1702"/>
      <c r="W209" s="1702"/>
      <c r="X209" s="1702"/>
      <c r="Y209" s="1702"/>
      <c r="Z209" s="1702"/>
      <c r="AA209" s="1702"/>
      <c r="AB209" s="1702"/>
      <c r="AC209" s="1702"/>
      <c r="AD209" s="1702"/>
    </row>
    <row r="210" spans="1:30" ht="25.5">
      <c r="A210" s="2688">
        <v>195</v>
      </c>
      <c r="B210" s="2684" t="s">
        <v>5326</v>
      </c>
      <c r="C210" s="2689" t="s">
        <v>5327</v>
      </c>
      <c r="D210" s="2690" t="s">
        <v>5328</v>
      </c>
      <c r="E210" s="2691"/>
      <c r="F210" s="2688">
        <v>519</v>
      </c>
      <c r="G210" s="2684" t="s">
        <v>5329</v>
      </c>
      <c r="H210" s="2689" t="s">
        <v>5330</v>
      </c>
      <c r="I210" s="2690" t="s">
        <v>5331</v>
      </c>
      <c r="J210" s="2691"/>
      <c r="K210" s="2688">
        <v>843</v>
      </c>
      <c r="L210" s="2684" t="s">
        <v>5332</v>
      </c>
      <c r="M210" s="2689" t="s">
        <v>5333</v>
      </c>
      <c r="N210" s="2690" t="s">
        <v>5334</v>
      </c>
      <c r="O210" s="2691"/>
      <c r="P210" s="2688">
        <v>1167</v>
      </c>
      <c r="Q210" s="2684" t="s">
        <v>5335</v>
      </c>
      <c r="R210" s="2689" t="s">
        <v>5336</v>
      </c>
      <c r="S210" s="2690" t="s">
        <v>5337</v>
      </c>
      <c r="T210" s="1702"/>
      <c r="U210" s="1702"/>
      <c r="V210" s="1702"/>
      <c r="W210" s="1702"/>
      <c r="X210" s="1702"/>
      <c r="Y210" s="1702"/>
      <c r="Z210" s="1702"/>
      <c r="AA210" s="1702"/>
      <c r="AB210" s="1702"/>
      <c r="AC210" s="1702"/>
      <c r="AD210" s="1702"/>
    </row>
    <row r="211" spans="1:30" ht="25.5">
      <c r="A211" s="2688">
        <v>196</v>
      </c>
      <c r="B211" s="2684" t="s">
        <v>5338</v>
      </c>
      <c r="C211" s="2689" t="s">
        <v>5339</v>
      </c>
      <c r="D211" s="2690" t="s">
        <v>5340</v>
      </c>
      <c r="E211" s="2691"/>
      <c r="F211" s="2688">
        <v>520</v>
      </c>
      <c r="G211" s="2684" t="s">
        <v>5341</v>
      </c>
      <c r="H211" s="2689" t="s">
        <v>5342</v>
      </c>
      <c r="I211" s="2690" t="s">
        <v>5343</v>
      </c>
      <c r="J211" s="2691"/>
      <c r="K211" s="2688">
        <v>844</v>
      </c>
      <c r="L211" s="2684" t="s">
        <v>5344</v>
      </c>
      <c r="M211" s="2689" t="s">
        <v>5345</v>
      </c>
      <c r="N211" s="2690" t="s">
        <v>5346</v>
      </c>
      <c r="O211" s="2691"/>
      <c r="P211" s="2688">
        <v>1168</v>
      </c>
      <c r="Q211" s="2684" t="s">
        <v>5347</v>
      </c>
      <c r="R211" s="2689" t="s">
        <v>5348</v>
      </c>
      <c r="S211" s="2690" t="s">
        <v>5349</v>
      </c>
      <c r="T211" s="1702"/>
      <c r="U211" s="1702"/>
      <c r="V211" s="1702"/>
      <c r="W211" s="1702"/>
      <c r="X211" s="1702"/>
      <c r="Y211" s="1702"/>
      <c r="Z211" s="1702"/>
      <c r="AA211" s="1702"/>
      <c r="AB211" s="1702"/>
      <c r="AC211" s="1702"/>
      <c r="AD211" s="1702"/>
    </row>
    <row r="212" spans="1:30" ht="25.5">
      <c r="A212" s="2688">
        <v>197</v>
      </c>
      <c r="B212" s="2684" t="s">
        <v>5350</v>
      </c>
      <c r="C212" s="2689" t="s">
        <v>5351</v>
      </c>
      <c r="D212" s="2690" t="s">
        <v>5352</v>
      </c>
      <c r="E212" s="2691"/>
      <c r="F212" s="2688">
        <v>521</v>
      </c>
      <c r="G212" s="2684" t="s">
        <v>5353</v>
      </c>
      <c r="H212" s="2689" t="s">
        <v>5354</v>
      </c>
      <c r="I212" s="2690" t="s">
        <v>5355</v>
      </c>
      <c r="J212" s="2691"/>
      <c r="K212" s="2688">
        <v>845</v>
      </c>
      <c r="L212" s="2684" t="s">
        <v>5356</v>
      </c>
      <c r="M212" s="2689" t="s">
        <v>5357</v>
      </c>
      <c r="N212" s="2690" t="s">
        <v>5358</v>
      </c>
      <c r="O212" s="2691"/>
      <c r="P212" s="2688">
        <v>1169</v>
      </c>
      <c r="Q212" s="2684" t="s">
        <v>5359</v>
      </c>
      <c r="R212" s="2689" t="s">
        <v>5360</v>
      </c>
      <c r="S212" s="2690" t="s">
        <v>5361</v>
      </c>
      <c r="T212" s="1702"/>
      <c r="U212" s="1702"/>
      <c r="V212" s="1702"/>
      <c r="W212" s="1702"/>
      <c r="X212" s="1702"/>
      <c r="Y212" s="1702"/>
      <c r="Z212" s="1702"/>
      <c r="AA212" s="1702"/>
      <c r="AB212" s="1702"/>
      <c r="AC212" s="1702"/>
      <c r="AD212" s="1702"/>
    </row>
    <row r="213" spans="1:30" ht="25.5">
      <c r="A213" s="2688">
        <v>198</v>
      </c>
      <c r="B213" s="2684" t="s">
        <v>5362</v>
      </c>
      <c r="C213" s="2689" t="s">
        <v>5363</v>
      </c>
      <c r="D213" s="2690" t="s">
        <v>5364</v>
      </c>
      <c r="E213" s="2691"/>
      <c r="F213" s="2688">
        <v>522</v>
      </c>
      <c r="G213" s="2684" t="s">
        <v>5365</v>
      </c>
      <c r="H213" s="2689" t="s">
        <v>5366</v>
      </c>
      <c r="I213" s="2690" t="s">
        <v>5367</v>
      </c>
      <c r="J213" s="2691"/>
      <c r="K213" s="2688">
        <v>846</v>
      </c>
      <c r="L213" s="2684" t="s">
        <v>5368</v>
      </c>
      <c r="M213" s="2689" t="s">
        <v>5369</v>
      </c>
      <c r="N213" s="2690" t="s">
        <v>5370</v>
      </c>
      <c r="O213" s="2691"/>
      <c r="P213" s="2688">
        <v>1170</v>
      </c>
      <c r="Q213" s="2684" t="s">
        <v>5371</v>
      </c>
      <c r="R213" s="2689" t="s">
        <v>5372</v>
      </c>
      <c r="S213" s="2690" t="s">
        <v>5373</v>
      </c>
      <c r="T213" s="1702"/>
      <c r="U213" s="1702"/>
      <c r="V213" s="1702"/>
      <c r="W213" s="1702"/>
      <c r="X213" s="1702"/>
      <c r="Y213" s="1702"/>
      <c r="Z213" s="1702"/>
      <c r="AA213" s="1702"/>
      <c r="AB213" s="1702"/>
      <c r="AC213" s="1702"/>
      <c r="AD213" s="1702"/>
    </row>
    <row r="214" spans="1:30" ht="25.5">
      <c r="A214" s="2688">
        <v>199</v>
      </c>
      <c r="B214" s="2684" t="s">
        <v>5374</v>
      </c>
      <c r="C214" s="2689" t="s">
        <v>5375</v>
      </c>
      <c r="D214" s="2690" t="s">
        <v>5376</v>
      </c>
      <c r="E214" s="2691"/>
      <c r="F214" s="2688">
        <v>523</v>
      </c>
      <c r="G214" s="2684" t="s">
        <v>5377</v>
      </c>
      <c r="H214" s="2689" t="s">
        <v>5378</v>
      </c>
      <c r="I214" s="2690" t="s">
        <v>5379</v>
      </c>
      <c r="J214" s="2691"/>
      <c r="K214" s="2688">
        <v>847</v>
      </c>
      <c r="L214" s="2684" t="s">
        <v>5380</v>
      </c>
      <c r="M214" s="2689" t="s">
        <v>5381</v>
      </c>
      <c r="N214" s="2690" t="s">
        <v>5382</v>
      </c>
      <c r="O214" s="2691"/>
      <c r="P214" s="2688">
        <v>1171</v>
      </c>
      <c r="Q214" s="2684" t="s">
        <v>5383</v>
      </c>
      <c r="R214" s="2689" t="s">
        <v>5384</v>
      </c>
      <c r="S214" s="2690" t="s">
        <v>5385</v>
      </c>
      <c r="T214" s="1702"/>
      <c r="U214" s="1702"/>
      <c r="V214" s="1702"/>
      <c r="W214" s="1702"/>
      <c r="X214" s="1702"/>
      <c r="Y214" s="1702"/>
      <c r="Z214" s="1702"/>
      <c r="AA214" s="1702"/>
      <c r="AB214" s="1702"/>
      <c r="AC214" s="1702"/>
      <c r="AD214" s="1702"/>
    </row>
    <row r="215" spans="1:30" ht="25.5">
      <c r="A215" s="2688">
        <v>200</v>
      </c>
      <c r="B215" s="2684" t="s">
        <v>5386</v>
      </c>
      <c r="C215" s="2689" t="s">
        <v>5387</v>
      </c>
      <c r="D215" s="2690" t="s">
        <v>5388</v>
      </c>
      <c r="E215" s="2691"/>
      <c r="F215" s="2688">
        <v>524</v>
      </c>
      <c r="G215" s="2684" t="s">
        <v>5389</v>
      </c>
      <c r="H215" s="2689" t="s">
        <v>5390</v>
      </c>
      <c r="I215" s="2690" t="s">
        <v>5391</v>
      </c>
      <c r="J215" s="2691"/>
      <c r="K215" s="2688">
        <v>848</v>
      </c>
      <c r="L215" s="2684" t="s">
        <v>5392</v>
      </c>
      <c r="M215" s="2689" t="s">
        <v>5393</v>
      </c>
      <c r="N215" s="2690" t="s">
        <v>5394</v>
      </c>
      <c r="O215" s="2691"/>
      <c r="P215" s="2688">
        <v>1172</v>
      </c>
      <c r="Q215" s="2684" t="s">
        <v>5395</v>
      </c>
      <c r="R215" s="2689" t="s">
        <v>5396</v>
      </c>
      <c r="S215" s="2690" t="s">
        <v>5397</v>
      </c>
      <c r="T215" s="1702"/>
      <c r="U215" s="1702"/>
      <c r="V215" s="1702"/>
      <c r="W215" s="1702"/>
      <c r="X215" s="1702"/>
      <c r="Y215" s="1702"/>
      <c r="Z215" s="1702"/>
      <c r="AA215" s="1702"/>
      <c r="AB215" s="1702"/>
      <c r="AC215" s="1702"/>
      <c r="AD215" s="1702"/>
    </row>
    <row r="216" spans="1:30" ht="25.5">
      <c r="A216" s="2688">
        <v>201</v>
      </c>
      <c r="B216" s="2684" t="s">
        <v>5398</v>
      </c>
      <c r="C216" s="2689" t="s">
        <v>5399</v>
      </c>
      <c r="D216" s="2690" t="s">
        <v>5400</v>
      </c>
      <c r="E216" s="2691"/>
      <c r="F216" s="2688">
        <v>525</v>
      </c>
      <c r="G216" s="2684" t="s">
        <v>5401</v>
      </c>
      <c r="H216" s="2689" t="s">
        <v>5402</v>
      </c>
      <c r="I216" s="2690" t="s">
        <v>5403</v>
      </c>
      <c r="J216" s="2691"/>
      <c r="K216" s="2688">
        <v>849</v>
      </c>
      <c r="L216" s="2684" t="s">
        <v>5404</v>
      </c>
      <c r="M216" s="2689" t="s">
        <v>5405</v>
      </c>
      <c r="N216" s="2690" t="s">
        <v>5406</v>
      </c>
      <c r="O216" s="2691"/>
      <c r="P216" s="2688">
        <v>1173</v>
      </c>
      <c r="Q216" s="2684" t="s">
        <v>5407</v>
      </c>
      <c r="R216" s="2689" t="s">
        <v>5408</v>
      </c>
      <c r="S216" s="2690" t="s">
        <v>5409</v>
      </c>
      <c r="T216" s="1702"/>
      <c r="U216" s="1702"/>
      <c r="V216" s="1702"/>
      <c r="W216" s="1702"/>
      <c r="X216" s="1702"/>
      <c r="Y216" s="1702"/>
      <c r="Z216" s="1702"/>
      <c r="AA216" s="1702"/>
      <c r="AB216" s="1702"/>
      <c r="AC216" s="1702"/>
      <c r="AD216" s="1702"/>
    </row>
    <row r="217" spans="1:30">
      <c r="A217" s="2688">
        <v>202</v>
      </c>
      <c r="B217" s="2684" t="s">
        <v>5410</v>
      </c>
      <c r="C217" s="2689" t="s">
        <v>5411</v>
      </c>
      <c r="D217" s="2690" t="s">
        <v>5412</v>
      </c>
      <c r="E217" s="2691"/>
      <c r="F217" s="2688">
        <v>526</v>
      </c>
      <c r="G217" s="2684" t="s">
        <v>5413</v>
      </c>
      <c r="H217" s="2689" t="s">
        <v>5414</v>
      </c>
      <c r="I217" s="2690" t="s">
        <v>5415</v>
      </c>
      <c r="J217" s="2691"/>
      <c r="K217" s="2688">
        <v>850</v>
      </c>
      <c r="L217" s="2684" t="s">
        <v>5416</v>
      </c>
      <c r="M217" s="2689" t="s">
        <v>5417</v>
      </c>
      <c r="N217" s="2690" t="s">
        <v>3880</v>
      </c>
      <c r="O217" s="2691"/>
      <c r="P217" s="2688">
        <v>1174</v>
      </c>
      <c r="Q217" s="2684" t="s">
        <v>5418</v>
      </c>
      <c r="R217" s="2689" t="s">
        <v>5419</v>
      </c>
      <c r="S217" s="2690" t="s">
        <v>5420</v>
      </c>
      <c r="T217" s="1702"/>
      <c r="U217" s="1702"/>
      <c r="V217" s="1702"/>
      <c r="W217" s="1702"/>
      <c r="X217" s="1702"/>
      <c r="Y217" s="1702"/>
      <c r="Z217" s="1702"/>
      <c r="AA217" s="1702"/>
      <c r="AB217" s="1702"/>
      <c r="AC217" s="1702"/>
      <c r="AD217" s="1702"/>
    </row>
    <row r="218" spans="1:30">
      <c r="A218" s="2688">
        <v>203</v>
      </c>
      <c r="B218" s="2684" t="s">
        <v>5421</v>
      </c>
      <c r="C218" s="2689" t="s">
        <v>5422</v>
      </c>
      <c r="D218" s="2690" t="s">
        <v>5423</v>
      </c>
      <c r="E218" s="2691"/>
      <c r="F218" s="2688">
        <v>527</v>
      </c>
      <c r="G218" s="2684" t="s">
        <v>5424</v>
      </c>
      <c r="H218" s="2689" t="s">
        <v>5425</v>
      </c>
      <c r="I218" s="2690" t="s">
        <v>5426</v>
      </c>
      <c r="J218" s="2691"/>
      <c r="K218" s="2688">
        <v>851</v>
      </c>
      <c r="L218" s="2684" t="s">
        <v>5427</v>
      </c>
      <c r="M218" s="2689" t="s">
        <v>5428</v>
      </c>
      <c r="N218" s="2690" t="s">
        <v>5429</v>
      </c>
      <c r="O218" s="2691"/>
      <c r="P218" s="2688">
        <v>1175</v>
      </c>
      <c r="Q218" s="2684" t="s">
        <v>5430</v>
      </c>
      <c r="R218" s="2689" t="s">
        <v>5431</v>
      </c>
      <c r="S218" s="2690" t="s">
        <v>5432</v>
      </c>
      <c r="T218" s="1702"/>
      <c r="U218" s="1702"/>
      <c r="V218" s="1702"/>
      <c r="W218" s="1702"/>
      <c r="X218" s="1702"/>
      <c r="Y218" s="1702"/>
      <c r="Z218" s="1702"/>
      <c r="AA218" s="1702"/>
      <c r="AB218" s="1702"/>
      <c r="AC218" s="1702"/>
      <c r="AD218" s="1702"/>
    </row>
    <row r="219" spans="1:30" ht="25.5">
      <c r="A219" s="2688">
        <v>204</v>
      </c>
      <c r="B219" s="2684" t="s">
        <v>5433</v>
      </c>
      <c r="C219" s="2689" t="s">
        <v>5434</v>
      </c>
      <c r="D219" s="2690" t="s">
        <v>5435</v>
      </c>
      <c r="E219" s="2691"/>
      <c r="F219" s="2688">
        <v>528</v>
      </c>
      <c r="G219" s="2684" t="s">
        <v>5436</v>
      </c>
      <c r="H219" s="2689" t="s">
        <v>5437</v>
      </c>
      <c r="I219" s="2690" t="s">
        <v>5438</v>
      </c>
      <c r="J219" s="2691"/>
      <c r="K219" s="2688">
        <v>852</v>
      </c>
      <c r="L219" s="2684" t="s">
        <v>5439</v>
      </c>
      <c r="M219" s="2689" t="s">
        <v>5440</v>
      </c>
      <c r="N219" s="2690" t="s">
        <v>5441</v>
      </c>
      <c r="O219" s="2691"/>
      <c r="P219" s="2688">
        <v>1176</v>
      </c>
      <c r="Q219" s="2684" t="s">
        <v>5442</v>
      </c>
      <c r="R219" s="2689" t="s">
        <v>5443</v>
      </c>
      <c r="S219" s="2690" t="s">
        <v>5444</v>
      </c>
      <c r="T219" s="1702"/>
      <c r="U219" s="1702"/>
      <c r="V219" s="1702"/>
      <c r="W219" s="1702"/>
      <c r="X219" s="1702"/>
      <c r="Y219" s="1702"/>
      <c r="Z219" s="1702"/>
      <c r="AA219" s="1702"/>
      <c r="AB219" s="1702"/>
      <c r="AC219" s="1702"/>
      <c r="AD219" s="1702"/>
    </row>
    <row r="220" spans="1:30" ht="25.5">
      <c r="A220" s="2688">
        <v>205</v>
      </c>
      <c r="B220" s="2684" t="s">
        <v>5445</v>
      </c>
      <c r="C220" s="2689" t="s">
        <v>5446</v>
      </c>
      <c r="D220" s="2690" t="s">
        <v>5447</v>
      </c>
      <c r="E220" s="2691"/>
      <c r="F220" s="2688">
        <v>529</v>
      </c>
      <c r="G220" s="2684" t="s">
        <v>5448</v>
      </c>
      <c r="H220" s="2689" t="s">
        <v>5449</v>
      </c>
      <c r="I220" s="2690" t="s">
        <v>5450</v>
      </c>
      <c r="J220" s="2691"/>
      <c r="K220" s="2688">
        <v>853</v>
      </c>
      <c r="L220" s="2684" t="s">
        <v>5451</v>
      </c>
      <c r="M220" s="2689" t="s">
        <v>5452</v>
      </c>
      <c r="N220" s="2690" t="s">
        <v>5453</v>
      </c>
      <c r="O220" s="2691"/>
      <c r="P220" s="2688">
        <v>1177</v>
      </c>
      <c r="Q220" s="2684" t="s">
        <v>5454</v>
      </c>
      <c r="R220" s="2689" t="s">
        <v>5455</v>
      </c>
      <c r="S220" s="2690" t="s">
        <v>5456</v>
      </c>
      <c r="T220" s="1702"/>
      <c r="U220" s="1702"/>
      <c r="V220" s="1702"/>
      <c r="W220" s="1702"/>
      <c r="X220" s="1702"/>
      <c r="Y220" s="1702"/>
      <c r="Z220" s="1702"/>
      <c r="AA220" s="1702"/>
      <c r="AB220" s="1702"/>
      <c r="AC220" s="1702"/>
      <c r="AD220" s="1702"/>
    </row>
    <row r="221" spans="1:30" ht="25.5">
      <c r="A221" s="2688">
        <v>206</v>
      </c>
      <c r="B221" s="2684" t="s">
        <v>5457</v>
      </c>
      <c r="C221" s="2689" t="s">
        <v>5458</v>
      </c>
      <c r="D221" s="2690" t="s">
        <v>5459</v>
      </c>
      <c r="E221" s="2691"/>
      <c r="F221" s="2688">
        <v>530</v>
      </c>
      <c r="G221" s="2684" t="s">
        <v>5460</v>
      </c>
      <c r="H221" s="2689" t="s">
        <v>5461</v>
      </c>
      <c r="I221" s="2690" t="s">
        <v>5462</v>
      </c>
      <c r="J221" s="2691"/>
      <c r="K221" s="2688">
        <v>854</v>
      </c>
      <c r="L221" s="2684" t="s">
        <v>5463</v>
      </c>
      <c r="M221" s="2689" t="s">
        <v>5464</v>
      </c>
      <c r="N221" s="2690" t="s">
        <v>5465</v>
      </c>
      <c r="O221" s="2691"/>
      <c r="P221" s="2688">
        <v>1178</v>
      </c>
      <c r="Q221" s="2684" t="s">
        <v>5466</v>
      </c>
      <c r="R221" s="2689" t="s">
        <v>5467</v>
      </c>
      <c r="S221" s="2690" t="s">
        <v>5468</v>
      </c>
      <c r="T221" s="1702"/>
      <c r="U221" s="1702"/>
      <c r="V221" s="1702"/>
      <c r="W221" s="1702"/>
      <c r="X221" s="1702"/>
      <c r="Y221" s="1702"/>
      <c r="Z221" s="1702"/>
      <c r="AA221" s="1702"/>
      <c r="AB221" s="1702"/>
      <c r="AC221" s="1702"/>
      <c r="AD221" s="1702"/>
    </row>
    <row r="222" spans="1:30" ht="25.5">
      <c r="A222" s="2688">
        <v>207</v>
      </c>
      <c r="B222" s="2684" t="s">
        <v>5469</v>
      </c>
      <c r="C222" s="2689" t="s">
        <v>5470</v>
      </c>
      <c r="D222" s="2690" t="s">
        <v>5471</v>
      </c>
      <c r="E222" s="2691"/>
      <c r="F222" s="2688">
        <v>531</v>
      </c>
      <c r="G222" s="2684" t="s">
        <v>5472</v>
      </c>
      <c r="H222" s="2689" t="s">
        <v>5473</v>
      </c>
      <c r="I222" s="2690" t="s">
        <v>5474</v>
      </c>
      <c r="J222" s="2691"/>
      <c r="K222" s="2688">
        <v>855</v>
      </c>
      <c r="L222" s="2684" t="s">
        <v>5475</v>
      </c>
      <c r="M222" s="2689" t="s">
        <v>5476</v>
      </c>
      <c r="N222" s="2690" t="s">
        <v>5477</v>
      </c>
      <c r="O222" s="2691"/>
      <c r="P222" s="2688">
        <v>1179</v>
      </c>
      <c r="Q222" s="2684" t="s">
        <v>5478</v>
      </c>
      <c r="R222" s="2689" t="s">
        <v>5479</v>
      </c>
      <c r="S222" s="2690" t="s">
        <v>5480</v>
      </c>
      <c r="T222" s="1702"/>
      <c r="U222" s="1702"/>
      <c r="V222" s="1702"/>
      <c r="W222" s="1702"/>
      <c r="X222" s="1702"/>
      <c r="Y222" s="1702"/>
      <c r="Z222" s="1702"/>
      <c r="AA222" s="1702"/>
      <c r="AB222" s="1702"/>
      <c r="AC222" s="1702"/>
      <c r="AD222" s="1702"/>
    </row>
    <row r="223" spans="1:30">
      <c r="A223" s="2688">
        <v>208</v>
      </c>
      <c r="B223" s="2684" t="s">
        <v>5481</v>
      </c>
      <c r="C223" s="2689" t="s">
        <v>5482</v>
      </c>
      <c r="D223" s="2690" t="s">
        <v>5483</v>
      </c>
      <c r="E223" s="2691"/>
      <c r="F223" s="2688">
        <v>532</v>
      </c>
      <c r="G223" s="2684" t="s">
        <v>5484</v>
      </c>
      <c r="H223" s="2689" t="s">
        <v>5485</v>
      </c>
      <c r="I223" s="2690" t="s">
        <v>5486</v>
      </c>
      <c r="J223" s="2691"/>
      <c r="K223" s="2688">
        <v>856</v>
      </c>
      <c r="L223" s="2684" t="s">
        <v>5487</v>
      </c>
      <c r="M223" s="2689" t="s">
        <v>5488</v>
      </c>
      <c r="N223" s="2690" t="s">
        <v>5489</v>
      </c>
      <c r="O223" s="2691"/>
      <c r="P223" s="2688">
        <v>1180</v>
      </c>
      <c r="Q223" s="2684" t="s">
        <v>5490</v>
      </c>
      <c r="R223" s="2689" t="s">
        <v>5491</v>
      </c>
      <c r="S223" s="2690" t="s">
        <v>5492</v>
      </c>
      <c r="T223" s="1702"/>
      <c r="U223" s="1702"/>
      <c r="V223" s="1702"/>
      <c r="W223" s="1702"/>
      <c r="X223" s="1702"/>
      <c r="Y223" s="1702"/>
      <c r="Z223" s="1702"/>
      <c r="AA223" s="1702"/>
      <c r="AB223" s="1702"/>
      <c r="AC223" s="1702"/>
      <c r="AD223" s="1702"/>
    </row>
    <row r="224" spans="1:30">
      <c r="A224" s="2688">
        <v>209</v>
      </c>
      <c r="B224" s="2684" t="s">
        <v>5493</v>
      </c>
      <c r="C224" s="2689" t="s">
        <v>5494</v>
      </c>
      <c r="D224" s="2690" t="s">
        <v>5495</v>
      </c>
      <c r="E224" s="2691"/>
      <c r="F224" s="2688">
        <v>533</v>
      </c>
      <c r="G224" s="2684" t="s">
        <v>5496</v>
      </c>
      <c r="H224" s="2689" t="s">
        <v>5497</v>
      </c>
      <c r="I224" s="2690" t="s">
        <v>5498</v>
      </c>
      <c r="J224" s="2691"/>
      <c r="K224" s="2688">
        <v>857</v>
      </c>
      <c r="L224" s="2684" t="s">
        <v>5499</v>
      </c>
      <c r="M224" s="2689" t="s">
        <v>5500</v>
      </c>
      <c r="N224" s="2690" t="s">
        <v>5489</v>
      </c>
      <c r="O224" s="2691"/>
      <c r="P224" s="2688">
        <v>1181</v>
      </c>
      <c r="Q224" s="2684" t="s">
        <v>5501</v>
      </c>
      <c r="R224" s="2689" t="s">
        <v>5502</v>
      </c>
      <c r="S224" s="2690" t="s">
        <v>5503</v>
      </c>
      <c r="T224" s="1702"/>
      <c r="U224" s="1702"/>
      <c r="V224" s="1702"/>
      <c r="W224" s="1702"/>
      <c r="X224" s="1702"/>
      <c r="Y224" s="1702"/>
      <c r="Z224" s="1702"/>
      <c r="AA224" s="1702"/>
      <c r="AB224" s="1702"/>
      <c r="AC224" s="1702"/>
      <c r="AD224" s="1702"/>
    </row>
    <row r="225" spans="1:30">
      <c r="A225" s="2688">
        <v>210</v>
      </c>
      <c r="B225" s="2684" t="s">
        <v>5504</v>
      </c>
      <c r="C225" s="2689" t="s">
        <v>5505</v>
      </c>
      <c r="D225" s="2690" t="s">
        <v>5506</v>
      </c>
      <c r="E225" s="2691"/>
      <c r="F225" s="2688">
        <v>534</v>
      </c>
      <c r="G225" s="2684" t="s">
        <v>5507</v>
      </c>
      <c r="H225" s="2689" t="s">
        <v>5508</v>
      </c>
      <c r="I225" s="2690" t="s">
        <v>5509</v>
      </c>
      <c r="J225" s="2691"/>
      <c r="K225" s="2688">
        <v>858</v>
      </c>
      <c r="L225" s="2684" t="s">
        <v>5510</v>
      </c>
      <c r="M225" s="2689" t="s">
        <v>5511</v>
      </c>
      <c r="N225" s="2690" t="s">
        <v>5512</v>
      </c>
      <c r="O225" s="2691"/>
      <c r="P225" s="2688">
        <v>1182</v>
      </c>
      <c r="Q225" s="2684" t="s">
        <v>5513</v>
      </c>
      <c r="R225" s="2689" t="s">
        <v>5514</v>
      </c>
      <c r="S225" s="2690" t="s">
        <v>5515</v>
      </c>
      <c r="T225" s="1702"/>
      <c r="U225" s="1702"/>
      <c r="V225" s="1702"/>
      <c r="W225" s="1702"/>
      <c r="X225" s="1702"/>
      <c r="Y225" s="1702"/>
      <c r="Z225" s="1702"/>
      <c r="AA225" s="1702"/>
      <c r="AB225" s="1702"/>
      <c r="AC225" s="1702"/>
      <c r="AD225" s="1702"/>
    </row>
    <row r="226" spans="1:30" ht="25.5">
      <c r="A226" s="2688">
        <v>211</v>
      </c>
      <c r="B226" s="2684" t="s">
        <v>5516</v>
      </c>
      <c r="C226" s="2689" t="s">
        <v>5517</v>
      </c>
      <c r="D226" s="2690" t="s">
        <v>5518</v>
      </c>
      <c r="E226" s="2691"/>
      <c r="F226" s="2688">
        <v>535</v>
      </c>
      <c r="G226" s="2684" t="s">
        <v>5519</v>
      </c>
      <c r="H226" s="2689" t="s">
        <v>5520</v>
      </c>
      <c r="I226" s="2690" t="s">
        <v>5521</v>
      </c>
      <c r="J226" s="2691"/>
      <c r="K226" s="2688">
        <v>859</v>
      </c>
      <c r="L226" s="2684" t="s">
        <v>5522</v>
      </c>
      <c r="M226" s="2689" t="s">
        <v>5523</v>
      </c>
      <c r="N226" s="2690" t="s">
        <v>5524</v>
      </c>
      <c r="O226" s="2691"/>
      <c r="P226" s="2688">
        <v>1183</v>
      </c>
      <c r="Q226" s="2684" t="s">
        <v>5525</v>
      </c>
      <c r="R226" s="2689" t="s">
        <v>5526</v>
      </c>
      <c r="S226" s="2690" t="s">
        <v>5527</v>
      </c>
      <c r="T226" s="1702"/>
      <c r="U226" s="1702"/>
      <c r="V226" s="1702"/>
      <c r="W226" s="1702"/>
      <c r="X226" s="1702"/>
      <c r="Y226" s="1702"/>
      <c r="Z226" s="1702"/>
      <c r="AA226" s="1702"/>
      <c r="AB226" s="1702"/>
      <c r="AC226" s="1702"/>
      <c r="AD226" s="1702"/>
    </row>
    <row r="227" spans="1:30" ht="38.25">
      <c r="A227" s="2688">
        <v>212</v>
      </c>
      <c r="B227" s="2684" t="s">
        <v>5528</v>
      </c>
      <c r="C227" s="2689" t="s">
        <v>5529</v>
      </c>
      <c r="D227" s="2690" t="s">
        <v>5530</v>
      </c>
      <c r="E227" s="2691"/>
      <c r="F227" s="2688">
        <v>536</v>
      </c>
      <c r="G227" s="2684" t="s">
        <v>5531</v>
      </c>
      <c r="H227" s="2689" t="s">
        <v>5532</v>
      </c>
      <c r="I227" s="2690" t="s">
        <v>5533</v>
      </c>
      <c r="J227" s="2691"/>
      <c r="K227" s="2688">
        <v>860</v>
      </c>
      <c r="L227" s="2684" t="s">
        <v>5534</v>
      </c>
      <c r="M227" s="2689" t="s">
        <v>5535</v>
      </c>
      <c r="N227" s="2690" t="s">
        <v>5536</v>
      </c>
      <c r="O227" s="2691"/>
      <c r="P227" s="2688">
        <v>1184</v>
      </c>
      <c r="Q227" s="2684" t="s">
        <v>5537</v>
      </c>
      <c r="R227" s="2689" t="s">
        <v>5538</v>
      </c>
      <c r="S227" s="2690" t="s">
        <v>5539</v>
      </c>
      <c r="T227" s="1702"/>
      <c r="U227" s="1702"/>
      <c r="V227" s="1702"/>
      <c r="W227" s="1702"/>
      <c r="X227" s="1702"/>
      <c r="Y227" s="1702"/>
      <c r="Z227" s="1702"/>
      <c r="AA227" s="1702"/>
      <c r="AB227" s="1702"/>
      <c r="AC227" s="1702"/>
      <c r="AD227" s="1702"/>
    </row>
    <row r="228" spans="1:30" ht="25.5">
      <c r="A228" s="2688">
        <v>213</v>
      </c>
      <c r="B228" s="2684" t="s">
        <v>5540</v>
      </c>
      <c r="C228" s="2689" t="s">
        <v>5541</v>
      </c>
      <c r="D228" s="2690" t="s">
        <v>5542</v>
      </c>
      <c r="E228" s="2691"/>
      <c r="F228" s="2688">
        <v>537</v>
      </c>
      <c r="G228" s="2684" t="s">
        <v>5543</v>
      </c>
      <c r="H228" s="2689" t="s">
        <v>5544</v>
      </c>
      <c r="I228" s="2690" t="s">
        <v>5545</v>
      </c>
      <c r="J228" s="2691"/>
      <c r="K228" s="2688">
        <v>861</v>
      </c>
      <c r="L228" s="2684" t="s">
        <v>5546</v>
      </c>
      <c r="M228" s="2689" t="s">
        <v>5547</v>
      </c>
      <c r="N228" s="2690" t="s">
        <v>5548</v>
      </c>
      <c r="O228" s="2691"/>
      <c r="P228" s="2688">
        <v>1185</v>
      </c>
      <c r="Q228" s="2684" t="s">
        <v>5549</v>
      </c>
      <c r="R228" s="2689" t="s">
        <v>5550</v>
      </c>
      <c r="S228" s="2690" t="s">
        <v>5551</v>
      </c>
      <c r="T228" s="1702"/>
      <c r="U228" s="1702"/>
      <c r="V228" s="1702"/>
      <c r="W228" s="1702"/>
      <c r="X228" s="1702"/>
      <c r="Y228" s="1702"/>
      <c r="Z228" s="1702"/>
      <c r="AA228" s="1702"/>
      <c r="AB228" s="1702"/>
      <c r="AC228" s="1702"/>
      <c r="AD228" s="1702"/>
    </row>
    <row r="229" spans="1:30" ht="25.5">
      <c r="A229" s="2688">
        <v>214</v>
      </c>
      <c r="B229" s="2684" t="s">
        <v>5552</v>
      </c>
      <c r="C229" s="2689" t="s">
        <v>5553</v>
      </c>
      <c r="D229" s="2690" t="s">
        <v>5554</v>
      </c>
      <c r="E229" s="2691"/>
      <c r="F229" s="2688">
        <v>538</v>
      </c>
      <c r="G229" s="2684" t="s">
        <v>5555</v>
      </c>
      <c r="H229" s="2689" t="s">
        <v>5556</v>
      </c>
      <c r="I229" s="2690" t="s">
        <v>5557</v>
      </c>
      <c r="J229" s="2691"/>
      <c r="K229" s="2688">
        <v>862</v>
      </c>
      <c r="L229" s="2684" t="s">
        <v>5558</v>
      </c>
      <c r="M229" s="2689" t="s">
        <v>5559</v>
      </c>
      <c r="N229" s="2690" t="s">
        <v>5560</v>
      </c>
      <c r="O229" s="2691"/>
      <c r="P229" s="2688">
        <v>1186</v>
      </c>
      <c r="Q229" s="2684" t="s">
        <v>5561</v>
      </c>
      <c r="R229" s="2689" t="s">
        <v>5562</v>
      </c>
      <c r="S229" s="2690" t="s">
        <v>5563</v>
      </c>
      <c r="T229" s="1702"/>
      <c r="U229" s="1702"/>
      <c r="V229" s="1702"/>
      <c r="W229" s="1702"/>
      <c r="X229" s="1702"/>
      <c r="Y229" s="1702"/>
      <c r="Z229" s="1702"/>
      <c r="AA229" s="1702"/>
      <c r="AB229" s="1702"/>
      <c r="AC229" s="1702"/>
      <c r="AD229" s="1702"/>
    </row>
    <row r="230" spans="1:30" ht="25.5">
      <c r="A230" s="2688">
        <v>215</v>
      </c>
      <c r="B230" s="2684" t="s">
        <v>5564</v>
      </c>
      <c r="C230" s="2689" t="s">
        <v>5565</v>
      </c>
      <c r="D230" s="2690" t="s">
        <v>5566</v>
      </c>
      <c r="E230" s="2691"/>
      <c r="F230" s="2688">
        <v>539</v>
      </c>
      <c r="G230" s="2684" t="s">
        <v>5567</v>
      </c>
      <c r="H230" s="2689" t="s">
        <v>5568</v>
      </c>
      <c r="I230" s="2690" t="s">
        <v>5569</v>
      </c>
      <c r="J230" s="2691"/>
      <c r="K230" s="2688">
        <v>863</v>
      </c>
      <c r="L230" s="2684" t="s">
        <v>5570</v>
      </c>
      <c r="M230" s="2689" t="s">
        <v>5571</v>
      </c>
      <c r="N230" s="2690" t="s">
        <v>5572</v>
      </c>
      <c r="O230" s="2691"/>
      <c r="P230" s="2688">
        <v>1187</v>
      </c>
      <c r="Q230" s="2684" t="s">
        <v>5573</v>
      </c>
      <c r="R230" s="2689" t="s">
        <v>5574</v>
      </c>
      <c r="S230" s="2690" t="s">
        <v>5575</v>
      </c>
      <c r="T230" s="1702"/>
      <c r="U230" s="1702"/>
      <c r="V230" s="1702"/>
      <c r="W230" s="1702"/>
      <c r="X230" s="1702"/>
      <c r="Y230" s="1702"/>
      <c r="Z230" s="1702"/>
      <c r="AA230" s="1702"/>
      <c r="AB230" s="1702"/>
      <c r="AC230" s="1702"/>
      <c r="AD230" s="1702"/>
    </row>
    <row r="231" spans="1:30" ht="25.5">
      <c r="A231" s="2688">
        <v>216</v>
      </c>
      <c r="B231" s="2684" t="s">
        <v>5576</v>
      </c>
      <c r="C231" s="2689" t="s">
        <v>5577</v>
      </c>
      <c r="D231" s="2690" t="s">
        <v>5578</v>
      </c>
      <c r="E231" s="2691"/>
      <c r="F231" s="2688">
        <v>540</v>
      </c>
      <c r="G231" s="2684" t="s">
        <v>5579</v>
      </c>
      <c r="H231" s="2689" t="s">
        <v>5580</v>
      </c>
      <c r="I231" s="2690" t="s">
        <v>5581</v>
      </c>
      <c r="J231" s="2691"/>
      <c r="K231" s="2688">
        <v>864</v>
      </c>
      <c r="L231" s="2684" t="s">
        <v>5582</v>
      </c>
      <c r="M231" s="2689" t="s">
        <v>5583</v>
      </c>
      <c r="N231" s="2690" t="s">
        <v>5584</v>
      </c>
      <c r="O231" s="2691"/>
      <c r="P231" s="2688">
        <v>1188</v>
      </c>
      <c r="Q231" s="2684" t="s">
        <v>5585</v>
      </c>
      <c r="R231" s="2689" t="s">
        <v>5586</v>
      </c>
      <c r="S231" s="2690" t="s">
        <v>5587</v>
      </c>
      <c r="T231" s="1702"/>
      <c r="U231" s="1702"/>
      <c r="V231" s="1702"/>
      <c r="W231" s="1702"/>
      <c r="X231" s="1702"/>
      <c r="Y231" s="1702"/>
      <c r="Z231" s="1702"/>
      <c r="AA231" s="1702"/>
      <c r="AB231" s="1702"/>
      <c r="AC231" s="1702"/>
      <c r="AD231" s="1702"/>
    </row>
    <row r="232" spans="1:30">
      <c r="A232" s="2688">
        <v>217</v>
      </c>
      <c r="B232" s="2684" t="s">
        <v>5588</v>
      </c>
      <c r="C232" s="2689" t="s">
        <v>5589</v>
      </c>
      <c r="D232" s="2690" t="s">
        <v>5590</v>
      </c>
      <c r="E232" s="2691"/>
      <c r="F232" s="2688">
        <v>541</v>
      </c>
      <c r="G232" s="2684" t="s">
        <v>5591</v>
      </c>
      <c r="H232" s="2689" t="s">
        <v>5592</v>
      </c>
      <c r="I232" s="2690" t="s">
        <v>5593</v>
      </c>
      <c r="J232" s="2691"/>
      <c r="K232" s="2688">
        <v>865</v>
      </c>
      <c r="L232" s="2684" t="s">
        <v>5594</v>
      </c>
      <c r="M232" s="2689" t="s">
        <v>5595</v>
      </c>
      <c r="N232" s="2690" t="s">
        <v>5596</v>
      </c>
      <c r="O232" s="2691"/>
      <c r="P232" s="2688">
        <v>1189</v>
      </c>
      <c r="Q232" s="2684" t="s">
        <v>5597</v>
      </c>
      <c r="R232" s="2689" t="s">
        <v>5598</v>
      </c>
      <c r="S232" s="2690" t="s">
        <v>5599</v>
      </c>
      <c r="T232" s="1702"/>
      <c r="U232" s="1702"/>
      <c r="V232" s="1702"/>
      <c r="W232" s="1702"/>
      <c r="X232" s="1702"/>
      <c r="Y232" s="1702"/>
      <c r="Z232" s="1702"/>
      <c r="AA232" s="1702"/>
      <c r="AB232" s="1702"/>
      <c r="AC232" s="1702"/>
      <c r="AD232" s="1702"/>
    </row>
    <row r="233" spans="1:30">
      <c r="A233" s="2688">
        <v>218</v>
      </c>
      <c r="B233" s="2684" t="s">
        <v>5600</v>
      </c>
      <c r="C233" s="2689" t="s">
        <v>5601</v>
      </c>
      <c r="D233" s="2690" t="s">
        <v>5602</v>
      </c>
      <c r="E233" s="2691"/>
      <c r="F233" s="2688">
        <v>542</v>
      </c>
      <c r="G233" s="2684" t="s">
        <v>5603</v>
      </c>
      <c r="H233" s="2689" t="s">
        <v>5604</v>
      </c>
      <c r="I233" s="2690" t="s">
        <v>5605</v>
      </c>
      <c r="J233" s="2691"/>
      <c r="K233" s="2688">
        <v>866</v>
      </c>
      <c r="L233" s="2684" t="s">
        <v>5606</v>
      </c>
      <c r="M233" s="2689" t="s">
        <v>5607</v>
      </c>
      <c r="N233" s="2690" t="s">
        <v>5608</v>
      </c>
      <c r="O233" s="2691"/>
      <c r="P233" s="2688">
        <v>1190</v>
      </c>
      <c r="Q233" s="2684" t="s">
        <v>5609</v>
      </c>
      <c r="R233" s="2689" t="s">
        <v>5610</v>
      </c>
      <c r="S233" s="2690" t="s">
        <v>5611</v>
      </c>
      <c r="T233" s="1702"/>
      <c r="U233" s="1702"/>
      <c r="V233" s="1702"/>
      <c r="W233" s="1702"/>
      <c r="X233" s="1702"/>
      <c r="Y233" s="1702"/>
      <c r="Z233" s="1702"/>
      <c r="AA233" s="1702"/>
      <c r="AB233" s="1702"/>
      <c r="AC233" s="1702"/>
      <c r="AD233" s="1702"/>
    </row>
    <row r="234" spans="1:30">
      <c r="A234" s="2688">
        <v>219</v>
      </c>
      <c r="B234" s="2684" t="s">
        <v>5612</v>
      </c>
      <c r="C234" s="2689" t="s">
        <v>5613</v>
      </c>
      <c r="D234" s="2690" t="s">
        <v>5614</v>
      </c>
      <c r="E234" s="2691"/>
      <c r="F234" s="2688">
        <v>543</v>
      </c>
      <c r="G234" s="2684" t="s">
        <v>5615</v>
      </c>
      <c r="H234" s="2689" t="s">
        <v>5616</v>
      </c>
      <c r="I234" s="2690" t="s">
        <v>5617</v>
      </c>
      <c r="J234" s="2691"/>
      <c r="K234" s="2688">
        <v>867</v>
      </c>
      <c r="L234" s="2684" t="s">
        <v>5618</v>
      </c>
      <c r="M234" s="2689" t="s">
        <v>5619</v>
      </c>
      <c r="N234" s="2690" t="s">
        <v>5620</v>
      </c>
      <c r="O234" s="2691"/>
      <c r="P234" s="2688">
        <v>1191</v>
      </c>
      <c r="Q234" s="2684" t="s">
        <v>5621</v>
      </c>
      <c r="R234" s="2689" t="s">
        <v>5622</v>
      </c>
      <c r="S234" s="2690" t="s">
        <v>5623</v>
      </c>
      <c r="T234" s="1702"/>
      <c r="U234" s="1702"/>
      <c r="V234" s="1702"/>
      <c r="W234" s="1702"/>
      <c r="X234" s="1702"/>
      <c r="Y234" s="1702"/>
      <c r="Z234" s="1702"/>
      <c r="AA234" s="1702"/>
      <c r="AB234" s="1702"/>
      <c r="AC234" s="1702"/>
      <c r="AD234" s="1702"/>
    </row>
    <row r="235" spans="1:30" ht="25.5">
      <c r="A235" s="2688">
        <v>220</v>
      </c>
      <c r="B235" s="2684" t="s">
        <v>5624</v>
      </c>
      <c r="C235" s="2689" t="s">
        <v>5625</v>
      </c>
      <c r="D235" s="2690" t="s">
        <v>5626</v>
      </c>
      <c r="E235" s="2691"/>
      <c r="F235" s="2688">
        <v>544</v>
      </c>
      <c r="G235" s="2684" t="s">
        <v>5627</v>
      </c>
      <c r="H235" s="2689" t="s">
        <v>5628</v>
      </c>
      <c r="I235" s="2690" t="s">
        <v>5629</v>
      </c>
      <c r="J235" s="2691"/>
      <c r="K235" s="2688">
        <v>868</v>
      </c>
      <c r="L235" s="2684" t="s">
        <v>5630</v>
      </c>
      <c r="M235" s="2689" t="s">
        <v>5631</v>
      </c>
      <c r="N235" s="2690" t="s">
        <v>5632</v>
      </c>
      <c r="O235" s="2691"/>
      <c r="P235" s="2688">
        <v>1192</v>
      </c>
      <c r="Q235" s="2684" t="s">
        <v>5633</v>
      </c>
      <c r="R235" s="2689" t="s">
        <v>5634</v>
      </c>
      <c r="S235" s="2690" t="s">
        <v>5635</v>
      </c>
      <c r="T235" s="1702"/>
      <c r="U235" s="1702"/>
      <c r="V235" s="1702"/>
      <c r="W235" s="1702"/>
      <c r="X235" s="1702"/>
      <c r="Y235" s="1702"/>
      <c r="Z235" s="1702"/>
      <c r="AA235" s="1702"/>
      <c r="AB235" s="1702"/>
      <c r="AC235" s="1702"/>
      <c r="AD235" s="1702"/>
    </row>
    <row r="236" spans="1:30">
      <c r="A236" s="2688">
        <v>221</v>
      </c>
      <c r="B236" s="2684" t="s">
        <v>5636</v>
      </c>
      <c r="C236" s="2689" t="s">
        <v>5637</v>
      </c>
      <c r="D236" s="2690" t="s">
        <v>5638</v>
      </c>
      <c r="E236" s="2691"/>
      <c r="F236" s="2688">
        <v>545</v>
      </c>
      <c r="G236" s="2684" t="s">
        <v>5639</v>
      </c>
      <c r="H236" s="2689" t="s">
        <v>5640</v>
      </c>
      <c r="I236" s="2690" t="s">
        <v>5641</v>
      </c>
      <c r="J236" s="2691"/>
      <c r="K236" s="2688">
        <v>869</v>
      </c>
      <c r="L236" s="2684" t="s">
        <v>5642</v>
      </c>
      <c r="M236" s="2689" t="s">
        <v>5643</v>
      </c>
      <c r="N236" s="2690" t="s">
        <v>5644</v>
      </c>
      <c r="O236" s="2691"/>
      <c r="P236" s="2688">
        <v>1193</v>
      </c>
      <c r="Q236" s="2684" t="s">
        <v>5645</v>
      </c>
      <c r="R236" s="2689" t="s">
        <v>5646</v>
      </c>
      <c r="S236" s="2690" t="s">
        <v>5647</v>
      </c>
      <c r="T236" s="1702"/>
      <c r="U236" s="1702"/>
      <c r="V236" s="1702"/>
      <c r="W236" s="1702"/>
      <c r="X236" s="1702"/>
      <c r="Y236" s="1702"/>
      <c r="Z236" s="1702"/>
      <c r="AA236" s="1702"/>
      <c r="AB236" s="1702"/>
      <c r="AC236" s="1702"/>
      <c r="AD236" s="1702"/>
    </row>
    <row r="237" spans="1:30">
      <c r="A237" s="2688">
        <v>222</v>
      </c>
      <c r="B237" s="2684" t="s">
        <v>5648</v>
      </c>
      <c r="C237" s="2689" t="s">
        <v>5649</v>
      </c>
      <c r="D237" s="2690" t="s">
        <v>5650</v>
      </c>
      <c r="E237" s="2691"/>
      <c r="F237" s="2688">
        <v>546</v>
      </c>
      <c r="G237" s="2684" t="s">
        <v>5651</v>
      </c>
      <c r="H237" s="2689" t="s">
        <v>5652</v>
      </c>
      <c r="I237" s="2690" t="s">
        <v>5653</v>
      </c>
      <c r="J237" s="2691"/>
      <c r="K237" s="2688">
        <v>870</v>
      </c>
      <c r="L237" s="2684" t="s">
        <v>5654</v>
      </c>
      <c r="M237" s="2689" t="s">
        <v>5655</v>
      </c>
      <c r="N237" s="2690" t="s">
        <v>5656</v>
      </c>
      <c r="O237" s="2691"/>
      <c r="P237" s="2688">
        <v>1194</v>
      </c>
      <c r="Q237" s="2684" t="s">
        <v>5657</v>
      </c>
      <c r="R237" s="2689" t="s">
        <v>5658</v>
      </c>
      <c r="S237" s="2690" t="s">
        <v>5659</v>
      </c>
      <c r="T237" s="1702"/>
      <c r="U237" s="1702"/>
      <c r="V237" s="1702"/>
      <c r="W237" s="1702"/>
      <c r="X237" s="1702"/>
      <c r="Y237" s="1702"/>
      <c r="Z237" s="1702"/>
      <c r="AA237" s="1702"/>
      <c r="AB237" s="1702"/>
      <c r="AC237" s="1702"/>
      <c r="AD237" s="1702"/>
    </row>
    <row r="238" spans="1:30" ht="25.5">
      <c r="A238" s="2688">
        <v>223</v>
      </c>
      <c r="B238" s="2684" t="s">
        <v>5660</v>
      </c>
      <c r="C238" s="2689" t="s">
        <v>5661</v>
      </c>
      <c r="D238" s="2690" t="s">
        <v>5662</v>
      </c>
      <c r="E238" s="2691"/>
      <c r="F238" s="2688">
        <v>547</v>
      </c>
      <c r="G238" s="2684" t="s">
        <v>5663</v>
      </c>
      <c r="H238" s="2689" t="s">
        <v>5664</v>
      </c>
      <c r="I238" s="2690" t="s">
        <v>5665</v>
      </c>
      <c r="J238" s="2691"/>
      <c r="K238" s="2688">
        <v>871</v>
      </c>
      <c r="L238" s="2684" t="s">
        <v>5666</v>
      </c>
      <c r="M238" s="2689" t="s">
        <v>5667</v>
      </c>
      <c r="N238" s="2690" t="s">
        <v>5668</v>
      </c>
      <c r="O238" s="2691"/>
      <c r="P238" s="2688">
        <v>1195</v>
      </c>
      <c r="Q238" s="2684" t="s">
        <v>5669</v>
      </c>
      <c r="R238" s="2689" t="s">
        <v>5670</v>
      </c>
      <c r="S238" s="2690" t="s">
        <v>5671</v>
      </c>
      <c r="T238" s="1702"/>
      <c r="U238" s="1702"/>
      <c r="V238" s="1702"/>
      <c r="W238" s="1702"/>
      <c r="X238" s="1702"/>
      <c r="Y238" s="1702"/>
      <c r="Z238" s="1702"/>
      <c r="AA238" s="1702"/>
      <c r="AB238" s="1702"/>
      <c r="AC238" s="1702"/>
      <c r="AD238" s="1702"/>
    </row>
    <row r="239" spans="1:30" ht="25.5">
      <c r="A239" s="2688">
        <v>224</v>
      </c>
      <c r="B239" s="2684" t="s">
        <v>5672</v>
      </c>
      <c r="C239" s="2689" t="s">
        <v>5673</v>
      </c>
      <c r="D239" s="2690" t="s">
        <v>5674</v>
      </c>
      <c r="E239" s="2691"/>
      <c r="F239" s="2688">
        <v>548</v>
      </c>
      <c r="G239" s="2684" t="s">
        <v>5675</v>
      </c>
      <c r="H239" s="2689" t="s">
        <v>5676</v>
      </c>
      <c r="I239" s="2690" t="s">
        <v>5677</v>
      </c>
      <c r="J239" s="2691"/>
      <c r="K239" s="2688">
        <v>872</v>
      </c>
      <c r="L239" s="2684" t="s">
        <v>5678</v>
      </c>
      <c r="M239" s="2689" t="s">
        <v>5679</v>
      </c>
      <c r="N239" s="2690" t="s">
        <v>5680</v>
      </c>
      <c r="O239" s="2691"/>
      <c r="P239" s="2688">
        <v>1196</v>
      </c>
      <c r="Q239" s="2684" t="s">
        <v>5681</v>
      </c>
      <c r="R239" s="2689" t="s">
        <v>5682</v>
      </c>
      <c r="S239" s="2690" t="s">
        <v>5683</v>
      </c>
      <c r="T239" s="1702"/>
      <c r="U239" s="1702"/>
      <c r="V239" s="1702"/>
      <c r="W239" s="1702"/>
      <c r="X239" s="1702"/>
      <c r="Y239" s="1702"/>
      <c r="Z239" s="1702"/>
      <c r="AA239" s="1702"/>
      <c r="AB239" s="1702"/>
      <c r="AC239" s="1702"/>
      <c r="AD239" s="1702"/>
    </row>
    <row r="240" spans="1:30" ht="38.25">
      <c r="A240" s="2688">
        <v>225</v>
      </c>
      <c r="B240" s="2684" t="s">
        <v>5684</v>
      </c>
      <c r="C240" s="2689" t="s">
        <v>5685</v>
      </c>
      <c r="D240" s="2690" t="s">
        <v>5686</v>
      </c>
      <c r="E240" s="2691"/>
      <c r="F240" s="2688">
        <v>549</v>
      </c>
      <c r="G240" s="2684" t="s">
        <v>5687</v>
      </c>
      <c r="H240" s="2689" t="s">
        <v>5688</v>
      </c>
      <c r="I240" s="2690" t="s">
        <v>5689</v>
      </c>
      <c r="J240" s="2691"/>
      <c r="K240" s="2688">
        <v>873</v>
      </c>
      <c r="L240" s="2684" t="s">
        <v>5690</v>
      </c>
      <c r="M240" s="2689" t="s">
        <v>5691</v>
      </c>
      <c r="N240" s="2690" t="s">
        <v>5692</v>
      </c>
      <c r="O240" s="2691"/>
      <c r="P240" s="2688">
        <v>1197</v>
      </c>
      <c r="Q240" s="2684" t="s">
        <v>5693</v>
      </c>
      <c r="R240" s="2689" t="s">
        <v>5694</v>
      </c>
      <c r="S240" s="2690" t="s">
        <v>5695</v>
      </c>
      <c r="T240" s="1702"/>
      <c r="U240" s="1702"/>
      <c r="V240" s="1702"/>
      <c r="W240" s="1702"/>
      <c r="X240" s="1702"/>
      <c r="Y240" s="1702"/>
      <c r="Z240" s="1702"/>
      <c r="AA240" s="1702"/>
      <c r="AB240" s="1702"/>
      <c r="AC240" s="1702"/>
      <c r="AD240" s="1702"/>
    </row>
    <row r="241" spans="1:30" ht="25.5">
      <c r="A241" s="2688">
        <v>226</v>
      </c>
      <c r="B241" s="2684" t="s">
        <v>5696</v>
      </c>
      <c r="C241" s="2689" t="s">
        <v>5697</v>
      </c>
      <c r="D241" s="2690" t="s">
        <v>4541</v>
      </c>
      <c r="E241" s="2691"/>
      <c r="F241" s="2688">
        <v>550</v>
      </c>
      <c r="G241" s="2684" t="s">
        <v>5698</v>
      </c>
      <c r="H241" s="2689" t="s">
        <v>5699</v>
      </c>
      <c r="I241" s="2690" t="s">
        <v>5700</v>
      </c>
      <c r="J241" s="2691"/>
      <c r="K241" s="2688">
        <v>874</v>
      </c>
      <c r="L241" s="2684" t="s">
        <v>5701</v>
      </c>
      <c r="M241" s="2689" t="s">
        <v>5702</v>
      </c>
      <c r="N241" s="2690" t="s">
        <v>5703</v>
      </c>
      <c r="O241" s="2691"/>
      <c r="P241" s="2688">
        <v>1198</v>
      </c>
      <c r="Q241" s="2684" t="s">
        <v>5704</v>
      </c>
      <c r="R241" s="2689" t="s">
        <v>5705</v>
      </c>
      <c r="S241" s="2690" t="s">
        <v>5706</v>
      </c>
      <c r="T241" s="1702"/>
      <c r="U241" s="1702"/>
      <c r="V241" s="1702"/>
      <c r="W241" s="1702"/>
      <c r="X241" s="1702"/>
      <c r="Y241" s="1702"/>
      <c r="Z241" s="1702"/>
      <c r="AA241" s="1702"/>
      <c r="AB241" s="1702"/>
      <c r="AC241" s="1702"/>
      <c r="AD241" s="1702"/>
    </row>
    <row r="242" spans="1:30" ht="25.5">
      <c r="A242" s="2688">
        <v>227</v>
      </c>
      <c r="B242" s="2684" t="s">
        <v>5707</v>
      </c>
      <c r="C242" s="2689" t="s">
        <v>5708</v>
      </c>
      <c r="D242" s="2690" t="s">
        <v>5709</v>
      </c>
      <c r="E242" s="2691"/>
      <c r="F242" s="2688">
        <v>551</v>
      </c>
      <c r="G242" s="2684" t="s">
        <v>5710</v>
      </c>
      <c r="H242" s="2689" t="s">
        <v>5711</v>
      </c>
      <c r="I242" s="2690" t="s">
        <v>5712</v>
      </c>
      <c r="J242" s="2691"/>
      <c r="K242" s="2688">
        <v>875</v>
      </c>
      <c r="L242" s="2684" t="s">
        <v>5713</v>
      </c>
      <c r="M242" s="2689" t="s">
        <v>5714</v>
      </c>
      <c r="N242" s="2690" t="s">
        <v>5715</v>
      </c>
      <c r="O242" s="2691"/>
      <c r="P242" s="2688">
        <v>1199</v>
      </c>
      <c r="Q242" s="2684" t="s">
        <v>5716</v>
      </c>
      <c r="R242" s="2689" t="s">
        <v>5717</v>
      </c>
      <c r="S242" s="2690" t="s">
        <v>5718</v>
      </c>
      <c r="T242" s="1702"/>
      <c r="U242" s="1702"/>
      <c r="V242" s="1702"/>
      <c r="W242" s="1702"/>
      <c r="X242" s="1702"/>
      <c r="Y242" s="1702"/>
      <c r="Z242" s="1702"/>
      <c r="AA242" s="1702"/>
      <c r="AB242" s="1702"/>
      <c r="AC242" s="1702"/>
      <c r="AD242" s="1702"/>
    </row>
    <row r="243" spans="1:30" ht="25.5">
      <c r="A243" s="2688">
        <v>228</v>
      </c>
      <c r="B243" s="2684" t="s">
        <v>5719</v>
      </c>
      <c r="C243" s="2689" t="s">
        <v>5720</v>
      </c>
      <c r="D243" s="2690" t="s">
        <v>5721</v>
      </c>
      <c r="E243" s="2691"/>
      <c r="F243" s="2688">
        <v>552</v>
      </c>
      <c r="G243" s="2684" t="s">
        <v>5722</v>
      </c>
      <c r="H243" s="2689" t="s">
        <v>5723</v>
      </c>
      <c r="I243" s="2690" t="s">
        <v>5724</v>
      </c>
      <c r="J243" s="2691"/>
      <c r="K243" s="2688">
        <v>876</v>
      </c>
      <c r="L243" s="2684" t="s">
        <v>5725</v>
      </c>
      <c r="M243" s="2689" t="s">
        <v>5726</v>
      </c>
      <c r="N243" s="2690" t="s">
        <v>5727</v>
      </c>
      <c r="O243" s="2691"/>
      <c r="P243" s="2688">
        <v>1200</v>
      </c>
      <c r="Q243" s="2684" t="s">
        <v>5728</v>
      </c>
      <c r="R243" s="2689" t="s">
        <v>5729</v>
      </c>
      <c r="S243" s="2690" t="s">
        <v>118</v>
      </c>
      <c r="T243" s="1702"/>
      <c r="U243" s="1702"/>
      <c r="V243" s="1702"/>
      <c r="W243" s="1702"/>
      <c r="X243" s="1702"/>
      <c r="Y243" s="1702"/>
      <c r="Z243" s="1702"/>
      <c r="AA243" s="1702"/>
      <c r="AB243" s="1702"/>
      <c r="AC243" s="1702"/>
      <c r="AD243" s="1702"/>
    </row>
    <row r="244" spans="1:30" ht="25.5">
      <c r="A244" s="2688">
        <v>229</v>
      </c>
      <c r="B244" s="2684" t="s">
        <v>5730</v>
      </c>
      <c r="C244" s="2689" t="s">
        <v>5731</v>
      </c>
      <c r="D244" s="2690" t="s">
        <v>5732</v>
      </c>
      <c r="E244" s="2691"/>
      <c r="F244" s="2688">
        <v>553</v>
      </c>
      <c r="G244" s="2684" t="s">
        <v>5733</v>
      </c>
      <c r="H244" s="2689" t="s">
        <v>5734</v>
      </c>
      <c r="I244" s="2690" t="s">
        <v>5735</v>
      </c>
      <c r="J244" s="2691"/>
      <c r="K244" s="2688">
        <v>877</v>
      </c>
      <c r="L244" s="2684" t="s">
        <v>5736</v>
      </c>
      <c r="M244" s="2689" t="s">
        <v>5737</v>
      </c>
      <c r="N244" s="2690" t="s">
        <v>5738</v>
      </c>
      <c r="O244" s="2691"/>
      <c r="P244" s="2688">
        <v>1201</v>
      </c>
      <c r="Q244" s="2684" t="s">
        <v>5739</v>
      </c>
      <c r="R244" s="2689" t="s">
        <v>5740</v>
      </c>
      <c r="S244" s="2690" t="s">
        <v>5741</v>
      </c>
      <c r="T244" s="1702"/>
      <c r="U244" s="1702"/>
      <c r="V244" s="1702"/>
      <c r="W244" s="1702"/>
      <c r="X244" s="1702"/>
      <c r="Y244" s="1702"/>
      <c r="Z244" s="1702"/>
      <c r="AA244" s="1702"/>
      <c r="AB244" s="1702"/>
      <c r="AC244" s="1702"/>
      <c r="AD244" s="1702"/>
    </row>
    <row r="245" spans="1:30">
      <c r="A245" s="2688">
        <v>230</v>
      </c>
      <c r="B245" s="2684" t="s">
        <v>5742</v>
      </c>
      <c r="C245" s="2689" t="s">
        <v>5743</v>
      </c>
      <c r="D245" s="2690" t="s">
        <v>5744</v>
      </c>
      <c r="E245" s="2691"/>
      <c r="F245" s="2688">
        <v>554</v>
      </c>
      <c r="G245" s="2684" t="s">
        <v>5745</v>
      </c>
      <c r="H245" s="2689" t="s">
        <v>5746</v>
      </c>
      <c r="I245" s="2690" t="s">
        <v>5747</v>
      </c>
      <c r="J245" s="2691"/>
      <c r="K245" s="2688">
        <v>878</v>
      </c>
      <c r="L245" s="2684" t="s">
        <v>5748</v>
      </c>
      <c r="M245" s="2689" t="s">
        <v>5749</v>
      </c>
      <c r="N245" s="2690" t="s">
        <v>5727</v>
      </c>
      <c r="O245" s="2691"/>
      <c r="P245" s="2688">
        <v>1202</v>
      </c>
      <c r="Q245" s="2684" t="s">
        <v>5750</v>
      </c>
      <c r="R245" s="2689" t="s">
        <v>5751</v>
      </c>
      <c r="S245" s="2690" t="s">
        <v>5752</v>
      </c>
      <c r="T245" s="1702"/>
      <c r="U245" s="1702"/>
      <c r="V245" s="1702"/>
      <c r="W245" s="1702"/>
      <c r="X245" s="1702"/>
      <c r="Y245" s="1702"/>
      <c r="Z245" s="1702"/>
      <c r="AA245" s="1702"/>
      <c r="AB245" s="1702"/>
      <c r="AC245" s="1702"/>
      <c r="AD245" s="1702"/>
    </row>
    <row r="246" spans="1:30" ht="25.5">
      <c r="A246" s="2688">
        <v>231</v>
      </c>
      <c r="B246" s="2684" t="s">
        <v>5753</v>
      </c>
      <c r="C246" s="2689" t="s">
        <v>5754</v>
      </c>
      <c r="D246" s="2690" t="s">
        <v>5755</v>
      </c>
      <c r="E246" s="2691"/>
      <c r="F246" s="2688">
        <v>555</v>
      </c>
      <c r="G246" s="2684" t="s">
        <v>5756</v>
      </c>
      <c r="H246" s="2689" t="s">
        <v>5757</v>
      </c>
      <c r="I246" s="2690" t="s">
        <v>5758</v>
      </c>
      <c r="J246" s="2691"/>
      <c r="K246" s="2688">
        <v>879</v>
      </c>
      <c r="L246" s="2684" t="s">
        <v>5759</v>
      </c>
      <c r="M246" s="2689" t="s">
        <v>5760</v>
      </c>
      <c r="N246" s="2690" t="s">
        <v>5761</v>
      </c>
      <c r="O246" s="2691"/>
      <c r="P246" s="2688">
        <v>1203</v>
      </c>
      <c r="Q246" s="2684" t="s">
        <v>5762</v>
      </c>
      <c r="R246" s="2689" t="s">
        <v>5763</v>
      </c>
      <c r="S246" s="2690" t="s">
        <v>5764</v>
      </c>
      <c r="T246" s="1702"/>
      <c r="U246" s="1702"/>
      <c r="V246" s="1702"/>
      <c r="W246" s="1702"/>
      <c r="X246" s="1702"/>
      <c r="Y246" s="1702"/>
      <c r="Z246" s="1702"/>
      <c r="AA246" s="1702"/>
      <c r="AB246" s="1702"/>
      <c r="AC246" s="1702"/>
      <c r="AD246" s="1702"/>
    </row>
    <row r="247" spans="1:30" ht="25.5">
      <c r="A247" s="2688">
        <v>232</v>
      </c>
      <c r="B247" s="2684" t="s">
        <v>5765</v>
      </c>
      <c r="C247" s="2689" t="s">
        <v>5766</v>
      </c>
      <c r="D247" s="2690" t="s">
        <v>5767</v>
      </c>
      <c r="E247" s="2691"/>
      <c r="F247" s="2688">
        <v>556</v>
      </c>
      <c r="G247" s="2684" t="s">
        <v>5768</v>
      </c>
      <c r="H247" s="2689" t="s">
        <v>5769</v>
      </c>
      <c r="I247" s="2690" t="s">
        <v>5770</v>
      </c>
      <c r="J247" s="2691"/>
      <c r="K247" s="2688">
        <v>880</v>
      </c>
      <c r="L247" s="2684" t="s">
        <v>5771</v>
      </c>
      <c r="M247" s="2689" t="s">
        <v>5772</v>
      </c>
      <c r="N247" s="2690" t="s">
        <v>5773</v>
      </c>
      <c r="O247" s="2691"/>
      <c r="P247" s="2688">
        <v>1204</v>
      </c>
      <c r="Q247" s="2684" t="s">
        <v>5774</v>
      </c>
      <c r="R247" s="2689" t="s">
        <v>5775</v>
      </c>
      <c r="S247" s="2690" t="s">
        <v>5776</v>
      </c>
      <c r="T247" s="1702"/>
      <c r="U247" s="1702"/>
      <c r="V247" s="1702"/>
      <c r="W247" s="1702"/>
      <c r="X247" s="1702"/>
      <c r="Y247" s="1702"/>
      <c r="Z247" s="1702"/>
      <c r="AA247" s="1702"/>
      <c r="AB247" s="1702"/>
      <c r="AC247" s="1702"/>
      <c r="AD247" s="1702"/>
    </row>
    <row r="248" spans="1:30" ht="25.5">
      <c r="A248" s="2688">
        <v>233</v>
      </c>
      <c r="B248" s="2684" t="s">
        <v>5777</v>
      </c>
      <c r="C248" s="2689" t="s">
        <v>5778</v>
      </c>
      <c r="D248" s="2690" t="s">
        <v>5779</v>
      </c>
      <c r="E248" s="2691"/>
      <c r="F248" s="2688">
        <v>557</v>
      </c>
      <c r="G248" s="2684" t="s">
        <v>5780</v>
      </c>
      <c r="H248" s="2689" t="s">
        <v>5781</v>
      </c>
      <c r="I248" s="2690" t="s">
        <v>5782</v>
      </c>
      <c r="J248" s="2691"/>
      <c r="K248" s="2688">
        <v>881</v>
      </c>
      <c r="L248" s="2684" t="s">
        <v>5783</v>
      </c>
      <c r="M248" s="2689" t="s">
        <v>5784</v>
      </c>
      <c r="N248" s="2690" t="s">
        <v>5785</v>
      </c>
      <c r="O248" s="2691"/>
      <c r="P248" s="2688">
        <v>1205</v>
      </c>
      <c r="Q248" s="2684" t="s">
        <v>5786</v>
      </c>
      <c r="R248" s="2689" t="s">
        <v>5787</v>
      </c>
      <c r="S248" s="2690" t="s">
        <v>5788</v>
      </c>
      <c r="T248" s="1702"/>
      <c r="U248" s="1702"/>
      <c r="V248" s="1702"/>
      <c r="W248" s="1702"/>
      <c r="X248" s="1702"/>
      <c r="Y248" s="1702"/>
      <c r="Z248" s="1702"/>
      <c r="AA248" s="1702"/>
      <c r="AB248" s="1702"/>
      <c r="AC248" s="1702"/>
      <c r="AD248" s="1702"/>
    </row>
    <row r="249" spans="1:30" ht="25.5">
      <c r="A249" s="2688">
        <v>234</v>
      </c>
      <c r="B249" s="2684" t="s">
        <v>5789</v>
      </c>
      <c r="C249" s="2689" t="s">
        <v>5790</v>
      </c>
      <c r="D249" s="2690" t="s">
        <v>5791</v>
      </c>
      <c r="E249" s="2691"/>
      <c r="F249" s="2688">
        <v>558</v>
      </c>
      <c r="G249" s="2684" t="s">
        <v>5792</v>
      </c>
      <c r="H249" s="2689" t="s">
        <v>5793</v>
      </c>
      <c r="I249" s="2690" t="s">
        <v>5794</v>
      </c>
      <c r="J249" s="2691"/>
      <c r="K249" s="2688">
        <v>882</v>
      </c>
      <c r="L249" s="2684" t="s">
        <v>5795</v>
      </c>
      <c r="M249" s="2689" t="s">
        <v>5796</v>
      </c>
      <c r="N249" s="2690" t="s">
        <v>5797</v>
      </c>
      <c r="O249" s="2691"/>
      <c r="P249" s="2688">
        <v>1206</v>
      </c>
      <c r="Q249" s="2684" t="s">
        <v>5798</v>
      </c>
      <c r="R249" s="2689" t="s">
        <v>5799</v>
      </c>
      <c r="S249" s="2690" t="s">
        <v>5800</v>
      </c>
      <c r="T249" s="1702"/>
      <c r="U249" s="1702"/>
      <c r="V249" s="1702"/>
      <c r="W249" s="1702"/>
      <c r="X249" s="1702"/>
      <c r="Y249" s="1702"/>
      <c r="Z249" s="1702"/>
      <c r="AA249" s="1702"/>
      <c r="AB249" s="1702"/>
      <c r="AC249" s="1702"/>
      <c r="AD249" s="1702"/>
    </row>
    <row r="250" spans="1:30" ht="25.5">
      <c r="A250" s="2688">
        <v>235</v>
      </c>
      <c r="B250" s="2684" t="s">
        <v>5801</v>
      </c>
      <c r="C250" s="2689" t="s">
        <v>5802</v>
      </c>
      <c r="D250" s="2690" t="s">
        <v>5803</v>
      </c>
      <c r="E250" s="2691"/>
      <c r="F250" s="2688">
        <v>559</v>
      </c>
      <c r="G250" s="2684" t="s">
        <v>5804</v>
      </c>
      <c r="H250" s="2689" t="s">
        <v>5805</v>
      </c>
      <c r="I250" s="2690" t="s">
        <v>5806</v>
      </c>
      <c r="J250" s="2691"/>
      <c r="K250" s="2688">
        <v>883</v>
      </c>
      <c r="L250" s="2684" t="s">
        <v>5807</v>
      </c>
      <c r="M250" s="2689" t="s">
        <v>5808</v>
      </c>
      <c r="N250" s="2690" t="s">
        <v>5809</v>
      </c>
      <c r="O250" s="2691"/>
      <c r="P250" s="2688">
        <v>1207</v>
      </c>
      <c r="Q250" s="2684" t="s">
        <v>5810</v>
      </c>
      <c r="R250" s="2689" t="s">
        <v>5811</v>
      </c>
      <c r="S250" s="2690" t="s">
        <v>5812</v>
      </c>
      <c r="T250" s="1702"/>
      <c r="U250" s="1702"/>
      <c r="V250" s="1702"/>
      <c r="W250" s="1702"/>
      <c r="X250" s="1702"/>
      <c r="Y250" s="1702"/>
      <c r="Z250" s="1702"/>
      <c r="AA250" s="1702"/>
      <c r="AB250" s="1702"/>
      <c r="AC250" s="1702"/>
      <c r="AD250" s="1702"/>
    </row>
    <row r="251" spans="1:30" ht="25.5">
      <c r="A251" s="2688">
        <v>236</v>
      </c>
      <c r="B251" s="2684" t="s">
        <v>5813</v>
      </c>
      <c r="C251" s="2689" t="s">
        <v>5814</v>
      </c>
      <c r="D251" s="2690" t="s">
        <v>5815</v>
      </c>
      <c r="E251" s="2691"/>
      <c r="F251" s="2688">
        <v>560</v>
      </c>
      <c r="G251" s="2684" t="s">
        <v>5816</v>
      </c>
      <c r="H251" s="2689" t="s">
        <v>5817</v>
      </c>
      <c r="I251" s="2690" t="s">
        <v>5818</v>
      </c>
      <c r="J251" s="2691"/>
      <c r="K251" s="2688">
        <v>884</v>
      </c>
      <c r="L251" s="2684" t="s">
        <v>5819</v>
      </c>
      <c r="M251" s="2689" t="s">
        <v>5820</v>
      </c>
      <c r="N251" s="2690" t="s">
        <v>5821</v>
      </c>
      <c r="O251" s="2691"/>
      <c r="P251" s="2688">
        <v>1208</v>
      </c>
      <c r="Q251" s="2684" t="s">
        <v>5822</v>
      </c>
      <c r="R251" s="2689" t="s">
        <v>5823</v>
      </c>
      <c r="S251" s="2690" t="s">
        <v>5824</v>
      </c>
      <c r="T251" s="1702"/>
      <c r="U251" s="1702"/>
      <c r="V251" s="1702"/>
      <c r="W251" s="1702"/>
      <c r="X251" s="1702"/>
      <c r="Y251" s="1702"/>
      <c r="Z251" s="1702"/>
      <c r="AA251" s="1702"/>
      <c r="AB251" s="1702"/>
      <c r="AC251" s="1702"/>
      <c r="AD251" s="1702"/>
    </row>
    <row r="252" spans="1:30" ht="25.5">
      <c r="A252" s="2688">
        <v>237</v>
      </c>
      <c r="B252" s="2684" t="s">
        <v>5825</v>
      </c>
      <c r="C252" s="2689" t="s">
        <v>5826</v>
      </c>
      <c r="D252" s="2690" t="s">
        <v>5827</v>
      </c>
      <c r="E252" s="2691"/>
      <c r="F252" s="2688">
        <v>561</v>
      </c>
      <c r="G252" s="2684" t="s">
        <v>5828</v>
      </c>
      <c r="H252" s="2689" t="s">
        <v>5829</v>
      </c>
      <c r="I252" s="2690" t="s">
        <v>5830</v>
      </c>
      <c r="J252" s="2691"/>
      <c r="K252" s="2688">
        <v>885</v>
      </c>
      <c r="L252" s="2684" t="s">
        <v>5831</v>
      </c>
      <c r="M252" s="2689" t="s">
        <v>5832</v>
      </c>
      <c r="N252" s="2690" t="s">
        <v>5833</v>
      </c>
      <c r="O252" s="2691"/>
      <c r="P252" s="2688">
        <v>1209</v>
      </c>
      <c r="Q252" s="2684" t="s">
        <v>5834</v>
      </c>
      <c r="R252" s="2689" t="s">
        <v>5835</v>
      </c>
      <c r="S252" s="2690" t="s">
        <v>5836</v>
      </c>
      <c r="T252" s="1702"/>
      <c r="U252" s="1702"/>
      <c r="V252" s="1702"/>
      <c r="W252" s="1702"/>
      <c r="X252" s="1702"/>
      <c r="Y252" s="1702"/>
      <c r="Z252" s="1702"/>
      <c r="AA252" s="1702"/>
      <c r="AB252" s="1702"/>
      <c r="AC252" s="1702"/>
      <c r="AD252" s="1702"/>
    </row>
    <row r="253" spans="1:30">
      <c r="A253" s="2688">
        <v>238</v>
      </c>
      <c r="B253" s="2684" t="s">
        <v>5837</v>
      </c>
      <c r="C253" s="2689" t="s">
        <v>5838</v>
      </c>
      <c r="D253" s="2690" t="s">
        <v>5839</v>
      </c>
      <c r="E253" s="2691"/>
      <c r="F253" s="2688">
        <v>562</v>
      </c>
      <c r="G253" s="2684" t="s">
        <v>5840</v>
      </c>
      <c r="H253" s="2689" t="s">
        <v>5841</v>
      </c>
      <c r="I253" s="2690" t="s">
        <v>5842</v>
      </c>
      <c r="J253" s="2691"/>
      <c r="K253" s="2688">
        <v>886</v>
      </c>
      <c r="L253" s="2684" t="s">
        <v>5843</v>
      </c>
      <c r="M253" s="2689" t="s">
        <v>5844</v>
      </c>
      <c r="N253" s="2690" t="s">
        <v>5845</v>
      </c>
      <c r="O253" s="2691"/>
      <c r="P253" s="2688">
        <v>1210</v>
      </c>
      <c r="Q253" s="2684" t="s">
        <v>5846</v>
      </c>
      <c r="R253" s="2689" t="s">
        <v>5847</v>
      </c>
      <c r="S253" s="2690" t="s">
        <v>5848</v>
      </c>
      <c r="T253" s="1702"/>
      <c r="U253" s="1702"/>
      <c r="V253" s="1702"/>
      <c r="W253" s="1702"/>
      <c r="X253" s="1702"/>
      <c r="Y253" s="1702"/>
      <c r="Z253" s="1702"/>
      <c r="AA253" s="1702"/>
      <c r="AB253" s="1702"/>
      <c r="AC253" s="1702"/>
      <c r="AD253" s="1702"/>
    </row>
    <row r="254" spans="1:30">
      <c r="A254" s="2688">
        <v>239</v>
      </c>
      <c r="B254" s="2684" t="s">
        <v>5849</v>
      </c>
      <c r="C254" s="2689" t="s">
        <v>5850</v>
      </c>
      <c r="D254" s="2690" t="s">
        <v>5851</v>
      </c>
      <c r="E254" s="2691"/>
      <c r="F254" s="2688">
        <v>563</v>
      </c>
      <c r="G254" s="2684" t="s">
        <v>5852</v>
      </c>
      <c r="H254" s="2689" t="s">
        <v>5853</v>
      </c>
      <c r="I254" s="2690" t="s">
        <v>5854</v>
      </c>
      <c r="J254" s="2691"/>
      <c r="K254" s="2688">
        <v>887</v>
      </c>
      <c r="L254" s="2684" t="s">
        <v>5855</v>
      </c>
      <c r="M254" s="2689" t="s">
        <v>3113</v>
      </c>
      <c r="N254" s="2690" t="s">
        <v>5738</v>
      </c>
      <c r="O254" s="2691"/>
      <c r="P254" s="2688">
        <v>1211</v>
      </c>
      <c r="Q254" s="2684" t="s">
        <v>5856</v>
      </c>
      <c r="R254" s="2689" t="s">
        <v>5857</v>
      </c>
      <c r="S254" s="2690" t="s">
        <v>5858</v>
      </c>
      <c r="T254" s="1702"/>
      <c r="U254" s="1702"/>
      <c r="V254" s="1702"/>
      <c r="W254" s="1702"/>
      <c r="X254" s="1702"/>
      <c r="Y254" s="1702"/>
      <c r="Z254" s="1702"/>
      <c r="AA254" s="1702"/>
      <c r="AB254" s="1702"/>
      <c r="AC254" s="1702"/>
      <c r="AD254" s="1702"/>
    </row>
    <row r="255" spans="1:30" ht="25.5">
      <c r="A255" s="2688">
        <v>240</v>
      </c>
      <c r="B255" s="2684" t="s">
        <v>5859</v>
      </c>
      <c r="C255" s="2689" t="s">
        <v>5860</v>
      </c>
      <c r="D255" s="2690" t="s">
        <v>5861</v>
      </c>
      <c r="E255" s="2691"/>
      <c r="F255" s="2688">
        <v>564</v>
      </c>
      <c r="G255" s="2684" t="s">
        <v>5862</v>
      </c>
      <c r="H255" s="2689" t="s">
        <v>5863</v>
      </c>
      <c r="I255" s="2690" t="s">
        <v>5864</v>
      </c>
      <c r="J255" s="2691"/>
      <c r="K255" s="2688">
        <v>888</v>
      </c>
      <c r="L255" s="2684" t="s">
        <v>5865</v>
      </c>
      <c r="M255" s="2689" t="s">
        <v>5866</v>
      </c>
      <c r="N255" s="2690" t="s">
        <v>5867</v>
      </c>
      <c r="O255" s="2691"/>
      <c r="P255" s="2688">
        <v>1212</v>
      </c>
      <c r="Q255" s="2684" t="s">
        <v>5868</v>
      </c>
      <c r="R255" s="2689" t="s">
        <v>5869</v>
      </c>
      <c r="S255" s="2690" t="s">
        <v>366</v>
      </c>
      <c r="T255" s="1702"/>
      <c r="U255" s="1702"/>
      <c r="V255" s="1702"/>
      <c r="W255" s="1702"/>
      <c r="X255" s="1702"/>
      <c r="Y255" s="1702"/>
      <c r="Z255" s="1702"/>
      <c r="AA255" s="1702"/>
      <c r="AB255" s="1702"/>
      <c r="AC255" s="1702"/>
      <c r="AD255" s="1702"/>
    </row>
    <row r="256" spans="1:30">
      <c r="A256" s="2688">
        <v>241</v>
      </c>
      <c r="B256" s="2684" t="s">
        <v>5870</v>
      </c>
      <c r="C256" s="2689" t="s">
        <v>5871</v>
      </c>
      <c r="D256" s="2690" t="s">
        <v>5872</v>
      </c>
      <c r="E256" s="2691"/>
      <c r="F256" s="2688">
        <v>565</v>
      </c>
      <c r="G256" s="2684" t="s">
        <v>5873</v>
      </c>
      <c r="H256" s="2689" t="s">
        <v>5874</v>
      </c>
      <c r="I256" s="2690" t="s">
        <v>5875</v>
      </c>
      <c r="J256" s="2691"/>
      <c r="K256" s="2688">
        <v>889</v>
      </c>
      <c r="L256" s="2684" t="s">
        <v>5876</v>
      </c>
      <c r="M256" s="2689" t="s">
        <v>5877</v>
      </c>
      <c r="N256" s="2690" t="s">
        <v>5878</v>
      </c>
      <c r="O256" s="2691"/>
      <c r="P256" s="2688">
        <v>1213</v>
      </c>
      <c r="Q256" s="2684" t="s">
        <v>5879</v>
      </c>
      <c r="R256" s="2689" t="s">
        <v>5880</v>
      </c>
      <c r="S256" s="2690" t="s">
        <v>5881</v>
      </c>
      <c r="T256" s="1702"/>
      <c r="U256" s="1702"/>
      <c r="V256" s="1702"/>
      <c r="W256" s="1702"/>
      <c r="X256" s="1702"/>
      <c r="Y256" s="1702"/>
      <c r="Z256" s="1702"/>
      <c r="AA256" s="1702"/>
      <c r="AB256" s="1702"/>
      <c r="AC256" s="1702"/>
      <c r="AD256" s="1702"/>
    </row>
    <row r="257" spans="1:30" ht="25.5">
      <c r="A257" s="2688">
        <v>242</v>
      </c>
      <c r="B257" s="2684" t="s">
        <v>5882</v>
      </c>
      <c r="C257" s="2689" t="s">
        <v>5883</v>
      </c>
      <c r="D257" s="2690" t="s">
        <v>5741</v>
      </c>
      <c r="E257" s="2691"/>
      <c r="F257" s="2688">
        <v>566</v>
      </c>
      <c r="G257" s="2684" t="s">
        <v>5884</v>
      </c>
      <c r="H257" s="2689" t="s">
        <v>5885</v>
      </c>
      <c r="I257" s="2690" t="s">
        <v>5886</v>
      </c>
      <c r="J257" s="2691"/>
      <c r="K257" s="2688">
        <v>890</v>
      </c>
      <c r="L257" s="2684" t="s">
        <v>5887</v>
      </c>
      <c r="M257" s="2689" t="s">
        <v>5888</v>
      </c>
      <c r="N257" s="2690" t="s">
        <v>5889</v>
      </c>
      <c r="O257" s="2691"/>
      <c r="P257" s="2688">
        <v>1214</v>
      </c>
      <c r="Q257" s="2684" t="s">
        <v>5890</v>
      </c>
      <c r="R257" s="2689" t="s">
        <v>5891</v>
      </c>
      <c r="S257" s="2690" t="s">
        <v>5892</v>
      </c>
      <c r="T257" s="1702"/>
      <c r="U257" s="1702"/>
      <c r="V257" s="1702"/>
      <c r="W257" s="1702"/>
      <c r="X257" s="1702"/>
      <c r="Y257" s="1702"/>
      <c r="Z257" s="1702"/>
      <c r="AA257" s="1702"/>
      <c r="AB257" s="1702"/>
      <c r="AC257" s="1702"/>
      <c r="AD257" s="1702"/>
    </row>
    <row r="258" spans="1:30" ht="25.5">
      <c r="A258" s="2688">
        <v>243</v>
      </c>
      <c r="B258" s="2684" t="s">
        <v>5893</v>
      </c>
      <c r="C258" s="2689" t="s">
        <v>5894</v>
      </c>
      <c r="D258" s="2690" t="s">
        <v>5895</v>
      </c>
      <c r="E258" s="2691"/>
      <c r="F258" s="2688">
        <v>567</v>
      </c>
      <c r="G258" s="2684" t="s">
        <v>5896</v>
      </c>
      <c r="H258" s="2689" t="s">
        <v>5897</v>
      </c>
      <c r="I258" s="2690" t="s">
        <v>5898</v>
      </c>
      <c r="J258" s="2691"/>
      <c r="K258" s="2688">
        <v>891</v>
      </c>
      <c r="L258" s="2684" t="s">
        <v>5899</v>
      </c>
      <c r="M258" s="2689" t="s">
        <v>5900</v>
      </c>
      <c r="N258" s="2690" t="s">
        <v>5901</v>
      </c>
      <c r="O258" s="2691"/>
      <c r="P258" s="2688">
        <v>1215</v>
      </c>
      <c r="Q258" s="2684" t="s">
        <v>5902</v>
      </c>
      <c r="R258" s="2689" t="s">
        <v>5903</v>
      </c>
      <c r="S258" s="2690" t="s">
        <v>5904</v>
      </c>
      <c r="T258" s="1702"/>
      <c r="U258" s="1702"/>
      <c r="V258" s="1702"/>
      <c r="W258" s="1702"/>
      <c r="X258" s="1702"/>
      <c r="Y258" s="1702"/>
      <c r="Z258" s="1702"/>
      <c r="AA258" s="1702"/>
      <c r="AB258" s="1702"/>
      <c r="AC258" s="1702"/>
      <c r="AD258" s="1702"/>
    </row>
    <row r="259" spans="1:30" ht="25.5">
      <c r="A259" s="2688">
        <v>244</v>
      </c>
      <c r="B259" s="2684" t="s">
        <v>5905</v>
      </c>
      <c r="C259" s="2689" t="s">
        <v>5906</v>
      </c>
      <c r="D259" s="2690" t="s">
        <v>5907</v>
      </c>
      <c r="E259" s="2691"/>
      <c r="F259" s="2688">
        <v>568</v>
      </c>
      <c r="G259" s="2684" t="s">
        <v>5908</v>
      </c>
      <c r="H259" s="2689" t="s">
        <v>5909</v>
      </c>
      <c r="I259" s="2690" t="s">
        <v>5910</v>
      </c>
      <c r="J259" s="2691"/>
      <c r="K259" s="2688">
        <v>892</v>
      </c>
      <c r="L259" s="2684" t="s">
        <v>5911</v>
      </c>
      <c r="M259" s="2689" t="s">
        <v>5912</v>
      </c>
      <c r="N259" s="2690" t="s">
        <v>5913</v>
      </c>
      <c r="O259" s="2691"/>
      <c r="P259" s="2688">
        <v>1216</v>
      </c>
      <c r="Q259" s="2684" t="s">
        <v>5914</v>
      </c>
      <c r="R259" s="2689" t="s">
        <v>5915</v>
      </c>
      <c r="S259" s="2690" t="s">
        <v>5916</v>
      </c>
      <c r="T259" s="1702"/>
      <c r="U259" s="1702"/>
      <c r="V259" s="1702"/>
      <c r="W259" s="1702"/>
      <c r="X259" s="1702"/>
      <c r="Y259" s="1702"/>
      <c r="Z259" s="1702"/>
      <c r="AA259" s="1702"/>
      <c r="AB259" s="1702"/>
      <c r="AC259" s="1702"/>
      <c r="AD259" s="1702"/>
    </row>
    <row r="260" spans="1:30" ht="25.5">
      <c r="A260" s="2688">
        <v>245</v>
      </c>
      <c r="B260" s="2684" t="s">
        <v>5917</v>
      </c>
      <c r="C260" s="2689" t="s">
        <v>5918</v>
      </c>
      <c r="D260" s="2690" t="s">
        <v>5919</v>
      </c>
      <c r="E260" s="2691"/>
      <c r="F260" s="2688">
        <v>569</v>
      </c>
      <c r="G260" s="2684" t="s">
        <v>5920</v>
      </c>
      <c r="H260" s="2689" t="s">
        <v>5921</v>
      </c>
      <c r="I260" s="2690" t="s">
        <v>5922</v>
      </c>
      <c r="J260" s="2691"/>
      <c r="K260" s="2688">
        <v>893</v>
      </c>
      <c r="L260" s="2684" t="s">
        <v>5923</v>
      </c>
      <c r="M260" s="2689" t="s">
        <v>5924</v>
      </c>
      <c r="N260" s="2690" t="s">
        <v>5925</v>
      </c>
      <c r="O260" s="2691"/>
      <c r="P260" s="2688">
        <v>1217</v>
      </c>
      <c r="Q260" s="2684" t="s">
        <v>5926</v>
      </c>
      <c r="R260" s="2689" t="s">
        <v>5927</v>
      </c>
      <c r="S260" s="2690" t="s">
        <v>5928</v>
      </c>
      <c r="T260" s="1702"/>
      <c r="U260" s="1702"/>
      <c r="V260" s="1702"/>
      <c r="W260" s="1702"/>
      <c r="X260" s="1702"/>
      <c r="Y260" s="1702"/>
      <c r="Z260" s="1702"/>
      <c r="AA260" s="1702"/>
      <c r="AB260" s="1702"/>
      <c r="AC260" s="1702"/>
      <c r="AD260" s="1702"/>
    </row>
    <row r="261" spans="1:30" ht="25.5">
      <c r="A261" s="2688">
        <v>246</v>
      </c>
      <c r="B261" s="2684" t="s">
        <v>5929</v>
      </c>
      <c r="C261" s="2689" t="s">
        <v>5930</v>
      </c>
      <c r="D261" s="2690" t="s">
        <v>5931</v>
      </c>
      <c r="E261" s="2691"/>
      <c r="F261" s="2688">
        <v>570</v>
      </c>
      <c r="G261" s="2684" t="s">
        <v>5932</v>
      </c>
      <c r="H261" s="2689" t="s">
        <v>5933</v>
      </c>
      <c r="I261" s="2690" t="s">
        <v>5934</v>
      </c>
      <c r="J261" s="2691"/>
      <c r="K261" s="2688">
        <v>894</v>
      </c>
      <c r="L261" s="2684" t="s">
        <v>5935</v>
      </c>
      <c r="M261" s="2689" t="s">
        <v>5936</v>
      </c>
      <c r="N261" s="2690" t="s">
        <v>5937</v>
      </c>
      <c r="O261" s="2691"/>
      <c r="P261" s="2688">
        <v>1218</v>
      </c>
      <c r="Q261" s="2684" t="s">
        <v>5938</v>
      </c>
      <c r="R261" s="2689" t="s">
        <v>5939</v>
      </c>
      <c r="S261" s="2690" t="s">
        <v>1701</v>
      </c>
      <c r="T261" s="1702"/>
      <c r="U261" s="1702"/>
      <c r="V261" s="1702"/>
      <c r="W261" s="1702"/>
      <c r="X261" s="1702"/>
      <c r="Y261" s="1702"/>
      <c r="Z261" s="1702"/>
      <c r="AA261" s="1702"/>
      <c r="AB261" s="1702"/>
      <c r="AC261" s="1702"/>
      <c r="AD261" s="1702"/>
    </row>
    <row r="262" spans="1:30" ht="25.5">
      <c r="A262" s="2688">
        <v>247</v>
      </c>
      <c r="B262" s="2684" t="s">
        <v>5940</v>
      </c>
      <c r="C262" s="2689" t="s">
        <v>5941</v>
      </c>
      <c r="D262" s="2690" t="s">
        <v>5942</v>
      </c>
      <c r="E262" s="2691"/>
      <c r="F262" s="2688">
        <v>571</v>
      </c>
      <c r="G262" s="2684" t="s">
        <v>5943</v>
      </c>
      <c r="H262" s="2689" t="s">
        <v>5944</v>
      </c>
      <c r="I262" s="2690" t="s">
        <v>5945</v>
      </c>
      <c r="J262" s="2691"/>
      <c r="K262" s="2688">
        <v>895</v>
      </c>
      <c r="L262" s="2684" t="s">
        <v>5946</v>
      </c>
      <c r="M262" s="2689" t="s">
        <v>5947</v>
      </c>
      <c r="N262" s="2690" t="s">
        <v>5948</v>
      </c>
      <c r="O262" s="2691"/>
      <c r="P262" s="2688">
        <v>1219</v>
      </c>
      <c r="Q262" s="2684" t="s">
        <v>5949</v>
      </c>
      <c r="R262" s="2689" t="s">
        <v>5950</v>
      </c>
      <c r="S262" s="2690" t="s">
        <v>5951</v>
      </c>
      <c r="T262" s="1702"/>
      <c r="U262" s="1702"/>
      <c r="V262" s="1702"/>
      <c r="W262" s="1702"/>
      <c r="X262" s="1702"/>
      <c r="Y262" s="1702"/>
      <c r="Z262" s="1702"/>
      <c r="AA262" s="1702"/>
      <c r="AB262" s="1702"/>
      <c r="AC262" s="1702"/>
      <c r="AD262" s="1702"/>
    </row>
    <row r="263" spans="1:30">
      <c r="A263" s="2688">
        <v>248</v>
      </c>
      <c r="B263" s="2684" t="s">
        <v>5952</v>
      </c>
      <c r="C263" s="2689" t="s">
        <v>5953</v>
      </c>
      <c r="D263" s="2690" t="s">
        <v>5954</v>
      </c>
      <c r="E263" s="2691"/>
      <c r="F263" s="2688">
        <v>572</v>
      </c>
      <c r="G263" s="2684" t="s">
        <v>5955</v>
      </c>
      <c r="H263" s="2689" t="s">
        <v>5956</v>
      </c>
      <c r="I263" s="2690" t="s">
        <v>5957</v>
      </c>
      <c r="J263" s="2691"/>
      <c r="K263" s="2688">
        <v>896</v>
      </c>
      <c r="L263" s="2684" t="s">
        <v>5958</v>
      </c>
      <c r="M263" s="2689" t="s">
        <v>5959</v>
      </c>
      <c r="N263" s="2690" t="s">
        <v>5960</v>
      </c>
      <c r="O263" s="2691"/>
      <c r="P263" s="2688">
        <v>1220</v>
      </c>
      <c r="Q263" s="2684" t="s">
        <v>5961</v>
      </c>
      <c r="R263" s="2689" t="s">
        <v>5962</v>
      </c>
      <c r="S263" s="2690" t="s">
        <v>5963</v>
      </c>
      <c r="T263" s="1702"/>
      <c r="U263" s="1702"/>
      <c r="V263" s="1702"/>
      <c r="W263" s="1702"/>
      <c r="X263" s="1702"/>
      <c r="Y263" s="1702"/>
      <c r="Z263" s="1702"/>
      <c r="AA263" s="1702"/>
      <c r="AB263" s="1702"/>
      <c r="AC263" s="1702"/>
      <c r="AD263" s="1702"/>
    </row>
    <row r="264" spans="1:30" ht="25.5">
      <c r="A264" s="2688">
        <v>249</v>
      </c>
      <c r="B264" s="2684" t="s">
        <v>5964</v>
      </c>
      <c r="C264" s="2689" t="s">
        <v>5965</v>
      </c>
      <c r="D264" s="2690" t="s">
        <v>5966</v>
      </c>
      <c r="E264" s="2691"/>
      <c r="F264" s="2688">
        <v>573</v>
      </c>
      <c r="G264" s="2684" t="s">
        <v>5967</v>
      </c>
      <c r="H264" s="2689" t="s">
        <v>5968</v>
      </c>
      <c r="I264" s="2690" t="s">
        <v>5969</v>
      </c>
      <c r="J264" s="2691"/>
      <c r="K264" s="2688">
        <v>897</v>
      </c>
      <c r="L264" s="2684" t="s">
        <v>5970</v>
      </c>
      <c r="M264" s="2689" t="s">
        <v>5971</v>
      </c>
      <c r="N264" s="2690" t="s">
        <v>5972</v>
      </c>
      <c r="O264" s="2691"/>
      <c r="P264" s="2688">
        <v>1221</v>
      </c>
      <c r="Q264" s="2684" t="s">
        <v>5973</v>
      </c>
      <c r="R264" s="2689" t="s">
        <v>5974</v>
      </c>
      <c r="S264" s="2690" t="s">
        <v>5975</v>
      </c>
      <c r="T264" s="1702"/>
      <c r="U264" s="1702"/>
      <c r="V264" s="1702"/>
      <c r="W264" s="1702"/>
      <c r="X264" s="1702"/>
      <c r="Y264" s="1702"/>
      <c r="Z264" s="1702"/>
      <c r="AA264" s="1702"/>
      <c r="AB264" s="1702"/>
      <c r="AC264" s="1702"/>
      <c r="AD264" s="1702"/>
    </row>
    <row r="265" spans="1:30">
      <c r="A265" s="2688">
        <v>250</v>
      </c>
      <c r="B265" s="2684" t="s">
        <v>5976</v>
      </c>
      <c r="C265" s="2689" t="s">
        <v>5977</v>
      </c>
      <c r="D265" s="2690" t="s">
        <v>5978</v>
      </c>
      <c r="E265" s="2691"/>
      <c r="F265" s="2688">
        <v>574</v>
      </c>
      <c r="G265" s="2684" t="s">
        <v>5979</v>
      </c>
      <c r="H265" s="2689" t="s">
        <v>5980</v>
      </c>
      <c r="I265" s="2690" t="s">
        <v>5981</v>
      </c>
      <c r="J265" s="2691"/>
      <c r="K265" s="2688">
        <v>898</v>
      </c>
      <c r="L265" s="2684" t="s">
        <v>5982</v>
      </c>
      <c r="M265" s="2689" t="s">
        <v>5983</v>
      </c>
      <c r="N265" s="2690" t="s">
        <v>5984</v>
      </c>
      <c r="O265" s="2691"/>
      <c r="P265" s="2688">
        <v>1222</v>
      </c>
      <c r="Q265" s="2684" t="s">
        <v>5985</v>
      </c>
      <c r="R265" s="2689" t="s">
        <v>5986</v>
      </c>
      <c r="T265" s="1702"/>
      <c r="U265" s="1702"/>
      <c r="V265" s="1702"/>
      <c r="W265" s="1702"/>
      <c r="X265" s="1702"/>
      <c r="Y265" s="1702"/>
      <c r="Z265" s="1702"/>
      <c r="AA265" s="1702"/>
      <c r="AB265" s="1702"/>
      <c r="AC265" s="1702"/>
      <c r="AD265" s="1702"/>
    </row>
    <row r="266" spans="1:30">
      <c r="A266" s="2688">
        <v>251</v>
      </c>
      <c r="B266" s="2684" t="s">
        <v>5987</v>
      </c>
      <c r="C266" s="2689" t="s">
        <v>5988</v>
      </c>
      <c r="D266" s="2690" t="s">
        <v>5989</v>
      </c>
      <c r="E266" s="2691"/>
      <c r="F266" s="2688">
        <v>575</v>
      </c>
      <c r="G266" s="2684" t="s">
        <v>5990</v>
      </c>
      <c r="H266" s="2689" t="s">
        <v>5991</v>
      </c>
      <c r="I266" s="2690" t="s">
        <v>5992</v>
      </c>
      <c r="J266" s="2691"/>
      <c r="K266" s="2688">
        <v>899</v>
      </c>
      <c r="L266" s="2684" t="s">
        <v>5993</v>
      </c>
      <c r="M266" s="2689" t="s">
        <v>5994</v>
      </c>
      <c r="N266" s="2690" t="s">
        <v>5995</v>
      </c>
      <c r="O266" s="2691"/>
      <c r="P266" s="2688">
        <v>1223</v>
      </c>
      <c r="Q266" s="2684" t="s">
        <v>5996</v>
      </c>
      <c r="R266" s="2689" t="s">
        <v>5997</v>
      </c>
      <c r="S266" s="2690" t="s">
        <v>5998</v>
      </c>
      <c r="T266" s="1702"/>
      <c r="U266" s="1702"/>
      <c r="V266" s="1702"/>
      <c r="W266" s="1702"/>
      <c r="X266" s="1702"/>
      <c r="Y266" s="1702"/>
      <c r="Z266" s="1702"/>
      <c r="AA266" s="1702"/>
      <c r="AB266" s="1702"/>
      <c r="AC266" s="1702"/>
      <c r="AD266" s="1702"/>
    </row>
    <row r="267" spans="1:30" ht="25.5">
      <c r="A267" s="2688">
        <v>252</v>
      </c>
      <c r="B267" s="2684" t="s">
        <v>5999</v>
      </c>
      <c r="C267" s="2689" t="s">
        <v>6000</v>
      </c>
      <c r="D267" s="2690" t="s">
        <v>6001</v>
      </c>
      <c r="E267" s="2691"/>
      <c r="F267" s="2688">
        <v>576</v>
      </c>
      <c r="G267" s="2684" t="s">
        <v>6002</v>
      </c>
      <c r="H267" s="2689" t="s">
        <v>6003</v>
      </c>
      <c r="I267" s="2690" t="s">
        <v>6004</v>
      </c>
      <c r="J267" s="2691"/>
      <c r="K267" s="2688">
        <v>900</v>
      </c>
      <c r="L267" s="2684" t="s">
        <v>6005</v>
      </c>
      <c r="M267" s="2689" t="s">
        <v>6006</v>
      </c>
      <c r="N267" s="2690" t="s">
        <v>6007</v>
      </c>
      <c r="O267" s="2691"/>
      <c r="P267" s="2688">
        <v>1224</v>
      </c>
      <c r="Q267" s="2684" t="s">
        <v>6008</v>
      </c>
      <c r="R267" s="2689" t="s">
        <v>6009</v>
      </c>
      <c r="S267" s="2690" t="s">
        <v>6010</v>
      </c>
      <c r="T267" s="1702"/>
      <c r="U267" s="1702"/>
      <c r="V267" s="1702"/>
      <c r="W267" s="1702"/>
      <c r="X267" s="1702"/>
      <c r="Y267" s="1702"/>
      <c r="Z267" s="1702"/>
      <c r="AA267" s="1702"/>
      <c r="AB267" s="1702"/>
      <c r="AC267" s="1702"/>
      <c r="AD267" s="1702"/>
    </row>
    <row r="268" spans="1:30" ht="25.5">
      <c r="A268" s="2688">
        <v>253</v>
      </c>
      <c r="B268" s="2684" t="s">
        <v>6011</v>
      </c>
      <c r="C268" s="2689" t="s">
        <v>6012</v>
      </c>
      <c r="D268" s="2690" t="s">
        <v>6013</v>
      </c>
      <c r="E268" s="2691"/>
      <c r="F268" s="2688">
        <v>577</v>
      </c>
      <c r="G268" s="2684" t="s">
        <v>6014</v>
      </c>
      <c r="H268" s="2689" t="s">
        <v>6015</v>
      </c>
      <c r="I268" s="2690" t="s">
        <v>6016</v>
      </c>
      <c r="J268" s="2691"/>
      <c r="K268" s="2688">
        <v>901</v>
      </c>
      <c r="L268" s="2684" t="s">
        <v>6017</v>
      </c>
      <c r="M268" s="2689" t="s">
        <v>6018</v>
      </c>
      <c r="N268" s="2690" t="s">
        <v>6019</v>
      </c>
      <c r="O268" s="2691"/>
      <c r="P268" s="2688">
        <v>1225</v>
      </c>
      <c r="Q268" s="2684" t="s">
        <v>6020</v>
      </c>
      <c r="R268" s="2689" t="s">
        <v>6021</v>
      </c>
      <c r="S268" s="2690" t="s">
        <v>6022</v>
      </c>
      <c r="T268" s="1702"/>
      <c r="U268" s="1702"/>
      <c r="V268" s="1702"/>
      <c r="W268" s="1702"/>
      <c r="X268" s="1702"/>
      <c r="Y268" s="1702"/>
      <c r="Z268" s="1702"/>
      <c r="AA268" s="1702"/>
      <c r="AB268" s="1702"/>
      <c r="AC268" s="1702"/>
      <c r="AD268" s="1702"/>
    </row>
    <row r="269" spans="1:30">
      <c r="A269" s="2688">
        <v>254</v>
      </c>
      <c r="B269" s="2684" t="s">
        <v>6023</v>
      </c>
      <c r="C269" s="2689" t="s">
        <v>6024</v>
      </c>
      <c r="D269" s="2690" t="s">
        <v>6025</v>
      </c>
      <c r="E269" s="2691"/>
      <c r="F269" s="2688">
        <v>578</v>
      </c>
      <c r="G269" s="2684" t="s">
        <v>6026</v>
      </c>
      <c r="H269" s="2689" t="s">
        <v>6027</v>
      </c>
      <c r="I269" s="2690" t="s">
        <v>6028</v>
      </c>
      <c r="J269" s="2691"/>
      <c r="K269" s="2688">
        <v>902</v>
      </c>
      <c r="L269" s="2684" t="s">
        <v>6029</v>
      </c>
      <c r="M269" s="2689" t="s">
        <v>6030</v>
      </c>
      <c r="N269" s="2690" t="s">
        <v>6031</v>
      </c>
      <c r="O269" s="2691"/>
      <c r="P269" s="2688">
        <v>1226</v>
      </c>
      <c r="Q269" s="2684" t="s">
        <v>6032</v>
      </c>
      <c r="R269" s="2689" t="s">
        <v>6033</v>
      </c>
      <c r="S269" s="2690" t="s">
        <v>6034</v>
      </c>
      <c r="T269" s="1702"/>
      <c r="U269" s="1702"/>
      <c r="V269" s="1702"/>
      <c r="W269" s="1702"/>
      <c r="X269" s="1702"/>
      <c r="Y269" s="1702"/>
      <c r="Z269" s="1702"/>
      <c r="AA269" s="1702"/>
      <c r="AB269" s="1702"/>
      <c r="AC269" s="1702"/>
      <c r="AD269" s="1702"/>
    </row>
    <row r="270" spans="1:30" ht="25.5">
      <c r="A270" s="2688">
        <v>255</v>
      </c>
      <c r="B270" s="2684" t="s">
        <v>6035</v>
      </c>
      <c r="C270" s="2689" t="s">
        <v>6036</v>
      </c>
      <c r="D270" s="2690" t="s">
        <v>6037</v>
      </c>
      <c r="E270" s="2691"/>
      <c r="F270" s="2688">
        <v>579</v>
      </c>
      <c r="G270" s="2684" t="s">
        <v>6038</v>
      </c>
      <c r="H270" s="2689" t="s">
        <v>6039</v>
      </c>
      <c r="I270" s="2690" t="s">
        <v>6040</v>
      </c>
      <c r="J270" s="2691"/>
      <c r="K270" s="2688">
        <v>903</v>
      </c>
      <c r="L270" s="2684" t="s">
        <v>6041</v>
      </c>
      <c r="M270" s="2689" t="s">
        <v>6042</v>
      </c>
      <c r="N270" s="2690" t="s">
        <v>6043</v>
      </c>
      <c r="O270" s="2691"/>
      <c r="P270" s="2688">
        <v>1227</v>
      </c>
      <c r="Q270" s="2684" t="s">
        <v>6044</v>
      </c>
      <c r="R270" s="2689" t="s">
        <v>6045</v>
      </c>
      <c r="S270" s="2690" t="s">
        <v>6046</v>
      </c>
      <c r="T270" s="1702"/>
      <c r="U270" s="1702"/>
      <c r="V270" s="1702"/>
      <c r="W270" s="1702"/>
      <c r="X270" s="1702"/>
      <c r="Y270" s="1702"/>
      <c r="Z270" s="1702"/>
      <c r="AA270" s="1702"/>
      <c r="AB270" s="1702"/>
      <c r="AC270" s="1702"/>
      <c r="AD270" s="1702"/>
    </row>
    <row r="271" spans="1:30" ht="25.5">
      <c r="A271" s="2688">
        <v>256</v>
      </c>
      <c r="B271" s="2684" t="s">
        <v>6047</v>
      </c>
      <c r="C271" s="2689" t="s">
        <v>6048</v>
      </c>
      <c r="D271" s="2690" t="s">
        <v>6049</v>
      </c>
      <c r="E271" s="2691"/>
      <c r="F271" s="2688">
        <v>580</v>
      </c>
      <c r="G271" s="2684" t="s">
        <v>6050</v>
      </c>
      <c r="H271" s="2689" t="s">
        <v>6051</v>
      </c>
      <c r="I271" s="2690" t="s">
        <v>6052</v>
      </c>
      <c r="J271" s="2691"/>
      <c r="K271" s="2688">
        <v>904</v>
      </c>
      <c r="L271" s="2684" t="s">
        <v>6053</v>
      </c>
      <c r="M271" s="2689" t="s">
        <v>6054</v>
      </c>
      <c r="N271" s="2690" t="s">
        <v>6055</v>
      </c>
      <c r="O271" s="2691"/>
      <c r="P271" s="2688">
        <v>1228</v>
      </c>
      <c r="Q271" s="2684" t="s">
        <v>6056</v>
      </c>
      <c r="R271" s="2689" t="s">
        <v>6057</v>
      </c>
      <c r="S271" s="2690" t="s">
        <v>6058</v>
      </c>
      <c r="T271" s="1702"/>
      <c r="U271" s="1702"/>
      <c r="V271" s="1702"/>
      <c r="W271" s="1702"/>
      <c r="X271" s="1702"/>
      <c r="Y271" s="1702"/>
      <c r="Z271" s="1702"/>
      <c r="AA271" s="1702"/>
      <c r="AB271" s="1702"/>
      <c r="AC271" s="1702"/>
      <c r="AD271" s="1702"/>
    </row>
    <row r="272" spans="1:30" ht="25.5">
      <c r="A272" s="2688">
        <v>257</v>
      </c>
      <c r="B272" s="2684" t="s">
        <v>6059</v>
      </c>
      <c r="C272" s="2689" t="s">
        <v>6060</v>
      </c>
      <c r="D272" s="2690" t="s">
        <v>6061</v>
      </c>
      <c r="E272" s="2691"/>
      <c r="F272" s="2688">
        <v>581</v>
      </c>
      <c r="G272" s="2684" t="s">
        <v>6062</v>
      </c>
      <c r="H272" s="2699" t="s">
        <v>6063</v>
      </c>
      <c r="I272" s="2690" t="s">
        <v>6064</v>
      </c>
      <c r="J272" s="2691"/>
      <c r="K272" s="2688">
        <v>905</v>
      </c>
      <c r="L272" s="2684" t="s">
        <v>6065</v>
      </c>
      <c r="M272" s="2689" t="s">
        <v>6066</v>
      </c>
      <c r="N272" s="2690" t="s">
        <v>6067</v>
      </c>
      <c r="O272" s="2691"/>
      <c r="P272" s="2688">
        <v>1229</v>
      </c>
      <c r="Q272" s="2684" t="s">
        <v>6068</v>
      </c>
      <c r="R272" s="2689" t="s">
        <v>6069</v>
      </c>
      <c r="S272" s="2690" t="s">
        <v>6070</v>
      </c>
      <c r="T272" s="1702"/>
      <c r="U272" s="1702"/>
      <c r="V272" s="1702"/>
      <c r="W272" s="1702"/>
      <c r="X272" s="1702"/>
      <c r="Y272" s="1702"/>
      <c r="Z272" s="1702"/>
      <c r="AA272" s="1702"/>
      <c r="AB272" s="1702"/>
      <c r="AC272" s="1702"/>
      <c r="AD272" s="1702"/>
    </row>
    <row r="273" spans="1:30">
      <c r="A273" s="2688">
        <v>258</v>
      </c>
      <c r="B273" s="2684" t="s">
        <v>6071</v>
      </c>
      <c r="C273" s="2689" t="s">
        <v>6072</v>
      </c>
      <c r="D273" s="2690" t="s">
        <v>6073</v>
      </c>
      <c r="E273" s="2691"/>
      <c r="F273" s="2688">
        <v>582</v>
      </c>
      <c r="G273" s="2684" t="s">
        <v>6074</v>
      </c>
      <c r="H273" s="2689" t="s">
        <v>6075</v>
      </c>
      <c r="I273" s="2690" t="s">
        <v>6076</v>
      </c>
      <c r="J273" s="2691"/>
      <c r="K273" s="2688">
        <v>906</v>
      </c>
      <c r="L273" s="2684" t="s">
        <v>6077</v>
      </c>
      <c r="M273" s="2689" t="s">
        <v>6078</v>
      </c>
      <c r="N273" s="2690" t="s">
        <v>6079</v>
      </c>
      <c r="O273" s="2691"/>
      <c r="P273" s="2688">
        <v>1230</v>
      </c>
      <c r="Q273" s="2684" t="s">
        <v>6080</v>
      </c>
      <c r="R273" s="2689" t="s">
        <v>6081</v>
      </c>
      <c r="S273" s="2690" t="s">
        <v>6082</v>
      </c>
      <c r="T273" s="1702"/>
      <c r="U273" s="1702"/>
      <c r="V273" s="1702"/>
      <c r="W273" s="1702"/>
      <c r="X273" s="1702"/>
      <c r="Y273" s="1702"/>
      <c r="Z273" s="1702"/>
      <c r="AA273" s="1702"/>
      <c r="AB273" s="1702"/>
      <c r="AC273" s="1702"/>
      <c r="AD273" s="1702"/>
    </row>
    <row r="274" spans="1:30">
      <c r="A274" s="2688">
        <v>259</v>
      </c>
      <c r="B274" s="2684" t="s">
        <v>6083</v>
      </c>
      <c r="C274" s="2689" t="s">
        <v>6084</v>
      </c>
      <c r="D274" s="2690" t="s">
        <v>6085</v>
      </c>
      <c r="E274" s="2691"/>
      <c r="F274" s="2688">
        <v>583</v>
      </c>
      <c r="G274" s="2684" t="s">
        <v>6086</v>
      </c>
      <c r="H274" s="2689" t="s">
        <v>6087</v>
      </c>
      <c r="I274" s="2690" t="s">
        <v>6088</v>
      </c>
      <c r="J274" s="2691"/>
      <c r="K274" s="2688">
        <v>907</v>
      </c>
      <c r="L274" s="2684" t="s">
        <v>6089</v>
      </c>
      <c r="M274" s="2689" t="s">
        <v>6090</v>
      </c>
      <c r="N274" s="2690" t="s">
        <v>6091</v>
      </c>
      <c r="O274" s="2691"/>
      <c r="P274" s="2688">
        <v>1231</v>
      </c>
      <c r="Q274" s="2684" t="s">
        <v>6092</v>
      </c>
      <c r="R274" s="2689" t="s">
        <v>6093</v>
      </c>
      <c r="S274" s="2690" t="s">
        <v>6094</v>
      </c>
      <c r="T274" s="1702"/>
      <c r="U274" s="1702"/>
      <c r="V274" s="1702"/>
      <c r="W274" s="1702"/>
      <c r="X274" s="1702"/>
      <c r="Y274" s="1702"/>
      <c r="Z274" s="1702"/>
      <c r="AA274" s="1702"/>
      <c r="AB274" s="1702"/>
      <c r="AC274" s="1702"/>
      <c r="AD274" s="1702"/>
    </row>
    <row r="275" spans="1:30" ht="25.5">
      <c r="A275" s="2688">
        <v>260</v>
      </c>
      <c r="B275" s="2684" t="s">
        <v>6095</v>
      </c>
      <c r="C275" s="2689" t="s">
        <v>6096</v>
      </c>
      <c r="D275" s="2690" t="s">
        <v>6097</v>
      </c>
      <c r="E275" s="2691"/>
      <c r="F275" s="2688">
        <v>584</v>
      </c>
      <c r="G275" s="2684" t="s">
        <v>6098</v>
      </c>
      <c r="H275" s="2689" t="s">
        <v>6099</v>
      </c>
      <c r="I275" s="2690" t="s">
        <v>6100</v>
      </c>
      <c r="J275" s="2691"/>
      <c r="K275" s="2688">
        <v>908</v>
      </c>
      <c r="L275" s="2684" t="s">
        <v>6101</v>
      </c>
      <c r="M275" s="2689" t="s">
        <v>6102</v>
      </c>
      <c r="N275" s="2690" t="s">
        <v>6103</v>
      </c>
      <c r="O275" s="2691"/>
      <c r="P275" s="2688">
        <v>1232</v>
      </c>
      <c r="Q275" s="2684" t="s">
        <v>6104</v>
      </c>
      <c r="R275" s="2689" t="s">
        <v>6105</v>
      </c>
      <c r="S275" s="2690" t="s">
        <v>6106</v>
      </c>
      <c r="T275" s="1702"/>
      <c r="U275" s="1702"/>
      <c r="V275" s="1702"/>
      <c r="W275" s="1702"/>
      <c r="X275" s="1702"/>
      <c r="Y275" s="1702"/>
      <c r="Z275" s="1702"/>
      <c r="AA275" s="1702"/>
      <c r="AB275" s="1702"/>
      <c r="AC275" s="1702"/>
      <c r="AD275" s="1702"/>
    </row>
    <row r="276" spans="1:30">
      <c r="A276" s="2688">
        <v>261</v>
      </c>
      <c r="B276" s="2684" t="s">
        <v>6107</v>
      </c>
      <c r="C276" s="2689" t="s">
        <v>6108</v>
      </c>
      <c r="D276" s="2690" t="s">
        <v>6109</v>
      </c>
      <c r="E276" s="2691"/>
      <c r="F276" s="2688">
        <v>585</v>
      </c>
      <c r="G276" s="2684" t="s">
        <v>6110</v>
      </c>
      <c r="H276" s="2689" t="s">
        <v>6111</v>
      </c>
      <c r="I276" s="2690" t="s">
        <v>6112</v>
      </c>
      <c r="J276" s="2691"/>
      <c r="K276" s="2688">
        <v>909</v>
      </c>
      <c r="L276" s="2684" t="s">
        <v>6113</v>
      </c>
      <c r="M276" s="2689" t="s">
        <v>6114</v>
      </c>
      <c r="N276" s="2690" t="s">
        <v>6115</v>
      </c>
      <c r="O276" s="2691"/>
      <c r="P276" s="2688">
        <v>1233</v>
      </c>
      <c r="Q276" s="2684" t="s">
        <v>6116</v>
      </c>
      <c r="R276" s="2689" t="s">
        <v>6117</v>
      </c>
      <c r="S276" s="2690" t="s">
        <v>6118</v>
      </c>
      <c r="T276" s="1702"/>
      <c r="U276" s="1702"/>
      <c r="V276" s="1702"/>
      <c r="W276" s="1702"/>
      <c r="X276" s="1702"/>
      <c r="Y276" s="1702"/>
      <c r="Z276" s="1702"/>
      <c r="AA276" s="1702"/>
      <c r="AB276" s="1702"/>
      <c r="AC276" s="1702"/>
      <c r="AD276" s="1702"/>
    </row>
    <row r="277" spans="1:30" ht="25.5">
      <c r="A277" s="2688">
        <v>262</v>
      </c>
      <c r="B277" s="2684" t="s">
        <v>6119</v>
      </c>
      <c r="C277" s="2689" t="s">
        <v>6120</v>
      </c>
      <c r="D277" s="2690" t="s">
        <v>6121</v>
      </c>
      <c r="E277" s="2691"/>
      <c r="F277" s="2688">
        <v>586</v>
      </c>
      <c r="G277" s="2684" t="s">
        <v>6122</v>
      </c>
      <c r="H277" s="2689" t="s">
        <v>6123</v>
      </c>
      <c r="I277" s="2690" t="s">
        <v>6124</v>
      </c>
      <c r="J277" s="2691"/>
      <c r="K277" s="2688">
        <v>910</v>
      </c>
      <c r="L277" s="2684" t="s">
        <v>6125</v>
      </c>
      <c r="M277" s="2689" t="s">
        <v>6126</v>
      </c>
      <c r="N277" s="2690" t="s">
        <v>6127</v>
      </c>
      <c r="O277" s="2691"/>
      <c r="P277" s="2688">
        <v>1234</v>
      </c>
      <c r="Q277" s="2684" t="s">
        <v>6128</v>
      </c>
      <c r="R277" s="2689" t="s">
        <v>6129</v>
      </c>
      <c r="S277" s="2690" t="s">
        <v>6130</v>
      </c>
      <c r="T277" s="1702"/>
      <c r="U277" s="1702"/>
      <c r="V277" s="1702"/>
      <c r="W277" s="1702"/>
      <c r="X277" s="1702"/>
      <c r="Y277" s="1702"/>
      <c r="Z277" s="1702"/>
      <c r="AA277" s="1702"/>
      <c r="AB277" s="1702"/>
      <c r="AC277" s="1702"/>
      <c r="AD277" s="1702"/>
    </row>
    <row r="278" spans="1:30" ht="25.5">
      <c r="A278" s="2688">
        <v>263</v>
      </c>
      <c r="B278" s="2684" t="s">
        <v>6131</v>
      </c>
      <c r="C278" s="2689" t="s">
        <v>6132</v>
      </c>
      <c r="D278" s="2690" t="s">
        <v>6133</v>
      </c>
      <c r="E278" s="2691"/>
      <c r="F278" s="2688">
        <v>587</v>
      </c>
      <c r="G278" s="2684" t="s">
        <v>6134</v>
      </c>
      <c r="H278" s="2689" t="s">
        <v>6135</v>
      </c>
      <c r="I278" s="2690" t="s">
        <v>6136</v>
      </c>
      <c r="J278" s="2691"/>
      <c r="K278" s="2688">
        <v>911</v>
      </c>
      <c r="L278" s="2684" t="s">
        <v>6137</v>
      </c>
      <c r="M278" s="2689" t="s">
        <v>6138</v>
      </c>
      <c r="N278" s="2690" t="s">
        <v>6139</v>
      </c>
      <c r="O278" s="2691"/>
      <c r="P278" s="2688">
        <v>1235</v>
      </c>
      <c r="Q278" s="2684" t="s">
        <v>6140</v>
      </c>
      <c r="R278" s="2689" t="s">
        <v>6141</v>
      </c>
      <c r="S278" s="2690" t="s">
        <v>6142</v>
      </c>
      <c r="T278" s="1702"/>
      <c r="U278" s="1702"/>
      <c r="V278" s="1702"/>
      <c r="W278" s="1702"/>
      <c r="X278" s="1702"/>
      <c r="Y278" s="1702"/>
      <c r="Z278" s="1702"/>
      <c r="AA278" s="1702"/>
      <c r="AB278" s="1702"/>
      <c r="AC278" s="1702"/>
      <c r="AD278" s="1702"/>
    </row>
    <row r="279" spans="1:30" ht="25.5">
      <c r="A279" s="2688">
        <v>264</v>
      </c>
      <c r="B279" s="2684" t="s">
        <v>6143</v>
      </c>
      <c r="C279" s="2689" t="s">
        <v>6144</v>
      </c>
      <c r="D279" s="2690" t="s">
        <v>6145</v>
      </c>
      <c r="E279" s="2691"/>
      <c r="F279" s="2688">
        <v>588</v>
      </c>
      <c r="G279" s="2684" t="s">
        <v>6146</v>
      </c>
      <c r="H279" s="2689" t="s">
        <v>6147</v>
      </c>
      <c r="I279" s="2690" t="s">
        <v>6148</v>
      </c>
      <c r="J279" s="2691"/>
      <c r="K279" s="2688">
        <v>912</v>
      </c>
      <c r="L279" s="2684" t="s">
        <v>6149</v>
      </c>
      <c r="M279" s="2689" t="s">
        <v>6150</v>
      </c>
      <c r="N279" s="2690" t="s">
        <v>6151</v>
      </c>
      <c r="O279" s="2691"/>
      <c r="P279" s="2688">
        <v>1236</v>
      </c>
      <c r="Q279" s="2684" t="s">
        <v>6152</v>
      </c>
      <c r="R279" s="2689" t="s">
        <v>6153</v>
      </c>
      <c r="S279" s="2690" t="s">
        <v>6154</v>
      </c>
      <c r="T279" s="1702"/>
      <c r="U279" s="1702"/>
      <c r="V279" s="1702"/>
      <c r="W279" s="1702"/>
      <c r="X279" s="1702"/>
      <c r="Y279" s="1702"/>
      <c r="Z279" s="1702"/>
      <c r="AA279" s="1702"/>
      <c r="AB279" s="1702"/>
      <c r="AC279" s="1702"/>
      <c r="AD279" s="1702"/>
    </row>
    <row r="280" spans="1:30" ht="25.5">
      <c r="A280" s="2688">
        <v>265</v>
      </c>
      <c r="B280" s="2684" t="s">
        <v>6155</v>
      </c>
      <c r="C280" s="2689" t="s">
        <v>6156</v>
      </c>
      <c r="D280" s="2690" t="s">
        <v>6157</v>
      </c>
      <c r="E280" s="2691"/>
      <c r="F280" s="2688">
        <v>589</v>
      </c>
      <c r="G280" s="2684" t="s">
        <v>6158</v>
      </c>
      <c r="H280" s="2689" t="s">
        <v>6159</v>
      </c>
      <c r="I280" s="2690" t="s">
        <v>6160</v>
      </c>
      <c r="J280" s="2691"/>
      <c r="K280" s="2688">
        <v>913</v>
      </c>
      <c r="L280" s="2684" t="s">
        <v>6161</v>
      </c>
      <c r="M280" s="2689" t="s">
        <v>6162</v>
      </c>
      <c r="N280" s="2690" t="s">
        <v>6163</v>
      </c>
      <c r="O280" s="2691"/>
      <c r="P280" s="2688">
        <v>1237</v>
      </c>
      <c r="Q280" s="2684" t="s">
        <v>6164</v>
      </c>
      <c r="R280" s="2689" t="s">
        <v>6165</v>
      </c>
      <c r="S280" s="2690" t="s">
        <v>6166</v>
      </c>
      <c r="T280" s="1702"/>
      <c r="U280" s="1702"/>
      <c r="V280" s="1702"/>
      <c r="W280" s="1702"/>
      <c r="X280" s="1702"/>
      <c r="Y280" s="1702"/>
      <c r="Z280" s="1702"/>
      <c r="AA280" s="1702"/>
      <c r="AB280" s="1702"/>
      <c r="AC280" s="1702"/>
      <c r="AD280" s="1702"/>
    </row>
    <row r="281" spans="1:30" ht="25.5">
      <c r="A281" s="2688">
        <v>266</v>
      </c>
      <c r="B281" s="2684" t="s">
        <v>6167</v>
      </c>
      <c r="C281" s="2689" t="s">
        <v>6168</v>
      </c>
      <c r="D281" s="2690" t="s">
        <v>6169</v>
      </c>
      <c r="E281" s="2691"/>
      <c r="F281" s="2688">
        <v>590</v>
      </c>
      <c r="G281" s="2684" t="s">
        <v>6170</v>
      </c>
      <c r="H281" s="2689" t="s">
        <v>6171</v>
      </c>
      <c r="I281" s="2690" t="s">
        <v>6172</v>
      </c>
      <c r="J281" s="2691"/>
      <c r="K281" s="2688">
        <v>914</v>
      </c>
      <c r="L281" s="2684" t="s">
        <v>6173</v>
      </c>
      <c r="M281" s="2689" t="s">
        <v>6174</v>
      </c>
      <c r="N281" s="2690" t="s">
        <v>6175</v>
      </c>
      <c r="O281" s="2691"/>
      <c r="P281" s="2688">
        <v>1238</v>
      </c>
      <c r="Q281" s="2684" t="s">
        <v>6176</v>
      </c>
      <c r="R281" s="2689" t="s">
        <v>6177</v>
      </c>
      <c r="S281" s="2690" t="s">
        <v>6178</v>
      </c>
      <c r="T281" s="1702"/>
      <c r="U281" s="1702"/>
      <c r="V281" s="1702"/>
      <c r="W281" s="1702"/>
      <c r="X281" s="1702"/>
      <c r="Y281" s="1702"/>
      <c r="Z281" s="1702"/>
      <c r="AA281" s="1702"/>
      <c r="AB281" s="1702"/>
      <c r="AC281" s="1702"/>
      <c r="AD281" s="1702"/>
    </row>
    <row r="282" spans="1:30">
      <c r="A282" s="2688">
        <v>267</v>
      </c>
      <c r="B282" s="2684" t="s">
        <v>6179</v>
      </c>
      <c r="C282" s="2689" t="s">
        <v>6180</v>
      </c>
      <c r="D282" s="2690" t="s">
        <v>6181</v>
      </c>
      <c r="E282" s="2691"/>
      <c r="F282" s="2688">
        <v>591</v>
      </c>
      <c r="G282" s="2684" t="s">
        <v>6182</v>
      </c>
      <c r="H282" s="2689" t="s">
        <v>6183</v>
      </c>
      <c r="I282" s="2690" t="s">
        <v>6184</v>
      </c>
      <c r="J282" s="2691"/>
      <c r="K282" s="2688">
        <v>915</v>
      </c>
      <c r="L282" s="2684" t="s">
        <v>6185</v>
      </c>
      <c r="M282" s="2689" t="s">
        <v>6186</v>
      </c>
      <c r="N282" s="2690" t="s">
        <v>6187</v>
      </c>
      <c r="O282" s="2691"/>
      <c r="P282" s="2688">
        <v>1239</v>
      </c>
      <c r="Q282" s="2684" t="s">
        <v>6188</v>
      </c>
      <c r="R282" s="2689" t="s">
        <v>6189</v>
      </c>
      <c r="S282" s="2690" t="s">
        <v>6190</v>
      </c>
      <c r="T282" s="1702"/>
      <c r="U282" s="1702"/>
      <c r="V282" s="1702"/>
      <c r="W282" s="1702"/>
      <c r="X282" s="1702"/>
      <c r="Y282" s="1702"/>
      <c r="Z282" s="1702"/>
      <c r="AA282" s="1702"/>
      <c r="AB282" s="1702"/>
      <c r="AC282" s="1702"/>
      <c r="AD282" s="1702"/>
    </row>
    <row r="283" spans="1:30">
      <c r="A283" s="2688">
        <v>268</v>
      </c>
      <c r="B283" s="2684" t="s">
        <v>6191</v>
      </c>
      <c r="C283" s="2689" t="s">
        <v>6192</v>
      </c>
      <c r="D283" s="2690" t="s">
        <v>6193</v>
      </c>
      <c r="E283" s="2691"/>
      <c r="F283" s="2688">
        <v>592</v>
      </c>
      <c r="G283" s="2684" t="s">
        <v>6194</v>
      </c>
      <c r="H283" s="2689" t="s">
        <v>6195</v>
      </c>
      <c r="I283" s="2690" t="s">
        <v>6196</v>
      </c>
      <c r="J283" s="2691"/>
      <c r="K283" s="2688">
        <v>916</v>
      </c>
      <c r="L283" s="2684" t="s">
        <v>6197</v>
      </c>
      <c r="M283" s="2689" t="s">
        <v>6198</v>
      </c>
      <c r="N283" s="2690" t="s">
        <v>6199</v>
      </c>
      <c r="O283" s="2691"/>
      <c r="P283" s="2688">
        <v>1240</v>
      </c>
      <c r="Q283" s="2684" t="s">
        <v>6200</v>
      </c>
      <c r="R283" s="2689" t="s">
        <v>6201</v>
      </c>
      <c r="S283" s="2690" t="s">
        <v>6202</v>
      </c>
      <c r="T283" s="1702"/>
      <c r="U283" s="1702"/>
      <c r="V283" s="1702"/>
      <c r="W283" s="1702"/>
      <c r="X283" s="1702"/>
      <c r="Y283" s="1702"/>
      <c r="Z283" s="1702"/>
      <c r="AA283" s="1702"/>
      <c r="AB283" s="1702"/>
      <c r="AC283" s="1702"/>
      <c r="AD283" s="1702"/>
    </row>
    <row r="284" spans="1:30">
      <c r="A284" s="2688">
        <v>269</v>
      </c>
      <c r="B284" s="2684" t="s">
        <v>6203</v>
      </c>
      <c r="C284" s="2689" t="s">
        <v>6204</v>
      </c>
      <c r="D284" s="2690" t="s">
        <v>6205</v>
      </c>
      <c r="E284" s="2691"/>
      <c r="F284" s="2688">
        <v>593</v>
      </c>
      <c r="G284" s="2684" t="s">
        <v>6206</v>
      </c>
      <c r="H284" s="2689" t="s">
        <v>6207</v>
      </c>
      <c r="I284" s="2690" t="s">
        <v>6208</v>
      </c>
      <c r="J284" s="2691"/>
      <c r="K284" s="2688">
        <v>917</v>
      </c>
      <c r="L284" s="2684" t="s">
        <v>6209</v>
      </c>
      <c r="M284" s="2689" t="s">
        <v>6210</v>
      </c>
      <c r="N284" s="2690" t="s">
        <v>6211</v>
      </c>
      <c r="O284" s="2691"/>
      <c r="P284" s="2688">
        <v>1241</v>
      </c>
      <c r="Q284" s="2684" t="s">
        <v>6212</v>
      </c>
      <c r="R284" s="2689" t="s">
        <v>6213</v>
      </c>
      <c r="S284" s="2690" t="s">
        <v>6214</v>
      </c>
      <c r="T284" s="1702"/>
      <c r="U284" s="1702"/>
      <c r="V284" s="1702"/>
      <c r="W284" s="1702"/>
      <c r="X284" s="1702"/>
      <c r="Y284" s="1702"/>
      <c r="Z284" s="1702"/>
      <c r="AA284" s="1702"/>
      <c r="AB284" s="1702"/>
      <c r="AC284" s="1702"/>
      <c r="AD284" s="1702"/>
    </row>
    <row r="285" spans="1:30" ht="25.5">
      <c r="A285" s="2688">
        <v>270</v>
      </c>
      <c r="B285" s="2684" t="s">
        <v>6215</v>
      </c>
      <c r="C285" s="2689" t="s">
        <v>6216</v>
      </c>
      <c r="D285" s="2690" t="s">
        <v>6217</v>
      </c>
      <c r="E285" s="2691"/>
      <c r="F285" s="2688">
        <v>594</v>
      </c>
      <c r="G285" s="2684" t="s">
        <v>6218</v>
      </c>
      <c r="H285" s="2689" t="s">
        <v>6219</v>
      </c>
      <c r="I285" s="2690" t="s">
        <v>6220</v>
      </c>
      <c r="J285" s="2691"/>
      <c r="K285" s="2688">
        <v>918</v>
      </c>
      <c r="L285" s="2684" t="s">
        <v>6221</v>
      </c>
      <c r="M285" s="2689" t="s">
        <v>6222</v>
      </c>
      <c r="N285" s="2690" t="s">
        <v>6223</v>
      </c>
      <c r="O285" s="2691"/>
      <c r="P285" s="2688">
        <v>1242</v>
      </c>
      <c r="Q285" s="2684" t="s">
        <v>6224</v>
      </c>
      <c r="R285" s="2689" t="s">
        <v>6225</v>
      </c>
      <c r="S285" s="2690" t="s">
        <v>6226</v>
      </c>
      <c r="T285" s="1702"/>
      <c r="U285" s="1702"/>
      <c r="V285" s="1702"/>
      <c r="W285" s="1702"/>
      <c r="X285" s="1702"/>
      <c r="Y285" s="1702"/>
      <c r="Z285" s="1702"/>
      <c r="AA285" s="1702"/>
      <c r="AB285" s="1702"/>
      <c r="AC285" s="1702"/>
      <c r="AD285" s="1702"/>
    </row>
    <row r="286" spans="1:30">
      <c r="A286" s="2688">
        <v>271</v>
      </c>
      <c r="B286" s="2684" t="s">
        <v>6227</v>
      </c>
      <c r="C286" s="2689" t="s">
        <v>6228</v>
      </c>
      <c r="D286" s="2690" t="s">
        <v>6229</v>
      </c>
      <c r="E286" s="2691"/>
      <c r="F286" s="2688">
        <v>595</v>
      </c>
      <c r="G286" s="2684" t="s">
        <v>6230</v>
      </c>
      <c r="H286" s="2689" t="s">
        <v>6231</v>
      </c>
      <c r="I286" s="2690" t="s">
        <v>6232</v>
      </c>
      <c r="J286" s="2691"/>
      <c r="K286" s="2688">
        <v>919</v>
      </c>
      <c r="L286" s="2684" t="s">
        <v>6233</v>
      </c>
      <c r="M286" s="2689" t="s">
        <v>6234</v>
      </c>
      <c r="N286" s="2690" t="s">
        <v>6235</v>
      </c>
      <c r="O286" s="2691"/>
      <c r="P286" s="2688">
        <v>1243</v>
      </c>
      <c r="Q286" s="2684" t="s">
        <v>6236</v>
      </c>
      <c r="R286" s="2689" t="s">
        <v>6237</v>
      </c>
      <c r="S286" s="2690" t="s">
        <v>6238</v>
      </c>
      <c r="T286" s="1702"/>
      <c r="U286" s="1702"/>
      <c r="V286" s="1702"/>
      <c r="W286" s="1702"/>
      <c r="X286" s="1702"/>
      <c r="Y286" s="1702"/>
      <c r="Z286" s="1702"/>
      <c r="AA286" s="1702"/>
      <c r="AB286" s="1702"/>
      <c r="AC286" s="1702"/>
      <c r="AD286" s="1702"/>
    </row>
    <row r="287" spans="1:30">
      <c r="A287" s="2688">
        <v>272</v>
      </c>
      <c r="B287" s="2684" t="s">
        <v>6239</v>
      </c>
      <c r="C287" s="2689" t="s">
        <v>6240</v>
      </c>
      <c r="D287" s="2690" t="s">
        <v>6241</v>
      </c>
      <c r="E287" s="2691"/>
      <c r="F287" s="2688">
        <v>596</v>
      </c>
      <c r="G287" s="2684" t="s">
        <v>6242</v>
      </c>
      <c r="H287" s="2689" t="s">
        <v>6243</v>
      </c>
      <c r="I287" s="2690" t="s">
        <v>6244</v>
      </c>
      <c r="J287" s="2691"/>
      <c r="K287" s="2688">
        <v>920</v>
      </c>
      <c r="L287" s="2684" t="s">
        <v>6245</v>
      </c>
      <c r="M287" s="2689" t="s">
        <v>6246</v>
      </c>
      <c r="N287" s="2690" t="s">
        <v>6247</v>
      </c>
      <c r="O287" s="2691"/>
      <c r="P287" s="2688">
        <v>1244</v>
      </c>
      <c r="Q287" s="2684" t="s">
        <v>6248</v>
      </c>
      <c r="R287" s="2689" t="s">
        <v>6249</v>
      </c>
      <c r="S287" s="2690" t="s">
        <v>6250</v>
      </c>
      <c r="T287" s="1702"/>
      <c r="U287" s="1702"/>
      <c r="V287" s="1702"/>
      <c r="W287" s="1702"/>
      <c r="X287" s="1702"/>
      <c r="Y287" s="1702"/>
      <c r="Z287" s="1702"/>
      <c r="AA287" s="1702"/>
      <c r="AB287" s="1702"/>
      <c r="AC287" s="1702"/>
      <c r="AD287" s="1702"/>
    </row>
    <row r="288" spans="1:30">
      <c r="A288" s="2688">
        <v>273</v>
      </c>
      <c r="B288" s="2684" t="s">
        <v>6251</v>
      </c>
      <c r="C288" s="2689" t="s">
        <v>6252</v>
      </c>
      <c r="D288" s="2690" t="s">
        <v>6253</v>
      </c>
      <c r="E288" s="2691"/>
      <c r="F288" s="2688">
        <v>597</v>
      </c>
      <c r="G288" s="2684" t="s">
        <v>6254</v>
      </c>
      <c r="H288" s="2689" t="s">
        <v>6255</v>
      </c>
      <c r="I288" s="2690" t="s">
        <v>6256</v>
      </c>
      <c r="J288" s="2691"/>
      <c r="K288" s="2688">
        <v>921</v>
      </c>
      <c r="L288" s="2684" t="s">
        <v>6257</v>
      </c>
      <c r="M288" s="2689" t="s">
        <v>6258</v>
      </c>
      <c r="N288" s="2690" t="s">
        <v>6259</v>
      </c>
      <c r="O288" s="2691"/>
      <c r="P288" s="2688">
        <v>1245</v>
      </c>
      <c r="Q288" s="2684" t="s">
        <v>6260</v>
      </c>
      <c r="R288" s="2689" t="s">
        <v>6261</v>
      </c>
      <c r="S288" s="2690" t="s">
        <v>6262</v>
      </c>
      <c r="T288" s="1702"/>
      <c r="U288" s="1702"/>
      <c r="V288" s="1702"/>
      <c r="W288" s="1702"/>
      <c r="X288" s="1702"/>
      <c r="Y288" s="1702"/>
      <c r="Z288" s="1702"/>
      <c r="AA288" s="1702"/>
      <c r="AB288" s="1702"/>
      <c r="AC288" s="1702"/>
      <c r="AD288" s="1702"/>
    </row>
    <row r="289" spans="1:30">
      <c r="A289" s="2688">
        <v>274</v>
      </c>
      <c r="B289" s="2684" t="s">
        <v>6263</v>
      </c>
      <c r="C289" s="2689" t="s">
        <v>6264</v>
      </c>
      <c r="D289" s="2690" t="s">
        <v>6265</v>
      </c>
      <c r="E289" s="2691"/>
      <c r="F289" s="2688">
        <v>598</v>
      </c>
      <c r="G289" s="2684" t="s">
        <v>6266</v>
      </c>
      <c r="H289" s="2689" t="s">
        <v>6267</v>
      </c>
      <c r="I289" s="2690" t="s">
        <v>6268</v>
      </c>
      <c r="J289" s="2691"/>
      <c r="K289" s="2688">
        <v>922</v>
      </c>
      <c r="L289" s="2684" t="s">
        <v>6269</v>
      </c>
      <c r="M289" s="2689" t="s">
        <v>6270</v>
      </c>
      <c r="N289" s="2690" t="s">
        <v>6271</v>
      </c>
      <c r="O289" s="2691"/>
      <c r="P289" s="2688">
        <v>1246</v>
      </c>
      <c r="Q289" s="2684" t="s">
        <v>6272</v>
      </c>
      <c r="R289" s="2689" t="s">
        <v>6273</v>
      </c>
      <c r="S289" s="2690" t="s">
        <v>6274</v>
      </c>
      <c r="T289" s="1702"/>
      <c r="U289" s="1702"/>
      <c r="V289" s="1702"/>
      <c r="W289" s="1702"/>
      <c r="X289" s="1702"/>
      <c r="Y289" s="1702"/>
      <c r="Z289" s="1702"/>
      <c r="AA289" s="1702"/>
      <c r="AB289" s="1702"/>
      <c r="AC289" s="1702"/>
      <c r="AD289" s="1702"/>
    </row>
    <row r="290" spans="1:30">
      <c r="A290" s="2688">
        <v>275</v>
      </c>
      <c r="B290" s="2684" t="s">
        <v>6275</v>
      </c>
      <c r="C290" s="2689" t="s">
        <v>6276</v>
      </c>
      <c r="D290" s="2690" t="s">
        <v>6277</v>
      </c>
      <c r="E290" s="2691"/>
      <c r="F290" s="2688">
        <v>599</v>
      </c>
      <c r="G290" s="2684" t="s">
        <v>6278</v>
      </c>
      <c r="H290" s="2689" t="s">
        <v>6279</v>
      </c>
      <c r="I290" s="2690" t="s">
        <v>6280</v>
      </c>
      <c r="J290" s="2691"/>
      <c r="K290" s="2688">
        <v>923</v>
      </c>
      <c r="L290" s="2684" t="s">
        <v>6281</v>
      </c>
      <c r="M290" s="2689" t="s">
        <v>6282</v>
      </c>
      <c r="N290" s="2690" t="s">
        <v>6283</v>
      </c>
      <c r="O290" s="2691"/>
      <c r="P290" s="2688">
        <v>1247</v>
      </c>
      <c r="Q290" s="2684" t="s">
        <v>6284</v>
      </c>
      <c r="R290" s="2689" t="s">
        <v>6285</v>
      </c>
      <c r="S290" s="2690" t="s">
        <v>6286</v>
      </c>
      <c r="T290" s="1702"/>
      <c r="U290" s="1702"/>
      <c r="V290" s="1702"/>
      <c r="W290" s="1702"/>
      <c r="X290" s="1702"/>
      <c r="Y290" s="1702"/>
      <c r="Z290" s="1702"/>
      <c r="AA290" s="1702"/>
      <c r="AB290" s="1702"/>
      <c r="AC290" s="1702"/>
      <c r="AD290" s="1702"/>
    </row>
    <row r="291" spans="1:30">
      <c r="A291" s="2688">
        <v>276</v>
      </c>
      <c r="B291" s="2684" t="s">
        <v>6287</v>
      </c>
      <c r="C291" s="2689" t="s">
        <v>6288</v>
      </c>
      <c r="D291" s="2690" t="s">
        <v>6289</v>
      </c>
      <c r="E291" s="2691"/>
      <c r="F291" s="2688">
        <v>600</v>
      </c>
      <c r="G291" s="2684" t="s">
        <v>6290</v>
      </c>
      <c r="H291" s="2689" t="s">
        <v>6291</v>
      </c>
      <c r="I291" s="2690" t="s">
        <v>6292</v>
      </c>
      <c r="J291" s="2691"/>
      <c r="K291" s="2688">
        <v>924</v>
      </c>
      <c r="L291" s="2684" t="s">
        <v>6293</v>
      </c>
      <c r="M291" s="2689" t="s">
        <v>6294</v>
      </c>
      <c r="N291" s="2690" t="s">
        <v>6295</v>
      </c>
      <c r="O291" s="2691"/>
      <c r="P291" s="2688">
        <v>1248</v>
      </c>
      <c r="Q291" s="2684" t="s">
        <v>6296</v>
      </c>
      <c r="R291" s="2689" t="s">
        <v>6297</v>
      </c>
      <c r="S291" s="2690" t="s">
        <v>6298</v>
      </c>
      <c r="T291" s="1702"/>
      <c r="U291" s="1702"/>
      <c r="V291" s="1702"/>
      <c r="W291" s="1702"/>
      <c r="X291" s="1702"/>
      <c r="Y291" s="1702"/>
      <c r="Z291" s="1702"/>
      <c r="AA291" s="1702"/>
      <c r="AB291" s="1702"/>
      <c r="AC291" s="1702"/>
      <c r="AD291" s="1702"/>
    </row>
    <row r="292" spans="1:30">
      <c r="A292" s="2688">
        <v>277</v>
      </c>
      <c r="B292" s="2684" t="s">
        <v>6299</v>
      </c>
      <c r="C292" s="2689" t="s">
        <v>6300</v>
      </c>
      <c r="D292" s="2690" t="s">
        <v>6301</v>
      </c>
      <c r="E292" s="2691"/>
      <c r="F292" s="2688">
        <v>601</v>
      </c>
      <c r="G292" s="2684" t="s">
        <v>6302</v>
      </c>
      <c r="H292" s="2689" t="s">
        <v>6303</v>
      </c>
      <c r="I292" s="2690" t="s">
        <v>6304</v>
      </c>
      <c r="J292" s="2691"/>
      <c r="K292" s="2688">
        <v>925</v>
      </c>
      <c r="L292" s="2684" t="s">
        <v>6305</v>
      </c>
      <c r="M292" s="2689" t="s">
        <v>6306</v>
      </c>
      <c r="N292" s="2690" t="s">
        <v>6307</v>
      </c>
      <c r="O292" s="2691"/>
      <c r="P292" s="2688">
        <v>1249</v>
      </c>
      <c r="Q292" s="2684" t="s">
        <v>6308</v>
      </c>
      <c r="R292" s="2689" t="s">
        <v>6309</v>
      </c>
      <c r="S292" s="2690" t="s">
        <v>6310</v>
      </c>
      <c r="T292" s="1702"/>
      <c r="U292" s="1702"/>
      <c r="V292" s="1702"/>
      <c r="W292" s="1702"/>
      <c r="X292" s="1702"/>
      <c r="Y292" s="1702"/>
      <c r="Z292" s="1702"/>
      <c r="AA292" s="1702"/>
      <c r="AB292" s="1702"/>
      <c r="AC292" s="1702"/>
      <c r="AD292" s="1702"/>
    </row>
    <row r="293" spans="1:30" ht="25.5">
      <c r="A293" s="2688">
        <v>278</v>
      </c>
      <c r="B293" s="2684" t="s">
        <v>6311</v>
      </c>
      <c r="C293" s="2689" t="s">
        <v>6312</v>
      </c>
      <c r="D293" s="2690" t="s">
        <v>6313</v>
      </c>
      <c r="E293" s="2691"/>
      <c r="F293" s="2688">
        <v>602</v>
      </c>
      <c r="G293" s="2684" t="s">
        <v>6314</v>
      </c>
      <c r="H293" s="2689" t="s">
        <v>6315</v>
      </c>
      <c r="I293" s="2690" t="s">
        <v>6316</v>
      </c>
      <c r="J293" s="2691"/>
      <c r="K293" s="2688">
        <v>926</v>
      </c>
      <c r="L293" s="2684" t="s">
        <v>6317</v>
      </c>
      <c r="M293" s="2689" t="s">
        <v>6318</v>
      </c>
      <c r="N293" s="2690" t="s">
        <v>6319</v>
      </c>
      <c r="O293" s="2691"/>
      <c r="P293" s="2688">
        <v>1250</v>
      </c>
      <c r="Q293" s="2684" t="s">
        <v>6320</v>
      </c>
      <c r="R293" s="2689" t="s">
        <v>6321</v>
      </c>
      <c r="S293" s="2690" t="s">
        <v>6322</v>
      </c>
      <c r="T293" s="1702"/>
      <c r="U293" s="1702"/>
      <c r="V293" s="1702"/>
      <c r="W293" s="1702"/>
      <c r="X293" s="1702"/>
      <c r="Y293" s="1702"/>
      <c r="Z293" s="1702"/>
      <c r="AA293" s="1702"/>
      <c r="AB293" s="1702"/>
      <c r="AC293" s="1702"/>
      <c r="AD293" s="1702"/>
    </row>
    <row r="294" spans="1:30">
      <c r="A294" s="2688">
        <v>279</v>
      </c>
      <c r="B294" s="2684" t="s">
        <v>6323</v>
      </c>
      <c r="C294" s="2689" t="s">
        <v>6324</v>
      </c>
      <c r="D294" s="2690" t="s">
        <v>6325</v>
      </c>
      <c r="E294" s="2691"/>
      <c r="F294" s="2688">
        <v>603</v>
      </c>
      <c r="G294" s="2684" t="s">
        <v>6326</v>
      </c>
      <c r="H294" s="2689" t="s">
        <v>6327</v>
      </c>
      <c r="I294" s="2690" t="s">
        <v>6328</v>
      </c>
      <c r="J294" s="2691"/>
      <c r="K294" s="2688">
        <v>927</v>
      </c>
      <c r="L294" s="2684" t="s">
        <v>6329</v>
      </c>
      <c r="M294" s="2689" t="s">
        <v>6330</v>
      </c>
      <c r="N294" s="2690" t="s">
        <v>6331</v>
      </c>
      <c r="O294" s="2691"/>
      <c r="P294" s="2688">
        <v>1251</v>
      </c>
      <c r="Q294" s="2684" t="s">
        <v>6332</v>
      </c>
      <c r="R294" s="2689" t="s">
        <v>6333</v>
      </c>
      <c r="S294" s="2690" t="s">
        <v>6334</v>
      </c>
      <c r="T294" s="1702"/>
      <c r="U294" s="1702"/>
      <c r="V294" s="1702"/>
      <c r="W294" s="1702"/>
      <c r="X294" s="1702"/>
      <c r="Y294" s="1702"/>
      <c r="Z294" s="1702"/>
      <c r="AA294" s="1702"/>
      <c r="AB294" s="1702"/>
      <c r="AC294" s="1702"/>
      <c r="AD294" s="1702"/>
    </row>
    <row r="295" spans="1:30" ht="25.5">
      <c r="A295" s="2688">
        <v>280</v>
      </c>
      <c r="B295" s="2684" t="s">
        <v>6335</v>
      </c>
      <c r="C295" s="2689" t="s">
        <v>6336</v>
      </c>
      <c r="D295" s="2690" t="s">
        <v>6337</v>
      </c>
      <c r="E295" s="2691"/>
      <c r="F295" s="2688">
        <v>604</v>
      </c>
      <c r="G295" s="2684" t="s">
        <v>6338</v>
      </c>
      <c r="H295" s="2689" t="s">
        <v>6339</v>
      </c>
      <c r="I295" s="2690" t="s">
        <v>6340</v>
      </c>
      <c r="J295" s="2691"/>
      <c r="K295" s="2688">
        <v>928</v>
      </c>
      <c r="L295" s="2684" t="s">
        <v>6341</v>
      </c>
      <c r="M295" s="2689" t="s">
        <v>6342</v>
      </c>
      <c r="N295" s="2690" t="s">
        <v>6343</v>
      </c>
      <c r="O295" s="2691"/>
      <c r="P295" s="2688">
        <v>1252</v>
      </c>
      <c r="Q295" s="2684" t="s">
        <v>6344</v>
      </c>
      <c r="R295" s="2689" t="s">
        <v>6345</v>
      </c>
      <c r="S295" s="2690" t="s">
        <v>6346</v>
      </c>
      <c r="T295" s="1702"/>
      <c r="U295" s="1702"/>
      <c r="V295" s="1702"/>
      <c r="W295" s="1702"/>
      <c r="X295" s="1702"/>
      <c r="Y295" s="1702"/>
      <c r="Z295" s="1702"/>
      <c r="AA295" s="1702"/>
      <c r="AB295" s="1702"/>
      <c r="AC295" s="1702"/>
      <c r="AD295" s="1702"/>
    </row>
    <row r="296" spans="1:30">
      <c r="A296" s="2688">
        <v>281</v>
      </c>
      <c r="B296" s="2684" t="s">
        <v>6347</v>
      </c>
      <c r="C296" s="2689" t="s">
        <v>6348</v>
      </c>
      <c r="D296" s="2690" t="s">
        <v>610</v>
      </c>
      <c r="E296" s="2691"/>
      <c r="F296" s="2688">
        <v>605</v>
      </c>
      <c r="G296" s="2684" t="s">
        <v>6349</v>
      </c>
      <c r="H296" s="2689" t="s">
        <v>6350</v>
      </c>
      <c r="I296" s="2690" t="s">
        <v>6351</v>
      </c>
      <c r="J296" s="2691"/>
      <c r="K296" s="2688">
        <v>929</v>
      </c>
      <c r="L296" s="2684" t="s">
        <v>6352</v>
      </c>
      <c r="M296" s="2689" t="s">
        <v>6353</v>
      </c>
      <c r="N296" s="2690" t="s">
        <v>6354</v>
      </c>
      <c r="O296" s="2691"/>
      <c r="P296" s="2688">
        <v>1253</v>
      </c>
      <c r="Q296" s="2684" t="s">
        <v>6355</v>
      </c>
      <c r="R296" s="2689" t="s">
        <v>6356</v>
      </c>
      <c r="S296" s="2690" t="s">
        <v>6357</v>
      </c>
      <c r="T296" s="1702"/>
      <c r="U296" s="1702"/>
      <c r="V296" s="1702"/>
      <c r="W296" s="1702"/>
      <c r="X296" s="1702"/>
      <c r="Y296" s="1702"/>
      <c r="Z296" s="1702"/>
      <c r="AA296" s="1702"/>
      <c r="AB296" s="1702"/>
      <c r="AC296" s="1702"/>
      <c r="AD296" s="1702"/>
    </row>
    <row r="297" spans="1:30">
      <c r="A297" s="2688">
        <v>282</v>
      </c>
      <c r="B297" s="2684" t="s">
        <v>6358</v>
      </c>
      <c r="C297" s="2689" t="s">
        <v>6359</v>
      </c>
      <c r="D297" s="2690" t="s">
        <v>6360</v>
      </c>
      <c r="E297" s="2691"/>
      <c r="F297" s="2688">
        <v>606</v>
      </c>
      <c r="G297" s="2684" t="s">
        <v>6361</v>
      </c>
      <c r="H297" s="2689" t="s">
        <v>6362</v>
      </c>
      <c r="I297" s="2690" t="s">
        <v>6363</v>
      </c>
      <c r="J297" s="2691"/>
      <c r="K297" s="2688">
        <v>930</v>
      </c>
      <c r="L297" s="2684" t="s">
        <v>6364</v>
      </c>
      <c r="M297" s="2689" t="s">
        <v>6365</v>
      </c>
      <c r="N297" s="2690" t="s">
        <v>6366</v>
      </c>
      <c r="O297" s="2691"/>
      <c r="P297" s="2688">
        <v>1254</v>
      </c>
      <c r="Q297" s="2684" t="s">
        <v>6367</v>
      </c>
      <c r="R297" s="2689" t="s">
        <v>6368</v>
      </c>
      <c r="S297" s="2690" t="s">
        <v>6369</v>
      </c>
      <c r="T297" s="1702"/>
      <c r="U297" s="1702"/>
      <c r="V297" s="1702"/>
      <c r="W297" s="1702"/>
      <c r="X297" s="1702"/>
      <c r="Y297" s="1702"/>
      <c r="Z297" s="1702"/>
      <c r="AA297" s="1702"/>
      <c r="AB297" s="1702"/>
      <c r="AC297" s="1702"/>
      <c r="AD297" s="1702"/>
    </row>
    <row r="298" spans="1:30">
      <c r="A298" s="2688">
        <v>283</v>
      </c>
      <c r="B298" s="2684" t="s">
        <v>6370</v>
      </c>
      <c r="C298" s="2689" t="s">
        <v>6371</v>
      </c>
      <c r="D298" s="2690" t="s">
        <v>6372</v>
      </c>
      <c r="E298" s="2691"/>
      <c r="F298" s="2688">
        <v>607</v>
      </c>
      <c r="G298" s="2684" t="s">
        <v>6373</v>
      </c>
      <c r="H298" s="2689" t="s">
        <v>6374</v>
      </c>
      <c r="I298" s="2690" t="s">
        <v>6375</v>
      </c>
      <c r="J298" s="2691"/>
      <c r="K298" s="2688">
        <v>931</v>
      </c>
      <c r="L298" s="2684" t="s">
        <v>6376</v>
      </c>
      <c r="M298" s="2689" t="s">
        <v>6377</v>
      </c>
      <c r="N298" s="2690" t="s">
        <v>6378</v>
      </c>
      <c r="O298" s="2691"/>
      <c r="P298" s="2688">
        <v>1255</v>
      </c>
      <c r="Q298" s="2684" t="s">
        <v>6379</v>
      </c>
      <c r="R298" s="2689" t="s">
        <v>6380</v>
      </c>
      <c r="S298" s="2690" t="s">
        <v>6381</v>
      </c>
      <c r="T298" s="1702"/>
      <c r="U298" s="1702"/>
      <c r="V298" s="1702"/>
      <c r="W298" s="1702"/>
      <c r="X298" s="1702"/>
      <c r="Y298" s="1702"/>
      <c r="Z298" s="1702"/>
      <c r="AA298" s="1702"/>
      <c r="AB298" s="1702"/>
      <c r="AC298" s="1702"/>
      <c r="AD298" s="1702"/>
    </row>
    <row r="299" spans="1:30">
      <c r="A299" s="2688">
        <v>284</v>
      </c>
      <c r="B299" s="2684" t="s">
        <v>6382</v>
      </c>
      <c r="C299" s="2689" t="s">
        <v>6383</v>
      </c>
      <c r="D299" s="2690" t="s">
        <v>6384</v>
      </c>
      <c r="E299" s="2691"/>
      <c r="F299" s="2688">
        <v>608</v>
      </c>
      <c r="G299" s="2684" t="s">
        <v>6385</v>
      </c>
      <c r="H299" s="2689" t="s">
        <v>6386</v>
      </c>
      <c r="I299" s="2690" t="s">
        <v>6387</v>
      </c>
      <c r="J299" s="2691"/>
      <c r="K299" s="2688">
        <v>932</v>
      </c>
      <c r="L299" s="2684" t="s">
        <v>6388</v>
      </c>
      <c r="M299" s="2689" t="s">
        <v>6389</v>
      </c>
      <c r="N299" s="2690" t="s">
        <v>6390</v>
      </c>
      <c r="O299" s="2691"/>
      <c r="P299" s="2688">
        <v>1256</v>
      </c>
      <c r="Q299" s="2684" t="s">
        <v>6391</v>
      </c>
      <c r="R299" s="2689" t="s">
        <v>6392</v>
      </c>
      <c r="S299" s="2690" t="s">
        <v>6393</v>
      </c>
      <c r="T299" s="1702"/>
      <c r="U299" s="1702"/>
      <c r="V299" s="1702"/>
      <c r="W299" s="1702"/>
      <c r="X299" s="1702"/>
      <c r="Y299" s="1702"/>
      <c r="Z299" s="1702"/>
      <c r="AA299" s="1702"/>
      <c r="AB299" s="1702"/>
      <c r="AC299" s="1702"/>
      <c r="AD299" s="1702"/>
    </row>
    <row r="300" spans="1:30">
      <c r="A300" s="2688">
        <v>285</v>
      </c>
      <c r="B300" s="2684" t="s">
        <v>6394</v>
      </c>
      <c r="C300" s="2689" t="s">
        <v>6395</v>
      </c>
      <c r="D300" s="2690" t="s">
        <v>6396</v>
      </c>
      <c r="E300" s="2691"/>
      <c r="F300" s="2688">
        <v>609</v>
      </c>
      <c r="G300" s="2684" t="s">
        <v>6397</v>
      </c>
      <c r="H300" s="2689" t="s">
        <v>6398</v>
      </c>
      <c r="I300" s="2690" t="s">
        <v>6399</v>
      </c>
      <c r="J300" s="2691"/>
      <c r="K300" s="2688">
        <v>933</v>
      </c>
      <c r="L300" s="2684" t="s">
        <v>6400</v>
      </c>
      <c r="M300" s="2689" t="s">
        <v>6401</v>
      </c>
      <c r="N300" s="2690" t="s">
        <v>6402</v>
      </c>
      <c r="O300" s="2691"/>
      <c r="P300" s="2688">
        <v>1257</v>
      </c>
      <c r="Q300" s="2684" t="s">
        <v>6403</v>
      </c>
      <c r="R300" s="2689" t="s">
        <v>6404</v>
      </c>
      <c r="S300" s="2690" t="s">
        <v>6405</v>
      </c>
      <c r="T300" s="1702"/>
      <c r="U300" s="1702"/>
      <c r="V300" s="1702"/>
      <c r="W300" s="1702"/>
      <c r="X300" s="1702"/>
      <c r="Y300" s="1702"/>
      <c r="Z300" s="1702"/>
      <c r="AA300" s="1702"/>
      <c r="AB300" s="1702"/>
      <c r="AC300" s="1702"/>
      <c r="AD300" s="1702"/>
    </row>
    <row r="301" spans="1:30">
      <c r="A301" s="2688">
        <v>286</v>
      </c>
      <c r="B301" s="2684" t="s">
        <v>6406</v>
      </c>
      <c r="C301" s="2689" t="s">
        <v>6407</v>
      </c>
      <c r="D301" s="2690" t="s">
        <v>6408</v>
      </c>
      <c r="E301" s="2691"/>
      <c r="F301" s="2688">
        <v>610</v>
      </c>
      <c r="G301" s="2684" t="s">
        <v>6409</v>
      </c>
      <c r="H301" s="2689" t="s">
        <v>6410</v>
      </c>
      <c r="I301" s="2690" t="s">
        <v>6411</v>
      </c>
      <c r="J301" s="2691"/>
      <c r="K301" s="2688">
        <v>934</v>
      </c>
      <c r="L301" s="2684" t="s">
        <v>6412</v>
      </c>
      <c r="M301" s="2689" t="s">
        <v>6413</v>
      </c>
      <c r="N301" s="2690" t="s">
        <v>6414</v>
      </c>
      <c r="O301" s="2691"/>
      <c r="P301" s="2688">
        <v>1258</v>
      </c>
      <c r="Q301" s="2684" t="s">
        <v>6415</v>
      </c>
      <c r="R301" s="2689" t="s">
        <v>6416</v>
      </c>
      <c r="S301" s="2690" t="s">
        <v>6417</v>
      </c>
      <c r="T301" s="1702"/>
      <c r="U301" s="1702"/>
      <c r="V301" s="1702"/>
      <c r="W301" s="1702"/>
      <c r="X301" s="1702"/>
      <c r="Y301" s="1702"/>
      <c r="Z301" s="1702"/>
      <c r="AA301" s="1702"/>
      <c r="AB301" s="1702"/>
      <c r="AC301" s="1702"/>
      <c r="AD301" s="1702"/>
    </row>
    <row r="302" spans="1:30" ht="38.25">
      <c r="A302" s="2688">
        <v>287</v>
      </c>
      <c r="B302" s="2684" t="s">
        <v>6418</v>
      </c>
      <c r="C302" s="2689" t="s">
        <v>6419</v>
      </c>
      <c r="D302" s="2690" t="s">
        <v>6420</v>
      </c>
      <c r="E302" s="2691"/>
      <c r="F302" s="2688">
        <v>611</v>
      </c>
      <c r="G302" s="2684" t="s">
        <v>6421</v>
      </c>
      <c r="H302" s="2689" t="s">
        <v>6422</v>
      </c>
      <c r="I302" s="2690" t="s">
        <v>6423</v>
      </c>
      <c r="J302" s="2691"/>
      <c r="K302" s="2688">
        <v>935</v>
      </c>
      <c r="L302" s="2684" t="s">
        <v>6424</v>
      </c>
      <c r="M302" s="2689" t="s">
        <v>6425</v>
      </c>
      <c r="N302" s="2690" t="s">
        <v>6426</v>
      </c>
      <c r="O302" s="2691"/>
      <c r="P302" s="2688">
        <v>1259</v>
      </c>
      <c r="Q302" s="2684" t="s">
        <v>6427</v>
      </c>
      <c r="R302" s="2689" t="s">
        <v>6428</v>
      </c>
      <c r="S302" s="2690" t="s">
        <v>6429</v>
      </c>
      <c r="T302" s="1702"/>
      <c r="U302" s="1702"/>
      <c r="V302" s="1702"/>
      <c r="W302" s="1702"/>
      <c r="X302" s="1702"/>
      <c r="Y302" s="1702"/>
      <c r="Z302" s="1702"/>
      <c r="AA302" s="1702"/>
      <c r="AB302" s="1702"/>
      <c r="AC302" s="1702"/>
      <c r="AD302" s="1702"/>
    </row>
    <row r="303" spans="1:30">
      <c r="A303" s="2688">
        <v>288</v>
      </c>
      <c r="B303" s="2684" t="s">
        <v>6430</v>
      </c>
      <c r="C303" s="2689" t="s">
        <v>6431</v>
      </c>
      <c r="D303" s="2690" t="s">
        <v>6432</v>
      </c>
      <c r="E303" s="2691"/>
      <c r="F303" s="2688">
        <v>612</v>
      </c>
      <c r="G303" s="2684" t="s">
        <v>6433</v>
      </c>
      <c r="H303" s="2689" t="s">
        <v>6434</v>
      </c>
      <c r="I303" s="2690" t="s">
        <v>6435</v>
      </c>
      <c r="J303" s="2691"/>
      <c r="K303" s="2688">
        <v>936</v>
      </c>
      <c r="L303" s="2684" t="s">
        <v>6436</v>
      </c>
      <c r="M303" s="2689" t="s">
        <v>6437</v>
      </c>
      <c r="N303" s="2690" t="s">
        <v>6438</v>
      </c>
      <c r="O303" s="2691"/>
      <c r="P303" s="2688">
        <v>1260</v>
      </c>
      <c r="Q303" s="2684" t="s">
        <v>6439</v>
      </c>
      <c r="R303" s="2689" t="s">
        <v>6440</v>
      </c>
      <c r="S303" s="2690" t="s">
        <v>6441</v>
      </c>
      <c r="T303" s="1702"/>
      <c r="U303" s="1702"/>
      <c r="V303" s="1702"/>
      <c r="W303" s="1702"/>
      <c r="X303" s="1702"/>
      <c r="Y303" s="1702"/>
      <c r="Z303" s="1702"/>
      <c r="AA303" s="1702"/>
      <c r="AB303" s="1702"/>
      <c r="AC303" s="1702"/>
      <c r="AD303" s="1702"/>
    </row>
    <row r="304" spans="1:30" ht="25.5">
      <c r="A304" s="2688">
        <v>289</v>
      </c>
      <c r="B304" s="2684" t="s">
        <v>6442</v>
      </c>
      <c r="C304" s="2689" t="s">
        <v>6443</v>
      </c>
      <c r="D304" s="2690" t="s">
        <v>6444</v>
      </c>
      <c r="E304" s="2691"/>
      <c r="F304" s="2688">
        <v>613</v>
      </c>
      <c r="G304" s="2684" t="s">
        <v>6445</v>
      </c>
      <c r="H304" s="2689" t="s">
        <v>6446</v>
      </c>
      <c r="I304" s="2690" t="s">
        <v>6447</v>
      </c>
      <c r="J304" s="2691"/>
      <c r="K304" s="2688">
        <v>937</v>
      </c>
      <c r="L304" s="2684" t="s">
        <v>6448</v>
      </c>
      <c r="M304" s="2689" t="s">
        <v>6449</v>
      </c>
      <c r="N304" s="2690" t="s">
        <v>6450</v>
      </c>
      <c r="O304" s="2691"/>
      <c r="P304" s="2688">
        <v>1261</v>
      </c>
      <c r="Q304" s="2684" t="s">
        <v>6451</v>
      </c>
      <c r="R304" s="2689" t="s">
        <v>6452</v>
      </c>
      <c r="S304" s="2690" t="s">
        <v>6453</v>
      </c>
      <c r="T304" s="1702"/>
      <c r="U304" s="1702"/>
      <c r="V304" s="1702"/>
      <c r="W304" s="1702"/>
      <c r="X304" s="1702"/>
      <c r="Y304" s="1702"/>
      <c r="Z304" s="1702"/>
      <c r="AA304" s="1702"/>
      <c r="AB304" s="1702"/>
      <c r="AC304" s="1702"/>
      <c r="AD304" s="1702"/>
    </row>
    <row r="305" spans="1:30">
      <c r="A305" s="2688">
        <v>290</v>
      </c>
      <c r="B305" s="2684" t="s">
        <v>6454</v>
      </c>
      <c r="C305" s="2689" t="s">
        <v>6455</v>
      </c>
      <c r="D305" s="2690" t="s">
        <v>6456</v>
      </c>
      <c r="E305" s="2691"/>
      <c r="F305" s="2688">
        <v>614</v>
      </c>
      <c r="G305" s="2684" t="s">
        <v>6457</v>
      </c>
      <c r="H305" s="2689" t="s">
        <v>6458</v>
      </c>
      <c r="I305" s="2690" t="s">
        <v>6459</v>
      </c>
      <c r="J305" s="2691"/>
      <c r="K305" s="2688">
        <v>938</v>
      </c>
      <c r="L305" s="2684" t="s">
        <v>6460</v>
      </c>
      <c r="M305" s="2689" t="s">
        <v>6461</v>
      </c>
      <c r="N305" s="2690" t="s">
        <v>6462</v>
      </c>
      <c r="O305" s="2691"/>
      <c r="P305" s="2688">
        <v>1262</v>
      </c>
      <c r="Q305" s="2684" t="s">
        <v>6463</v>
      </c>
      <c r="R305" s="2689" t="s">
        <v>6464</v>
      </c>
      <c r="S305" s="2690" t="s">
        <v>6465</v>
      </c>
      <c r="T305" s="1702"/>
      <c r="U305" s="1702"/>
      <c r="V305" s="1702"/>
      <c r="W305" s="1702"/>
      <c r="X305" s="1702"/>
      <c r="Y305" s="1702"/>
      <c r="Z305" s="1702"/>
      <c r="AA305" s="1702"/>
      <c r="AB305" s="1702"/>
      <c r="AC305" s="1702"/>
      <c r="AD305" s="1702"/>
    </row>
    <row r="306" spans="1:30" ht="25.5">
      <c r="A306" s="2688">
        <v>291</v>
      </c>
      <c r="B306" s="2684" t="s">
        <v>6466</v>
      </c>
      <c r="C306" s="2689" t="s">
        <v>6467</v>
      </c>
      <c r="D306" s="2690" t="s">
        <v>6468</v>
      </c>
      <c r="E306" s="2691"/>
      <c r="F306" s="2688">
        <v>615</v>
      </c>
      <c r="G306" s="2684" t="s">
        <v>6469</v>
      </c>
      <c r="H306" s="2689" t="s">
        <v>6470</v>
      </c>
      <c r="I306" s="2690" t="s">
        <v>6471</v>
      </c>
      <c r="J306" s="2691"/>
      <c r="K306" s="2688">
        <v>939</v>
      </c>
      <c r="L306" s="2684" t="s">
        <v>6472</v>
      </c>
      <c r="M306" s="2689" t="s">
        <v>6473</v>
      </c>
      <c r="N306" s="2690" t="s">
        <v>6474</v>
      </c>
      <c r="O306" s="2691"/>
      <c r="P306" s="2688">
        <v>1263</v>
      </c>
      <c r="Q306" s="2684" t="s">
        <v>6475</v>
      </c>
      <c r="R306" s="2689" t="s">
        <v>6476</v>
      </c>
      <c r="S306" s="2690" t="s">
        <v>6477</v>
      </c>
      <c r="T306" s="1702"/>
      <c r="U306" s="1702"/>
      <c r="V306" s="1702"/>
      <c r="W306" s="1702"/>
      <c r="X306" s="1702"/>
      <c r="Y306" s="1702"/>
      <c r="Z306" s="1702"/>
      <c r="AA306" s="1702"/>
      <c r="AB306" s="1702"/>
      <c r="AC306" s="1702"/>
      <c r="AD306" s="1702"/>
    </row>
    <row r="307" spans="1:30" ht="25.5">
      <c r="A307" s="2688">
        <v>292</v>
      </c>
      <c r="B307" s="2684" t="s">
        <v>6478</v>
      </c>
      <c r="C307" s="2689" t="s">
        <v>6479</v>
      </c>
      <c r="D307" s="2690" t="s">
        <v>6480</v>
      </c>
      <c r="E307" s="2691"/>
      <c r="F307" s="2688">
        <v>616</v>
      </c>
      <c r="G307" s="2684" t="s">
        <v>6481</v>
      </c>
      <c r="H307" s="2689" t="s">
        <v>6482</v>
      </c>
      <c r="I307" s="2690" t="s">
        <v>6483</v>
      </c>
      <c r="J307" s="2691"/>
      <c r="K307" s="2688">
        <v>940</v>
      </c>
      <c r="L307" s="2684" t="s">
        <v>6484</v>
      </c>
      <c r="M307" s="2689" t="s">
        <v>6485</v>
      </c>
      <c r="N307" s="2690" t="s">
        <v>6486</v>
      </c>
      <c r="O307" s="2691"/>
      <c r="P307" s="2688">
        <v>1264</v>
      </c>
      <c r="Q307" s="2684" t="s">
        <v>6487</v>
      </c>
      <c r="R307" s="2689" t="s">
        <v>6488</v>
      </c>
      <c r="S307" s="2690" t="s">
        <v>6477</v>
      </c>
      <c r="T307" s="1702"/>
      <c r="U307" s="1702"/>
      <c r="V307" s="1702"/>
      <c r="W307" s="1702"/>
      <c r="X307" s="1702"/>
      <c r="Y307" s="1702"/>
      <c r="Z307" s="1702"/>
      <c r="AA307" s="1702"/>
      <c r="AB307" s="1702"/>
      <c r="AC307" s="1702"/>
      <c r="AD307" s="1702"/>
    </row>
    <row r="308" spans="1:30">
      <c r="A308" s="2688">
        <v>293</v>
      </c>
      <c r="B308" s="2684" t="s">
        <v>6489</v>
      </c>
      <c r="C308" s="2689" t="s">
        <v>6490</v>
      </c>
      <c r="D308" s="2690" t="s">
        <v>6491</v>
      </c>
      <c r="E308" s="2691"/>
      <c r="F308" s="2688">
        <v>617</v>
      </c>
      <c r="G308" s="2684" t="s">
        <v>6492</v>
      </c>
      <c r="H308" s="2689" t="s">
        <v>6493</v>
      </c>
      <c r="I308" s="2690" t="s">
        <v>6494</v>
      </c>
      <c r="J308" s="2691"/>
      <c r="K308" s="2688">
        <v>941</v>
      </c>
      <c r="L308" s="2684" t="s">
        <v>6495</v>
      </c>
      <c r="M308" s="2689" t="s">
        <v>6496</v>
      </c>
      <c r="N308" s="2690" t="s">
        <v>6497</v>
      </c>
      <c r="O308" s="2691"/>
      <c r="P308" s="2688">
        <v>1265</v>
      </c>
      <c r="Q308" s="2684" t="s">
        <v>6498</v>
      </c>
      <c r="R308" s="2689" t="s">
        <v>6499</v>
      </c>
      <c r="S308" s="2690" t="s">
        <v>6500</v>
      </c>
      <c r="T308" s="1702"/>
      <c r="U308" s="1702"/>
      <c r="V308" s="1702"/>
      <c r="W308" s="1702"/>
      <c r="X308" s="1702"/>
      <c r="Y308" s="1702"/>
      <c r="Z308" s="1702"/>
      <c r="AA308" s="1702"/>
      <c r="AB308" s="1702"/>
      <c r="AC308" s="1702"/>
      <c r="AD308" s="1702"/>
    </row>
    <row r="309" spans="1:30">
      <c r="A309" s="2688">
        <v>294</v>
      </c>
      <c r="B309" s="2684" t="s">
        <v>6501</v>
      </c>
      <c r="C309" s="2689" t="s">
        <v>6502</v>
      </c>
      <c r="D309" s="2690" t="s">
        <v>6503</v>
      </c>
      <c r="E309" s="2691"/>
      <c r="F309" s="2688">
        <v>618</v>
      </c>
      <c r="G309" s="2684" t="s">
        <v>6504</v>
      </c>
      <c r="H309" s="2689" t="s">
        <v>6505</v>
      </c>
      <c r="I309" s="2690" t="s">
        <v>6506</v>
      </c>
      <c r="J309" s="2691"/>
      <c r="K309" s="2688">
        <v>942</v>
      </c>
      <c r="L309" s="2684" t="s">
        <v>6507</v>
      </c>
      <c r="M309" s="2689" t="s">
        <v>6508</v>
      </c>
      <c r="N309" s="2690" t="s">
        <v>6509</v>
      </c>
      <c r="O309" s="2691"/>
      <c r="P309" s="2688">
        <v>1266</v>
      </c>
      <c r="Q309" s="2684" t="s">
        <v>6510</v>
      </c>
      <c r="R309" s="2689" t="s">
        <v>6511</v>
      </c>
      <c r="S309" s="2690" t="s">
        <v>6512</v>
      </c>
      <c r="T309" s="1702"/>
      <c r="U309" s="1702"/>
      <c r="V309" s="1702"/>
      <c r="W309" s="1702"/>
      <c r="X309" s="1702"/>
      <c r="Y309" s="1702"/>
      <c r="Z309" s="1702"/>
      <c r="AA309" s="1702"/>
      <c r="AB309" s="1702"/>
      <c r="AC309" s="1702"/>
      <c r="AD309" s="1702"/>
    </row>
    <row r="310" spans="1:30">
      <c r="A310" s="2688">
        <v>295</v>
      </c>
      <c r="B310" s="2684" t="s">
        <v>6513</v>
      </c>
      <c r="C310" s="2689" t="s">
        <v>6514</v>
      </c>
      <c r="D310" s="2690" t="s">
        <v>6515</v>
      </c>
      <c r="E310" s="2691"/>
      <c r="F310" s="2688">
        <v>619</v>
      </c>
      <c r="G310" s="2684" t="s">
        <v>6516</v>
      </c>
      <c r="H310" s="2689" t="s">
        <v>6517</v>
      </c>
      <c r="I310" s="2690" t="s">
        <v>6518</v>
      </c>
      <c r="J310" s="2691"/>
      <c r="K310" s="2688">
        <v>943</v>
      </c>
      <c r="L310" s="2684" t="s">
        <v>6519</v>
      </c>
      <c r="M310" s="2689" t="s">
        <v>6520</v>
      </c>
      <c r="N310" s="2690" t="s">
        <v>6521</v>
      </c>
      <c r="O310" s="2691"/>
      <c r="P310" s="2688">
        <v>1267</v>
      </c>
      <c r="Q310" s="2684" t="s">
        <v>6522</v>
      </c>
      <c r="R310" s="2689" t="s">
        <v>6523</v>
      </c>
      <c r="S310" s="2690" t="s">
        <v>6524</v>
      </c>
      <c r="T310" s="1702"/>
      <c r="U310" s="1702"/>
      <c r="V310" s="1702"/>
      <c r="W310" s="1702"/>
      <c r="X310" s="1702"/>
      <c r="Y310" s="1702"/>
      <c r="Z310" s="1702"/>
      <c r="AA310" s="1702"/>
      <c r="AB310" s="1702"/>
      <c r="AC310" s="1702"/>
      <c r="AD310" s="1702"/>
    </row>
    <row r="311" spans="1:30">
      <c r="A311" s="2688">
        <v>296</v>
      </c>
      <c r="B311" s="2684" t="s">
        <v>6525</v>
      </c>
      <c r="C311" s="2689" t="s">
        <v>6526</v>
      </c>
      <c r="D311" s="2690" t="s">
        <v>6527</v>
      </c>
      <c r="E311" s="2691"/>
      <c r="F311" s="2688">
        <v>620</v>
      </c>
      <c r="G311" s="2684" t="s">
        <v>6528</v>
      </c>
      <c r="H311" s="2689" t="s">
        <v>6529</v>
      </c>
      <c r="I311" s="2690" t="s">
        <v>6530</v>
      </c>
      <c r="J311" s="2691"/>
      <c r="K311" s="2688">
        <v>944</v>
      </c>
      <c r="L311" s="2684" t="s">
        <v>6531</v>
      </c>
      <c r="M311" s="2689" t="s">
        <v>6532</v>
      </c>
      <c r="N311" s="2690" t="s">
        <v>6533</v>
      </c>
      <c r="O311" s="2691"/>
      <c r="P311" s="2688">
        <v>1268</v>
      </c>
      <c r="Q311" s="2684" t="s">
        <v>6534</v>
      </c>
      <c r="R311" s="2689" t="s">
        <v>6535</v>
      </c>
      <c r="S311" s="2690" t="s">
        <v>6536</v>
      </c>
      <c r="T311" s="1702"/>
      <c r="U311" s="1702"/>
      <c r="V311" s="1702"/>
      <c r="W311" s="1702"/>
      <c r="X311" s="1702"/>
      <c r="Y311" s="1702"/>
      <c r="Z311" s="1702"/>
      <c r="AA311" s="1702"/>
      <c r="AB311" s="1702"/>
      <c r="AC311" s="1702"/>
      <c r="AD311" s="1702"/>
    </row>
    <row r="312" spans="1:30" ht="25.5">
      <c r="A312" s="2688">
        <v>297</v>
      </c>
      <c r="B312" s="2684" t="s">
        <v>6537</v>
      </c>
      <c r="C312" s="2689" t="s">
        <v>6538</v>
      </c>
      <c r="D312" s="2690" t="s">
        <v>6539</v>
      </c>
      <c r="E312" s="2691"/>
      <c r="F312" s="2688">
        <v>621</v>
      </c>
      <c r="G312" s="2684" t="s">
        <v>6540</v>
      </c>
      <c r="H312" s="2689" t="s">
        <v>6541</v>
      </c>
      <c r="I312" s="2690" t="s">
        <v>6542</v>
      </c>
      <c r="J312" s="2691"/>
      <c r="K312" s="2688">
        <v>945</v>
      </c>
      <c r="L312" s="2684" t="s">
        <v>6543</v>
      </c>
      <c r="M312" s="2689" t="s">
        <v>6544</v>
      </c>
      <c r="N312" s="2690" t="s">
        <v>6545</v>
      </c>
      <c r="O312" s="2691"/>
      <c r="P312" s="2688">
        <v>1269</v>
      </c>
      <c r="Q312" s="2684" t="s">
        <v>6546</v>
      </c>
      <c r="R312" s="2689" t="s">
        <v>6547</v>
      </c>
      <c r="S312" s="2690" t="s">
        <v>6548</v>
      </c>
      <c r="T312" s="1702"/>
      <c r="U312" s="1702"/>
      <c r="V312" s="1702"/>
      <c r="W312" s="1702"/>
      <c r="X312" s="1702"/>
      <c r="Y312" s="1702"/>
      <c r="Z312" s="1702"/>
      <c r="AA312" s="1702"/>
      <c r="AB312" s="1702"/>
      <c r="AC312" s="1702"/>
      <c r="AD312" s="1702"/>
    </row>
    <row r="313" spans="1:30" ht="25.5">
      <c r="A313" s="2688">
        <v>298</v>
      </c>
      <c r="B313" s="2684" t="s">
        <v>6549</v>
      </c>
      <c r="C313" s="2689" t="s">
        <v>6550</v>
      </c>
      <c r="D313" s="2690" t="s">
        <v>6551</v>
      </c>
      <c r="E313" s="2691"/>
      <c r="F313" s="2688">
        <v>622</v>
      </c>
      <c r="G313" s="2684" t="s">
        <v>6552</v>
      </c>
      <c r="H313" s="2689" t="s">
        <v>6553</v>
      </c>
      <c r="I313" s="2690" t="s">
        <v>6554</v>
      </c>
      <c r="J313" s="2691"/>
      <c r="K313" s="2688">
        <v>946</v>
      </c>
      <c r="L313" s="2684" t="s">
        <v>6555</v>
      </c>
      <c r="M313" s="2689" t="s">
        <v>6556</v>
      </c>
      <c r="N313" s="2690" t="s">
        <v>6557</v>
      </c>
      <c r="O313" s="2691"/>
      <c r="P313" s="2688">
        <v>1270</v>
      </c>
      <c r="Q313" s="2684" t="s">
        <v>6558</v>
      </c>
      <c r="R313" s="2689" t="s">
        <v>6559</v>
      </c>
      <c r="S313" s="2690" t="s">
        <v>6560</v>
      </c>
      <c r="T313" s="1702"/>
      <c r="U313" s="1702"/>
      <c r="V313" s="1702"/>
      <c r="W313" s="1702"/>
      <c r="X313" s="1702"/>
      <c r="Y313" s="1702"/>
      <c r="Z313" s="1702"/>
      <c r="AA313" s="1702"/>
      <c r="AB313" s="1702"/>
      <c r="AC313" s="1702"/>
      <c r="AD313" s="1702"/>
    </row>
    <row r="314" spans="1:30" ht="25.5">
      <c r="A314" s="2688">
        <v>299</v>
      </c>
      <c r="B314" s="2684" t="s">
        <v>6561</v>
      </c>
      <c r="C314" s="2689" t="s">
        <v>6562</v>
      </c>
      <c r="D314" s="2690" t="s">
        <v>6563</v>
      </c>
      <c r="E314" s="2691"/>
      <c r="F314" s="2688">
        <v>623</v>
      </c>
      <c r="G314" s="2684" t="s">
        <v>6564</v>
      </c>
      <c r="H314" s="2689" t="s">
        <v>6565</v>
      </c>
      <c r="I314" s="2690" t="s">
        <v>6566</v>
      </c>
      <c r="J314" s="2691"/>
      <c r="K314" s="2688">
        <v>947</v>
      </c>
      <c r="L314" s="2684" t="s">
        <v>6567</v>
      </c>
      <c r="M314" s="2689" t="s">
        <v>6568</v>
      </c>
      <c r="N314" s="2690" t="s">
        <v>6569</v>
      </c>
      <c r="O314" s="2691"/>
      <c r="P314" s="2688">
        <v>1271</v>
      </c>
      <c r="Q314" s="2684" t="s">
        <v>6570</v>
      </c>
      <c r="R314" s="2689" t="s">
        <v>6571</v>
      </c>
      <c r="S314" s="2690" t="s">
        <v>6572</v>
      </c>
      <c r="T314" s="1702"/>
      <c r="U314" s="1702"/>
      <c r="V314" s="1702"/>
      <c r="W314" s="1702"/>
      <c r="X314" s="1702"/>
      <c r="Y314" s="1702"/>
      <c r="Z314" s="1702"/>
      <c r="AA314" s="1702"/>
      <c r="AB314" s="1702"/>
      <c r="AC314" s="1702"/>
      <c r="AD314" s="1702"/>
    </row>
    <row r="315" spans="1:30" ht="25.5">
      <c r="A315" s="2688">
        <v>300</v>
      </c>
      <c r="B315" s="2684" t="s">
        <v>6573</v>
      </c>
      <c r="C315" s="2689" t="s">
        <v>6574</v>
      </c>
      <c r="D315" s="2690" t="s">
        <v>6575</v>
      </c>
      <c r="E315" s="2691"/>
      <c r="F315" s="2688">
        <v>624</v>
      </c>
      <c r="G315" s="2684" t="s">
        <v>6576</v>
      </c>
      <c r="H315" s="2689" t="s">
        <v>6577</v>
      </c>
      <c r="I315" s="2690" t="s">
        <v>6578</v>
      </c>
      <c r="J315" s="2691"/>
      <c r="K315" s="2688">
        <v>948</v>
      </c>
      <c r="L315" s="2684" t="s">
        <v>6579</v>
      </c>
      <c r="M315" s="2689" t="s">
        <v>6580</v>
      </c>
      <c r="N315" s="2690" t="s">
        <v>6581</v>
      </c>
      <c r="O315" s="2691"/>
      <c r="P315" s="2688">
        <v>1272</v>
      </c>
      <c r="Q315" s="2684" t="s">
        <v>6582</v>
      </c>
      <c r="R315" s="2689" t="s">
        <v>6583</v>
      </c>
      <c r="S315" s="2690" t="s">
        <v>6584</v>
      </c>
      <c r="T315" s="1702"/>
      <c r="U315" s="1702"/>
      <c r="V315" s="1702"/>
      <c r="W315" s="1702"/>
      <c r="X315" s="1702"/>
      <c r="Y315" s="1702"/>
      <c r="Z315" s="1702"/>
      <c r="AA315" s="1702"/>
      <c r="AB315" s="1702"/>
      <c r="AC315" s="1702"/>
      <c r="AD315" s="1702"/>
    </row>
    <row r="316" spans="1:30" ht="25.5">
      <c r="A316" s="2688">
        <v>301</v>
      </c>
      <c r="B316" s="2684" t="s">
        <v>6585</v>
      </c>
      <c r="C316" s="2689" t="s">
        <v>6586</v>
      </c>
      <c r="D316" s="2690" t="s">
        <v>6587</v>
      </c>
      <c r="E316" s="2691"/>
      <c r="F316" s="2688">
        <v>625</v>
      </c>
      <c r="G316" s="2684" t="s">
        <v>6588</v>
      </c>
      <c r="H316" s="2689" t="s">
        <v>6589</v>
      </c>
      <c r="I316" s="2690" t="s">
        <v>6590</v>
      </c>
      <c r="J316" s="2691"/>
      <c r="K316" s="2688">
        <v>949</v>
      </c>
      <c r="L316" s="2684" t="s">
        <v>6591</v>
      </c>
      <c r="M316" s="2689" t="s">
        <v>6592</v>
      </c>
      <c r="N316" s="2690" t="s">
        <v>6593</v>
      </c>
      <c r="O316" s="2691"/>
      <c r="P316" s="2688">
        <v>1273</v>
      </c>
      <c r="Q316" s="2684" t="s">
        <v>6594</v>
      </c>
      <c r="R316" s="2689" t="s">
        <v>6595</v>
      </c>
      <c r="S316" s="2690" t="s">
        <v>6596</v>
      </c>
      <c r="T316" s="1702"/>
      <c r="U316" s="1702"/>
      <c r="V316" s="1702"/>
      <c r="W316" s="1702"/>
      <c r="X316" s="1702"/>
      <c r="Y316" s="1702"/>
      <c r="Z316" s="1702"/>
      <c r="AA316" s="1702"/>
      <c r="AB316" s="1702"/>
      <c r="AC316" s="1702"/>
      <c r="AD316" s="1702"/>
    </row>
    <row r="317" spans="1:30" ht="25.5">
      <c r="A317" s="2688">
        <v>302</v>
      </c>
      <c r="B317" s="2684" t="s">
        <v>6597</v>
      </c>
      <c r="C317" s="2689" t="s">
        <v>6598</v>
      </c>
      <c r="D317" s="2690" t="s">
        <v>6599</v>
      </c>
      <c r="E317" s="2691"/>
      <c r="F317" s="2688">
        <v>626</v>
      </c>
      <c r="G317" s="2684" t="s">
        <v>6600</v>
      </c>
      <c r="H317" s="2689" t="s">
        <v>6601</v>
      </c>
      <c r="I317" s="2690" t="s">
        <v>6602</v>
      </c>
      <c r="J317" s="2691"/>
      <c r="K317" s="2688">
        <v>950</v>
      </c>
      <c r="L317" s="2684" t="s">
        <v>6603</v>
      </c>
      <c r="M317" s="2689" t="s">
        <v>6604</v>
      </c>
      <c r="N317" s="2690" t="s">
        <v>6605</v>
      </c>
      <c r="O317" s="2691"/>
      <c r="P317" s="2688">
        <v>1274</v>
      </c>
      <c r="Q317" s="2684" t="s">
        <v>6606</v>
      </c>
      <c r="R317" s="2689" t="s">
        <v>6607</v>
      </c>
      <c r="S317" s="2690" t="s">
        <v>6608</v>
      </c>
      <c r="T317" s="1702"/>
      <c r="U317" s="1702"/>
      <c r="V317" s="1702"/>
      <c r="W317" s="1702"/>
      <c r="X317" s="1702"/>
      <c r="Y317" s="1702"/>
      <c r="Z317" s="1702"/>
      <c r="AA317" s="1702"/>
      <c r="AB317" s="1702"/>
      <c r="AC317" s="1702"/>
      <c r="AD317" s="1702"/>
    </row>
    <row r="318" spans="1:30" ht="25.5">
      <c r="A318" s="2688">
        <v>303</v>
      </c>
      <c r="B318" s="2684" t="s">
        <v>6609</v>
      </c>
      <c r="C318" s="2689" t="s">
        <v>6610</v>
      </c>
      <c r="D318" s="2690" t="s">
        <v>5963</v>
      </c>
      <c r="E318" s="2691"/>
      <c r="F318" s="2688">
        <v>627</v>
      </c>
      <c r="G318" s="2684" t="s">
        <v>6611</v>
      </c>
      <c r="H318" s="2689" t="s">
        <v>6612</v>
      </c>
      <c r="I318" s="2690" t="s">
        <v>6613</v>
      </c>
      <c r="J318" s="2691"/>
      <c r="K318" s="2688">
        <v>951</v>
      </c>
      <c r="L318" s="2684" t="s">
        <v>6614</v>
      </c>
      <c r="M318" s="2689" t="s">
        <v>6615</v>
      </c>
      <c r="N318" s="2690" t="s">
        <v>6616</v>
      </c>
      <c r="O318" s="2691"/>
      <c r="P318" s="2688">
        <v>1275</v>
      </c>
      <c r="Q318" s="2684" t="s">
        <v>6617</v>
      </c>
      <c r="R318" s="2689" t="s">
        <v>6618</v>
      </c>
      <c r="S318" s="2690" t="s">
        <v>6619</v>
      </c>
      <c r="T318" s="1702"/>
      <c r="U318" s="1702"/>
      <c r="V318" s="1702"/>
      <c r="W318" s="1702"/>
      <c r="X318" s="1702"/>
      <c r="Y318" s="1702"/>
      <c r="Z318" s="1702"/>
      <c r="AA318" s="1702"/>
      <c r="AB318" s="1702"/>
      <c r="AC318" s="1702"/>
      <c r="AD318" s="1702"/>
    </row>
    <row r="319" spans="1:30" ht="25.5">
      <c r="A319" s="2688">
        <v>304</v>
      </c>
      <c r="B319" s="2684" t="s">
        <v>6620</v>
      </c>
      <c r="C319" s="2689" t="s">
        <v>6621</v>
      </c>
      <c r="D319" s="2690" t="s">
        <v>6622</v>
      </c>
      <c r="E319" s="2691"/>
      <c r="F319" s="2688">
        <v>628</v>
      </c>
      <c r="G319" s="2684" t="s">
        <v>6623</v>
      </c>
      <c r="H319" s="2689" t="s">
        <v>6624</v>
      </c>
      <c r="I319" s="2690" t="s">
        <v>6625</v>
      </c>
      <c r="J319" s="2691"/>
      <c r="K319" s="2688">
        <v>952</v>
      </c>
      <c r="L319" s="2684" t="s">
        <v>6626</v>
      </c>
      <c r="M319" s="2689" t="s">
        <v>6627</v>
      </c>
      <c r="N319" s="2690" t="s">
        <v>6628</v>
      </c>
      <c r="O319" s="2691"/>
      <c r="P319" s="2688">
        <v>1276</v>
      </c>
      <c r="Q319" s="2684" t="s">
        <v>6629</v>
      </c>
      <c r="R319" s="2689" t="s">
        <v>6630</v>
      </c>
      <c r="S319" s="2690" t="s">
        <v>6631</v>
      </c>
      <c r="T319" s="1702"/>
      <c r="U319" s="1702"/>
      <c r="V319" s="1702"/>
      <c r="W319" s="1702"/>
      <c r="X319" s="1702"/>
      <c r="Y319" s="1702"/>
      <c r="Z319" s="1702"/>
      <c r="AA319" s="1702"/>
      <c r="AB319" s="1702"/>
      <c r="AC319" s="1702"/>
      <c r="AD319" s="1702"/>
    </row>
    <row r="320" spans="1:30" ht="25.5">
      <c r="A320" s="2688">
        <v>305</v>
      </c>
      <c r="B320" s="2684" t="s">
        <v>6632</v>
      </c>
      <c r="C320" s="2689" t="s">
        <v>6633</v>
      </c>
      <c r="D320" s="2690" t="s">
        <v>6634</v>
      </c>
      <c r="E320" s="2691"/>
      <c r="F320" s="2688">
        <v>629</v>
      </c>
      <c r="G320" s="2684" t="s">
        <v>6635</v>
      </c>
      <c r="H320" s="2689" t="s">
        <v>6636</v>
      </c>
      <c r="I320" s="2690" t="s">
        <v>6637</v>
      </c>
      <c r="J320" s="2691"/>
      <c r="K320" s="2688">
        <v>953</v>
      </c>
      <c r="L320" s="2684" t="s">
        <v>6638</v>
      </c>
      <c r="M320" s="2689" t="s">
        <v>6639</v>
      </c>
      <c r="N320" s="2690" t="s">
        <v>6640</v>
      </c>
      <c r="O320" s="2691"/>
      <c r="P320" s="2688">
        <v>1277</v>
      </c>
      <c r="Q320" s="2684" t="s">
        <v>6641</v>
      </c>
      <c r="R320" s="2689" t="s">
        <v>6642</v>
      </c>
      <c r="S320" s="2690" t="s">
        <v>6643</v>
      </c>
      <c r="T320" s="1702"/>
      <c r="U320" s="1702"/>
      <c r="V320" s="1702"/>
      <c r="W320" s="1702"/>
      <c r="X320" s="1702"/>
      <c r="Y320" s="1702"/>
      <c r="Z320" s="1702"/>
      <c r="AA320" s="1702"/>
      <c r="AB320" s="1702"/>
      <c r="AC320" s="1702"/>
      <c r="AD320" s="1702"/>
    </row>
    <row r="321" spans="1:30">
      <c r="A321" s="2688">
        <v>306</v>
      </c>
      <c r="B321" s="2684" t="s">
        <v>6644</v>
      </c>
      <c r="C321" s="2689" t="s">
        <v>6645</v>
      </c>
      <c r="D321" s="2690" t="s">
        <v>6646</v>
      </c>
      <c r="E321" s="2691"/>
      <c r="F321" s="2688">
        <v>630</v>
      </c>
      <c r="G321" s="2684" t="s">
        <v>6647</v>
      </c>
      <c r="H321" s="2689" t="s">
        <v>6648</v>
      </c>
      <c r="I321" s="2690" t="s">
        <v>6649</v>
      </c>
      <c r="J321" s="2691"/>
      <c r="K321" s="2688">
        <v>954</v>
      </c>
      <c r="L321" s="2684" t="s">
        <v>6650</v>
      </c>
      <c r="M321" s="2689" t="s">
        <v>6651</v>
      </c>
      <c r="N321" s="2690" t="s">
        <v>6652</v>
      </c>
      <c r="O321" s="2691"/>
      <c r="P321" s="2688">
        <v>1278</v>
      </c>
      <c r="Q321" s="2684" t="s">
        <v>6653</v>
      </c>
      <c r="R321" s="2689" t="s">
        <v>6654</v>
      </c>
      <c r="S321" s="2690" t="s">
        <v>6655</v>
      </c>
      <c r="T321" s="1702"/>
      <c r="U321" s="1702"/>
      <c r="V321" s="1702"/>
      <c r="W321" s="1702"/>
      <c r="X321" s="1702"/>
      <c r="Y321" s="1702"/>
      <c r="Z321" s="1702"/>
      <c r="AA321" s="1702"/>
      <c r="AB321" s="1702"/>
      <c r="AC321" s="1702"/>
      <c r="AD321" s="1702"/>
    </row>
    <row r="322" spans="1:30" ht="25.5">
      <c r="A322" s="2688">
        <v>307</v>
      </c>
      <c r="B322" s="2684" t="s">
        <v>6656</v>
      </c>
      <c r="C322" s="2689" t="s">
        <v>6657</v>
      </c>
      <c r="D322" s="2690" t="s">
        <v>6658</v>
      </c>
      <c r="E322" s="2691"/>
      <c r="F322" s="2688">
        <v>631</v>
      </c>
      <c r="G322" s="2684" t="s">
        <v>6659</v>
      </c>
      <c r="H322" s="2689" t="s">
        <v>6660</v>
      </c>
      <c r="I322" s="2690" t="s">
        <v>6661</v>
      </c>
      <c r="J322" s="2691"/>
      <c r="K322" s="2688">
        <v>955</v>
      </c>
      <c r="L322" s="2684" t="s">
        <v>6662</v>
      </c>
      <c r="M322" s="2689" t="s">
        <v>6663</v>
      </c>
      <c r="N322" s="2690" t="s">
        <v>6664</v>
      </c>
      <c r="O322" s="2691"/>
      <c r="P322" s="2688">
        <v>1279</v>
      </c>
      <c r="Q322" s="2684" t="s">
        <v>6665</v>
      </c>
      <c r="R322" s="2689" t="s">
        <v>6666</v>
      </c>
      <c r="S322" s="2690" t="s">
        <v>6667</v>
      </c>
      <c r="T322" s="1702"/>
      <c r="U322" s="1702"/>
      <c r="V322" s="1702"/>
      <c r="W322" s="1702"/>
      <c r="X322" s="1702"/>
      <c r="Y322" s="1702"/>
      <c r="Z322" s="1702"/>
      <c r="AA322" s="1702"/>
      <c r="AB322" s="1702"/>
      <c r="AC322" s="1702"/>
      <c r="AD322" s="1702"/>
    </row>
    <row r="323" spans="1:30">
      <c r="A323" s="2688">
        <v>308</v>
      </c>
      <c r="B323" s="2684" t="s">
        <v>6668</v>
      </c>
      <c r="C323" s="2689" t="s">
        <v>6669</v>
      </c>
      <c r="D323" s="2690" t="s">
        <v>6670</v>
      </c>
      <c r="E323" s="2691"/>
      <c r="F323" s="2688">
        <v>632</v>
      </c>
      <c r="G323" s="2684" t="s">
        <v>6671</v>
      </c>
      <c r="H323" s="2689" t="s">
        <v>6672</v>
      </c>
      <c r="I323" s="2690" t="s">
        <v>6673</v>
      </c>
      <c r="J323" s="2691"/>
      <c r="K323" s="2688">
        <v>956</v>
      </c>
      <c r="L323" s="2684" t="s">
        <v>6674</v>
      </c>
      <c r="M323" s="2689" t="s">
        <v>6675</v>
      </c>
      <c r="N323" s="2690" t="s">
        <v>6676</v>
      </c>
      <c r="O323" s="2691"/>
      <c r="P323" s="2688">
        <v>1280</v>
      </c>
      <c r="Q323" s="2684" t="s">
        <v>6677</v>
      </c>
      <c r="R323" s="2689" t="s">
        <v>6678</v>
      </c>
      <c r="S323" s="2690" t="s">
        <v>6679</v>
      </c>
      <c r="T323" s="1702"/>
      <c r="U323" s="1702"/>
      <c r="V323" s="1702"/>
      <c r="W323" s="1702"/>
      <c r="X323" s="1702"/>
      <c r="Y323" s="1702"/>
      <c r="Z323" s="1702"/>
      <c r="AA323" s="1702"/>
      <c r="AB323" s="1702"/>
      <c r="AC323" s="1702"/>
      <c r="AD323" s="1702"/>
    </row>
    <row r="324" spans="1:30">
      <c r="A324" s="2688">
        <v>309</v>
      </c>
      <c r="B324" s="2684" t="s">
        <v>6680</v>
      </c>
      <c r="C324" s="2689" t="s">
        <v>6681</v>
      </c>
      <c r="D324" s="2690" t="s">
        <v>6682</v>
      </c>
      <c r="E324" s="2691"/>
      <c r="F324" s="2688">
        <v>633</v>
      </c>
      <c r="G324" s="2684" t="s">
        <v>6683</v>
      </c>
      <c r="H324" s="2689" t="s">
        <v>6684</v>
      </c>
      <c r="I324" s="2690" t="s">
        <v>6685</v>
      </c>
      <c r="J324" s="2691"/>
      <c r="K324" s="2688">
        <v>957</v>
      </c>
      <c r="L324" s="2684" t="s">
        <v>6686</v>
      </c>
      <c r="M324" s="2689" t="s">
        <v>6687</v>
      </c>
      <c r="N324" s="2690" t="s">
        <v>6688</v>
      </c>
      <c r="O324" s="2691"/>
      <c r="P324" s="2688">
        <v>1281</v>
      </c>
      <c r="Q324" s="2684" t="s">
        <v>6689</v>
      </c>
      <c r="R324" s="2689" t="s">
        <v>6690</v>
      </c>
      <c r="S324" s="2690" t="s">
        <v>6691</v>
      </c>
      <c r="T324" s="1702"/>
      <c r="U324" s="1702"/>
      <c r="V324" s="1702"/>
      <c r="W324" s="1702"/>
      <c r="X324" s="1702"/>
      <c r="Y324" s="1702"/>
      <c r="Z324" s="1702"/>
      <c r="AA324" s="1702"/>
      <c r="AB324" s="1702"/>
      <c r="AC324" s="1702"/>
      <c r="AD324" s="1702"/>
    </row>
    <row r="325" spans="1:30">
      <c r="A325" s="2688">
        <v>310</v>
      </c>
      <c r="B325" s="2684" t="s">
        <v>6692</v>
      </c>
      <c r="C325" s="2689" t="s">
        <v>6693</v>
      </c>
      <c r="D325" s="2690" t="s">
        <v>6694</v>
      </c>
      <c r="E325" s="2691"/>
      <c r="F325" s="2688">
        <v>634</v>
      </c>
      <c r="G325" s="2684" t="s">
        <v>6695</v>
      </c>
      <c r="H325" s="2689" t="s">
        <v>6696</v>
      </c>
      <c r="I325" s="2690" t="s">
        <v>6697</v>
      </c>
      <c r="J325" s="2691"/>
      <c r="K325" s="2688">
        <v>958</v>
      </c>
      <c r="L325" s="2684" t="s">
        <v>6698</v>
      </c>
      <c r="M325" s="2689" t="s">
        <v>6699</v>
      </c>
      <c r="N325" s="2690" t="s">
        <v>6700</v>
      </c>
      <c r="O325" s="2691"/>
      <c r="P325" s="2688">
        <v>1282</v>
      </c>
      <c r="Q325" s="2684" t="s">
        <v>6701</v>
      </c>
      <c r="R325" s="2689" t="s">
        <v>6702</v>
      </c>
      <c r="T325" s="1702"/>
      <c r="U325" s="1702"/>
      <c r="V325" s="1702"/>
      <c r="W325" s="1702"/>
      <c r="X325" s="1702"/>
      <c r="Y325" s="1702"/>
      <c r="Z325" s="1702"/>
      <c r="AA325" s="1702"/>
      <c r="AB325" s="1702"/>
      <c r="AC325" s="1702"/>
      <c r="AD325" s="1702"/>
    </row>
    <row r="326" spans="1:30">
      <c r="A326" s="2688">
        <v>311</v>
      </c>
      <c r="B326" s="2684" t="s">
        <v>6703</v>
      </c>
      <c r="C326" s="2689" t="s">
        <v>6704</v>
      </c>
      <c r="D326" s="2690" t="s">
        <v>6705</v>
      </c>
      <c r="E326" s="2691"/>
      <c r="F326" s="2688">
        <v>635</v>
      </c>
      <c r="G326" s="2684" t="s">
        <v>6706</v>
      </c>
      <c r="H326" s="2689" t="s">
        <v>6707</v>
      </c>
      <c r="I326" s="2690" t="s">
        <v>6708</v>
      </c>
      <c r="J326" s="2691"/>
      <c r="K326" s="2688">
        <v>959</v>
      </c>
      <c r="L326" s="2684" t="s">
        <v>6709</v>
      </c>
      <c r="M326" s="2689" t="s">
        <v>6710</v>
      </c>
      <c r="N326" s="2690" t="s">
        <v>6711</v>
      </c>
      <c r="O326" s="2691"/>
      <c r="P326" s="2688">
        <v>1283</v>
      </c>
      <c r="Q326" s="2684" t="s">
        <v>6712</v>
      </c>
      <c r="R326" s="2689" t="s">
        <v>6713</v>
      </c>
      <c r="T326" s="1702"/>
      <c r="U326" s="1702"/>
      <c r="V326" s="1702"/>
      <c r="W326" s="1702"/>
      <c r="X326" s="1702"/>
      <c r="Y326" s="1702"/>
      <c r="Z326" s="1702"/>
      <c r="AA326" s="1702"/>
      <c r="AB326" s="1702"/>
      <c r="AC326" s="1702"/>
      <c r="AD326" s="1702"/>
    </row>
    <row r="327" spans="1:30" ht="25.5">
      <c r="A327" s="2688">
        <v>312</v>
      </c>
      <c r="B327" s="2684" t="s">
        <v>6714</v>
      </c>
      <c r="C327" s="2689" t="s">
        <v>6715</v>
      </c>
      <c r="D327" s="2690" t="s">
        <v>6716</v>
      </c>
      <c r="E327" s="2691"/>
      <c r="F327" s="2688">
        <v>636</v>
      </c>
      <c r="G327" s="2684" t="s">
        <v>6717</v>
      </c>
      <c r="H327" s="2689" t="s">
        <v>6718</v>
      </c>
      <c r="I327" s="2690" t="s">
        <v>6719</v>
      </c>
      <c r="J327" s="2691"/>
      <c r="K327" s="2688">
        <v>960</v>
      </c>
      <c r="L327" s="2684" t="s">
        <v>6720</v>
      </c>
      <c r="M327" s="2689" t="s">
        <v>6721</v>
      </c>
      <c r="N327" s="2690" t="s">
        <v>6722</v>
      </c>
      <c r="O327" s="2691"/>
      <c r="P327" s="2688">
        <v>1284</v>
      </c>
      <c r="Q327" s="2684" t="s">
        <v>6723</v>
      </c>
      <c r="R327" s="2689" t="s">
        <v>6724</v>
      </c>
      <c r="S327" s="2690" t="s">
        <v>6725</v>
      </c>
      <c r="T327" s="1702"/>
      <c r="U327" s="1702"/>
      <c r="V327" s="1702"/>
      <c r="W327" s="1702"/>
      <c r="X327" s="1702"/>
      <c r="Y327" s="1702"/>
      <c r="Z327" s="1702"/>
      <c r="AA327" s="1702"/>
      <c r="AB327" s="1702"/>
      <c r="AC327" s="1702"/>
      <c r="AD327" s="1702"/>
    </row>
    <row r="328" spans="1:30" ht="25.5">
      <c r="A328" s="2688">
        <v>313</v>
      </c>
      <c r="B328" s="2684" t="s">
        <v>6726</v>
      </c>
      <c r="C328" s="2689" t="s">
        <v>6727</v>
      </c>
      <c r="D328" s="2690" t="s">
        <v>6728</v>
      </c>
      <c r="E328" s="2691"/>
      <c r="F328" s="2688">
        <v>637</v>
      </c>
      <c r="G328" s="2684" t="s">
        <v>6729</v>
      </c>
      <c r="H328" s="2689" t="s">
        <v>6730</v>
      </c>
      <c r="I328" s="2690" t="s">
        <v>6731</v>
      </c>
      <c r="J328" s="2691"/>
      <c r="K328" s="2688">
        <v>961</v>
      </c>
      <c r="L328" s="2684" t="s">
        <v>6732</v>
      </c>
      <c r="M328" s="2689" t="s">
        <v>6733</v>
      </c>
      <c r="N328" s="2690" t="s">
        <v>6734</v>
      </c>
      <c r="O328" s="2691"/>
      <c r="P328" s="2688">
        <v>1285</v>
      </c>
      <c r="Q328" s="2684" t="s">
        <v>6735</v>
      </c>
      <c r="R328" s="2689" t="s">
        <v>6736</v>
      </c>
      <c r="S328" s="2690" t="s">
        <v>6737</v>
      </c>
      <c r="T328" s="1702"/>
      <c r="U328" s="1702"/>
      <c r="V328" s="1702"/>
      <c r="W328" s="1702"/>
      <c r="X328" s="1702"/>
      <c r="Y328" s="1702"/>
      <c r="Z328" s="1702"/>
      <c r="AA328" s="1702"/>
      <c r="AB328" s="1702"/>
      <c r="AC328" s="1702"/>
      <c r="AD328" s="1702"/>
    </row>
    <row r="329" spans="1:30" ht="25.5">
      <c r="A329" s="2688">
        <v>314</v>
      </c>
      <c r="B329" s="2684" t="s">
        <v>6738</v>
      </c>
      <c r="C329" s="2689" t="s">
        <v>6739</v>
      </c>
      <c r="D329" s="2690" t="s">
        <v>6740</v>
      </c>
      <c r="E329" s="2691"/>
      <c r="F329" s="2688">
        <v>638</v>
      </c>
      <c r="G329" s="2684" t="s">
        <v>6741</v>
      </c>
      <c r="H329" s="2689" t="s">
        <v>6742</v>
      </c>
      <c r="I329" s="2690" t="s">
        <v>6743</v>
      </c>
      <c r="J329" s="2691"/>
      <c r="K329" s="2688">
        <v>962</v>
      </c>
      <c r="L329" s="2684" t="s">
        <v>6744</v>
      </c>
      <c r="M329" s="2689" t="s">
        <v>6745</v>
      </c>
      <c r="N329" s="2690" t="s">
        <v>6746</v>
      </c>
      <c r="O329" s="2691"/>
      <c r="P329" s="2688">
        <v>1286</v>
      </c>
      <c r="Q329" s="2684" t="s">
        <v>6747</v>
      </c>
      <c r="R329" s="2689" t="s">
        <v>6748</v>
      </c>
      <c r="S329" s="2690" t="s">
        <v>6749</v>
      </c>
      <c r="T329" s="1702"/>
      <c r="U329" s="1702"/>
      <c r="V329" s="1702"/>
      <c r="W329" s="1702"/>
      <c r="X329" s="1702"/>
      <c r="Y329" s="1702"/>
      <c r="Z329" s="1702"/>
      <c r="AA329" s="1702"/>
      <c r="AB329" s="1702"/>
      <c r="AC329" s="1702"/>
      <c r="AD329" s="1702"/>
    </row>
    <row r="330" spans="1:30">
      <c r="A330" s="2688">
        <v>315</v>
      </c>
      <c r="B330" s="2684" t="s">
        <v>6750</v>
      </c>
      <c r="C330" s="2689" t="s">
        <v>6751</v>
      </c>
      <c r="D330" s="2690" t="s">
        <v>6752</v>
      </c>
      <c r="E330" s="2691"/>
      <c r="F330" s="2688">
        <v>639</v>
      </c>
      <c r="G330" s="2684" t="s">
        <v>6753</v>
      </c>
      <c r="H330" s="2689" t="s">
        <v>6754</v>
      </c>
      <c r="I330" s="2690" t="s">
        <v>6755</v>
      </c>
      <c r="J330" s="2691"/>
      <c r="K330" s="2688">
        <v>963</v>
      </c>
      <c r="L330" s="2684" t="s">
        <v>6756</v>
      </c>
      <c r="M330" s="2689" t="s">
        <v>6757</v>
      </c>
      <c r="N330" s="2690" t="s">
        <v>6758</v>
      </c>
      <c r="O330" s="2691"/>
      <c r="P330" s="2688">
        <v>1287</v>
      </c>
      <c r="Q330" s="2684" t="s">
        <v>6759</v>
      </c>
      <c r="R330" s="2689" t="s">
        <v>6760</v>
      </c>
      <c r="S330" s="2690" t="s">
        <v>6761</v>
      </c>
      <c r="T330" s="1702"/>
      <c r="U330" s="1702"/>
      <c r="V330" s="1702"/>
      <c r="W330" s="1702"/>
      <c r="X330" s="1702"/>
      <c r="Y330" s="1702"/>
      <c r="Z330" s="1702"/>
      <c r="AA330" s="1702"/>
      <c r="AB330" s="1702"/>
      <c r="AC330" s="1702"/>
      <c r="AD330" s="1702"/>
    </row>
    <row r="331" spans="1:30" ht="25.5">
      <c r="A331" s="2688">
        <v>316</v>
      </c>
      <c r="B331" s="2684" t="s">
        <v>6762</v>
      </c>
      <c r="C331" s="2689" t="s">
        <v>6763</v>
      </c>
      <c r="D331" s="2690" t="s">
        <v>6764</v>
      </c>
      <c r="E331" s="2691"/>
      <c r="F331" s="2688">
        <v>640</v>
      </c>
      <c r="G331" s="2684" t="s">
        <v>6765</v>
      </c>
      <c r="H331" s="2689" t="s">
        <v>6766</v>
      </c>
      <c r="I331" s="2690" t="s">
        <v>6767</v>
      </c>
      <c r="J331" s="2691"/>
      <c r="K331" s="2688">
        <v>964</v>
      </c>
      <c r="L331" s="2684" t="s">
        <v>6768</v>
      </c>
      <c r="M331" s="2689" t="s">
        <v>6769</v>
      </c>
      <c r="N331" s="2690" t="s">
        <v>6770</v>
      </c>
      <c r="O331" s="2691"/>
      <c r="P331" s="2688">
        <v>1288</v>
      </c>
      <c r="Q331" s="2684" t="s">
        <v>6771</v>
      </c>
      <c r="R331" s="2689" t="s">
        <v>6772</v>
      </c>
      <c r="S331" s="2690" t="s">
        <v>6773</v>
      </c>
      <c r="T331" s="1702"/>
      <c r="U331" s="1702"/>
      <c r="V331" s="1702"/>
      <c r="W331" s="1702"/>
      <c r="X331" s="1702"/>
      <c r="Y331" s="1702"/>
      <c r="Z331" s="1702"/>
      <c r="AA331" s="1702"/>
      <c r="AB331" s="1702"/>
      <c r="AC331" s="1702"/>
      <c r="AD331" s="1702"/>
    </row>
    <row r="332" spans="1:30">
      <c r="A332" s="2688">
        <v>317</v>
      </c>
      <c r="B332" s="2684" t="s">
        <v>6774</v>
      </c>
      <c r="C332" s="2689" t="s">
        <v>6775</v>
      </c>
      <c r="D332" s="2690" t="s">
        <v>6776</v>
      </c>
      <c r="E332" s="2691"/>
      <c r="F332" s="2688">
        <v>641</v>
      </c>
      <c r="G332" s="2684" t="s">
        <v>6777</v>
      </c>
      <c r="H332" s="2689" t="s">
        <v>6778</v>
      </c>
      <c r="I332" s="2690" t="s">
        <v>6779</v>
      </c>
      <c r="J332" s="2691"/>
      <c r="K332" s="2688">
        <v>965</v>
      </c>
      <c r="L332" s="2684" t="s">
        <v>6780</v>
      </c>
      <c r="M332" s="2689" t="s">
        <v>6781</v>
      </c>
      <c r="N332" s="2690" t="s">
        <v>6782</v>
      </c>
      <c r="O332" s="2691"/>
      <c r="P332" s="2688">
        <v>1289</v>
      </c>
      <c r="Q332" s="2684" t="s">
        <v>6783</v>
      </c>
      <c r="R332" s="2689" t="s">
        <v>6784</v>
      </c>
      <c r="S332" s="2690" t="s">
        <v>6785</v>
      </c>
      <c r="T332" s="1702"/>
      <c r="U332" s="1702"/>
      <c r="V332" s="1702"/>
      <c r="W332" s="1702"/>
      <c r="X332" s="1702"/>
      <c r="Y332" s="1702"/>
      <c r="Z332" s="1702"/>
      <c r="AA332" s="1702"/>
      <c r="AB332" s="1702"/>
      <c r="AC332" s="1702"/>
      <c r="AD332" s="1702"/>
    </row>
    <row r="333" spans="1:30">
      <c r="A333" s="2688">
        <v>318</v>
      </c>
      <c r="B333" s="2684" t="s">
        <v>6786</v>
      </c>
      <c r="C333" s="2689" t="s">
        <v>6787</v>
      </c>
      <c r="D333" s="2690" t="s">
        <v>6788</v>
      </c>
      <c r="E333" s="2691"/>
      <c r="F333" s="2688">
        <v>642</v>
      </c>
      <c r="G333" s="2684" t="s">
        <v>6789</v>
      </c>
      <c r="H333" s="2689" t="s">
        <v>6790</v>
      </c>
      <c r="I333" s="2690" t="s">
        <v>6791</v>
      </c>
      <c r="J333" s="2691"/>
      <c r="K333" s="2688">
        <v>966</v>
      </c>
      <c r="L333" s="2684" t="s">
        <v>6792</v>
      </c>
      <c r="M333" s="2689" t="s">
        <v>6793</v>
      </c>
      <c r="N333" s="2690" t="s">
        <v>6794</v>
      </c>
      <c r="O333" s="2691"/>
      <c r="P333" s="2688">
        <v>1290</v>
      </c>
      <c r="Q333" s="2684" t="s">
        <v>6795</v>
      </c>
      <c r="R333" s="2689" t="s">
        <v>6796</v>
      </c>
      <c r="S333" s="2690" t="s">
        <v>6797</v>
      </c>
      <c r="T333" s="1702"/>
      <c r="U333" s="1702"/>
      <c r="V333" s="1702"/>
      <c r="W333" s="1702"/>
      <c r="X333" s="1702"/>
      <c r="Y333" s="1702"/>
      <c r="Z333" s="1702"/>
      <c r="AA333" s="1702"/>
      <c r="AB333" s="1702"/>
      <c r="AC333" s="1702"/>
      <c r="AD333" s="1702"/>
    </row>
    <row r="334" spans="1:30" ht="25.5">
      <c r="A334" s="2688">
        <v>319</v>
      </c>
      <c r="B334" s="2684" t="s">
        <v>6798</v>
      </c>
      <c r="C334" s="2689" t="s">
        <v>6799</v>
      </c>
      <c r="D334" s="2690" t="s">
        <v>6800</v>
      </c>
      <c r="E334" s="2691"/>
      <c r="F334" s="2688">
        <v>643</v>
      </c>
      <c r="G334" s="2684" t="s">
        <v>6801</v>
      </c>
      <c r="H334" s="2689" t="s">
        <v>6802</v>
      </c>
      <c r="I334" s="2690" t="s">
        <v>6803</v>
      </c>
      <c r="J334" s="2691"/>
      <c r="K334" s="2688">
        <v>967</v>
      </c>
      <c r="L334" s="2684" t="s">
        <v>6804</v>
      </c>
      <c r="M334" s="2689" t="s">
        <v>6805</v>
      </c>
      <c r="N334" s="2690" t="s">
        <v>6806</v>
      </c>
      <c r="O334" s="2691"/>
      <c r="P334" s="2688">
        <v>1291</v>
      </c>
      <c r="Q334" s="2684" t="s">
        <v>6807</v>
      </c>
      <c r="R334" s="2689" t="s">
        <v>6808</v>
      </c>
      <c r="S334" s="2690" t="s">
        <v>6809</v>
      </c>
      <c r="T334" s="1702"/>
      <c r="U334" s="1702"/>
      <c r="V334" s="1702"/>
      <c r="W334" s="1702"/>
      <c r="X334" s="1702"/>
      <c r="Y334" s="1702"/>
      <c r="Z334" s="1702"/>
      <c r="AA334" s="1702"/>
      <c r="AB334" s="1702"/>
      <c r="AC334" s="1702"/>
      <c r="AD334" s="1702"/>
    </row>
    <row r="335" spans="1:30">
      <c r="A335" s="2688">
        <v>320</v>
      </c>
      <c r="B335" s="2684" t="s">
        <v>6810</v>
      </c>
      <c r="C335" s="2689" t="s">
        <v>6811</v>
      </c>
      <c r="D335" s="2690" t="s">
        <v>6812</v>
      </c>
      <c r="E335" s="2691"/>
      <c r="F335" s="2688">
        <v>644</v>
      </c>
      <c r="G335" s="2684" t="s">
        <v>6813</v>
      </c>
      <c r="H335" s="2689" t="s">
        <v>6814</v>
      </c>
      <c r="I335" s="2690" t="s">
        <v>6815</v>
      </c>
      <c r="J335" s="2691"/>
      <c r="K335" s="2688">
        <v>968</v>
      </c>
      <c r="L335" s="2684" t="s">
        <v>6816</v>
      </c>
      <c r="M335" s="2689" t="s">
        <v>6817</v>
      </c>
      <c r="N335" s="2690" t="s">
        <v>6818</v>
      </c>
      <c r="O335" s="2691"/>
      <c r="P335" s="2688">
        <v>1292</v>
      </c>
      <c r="Q335" s="2684" t="s">
        <v>6819</v>
      </c>
      <c r="R335" s="2689" t="s">
        <v>6820</v>
      </c>
      <c r="S335" s="2690" t="s">
        <v>6821</v>
      </c>
      <c r="T335" s="1702"/>
      <c r="U335" s="1702"/>
      <c r="V335" s="1702"/>
      <c r="W335" s="1702"/>
      <c r="X335" s="1702"/>
      <c r="Y335" s="1702"/>
      <c r="Z335" s="1702"/>
      <c r="AA335" s="1702"/>
      <c r="AB335" s="1702"/>
      <c r="AC335" s="1702"/>
      <c r="AD335" s="1702"/>
    </row>
    <row r="336" spans="1:30">
      <c r="A336" s="2688">
        <v>321</v>
      </c>
      <c r="B336" s="2684" t="s">
        <v>6822</v>
      </c>
      <c r="C336" s="2689" t="s">
        <v>6823</v>
      </c>
      <c r="D336" s="2690" t="s">
        <v>6824</v>
      </c>
      <c r="E336" s="2691"/>
      <c r="F336" s="2688">
        <v>645</v>
      </c>
      <c r="G336" s="2684" t="s">
        <v>6825</v>
      </c>
      <c r="H336" s="2689" t="s">
        <v>6826</v>
      </c>
      <c r="I336" s="2690" t="s">
        <v>6827</v>
      </c>
      <c r="J336" s="2691"/>
      <c r="K336" s="2688">
        <v>969</v>
      </c>
      <c r="L336" s="2684" t="s">
        <v>6828</v>
      </c>
      <c r="M336" s="2689" t="s">
        <v>6829</v>
      </c>
      <c r="N336" s="2690" t="s">
        <v>6830</v>
      </c>
      <c r="O336" s="2691"/>
      <c r="P336" s="2688">
        <v>1293</v>
      </c>
      <c r="Q336" s="2684" t="s">
        <v>6831</v>
      </c>
      <c r="R336" s="2689" t="s">
        <v>6832</v>
      </c>
      <c r="S336" s="2690" t="s">
        <v>6833</v>
      </c>
      <c r="T336" s="1702"/>
      <c r="U336" s="1702"/>
      <c r="V336" s="1702"/>
      <c r="W336" s="1702"/>
      <c r="X336" s="1702"/>
      <c r="Y336" s="1702"/>
      <c r="Z336" s="1702"/>
      <c r="AA336" s="1702"/>
      <c r="AB336" s="1702"/>
      <c r="AC336" s="1702"/>
      <c r="AD336" s="1702"/>
    </row>
    <row r="337" spans="1:30" ht="25.5">
      <c r="A337" s="2688">
        <v>322</v>
      </c>
      <c r="B337" s="2684" t="s">
        <v>6834</v>
      </c>
      <c r="C337" s="2689" t="s">
        <v>6835</v>
      </c>
      <c r="D337" s="2690" t="s">
        <v>6836</v>
      </c>
      <c r="E337" s="2691"/>
      <c r="F337" s="2688">
        <v>646</v>
      </c>
      <c r="G337" s="2684" t="s">
        <v>6837</v>
      </c>
      <c r="H337" s="2689" t="s">
        <v>6838</v>
      </c>
      <c r="I337" s="2690" t="s">
        <v>4750</v>
      </c>
      <c r="J337" s="2691"/>
      <c r="K337" s="2688">
        <v>970</v>
      </c>
      <c r="L337" s="2684" t="s">
        <v>6839</v>
      </c>
      <c r="M337" s="2689" t="s">
        <v>6840</v>
      </c>
      <c r="N337" s="2690" t="s">
        <v>6841</v>
      </c>
      <c r="O337" s="2691"/>
      <c r="P337" s="2688">
        <v>1294</v>
      </c>
      <c r="Q337" s="2684" t="s">
        <v>6842</v>
      </c>
      <c r="R337" s="2689" t="s">
        <v>6843</v>
      </c>
      <c r="S337" s="2690" t="s">
        <v>6844</v>
      </c>
      <c r="T337" s="1702"/>
      <c r="U337" s="1702"/>
      <c r="V337" s="1702"/>
      <c r="W337" s="1702"/>
      <c r="X337" s="1702"/>
      <c r="Y337" s="1702"/>
      <c r="Z337" s="1702"/>
      <c r="AA337" s="1702"/>
      <c r="AB337" s="1702"/>
      <c r="AC337" s="1702"/>
      <c r="AD337" s="1702"/>
    </row>
    <row r="338" spans="1:30">
      <c r="A338" s="2688">
        <v>323</v>
      </c>
      <c r="B338" s="2684" t="s">
        <v>6845</v>
      </c>
      <c r="C338" s="2689" t="s">
        <v>6846</v>
      </c>
      <c r="D338" s="2690" t="s">
        <v>6847</v>
      </c>
      <c r="E338" s="2691"/>
      <c r="F338" s="2688">
        <v>647</v>
      </c>
      <c r="G338" s="2684" t="s">
        <v>6848</v>
      </c>
      <c r="H338" s="2689" t="s">
        <v>6849</v>
      </c>
      <c r="I338" s="2690" t="s">
        <v>6850</v>
      </c>
      <c r="J338" s="2691"/>
      <c r="K338" s="2688">
        <v>971</v>
      </c>
      <c r="L338" s="2684" t="s">
        <v>6851</v>
      </c>
      <c r="M338" s="2689" t="s">
        <v>6852</v>
      </c>
      <c r="N338" s="2690" t="s">
        <v>6853</v>
      </c>
      <c r="O338" s="2691"/>
      <c r="P338" s="2688">
        <v>1295</v>
      </c>
      <c r="Q338" s="2684" t="s">
        <v>6854</v>
      </c>
      <c r="R338" s="2689" t="s">
        <v>6855</v>
      </c>
      <c r="S338" s="2690" t="s">
        <v>6856</v>
      </c>
      <c r="T338" s="1702"/>
      <c r="U338" s="1702"/>
      <c r="V338" s="1702"/>
      <c r="W338" s="1702"/>
      <c r="X338" s="1702"/>
      <c r="Y338" s="1702"/>
      <c r="Z338" s="1702"/>
      <c r="AA338" s="1702"/>
      <c r="AB338" s="1702"/>
      <c r="AC338" s="1702"/>
      <c r="AD338" s="1702"/>
    </row>
    <row r="339" spans="1:30" ht="25.5">
      <c r="A339" s="2688">
        <v>324</v>
      </c>
      <c r="B339" s="2684" t="s">
        <v>6857</v>
      </c>
      <c r="C339" s="2689" t="s">
        <v>6858</v>
      </c>
      <c r="D339" s="2690" t="s">
        <v>6859</v>
      </c>
      <c r="E339" s="2691"/>
      <c r="F339" s="2688">
        <v>648</v>
      </c>
      <c r="G339" s="2684" t="s">
        <v>6860</v>
      </c>
      <c r="H339" s="2689" t="s">
        <v>6861</v>
      </c>
      <c r="I339" s="2690" t="s">
        <v>6862</v>
      </c>
      <c r="J339" s="2691"/>
      <c r="K339" s="2688">
        <v>972</v>
      </c>
      <c r="L339" s="2684" t="s">
        <v>6863</v>
      </c>
      <c r="M339" s="2689" t="s">
        <v>6864</v>
      </c>
      <c r="N339" s="2690" t="s">
        <v>6865</v>
      </c>
      <c r="O339" s="2691"/>
      <c r="P339" s="2688">
        <v>1296</v>
      </c>
      <c r="Q339" s="2684" t="s">
        <v>6866</v>
      </c>
      <c r="R339" s="2689" t="s">
        <v>6867</v>
      </c>
      <c r="S339" s="2690" t="s">
        <v>6868</v>
      </c>
      <c r="T339" s="1702"/>
      <c r="U339" s="1702"/>
      <c r="V339" s="1702"/>
      <c r="W339" s="1702"/>
      <c r="X339" s="1702"/>
      <c r="Y339" s="1702"/>
      <c r="Z339" s="1702"/>
      <c r="AA339" s="1702"/>
      <c r="AB339" s="1702"/>
      <c r="AC339" s="1702"/>
      <c r="AD339" s="1702"/>
    </row>
  </sheetData>
  <mergeCells count="1">
    <mergeCell ref="A1:U1"/>
  </mergeCells>
  <hyperlinks>
    <hyperlink ref="D4" r:id="rId1" xr:uid="{C73BA643-350A-4417-BFEE-6362E6ACB107}"/>
    <hyperlink ref="U8" r:id="rId2" xr:uid="{6DFA9277-F110-468E-BDE1-DF7F2430502B}"/>
    <hyperlink ref="AA4" r:id="rId3" xr:uid="{4C65AA8E-10E2-44A0-B02A-13394D4141EB}"/>
    <hyperlink ref="AA6" r:id="rId4" xr:uid="{28A05792-0F3C-4322-B7CC-D7B4B25C1266}"/>
    <hyperlink ref="AA8" r:id="rId5" xr:uid="{6FA3B2E0-6CBB-4C84-BAD9-1880DBA347FF}"/>
    <hyperlink ref="V17" r:id="rId6" xr:uid="{F1E15B38-9E4E-480B-B385-BB3C0943187A}"/>
    <hyperlink ref="V19" r:id="rId7" xr:uid="{AB4B4473-9AB0-4286-923D-4B6180B08ABC}"/>
    <hyperlink ref="D6" r:id="rId8" xr:uid="{2407EA9F-B6F5-4717-8898-8C946DF80048}"/>
    <hyperlink ref="D8" r:id="rId9" xr:uid="{40C9741F-F423-448A-BC87-2F5E23FEBB06}"/>
    <hyperlink ref="O4" r:id="rId10" xr:uid="{CD1CC607-CC70-488E-8297-46C9978A1673}"/>
    <hyperlink ref="O8" r:id="rId11" xr:uid="{C2A940CA-EDDC-4436-BEE5-32FAC4AD80D1}"/>
    <hyperlink ref="O6" r:id="rId12" xr:uid="{EA42DFFF-C326-4E36-8B42-53B30557F6CE}"/>
    <hyperlink ref="U4" r:id="rId13" xr:uid="{6903B29D-8CDC-4560-A287-2C58EB64A704}"/>
    <hyperlink ref="U6" r:id="rId14" xr:uid="{E6A59AE4-512C-455D-8FA4-70E155C7A422}"/>
  </hyperlinks>
  <pageMargins left="0.7" right="0.7" top="0.75" bottom="0.75" header="0.3" footer="0.3"/>
  <drawing r:id="rId1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9790E-11B6-4ED6-A523-6658FD746D84}">
  <dimension ref="A1:CM174"/>
  <sheetViews>
    <sheetView topLeftCell="A10" zoomScale="75" zoomScaleNormal="75" workbookViewId="0">
      <selection activeCell="L13" sqref="L13"/>
    </sheetView>
  </sheetViews>
  <sheetFormatPr baseColWidth="10" defaultRowHeight="12.75"/>
  <cols>
    <col min="1" max="1" width="1.85546875" style="361" customWidth="1"/>
    <col min="2" max="2" width="12.7109375" style="361" customWidth="1"/>
    <col min="3" max="3" width="3.28515625" style="361" customWidth="1"/>
    <col min="4" max="5" width="12.7109375" style="361" customWidth="1"/>
    <col min="6" max="6" width="3.28515625" style="361" customWidth="1"/>
    <col min="7" max="8" width="12.7109375" style="361" customWidth="1"/>
    <col min="9" max="9" width="3.28515625" style="361" customWidth="1"/>
    <col min="10" max="10" width="19.28515625" style="361" customWidth="1"/>
    <col min="11" max="11" width="12.7109375" style="361" customWidth="1"/>
    <col min="12" max="12" width="3.28515625" style="361" customWidth="1"/>
    <col min="13" max="13" width="21" style="361" customWidth="1"/>
    <col min="14" max="14" width="3" style="361" customWidth="1"/>
    <col min="15" max="15" width="12.7109375" style="361" customWidth="1"/>
    <col min="16" max="16" width="3.28515625" style="361" customWidth="1"/>
    <col min="17" max="17" width="13.5703125" style="361" customWidth="1"/>
    <col min="18" max="18" width="12.7109375" style="361" customWidth="1"/>
    <col min="19" max="19" width="3.28515625" style="361" customWidth="1"/>
    <col min="20" max="20" width="13.42578125" style="361" customWidth="1"/>
    <col min="21" max="21" width="12.7109375" style="361" customWidth="1"/>
    <col min="22" max="22" width="3.28515625" style="361" customWidth="1"/>
    <col min="23" max="23" width="19.7109375" style="361" customWidth="1"/>
    <col min="24" max="24" width="11.42578125" style="361" customWidth="1"/>
    <col min="25" max="25" width="3.28515625" style="361" customWidth="1"/>
    <col min="26" max="26" width="21.7109375" style="361" customWidth="1"/>
    <col min="27" max="27" width="3" style="361" customWidth="1"/>
    <col min="28" max="29" width="11.42578125" style="361"/>
    <col min="30" max="30" width="27.28515625" style="1519" customWidth="1"/>
    <col min="31" max="31" width="9.7109375" style="1519" customWidth="1"/>
    <col min="32" max="32" width="1.42578125" style="1519" customWidth="1"/>
    <col min="33" max="33" width="9.7109375" style="1519" customWidth="1"/>
    <col min="34" max="34" width="1.42578125" style="1519" customWidth="1"/>
    <col min="35" max="35" width="9.7109375" style="1519" customWidth="1"/>
    <col min="36" max="36" width="1.42578125" style="1519" customWidth="1"/>
    <col min="37" max="37" width="9.7109375" style="1519" customWidth="1"/>
    <col min="38" max="38" width="1.42578125" style="1519" customWidth="1"/>
    <col min="39" max="39" width="9.7109375" style="1519" customWidth="1"/>
    <col min="40" max="40" width="1.42578125" style="1519" customWidth="1"/>
    <col min="41" max="41" width="9.7109375" style="1519" customWidth="1"/>
    <col min="42" max="42" width="1.42578125" style="1519" customWidth="1"/>
    <col min="43" max="43" width="9.7109375" style="1519" customWidth="1"/>
    <col min="44" max="44" width="1.42578125" style="1519" customWidth="1"/>
    <col min="45" max="45" width="9.7109375" style="1519" customWidth="1"/>
    <col min="46" max="46" width="1.42578125" style="1519" customWidth="1"/>
    <col min="47" max="47" width="9.7109375" style="1519" customWidth="1"/>
    <col min="48" max="48" width="1.42578125" style="1519" customWidth="1"/>
    <col min="49" max="49" width="9.7109375" style="1519" customWidth="1"/>
    <col min="50" max="50" width="1.42578125" style="1519" customWidth="1"/>
    <col min="51" max="51" width="9.7109375" style="1519" customWidth="1"/>
    <col min="52" max="52" width="1.42578125" style="1519" customWidth="1"/>
    <col min="53" max="53" width="9.7109375" style="1519" customWidth="1"/>
    <col min="54" max="54" width="1.42578125" style="1519" customWidth="1"/>
    <col min="55" max="55" width="11.42578125" style="1519"/>
    <col min="56" max="56" width="32.7109375" style="1519" customWidth="1"/>
    <col min="57" max="58" width="11.42578125" style="1519"/>
    <col min="59" max="59" width="4" style="1519" customWidth="1"/>
    <col min="60" max="61" width="11.42578125" style="1519"/>
    <col min="62" max="62" width="4" style="1519" customWidth="1"/>
    <col min="63" max="64" width="11.42578125" style="1519"/>
    <col min="65" max="65" width="4" style="1519" customWidth="1"/>
    <col min="66" max="67" width="11.42578125" style="1519"/>
    <col min="68" max="68" width="4" style="1519" customWidth="1"/>
    <col min="69" max="70" width="11.42578125" style="1519"/>
    <col min="71" max="71" width="4" style="1519" customWidth="1"/>
    <col min="72" max="73" width="11.42578125" style="1519"/>
    <col min="74" max="74" width="4" style="1519" customWidth="1"/>
    <col min="75" max="76" width="11.42578125" style="1519"/>
    <col min="77" max="77" width="4" style="1519" customWidth="1"/>
    <col min="78" max="79" width="11.42578125" style="1519"/>
    <col min="80" max="80" width="4" style="1519" customWidth="1"/>
    <col min="81" max="82" width="11.42578125" style="1519"/>
    <col min="83" max="83" width="4" style="1519" customWidth="1"/>
    <col min="84" max="85" width="11.42578125" style="1519"/>
    <col min="86" max="86" width="4" style="1519" customWidth="1"/>
    <col min="87" max="88" width="11.42578125" style="1519"/>
    <col min="89" max="89" width="4" style="1519" customWidth="1"/>
    <col min="90" max="91" width="11.42578125" style="1519"/>
    <col min="92" max="16384" width="11.42578125" style="311"/>
  </cols>
  <sheetData>
    <row r="1" spans="1:91" customFormat="1" ht="15">
      <c r="A1" s="1521"/>
      <c r="B1" s="1521"/>
      <c r="C1" s="1521"/>
      <c r="D1" s="1521"/>
      <c r="E1" s="1521"/>
      <c r="F1" s="1521"/>
      <c r="G1" s="1521"/>
      <c r="H1" s="1521"/>
      <c r="I1" s="1521"/>
      <c r="J1" s="1521"/>
      <c r="K1" s="1521"/>
      <c r="L1" s="1521"/>
      <c r="M1" s="1521"/>
      <c r="N1" s="1521"/>
      <c r="O1" s="1521"/>
      <c r="P1" s="1521"/>
      <c r="Q1" s="1521"/>
      <c r="R1" s="1521"/>
      <c r="S1" s="1521"/>
      <c r="T1" s="1521"/>
      <c r="U1" s="1521"/>
      <c r="V1" s="1521"/>
      <c r="W1" s="1521"/>
      <c r="X1" s="1521"/>
      <c r="Y1" s="1521"/>
      <c r="Z1" s="1521"/>
    </row>
    <row r="2" spans="1:91" customFormat="1" ht="26.25">
      <c r="A2" s="310"/>
      <c r="B2" s="310"/>
      <c r="C2" s="310"/>
      <c r="D2" s="310"/>
      <c r="E2" s="310"/>
      <c r="F2" s="310"/>
      <c r="G2" s="310"/>
      <c r="H2" s="310"/>
      <c r="I2" s="310"/>
      <c r="J2" s="310"/>
      <c r="K2" s="310"/>
      <c r="L2" s="310"/>
      <c r="M2" s="310"/>
      <c r="N2" s="310"/>
      <c r="O2" s="310"/>
      <c r="P2" s="310"/>
      <c r="Q2" s="310"/>
      <c r="R2" s="310"/>
      <c r="S2" s="310"/>
      <c r="T2" s="310"/>
      <c r="U2" s="2451" t="s">
        <v>2766</v>
      </c>
      <c r="V2" s="1521"/>
      <c r="W2" s="1521"/>
      <c r="X2" s="1521"/>
      <c r="Y2" s="1521"/>
      <c r="Z2" s="1883"/>
    </row>
    <row r="3" spans="1:91" customFormat="1" ht="26.25">
      <c r="A3" s="1521"/>
      <c r="B3" s="1521"/>
      <c r="C3" s="1521"/>
      <c r="D3" s="1521"/>
      <c r="E3" s="1521"/>
      <c r="F3" s="1521"/>
      <c r="G3" s="1521"/>
      <c r="H3" s="1521"/>
      <c r="I3" s="1521"/>
      <c r="J3" s="1521"/>
      <c r="K3" s="1521"/>
      <c r="L3" s="1521"/>
      <c r="M3" s="1521"/>
      <c r="N3" s="1521"/>
      <c r="O3" s="1521"/>
      <c r="P3" s="1521"/>
      <c r="Q3" s="1521"/>
      <c r="R3" s="1521"/>
      <c r="S3" s="1521"/>
      <c r="T3" s="1521"/>
      <c r="U3" s="2451" t="s">
        <v>2548</v>
      </c>
      <c r="V3" s="1521"/>
      <c r="W3" s="1521"/>
      <c r="X3" s="1521"/>
      <c r="Y3" s="1521"/>
      <c r="Z3" s="1883"/>
    </row>
    <row r="4" spans="1:91" customFormat="1" ht="15">
      <c r="A4" s="1521"/>
      <c r="B4" s="1521"/>
      <c r="C4" s="1521"/>
      <c r="D4" s="1521"/>
      <c r="E4" s="1521"/>
      <c r="F4" s="1521"/>
      <c r="G4" s="1521"/>
      <c r="H4" s="1521"/>
      <c r="I4" s="1521"/>
      <c r="J4" s="1521"/>
      <c r="K4" s="1521"/>
      <c r="L4" s="1521"/>
      <c r="M4" s="1521"/>
      <c r="N4" s="1521"/>
      <c r="O4" s="1521"/>
      <c r="P4" s="1521"/>
      <c r="Q4" s="1521"/>
      <c r="R4" s="1521"/>
      <c r="S4" s="1521"/>
      <c r="T4" s="1521"/>
      <c r="U4" s="1521"/>
      <c r="V4" s="1521"/>
      <c r="W4" s="1521"/>
      <c r="X4" s="1521"/>
      <c r="Y4" s="1521"/>
      <c r="Z4" s="1521"/>
    </row>
    <row r="6" spans="1:91" ht="42">
      <c r="A6" s="430">
        <v>0</v>
      </c>
      <c r="B6" s="2452" t="s">
        <v>1134</v>
      </c>
      <c r="C6" s="2453"/>
      <c r="D6" s="2454"/>
      <c r="E6" s="2455"/>
      <c r="F6" s="2455"/>
      <c r="G6" s="2455"/>
      <c r="H6" s="2455"/>
      <c r="I6" s="2455"/>
      <c r="J6" s="2455"/>
      <c r="K6" s="2455"/>
      <c r="L6" s="2455"/>
      <c r="M6" s="2455"/>
      <c r="N6" s="2455"/>
      <c r="O6" s="2455"/>
      <c r="P6" s="2455"/>
      <c r="Q6" s="2455"/>
      <c r="R6" s="2455"/>
      <c r="S6" s="2455"/>
      <c r="T6" s="2455"/>
      <c r="U6" s="2455"/>
      <c r="V6" s="2455"/>
      <c r="W6" s="2455"/>
      <c r="X6" s="2455"/>
      <c r="Y6" s="2455"/>
      <c r="Z6" s="2456"/>
      <c r="AB6" s="430"/>
      <c r="AC6" s="430"/>
    </row>
    <row r="7" spans="1:91">
      <c r="B7" s="2457" t="str">
        <f ca="1">CELL("nomfichier")</f>
        <v>D:\Données\1.UPRT\0-UPRT.fait\1-UPRT.FR-SITE-WEB\ff-fiches-fabrications\ff.fiches.fabrication.2023\UPRT.23.aout\[ff-20-CHARCUTERIE-michel-Mariette.BOUDIN.BLANC_-1.xlsx]Exemples Michel Mariette</v>
      </c>
      <c r="C7" s="2457"/>
      <c r="D7" s="2457"/>
      <c r="E7" s="2457"/>
      <c r="F7" s="2457"/>
      <c r="G7" s="2457"/>
      <c r="H7" s="2457"/>
      <c r="I7" s="2457"/>
      <c r="J7" s="2457"/>
      <c r="K7" s="2457"/>
      <c r="L7" s="2457"/>
      <c r="M7" s="2457"/>
      <c r="N7" s="2457"/>
      <c r="O7" s="2457"/>
      <c r="P7" s="2457"/>
      <c r="Q7" s="2457"/>
      <c r="R7" s="2457"/>
      <c r="S7" s="2457"/>
      <c r="T7" s="2457"/>
      <c r="U7" s="2457"/>
      <c r="V7" s="2457"/>
      <c r="W7" s="2457"/>
      <c r="X7" s="2457"/>
      <c r="Y7" s="2457"/>
      <c r="Z7" s="2457"/>
    </row>
    <row r="8" spans="1:91" ht="45">
      <c r="B8" s="2458" t="s">
        <v>1135</v>
      </c>
      <c r="C8" s="2459"/>
      <c r="D8" s="2460" t="s">
        <v>1136</v>
      </c>
      <c r="E8" s="2461" t="s">
        <v>1137</v>
      </c>
      <c r="F8" s="2462"/>
      <c r="G8" s="2462"/>
      <c r="H8" s="2462"/>
      <c r="I8" s="2462"/>
      <c r="J8" s="2462"/>
      <c r="K8" s="2462"/>
      <c r="L8" s="2462"/>
      <c r="M8" s="2463"/>
      <c r="O8" s="2458" t="s">
        <v>1135</v>
      </c>
      <c r="P8" s="2459"/>
      <c r="Q8" s="2460" t="s">
        <v>1136</v>
      </c>
      <c r="R8" s="2464" t="s">
        <v>1138</v>
      </c>
      <c r="S8" s="2465"/>
      <c r="T8" s="2465"/>
      <c r="U8" s="2465"/>
      <c r="V8" s="2465"/>
      <c r="W8" s="2465"/>
      <c r="X8" s="2465"/>
      <c r="Y8" s="2465"/>
      <c r="Z8" s="2466"/>
      <c r="AD8" s="361"/>
      <c r="AE8" s="361"/>
      <c r="AF8" s="361"/>
      <c r="AG8" s="361"/>
      <c r="AH8" s="361"/>
      <c r="AI8" s="361"/>
      <c r="AJ8" s="361"/>
      <c r="AK8" s="361"/>
      <c r="AL8" s="361"/>
      <c r="AM8" s="361"/>
      <c r="AN8" s="361"/>
      <c r="AO8" s="361"/>
      <c r="AP8" s="361"/>
      <c r="AQ8" s="361"/>
      <c r="AR8" s="361"/>
      <c r="AS8" s="361"/>
      <c r="AT8" s="361"/>
      <c r="AU8" s="361"/>
      <c r="AV8" s="311"/>
      <c r="AW8" s="311"/>
      <c r="AX8" s="311"/>
      <c r="AY8" s="311"/>
      <c r="AZ8" s="311"/>
      <c r="BA8" s="311"/>
      <c r="BB8" s="311"/>
      <c r="BC8" s="311"/>
      <c r="BD8" s="311"/>
      <c r="BE8" s="311"/>
      <c r="BF8" s="311"/>
      <c r="BG8" s="311"/>
      <c r="BH8" s="311"/>
      <c r="BI8" s="311"/>
      <c r="BJ8" s="311"/>
      <c r="BK8" s="311"/>
      <c r="BL8" s="311"/>
      <c r="BM8" s="311"/>
      <c r="BN8" s="311"/>
      <c r="BO8" s="311"/>
      <c r="BP8" s="311"/>
      <c r="BQ8" s="311"/>
      <c r="BR8" s="311"/>
      <c r="BS8" s="311"/>
      <c r="BT8" s="311"/>
      <c r="BU8" s="311"/>
      <c r="BV8" s="311"/>
      <c r="BW8" s="311"/>
      <c r="BX8" s="311"/>
      <c r="BY8" s="311"/>
      <c r="BZ8" s="311"/>
      <c r="CA8" s="311"/>
      <c r="CB8" s="311"/>
      <c r="CC8" s="311"/>
      <c r="CD8" s="311"/>
      <c r="CE8" s="311"/>
      <c r="CF8" s="311"/>
      <c r="CG8" s="311"/>
      <c r="CH8" s="311"/>
      <c r="CI8" s="311"/>
      <c r="CJ8" s="311"/>
      <c r="CK8" s="311"/>
      <c r="CL8" s="311"/>
      <c r="CM8" s="311"/>
    </row>
    <row r="9" spans="1:91" ht="30">
      <c r="B9" s="431">
        <v>45</v>
      </c>
      <c r="C9" s="2467" t="s">
        <v>1139</v>
      </c>
      <c r="D9" s="2468">
        <f>B9</f>
        <v>45</v>
      </c>
      <c r="E9" s="2469" t="s">
        <v>1246</v>
      </c>
      <c r="F9" s="2469"/>
      <c r="G9" s="2470"/>
      <c r="H9" s="2470"/>
      <c r="I9" s="2470"/>
      <c r="J9" s="2470"/>
      <c r="K9" s="2470"/>
      <c r="L9" s="2470"/>
      <c r="M9" s="2471"/>
      <c r="O9" s="431" t="s">
        <v>1141</v>
      </c>
      <c r="P9" s="2467" t="s">
        <v>1139</v>
      </c>
      <c r="Q9" s="2472" t="str">
        <f>O9</f>
        <v>Aa</v>
      </c>
      <c r="R9" s="2473" t="s">
        <v>1246</v>
      </c>
      <c r="S9" s="2473"/>
      <c r="T9" s="2473"/>
      <c r="U9" s="2473"/>
      <c r="V9" s="2473"/>
      <c r="W9" s="2473"/>
      <c r="X9" s="2473"/>
      <c r="Y9" s="2473"/>
      <c r="Z9" s="2474"/>
      <c r="AC9" s="359"/>
    </row>
    <row r="10" spans="1:91" ht="23.25">
      <c r="B10" s="2475"/>
      <c r="M10" s="2476"/>
      <c r="O10" s="2475"/>
      <c r="Z10" s="2476"/>
      <c r="AC10" s="359"/>
      <c r="AD10" s="2477" t="s">
        <v>2972</v>
      </c>
      <c r="BE10" s="2478" t="s">
        <v>2972</v>
      </c>
    </row>
    <row r="11" spans="1:91" ht="20.25">
      <c r="B11" s="432" t="s">
        <v>1142</v>
      </c>
      <c r="C11" s="9892" t="s">
        <v>1143</v>
      </c>
      <c r="D11" s="9893"/>
      <c r="E11" s="2479" t="s">
        <v>1144</v>
      </c>
      <c r="F11" s="9892" t="s">
        <v>1143</v>
      </c>
      <c r="G11" s="9893"/>
      <c r="H11" s="2479" t="s">
        <v>1145</v>
      </c>
      <c r="I11" s="9892" t="s">
        <v>1143</v>
      </c>
      <c r="J11" s="9893"/>
      <c r="K11" s="2479" t="s">
        <v>1146</v>
      </c>
      <c r="L11" s="9892" t="s">
        <v>1143</v>
      </c>
      <c r="M11" s="9902"/>
      <c r="O11" s="432" t="s">
        <v>1142</v>
      </c>
      <c r="P11" s="9894" t="s">
        <v>1143</v>
      </c>
      <c r="Q11" s="9895"/>
      <c r="R11" s="2479" t="s">
        <v>1144</v>
      </c>
      <c r="S11" s="9894" t="s">
        <v>1143</v>
      </c>
      <c r="T11" s="9895"/>
      <c r="U11" s="2479" t="s">
        <v>1145</v>
      </c>
      <c r="V11" s="9894" t="s">
        <v>1143</v>
      </c>
      <c r="W11" s="9895"/>
      <c r="X11" s="2479" t="s">
        <v>1146</v>
      </c>
      <c r="Y11" s="9894" t="s">
        <v>1143</v>
      </c>
      <c r="Z11" s="9896"/>
      <c r="AC11" s="359"/>
    </row>
    <row r="12" spans="1:91" ht="44.25">
      <c r="A12" s="359"/>
      <c r="B12" s="433" t="s">
        <v>337</v>
      </c>
      <c r="C12" s="2480" t="s">
        <v>1139</v>
      </c>
      <c r="D12" s="2481" t="s">
        <v>337</v>
      </c>
      <c r="E12" s="2482" t="s">
        <v>1147</v>
      </c>
      <c r="F12" s="2480" t="s">
        <v>1139</v>
      </c>
      <c r="G12" s="2483" t="s">
        <v>1147</v>
      </c>
      <c r="H12" s="2484">
        <v>1</v>
      </c>
      <c r="I12" s="2480" t="s">
        <v>1139</v>
      </c>
      <c r="J12" s="2481">
        <v>1</v>
      </c>
      <c r="K12" s="2484">
        <v>27</v>
      </c>
      <c r="L12" s="2480" t="s">
        <v>1139</v>
      </c>
      <c r="M12" s="2485">
        <v>27</v>
      </c>
      <c r="N12" s="359"/>
      <c r="O12" s="433" t="s">
        <v>337</v>
      </c>
      <c r="P12" s="2480" t="s">
        <v>1139</v>
      </c>
      <c r="Q12" s="2486" t="s">
        <v>337</v>
      </c>
      <c r="R12" s="2482" t="s">
        <v>1147</v>
      </c>
      <c r="S12" s="2480" t="s">
        <v>1139</v>
      </c>
      <c r="T12" s="2487" t="s">
        <v>1147</v>
      </c>
      <c r="U12" s="2484">
        <v>1</v>
      </c>
      <c r="V12" s="2480" t="s">
        <v>1139</v>
      </c>
      <c r="W12" s="2486">
        <v>1</v>
      </c>
      <c r="X12" s="2484">
        <v>27</v>
      </c>
      <c r="Y12" s="2480" t="s">
        <v>1139</v>
      </c>
      <c r="Z12" s="2488">
        <v>27</v>
      </c>
      <c r="AA12" s="359"/>
      <c r="AB12" s="359"/>
      <c r="AC12" s="359"/>
      <c r="AD12" s="2489" t="s">
        <v>2973</v>
      </c>
      <c r="AE12" s="2490" t="s">
        <v>2974</v>
      </c>
      <c r="AF12" s="2491"/>
      <c r="AG12" s="2490" t="s">
        <v>2975</v>
      </c>
      <c r="AH12" s="2491"/>
      <c r="AI12" s="2490" t="s">
        <v>2976</v>
      </c>
      <c r="AJ12" s="2491"/>
      <c r="AK12" s="2490" t="s">
        <v>2977</v>
      </c>
      <c r="AL12" s="2491"/>
      <c r="AM12" s="2490" t="s">
        <v>2978</v>
      </c>
      <c r="AN12" s="2491"/>
      <c r="AO12" s="2490" t="s">
        <v>2979</v>
      </c>
      <c r="AP12" s="2491"/>
      <c r="AQ12" s="2490" t="s">
        <v>2980</v>
      </c>
      <c r="AR12" s="2491"/>
      <c r="AS12" s="2490" t="s">
        <v>2981</v>
      </c>
      <c r="AT12" s="2491"/>
      <c r="AU12" s="2490" t="s">
        <v>2982</v>
      </c>
      <c r="AV12" s="2491"/>
      <c r="AW12" s="2490" t="s">
        <v>2983</v>
      </c>
      <c r="AX12" s="2491"/>
      <c r="AY12" s="2490" t="s">
        <v>2984</v>
      </c>
      <c r="AZ12" s="2491"/>
      <c r="BA12" s="2490" t="s">
        <v>2985</v>
      </c>
      <c r="BD12" s="9903" t="s">
        <v>2986</v>
      </c>
      <c r="BE12" s="2492">
        <v>1</v>
      </c>
      <c r="BF12" s="2493"/>
      <c r="BG12" s="2494"/>
      <c r="BH12" s="2492">
        <v>2</v>
      </c>
      <c r="BI12" s="2493"/>
      <c r="BJ12" s="2494"/>
      <c r="BK12" s="2492">
        <v>3</v>
      </c>
      <c r="BL12" s="2493"/>
      <c r="BM12" s="2494"/>
      <c r="BN12" s="2492">
        <v>4</v>
      </c>
      <c r="BO12" s="2493"/>
      <c r="BP12" s="2494"/>
      <c r="BQ12" s="2492">
        <v>5</v>
      </c>
      <c r="BR12" s="2493"/>
      <c r="BS12" s="2494"/>
      <c r="BT12" s="2492">
        <v>6</v>
      </c>
      <c r="BU12" s="2493"/>
      <c r="BV12" s="2494"/>
      <c r="BW12" s="2492">
        <v>7</v>
      </c>
      <c r="BX12" s="2493"/>
      <c r="BY12" s="2494"/>
      <c r="BZ12" s="2492">
        <v>8</v>
      </c>
      <c r="CA12" s="2493"/>
      <c r="CB12" s="2494"/>
      <c r="CC12" s="2492">
        <v>9</v>
      </c>
      <c r="CD12" s="2493"/>
      <c r="CE12" s="2494"/>
      <c r="CF12" s="2492">
        <v>0</v>
      </c>
      <c r="CG12" s="2493"/>
      <c r="CH12" s="2494"/>
      <c r="CI12" s="2492" t="s">
        <v>2987</v>
      </c>
      <c r="CJ12" s="2493"/>
      <c r="CK12" s="2494"/>
      <c r="CL12" s="2495" t="s">
        <v>2988</v>
      </c>
      <c r="CM12" s="2493"/>
    </row>
    <row r="13" spans="1:91" ht="44.25" customHeight="1">
      <c r="A13" s="359"/>
      <c r="B13" s="433" t="s">
        <v>339</v>
      </c>
      <c r="C13" s="2480" t="s">
        <v>1139</v>
      </c>
      <c r="D13" s="2481" t="s">
        <v>339</v>
      </c>
      <c r="E13" s="2482" t="s">
        <v>1150</v>
      </c>
      <c r="F13" s="2480" t="s">
        <v>1139</v>
      </c>
      <c r="G13" s="2483" t="s">
        <v>1150</v>
      </c>
      <c r="H13" s="2484">
        <v>2</v>
      </c>
      <c r="I13" s="2480" t="s">
        <v>1139</v>
      </c>
      <c r="J13" s="2481">
        <v>2</v>
      </c>
      <c r="K13" s="2484">
        <v>28</v>
      </c>
      <c r="L13" s="2480" t="s">
        <v>1139</v>
      </c>
      <c r="M13" s="2485">
        <v>28</v>
      </c>
      <c r="N13" s="359"/>
      <c r="O13" s="433" t="s">
        <v>339</v>
      </c>
      <c r="P13" s="2480" t="s">
        <v>1139</v>
      </c>
      <c r="Q13" s="2486" t="s">
        <v>339</v>
      </c>
      <c r="R13" s="2482" t="s">
        <v>1150</v>
      </c>
      <c r="S13" s="2480" t="s">
        <v>1139</v>
      </c>
      <c r="T13" s="2487" t="s">
        <v>1150</v>
      </c>
      <c r="U13" s="2484">
        <v>2</v>
      </c>
      <c r="V13" s="2480" t="s">
        <v>1139</v>
      </c>
      <c r="W13" s="2486">
        <v>2</v>
      </c>
      <c r="X13" s="2484">
        <v>28</v>
      </c>
      <c r="Y13" s="2480" t="s">
        <v>1139</v>
      </c>
      <c r="Z13" s="2488">
        <v>28</v>
      </c>
      <c r="AA13" s="359"/>
      <c r="AB13" s="359"/>
      <c r="AC13" s="359"/>
      <c r="AD13" s="2496"/>
      <c r="AE13" s="2497"/>
      <c r="AF13" s="2497"/>
      <c r="AG13" s="2497"/>
      <c r="AH13" s="2497"/>
      <c r="AI13" s="2497"/>
      <c r="AJ13" s="2497"/>
      <c r="AK13" s="2497"/>
      <c r="AL13" s="2497"/>
      <c r="AM13" s="2497"/>
      <c r="AN13" s="2497"/>
      <c r="AO13" s="2497"/>
      <c r="AP13" s="2497"/>
      <c r="AQ13" s="2497"/>
      <c r="AR13" s="2497"/>
      <c r="AS13" s="2497"/>
      <c r="AT13" s="2497"/>
      <c r="AU13" s="2497"/>
      <c r="AV13" s="2497"/>
      <c r="AW13" s="2497"/>
      <c r="AX13" s="2497"/>
      <c r="AY13" s="2497"/>
      <c r="AZ13" s="2497"/>
      <c r="BA13" s="2497"/>
      <c r="BD13" s="9903"/>
      <c r="BE13" s="2498" t="s">
        <v>1202</v>
      </c>
      <c r="BF13" s="2499"/>
      <c r="BG13" s="2494"/>
      <c r="BH13" s="2498" t="s">
        <v>1205</v>
      </c>
      <c r="BI13" s="2499" t="s">
        <v>1219</v>
      </c>
      <c r="BJ13" s="2494"/>
      <c r="BK13" s="2498" t="s">
        <v>1224</v>
      </c>
      <c r="BL13" s="2499" t="s">
        <v>1206</v>
      </c>
      <c r="BM13" s="2494"/>
      <c r="BN13" s="2500" t="s">
        <v>2989</v>
      </c>
      <c r="BO13" s="2499" t="s">
        <v>1227</v>
      </c>
      <c r="BP13" s="2494"/>
      <c r="BQ13" s="2498" t="s">
        <v>1210</v>
      </c>
      <c r="BR13" s="2499" t="s">
        <v>1217</v>
      </c>
      <c r="BS13" s="2494"/>
      <c r="BT13" s="2500" t="s">
        <v>1212</v>
      </c>
      <c r="BU13" s="2499" t="s">
        <v>1234</v>
      </c>
      <c r="BV13" s="2494"/>
      <c r="BW13" s="2498" t="s">
        <v>1209</v>
      </c>
      <c r="BX13" s="2499" t="s">
        <v>2990</v>
      </c>
      <c r="BY13" s="2494"/>
      <c r="BZ13" s="2498" t="s">
        <v>1235</v>
      </c>
      <c r="CA13" s="2499" t="s">
        <v>1228</v>
      </c>
      <c r="CB13" s="2494"/>
      <c r="CC13" s="2498" t="s">
        <v>1216</v>
      </c>
      <c r="CD13" s="2499" t="s">
        <v>2991</v>
      </c>
      <c r="CE13" s="2494"/>
      <c r="CF13" s="2498" t="s">
        <v>1221</v>
      </c>
      <c r="CG13" s="2499" t="s">
        <v>212</v>
      </c>
      <c r="CH13" s="2494"/>
      <c r="CI13" s="2498" t="s">
        <v>1215</v>
      </c>
      <c r="CJ13" s="2499" t="s">
        <v>1222</v>
      </c>
      <c r="CK13" s="2494"/>
      <c r="CL13" s="2500" t="s">
        <v>1139</v>
      </c>
      <c r="CM13" s="2499" t="s">
        <v>1231</v>
      </c>
    </row>
    <row r="14" spans="1:91" ht="44.25">
      <c r="A14" s="359"/>
      <c r="B14" s="433" t="s">
        <v>338</v>
      </c>
      <c r="C14" s="2480" t="s">
        <v>1139</v>
      </c>
      <c r="D14" s="2481" t="s">
        <v>338</v>
      </c>
      <c r="E14" s="2482" t="s">
        <v>1154</v>
      </c>
      <c r="F14" s="2480" t="s">
        <v>1139</v>
      </c>
      <c r="G14" s="2483" t="s">
        <v>1154</v>
      </c>
      <c r="H14" s="2484">
        <v>3</v>
      </c>
      <c r="I14" s="2480" t="s">
        <v>1139</v>
      </c>
      <c r="J14" s="2481">
        <v>3</v>
      </c>
      <c r="K14" s="2484">
        <v>29</v>
      </c>
      <c r="L14" s="2480" t="s">
        <v>1139</v>
      </c>
      <c r="M14" s="2485">
        <v>29</v>
      </c>
      <c r="N14" s="359"/>
      <c r="O14" s="433" t="s">
        <v>338</v>
      </c>
      <c r="P14" s="2480" t="s">
        <v>1139</v>
      </c>
      <c r="Q14" s="2486" t="s">
        <v>338</v>
      </c>
      <c r="R14" s="2482" t="s">
        <v>1154</v>
      </c>
      <c r="S14" s="2480" t="s">
        <v>1139</v>
      </c>
      <c r="T14" s="2487" t="s">
        <v>1154</v>
      </c>
      <c r="U14" s="2484">
        <v>3</v>
      </c>
      <c r="V14" s="2480" t="s">
        <v>1139</v>
      </c>
      <c r="W14" s="2486">
        <v>3</v>
      </c>
      <c r="X14" s="2484">
        <v>29</v>
      </c>
      <c r="Y14" s="2480" t="s">
        <v>1139</v>
      </c>
      <c r="Z14" s="2488">
        <v>29</v>
      </c>
      <c r="AA14" s="359"/>
      <c r="AB14" s="359"/>
      <c r="AC14" s="359"/>
      <c r="AD14" s="2489" t="s">
        <v>2317</v>
      </c>
      <c r="AE14" s="2501" t="s">
        <v>2992</v>
      </c>
      <c r="AF14" s="2502"/>
      <c r="AG14" s="2501" t="s">
        <v>2993</v>
      </c>
      <c r="AH14" s="2502"/>
      <c r="AI14" s="2501" t="s">
        <v>2994</v>
      </c>
      <c r="AJ14" s="2502"/>
      <c r="AK14" s="2501" t="s">
        <v>2995</v>
      </c>
      <c r="AL14" s="2502"/>
      <c r="AM14" s="2501" t="s">
        <v>2364</v>
      </c>
      <c r="AN14" s="2502"/>
      <c r="AO14" s="2501" t="s">
        <v>2381</v>
      </c>
      <c r="AP14" s="2502"/>
      <c r="AQ14" s="2501" t="s">
        <v>2996</v>
      </c>
      <c r="AR14" s="2502"/>
      <c r="AS14" s="2501" t="s">
        <v>2997</v>
      </c>
      <c r="AT14" s="2502"/>
      <c r="AU14" s="2501" t="s">
        <v>2998</v>
      </c>
      <c r="AV14" s="2502"/>
      <c r="AW14" s="2501" t="s">
        <v>2365</v>
      </c>
      <c r="AX14" s="2502"/>
      <c r="AY14" s="2501" t="s">
        <v>2366</v>
      </c>
      <c r="AZ14" s="2502"/>
      <c r="BA14" s="2501" t="s">
        <v>2367</v>
      </c>
      <c r="BD14" s="2503"/>
      <c r="BE14" s="2494"/>
      <c r="BF14" s="2494"/>
      <c r="BG14" s="2494"/>
      <c r="BH14" s="2494"/>
      <c r="BI14" s="2494"/>
      <c r="BJ14" s="2494"/>
      <c r="BK14" s="2494"/>
      <c r="BL14" s="2494"/>
      <c r="BM14" s="2494"/>
      <c r="BN14" s="2494"/>
      <c r="BO14" s="2494"/>
      <c r="BP14" s="2494"/>
      <c r="BQ14" s="2494"/>
      <c r="BR14" s="2494"/>
      <c r="BS14" s="2494"/>
      <c r="BT14" s="2494"/>
      <c r="BU14" s="2494"/>
      <c r="BV14" s="2494"/>
      <c r="BW14" s="2494"/>
      <c r="BX14" s="2494"/>
      <c r="BY14" s="2494"/>
      <c r="BZ14" s="2494"/>
      <c r="CA14" s="2494"/>
      <c r="CB14" s="2494"/>
      <c r="CC14" s="2494"/>
      <c r="CD14" s="2494"/>
      <c r="CE14" s="2494"/>
      <c r="CF14" s="2494"/>
      <c r="CG14" s="2494"/>
      <c r="CH14" s="2494"/>
      <c r="CI14" s="2494"/>
      <c r="CJ14" s="2494"/>
      <c r="CK14" s="2494"/>
      <c r="CL14" s="2494"/>
      <c r="CM14" s="2494"/>
    </row>
    <row r="15" spans="1:91" ht="44.25">
      <c r="A15" s="359"/>
      <c r="B15" s="433" t="s">
        <v>342</v>
      </c>
      <c r="C15" s="2480" t="s">
        <v>1139</v>
      </c>
      <c r="D15" s="2481" t="s">
        <v>342</v>
      </c>
      <c r="E15" s="2482" t="s">
        <v>1157</v>
      </c>
      <c r="F15" s="2480" t="s">
        <v>1139</v>
      </c>
      <c r="G15" s="2483" t="s">
        <v>1157</v>
      </c>
      <c r="H15" s="2484">
        <v>4</v>
      </c>
      <c r="I15" s="2480" t="s">
        <v>1139</v>
      </c>
      <c r="J15" s="2481">
        <v>4</v>
      </c>
      <c r="K15" s="2484">
        <v>30</v>
      </c>
      <c r="L15" s="2480" t="s">
        <v>1139</v>
      </c>
      <c r="M15" s="2485">
        <v>30</v>
      </c>
      <c r="N15" s="359"/>
      <c r="O15" s="433" t="s">
        <v>342</v>
      </c>
      <c r="P15" s="2480" t="s">
        <v>1139</v>
      </c>
      <c r="Q15" s="2486" t="s">
        <v>342</v>
      </c>
      <c r="R15" s="2482" t="s">
        <v>1157</v>
      </c>
      <c r="S15" s="2480" t="s">
        <v>1139</v>
      </c>
      <c r="T15" s="2487" t="s">
        <v>1157</v>
      </c>
      <c r="U15" s="2484">
        <v>4</v>
      </c>
      <c r="V15" s="2480" t="s">
        <v>1139</v>
      </c>
      <c r="W15" s="2486">
        <v>4</v>
      </c>
      <c r="X15" s="2484">
        <v>30</v>
      </c>
      <c r="Y15" s="2480" t="s">
        <v>1139</v>
      </c>
      <c r="Z15" s="2488">
        <v>30</v>
      </c>
      <c r="AA15" s="359"/>
      <c r="AB15" s="359"/>
      <c r="AC15" s="359"/>
      <c r="AD15" s="2496"/>
      <c r="AE15" s="2504"/>
      <c r="AF15" s="2504"/>
      <c r="AG15" s="2504"/>
      <c r="AH15" s="2504"/>
      <c r="AI15" s="2504"/>
      <c r="AJ15" s="2504"/>
      <c r="AK15" s="2504"/>
      <c r="AL15" s="2504"/>
      <c r="AM15" s="2504"/>
      <c r="AN15" s="2504"/>
      <c r="AO15" s="2504"/>
      <c r="AP15" s="2504"/>
      <c r="AQ15" s="2504"/>
      <c r="AR15" s="2504"/>
      <c r="AS15" s="2504"/>
      <c r="AT15" s="2504"/>
      <c r="AU15" s="2504"/>
      <c r="AV15" s="2504"/>
      <c r="AW15" s="2504"/>
      <c r="AX15" s="2504"/>
      <c r="AY15" s="2504"/>
      <c r="AZ15" s="2504"/>
      <c r="BA15" s="2504"/>
      <c r="BD15" s="9899" t="s">
        <v>2999</v>
      </c>
      <c r="BE15" s="2505">
        <v>1</v>
      </c>
      <c r="BF15" s="2506"/>
      <c r="BG15" s="2507"/>
      <c r="BH15" s="2505">
        <v>2</v>
      </c>
      <c r="BI15" s="2506"/>
      <c r="BJ15" s="2507"/>
      <c r="BK15" s="2505">
        <v>3</v>
      </c>
      <c r="BL15" s="2506"/>
      <c r="BM15" s="2507"/>
      <c r="BN15" s="2505">
        <v>4</v>
      </c>
      <c r="BO15" s="2506"/>
      <c r="BP15" s="2507"/>
      <c r="BQ15" s="2505">
        <v>5</v>
      </c>
      <c r="BR15" s="2506"/>
      <c r="BS15" s="2507"/>
      <c r="BT15" s="2505">
        <v>6</v>
      </c>
      <c r="BU15" s="2506"/>
      <c r="BV15" s="2507"/>
      <c r="BW15" s="2505">
        <v>7</v>
      </c>
      <c r="BX15" s="2506"/>
      <c r="BY15" s="2507"/>
      <c r="BZ15" s="2505">
        <v>8</v>
      </c>
      <c r="CA15" s="2506"/>
      <c r="CB15" s="2507"/>
      <c r="CC15" s="2505">
        <v>9</v>
      </c>
      <c r="CD15" s="2506"/>
      <c r="CE15" s="2507"/>
      <c r="CF15" s="2505">
        <v>0</v>
      </c>
      <c r="CG15" s="2506"/>
      <c r="CH15" s="2507"/>
      <c r="CI15" s="2505" t="s">
        <v>2987</v>
      </c>
      <c r="CJ15" s="2506"/>
      <c r="CK15" s="2507"/>
      <c r="CL15" s="2505" t="s">
        <v>2988</v>
      </c>
      <c r="CM15" s="2506"/>
    </row>
    <row r="16" spans="1:91" ht="44.25">
      <c r="A16" s="359"/>
      <c r="B16" s="433" t="s">
        <v>651</v>
      </c>
      <c r="C16" s="2480" t="s">
        <v>1139</v>
      </c>
      <c r="D16" s="2481" t="s">
        <v>651</v>
      </c>
      <c r="E16" s="2482" t="s">
        <v>1160</v>
      </c>
      <c r="F16" s="2480" t="s">
        <v>1139</v>
      </c>
      <c r="G16" s="2483" t="s">
        <v>1160</v>
      </c>
      <c r="H16" s="2484">
        <v>5</v>
      </c>
      <c r="I16" s="2480" t="s">
        <v>1139</v>
      </c>
      <c r="J16" s="2481">
        <v>5</v>
      </c>
      <c r="K16" s="2484">
        <v>31</v>
      </c>
      <c r="L16" s="2480" t="s">
        <v>1139</v>
      </c>
      <c r="M16" s="2485">
        <v>31</v>
      </c>
      <c r="N16" s="359"/>
      <c r="O16" s="433" t="s">
        <v>651</v>
      </c>
      <c r="P16" s="2480" t="s">
        <v>1139</v>
      </c>
      <c r="Q16" s="2486" t="s">
        <v>651</v>
      </c>
      <c r="R16" s="2482" t="s">
        <v>1160</v>
      </c>
      <c r="S16" s="2480" t="s">
        <v>1139</v>
      </c>
      <c r="T16" s="2487" t="s">
        <v>1160</v>
      </c>
      <c r="U16" s="2484">
        <v>5</v>
      </c>
      <c r="V16" s="2480" t="s">
        <v>1139</v>
      </c>
      <c r="W16" s="2486">
        <v>5</v>
      </c>
      <c r="X16" s="2484">
        <v>31</v>
      </c>
      <c r="Y16" s="2480" t="s">
        <v>1139</v>
      </c>
      <c r="Z16" s="2488">
        <v>31</v>
      </c>
      <c r="AA16" s="359"/>
      <c r="AB16" s="359"/>
      <c r="AC16" s="359"/>
      <c r="AD16" s="2489" t="s">
        <v>2999</v>
      </c>
      <c r="AE16" s="2508" t="s">
        <v>2992</v>
      </c>
      <c r="AF16" s="2507">
        <v>0</v>
      </c>
      <c r="AG16" s="2508" t="s">
        <v>2993</v>
      </c>
      <c r="AH16" s="2507">
        <v>0</v>
      </c>
      <c r="AI16" s="2508" t="s">
        <v>2994</v>
      </c>
      <c r="AJ16" s="2507">
        <v>0</v>
      </c>
      <c r="AK16" s="2508" t="s">
        <v>2995</v>
      </c>
      <c r="AL16" s="2507">
        <v>0</v>
      </c>
      <c r="AM16" s="2508" t="s">
        <v>2364</v>
      </c>
      <c r="AN16" s="2507">
        <v>0</v>
      </c>
      <c r="AO16" s="2508" t="s">
        <v>2381</v>
      </c>
      <c r="AP16" s="2507">
        <v>0</v>
      </c>
      <c r="AQ16" s="2508" t="s">
        <v>2996</v>
      </c>
      <c r="AR16" s="2507">
        <v>0</v>
      </c>
      <c r="AS16" s="2508" t="s">
        <v>2997</v>
      </c>
      <c r="AT16" s="2507">
        <v>0</v>
      </c>
      <c r="AU16" s="2508" t="s">
        <v>2998</v>
      </c>
      <c r="AV16" s="2507">
        <v>0</v>
      </c>
      <c r="AW16" s="2508" t="s">
        <v>2365</v>
      </c>
      <c r="AX16" s="2507">
        <v>0</v>
      </c>
      <c r="AY16" s="2508" t="s">
        <v>2366</v>
      </c>
      <c r="AZ16" s="2507">
        <v>0</v>
      </c>
      <c r="BA16" s="2508" t="s">
        <v>2367</v>
      </c>
      <c r="BD16" s="9899"/>
      <c r="BE16" s="2509" t="s">
        <v>1202</v>
      </c>
      <c r="BF16" s="2510"/>
      <c r="BG16" s="2507"/>
      <c r="BH16" s="2509" t="s">
        <v>1205</v>
      </c>
      <c r="BI16" s="2510" t="s">
        <v>1219</v>
      </c>
      <c r="BJ16" s="2507"/>
      <c r="BK16" s="2509" t="s">
        <v>1224</v>
      </c>
      <c r="BL16" s="2510" t="s">
        <v>1206</v>
      </c>
      <c r="BM16" s="2507"/>
      <c r="BN16" s="2509" t="s">
        <v>2989</v>
      </c>
      <c r="BO16" s="2510" t="s">
        <v>1227</v>
      </c>
      <c r="BP16" s="2507"/>
      <c r="BQ16" s="2509" t="s">
        <v>1210</v>
      </c>
      <c r="BR16" s="2510" t="s">
        <v>1217</v>
      </c>
      <c r="BS16" s="2507"/>
      <c r="BT16" s="2509" t="s">
        <v>1212</v>
      </c>
      <c r="BU16" s="2510" t="s">
        <v>1234</v>
      </c>
      <c r="BV16" s="2507"/>
      <c r="BW16" s="2509" t="s">
        <v>1209</v>
      </c>
      <c r="BX16" s="2510" t="s">
        <v>2990</v>
      </c>
      <c r="BY16" s="2507"/>
      <c r="BZ16" s="2509" t="s">
        <v>1235</v>
      </c>
      <c r="CA16" s="2510" t="s">
        <v>1228</v>
      </c>
      <c r="CB16" s="2507"/>
      <c r="CC16" s="2509" t="s">
        <v>1216</v>
      </c>
      <c r="CD16" s="2510" t="s">
        <v>2991</v>
      </c>
      <c r="CE16" s="2507"/>
      <c r="CF16" s="2509" t="s">
        <v>1221</v>
      </c>
      <c r="CG16" s="2510" t="s">
        <v>212</v>
      </c>
      <c r="CH16" s="2507"/>
      <c r="CI16" s="2509" t="s">
        <v>1215</v>
      </c>
      <c r="CJ16" s="2510" t="s">
        <v>1222</v>
      </c>
      <c r="CK16" s="2507"/>
      <c r="CL16" s="2509" t="s">
        <v>1139</v>
      </c>
      <c r="CM16" s="2510" t="s">
        <v>1231</v>
      </c>
    </row>
    <row r="17" spans="1:91" ht="44.25">
      <c r="A17" s="359"/>
      <c r="B17" s="433" t="s">
        <v>343</v>
      </c>
      <c r="C17" s="2480" t="s">
        <v>1139</v>
      </c>
      <c r="D17" s="2481" t="s">
        <v>343</v>
      </c>
      <c r="E17" s="2482" t="s">
        <v>1168</v>
      </c>
      <c r="F17" s="2480" t="s">
        <v>1139</v>
      </c>
      <c r="G17" s="2483" t="s">
        <v>1168</v>
      </c>
      <c r="H17" s="2484">
        <v>6</v>
      </c>
      <c r="I17" s="2480" t="s">
        <v>1139</v>
      </c>
      <c r="J17" s="2481">
        <v>6</v>
      </c>
      <c r="K17" s="2484">
        <v>32</v>
      </c>
      <c r="L17" s="2480" t="s">
        <v>1139</v>
      </c>
      <c r="M17" s="2485">
        <v>32</v>
      </c>
      <c r="N17" s="359"/>
      <c r="O17" s="433" t="s">
        <v>343</v>
      </c>
      <c r="P17" s="2480" t="s">
        <v>1139</v>
      </c>
      <c r="Q17" s="2486" t="s">
        <v>343</v>
      </c>
      <c r="R17" s="2482" t="s">
        <v>1168</v>
      </c>
      <c r="S17" s="2480" t="s">
        <v>1139</v>
      </c>
      <c r="T17" s="2487" t="s">
        <v>1168</v>
      </c>
      <c r="U17" s="2484">
        <v>6</v>
      </c>
      <c r="V17" s="2480" t="s">
        <v>1139</v>
      </c>
      <c r="W17" s="2486">
        <v>6</v>
      </c>
      <c r="X17" s="2484">
        <v>32</v>
      </c>
      <c r="Y17" s="2480" t="s">
        <v>1139</v>
      </c>
      <c r="Z17" s="2488">
        <v>32</v>
      </c>
      <c r="AA17" s="359"/>
      <c r="AB17" s="359"/>
      <c r="AC17" s="359"/>
      <c r="AD17" s="2496"/>
      <c r="AE17" s="2504"/>
      <c r="AF17" s="2504"/>
      <c r="AG17" s="2504"/>
      <c r="AH17" s="2504"/>
      <c r="AI17" s="2504"/>
      <c r="AJ17" s="2504"/>
      <c r="AK17" s="2504"/>
      <c r="AL17" s="2504"/>
      <c r="AM17" s="2504"/>
      <c r="AN17" s="2504"/>
      <c r="AO17" s="2504"/>
      <c r="AP17" s="2504"/>
      <c r="AQ17" s="2504"/>
      <c r="AR17" s="2504"/>
      <c r="AS17" s="2504"/>
      <c r="AT17" s="2504"/>
      <c r="AU17" s="2504"/>
      <c r="AV17" s="2504"/>
      <c r="AW17" s="2504"/>
      <c r="AX17" s="2504"/>
      <c r="AY17" s="2504"/>
      <c r="AZ17" s="2504"/>
      <c r="BA17" s="2504"/>
      <c r="BD17" s="2503"/>
      <c r="BE17" s="2504"/>
      <c r="BF17" s="2504"/>
      <c r="BG17" s="2504"/>
      <c r="BH17" s="2504"/>
      <c r="BI17" s="2504"/>
      <c r="BJ17" s="2504"/>
      <c r="BK17" s="2504"/>
      <c r="BL17" s="2504"/>
      <c r="BM17" s="2504"/>
      <c r="BN17" s="2504"/>
      <c r="BO17" s="2504"/>
      <c r="BP17" s="2504"/>
      <c r="BQ17" s="2504"/>
      <c r="BR17" s="2504"/>
      <c r="BS17" s="2504"/>
      <c r="BT17" s="2504"/>
      <c r="BU17" s="2504"/>
      <c r="BV17" s="2504"/>
      <c r="BW17" s="2504"/>
      <c r="BX17" s="2504"/>
      <c r="BY17" s="2504"/>
      <c r="BZ17" s="2504"/>
      <c r="CA17" s="2504"/>
      <c r="CB17" s="2504"/>
      <c r="CC17" s="2504"/>
      <c r="CD17" s="2504"/>
      <c r="CE17" s="2504"/>
      <c r="CF17" s="2504"/>
      <c r="CG17" s="2504"/>
      <c r="CH17" s="2504"/>
      <c r="CI17" s="2504"/>
      <c r="CJ17" s="2504"/>
      <c r="CK17" s="2504"/>
      <c r="CL17" s="2504"/>
      <c r="CM17" s="2504"/>
    </row>
    <row r="18" spans="1:91" ht="44.25" customHeight="1">
      <c r="A18" s="359"/>
      <c r="B18" s="433" t="s">
        <v>515</v>
      </c>
      <c r="C18" s="2480" t="s">
        <v>1139</v>
      </c>
      <c r="D18" s="2481" t="s">
        <v>515</v>
      </c>
      <c r="E18" s="2482" t="s">
        <v>1172</v>
      </c>
      <c r="F18" s="2480" t="s">
        <v>1139</v>
      </c>
      <c r="G18" s="2483" t="s">
        <v>1172</v>
      </c>
      <c r="H18" s="2484">
        <v>7</v>
      </c>
      <c r="I18" s="2480" t="s">
        <v>1139</v>
      </c>
      <c r="J18" s="2481">
        <v>7</v>
      </c>
      <c r="K18" s="2484">
        <v>33</v>
      </c>
      <c r="L18" s="2480" t="s">
        <v>1139</v>
      </c>
      <c r="M18" s="2485">
        <v>33</v>
      </c>
      <c r="N18" s="359"/>
      <c r="O18" s="433" t="s">
        <v>515</v>
      </c>
      <c r="P18" s="2480" t="s">
        <v>1139</v>
      </c>
      <c r="Q18" s="2486" t="s">
        <v>515</v>
      </c>
      <c r="R18" s="2482" t="s">
        <v>1172</v>
      </c>
      <c r="S18" s="2480" t="s">
        <v>1139</v>
      </c>
      <c r="T18" s="2487" t="s">
        <v>1172</v>
      </c>
      <c r="U18" s="2484">
        <v>7</v>
      </c>
      <c r="V18" s="2480" t="s">
        <v>1139</v>
      </c>
      <c r="W18" s="2486">
        <v>7</v>
      </c>
      <c r="X18" s="2484">
        <v>33</v>
      </c>
      <c r="Y18" s="2480" t="s">
        <v>1139</v>
      </c>
      <c r="Z18" s="2488">
        <v>33</v>
      </c>
      <c r="AA18" s="359"/>
      <c r="AB18" s="359"/>
      <c r="AC18" s="359"/>
      <c r="AD18" s="2489" t="s">
        <v>3000</v>
      </c>
      <c r="AE18" s="2511" t="s">
        <v>2992</v>
      </c>
      <c r="AF18" s="2512">
        <v>0</v>
      </c>
      <c r="AG18" s="2511" t="s">
        <v>2993</v>
      </c>
      <c r="AH18" s="2512">
        <v>0</v>
      </c>
      <c r="AI18" s="2511" t="s">
        <v>2994</v>
      </c>
      <c r="AJ18" s="2512">
        <v>0</v>
      </c>
      <c r="AK18" s="2511" t="s">
        <v>2995</v>
      </c>
      <c r="AL18" s="2512">
        <v>0</v>
      </c>
      <c r="AM18" s="2511" t="s">
        <v>2364</v>
      </c>
      <c r="AN18" s="2512">
        <v>0</v>
      </c>
      <c r="AO18" s="2511" t="s">
        <v>2381</v>
      </c>
      <c r="AP18" s="2512">
        <v>0</v>
      </c>
      <c r="AQ18" s="2511" t="s">
        <v>2996</v>
      </c>
      <c r="AR18" s="2512">
        <v>0</v>
      </c>
      <c r="AS18" s="2511" t="s">
        <v>2997</v>
      </c>
      <c r="AT18" s="2512">
        <v>0</v>
      </c>
      <c r="AU18" s="2511" t="s">
        <v>2998</v>
      </c>
      <c r="AV18" s="2512">
        <v>0</v>
      </c>
      <c r="AW18" s="2511" t="s">
        <v>2365</v>
      </c>
      <c r="AX18" s="2512">
        <v>0</v>
      </c>
      <c r="AY18" s="2511" t="s">
        <v>2366</v>
      </c>
      <c r="AZ18" s="2512">
        <v>0</v>
      </c>
      <c r="BA18" s="2511" t="s">
        <v>2367</v>
      </c>
      <c r="BD18" s="9899" t="s">
        <v>3001</v>
      </c>
      <c r="BE18" s="2513">
        <v>1</v>
      </c>
      <c r="BF18" s="2514"/>
      <c r="BG18" s="2512"/>
      <c r="BH18" s="2513">
        <v>2</v>
      </c>
      <c r="BI18" s="2514"/>
      <c r="BJ18" s="2512"/>
      <c r="BK18" s="2513">
        <v>3</v>
      </c>
      <c r="BL18" s="2514"/>
      <c r="BM18" s="2512"/>
      <c r="BN18" s="2513">
        <v>4</v>
      </c>
      <c r="BO18" s="2514"/>
      <c r="BP18" s="2512"/>
      <c r="BQ18" s="2513">
        <v>5</v>
      </c>
      <c r="BR18" s="2514"/>
      <c r="BS18" s="2512"/>
      <c r="BT18" s="2513">
        <v>6</v>
      </c>
      <c r="BU18" s="2514"/>
      <c r="BV18" s="2512"/>
      <c r="BW18" s="2513">
        <v>7</v>
      </c>
      <c r="BX18" s="2514"/>
      <c r="BY18" s="2512"/>
      <c r="BZ18" s="2513">
        <v>8</v>
      </c>
      <c r="CA18" s="2514"/>
      <c r="CB18" s="2512"/>
      <c r="CC18" s="2513">
        <v>9</v>
      </c>
      <c r="CD18" s="2514"/>
      <c r="CE18" s="2512"/>
      <c r="CF18" s="2513">
        <v>0</v>
      </c>
      <c r="CG18" s="2514"/>
      <c r="CH18" s="2512"/>
      <c r="CI18" s="2513" t="s">
        <v>2987</v>
      </c>
      <c r="CJ18" s="2514"/>
      <c r="CK18" s="2512"/>
      <c r="CL18" s="2513" t="s">
        <v>2988</v>
      </c>
      <c r="CM18" s="2514"/>
    </row>
    <row r="19" spans="1:91" ht="44.25">
      <c r="A19" s="359"/>
      <c r="B19" s="433" t="s">
        <v>1175</v>
      </c>
      <c r="C19" s="2480" t="s">
        <v>1139</v>
      </c>
      <c r="D19" s="2481" t="s">
        <v>1175</v>
      </c>
      <c r="E19" s="2482" t="s">
        <v>1176</v>
      </c>
      <c r="F19" s="2480" t="s">
        <v>1139</v>
      </c>
      <c r="G19" s="2483" t="s">
        <v>1176</v>
      </c>
      <c r="H19" s="2484">
        <v>8</v>
      </c>
      <c r="I19" s="2480" t="s">
        <v>1139</v>
      </c>
      <c r="J19" s="2481">
        <v>8</v>
      </c>
      <c r="K19" s="2484">
        <v>34</v>
      </c>
      <c r="L19" s="2480" t="s">
        <v>1139</v>
      </c>
      <c r="M19" s="2485">
        <v>34</v>
      </c>
      <c r="N19" s="359"/>
      <c r="O19" s="433" t="s">
        <v>1175</v>
      </c>
      <c r="P19" s="2480" t="s">
        <v>1139</v>
      </c>
      <c r="Q19" s="2486" t="s">
        <v>1175</v>
      </c>
      <c r="R19" s="2482" t="s">
        <v>1176</v>
      </c>
      <c r="S19" s="2480" t="s">
        <v>1139</v>
      </c>
      <c r="T19" s="2487" t="s">
        <v>1176</v>
      </c>
      <c r="U19" s="2484">
        <v>8</v>
      </c>
      <c r="V19" s="2480" t="s">
        <v>1139</v>
      </c>
      <c r="W19" s="2486">
        <v>8</v>
      </c>
      <c r="X19" s="2484">
        <v>34</v>
      </c>
      <c r="Y19" s="2480" t="s">
        <v>1139</v>
      </c>
      <c r="Z19" s="2488">
        <v>34</v>
      </c>
      <c r="AA19" s="359"/>
      <c r="AB19" s="359"/>
      <c r="AC19" s="359"/>
      <c r="AD19" s="2496"/>
      <c r="AE19" s="2504"/>
      <c r="AF19" s="2504"/>
      <c r="AG19" s="2504"/>
      <c r="AH19" s="2504"/>
      <c r="AI19" s="2504"/>
      <c r="AJ19" s="2504"/>
      <c r="AK19" s="2504"/>
      <c r="AL19" s="2504"/>
      <c r="AM19" s="2504"/>
      <c r="AN19" s="2504"/>
      <c r="AO19" s="2504"/>
      <c r="AP19" s="2504"/>
      <c r="AQ19" s="2504"/>
      <c r="AR19" s="2504"/>
      <c r="AS19" s="2504"/>
      <c r="AT19" s="2504"/>
      <c r="AU19" s="2504"/>
      <c r="AV19" s="2504"/>
      <c r="AW19" s="2504"/>
      <c r="AX19" s="2504"/>
      <c r="AY19" s="2504"/>
      <c r="AZ19" s="2504"/>
      <c r="BA19" s="2504"/>
      <c r="BD19" s="9899"/>
      <c r="BE19" s="2515" t="s">
        <v>1202</v>
      </c>
      <c r="BF19" s="2516"/>
      <c r="BG19" s="2512"/>
      <c r="BH19" s="2515" t="s">
        <v>1205</v>
      </c>
      <c r="BI19" s="2516" t="s">
        <v>1219</v>
      </c>
      <c r="BJ19" s="2512"/>
      <c r="BK19" s="2515" t="s">
        <v>1224</v>
      </c>
      <c r="BL19" s="2516" t="s">
        <v>1206</v>
      </c>
      <c r="BM19" s="2512"/>
      <c r="BN19" s="2515" t="s">
        <v>2989</v>
      </c>
      <c r="BO19" s="2516" t="s">
        <v>1227</v>
      </c>
      <c r="BP19" s="2512"/>
      <c r="BQ19" s="2515" t="s">
        <v>1210</v>
      </c>
      <c r="BR19" s="2516" t="s">
        <v>1217</v>
      </c>
      <c r="BS19" s="2512"/>
      <c r="BT19" s="2515" t="s">
        <v>1212</v>
      </c>
      <c r="BU19" s="2516" t="s">
        <v>1234</v>
      </c>
      <c r="BV19" s="2512"/>
      <c r="BW19" s="2515" t="s">
        <v>1209</v>
      </c>
      <c r="BX19" s="2516" t="s">
        <v>2990</v>
      </c>
      <c r="BY19" s="2512"/>
      <c r="BZ19" s="2515" t="s">
        <v>1235</v>
      </c>
      <c r="CA19" s="2516" t="s">
        <v>1228</v>
      </c>
      <c r="CB19" s="2512"/>
      <c r="CC19" s="2515" t="s">
        <v>1216</v>
      </c>
      <c r="CD19" s="2516" t="s">
        <v>2991</v>
      </c>
      <c r="CE19" s="2512"/>
      <c r="CF19" s="2515" t="s">
        <v>1221</v>
      </c>
      <c r="CG19" s="2516" t="s">
        <v>212</v>
      </c>
      <c r="CH19" s="2512"/>
      <c r="CI19" s="2515" t="s">
        <v>1215</v>
      </c>
      <c r="CJ19" s="2516" t="s">
        <v>1222</v>
      </c>
      <c r="CK19" s="2512"/>
      <c r="CL19" s="2515" t="s">
        <v>1139</v>
      </c>
      <c r="CM19" s="2516" t="s">
        <v>1231</v>
      </c>
    </row>
    <row r="20" spans="1:91" ht="44.25">
      <c r="A20" s="359"/>
      <c r="B20" s="433" t="s">
        <v>346</v>
      </c>
      <c r="C20" s="2480" t="s">
        <v>1139</v>
      </c>
      <c r="D20" s="2481" t="s">
        <v>346</v>
      </c>
      <c r="E20" s="2482" t="s">
        <v>1179</v>
      </c>
      <c r="F20" s="2480" t="s">
        <v>1139</v>
      </c>
      <c r="G20" s="2483" t="s">
        <v>1179</v>
      </c>
      <c r="H20" s="2484">
        <v>9</v>
      </c>
      <c r="I20" s="2480" t="s">
        <v>1139</v>
      </c>
      <c r="J20" s="2481">
        <v>9</v>
      </c>
      <c r="K20" s="2484">
        <v>35</v>
      </c>
      <c r="L20" s="2480" t="s">
        <v>1139</v>
      </c>
      <c r="M20" s="2485">
        <v>35</v>
      </c>
      <c r="N20" s="359"/>
      <c r="O20" s="433" t="s">
        <v>346</v>
      </c>
      <c r="P20" s="2480" t="s">
        <v>1139</v>
      </c>
      <c r="Q20" s="2486" t="s">
        <v>346</v>
      </c>
      <c r="R20" s="2482" t="s">
        <v>1179</v>
      </c>
      <c r="S20" s="2480" t="s">
        <v>1139</v>
      </c>
      <c r="T20" s="2487" t="s">
        <v>1179</v>
      </c>
      <c r="U20" s="2484">
        <v>9</v>
      </c>
      <c r="V20" s="2480" t="s">
        <v>1139</v>
      </c>
      <c r="W20" s="2486">
        <v>9</v>
      </c>
      <c r="X20" s="2484">
        <v>35</v>
      </c>
      <c r="Y20" s="2480" t="s">
        <v>1139</v>
      </c>
      <c r="Z20" s="2488">
        <v>35</v>
      </c>
      <c r="AA20" s="359"/>
      <c r="AB20" s="359"/>
      <c r="AC20" s="359"/>
      <c r="AD20" s="2489" t="s">
        <v>3002</v>
      </c>
      <c r="AE20" s="2517" t="s">
        <v>2992</v>
      </c>
      <c r="AF20" s="2518">
        <v>0</v>
      </c>
      <c r="AG20" s="2517" t="s">
        <v>2993</v>
      </c>
      <c r="AH20" s="2518">
        <v>0</v>
      </c>
      <c r="AI20" s="2517" t="s">
        <v>2994</v>
      </c>
      <c r="AJ20" s="2518">
        <v>0</v>
      </c>
      <c r="AK20" s="2517" t="s">
        <v>2995</v>
      </c>
      <c r="AL20" s="2518">
        <v>0</v>
      </c>
      <c r="AM20" s="2517" t="s">
        <v>2364</v>
      </c>
      <c r="AN20" s="2518">
        <v>0</v>
      </c>
      <c r="AO20" s="2517" t="s">
        <v>2381</v>
      </c>
      <c r="AP20" s="2518">
        <v>0</v>
      </c>
      <c r="AQ20" s="2517" t="s">
        <v>2996</v>
      </c>
      <c r="AR20" s="2518">
        <v>0</v>
      </c>
      <c r="AS20" s="2517" t="s">
        <v>2997</v>
      </c>
      <c r="AT20" s="2518">
        <v>0</v>
      </c>
      <c r="AU20" s="2517" t="s">
        <v>2998</v>
      </c>
      <c r="AV20" s="2518">
        <v>0</v>
      </c>
      <c r="AW20" s="2517" t="s">
        <v>2365</v>
      </c>
      <c r="AX20" s="2518">
        <v>0</v>
      </c>
      <c r="AY20" s="2517" t="s">
        <v>2366</v>
      </c>
      <c r="AZ20" s="2518">
        <v>0</v>
      </c>
      <c r="BA20" s="2517" t="s">
        <v>2367</v>
      </c>
      <c r="BD20" s="2496"/>
      <c r="BE20" s="2504"/>
      <c r="BF20" s="2504"/>
      <c r="BG20" s="2504"/>
      <c r="BH20" s="2504"/>
      <c r="BI20" s="2504"/>
      <c r="BJ20" s="2504"/>
      <c r="BK20" s="2504"/>
      <c r="BL20" s="2504"/>
      <c r="BM20" s="2504"/>
      <c r="BN20" s="2504"/>
      <c r="BO20" s="2504"/>
      <c r="BP20" s="2504"/>
      <c r="BQ20" s="2504"/>
      <c r="BR20" s="2504"/>
      <c r="BS20" s="2504"/>
      <c r="BT20" s="2504"/>
      <c r="BU20" s="2504"/>
      <c r="BV20" s="2504"/>
      <c r="BW20" s="2504"/>
      <c r="BX20" s="2504"/>
      <c r="BY20" s="2504"/>
      <c r="BZ20" s="2504"/>
      <c r="CA20" s="2504"/>
      <c r="CB20" s="2504"/>
      <c r="CC20" s="2504"/>
      <c r="CD20" s="2504"/>
      <c r="CE20" s="2504"/>
      <c r="CF20" s="2504"/>
      <c r="CG20" s="2504"/>
      <c r="CH20" s="2504"/>
      <c r="CI20" s="2504"/>
      <c r="CJ20" s="2504"/>
      <c r="CK20" s="2504"/>
      <c r="CL20" s="2504"/>
      <c r="CM20" s="2504"/>
    </row>
    <row r="21" spans="1:91" ht="44.25">
      <c r="A21" s="359"/>
      <c r="B21" s="433" t="s">
        <v>349</v>
      </c>
      <c r="C21" s="2480" t="s">
        <v>1139</v>
      </c>
      <c r="D21" s="2481" t="s">
        <v>349</v>
      </c>
      <c r="E21" s="2482" t="s">
        <v>1181</v>
      </c>
      <c r="F21" s="2480" t="s">
        <v>1139</v>
      </c>
      <c r="G21" s="2483" t="s">
        <v>1181</v>
      </c>
      <c r="H21" s="2484">
        <v>10</v>
      </c>
      <c r="I21" s="2480" t="s">
        <v>1139</v>
      </c>
      <c r="J21" s="2481">
        <v>10</v>
      </c>
      <c r="K21" s="2484">
        <v>36</v>
      </c>
      <c r="L21" s="2480" t="s">
        <v>1139</v>
      </c>
      <c r="M21" s="2485">
        <v>36</v>
      </c>
      <c r="N21" s="359"/>
      <c r="O21" s="433" t="s">
        <v>349</v>
      </c>
      <c r="P21" s="2480" t="s">
        <v>1139</v>
      </c>
      <c r="Q21" s="2486" t="s">
        <v>349</v>
      </c>
      <c r="R21" s="2482" t="s">
        <v>1181</v>
      </c>
      <c r="S21" s="2480" t="s">
        <v>1139</v>
      </c>
      <c r="T21" s="2487" t="s">
        <v>1181</v>
      </c>
      <c r="U21" s="2484">
        <v>10</v>
      </c>
      <c r="V21" s="2480" t="s">
        <v>1139</v>
      </c>
      <c r="W21" s="2486">
        <v>10</v>
      </c>
      <c r="X21" s="2484">
        <v>36</v>
      </c>
      <c r="Y21" s="2480" t="s">
        <v>1139</v>
      </c>
      <c r="Z21" s="2488">
        <v>36</v>
      </c>
      <c r="AA21" s="359"/>
      <c r="AB21" s="359"/>
      <c r="AC21" s="359"/>
      <c r="AD21" s="2496"/>
      <c r="AE21" s="2504"/>
      <c r="AF21" s="2504"/>
      <c r="AG21" s="2504"/>
      <c r="AH21" s="2504"/>
      <c r="AI21" s="2504"/>
      <c r="AJ21" s="2504"/>
      <c r="AK21" s="2504"/>
      <c r="AL21" s="2504"/>
      <c r="AM21" s="2504"/>
      <c r="AN21" s="2504"/>
      <c r="AO21" s="2504"/>
      <c r="AP21" s="2504"/>
      <c r="AQ21" s="2504"/>
      <c r="AR21" s="2504"/>
      <c r="AS21" s="2504"/>
      <c r="AT21" s="2504"/>
      <c r="AU21" s="2504"/>
      <c r="AV21" s="2504"/>
      <c r="AW21" s="2504"/>
      <c r="AX21" s="2504"/>
      <c r="AY21" s="2504"/>
      <c r="AZ21" s="2504"/>
      <c r="BA21" s="2504"/>
      <c r="BD21" s="9899" t="s">
        <v>3003</v>
      </c>
      <c r="BE21" s="2519">
        <v>1</v>
      </c>
      <c r="BF21" s="2520"/>
      <c r="BG21" s="2518"/>
      <c r="BH21" s="2519">
        <v>2</v>
      </c>
      <c r="BI21" s="2520"/>
      <c r="BJ21" s="2518"/>
      <c r="BK21" s="2519">
        <v>3</v>
      </c>
      <c r="BL21" s="2520"/>
      <c r="BM21" s="2518"/>
      <c r="BN21" s="2519">
        <v>4</v>
      </c>
      <c r="BO21" s="2520"/>
      <c r="BP21" s="2518"/>
      <c r="BQ21" s="2519">
        <v>5</v>
      </c>
      <c r="BR21" s="2520"/>
      <c r="BS21" s="2518"/>
      <c r="BT21" s="2519">
        <v>6</v>
      </c>
      <c r="BU21" s="2520"/>
      <c r="BV21" s="2518"/>
      <c r="BW21" s="2519">
        <v>7</v>
      </c>
      <c r="BX21" s="2520"/>
      <c r="BY21" s="2518"/>
      <c r="BZ21" s="2519">
        <v>8</v>
      </c>
      <c r="CA21" s="2520"/>
      <c r="CB21" s="2518"/>
      <c r="CC21" s="2519">
        <v>9</v>
      </c>
      <c r="CD21" s="2520"/>
      <c r="CE21" s="2518"/>
      <c r="CF21" s="2519">
        <v>0</v>
      </c>
      <c r="CG21" s="2520"/>
      <c r="CH21" s="2518"/>
      <c r="CI21" s="2519" t="s">
        <v>2987</v>
      </c>
      <c r="CJ21" s="2520"/>
      <c r="CK21" s="2518"/>
      <c r="CL21" s="2519" t="s">
        <v>2988</v>
      </c>
      <c r="CM21" s="2520"/>
    </row>
    <row r="22" spans="1:91" ht="44.25">
      <c r="A22" s="359"/>
      <c r="B22" s="433" t="s">
        <v>351</v>
      </c>
      <c r="C22" s="2480" t="s">
        <v>1139</v>
      </c>
      <c r="D22" s="2481" t="s">
        <v>351</v>
      </c>
      <c r="E22" s="2482" t="s">
        <v>1182</v>
      </c>
      <c r="F22" s="2480" t="s">
        <v>1139</v>
      </c>
      <c r="G22" s="2483" t="s">
        <v>1182</v>
      </c>
      <c r="H22" s="2484">
        <v>11</v>
      </c>
      <c r="I22" s="2480" t="s">
        <v>1139</v>
      </c>
      <c r="J22" s="2481">
        <v>11</v>
      </c>
      <c r="K22" s="2484">
        <v>37</v>
      </c>
      <c r="L22" s="2480" t="s">
        <v>1139</v>
      </c>
      <c r="M22" s="2485">
        <v>37</v>
      </c>
      <c r="N22" s="359"/>
      <c r="O22" s="433" t="s">
        <v>351</v>
      </c>
      <c r="P22" s="2480" t="s">
        <v>1139</v>
      </c>
      <c r="Q22" s="2486" t="s">
        <v>351</v>
      </c>
      <c r="R22" s="2482" t="s">
        <v>1182</v>
      </c>
      <c r="S22" s="2480" t="s">
        <v>1139</v>
      </c>
      <c r="T22" s="2487" t="s">
        <v>1182</v>
      </c>
      <c r="U22" s="2484">
        <v>11</v>
      </c>
      <c r="V22" s="2480" t="s">
        <v>1139</v>
      </c>
      <c r="W22" s="2486">
        <v>11</v>
      </c>
      <c r="X22" s="2484">
        <v>37</v>
      </c>
      <c r="Y22" s="2480" t="s">
        <v>1139</v>
      </c>
      <c r="Z22" s="2488">
        <v>37</v>
      </c>
      <c r="AA22" s="359"/>
      <c r="AB22" s="359"/>
      <c r="AC22" s="359"/>
      <c r="AD22" s="2489" t="s">
        <v>3004</v>
      </c>
      <c r="AE22" s="2521" t="s">
        <v>2992</v>
      </c>
      <c r="AF22" s="2522">
        <v>0</v>
      </c>
      <c r="AG22" s="2521" t="s">
        <v>2993</v>
      </c>
      <c r="AH22" s="2522">
        <v>0</v>
      </c>
      <c r="AI22" s="2521" t="s">
        <v>2994</v>
      </c>
      <c r="AJ22" s="2522">
        <v>0</v>
      </c>
      <c r="AK22" s="2521" t="s">
        <v>2995</v>
      </c>
      <c r="AL22" s="2522">
        <v>0</v>
      </c>
      <c r="AM22" s="2521" t="s">
        <v>2364</v>
      </c>
      <c r="AN22" s="2522">
        <v>0</v>
      </c>
      <c r="AO22" s="2521" t="s">
        <v>2381</v>
      </c>
      <c r="AP22" s="2522">
        <v>0</v>
      </c>
      <c r="AQ22" s="2521" t="s">
        <v>2996</v>
      </c>
      <c r="AR22" s="2522">
        <v>0</v>
      </c>
      <c r="AS22" s="2521" t="s">
        <v>2997</v>
      </c>
      <c r="AT22" s="2522">
        <v>0</v>
      </c>
      <c r="AU22" s="2521" t="s">
        <v>2998</v>
      </c>
      <c r="AV22" s="2522">
        <v>0</v>
      </c>
      <c r="AW22" s="2521" t="s">
        <v>2365</v>
      </c>
      <c r="AX22" s="2522">
        <v>0</v>
      </c>
      <c r="AY22" s="2521" t="s">
        <v>2366</v>
      </c>
      <c r="AZ22" s="2522">
        <v>0</v>
      </c>
      <c r="BA22" s="2521" t="s">
        <v>2367</v>
      </c>
      <c r="BD22" s="9899"/>
      <c r="BE22" s="2523" t="s">
        <v>1202</v>
      </c>
      <c r="BF22" s="2524"/>
      <c r="BG22" s="2518"/>
      <c r="BH22" s="2523" t="s">
        <v>1205</v>
      </c>
      <c r="BI22" s="2524" t="s">
        <v>1219</v>
      </c>
      <c r="BJ22" s="2518"/>
      <c r="BK22" s="2523" t="s">
        <v>1224</v>
      </c>
      <c r="BL22" s="2524" t="s">
        <v>1206</v>
      </c>
      <c r="BM22" s="2518"/>
      <c r="BN22" s="2523" t="s">
        <v>2989</v>
      </c>
      <c r="BO22" s="2524" t="s">
        <v>1227</v>
      </c>
      <c r="BP22" s="2518"/>
      <c r="BQ22" s="2523" t="s">
        <v>1210</v>
      </c>
      <c r="BR22" s="2524" t="s">
        <v>1217</v>
      </c>
      <c r="BS22" s="2518"/>
      <c r="BT22" s="2523" t="s">
        <v>1212</v>
      </c>
      <c r="BU22" s="2524" t="s">
        <v>1234</v>
      </c>
      <c r="BV22" s="2518"/>
      <c r="BW22" s="2523" t="s">
        <v>1209</v>
      </c>
      <c r="BX22" s="2524" t="s">
        <v>2990</v>
      </c>
      <c r="BY22" s="2518"/>
      <c r="BZ22" s="2523" t="s">
        <v>1235</v>
      </c>
      <c r="CA22" s="2524" t="s">
        <v>1228</v>
      </c>
      <c r="CB22" s="2518"/>
      <c r="CC22" s="2523" t="s">
        <v>1216</v>
      </c>
      <c r="CD22" s="2524" t="s">
        <v>2991</v>
      </c>
      <c r="CE22" s="2518"/>
      <c r="CF22" s="2523" t="s">
        <v>1221</v>
      </c>
      <c r="CG22" s="2524" t="s">
        <v>212</v>
      </c>
      <c r="CH22" s="2518"/>
      <c r="CI22" s="2523" t="s">
        <v>1215</v>
      </c>
      <c r="CJ22" s="2524" t="s">
        <v>1222</v>
      </c>
      <c r="CK22" s="2518"/>
      <c r="CL22" s="2523" t="s">
        <v>1139</v>
      </c>
      <c r="CM22" s="2524" t="s">
        <v>1231</v>
      </c>
    </row>
    <row r="23" spans="1:91" ht="44.25">
      <c r="A23" s="359"/>
      <c r="B23" s="433" t="s">
        <v>34</v>
      </c>
      <c r="C23" s="2480" t="s">
        <v>1139</v>
      </c>
      <c r="D23" s="2481" t="s">
        <v>34</v>
      </c>
      <c r="E23" s="2482" t="s">
        <v>1183</v>
      </c>
      <c r="F23" s="2480" t="s">
        <v>1139</v>
      </c>
      <c r="G23" s="2483" t="s">
        <v>1183</v>
      </c>
      <c r="H23" s="2484">
        <v>12</v>
      </c>
      <c r="I23" s="2480" t="s">
        <v>1139</v>
      </c>
      <c r="J23" s="2525">
        <v>12</v>
      </c>
      <c r="K23" s="2484">
        <v>38</v>
      </c>
      <c r="L23" s="2480" t="s">
        <v>1139</v>
      </c>
      <c r="M23" s="2485">
        <v>38</v>
      </c>
      <c r="N23" s="359"/>
      <c r="O23" s="433" t="s">
        <v>34</v>
      </c>
      <c r="P23" s="2480" t="s">
        <v>1139</v>
      </c>
      <c r="Q23" s="2486" t="s">
        <v>34</v>
      </c>
      <c r="R23" s="2482" t="s">
        <v>1183</v>
      </c>
      <c r="S23" s="2480" t="s">
        <v>1139</v>
      </c>
      <c r="T23" s="2487" t="s">
        <v>1183</v>
      </c>
      <c r="U23" s="2484">
        <v>12</v>
      </c>
      <c r="V23" s="2480" t="s">
        <v>1139</v>
      </c>
      <c r="W23" s="2486">
        <v>12</v>
      </c>
      <c r="X23" s="2484">
        <v>38</v>
      </c>
      <c r="Y23" s="2480" t="s">
        <v>1139</v>
      </c>
      <c r="Z23" s="2488">
        <v>38</v>
      </c>
      <c r="AA23" s="359"/>
      <c r="AB23" s="359"/>
      <c r="AC23" s="359"/>
      <c r="BD23" s="2496"/>
      <c r="BE23" s="2504"/>
      <c r="BF23" s="2504"/>
      <c r="BG23" s="2504"/>
      <c r="BH23" s="2504"/>
      <c r="BI23" s="2504"/>
      <c r="BJ23" s="2504"/>
      <c r="BK23" s="2504"/>
      <c r="BL23" s="2504"/>
      <c r="BM23" s="2504"/>
      <c r="BN23" s="2504"/>
      <c r="BO23" s="2504"/>
      <c r="BP23" s="2504"/>
      <c r="BQ23" s="2504"/>
      <c r="BR23" s="2504"/>
      <c r="BS23" s="2504"/>
      <c r="BT23" s="2504"/>
      <c r="BU23" s="2504"/>
      <c r="BV23" s="2504"/>
      <c r="BW23" s="2504"/>
      <c r="BX23" s="2504"/>
      <c r="BY23" s="2504"/>
      <c r="BZ23" s="2504"/>
      <c r="CA23" s="2504"/>
      <c r="CB23" s="2504"/>
      <c r="CC23" s="2504"/>
      <c r="CD23" s="2504"/>
      <c r="CE23" s="2504"/>
      <c r="CF23" s="2504"/>
      <c r="CG23" s="2504"/>
      <c r="CH23" s="2504"/>
      <c r="CI23" s="2504"/>
      <c r="CJ23" s="2504"/>
      <c r="CK23" s="2504"/>
      <c r="CL23" s="2504"/>
      <c r="CM23" s="2504"/>
    </row>
    <row r="24" spans="1:91" ht="44.25">
      <c r="A24" s="359"/>
      <c r="B24" s="433" t="s">
        <v>537</v>
      </c>
      <c r="C24" s="2480" t="s">
        <v>1139</v>
      </c>
      <c r="D24" s="2481" t="s">
        <v>537</v>
      </c>
      <c r="E24" s="2482" t="s">
        <v>1185</v>
      </c>
      <c r="F24" s="2480" t="s">
        <v>1139</v>
      </c>
      <c r="G24" s="2483" t="s">
        <v>1185</v>
      </c>
      <c r="H24" s="2484">
        <v>13</v>
      </c>
      <c r="I24" s="2480" t="s">
        <v>1139</v>
      </c>
      <c r="J24" s="2525">
        <v>13</v>
      </c>
      <c r="K24" s="2484">
        <v>39</v>
      </c>
      <c r="L24" s="2480" t="s">
        <v>1139</v>
      </c>
      <c r="M24" s="2485">
        <v>39</v>
      </c>
      <c r="N24" s="359"/>
      <c r="O24" s="433" t="s">
        <v>537</v>
      </c>
      <c r="P24" s="2480" t="s">
        <v>1139</v>
      </c>
      <c r="Q24" s="2486" t="s">
        <v>537</v>
      </c>
      <c r="R24" s="2482" t="s">
        <v>1185</v>
      </c>
      <c r="S24" s="2480" t="s">
        <v>1139</v>
      </c>
      <c r="T24" s="2487" t="s">
        <v>1185</v>
      </c>
      <c r="U24" s="2484">
        <v>13</v>
      </c>
      <c r="V24" s="2480" t="s">
        <v>1139</v>
      </c>
      <c r="W24" s="2486">
        <v>13</v>
      </c>
      <c r="X24" s="2484">
        <v>39</v>
      </c>
      <c r="Y24" s="2480" t="s">
        <v>1139</v>
      </c>
      <c r="Z24" s="2488">
        <v>39</v>
      </c>
      <c r="AA24" s="359"/>
      <c r="AB24" s="359"/>
      <c r="AC24" s="359"/>
      <c r="AD24" s="2477" t="s">
        <v>3005</v>
      </c>
      <c r="BD24" s="9899" t="s">
        <v>3004</v>
      </c>
      <c r="BE24" s="2526">
        <v>1</v>
      </c>
      <c r="BF24" s="2527"/>
      <c r="BG24" s="2522"/>
      <c r="BH24" s="2526">
        <v>2</v>
      </c>
      <c r="BI24" s="2527"/>
      <c r="BJ24" s="2522"/>
      <c r="BK24" s="2526">
        <v>3</v>
      </c>
      <c r="BL24" s="2527"/>
      <c r="BM24" s="2522"/>
      <c r="BN24" s="2526">
        <v>4</v>
      </c>
      <c r="BO24" s="2527"/>
      <c r="BP24" s="2522"/>
      <c r="BQ24" s="2526">
        <v>5</v>
      </c>
      <c r="BR24" s="2527"/>
      <c r="BS24" s="2522"/>
      <c r="BT24" s="2526">
        <v>6</v>
      </c>
      <c r="BU24" s="2527"/>
      <c r="BV24" s="2522"/>
      <c r="BW24" s="2526">
        <v>7</v>
      </c>
      <c r="BX24" s="2527"/>
      <c r="BY24" s="2522"/>
      <c r="BZ24" s="2526">
        <v>8</v>
      </c>
      <c r="CA24" s="2527"/>
      <c r="CB24" s="2522"/>
      <c r="CC24" s="2526">
        <v>9</v>
      </c>
      <c r="CD24" s="2527"/>
      <c r="CE24" s="2522"/>
      <c r="CF24" s="2526">
        <v>0</v>
      </c>
      <c r="CG24" s="2527"/>
      <c r="CH24" s="2522"/>
      <c r="CI24" s="2526" t="s">
        <v>2987</v>
      </c>
      <c r="CJ24" s="2527"/>
      <c r="CK24" s="2522"/>
      <c r="CL24" s="2526" t="s">
        <v>2988</v>
      </c>
      <c r="CM24" s="2527"/>
    </row>
    <row r="25" spans="1:91" ht="44.25">
      <c r="A25" s="359"/>
      <c r="B25" s="433" t="s">
        <v>575</v>
      </c>
      <c r="C25" s="2480" t="s">
        <v>1139</v>
      </c>
      <c r="D25" s="2481" t="s">
        <v>575</v>
      </c>
      <c r="E25" s="2482" t="s">
        <v>1186</v>
      </c>
      <c r="F25" s="2480" t="s">
        <v>1139</v>
      </c>
      <c r="G25" s="2483" t="s">
        <v>1186</v>
      </c>
      <c r="H25" s="2484">
        <v>14</v>
      </c>
      <c r="I25" s="2480" t="s">
        <v>1139</v>
      </c>
      <c r="J25" s="2525">
        <v>14</v>
      </c>
      <c r="K25" s="2484">
        <v>40</v>
      </c>
      <c r="L25" s="2480" t="s">
        <v>1139</v>
      </c>
      <c r="M25" s="2485">
        <v>40</v>
      </c>
      <c r="N25" s="359"/>
      <c r="O25" s="433" t="s">
        <v>575</v>
      </c>
      <c r="P25" s="2480" t="s">
        <v>1139</v>
      </c>
      <c r="Q25" s="2486" t="s">
        <v>575</v>
      </c>
      <c r="R25" s="2482" t="s">
        <v>1186</v>
      </c>
      <c r="S25" s="2480" t="s">
        <v>1139</v>
      </c>
      <c r="T25" s="2487" t="s">
        <v>1186</v>
      </c>
      <c r="U25" s="2484">
        <v>14</v>
      </c>
      <c r="V25" s="2480" t="s">
        <v>1139</v>
      </c>
      <c r="W25" s="2486">
        <v>14</v>
      </c>
      <c r="X25" s="2484">
        <v>40</v>
      </c>
      <c r="Y25" s="2480" t="s">
        <v>1139</v>
      </c>
      <c r="Z25" s="2488">
        <v>40</v>
      </c>
      <c r="AA25" s="359"/>
      <c r="AB25" s="359"/>
      <c r="AC25" s="359"/>
      <c r="AD25" s="2489" t="s">
        <v>2973</v>
      </c>
      <c r="AE25" s="2528" t="s">
        <v>3006</v>
      </c>
      <c r="AF25" s="2529"/>
      <c r="AG25" s="2528" t="s">
        <v>3007</v>
      </c>
      <c r="AH25" s="2529"/>
      <c r="AI25" s="2528" t="s">
        <v>3008</v>
      </c>
      <c r="AJ25" s="2529"/>
      <c r="AK25" s="2528" t="s">
        <v>3009</v>
      </c>
      <c r="AL25" s="2529"/>
      <c r="AM25" s="2528" t="s">
        <v>3010</v>
      </c>
      <c r="AN25" s="2529"/>
      <c r="AO25" s="2528" t="s">
        <v>3011</v>
      </c>
      <c r="AP25" s="2529"/>
      <c r="AQ25" s="2528" t="s">
        <v>3012</v>
      </c>
      <c r="AR25" s="2529"/>
      <c r="AS25" s="2528" t="s">
        <v>3013</v>
      </c>
      <c r="AT25" s="2529"/>
      <c r="AU25" s="2528" t="s">
        <v>3014</v>
      </c>
      <c r="AV25" s="2529"/>
      <c r="AW25" s="2528" t="s">
        <v>3015</v>
      </c>
      <c r="AX25" s="2529"/>
      <c r="AY25" s="2528" t="s">
        <v>3016</v>
      </c>
      <c r="AZ25" s="2529"/>
      <c r="BA25" s="2528" t="s">
        <v>3017</v>
      </c>
      <c r="BD25" s="9899"/>
      <c r="BE25" s="2530" t="s">
        <v>1202</v>
      </c>
      <c r="BF25" s="2531"/>
      <c r="BG25" s="2522"/>
      <c r="BH25" s="2530" t="s">
        <v>1205</v>
      </c>
      <c r="BI25" s="2531" t="s">
        <v>1219</v>
      </c>
      <c r="BJ25" s="2522"/>
      <c r="BK25" s="2530" t="s">
        <v>1224</v>
      </c>
      <c r="BL25" s="2531" t="s">
        <v>1206</v>
      </c>
      <c r="BM25" s="2522"/>
      <c r="BN25" s="2530" t="s">
        <v>2989</v>
      </c>
      <c r="BO25" s="2531" t="s">
        <v>1227</v>
      </c>
      <c r="BP25" s="2522"/>
      <c r="BQ25" s="2530" t="s">
        <v>1210</v>
      </c>
      <c r="BR25" s="2531" t="s">
        <v>1217</v>
      </c>
      <c r="BS25" s="2522"/>
      <c r="BT25" s="2530" t="s">
        <v>1212</v>
      </c>
      <c r="BU25" s="2531" t="s">
        <v>1234</v>
      </c>
      <c r="BV25" s="2522"/>
      <c r="BW25" s="2530" t="s">
        <v>1209</v>
      </c>
      <c r="BX25" s="2531" t="s">
        <v>2990</v>
      </c>
      <c r="BY25" s="2522"/>
      <c r="BZ25" s="2530" t="s">
        <v>1235</v>
      </c>
      <c r="CA25" s="2531" t="s">
        <v>1228</v>
      </c>
      <c r="CB25" s="2522"/>
      <c r="CC25" s="2530" t="s">
        <v>1216</v>
      </c>
      <c r="CD25" s="2531" t="s">
        <v>2991</v>
      </c>
      <c r="CE25" s="2522"/>
      <c r="CF25" s="2530" t="s">
        <v>1221</v>
      </c>
      <c r="CG25" s="2531" t="s">
        <v>212</v>
      </c>
      <c r="CH25" s="2522"/>
      <c r="CI25" s="2530" t="s">
        <v>1215</v>
      </c>
      <c r="CJ25" s="2531" t="s">
        <v>1222</v>
      </c>
      <c r="CK25" s="2522"/>
      <c r="CL25" s="2530" t="s">
        <v>1139</v>
      </c>
      <c r="CM25" s="2531" t="s">
        <v>1231</v>
      </c>
    </row>
    <row r="26" spans="1:91" ht="44.25">
      <c r="A26" s="359"/>
      <c r="B26" s="433" t="s">
        <v>583</v>
      </c>
      <c r="C26" s="2480" t="s">
        <v>1139</v>
      </c>
      <c r="D26" s="2481" t="s">
        <v>583</v>
      </c>
      <c r="E26" s="2482" t="s">
        <v>1187</v>
      </c>
      <c r="F26" s="2480" t="s">
        <v>1139</v>
      </c>
      <c r="G26" s="2483" t="s">
        <v>1187</v>
      </c>
      <c r="H26" s="2484">
        <v>15</v>
      </c>
      <c r="I26" s="2480" t="s">
        <v>1139</v>
      </c>
      <c r="J26" s="2525">
        <v>15</v>
      </c>
      <c r="K26" s="2484">
        <v>41</v>
      </c>
      <c r="L26" s="2480" t="s">
        <v>1139</v>
      </c>
      <c r="M26" s="2485">
        <v>41</v>
      </c>
      <c r="N26" s="359"/>
      <c r="O26" s="433" t="s">
        <v>583</v>
      </c>
      <c r="P26" s="2480" t="s">
        <v>1139</v>
      </c>
      <c r="Q26" s="2486" t="s">
        <v>583</v>
      </c>
      <c r="R26" s="2482" t="s">
        <v>1187</v>
      </c>
      <c r="S26" s="2480" t="s">
        <v>1139</v>
      </c>
      <c r="T26" s="2487" t="s">
        <v>1187</v>
      </c>
      <c r="U26" s="2484">
        <v>15</v>
      </c>
      <c r="V26" s="2480" t="s">
        <v>1139</v>
      </c>
      <c r="W26" s="2486">
        <v>15</v>
      </c>
      <c r="X26" s="2484">
        <v>41</v>
      </c>
      <c r="Y26" s="2480" t="s">
        <v>1139</v>
      </c>
      <c r="Z26" s="2488">
        <v>41</v>
      </c>
      <c r="AA26" s="359"/>
      <c r="AB26" s="359"/>
      <c r="AC26" s="359"/>
      <c r="AD26" s="2496"/>
      <c r="AE26" s="2532"/>
      <c r="AF26" s="2532"/>
      <c r="AG26" s="2532"/>
      <c r="AH26" s="2532"/>
      <c r="AI26" s="2532"/>
      <c r="AJ26" s="2532"/>
      <c r="AK26" s="2532"/>
      <c r="AL26" s="2532"/>
      <c r="AM26" s="2532"/>
      <c r="AN26" s="2532"/>
      <c r="AO26" s="2532"/>
      <c r="AP26" s="2532"/>
      <c r="AQ26" s="2532"/>
      <c r="AR26" s="2532"/>
      <c r="AS26" s="2532"/>
      <c r="AT26" s="2532"/>
      <c r="AU26" s="2532"/>
      <c r="AV26" s="2532"/>
      <c r="AW26" s="2532"/>
      <c r="AX26" s="2532"/>
      <c r="AY26" s="2532"/>
      <c r="AZ26" s="2532"/>
      <c r="BA26" s="2532"/>
      <c r="BD26" s="2496"/>
      <c r="BE26" s="2504"/>
      <c r="BF26" s="2504"/>
      <c r="BG26" s="2504"/>
      <c r="BH26" s="2504"/>
      <c r="BI26" s="2504"/>
      <c r="BJ26" s="2504"/>
      <c r="BK26" s="2504"/>
      <c r="BL26" s="2504"/>
      <c r="BM26" s="2504"/>
      <c r="BN26" s="2504"/>
      <c r="BO26" s="2504"/>
      <c r="BP26" s="2504"/>
      <c r="BQ26" s="2504"/>
      <c r="BR26" s="2504"/>
      <c r="BS26" s="2504"/>
      <c r="BT26" s="2504"/>
      <c r="BU26" s="2504"/>
      <c r="BV26" s="2504"/>
      <c r="BW26" s="2504"/>
      <c r="BX26" s="2504"/>
      <c r="BY26" s="2504"/>
      <c r="BZ26" s="2504"/>
      <c r="CA26" s="2504"/>
      <c r="CB26" s="2504"/>
      <c r="CC26" s="2504"/>
      <c r="CD26" s="2504"/>
      <c r="CE26" s="2504"/>
      <c r="CF26" s="2504"/>
      <c r="CG26" s="2504"/>
      <c r="CH26" s="2504"/>
      <c r="CI26" s="2504"/>
      <c r="CJ26" s="2504"/>
      <c r="CK26" s="2504"/>
      <c r="CL26" s="2504"/>
      <c r="CM26" s="2504"/>
    </row>
    <row r="27" spans="1:91" ht="44.25">
      <c r="A27" s="359"/>
      <c r="B27" s="433" t="s">
        <v>620</v>
      </c>
      <c r="C27" s="2480" t="s">
        <v>1139</v>
      </c>
      <c r="D27" s="2481" t="s">
        <v>620</v>
      </c>
      <c r="E27" s="2482" t="s">
        <v>1178</v>
      </c>
      <c r="F27" s="2480" t="s">
        <v>1139</v>
      </c>
      <c r="G27" s="2483" t="s">
        <v>1178</v>
      </c>
      <c r="H27" s="2484">
        <v>16</v>
      </c>
      <c r="I27" s="2480" t="s">
        <v>1139</v>
      </c>
      <c r="J27" s="2525">
        <v>16</v>
      </c>
      <c r="K27" s="2484">
        <v>42</v>
      </c>
      <c r="L27" s="2480" t="s">
        <v>1139</v>
      </c>
      <c r="M27" s="2485">
        <v>42</v>
      </c>
      <c r="N27" s="359"/>
      <c r="O27" s="433" t="s">
        <v>620</v>
      </c>
      <c r="P27" s="2480" t="s">
        <v>1139</v>
      </c>
      <c r="Q27" s="2486" t="s">
        <v>620</v>
      </c>
      <c r="R27" s="2482" t="s">
        <v>1178</v>
      </c>
      <c r="S27" s="2480" t="s">
        <v>1139</v>
      </c>
      <c r="T27" s="2487" t="s">
        <v>1178</v>
      </c>
      <c r="U27" s="2484">
        <v>16</v>
      </c>
      <c r="V27" s="2480" t="s">
        <v>1139</v>
      </c>
      <c r="W27" s="2486">
        <v>16</v>
      </c>
      <c r="X27" s="2484">
        <v>42</v>
      </c>
      <c r="Y27" s="2480" t="s">
        <v>1139</v>
      </c>
      <c r="Z27" s="2488">
        <v>42</v>
      </c>
      <c r="AA27" s="359"/>
      <c r="AB27" s="359"/>
      <c r="AC27" s="359"/>
      <c r="AD27" s="2489" t="s">
        <v>2317</v>
      </c>
      <c r="AE27" s="2533" t="s">
        <v>2368</v>
      </c>
      <c r="AF27" s="2534"/>
      <c r="AG27" s="2533" t="s">
        <v>3018</v>
      </c>
      <c r="AH27" s="2534"/>
      <c r="AI27" s="2533" t="s">
        <v>3019</v>
      </c>
      <c r="AJ27" s="2534"/>
      <c r="AK27" s="2533" t="s">
        <v>3020</v>
      </c>
      <c r="AL27" s="2534"/>
      <c r="AM27" s="2533" t="s">
        <v>3021</v>
      </c>
      <c r="AN27" s="2534"/>
      <c r="AO27" s="2533" t="s">
        <v>3022</v>
      </c>
      <c r="AP27" s="2534"/>
      <c r="AQ27" s="2533" t="s">
        <v>3023</v>
      </c>
      <c r="AR27" s="2534"/>
      <c r="AS27" s="2533" t="s">
        <v>3024</v>
      </c>
      <c r="AT27" s="2534"/>
      <c r="AU27" s="2533" t="s">
        <v>3025</v>
      </c>
      <c r="AV27" s="2534"/>
      <c r="AW27" s="2533" t="s">
        <v>3026</v>
      </c>
      <c r="AX27" s="2534"/>
      <c r="AY27" s="2533" t="s">
        <v>3027</v>
      </c>
      <c r="AZ27" s="2534"/>
      <c r="BA27" s="2533" t="s">
        <v>3028</v>
      </c>
      <c r="BD27" s="2496"/>
      <c r="BE27" s="2478" t="s">
        <v>3029</v>
      </c>
      <c r="BF27" s="2504"/>
      <c r="BG27" s="2504"/>
      <c r="BH27" s="2504"/>
      <c r="BI27" s="2504"/>
      <c r="BJ27" s="2504"/>
      <c r="BK27" s="2504"/>
      <c r="BL27" s="2504"/>
      <c r="BM27" s="2504"/>
      <c r="BN27" s="2504"/>
      <c r="BO27" s="2504"/>
      <c r="BP27" s="2504"/>
      <c r="BQ27" s="2504"/>
      <c r="BR27" s="2504"/>
      <c r="BS27" s="2504"/>
      <c r="BT27" s="2504"/>
      <c r="BU27" s="2504"/>
      <c r="BV27" s="2504"/>
      <c r="BW27" s="2504"/>
      <c r="BX27" s="2504"/>
      <c r="BY27" s="2504"/>
      <c r="BZ27" s="2504"/>
      <c r="CA27" s="2504"/>
      <c r="CB27" s="2504"/>
      <c r="CC27" s="2504"/>
      <c r="CD27" s="2504"/>
      <c r="CE27" s="2504"/>
      <c r="CF27" s="2504"/>
      <c r="CG27" s="2504"/>
      <c r="CH27" s="2504"/>
      <c r="CI27" s="2504"/>
      <c r="CJ27" s="2504"/>
      <c r="CK27" s="2504"/>
      <c r="CL27" s="2504"/>
      <c r="CM27" s="2504"/>
    </row>
    <row r="28" spans="1:91" ht="44.25">
      <c r="A28" s="359"/>
      <c r="B28" s="433" t="s">
        <v>1188</v>
      </c>
      <c r="C28" s="2480" t="s">
        <v>1139</v>
      </c>
      <c r="D28" s="2481" t="s">
        <v>1188</v>
      </c>
      <c r="E28" s="2482" t="s">
        <v>1174</v>
      </c>
      <c r="F28" s="2480" t="s">
        <v>1139</v>
      </c>
      <c r="G28" s="2483" t="s">
        <v>1174</v>
      </c>
      <c r="H28" s="2484">
        <v>17</v>
      </c>
      <c r="I28" s="2480" t="s">
        <v>1139</v>
      </c>
      <c r="J28" s="2525">
        <v>17</v>
      </c>
      <c r="K28" s="2484">
        <v>43</v>
      </c>
      <c r="L28" s="2480" t="s">
        <v>1139</v>
      </c>
      <c r="M28" s="2485">
        <v>43</v>
      </c>
      <c r="N28" s="359"/>
      <c r="O28" s="433" t="s">
        <v>1188</v>
      </c>
      <c r="P28" s="2480" t="s">
        <v>1139</v>
      </c>
      <c r="Q28" s="2486" t="s">
        <v>1188</v>
      </c>
      <c r="R28" s="2482" t="s">
        <v>1174</v>
      </c>
      <c r="S28" s="2480" t="s">
        <v>1139</v>
      </c>
      <c r="T28" s="2487" t="s">
        <v>1174</v>
      </c>
      <c r="U28" s="2484">
        <v>17</v>
      </c>
      <c r="V28" s="2480" t="s">
        <v>1139</v>
      </c>
      <c r="W28" s="2486">
        <v>17</v>
      </c>
      <c r="X28" s="2484">
        <v>43</v>
      </c>
      <c r="Y28" s="2480" t="s">
        <v>1139</v>
      </c>
      <c r="Z28" s="2488">
        <v>43</v>
      </c>
      <c r="AA28" s="359"/>
      <c r="AB28" s="359"/>
      <c r="AC28" s="359"/>
      <c r="AD28" s="2496"/>
      <c r="AE28" s="2535"/>
      <c r="AF28" s="2535"/>
      <c r="AG28" s="2535"/>
      <c r="AH28" s="2535"/>
      <c r="AI28" s="2535"/>
      <c r="AJ28" s="2535"/>
      <c r="AK28" s="2535"/>
      <c r="AL28" s="2535"/>
      <c r="AM28" s="2535"/>
      <c r="AN28" s="2535"/>
      <c r="AO28" s="2535"/>
      <c r="AP28" s="2535"/>
      <c r="AQ28" s="2535"/>
      <c r="AR28" s="2535"/>
      <c r="AS28" s="2535"/>
      <c r="AT28" s="2535"/>
      <c r="AU28" s="2535"/>
      <c r="AV28" s="2535"/>
      <c r="AW28" s="2535"/>
      <c r="AX28" s="2535"/>
      <c r="AY28" s="2535"/>
      <c r="AZ28" s="2535"/>
      <c r="BA28" s="2535"/>
      <c r="BD28" s="9903" t="s">
        <v>2986</v>
      </c>
      <c r="BE28" s="2536" t="s">
        <v>337</v>
      </c>
      <c r="BF28" s="2537"/>
      <c r="BG28" s="2494"/>
      <c r="BH28" s="2536" t="s">
        <v>1173</v>
      </c>
      <c r="BI28" s="2537"/>
      <c r="BJ28" s="2494"/>
      <c r="BK28" s="2536" t="s">
        <v>651</v>
      </c>
      <c r="BL28" s="2537"/>
      <c r="BM28" s="2494"/>
      <c r="BN28" s="2536" t="s">
        <v>516</v>
      </c>
      <c r="BO28" s="2537"/>
      <c r="BP28" s="2494"/>
      <c r="BQ28" s="2536" t="s">
        <v>595</v>
      </c>
      <c r="BR28" s="2537"/>
      <c r="BS28" s="2494"/>
      <c r="BT28" s="2536" t="s">
        <v>1197</v>
      </c>
      <c r="BU28" s="2537"/>
      <c r="BV28" s="2494"/>
      <c r="BW28" s="2536" t="s">
        <v>1191</v>
      </c>
      <c r="BX28" s="2537"/>
      <c r="BY28" s="2494"/>
      <c r="BZ28" s="2536" t="s">
        <v>346</v>
      </c>
      <c r="CA28" s="2537"/>
      <c r="CB28" s="2494"/>
      <c r="CC28" s="2536" t="s">
        <v>583</v>
      </c>
      <c r="CD28" s="2537"/>
      <c r="CE28" s="2494"/>
      <c r="CF28" s="2536" t="s">
        <v>620</v>
      </c>
      <c r="CG28" s="2537"/>
      <c r="CH28" s="2494"/>
      <c r="CI28" s="2536" t="s">
        <v>3030</v>
      </c>
      <c r="CJ28" s="2537"/>
      <c r="CK28" s="2494"/>
      <c r="CL28" s="2536" t="s">
        <v>1203</v>
      </c>
      <c r="CM28" s="2537"/>
    </row>
    <row r="29" spans="1:91" ht="44.25">
      <c r="A29" s="359"/>
      <c r="B29" s="433" t="s">
        <v>516</v>
      </c>
      <c r="C29" s="2480" t="s">
        <v>1139</v>
      </c>
      <c r="D29" s="2481" t="s">
        <v>516</v>
      </c>
      <c r="E29" s="2482" t="s">
        <v>1189</v>
      </c>
      <c r="F29" s="2480" t="s">
        <v>1139</v>
      </c>
      <c r="G29" s="2483" t="s">
        <v>1189</v>
      </c>
      <c r="H29" s="2484">
        <v>18</v>
      </c>
      <c r="I29" s="2480" t="s">
        <v>1139</v>
      </c>
      <c r="J29" s="2525">
        <v>18</v>
      </c>
      <c r="K29" s="2484">
        <v>44</v>
      </c>
      <c r="L29" s="2480" t="s">
        <v>1139</v>
      </c>
      <c r="M29" s="2485">
        <v>44</v>
      </c>
      <c r="N29" s="359"/>
      <c r="O29" s="433" t="s">
        <v>516</v>
      </c>
      <c r="P29" s="2480" t="s">
        <v>1139</v>
      </c>
      <c r="Q29" s="2486" t="s">
        <v>516</v>
      </c>
      <c r="R29" s="2482" t="s">
        <v>1189</v>
      </c>
      <c r="S29" s="2480" t="s">
        <v>1139</v>
      </c>
      <c r="T29" s="2487" t="s">
        <v>1189</v>
      </c>
      <c r="U29" s="2484">
        <v>18</v>
      </c>
      <c r="V29" s="2480" t="s">
        <v>1139</v>
      </c>
      <c r="W29" s="2486">
        <v>18</v>
      </c>
      <c r="X29" s="2484">
        <v>44</v>
      </c>
      <c r="Y29" s="2480" t="s">
        <v>1139</v>
      </c>
      <c r="Z29" s="2488">
        <v>44</v>
      </c>
      <c r="AA29" s="359"/>
      <c r="AB29" s="359"/>
      <c r="AC29" s="359"/>
      <c r="AD29" s="2489" t="s">
        <v>2999</v>
      </c>
      <c r="AE29" s="2538" t="s">
        <v>2368</v>
      </c>
      <c r="AF29" s="2539">
        <v>0</v>
      </c>
      <c r="AG29" s="2538" t="s">
        <v>3018</v>
      </c>
      <c r="AH29" s="2539">
        <v>0</v>
      </c>
      <c r="AI29" s="2538" t="s">
        <v>3019</v>
      </c>
      <c r="AJ29" s="2539">
        <v>0</v>
      </c>
      <c r="AK29" s="2538" t="s">
        <v>3020</v>
      </c>
      <c r="AL29" s="2539">
        <v>0</v>
      </c>
      <c r="AM29" s="2538" t="s">
        <v>3021</v>
      </c>
      <c r="AN29" s="2539">
        <v>0</v>
      </c>
      <c r="AO29" s="2538" t="s">
        <v>3022</v>
      </c>
      <c r="AP29" s="2539">
        <v>0</v>
      </c>
      <c r="AQ29" s="2538" t="s">
        <v>3023</v>
      </c>
      <c r="AR29" s="2539">
        <v>0</v>
      </c>
      <c r="AS29" s="2540" t="s">
        <v>3024</v>
      </c>
      <c r="AT29" s="2539">
        <v>0</v>
      </c>
      <c r="AU29" s="2538" t="s">
        <v>3025</v>
      </c>
      <c r="AV29" s="2539">
        <v>0</v>
      </c>
      <c r="AW29" s="2538" t="s">
        <v>3026</v>
      </c>
      <c r="AX29" s="2539">
        <v>0</v>
      </c>
      <c r="AY29" s="2538" t="s">
        <v>3027</v>
      </c>
      <c r="AZ29" s="2539">
        <v>0</v>
      </c>
      <c r="BA29" s="2538" t="s">
        <v>3028</v>
      </c>
      <c r="BD29" s="9903"/>
      <c r="BE29" s="2498" t="s">
        <v>1147</v>
      </c>
      <c r="BF29" s="2499"/>
      <c r="BG29" s="2494"/>
      <c r="BH29" s="2498" t="s">
        <v>1200</v>
      </c>
      <c r="BI29" s="2499"/>
      <c r="BJ29" s="2494"/>
      <c r="BK29" s="2498" t="s">
        <v>1160</v>
      </c>
      <c r="BL29" s="2499"/>
      <c r="BM29" s="2494"/>
      <c r="BN29" s="2498" t="s">
        <v>1189</v>
      </c>
      <c r="BO29" s="2499"/>
      <c r="BP29" s="2494"/>
      <c r="BQ29" s="2498" t="s">
        <v>1171</v>
      </c>
      <c r="BR29" s="2499"/>
      <c r="BS29" s="2494"/>
      <c r="BT29" s="2498" t="s">
        <v>1198</v>
      </c>
      <c r="BU29" s="2499"/>
      <c r="BV29" s="2494"/>
      <c r="BW29" s="2498" t="s">
        <v>1177</v>
      </c>
      <c r="BX29" s="2499"/>
      <c r="BY29" s="2494"/>
      <c r="BZ29" s="2498" t="s">
        <v>1179</v>
      </c>
      <c r="CA29" s="2499"/>
      <c r="CB29" s="2494"/>
      <c r="CC29" s="2498" t="s">
        <v>1187</v>
      </c>
      <c r="CD29" s="2499"/>
      <c r="CE29" s="2494"/>
      <c r="CF29" s="2498" t="s">
        <v>1178</v>
      </c>
      <c r="CG29" s="2499"/>
      <c r="CH29" s="2494"/>
      <c r="CI29" s="2498" t="s">
        <v>2991</v>
      </c>
      <c r="CJ29" s="2499"/>
      <c r="CK29" s="2494"/>
      <c r="CL29" s="2498"/>
      <c r="CM29" s="2499" t="s">
        <v>3031</v>
      </c>
    </row>
    <row r="30" spans="1:91" ht="44.25">
      <c r="A30" s="359"/>
      <c r="B30" s="433" t="s">
        <v>353</v>
      </c>
      <c r="C30" s="2480" t="s">
        <v>1139</v>
      </c>
      <c r="D30" s="2481" t="s">
        <v>353</v>
      </c>
      <c r="E30" s="2482" t="s">
        <v>1190</v>
      </c>
      <c r="F30" s="2480" t="s">
        <v>1139</v>
      </c>
      <c r="G30" s="2483" t="s">
        <v>1190</v>
      </c>
      <c r="H30" s="2484">
        <v>19</v>
      </c>
      <c r="I30" s="2480" t="s">
        <v>1139</v>
      </c>
      <c r="J30" s="2525">
        <v>19</v>
      </c>
      <c r="K30" s="2484">
        <v>45</v>
      </c>
      <c r="L30" s="2480" t="s">
        <v>1139</v>
      </c>
      <c r="M30" s="2485">
        <v>45</v>
      </c>
      <c r="N30" s="359"/>
      <c r="O30" s="433" t="s">
        <v>353</v>
      </c>
      <c r="P30" s="2480" t="s">
        <v>1139</v>
      </c>
      <c r="Q30" s="2486" t="s">
        <v>353</v>
      </c>
      <c r="R30" s="2482" t="s">
        <v>1190</v>
      </c>
      <c r="S30" s="2480" t="s">
        <v>1139</v>
      </c>
      <c r="T30" s="2487" t="s">
        <v>1190</v>
      </c>
      <c r="U30" s="2484">
        <v>19</v>
      </c>
      <c r="V30" s="2480" t="s">
        <v>1139</v>
      </c>
      <c r="W30" s="2486">
        <v>19</v>
      </c>
      <c r="X30" s="2484">
        <v>45</v>
      </c>
      <c r="Y30" s="2480" t="s">
        <v>1139</v>
      </c>
      <c r="Z30" s="2488">
        <v>45</v>
      </c>
      <c r="AA30" s="359"/>
      <c r="AB30" s="359"/>
      <c r="AC30" s="359"/>
      <c r="AD30" s="2496"/>
      <c r="AE30" s="2535"/>
      <c r="AF30" s="2535"/>
      <c r="AG30" s="2535"/>
      <c r="AH30" s="2535"/>
      <c r="AI30" s="2535"/>
      <c r="AJ30" s="2535"/>
      <c r="AK30" s="2535"/>
      <c r="AL30" s="2535"/>
      <c r="AM30" s="2535"/>
      <c r="AN30" s="2535"/>
      <c r="AO30" s="2535"/>
      <c r="AP30" s="2535"/>
      <c r="AQ30" s="2535"/>
      <c r="AR30" s="2535"/>
      <c r="AS30" s="2541"/>
      <c r="AT30" s="2535"/>
      <c r="AU30" s="2535"/>
      <c r="AV30" s="2535"/>
      <c r="AW30" s="2535"/>
      <c r="AX30" s="2535"/>
      <c r="AY30" s="2535"/>
      <c r="AZ30" s="2535"/>
      <c r="BA30" s="2535"/>
      <c r="BD30" s="2503"/>
      <c r="BE30" s="2494"/>
      <c r="BF30" s="2494"/>
      <c r="BG30" s="2494"/>
      <c r="BH30" s="2494"/>
      <c r="BI30" s="2494"/>
      <c r="BJ30" s="2494"/>
      <c r="BK30" s="2494"/>
      <c r="BL30" s="2494"/>
      <c r="BM30" s="2494"/>
      <c r="BN30" s="2494"/>
      <c r="BO30" s="2494"/>
      <c r="BP30" s="2494"/>
      <c r="BQ30" s="2494"/>
      <c r="BR30" s="2494"/>
      <c r="BS30" s="2494"/>
      <c r="BT30" s="2494"/>
      <c r="BU30" s="2494"/>
      <c r="BV30" s="2494"/>
      <c r="BW30" s="2494"/>
      <c r="BX30" s="2494"/>
      <c r="BY30" s="2494"/>
      <c r="BZ30" s="2494"/>
      <c r="CA30" s="2494"/>
      <c r="CB30" s="2494"/>
      <c r="CC30" s="2494"/>
      <c r="CD30" s="2494"/>
      <c r="CE30" s="2494"/>
      <c r="CF30" s="2494"/>
      <c r="CG30" s="2494"/>
      <c r="CH30" s="2494"/>
      <c r="CI30" s="2494"/>
      <c r="CJ30" s="2494"/>
      <c r="CK30" s="2494"/>
      <c r="CL30" s="2494"/>
      <c r="CM30" s="2494"/>
    </row>
    <row r="31" spans="1:91" ht="44.25">
      <c r="A31" s="359"/>
      <c r="B31" s="433" t="s">
        <v>595</v>
      </c>
      <c r="C31" s="2480" t="s">
        <v>1139</v>
      </c>
      <c r="D31" s="2481" t="s">
        <v>595</v>
      </c>
      <c r="E31" s="2482" t="s">
        <v>1171</v>
      </c>
      <c r="F31" s="2480" t="s">
        <v>1139</v>
      </c>
      <c r="G31" s="2483" t="s">
        <v>1171</v>
      </c>
      <c r="H31" s="2484">
        <v>20</v>
      </c>
      <c r="I31" s="2480" t="s">
        <v>1139</v>
      </c>
      <c r="J31" s="2525">
        <v>20</v>
      </c>
      <c r="K31" s="2484">
        <v>46</v>
      </c>
      <c r="L31" s="2480" t="s">
        <v>1139</v>
      </c>
      <c r="M31" s="2485">
        <v>46</v>
      </c>
      <c r="N31" s="359"/>
      <c r="O31" s="433" t="s">
        <v>595</v>
      </c>
      <c r="P31" s="2480" t="s">
        <v>1139</v>
      </c>
      <c r="Q31" s="2486" t="s">
        <v>595</v>
      </c>
      <c r="R31" s="2482" t="s">
        <v>1171</v>
      </c>
      <c r="S31" s="2480" t="s">
        <v>1139</v>
      </c>
      <c r="T31" s="2487" t="s">
        <v>1171</v>
      </c>
      <c r="U31" s="2484">
        <v>20</v>
      </c>
      <c r="V31" s="2480" t="s">
        <v>1139</v>
      </c>
      <c r="W31" s="2486">
        <v>20</v>
      </c>
      <c r="X31" s="2484">
        <v>46</v>
      </c>
      <c r="Y31" s="2480" t="s">
        <v>1139</v>
      </c>
      <c r="Z31" s="2488">
        <v>46</v>
      </c>
      <c r="AA31" s="359"/>
      <c r="AB31" s="359"/>
      <c r="AC31" s="359"/>
      <c r="AD31" s="2489" t="s">
        <v>3000</v>
      </c>
      <c r="AE31" s="2542" t="s">
        <v>2368</v>
      </c>
      <c r="AF31" s="2543">
        <v>0</v>
      </c>
      <c r="AG31" s="2542" t="s">
        <v>3018</v>
      </c>
      <c r="AH31" s="2543">
        <v>0</v>
      </c>
      <c r="AI31" s="2542" t="s">
        <v>3019</v>
      </c>
      <c r="AJ31" s="2543">
        <v>0</v>
      </c>
      <c r="AK31" s="2542" t="s">
        <v>3020</v>
      </c>
      <c r="AL31" s="2543">
        <v>0</v>
      </c>
      <c r="AM31" s="2542" t="s">
        <v>3021</v>
      </c>
      <c r="AN31" s="2543">
        <v>0</v>
      </c>
      <c r="AO31" s="2542" t="s">
        <v>3022</v>
      </c>
      <c r="AP31" s="2543">
        <v>0</v>
      </c>
      <c r="AQ31" s="2542" t="s">
        <v>3023</v>
      </c>
      <c r="AR31" s="2543">
        <v>0</v>
      </c>
      <c r="AS31" s="2542" t="s">
        <v>3024</v>
      </c>
      <c r="AT31" s="2543">
        <v>0</v>
      </c>
      <c r="AU31" s="2542" t="s">
        <v>3025</v>
      </c>
      <c r="AV31" s="2543">
        <v>0</v>
      </c>
      <c r="AW31" s="2542" t="s">
        <v>3026</v>
      </c>
      <c r="AX31" s="2543">
        <v>0</v>
      </c>
      <c r="AY31" s="2542" t="s">
        <v>3027</v>
      </c>
      <c r="AZ31" s="2543">
        <v>0</v>
      </c>
      <c r="BA31" s="2542" t="s">
        <v>3028</v>
      </c>
      <c r="BD31" s="9899" t="s">
        <v>2999</v>
      </c>
      <c r="BE31" s="2505" t="s">
        <v>337</v>
      </c>
      <c r="BF31" s="2506"/>
      <c r="BG31" s="2507"/>
      <c r="BH31" s="2505" t="s">
        <v>1173</v>
      </c>
      <c r="BI31" s="2506"/>
      <c r="BJ31" s="2507"/>
      <c r="BK31" s="2505" t="s">
        <v>651</v>
      </c>
      <c r="BL31" s="2506"/>
      <c r="BM31" s="2507"/>
      <c r="BN31" s="2505" t="s">
        <v>516</v>
      </c>
      <c r="BO31" s="2506"/>
      <c r="BP31" s="2507"/>
      <c r="BQ31" s="2505" t="s">
        <v>595</v>
      </c>
      <c r="BR31" s="2506"/>
      <c r="BS31" s="2507"/>
      <c r="BT31" s="2505" t="s">
        <v>1197</v>
      </c>
      <c r="BU31" s="2506"/>
      <c r="BV31" s="2507"/>
      <c r="BW31" s="2505" t="s">
        <v>1191</v>
      </c>
      <c r="BX31" s="2506"/>
      <c r="BY31" s="2507"/>
      <c r="BZ31" s="2505" t="s">
        <v>346</v>
      </c>
      <c r="CA31" s="2506"/>
      <c r="CB31" s="2507"/>
      <c r="CC31" s="2505" t="s">
        <v>583</v>
      </c>
      <c r="CD31" s="2506"/>
      <c r="CE31" s="2507"/>
      <c r="CF31" s="2505" t="s">
        <v>620</v>
      </c>
      <c r="CG31" s="2506"/>
      <c r="CH31" s="2507"/>
      <c r="CI31" s="2505" t="s">
        <v>3030</v>
      </c>
      <c r="CJ31" s="2506"/>
      <c r="CK31" s="2507"/>
      <c r="CL31" s="2505" t="s">
        <v>1203</v>
      </c>
      <c r="CM31" s="2506"/>
    </row>
    <row r="32" spans="1:91" ht="44.25">
      <c r="A32" s="359"/>
      <c r="B32" s="433" t="s">
        <v>1191</v>
      </c>
      <c r="C32" s="2480" t="s">
        <v>1139</v>
      </c>
      <c r="D32" s="2481" t="s">
        <v>1191</v>
      </c>
      <c r="E32" s="2482" t="s">
        <v>1177</v>
      </c>
      <c r="F32" s="2480" t="s">
        <v>1139</v>
      </c>
      <c r="G32" s="2483" t="s">
        <v>1177</v>
      </c>
      <c r="H32" s="2484">
        <v>21</v>
      </c>
      <c r="I32" s="2480" t="s">
        <v>1139</v>
      </c>
      <c r="J32" s="2525">
        <v>21</v>
      </c>
      <c r="K32" s="2484">
        <v>47</v>
      </c>
      <c r="L32" s="2480" t="s">
        <v>1139</v>
      </c>
      <c r="M32" s="2485">
        <v>47</v>
      </c>
      <c r="N32" s="359"/>
      <c r="O32" s="433" t="s">
        <v>1191</v>
      </c>
      <c r="P32" s="2480" t="s">
        <v>1139</v>
      </c>
      <c r="Q32" s="2486" t="s">
        <v>1191</v>
      </c>
      <c r="R32" s="2482" t="s">
        <v>1177</v>
      </c>
      <c r="S32" s="2480" t="s">
        <v>1139</v>
      </c>
      <c r="T32" s="2487" t="s">
        <v>1177</v>
      </c>
      <c r="U32" s="2484">
        <v>21</v>
      </c>
      <c r="V32" s="2480" t="s">
        <v>1139</v>
      </c>
      <c r="W32" s="2486">
        <v>21</v>
      </c>
      <c r="X32" s="2484">
        <v>47</v>
      </c>
      <c r="Y32" s="2480" t="s">
        <v>1139</v>
      </c>
      <c r="Z32" s="2488">
        <v>47</v>
      </c>
      <c r="AA32" s="359"/>
      <c r="AB32" s="359"/>
      <c r="AC32" s="359"/>
      <c r="AD32" s="2496"/>
      <c r="AE32" s="2535"/>
      <c r="AF32" s="2535"/>
      <c r="AG32" s="2535"/>
      <c r="AH32" s="2535"/>
      <c r="AI32" s="2535"/>
      <c r="AJ32" s="2535"/>
      <c r="AK32" s="2535"/>
      <c r="AL32" s="2535"/>
      <c r="AM32" s="2535"/>
      <c r="AN32" s="2535"/>
      <c r="AO32" s="2535"/>
      <c r="AP32" s="2535"/>
      <c r="AQ32" s="2535"/>
      <c r="AR32" s="2535"/>
      <c r="AS32" s="2535"/>
      <c r="AT32" s="2535"/>
      <c r="AU32" s="2535"/>
      <c r="AV32" s="2535"/>
      <c r="AW32" s="2535"/>
      <c r="AX32" s="2535"/>
      <c r="AY32" s="2535"/>
      <c r="AZ32" s="2535"/>
      <c r="BA32" s="2535"/>
      <c r="BD32" s="9899"/>
      <c r="BE32" s="2509" t="s">
        <v>1147</v>
      </c>
      <c r="BF32" s="2510"/>
      <c r="BG32" s="2507"/>
      <c r="BH32" s="2509" t="s">
        <v>1200</v>
      </c>
      <c r="BI32" s="2510"/>
      <c r="BJ32" s="2507"/>
      <c r="BK32" s="2509" t="s">
        <v>1160</v>
      </c>
      <c r="BL32" s="2510"/>
      <c r="BM32" s="2507"/>
      <c r="BN32" s="2509" t="s">
        <v>1189</v>
      </c>
      <c r="BO32" s="2510"/>
      <c r="BP32" s="2507"/>
      <c r="BQ32" s="2509" t="s">
        <v>1171</v>
      </c>
      <c r="BR32" s="2510"/>
      <c r="BS32" s="2507"/>
      <c r="BT32" s="2509" t="s">
        <v>1198</v>
      </c>
      <c r="BU32" s="2510"/>
      <c r="BV32" s="2507"/>
      <c r="BW32" s="2509" t="s">
        <v>1177</v>
      </c>
      <c r="BX32" s="2510"/>
      <c r="BY32" s="2507"/>
      <c r="BZ32" s="2509" t="s">
        <v>1179</v>
      </c>
      <c r="CA32" s="2510"/>
      <c r="CB32" s="2507"/>
      <c r="CC32" s="2509" t="s">
        <v>1187</v>
      </c>
      <c r="CD32" s="2510"/>
      <c r="CE32" s="2507"/>
      <c r="CF32" s="2509" t="s">
        <v>1178</v>
      </c>
      <c r="CG32" s="2510"/>
      <c r="CH32" s="2507"/>
      <c r="CI32" s="2509" t="s">
        <v>2991</v>
      </c>
      <c r="CJ32" s="2510"/>
      <c r="CK32" s="2507"/>
      <c r="CL32" s="2509"/>
      <c r="CM32" s="2510" t="s">
        <v>3031</v>
      </c>
    </row>
    <row r="33" spans="1:91" ht="44.25">
      <c r="A33" s="359"/>
      <c r="B33" s="433" t="s">
        <v>633</v>
      </c>
      <c r="C33" s="2480" t="s">
        <v>1139</v>
      </c>
      <c r="D33" s="2481" t="s">
        <v>633</v>
      </c>
      <c r="E33" s="2482" t="s">
        <v>1192</v>
      </c>
      <c r="F33" s="2480" t="s">
        <v>1139</v>
      </c>
      <c r="G33" s="2483" t="s">
        <v>1192</v>
      </c>
      <c r="H33" s="2484">
        <v>22</v>
      </c>
      <c r="I33" s="2480" t="s">
        <v>1139</v>
      </c>
      <c r="J33" s="2525">
        <v>22</v>
      </c>
      <c r="K33" s="2484">
        <v>48</v>
      </c>
      <c r="L33" s="2480" t="s">
        <v>1139</v>
      </c>
      <c r="M33" s="2485">
        <v>48</v>
      </c>
      <c r="N33" s="359"/>
      <c r="O33" s="433" t="s">
        <v>633</v>
      </c>
      <c r="P33" s="2480" t="s">
        <v>1139</v>
      </c>
      <c r="Q33" s="2486" t="s">
        <v>633</v>
      </c>
      <c r="R33" s="2482" t="s">
        <v>1192</v>
      </c>
      <c r="S33" s="2480" t="s">
        <v>1139</v>
      </c>
      <c r="T33" s="2487" t="s">
        <v>1192</v>
      </c>
      <c r="U33" s="2484">
        <v>22</v>
      </c>
      <c r="V33" s="2480" t="s">
        <v>1139</v>
      </c>
      <c r="W33" s="2486">
        <v>22</v>
      </c>
      <c r="X33" s="2484">
        <v>48</v>
      </c>
      <c r="Y33" s="2480" t="s">
        <v>1139</v>
      </c>
      <c r="Z33" s="2488">
        <v>48</v>
      </c>
      <c r="AA33" s="359"/>
      <c r="AB33" s="359"/>
      <c r="AC33" s="359"/>
      <c r="AD33" s="2489" t="s">
        <v>3002</v>
      </c>
      <c r="AE33" s="2544" t="s">
        <v>2368</v>
      </c>
      <c r="AF33" s="2545">
        <v>0</v>
      </c>
      <c r="AG33" s="2544" t="s">
        <v>3018</v>
      </c>
      <c r="AH33" s="2545">
        <v>0</v>
      </c>
      <c r="AI33" s="2544" t="s">
        <v>3019</v>
      </c>
      <c r="AJ33" s="2545">
        <v>0</v>
      </c>
      <c r="AK33" s="2544" t="s">
        <v>3020</v>
      </c>
      <c r="AL33" s="2545">
        <v>0</v>
      </c>
      <c r="AM33" s="2544" t="s">
        <v>3021</v>
      </c>
      <c r="AN33" s="2545">
        <v>0</v>
      </c>
      <c r="AO33" s="2544" t="s">
        <v>3022</v>
      </c>
      <c r="AP33" s="2545">
        <v>0</v>
      </c>
      <c r="AQ33" s="2544" t="s">
        <v>3023</v>
      </c>
      <c r="AR33" s="2545">
        <v>0</v>
      </c>
      <c r="AS33" s="2544" t="s">
        <v>3024</v>
      </c>
      <c r="AT33" s="2545">
        <v>0</v>
      </c>
      <c r="AU33" s="2544" t="s">
        <v>3025</v>
      </c>
      <c r="AV33" s="2545">
        <v>0</v>
      </c>
      <c r="AW33" s="2544" t="s">
        <v>3026</v>
      </c>
      <c r="AX33" s="2545">
        <v>0</v>
      </c>
      <c r="AY33" s="2544" t="s">
        <v>3027</v>
      </c>
      <c r="AZ33" s="2545">
        <v>0</v>
      </c>
      <c r="BA33" s="2544" t="s">
        <v>3028</v>
      </c>
      <c r="BD33" s="2503"/>
      <c r="BE33" s="2504"/>
      <c r="BF33" s="2504"/>
      <c r="BG33" s="2504"/>
      <c r="BH33" s="2504"/>
      <c r="BI33" s="2504"/>
      <c r="BJ33" s="2504"/>
      <c r="BK33" s="2504"/>
      <c r="BL33" s="2504"/>
      <c r="BM33" s="2504"/>
      <c r="BN33" s="2504"/>
      <c r="BO33" s="2504"/>
      <c r="BP33" s="2504"/>
      <c r="BQ33" s="2504"/>
      <c r="BR33" s="2504"/>
      <c r="BS33" s="2504"/>
      <c r="BT33" s="2504"/>
      <c r="BU33" s="2504"/>
      <c r="BV33" s="2504"/>
      <c r="BW33" s="2504"/>
      <c r="BX33" s="2504"/>
      <c r="BY33" s="2504"/>
      <c r="BZ33" s="2504"/>
      <c r="CA33" s="2504"/>
      <c r="CB33" s="2504"/>
      <c r="CC33" s="2504"/>
      <c r="CD33" s="2504"/>
      <c r="CE33" s="2504"/>
      <c r="CF33" s="2504"/>
      <c r="CG33" s="2504"/>
      <c r="CH33" s="2504"/>
      <c r="CI33" s="2504"/>
      <c r="CJ33" s="2504"/>
      <c r="CK33" s="2504"/>
      <c r="CL33" s="2504"/>
      <c r="CM33" s="2504"/>
    </row>
    <row r="34" spans="1:91" ht="44.25">
      <c r="A34" s="359"/>
      <c r="B34" s="433" t="s">
        <v>1193</v>
      </c>
      <c r="C34" s="2480" t="s">
        <v>1139</v>
      </c>
      <c r="D34" s="2481" t="s">
        <v>1193</v>
      </c>
      <c r="E34" s="2482" t="s">
        <v>1194</v>
      </c>
      <c r="F34" s="2480" t="s">
        <v>1139</v>
      </c>
      <c r="G34" s="2483" t="s">
        <v>1194</v>
      </c>
      <c r="H34" s="2484">
        <v>23</v>
      </c>
      <c r="I34" s="2480" t="s">
        <v>1139</v>
      </c>
      <c r="J34" s="2525">
        <v>23</v>
      </c>
      <c r="K34" s="2484">
        <v>49</v>
      </c>
      <c r="L34" s="2480" t="s">
        <v>1139</v>
      </c>
      <c r="M34" s="2485">
        <v>49</v>
      </c>
      <c r="N34" s="359"/>
      <c r="O34" s="433" t="s">
        <v>1193</v>
      </c>
      <c r="P34" s="2480" t="s">
        <v>1139</v>
      </c>
      <c r="Q34" s="2486" t="s">
        <v>1193</v>
      </c>
      <c r="R34" s="2482" t="s">
        <v>1194</v>
      </c>
      <c r="S34" s="2480" t="s">
        <v>1139</v>
      </c>
      <c r="T34" s="2487" t="s">
        <v>1194</v>
      </c>
      <c r="U34" s="2484">
        <v>23</v>
      </c>
      <c r="V34" s="2480" t="s">
        <v>1139</v>
      </c>
      <c r="W34" s="2486">
        <v>23</v>
      </c>
      <c r="X34" s="2484">
        <v>49</v>
      </c>
      <c r="Y34" s="2480" t="s">
        <v>1139</v>
      </c>
      <c r="Z34" s="2488">
        <v>49</v>
      </c>
      <c r="AA34" s="359"/>
      <c r="AB34" s="359"/>
      <c r="AC34" s="359"/>
      <c r="AD34" s="2496"/>
      <c r="AE34" s="2535"/>
      <c r="AF34" s="2535"/>
      <c r="AG34" s="2535"/>
      <c r="AH34" s="2535"/>
      <c r="AI34" s="2535"/>
      <c r="AJ34" s="2535"/>
      <c r="AK34" s="2535"/>
      <c r="AL34" s="2535"/>
      <c r="AM34" s="2535"/>
      <c r="AN34" s="2535"/>
      <c r="AO34" s="2535"/>
      <c r="AP34" s="2535"/>
      <c r="AQ34" s="2535"/>
      <c r="AR34" s="2535"/>
      <c r="AS34" s="2535"/>
      <c r="AT34" s="2535"/>
      <c r="AU34" s="2535"/>
      <c r="AV34" s="2535"/>
      <c r="AW34" s="2535"/>
      <c r="AX34" s="2535"/>
      <c r="AY34" s="2535"/>
      <c r="AZ34" s="2535"/>
      <c r="BA34" s="2535"/>
      <c r="BD34" s="9899" t="s">
        <v>3001</v>
      </c>
      <c r="BE34" s="2513" t="s">
        <v>337</v>
      </c>
      <c r="BF34" s="2514"/>
      <c r="BG34" s="2512"/>
      <c r="BH34" s="2513" t="s">
        <v>1173</v>
      </c>
      <c r="BI34" s="2514"/>
      <c r="BJ34" s="2512"/>
      <c r="BK34" s="2513" t="s">
        <v>651</v>
      </c>
      <c r="BL34" s="2514"/>
      <c r="BM34" s="2512"/>
      <c r="BN34" s="2513" t="s">
        <v>516</v>
      </c>
      <c r="BO34" s="2514"/>
      <c r="BP34" s="2512"/>
      <c r="BQ34" s="2513" t="s">
        <v>595</v>
      </c>
      <c r="BR34" s="2514"/>
      <c r="BS34" s="2512"/>
      <c r="BT34" s="2513" t="s">
        <v>1197</v>
      </c>
      <c r="BU34" s="2514"/>
      <c r="BV34" s="2512"/>
      <c r="BW34" s="2513" t="s">
        <v>1191</v>
      </c>
      <c r="BX34" s="2514"/>
      <c r="BY34" s="2512"/>
      <c r="BZ34" s="2513" t="s">
        <v>346</v>
      </c>
      <c r="CA34" s="2514"/>
      <c r="CB34" s="2512"/>
      <c r="CC34" s="2513" t="s">
        <v>583</v>
      </c>
      <c r="CD34" s="2514"/>
      <c r="CE34" s="2512"/>
      <c r="CF34" s="2513" t="s">
        <v>620</v>
      </c>
      <c r="CG34" s="2514"/>
      <c r="CH34" s="2512"/>
      <c r="CI34" s="2513" t="s">
        <v>3030</v>
      </c>
      <c r="CJ34" s="2514"/>
      <c r="CK34" s="2512"/>
      <c r="CL34" s="2513" t="s">
        <v>1203</v>
      </c>
      <c r="CM34" s="2514"/>
    </row>
    <row r="35" spans="1:91" ht="44.25">
      <c r="A35" s="359"/>
      <c r="B35" s="433" t="s">
        <v>1170</v>
      </c>
      <c r="C35" s="2480" t="s">
        <v>1139</v>
      </c>
      <c r="D35" s="2481" t="s">
        <v>1170</v>
      </c>
      <c r="E35" s="2482" t="s">
        <v>1195</v>
      </c>
      <c r="F35" s="2480" t="s">
        <v>1139</v>
      </c>
      <c r="G35" s="2483" t="s">
        <v>1195</v>
      </c>
      <c r="H35" s="2484">
        <v>24</v>
      </c>
      <c r="I35" s="2480" t="s">
        <v>1139</v>
      </c>
      <c r="J35" s="2525">
        <v>24</v>
      </c>
      <c r="K35" s="2484">
        <v>50</v>
      </c>
      <c r="L35" s="2480" t="s">
        <v>1139</v>
      </c>
      <c r="M35" s="2485">
        <v>50</v>
      </c>
      <c r="N35" s="359"/>
      <c r="O35" s="433" t="s">
        <v>1170</v>
      </c>
      <c r="P35" s="2480" t="s">
        <v>1139</v>
      </c>
      <c r="Q35" s="2486" t="s">
        <v>1170</v>
      </c>
      <c r="R35" s="2482" t="s">
        <v>1195</v>
      </c>
      <c r="S35" s="2480" t="s">
        <v>1139</v>
      </c>
      <c r="T35" s="2487" t="s">
        <v>1195</v>
      </c>
      <c r="U35" s="2484">
        <v>24</v>
      </c>
      <c r="V35" s="2480" t="s">
        <v>1139</v>
      </c>
      <c r="W35" s="2486">
        <v>24</v>
      </c>
      <c r="X35" s="2484">
        <v>50</v>
      </c>
      <c r="Y35" s="2480" t="s">
        <v>1139</v>
      </c>
      <c r="Z35" s="2488">
        <v>50</v>
      </c>
      <c r="AA35" s="359"/>
      <c r="AB35" s="359"/>
      <c r="AC35" s="457"/>
      <c r="AD35" s="2489" t="s">
        <v>3004</v>
      </c>
      <c r="AE35" s="2546" t="s">
        <v>2368</v>
      </c>
      <c r="AF35" s="2547">
        <v>0</v>
      </c>
      <c r="AG35" s="2546" t="s">
        <v>3018</v>
      </c>
      <c r="AH35" s="2547">
        <v>0</v>
      </c>
      <c r="AI35" s="2546" t="s">
        <v>3019</v>
      </c>
      <c r="AJ35" s="2547">
        <v>0</v>
      </c>
      <c r="AK35" s="2546" t="s">
        <v>3020</v>
      </c>
      <c r="AL35" s="2547">
        <v>0</v>
      </c>
      <c r="AM35" s="2546" t="s">
        <v>3021</v>
      </c>
      <c r="AN35" s="2547">
        <v>0</v>
      </c>
      <c r="AO35" s="2546" t="s">
        <v>3022</v>
      </c>
      <c r="AP35" s="2547">
        <v>0</v>
      </c>
      <c r="AQ35" s="2546" t="s">
        <v>3023</v>
      </c>
      <c r="AR35" s="2547">
        <v>0</v>
      </c>
      <c r="AS35" s="2546" t="s">
        <v>3024</v>
      </c>
      <c r="AT35" s="2547">
        <v>0</v>
      </c>
      <c r="AU35" s="2546" t="s">
        <v>3025</v>
      </c>
      <c r="AV35" s="2547">
        <v>0</v>
      </c>
      <c r="AW35" s="2546" t="s">
        <v>3026</v>
      </c>
      <c r="AX35" s="2547">
        <v>0</v>
      </c>
      <c r="AY35" s="2546" t="s">
        <v>3027</v>
      </c>
      <c r="AZ35" s="2547">
        <v>0</v>
      </c>
      <c r="BA35" s="2546" t="s">
        <v>3028</v>
      </c>
      <c r="BD35" s="9899"/>
      <c r="BE35" s="2515" t="s">
        <v>1147</v>
      </c>
      <c r="BF35" s="2516"/>
      <c r="BG35" s="2512"/>
      <c r="BH35" s="2515" t="s">
        <v>1200</v>
      </c>
      <c r="BI35" s="2516"/>
      <c r="BJ35" s="2512"/>
      <c r="BK35" s="2515" t="s">
        <v>1160</v>
      </c>
      <c r="BL35" s="2516"/>
      <c r="BM35" s="2512"/>
      <c r="BN35" s="2515" t="s">
        <v>1189</v>
      </c>
      <c r="BO35" s="2516"/>
      <c r="BP35" s="2512"/>
      <c r="BQ35" s="2515" t="s">
        <v>1171</v>
      </c>
      <c r="BR35" s="2516"/>
      <c r="BS35" s="2512"/>
      <c r="BT35" s="2515" t="s">
        <v>1198</v>
      </c>
      <c r="BU35" s="2516"/>
      <c r="BV35" s="2512"/>
      <c r="BW35" s="2515" t="s">
        <v>1177</v>
      </c>
      <c r="BX35" s="2516"/>
      <c r="BY35" s="2512"/>
      <c r="BZ35" s="2515" t="s">
        <v>1179</v>
      </c>
      <c r="CA35" s="2516"/>
      <c r="CB35" s="2512"/>
      <c r="CC35" s="2515" t="s">
        <v>1187</v>
      </c>
      <c r="CD35" s="2516"/>
      <c r="CE35" s="2512"/>
      <c r="CF35" s="2515" t="s">
        <v>1178</v>
      </c>
      <c r="CG35" s="2516"/>
      <c r="CH35" s="2512"/>
      <c r="CI35" s="2515" t="s">
        <v>2991</v>
      </c>
      <c r="CJ35" s="2516"/>
      <c r="CK35" s="2512"/>
      <c r="CL35" s="2515"/>
      <c r="CM35" s="2516" t="s">
        <v>3031</v>
      </c>
    </row>
    <row r="36" spans="1:91" ht="44.25">
      <c r="A36" s="359"/>
      <c r="B36" s="433" t="s">
        <v>1197</v>
      </c>
      <c r="C36" s="2480" t="s">
        <v>1139</v>
      </c>
      <c r="D36" s="2481" t="s">
        <v>1197</v>
      </c>
      <c r="E36" s="2482" t="s">
        <v>1198</v>
      </c>
      <c r="F36" s="2480" t="s">
        <v>1139</v>
      </c>
      <c r="G36" s="2483" t="s">
        <v>1198</v>
      </c>
      <c r="H36" s="2484">
        <v>25</v>
      </c>
      <c r="I36" s="2480" t="s">
        <v>1139</v>
      </c>
      <c r="J36" s="2525">
        <v>25</v>
      </c>
      <c r="K36" s="2484">
        <v>51</v>
      </c>
      <c r="L36" s="2480" t="s">
        <v>1139</v>
      </c>
      <c r="M36" s="2485">
        <v>51</v>
      </c>
      <c r="N36" s="359"/>
      <c r="O36" s="433" t="s">
        <v>1197</v>
      </c>
      <c r="P36" s="2480" t="s">
        <v>1139</v>
      </c>
      <c r="Q36" s="2486" t="s">
        <v>1197</v>
      </c>
      <c r="R36" s="2482" t="s">
        <v>1198</v>
      </c>
      <c r="S36" s="2480" t="s">
        <v>1139</v>
      </c>
      <c r="T36" s="2487" t="s">
        <v>1198</v>
      </c>
      <c r="U36" s="2484">
        <v>25</v>
      </c>
      <c r="V36" s="2480" t="s">
        <v>1139</v>
      </c>
      <c r="W36" s="2486">
        <v>25</v>
      </c>
      <c r="X36" s="2484">
        <v>51</v>
      </c>
      <c r="Y36" s="2480" t="s">
        <v>1139</v>
      </c>
      <c r="Z36" s="2488">
        <v>51</v>
      </c>
      <c r="AA36" s="359"/>
      <c r="AB36" s="359"/>
      <c r="AC36" s="359"/>
      <c r="AD36" s="2496"/>
      <c r="BD36" s="2496"/>
      <c r="BE36" s="2504"/>
      <c r="BF36" s="2504"/>
      <c r="BG36" s="2504"/>
      <c r="BH36" s="2504"/>
      <c r="BI36" s="2504"/>
      <c r="BJ36" s="2504"/>
      <c r="BK36" s="2504"/>
      <c r="BL36" s="2504"/>
      <c r="BM36" s="2504"/>
      <c r="BN36" s="2504"/>
      <c r="BO36" s="2504"/>
      <c r="BP36" s="2504"/>
      <c r="BQ36" s="2504"/>
      <c r="BR36" s="2504"/>
      <c r="BS36" s="2504"/>
      <c r="BT36" s="2504"/>
      <c r="BU36" s="2504"/>
      <c r="BV36" s="2504"/>
      <c r="BW36" s="2504"/>
      <c r="BX36" s="2504"/>
      <c r="BY36" s="2504"/>
      <c r="BZ36" s="2504"/>
      <c r="CA36" s="2504"/>
      <c r="CB36" s="2504"/>
      <c r="CC36" s="2504"/>
      <c r="CD36" s="2504"/>
      <c r="CE36" s="2504"/>
      <c r="CF36" s="2504"/>
      <c r="CG36" s="2504"/>
      <c r="CH36" s="2504"/>
      <c r="CI36" s="2504"/>
      <c r="CJ36" s="2504"/>
      <c r="CK36" s="2504"/>
      <c r="CL36" s="2504"/>
      <c r="CM36" s="2504"/>
    </row>
    <row r="37" spans="1:91" ht="44.25">
      <c r="A37" s="359"/>
      <c r="B37" s="433" t="s">
        <v>1173</v>
      </c>
      <c r="C37" s="2480" t="s">
        <v>1139</v>
      </c>
      <c r="D37" s="2481" t="s">
        <v>1173</v>
      </c>
      <c r="E37" s="2482" t="s">
        <v>1200</v>
      </c>
      <c r="F37" s="2480" t="s">
        <v>1139</v>
      </c>
      <c r="G37" s="2483" t="s">
        <v>1200</v>
      </c>
      <c r="H37" s="2484">
        <v>26</v>
      </c>
      <c r="I37" s="2480" t="s">
        <v>1139</v>
      </c>
      <c r="J37" s="2525">
        <v>26</v>
      </c>
      <c r="K37" s="2484">
        <v>52</v>
      </c>
      <c r="L37" s="2480" t="s">
        <v>1139</v>
      </c>
      <c r="M37" s="2485">
        <v>52</v>
      </c>
      <c r="N37" s="359"/>
      <c r="O37" s="433" t="s">
        <v>1173</v>
      </c>
      <c r="P37" s="2480" t="s">
        <v>1139</v>
      </c>
      <c r="Q37" s="2486" t="s">
        <v>1173</v>
      </c>
      <c r="R37" s="2482" t="s">
        <v>1200</v>
      </c>
      <c r="S37" s="2480" t="s">
        <v>1139</v>
      </c>
      <c r="T37" s="2487" t="s">
        <v>1200</v>
      </c>
      <c r="U37" s="2484">
        <v>26</v>
      </c>
      <c r="V37" s="2480" t="s">
        <v>1139</v>
      </c>
      <c r="W37" s="2486">
        <v>26</v>
      </c>
      <c r="X37" s="2484">
        <v>52</v>
      </c>
      <c r="Y37" s="2480" t="s">
        <v>1139</v>
      </c>
      <c r="Z37" s="2488">
        <v>52</v>
      </c>
      <c r="AA37" s="359"/>
      <c r="AB37" s="359"/>
      <c r="AC37" s="359"/>
      <c r="AD37" s="2548" t="s">
        <v>3005</v>
      </c>
      <c r="BD37" s="9899" t="s">
        <v>3003</v>
      </c>
      <c r="BE37" s="2519" t="s">
        <v>337</v>
      </c>
      <c r="BF37" s="2520"/>
      <c r="BG37" s="2518"/>
      <c r="BH37" s="2519" t="s">
        <v>1173</v>
      </c>
      <c r="BI37" s="2520"/>
      <c r="BJ37" s="2518"/>
      <c r="BK37" s="2519" t="s">
        <v>651</v>
      </c>
      <c r="BL37" s="2520"/>
      <c r="BM37" s="2518"/>
      <c r="BN37" s="2519" t="s">
        <v>516</v>
      </c>
      <c r="BO37" s="2520"/>
      <c r="BP37" s="2518"/>
      <c r="BQ37" s="2519" t="s">
        <v>595</v>
      </c>
      <c r="BR37" s="2520"/>
      <c r="BS37" s="2518"/>
      <c r="BT37" s="2519" t="s">
        <v>1197</v>
      </c>
      <c r="BU37" s="2520"/>
      <c r="BV37" s="2518"/>
      <c r="BW37" s="2519" t="s">
        <v>1191</v>
      </c>
      <c r="BX37" s="2520"/>
      <c r="BY37" s="2518"/>
      <c r="BZ37" s="2519" t="s">
        <v>346</v>
      </c>
      <c r="CA37" s="2520"/>
      <c r="CB37" s="2518"/>
      <c r="CC37" s="2519" t="s">
        <v>583</v>
      </c>
      <c r="CD37" s="2520"/>
      <c r="CE37" s="2518"/>
      <c r="CF37" s="2519" t="s">
        <v>620</v>
      </c>
      <c r="CG37" s="2520"/>
      <c r="CH37" s="2518"/>
      <c r="CI37" s="2519" t="s">
        <v>3030</v>
      </c>
      <c r="CJ37" s="2520"/>
      <c r="CK37" s="2518"/>
      <c r="CL37" s="2519" t="s">
        <v>1203</v>
      </c>
      <c r="CM37" s="2520"/>
    </row>
    <row r="38" spans="1:91" ht="44.25">
      <c r="A38" s="359"/>
      <c r="B38" s="433" t="s">
        <v>1202</v>
      </c>
      <c r="C38" s="2480" t="s">
        <v>1139</v>
      </c>
      <c r="D38" s="2481" t="s">
        <v>1202</v>
      </c>
      <c r="E38" s="2482" t="s">
        <v>19</v>
      </c>
      <c r="F38" s="2480" t="s">
        <v>1139</v>
      </c>
      <c r="G38" s="2483" t="s">
        <v>19</v>
      </c>
      <c r="H38" s="2484" t="s">
        <v>1203</v>
      </c>
      <c r="I38" s="2480" t="s">
        <v>1139</v>
      </c>
      <c r="J38" s="2525" t="s">
        <v>1203</v>
      </c>
      <c r="K38" s="2484" t="s">
        <v>1204</v>
      </c>
      <c r="L38" s="2480" t="s">
        <v>1139</v>
      </c>
      <c r="M38" s="2485" t="s">
        <v>1204</v>
      </c>
      <c r="N38" s="359"/>
      <c r="O38" s="433" t="s">
        <v>1202</v>
      </c>
      <c r="P38" s="2480" t="s">
        <v>1139</v>
      </c>
      <c r="Q38" s="2486" t="s">
        <v>1202</v>
      </c>
      <c r="R38" s="2482" t="s">
        <v>19</v>
      </c>
      <c r="S38" s="2480" t="s">
        <v>1139</v>
      </c>
      <c r="T38" s="2487" t="s">
        <v>19</v>
      </c>
      <c r="U38" s="2549" t="s">
        <v>1203</v>
      </c>
      <c r="V38" s="2480" t="s">
        <v>1139</v>
      </c>
      <c r="W38" s="2486" t="s">
        <v>1203</v>
      </c>
      <c r="X38" s="2550" t="s">
        <v>1204</v>
      </c>
      <c r="Y38" s="2480" t="s">
        <v>1139</v>
      </c>
      <c r="Z38" s="2488" t="s">
        <v>1204</v>
      </c>
      <c r="AA38" s="359"/>
      <c r="AB38" s="359"/>
      <c r="AC38" s="457"/>
      <c r="AD38" s="2489" t="s">
        <v>2973</v>
      </c>
      <c r="AE38" s="2528" t="s">
        <v>3032</v>
      </c>
      <c r="AF38" s="2529"/>
      <c r="AG38" s="2528" t="s">
        <v>3033</v>
      </c>
      <c r="AH38" s="2529"/>
      <c r="AI38" s="2528" t="s">
        <v>3034</v>
      </c>
      <c r="AJ38" s="2529"/>
      <c r="AK38" s="2528" t="s">
        <v>3035</v>
      </c>
      <c r="AL38" s="2529"/>
      <c r="AM38" s="2528" t="s">
        <v>3036</v>
      </c>
      <c r="AN38" s="2529"/>
      <c r="AO38" s="2528" t="s">
        <v>3037</v>
      </c>
      <c r="AP38" s="2529"/>
      <c r="AQ38" s="2528" t="s">
        <v>3038</v>
      </c>
      <c r="AR38" s="2529"/>
      <c r="AS38" s="2528" t="s">
        <v>3039</v>
      </c>
      <c r="AT38" s="2529"/>
      <c r="AU38" s="2528" t="s">
        <v>3040</v>
      </c>
      <c r="AV38" s="2529"/>
      <c r="AW38" s="2528" t="s">
        <v>3041</v>
      </c>
      <c r="AX38" s="2529"/>
      <c r="AY38" s="2528" t="s">
        <v>3042</v>
      </c>
      <c r="AZ38" s="2529"/>
      <c r="BA38" s="2528" t="s">
        <v>3043</v>
      </c>
      <c r="BD38" s="9899"/>
      <c r="BE38" s="2523" t="s">
        <v>1147</v>
      </c>
      <c r="BF38" s="2524"/>
      <c r="BG38" s="2518"/>
      <c r="BH38" s="2523" t="s">
        <v>1200</v>
      </c>
      <c r="BI38" s="2524"/>
      <c r="BJ38" s="2518"/>
      <c r="BK38" s="2523" t="s">
        <v>1160</v>
      </c>
      <c r="BL38" s="2524"/>
      <c r="BM38" s="2518"/>
      <c r="BN38" s="2523" t="s">
        <v>1189</v>
      </c>
      <c r="BO38" s="2524"/>
      <c r="BP38" s="2518"/>
      <c r="BQ38" s="2523" t="s">
        <v>1171</v>
      </c>
      <c r="BR38" s="2524"/>
      <c r="BS38" s="2518"/>
      <c r="BT38" s="2523" t="s">
        <v>1198</v>
      </c>
      <c r="BU38" s="2524"/>
      <c r="BV38" s="2518"/>
      <c r="BW38" s="2523" t="s">
        <v>1177</v>
      </c>
      <c r="BX38" s="2524"/>
      <c r="BY38" s="2518"/>
      <c r="BZ38" s="2523" t="s">
        <v>1179</v>
      </c>
      <c r="CA38" s="2524"/>
      <c r="CB38" s="2518"/>
      <c r="CC38" s="2523" t="s">
        <v>1187</v>
      </c>
      <c r="CD38" s="2524"/>
      <c r="CE38" s="2518"/>
      <c r="CF38" s="2523" t="s">
        <v>1178</v>
      </c>
      <c r="CG38" s="2524"/>
      <c r="CH38" s="2518"/>
      <c r="CI38" s="2523" t="s">
        <v>2991</v>
      </c>
      <c r="CJ38" s="2524"/>
      <c r="CK38" s="2518"/>
      <c r="CL38" s="2523"/>
      <c r="CM38" s="2524" t="s">
        <v>3031</v>
      </c>
    </row>
    <row r="39" spans="1:91" ht="44.25">
      <c r="A39" s="359"/>
      <c r="B39" s="433" t="s">
        <v>1205</v>
      </c>
      <c r="C39" s="2480" t="s">
        <v>1139</v>
      </c>
      <c r="D39" s="2481" t="s">
        <v>1205</v>
      </c>
      <c r="E39" s="2482" t="s">
        <v>1206</v>
      </c>
      <c r="F39" s="2480" t="s">
        <v>1139</v>
      </c>
      <c r="G39" s="2483" t="s">
        <v>1206</v>
      </c>
      <c r="H39" s="2484" t="s">
        <v>212</v>
      </c>
      <c r="I39" s="2480" t="s">
        <v>1139</v>
      </c>
      <c r="J39" s="2525" t="s">
        <v>212</v>
      </c>
      <c r="K39" s="2484" t="s">
        <v>1207</v>
      </c>
      <c r="L39" s="2480" t="s">
        <v>1139</v>
      </c>
      <c r="M39" s="2485" t="s">
        <v>1207</v>
      </c>
      <c r="N39" s="359"/>
      <c r="O39" s="433" t="s">
        <v>1205</v>
      </c>
      <c r="P39" s="2480" t="s">
        <v>1139</v>
      </c>
      <c r="Q39" s="2486" t="s">
        <v>1205</v>
      </c>
      <c r="R39" s="2482" t="s">
        <v>1206</v>
      </c>
      <c r="S39" s="2480" t="s">
        <v>1139</v>
      </c>
      <c r="T39" s="2487" t="s">
        <v>1206</v>
      </c>
      <c r="U39" s="2549" t="s">
        <v>212</v>
      </c>
      <c r="V39" s="2480" t="s">
        <v>1139</v>
      </c>
      <c r="W39" s="2486" t="s">
        <v>212</v>
      </c>
      <c r="X39" s="2550" t="s">
        <v>1207</v>
      </c>
      <c r="Y39" s="2480" t="s">
        <v>1139</v>
      </c>
      <c r="Z39" s="2488" t="s">
        <v>1207</v>
      </c>
      <c r="AA39" s="359"/>
      <c r="AB39" s="359"/>
      <c r="AC39" s="359"/>
      <c r="AD39" s="2496"/>
      <c r="AE39" s="2532"/>
      <c r="AF39" s="2532"/>
      <c r="AG39" s="2532"/>
      <c r="AH39" s="2532"/>
      <c r="AI39" s="2532"/>
      <c r="AJ39" s="2532"/>
      <c r="AK39" s="2532"/>
      <c r="AL39" s="2532"/>
      <c r="AM39" s="2532"/>
      <c r="AN39" s="2532"/>
      <c r="AO39" s="2532"/>
      <c r="AP39" s="2532"/>
      <c r="AQ39" s="2532"/>
      <c r="AR39" s="2532"/>
      <c r="AS39" s="2532"/>
      <c r="AT39" s="2532"/>
      <c r="AU39" s="2532"/>
      <c r="AV39" s="2532"/>
      <c r="AW39" s="2532"/>
      <c r="AX39" s="2532"/>
      <c r="AY39" s="2532"/>
      <c r="AZ39" s="2532"/>
      <c r="BA39" s="2532"/>
      <c r="BD39" s="2496"/>
      <c r="BE39" s="2504"/>
      <c r="BF39" s="2504"/>
      <c r="BG39" s="2504"/>
      <c r="BH39" s="2504"/>
      <c r="BI39" s="2504"/>
      <c r="BJ39" s="2504"/>
      <c r="BK39" s="2504"/>
      <c r="BL39" s="2504"/>
      <c r="BM39" s="2504"/>
      <c r="BN39" s="2504"/>
      <c r="BO39" s="2504"/>
      <c r="BP39" s="2504"/>
      <c r="BQ39" s="2504"/>
      <c r="BR39" s="2504"/>
      <c r="BS39" s="2504"/>
      <c r="BT39" s="2504"/>
      <c r="BU39" s="2504"/>
      <c r="BV39" s="2504"/>
      <c r="BW39" s="2504"/>
      <c r="BX39" s="2504"/>
      <c r="BY39" s="2504"/>
      <c r="BZ39" s="2504"/>
      <c r="CA39" s="2504"/>
      <c r="CB39" s="2504"/>
      <c r="CC39" s="2504"/>
      <c r="CD39" s="2504"/>
      <c r="CE39" s="2504"/>
      <c r="CF39" s="2504"/>
      <c r="CG39" s="2504"/>
      <c r="CH39" s="2504"/>
      <c r="CI39" s="2504"/>
      <c r="CJ39" s="2504"/>
      <c r="CK39" s="2504"/>
      <c r="CL39" s="2504"/>
      <c r="CM39" s="2504"/>
    </row>
    <row r="40" spans="1:91" ht="44.25">
      <c r="A40" s="359"/>
      <c r="B40" s="433" t="s">
        <v>1209</v>
      </c>
      <c r="C40" s="2480" t="s">
        <v>1139</v>
      </c>
      <c r="D40" s="2481" t="s">
        <v>1209</v>
      </c>
      <c r="E40" s="2482" t="s">
        <v>1210</v>
      </c>
      <c r="F40" s="2480" t="s">
        <v>1139</v>
      </c>
      <c r="G40" s="2483" t="s">
        <v>1210</v>
      </c>
      <c r="H40" s="2484" t="s">
        <v>1211</v>
      </c>
      <c r="I40" s="2480" t="s">
        <v>1139</v>
      </c>
      <c r="J40" s="2525" t="s">
        <v>1211</v>
      </c>
      <c r="K40" s="2484" t="s">
        <v>1212</v>
      </c>
      <c r="L40" s="2480" t="s">
        <v>1139</v>
      </c>
      <c r="M40" s="2485" t="s">
        <v>1212</v>
      </c>
      <c r="N40" s="359"/>
      <c r="O40" s="433" t="s">
        <v>1209</v>
      </c>
      <c r="P40" s="2480" t="s">
        <v>1139</v>
      </c>
      <c r="Q40" s="2486" t="s">
        <v>1209</v>
      </c>
      <c r="R40" s="2482" t="s">
        <v>1210</v>
      </c>
      <c r="S40" s="2480" t="s">
        <v>1139</v>
      </c>
      <c r="T40" s="2487" t="s">
        <v>1210</v>
      </c>
      <c r="U40" s="2549" t="s">
        <v>1211</v>
      </c>
      <c r="V40" s="2480" t="s">
        <v>1139</v>
      </c>
      <c r="W40" s="2486" t="s">
        <v>1211</v>
      </c>
      <c r="X40" s="2550" t="s">
        <v>1212</v>
      </c>
      <c r="Y40" s="2480" t="s">
        <v>1139</v>
      </c>
      <c r="Z40" s="2488" t="s">
        <v>1212</v>
      </c>
      <c r="AA40" s="359"/>
      <c r="AB40" s="457"/>
      <c r="AC40" s="359"/>
      <c r="AD40" s="2489" t="s">
        <v>2317</v>
      </c>
      <c r="AE40" s="2501" t="s">
        <v>3044</v>
      </c>
      <c r="AF40" s="2502"/>
      <c r="AG40" s="2501" t="s">
        <v>3045</v>
      </c>
      <c r="AH40" s="2502"/>
      <c r="AI40" s="2501" t="s">
        <v>3046</v>
      </c>
      <c r="AJ40" s="2502"/>
      <c r="AK40" s="2501" t="s">
        <v>3047</v>
      </c>
      <c r="AL40" s="2502"/>
      <c r="AM40" s="2501" t="s">
        <v>3048</v>
      </c>
      <c r="AN40" s="2502"/>
      <c r="AO40" s="2501" t="s">
        <v>3049</v>
      </c>
      <c r="AP40" s="2502"/>
      <c r="AQ40" s="2501" t="s">
        <v>3050</v>
      </c>
      <c r="AR40" s="2502"/>
      <c r="AS40" s="2501" t="s">
        <v>3051</v>
      </c>
      <c r="AT40" s="2502"/>
      <c r="AU40" s="2501" t="s">
        <v>3052</v>
      </c>
      <c r="AV40" s="2502"/>
      <c r="AW40" s="2501" t="s">
        <v>3053</v>
      </c>
      <c r="AX40" s="2502"/>
      <c r="AY40" s="2501" t="s">
        <v>3054</v>
      </c>
      <c r="AZ40" s="2502"/>
      <c r="BA40" s="2501" t="s">
        <v>3055</v>
      </c>
      <c r="BD40" s="9899" t="s">
        <v>3004</v>
      </c>
      <c r="BE40" s="2526" t="s">
        <v>337</v>
      </c>
      <c r="BF40" s="2527"/>
      <c r="BG40" s="2522"/>
      <c r="BH40" s="2526" t="s">
        <v>1173</v>
      </c>
      <c r="BI40" s="2527"/>
      <c r="BJ40" s="2522"/>
      <c r="BK40" s="2526" t="s">
        <v>651</v>
      </c>
      <c r="BL40" s="2527"/>
      <c r="BM40" s="2522"/>
      <c r="BN40" s="2526" t="s">
        <v>516</v>
      </c>
      <c r="BO40" s="2527"/>
      <c r="BP40" s="2522"/>
      <c r="BQ40" s="2526" t="s">
        <v>595</v>
      </c>
      <c r="BR40" s="2527"/>
      <c r="BS40" s="2522"/>
      <c r="BT40" s="2526" t="s">
        <v>1197</v>
      </c>
      <c r="BU40" s="2527"/>
      <c r="BV40" s="2522"/>
      <c r="BW40" s="2526" t="s">
        <v>1191</v>
      </c>
      <c r="BX40" s="2527"/>
      <c r="BY40" s="2522"/>
      <c r="BZ40" s="2526" t="s">
        <v>346</v>
      </c>
      <c r="CA40" s="2527"/>
      <c r="CB40" s="2522"/>
      <c r="CC40" s="2526" t="s">
        <v>583</v>
      </c>
      <c r="CD40" s="2527"/>
      <c r="CE40" s="2522"/>
      <c r="CF40" s="2526" t="s">
        <v>620</v>
      </c>
      <c r="CG40" s="2527"/>
      <c r="CH40" s="2522"/>
      <c r="CI40" s="2526" t="s">
        <v>3030</v>
      </c>
      <c r="CJ40" s="2527"/>
      <c r="CK40" s="2522"/>
      <c r="CL40" s="2526" t="s">
        <v>1203</v>
      </c>
      <c r="CM40" s="2527"/>
    </row>
    <row r="41" spans="1:91" ht="44.25">
      <c r="A41" s="359"/>
      <c r="B41" s="433" t="s">
        <v>1214</v>
      </c>
      <c r="C41" s="2480" t="s">
        <v>1139</v>
      </c>
      <c r="D41" s="2481" t="s">
        <v>1214</v>
      </c>
      <c r="E41" s="2482" t="s">
        <v>1215</v>
      </c>
      <c r="F41" s="2480" t="s">
        <v>1139</v>
      </c>
      <c r="G41" s="2483" t="s">
        <v>1215</v>
      </c>
      <c r="H41" s="2484" t="s">
        <v>64</v>
      </c>
      <c r="I41" s="2480" t="s">
        <v>1139</v>
      </c>
      <c r="J41" s="2525" t="s">
        <v>64</v>
      </c>
      <c r="K41" s="2484" t="s">
        <v>2</v>
      </c>
      <c r="L41" s="2480" t="s">
        <v>1139</v>
      </c>
      <c r="M41" s="2485" t="s">
        <v>2</v>
      </c>
      <c r="N41" s="359"/>
      <c r="O41" s="433" t="s">
        <v>1214</v>
      </c>
      <c r="P41" s="2480" t="s">
        <v>1139</v>
      </c>
      <c r="Q41" s="2486" t="s">
        <v>1214</v>
      </c>
      <c r="R41" s="2482" t="s">
        <v>1215</v>
      </c>
      <c r="S41" s="2480" t="s">
        <v>1139</v>
      </c>
      <c r="T41" s="2487" t="s">
        <v>1215</v>
      </c>
      <c r="U41" s="2549" t="s">
        <v>64</v>
      </c>
      <c r="V41" s="2480" t="s">
        <v>1139</v>
      </c>
      <c r="W41" s="2486" t="s">
        <v>64</v>
      </c>
      <c r="X41" s="2550" t="s">
        <v>2</v>
      </c>
      <c r="Y41" s="2480" t="s">
        <v>1139</v>
      </c>
      <c r="Z41" s="2488" t="s">
        <v>2</v>
      </c>
      <c r="AA41" s="359"/>
      <c r="AB41" s="359"/>
      <c r="AC41" s="359"/>
      <c r="AD41" s="2496"/>
      <c r="AE41" s="2504"/>
      <c r="AF41" s="2504"/>
      <c r="AG41" s="2504"/>
      <c r="AH41" s="2504"/>
      <c r="AI41" s="2504"/>
      <c r="AJ41" s="2504"/>
      <c r="AK41" s="2504"/>
      <c r="AL41" s="2504"/>
      <c r="AM41" s="2504"/>
      <c r="AN41" s="2504"/>
      <c r="AO41" s="2504"/>
      <c r="AP41" s="2504"/>
      <c r="AQ41" s="2504"/>
      <c r="AR41" s="2504"/>
      <c r="AS41" s="2504"/>
      <c r="AT41" s="2504"/>
      <c r="AU41" s="2504"/>
      <c r="AV41" s="2504"/>
      <c r="AW41" s="2504"/>
      <c r="AX41" s="2504"/>
      <c r="AY41" s="2504"/>
      <c r="AZ41" s="2504"/>
      <c r="BA41" s="2504"/>
      <c r="BD41" s="9899"/>
      <c r="BE41" s="2530" t="s">
        <v>1147</v>
      </c>
      <c r="BF41" s="2531"/>
      <c r="BG41" s="2522"/>
      <c r="BH41" s="2530" t="s">
        <v>1200</v>
      </c>
      <c r="BI41" s="2531"/>
      <c r="BJ41" s="2522"/>
      <c r="BK41" s="2530" t="s">
        <v>1160</v>
      </c>
      <c r="BL41" s="2531"/>
      <c r="BM41" s="2522"/>
      <c r="BN41" s="2530" t="s">
        <v>1189</v>
      </c>
      <c r="BO41" s="2531"/>
      <c r="BP41" s="2522"/>
      <c r="BQ41" s="2530" t="s">
        <v>1171</v>
      </c>
      <c r="BR41" s="2531"/>
      <c r="BS41" s="2522"/>
      <c r="BT41" s="2530" t="s">
        <v>1198</v>
      </c>
      <c r="BU41" s="2531"/>
      <c r="BV41" s="2522"/>
      <c r="BW41" s="2530" t="s">
        <v>1177</v>
      </c>
      <c r="BX41" s="2531"/>
      <c r="BY41" s="2522"/>
      <c r="BZ41" s="2530" t="s">
        <v>1179</v>
      </c>
      <c r="CA41" s="2531"/>
      <c r="CB41" s="2522"/>
      <c r="CC41" s="2530" t="s">
        <v>1187</v>
      </c>
      <c r="CD41" s="2531"/>
      <c r="CE41" s="2522"/>
      <c r="CF41" s="2530" t="s">
        <v>1178</v>
      </c>
      <c r="CG41" s="2531"/>
      <c r="CH41" s="2522"/>
      <c r="CI41" s="2530" t="s">
        <v>2991</v>
      </c>
      <c r="CJ41" s="2531"/>
      <c r="CK41" s="2522"/>
      <c r="CL41" s="2530"/>
      <c r="CM41" s="2531" t="s">
        <v>3031</v>
      </c>
    </row>
    <row r="42" spans="1:91" ht="44.25">
      <c r="A42" s="359"/>
      <c r="B42" s="433" t="s">
        <v>1216</v>
      </c>
      <c r="C42" s="2480" t="s">
        <v>1139</v>
      </c>
      <c r="D42" s="2481" t="s">
        <v>1216</v>
      </c>
      <c r="E42" s="2482" t="s">
        <v>1217</v>
      </c>
      <c r="F42" s="2480" t="s">
        <v>1139</v>
      </c>
      <c r="G42" s="2483" t="s">
        <v>1217</v>
      </c>
      <c r="H42" s="2484" t="s">
        <v>1218</v>
      </c>
      <c r="I42" s="2480" t="s">
        <v>1139</v>
      </c>
      <c r="J42" s="2525" t="s">
        <v>1218</v>
      </c>
      <c r="K42" s="2484" t="s">
        <v>1219</v>
      </c>
      <c r="L42" s="2480" t="s">
        <v>1139</v>
      </c>
      <c r="M42" s="2485" t="s">
        <v>1219</v>
      </c>
      <c r="N42" s="359"/>
      <c r="O42" s="433" t="s">
        <v>1216</v>
      </c>
      <c r="P42" s="2480" t="s">
        <v>1139</v>
      </c>
      <c r="Q42" s="2486" t="s">
        <v>1216</v>
      </c>
      <c r="R42" s="2482" t="s">
        <v>1217</v>
      </c>
      <c r="S42" s="2480" t="s">
        <v>1139</v>
      </c>
      <c r="T42" s="2487" t="s">
        <v>1217</v>
      </c>
      <c r="U42" s="2549" t="s">
        <v>1218</v>
      </c>
      <c r="V42" s="2480" t="s">
        <v>1139</v>
      </c>
      <c r="W42" s="2486" t="s">
        <v>1218</v>
      </c>
      <c r="X42" s="2550" t="s">
        <v>1219</v>
      </c>
      <c r="Y42" s="2480" t="s">
        <v>1139</v>
      </c>
      <c r="Z42" s="2488" t="s">
        <v>1219</v>
      </c>
      <c r="AA42" s="359"/>
      <c r="AB42" s="359"/>
      <c r="AC42" s="359"/>
      <c r="AD42" s="2489" t="s">
        <v>2999</v>
      </c>
      <c r="AE42" s="2508" t="s">
        <v>3044</v>
      </c>
      <c r="AF42" s="2507">
        <v>0</v>
      </c>
      <c r="AG42" s="2508" t="s">
        <v>3045</v>
      </c>
      <c r="AH42" s="2507">
        <v>0</v>
      </c>
      <c r="AI42" s="2508" t="s">
        <v>3046</v>
      </c>
      <c r="AJ42" s="2507">
        <v>0</v>
      </c>
      <c r="AK42" s="2508" t="s">
        <v>3047</v>
      </c>
      <c r="AL42" s="2507">
        <v>0</v>
      </c>
      <c r="AM42" s="2508" t="s">
        <v>3048</v>
      </c>
      <c r="AN42" s="2507">
        <v>0</v>
      </c>
      <c r="AO42" s="2508" t="s">
        <v>3049</v>
      </c>
      <c r="AP42" s="2507">
        <v>0</v>
      </c>
      <c r="AQ42" s="2508" t="s">
        <v>3050</v>
      </c>
      <c r="AR42" s="2507">
        <v>0</v>
      </c>
      <c r="AS42" s="2551" t="s">
        <v>3051</v>
      </c>
      <c r="AT42" s="2507">
        <v>0</v>
      </c>
      <c r="AU42" s="2508" t="s">
        <v>3052</v>
      </c>
      <c r="AV42" s="2507">
        <v>0</v>
      </c>
      <c r="AW42" s="2508" t="s">
        <v>3053</v>
      </c>
      <c r="AX42" s="2507">
        <v>0</v>
      </c>
      <c r="AY42" s="2508" t="s">
        <v>3054</v>
      </c>
      <c r="AZ42" s="2507">
        <v>0</v>
      </c>
      <c r="BA42" s="2508" t="s">
        <v>3055</v>
      </c>
      <c r="BD42" s="2496"/>
      <c r="BE42" s="2504"/>
      <c r="BF42" s="2504"/>
      <c r="BG42" s="2504"/>
      <c r="BH42" s="2504"/>
      <c r="BI42" s="2504"/>
      <c r="BJ42" s="2504"/>
      <c r="BK42" s="2504"/>
      <c r="BL42" s="2504"/>
      <c r="BM42" s="2504"/>
      <c r="BN42" s="2504"/>
      <c r="BO42" s="2504"/>
      <c r="BP42" s="2504"/>
      <c r="BQ42" s="2504"/>
      <c r="BR42" s="2504"/>
      <c r="BS42" s="2504"/>
      <c r="BT42" s="2504"/>
      <c r="BU42" s="2504"/>
      <c r="BV42" s="2504"/>
      <c r="BW42" s="2504"/>
      <c r="BX42" s="2504"/>
      <c r="BY42" s="2504"/>
      <c r="BZ42" s="2504"/>
      <c r="CA42" s="2504"/>
      <c r="CB42" s="2504"/>
      <c r="CC42" s="2504"/>
      <c r="CD42" s="2504"/>
      <c r="CE42" s="2504"/>
      <c r="CF42" s="2504"/>
      <c r="CG42" s="2504"/>
      <c r="CH42" s="2504"/>
      <c r="CI42" s="2504"/>
      <c r="CJ42" s="2504"/>
      <c r="CK42" s="2504"/>
      <c r="CL42" s="2504"/>
      <c r="CM42" s="2504"/>
    </row>
    <row r="43" spans="1:91" ht="44.25">
      <c r="A43" s="359"/>
      <c r="B43" s="433" t="s">
        <v>1221</v>
      </c>
      <c r="C43" s="2480" t="s">
        <v>1139</v>
      </c>
      <c r="D43" s="2481" t="s">
        <v>1221</v>
      </c>
      <c r="E43" s="2482" t="s">
        <v>1222</v>
      </c>
      <c r="F43" s="2480" t="s">
        <v>1139</v>
      </c>
      <c r="G43" s="2483" t="s">
        <v>1222</v>
      </c>
      <c r="H43" s="2484" t="s">
        <v>1223</v>
      </c>
      <c r="I43" s="2480" t="s">
        <v>1139</v>
      </c>
      <c r="J43" s="2525" t="s">
        <v>1223</v>
      </c>
      <c r="K43" s="2484" t="s">
        <v>1224</v>
      </c>
      <c r="L43" s="2480" t="s">
        <v>1139</v>
      </c>
      <c r="M43" s="2485" t="s">
        <v>1224</v>
      </c>
      <c r="N43" s="359"/>
      <c r="O43" s="433" t="s">
        <v>1221</v>
      </c>
      <c r="P43" s="2480" t="s">
        <v>1139</v>
      </c>
      <c r="Q43" s="2486" t="s">
        <v>1221</v>
      </c>
      <c r="R43" s="2482" t="s">
        <v>1222</v>
      </c>
      <c r="S43" s="2480" t="s">
        <v>1139</v>
      </c>
      <c r="T43" s="2487" t="s">
        <v>1222</v>
      </c>
      <c r="U43" s="2549" t="s">
        <v>1223</v>
      </c>
      <c r="V43" s="2480" t="s">
        <v>1139</v>
      </c>
      <c r="W43" s="2486" t="s">
        <v>1223</v>
      </c>
      <c r="X43" s="2550" t="s">
        <v>1224</v>
      </c>
      <c r="Y43" s="2480" t="s">
        <v>1139</v>
      </c>
      <c r="Z43" s="2488" t="s">
        <v>1224</v>
      </c>
      <c r="AA43" s="359"/>
      <c r="AB43" s="359"/>
      <c r="AC43" s="359"/>
      <c r="AD43" s="2496"/>
      <c r="AE43" s="2504"/>
      <c r="AF43" s="2504"/>
      <c r="AG43" s="2504"/>
      <c r="AH43" s="2504"/>
      <c r="AI43" s="2504"/>
      <c r="AJ43" s="2504"/>
      <c r="AK43" s="2504"/>
      <c r="AL43" s="2504"/>
      <c r="AM43" s="2504"/>
      <c r="AN43" s="2504"/>
      <c r="AO43" s="2504"/>
      <c r="AP43" s="2504"/>
      <c r="AQ43" s="2504"/>
      <c r="AR43" s="2504"/>
      <c r="AS43" s="2552"/>
      <c r="AT43" s="2504"/>
      <c r="AU43" s="2504"/>
      <c r="AV43" s="2504"/>
      <c r="AW43" s="2504"/>
      <c r="AX43" s="2504"/>
      <c r="AY43" s="2504"/>
      <c r="AZ43" s="2504"/>
      <c r="BA43" s="2504"/>
      <c r="BD43" s="2496"/>
      <c r="BE43" s="2478" t="s">
        <v>3056</v>
      </c>
      <c r="BF43" s="2504"/>
      <c r="BG43" s="2504"/>
      <c r="BH43" s="2504"/>
      <c r="BI43" s="2504"/>
      <c r="BJ43" s="2504"/>
      <c r="BK43" s="2504"/>
      <c r="BL43" s="2504"/>
      <c r="BM43" s="2504"/>
      <c r="BN43" s="2504"/>
      <c r="BO43" s="2504"/>
      <c r="BP43" s="2504"/>
      <c r="BQ43" s="2504"/>
      <c r="BR43" s="2504"/>
      <c r="BS43" s="2504"/>
      <c r="BT43" s="2504"/>
      <c r="BU43" s="2504"/>
      <c r="BV43" s="2504"/>
      <c r="BW43" s="2504"/>
      <c r="BX43" s="2504"/>
      <c r="BY43" s="2504"/>
      <c r="BZ43" s="2504"/>
      <c r="CA43" s="2504"/>
      <c r="CB43" s="2504"/>
      <c r="CC43" s="2504"/>
      <c r="CD43" s="2504"/>
      <c r="CE43" s="2504"/>
      <c r="CF43" s="2504"/>
      <c r="CG43" s="2504"/>
      <c r="CH43" s="2504"/>
      <c r="CI43" s="2504"/>
      <c r="CJ43" s="2504"/>
      <c r="CK43" s="2504"/>
      <c r="CL43" s="2504"/>
      <c r="CM43" s="2504"/>
    </row>
    <row r="44" spans="1:91" ht="44.25">
      <c r="A44" s="359"/>
      <c r="B44" s="433" t="s">
        <v>1226</v>
      </c>
      <c r="C44" s="2480" t="s">
        <v>1139</v>
      </c>
      <c r="D44" s="2481" t="s">
        <v>1226</v>
      </c>
      <c r="E44" s="2482" t="s">
        <v>1227</v>
      </c>
      <c r="F44" s="2480" t="s">
        <v>1139</v>
      </c>
      <c r="G44" s="2483" t="s">
        <v>1227</v>
      </c>
      <c r="H44" s="2484" t="s">
        <v>1228</v>
      </c>
      <c r="I44" s="2480" t="s">
        <v>1139</v>
      </c>
      <c r="J44" s="2525" t="s">
        <v>1228</v>
      </c>
      <c r="K44" s="2484" t="s">
        <v>1229</v>
      </c>
      <c r="L44" s="2480" t="s">
        <v>1139</v>
      </c>
      <c r="M44" s="2485" t="s">
        <v>1229</v>
      </c>
      <c r="N44" s="359"/>
      <c r="O44" s="433" t="s">
        <v>1226</v>
      </c>
      <c r="P44" s="2480" t="s">
        <v>1139</v>
      </c>
      <c r="Q44" s="2486" t="s">
        <v>1226</v>
      </c>
      <c r="R44" s="2482" t="s">
        <v>1227</v>
      </c>
      <c r="S44" s="2480" t="s">
        <v>1139</v>
      </c>
      <c r="T44" s="2487" t="s">
        <v>1227</v>
      </c>
      <c r="U44" s="2549" t="s">
        <v>1228</v>
      </c>
      <c r="V44" s="2480" t="s">
        <v>1139</v>
      </c>
      <c r="W44" s="2486" t="s">
        <v>1228</v>
      </c>
      <c r="X44" s="2550" t="s">
        <v>1229</v>
      </c>
      <c r="Y44" s="2480" t="s">
        <v>1139</v>
      </c>
      <c r="Z44" s="2488" t="s">
        <v>1229</v>
      </c>
      <c r="AA44" s="359"/>
      <c r="AB44" s="457"/>
      <c r="AC44" s="359"/>
      <c r="AD44" s="2489" t="s">
        <v>3000</v>
      </c>
      <c r="AE44" s="2511" t="s">
        <v>3044</v>
      </c>
      <c r="AF44" s="2512">
        <v>0</v>
      </c>
      <c r="AG44" s="2511" t="s">
        <v>3045</v>
      </c>
      <c r="AH44" s="2512">
        <v>0</v>
      </c>
      <c r="AI44" s="2511" t="s">
        <v>3046</v>
      </c>
      <c r="AJ44" s="2512">
        <v>0</v>
      </c>
      <c r="AK44" s="2511" t="s">
        <v>3047</v>
      </c>
      <c r="AL44" s="2512">
        <v>0</v>
      </c>
      <c r="AM44" s="2511" t="s">
        <v>3048</v>
      </c>
      <c r="AN44" s="2512">
        <v>0</v>
      </c>
      <c r="AO44" s="2511" t="s">
        <v>3049</v>
      </c>
      <c r="AP44" s="2512">
        <v>0</v>
      </c>
      <c r="AQ44" s="2511" t="s">
        <v>3050</v>
      </c>
      <c r="AR44" s="2512">
        <v>0</v>
      </c>
      <c r="AS44" s="2511" t="s">
        <v>3051</v>
      </c>
      <c r="AT44" s="2512">
        <v>0</v>
      </c>
      <c r="AU44" s="2511" t="s">
        <v>3052</v>
      </c>
      <c r="AV44" s="2512">
        <v>0</v>
      </c>
      <c r="AW44" s="2511" t="s">
        <v>3053</v>
      </c>
      <c r="AX44" s="2512">
        <v>0</v>
      </c>
      <c r="AY44" s="2511" t="s">
        <v>3054</v>
      </c>
      <c r="AZ44" s="2512">
        <v>0</v>
      </c>
      <c r="BA44" s="2511" t="s">
        <v>3055</v>
      </c>
      <c r="BD44" s="9903" t="s">
        <v>2986</v>
      </c>
      <c r="BE44" s="2536" t="s">
        <v>1188</v>
      </c>
      <c r="BF44" s="2537"/>
      <c r="BG44" s="2494"/>
      <c r="BH44" s="2536" t="s">
        <v>353</v>
      </c>
      <c r="BI44" s="2537"/>
      <c r="BJ44" s="2494"/>
      <c r="BK44" s="2536" t="s">
        <v>342</v>
      </c>
      <c r="BL44" s="2537"/>
      <c r="BM44" s="2494"/>
      <c r="BN44" s="2536" t="s">
        <v>343</v>
      </c>
      <c r="BO44" s="2537"/>
      <c r="BP44" s="2494"/>
      <c r="BQ44" s="2536" t="s">
        <v>515</v>
      </c>
      <c r="BR44" s="2537"/>
      <c r="BS44" s="2494"/>
      <c r="BT44" s="2536" t="s">
        <v>1175</v>
      </c>
      <c r="BU44" s="2537"/>
      <c r="BV44" s="2494"/>
      <c r="BW44" s="2536" t="s">
        <v>349</v>
      </c>
      <c r="BX44" s="2537"/>
      <c r="BY44" s="2494"/>
      <c r="BZ44" s="2536" t="s">
        <v>351</v>
      </c>
      <c r="CA44" s="2537"/>
      <c r="CB44" s="2494"/>
      <c r="CC44" s="2536" t="s">
        <v>34</v>
      </c>
      <c r="CD44" s="2537"/>
      <c r="CE44" s="2494"/>
      <c r="CF44" s="2536" t="s">
        <v>537</v>
      </c>
      <c r="CG44" s="2537"/>
      <c r="CH44" s="2494"/>
      <c r="CI44" s="2536" t="s">
        <v>19</v>
      </c>
      <c r="CJ44" s="2537"/>
      <c r="CK44" s="2494"/>
      <c r="CL44" s="2536" t="s">
        <v>1226</v>
      </c>
      <c r="CM44" s="2537"/>
    </row>
    <row r="45" spans="1:91" ht="44.25">
      <c r="A45" s="359"/>
      <c r="B45" s="433" t="s">
        <v>1230</v>
      </c>
      <c r="C45" s="2480" t="s">
        <v>1139</v>
      </c>
      <c r="D45" s="2481" t="s">
        <v>1230</v>
      </c>
      <c r="E45" s="2482" t="s">
        <v>1231</v>
      </c>
      <c r="F45" s="2480" t="s">
        <v>1139</v>
      </c>
      <c r="G45" s="2483" t="s">
        <v>1231</v>
      </c>
      <c r="H45" s="2484" t="s">
        <v>1232</v>
      </c>
      <c r="I45" s="2480" t="s">
        <v>1139</v>
      </c>
      <c r="J45" s="2525" t="s">
        <v>1232</v>
      </c>
      <c r="K45" s="2484" t="s">
        <v>42</v>
      </c>
      <c r="L45" s="2480" t="s">
        <v>1139</v>
      </c>
      <c r="M45" s="2485" t="s">
        <v>42</v>
      </c>
      <c r="N45" s="359"/>
      <c r="O45" s="433" t="s">
        <v>1230</v>
      </c>
      <c r="P45" s="2480" t="s">
        <v>1139</v>
      </c>
      <c r="Q45" s="2486" t="s">
        <v>1230</v>
      </c>
      <c r="R45" s="2482" t="s">
        <v>1231</v>
      </c>
      <c r="S45" s="2480" t="s">
        <v>1139</v>
      </c>
      <c r="T45" s="2487" t="s">
        <v>1231</v>
      </c>
      <c r="U45" s="2549" t="s">
        <v>1232</v>
      </c>
      <c r="V45" s="2480" t="s">
        <v>1139</v>
      </c>
      <c r="W45" s="2486" t="s">
        <v>1232</v>
      </c>
      <c r="X45" s="2550" t="s">
        <v>42</v>
      </c>
      <c r="Y45" s="2480" t="s">
        <v>1139</v>
      </c>
      <c r="Z45" s="2488" t="s">
        <v>42</v>
      </c>
      <c r="AA45" s="359"/>
      <c r="AB45" s="359"/>
      <c r="AC45" s="359"/>
      <c r="AD45" s="2496"/>
      <c r="AE45" s="2504"/>
      <c r="AF45" s="2504"/>
      <c r="AG45" s="2504"/>
      <c r="AH45" s="2504"/>
      <c r="AI45" s="2504"/>
      <c r="AJ45" s="2504"/>
      <c r="AK45" s="2504"/>
      <c r="AL45" s="2504"/>
      <c r="AM45" s="2504"/>
      <c r="AN45" s="2504"/>
      <c r="AO45" s="2504"/>
      <c r="AP45" s="2504"/>
      <c r="AQ45" s="2504"/>
      <c r="AR45" s="2504"/>
      <c r="AS45" s="2504"/>
      <c r="AT45" s="2504"/>
      <c r="AU45" s="2504"/>
      <c r="AV45" s="2504"/>
      <c r="AW45" s="2504"/>
      <c r="AX45" s="2504"/>
      <c r="AY45" s="2504"/>
      <c r="AZ45" s="2504"/>
      <c r="BA45" s="2504"/>
      <c r="BD45" s="9903"/>
      <c r="BE45" s="2498" t="s">
        <v>1174</v>
      </c>
      <c r="BF45" s="2499"/>
      <c r="BG45" s="2494"/>
      <c r="BH45" s="2498" t="s">
        <v>1190</v>
      </c>
      <c r="BI45" s="2499"/>
      <c r="BJ45" s="2494"/>
      <c r="BK45" s="2498" t="s">
        <v>1157</v>
      </c>
      <c r="BL45" s="2499"/>
      <c r="BM45" s="2494"/>
      <c r="BN45" s="2498" t="s">
        <v>1168</v>
      </c>
      <c r="BO45" s="2499"/>
      <c r="BP45" s="2494"/>
      <c r="BQ45" s="2498" t="s">
        <v>1172</v>
      </c>
      <c r="BR45" s="2499"/>
      <c r="BS45" s="2494"/>
      <c r="BT45" s="2498" t="s">
        <v>1176</v>
      </c>
      <c r="BU45" s="2499"/>
      <c r="BV45" s="2494"/>
      <c r="BW45" s="2498" t="s">
        <v>1181</v>
      </c>
      <c r="BX45" s="2499"/>
      <c r="BY45" s="2494"/>
      <c r="BZ45" s="2498" t="s">
        <v>1182</v>
      </c>
      <c r="CA45" s="2499"/>
      <c r="CB45" s="2494"/>
      <c r="CC45" s="2498" t="s">
        <v>1183</v>
      </c>
      <c r="CD45" s="2499"/>
      <c r="CE45" s="2494"/>
      <c r="CF45" s="2498" t="s">
        <v>1185</v>
      </c>
      <c r="CG45" s="2499"/>
      <c r="CH45" s="2494"/>
      <c r="CI45" s="2498" t="s">
        <v>1214</v>
      </c>
      <c r="CJ45" s="2499"/>
      <c r="CK45" s="2494"/>
      <c r="CL45" s="2498" t="s">
        <v>1229</v>
      </c>
      <c r="CM45" s="2499"/>
    </row>
    <row r="46" spans="1:91" ht="44.25">
      <c r="A46" s="359"/>
      <c r="B46" s="433"/>
      <c r="C46" s="2480" t="s">
        <v>1139</v>
      </c>
      <c r="D46" s="2481"/>
      <c r="E46" s="2482" t="s">
        <v>1234</v>
      </c>
      <c r="F46" s="2480" t="s">
        <v>1139</v>
      </c>
      <c r="G46" s="2483" t="s">
        <v>1234</v>
      </c>
      <c r="H46" s="2484" t="s">
        <v>1235</v>
      </c>
      <c r="I46" s="2480" t="s">
        <v>1139</v>
      </c>
      <c r="J46" s="2525" t="s">
        <v>1235</v>
      </c>
      <c r="K46" s="2484"/>
      <c r="L46" s="2480" t="s">
        <v>1139</v>
      </c>
      <c r="M46" s="2485"/>
      <c r="N46" s="359"/>
      <c r="O46" s="433"/>
      <c r="P46" s="2480" t="s">
        <v>1139</v>
      </c>
      <c r="Q46" s="2486"/>
      <c r="R46" s="2482" t="s">
        <v>1234</v>
      </c>
      <c r="S46" s="2480" t="s">
        <v>1139</v>
      </c>
      <c r="T46" s="2487" t="s">
        <v>1234</v>
      </c>
      <c r="U46" s="2549" t="s">
        <v>1235</v>
      </c>
      <c r="V46" s="2480" t="s">
        <v>1139</v>
      </c>
      <c r="W46" s="2486" t="s">
        <v>1235</v>
      </c>
      <c r="X46" s="2550"/>
      <c r="Y46" s="2480" t="s">
        <v>1139</v>
      </c>
      <c r="Z46" s="2488"/>
      <c r="AA46" s="359"/>
      <c r="AB46" s="359"/>
      <c r="AC46" s="359"/>
      <c r="AD46" s="2489" t="s">
        <v>3002</v>
      </c>
      <c r="AE46" s="2517" t="s">
        <v>3044</v>
      </c>
      <c r="AF46" s="2518">
        <v>0</v>
      </c>
      <c r="AG46" s="2517" t="s">
        <v>3045</v>
      </c>
      <c r="AH46" s="2518">
        <v>0</v>
      </c>
      <c r="AI46" s="2517" t="s">
        <v>3046</v>
      </c>
      <c r="AJ46" s="2518">
        <v>0</v>
      </c>
      <c r="AK46" s="2517" t="s">
        <v>3047</v>
      </c>
      <c r="AL46" s="2518">
        <v>0</v>
      </c>
      <c r="AM46" s="2517" t="s">
        <v>3048</v>
      </c>
      <c r="AN46" s="2518">
        <v>0</v>
      </c>
      <c r="AO46" s="2517" t="s">
        <v>3049</v>
      </c>
      <c r="AP46" s="2518">
        <v>0</v>
      </c>
      <c r="AQ46" s="2517" t="s">
        <v>3050</v>
      </c>
      <c r="AR46" s="2518">
        <v>0</v>
      </c>
      <c r="AS46" s="2517" t="s">
        <v>3051</v>
      </c>
      <c r="AT46" s="2518">
        <v>0</v>
      </c>
      <c r="AU46" s="2517" t="s">
        <v>3052</v>
      </c>
      <c r="AV46" s="2518">
        <v>0</v>
      </c>
      <c r="AW46" s="2517" t="s">
        <v>3053</v>
      </c>
      <c r="AX46" s="2518">
        <v>0</v>
      </c>
      <c r="AY46" s="2517" t="s">
        <v>3054</v>
      </c>
      <c r="AZ46" s="2518">
        <v>0</v>
      </c>
      <c r="BA46" s="2517" t="s">
        <v>3055</v>
      </c>
      <c r="BD46" s="2503"/>
      <c r="BE46" s="2494"/>
      <c r="BF46" s="2494"/>
      <c r="BG46" s="2494"/>
      <c r="BH46" s="2494"/>
      <c r="BI46" s="2494"/>
      <c r="BJ46" s="2494"/>
      <c r="BK46" s="2494"/>
      <c r="BL46" s="2494"/>
      <c r="BM46" s="2494"/>
      <c r="BN46" s="2494"/>
      <c r="BO46" s="2494"/>
      <c r="BP46" s="2494"/>
      <c r="BQ46" s="2494"/>
      <c r="BR46" s="2494"/>
      <c r="BS46" s="2494"/>
      <c r="BT46" s="2494"/>
      <c r="BU46" s="2494"/>
      <c r="BV46" s="2494"/>
      <c r="BW46" s="2494"/>
      <c r="BX46" s="2494"/>
      <c r="BY46" s="2494"/>
      <c r="BZ46" s="2494"/>
      <c r="CA46" s="2494"/>
      <c r="CB46" s="2494"/>
      <c r="CC46" s="2494"/>
      <c r="CD46" s="2494"/>
      <c r="CE46" s="2494"/>
      <c r="CF46" s="2494"/>
      <c r="CG46" s="2494"/>
      <c r="CH46" s="2494"/>
      <c r="CI46" s="2494"/>
      <c r="CJ46" s="2494"/>
      <c r="CK46" s="2494"/>
      <c r="CL46" s="2494"/>
      <c r="CM46" s="2494"/>
    </row>
    <row r="47" spans="1:91" ht="30">
      <c r="A47" s="359"/>
      <c r="B47" s="2553"/>
      <c r="C47" s="2554"/>
      <c r="D47" s="2554"/>
      <c r="E47" s="2554"/>
      <c r="F47" s="2554"/>
      <c r="G47" s="2554"/>
      <c r="H47" s="2554"/>
      <c r="I47" s="2554"/>
      <c r="J47" s="2554"/>
      <c r="K47" s="2554"/>
      <c r="L47" s="2554"/>
      <c r="M47" s="2555"/>
      <c r="N47" s="458"/>
      <c r="O47" s="2553"/>
      <c r="P47" s="2554"/>
      <c r="Q47" s="2554"/>
      <c r="R47" s="2554"/>
      <c r="S47" s="2554"/>
      <c r="T47" s="2554"/>
      <c r="U47" s="2554"/>
      <c r="V47" s="2554"/>
      <c r="W47" s="2554"/>
      <c r="X47" s="2554"/>
      <c r="Y47" s="2554"/>
      <c r="Z47" s="2555"/>
      <c r="AA47" s="458"/>
      <c r="AB47" s="359"/>
      <c r="AC47" s="359"/>
      <c r="AD47" s="2496"/>
      <c r="AE47" s="2504"/>
      <c r="AF47" s="2504"/>
      <c r="AG47" s="2504"/>
      <c r="AH47" s="2504"/>
      <c r="AI47" s="2504"/>
      <c r="AJ47" s="2504"/>
      <c r="AK47" s="2504"/>
      <c r="AL47" s="2504"/>
      <c r="AM47" s="2504"/>
      <c r="AN47" s="2504"/>
      <c r="AO47" s="2504"/>
      <c r="AP47" s="2504"/>
      <c r="AQ47" s="2504"/>
      <c r="AR47" s="2504"/>
      <c r="AS47" s="2504"/>
      <c r="AT47" s="2504"/>
      <c r="AU47" s="2504"/>
      <c r="AV47" s="2504"/>
      <c r="AW47" s="2504"/>
      <c r="AX47" s="2504"/>
      <c r="AY47" s="2504"/>
      <c r="AZ47" s="2504"/>
      <c r="BA47" s="2504"/>
      <c r="BD47" s="9899" t="s">
        <v>2999</v>
      </c>
      <c r="BE47" s="2505" t="s">
        <v>1188</v>
      </c>
      <c r="BF47" s="2506"/>
      <c r="BG47" s="2507"/>
      <c r="BH47" s="2505" t="s">
        <v>353</v>
      </c>
      <c r="BI47" s="2506"/>
      <c r="BJ47" s="2507"/>
      <c r="BK47" s="2505" t="s">
        <v>342</v>
      </c>
      <c r="BL47" s="2506"/>
      <c r="BM47" s="2507"/>
      <c r="BN47" s="2505" t="s">
        <v>343</v>
      </c>
      <c r="BO47" s="2506"/>
      <c r="BP47" s="2507"/>
      <c r="BQ47" s="2505" t="s">
        <v>515</v>
      </c>
      <c r="BR47" s="2506"/>
      <c r="BS47" s="2507"/>
      <c r="BT47" s="2505" t="s">
        <v>1175</v>
      </c>
      <c r="BU47" s="2506"/>
      <c r="BV47" s="2507"/>
      <c r="BW47" s="2505" t="s">
        <v>349</v>
      </c>
      <c r="BX47" s="2506"/>
      <c r="BY47" s="2507"/>
      <c r="BZ47" s="2505" t="s">
        <v>351</v>
      </c>
      <c r="CA47" s="2506"/>
      <c r="CB47" s="2507"/>
      <c r="CC47" s="2505" t="s">
        <v>34</v>
      </c>
      <c r="CD47" s="2506"/>
      <c r="CE47" s="2507"/>
      <c r="CF47" s="2505" t="s">
        <v>537</v>
      </c>
      <c r="CG47" s="2506"/>
      <c r="CH47" s="2507"/>
      <c r="CI47" s="2505" t="s">
        <v>19</v>
      </c>
      <c r="CJ47" s="2506"/>
      <c r="CK47" s="2507"/>
      <c r="CL47" s="2505" t="s">
        <v>1226</v>
      </c>
      <c r="CM47" s="2506"/>
    </row>
    <row r="48" spans="1:91" ht="15">
      <c r="AD48" s="2489" t="s">
        <v>3004</v>
      </c>
      <c r="AE48" s="2521" t="s">
        <v>3044</v>
      </c>
      <c r="AF48" s="2522">
        <v>0</v>
      </c>
      <c r="AG48" s="2521" t="s">
        <v>3045</v>
      </c>
      <c r="AH48" s="2522">
        <v>0</v>
      </c>
      <c r="AI48" s="2521" t="s">
        <v>3046</v>
      </c>
      <c r="AJ48" s="2522">
        <v>0</v>
      </c>
      <c r="AK48" s="2521" t="s">
        <v>3047</v>
      </c>
      <c r="AL48" s="2522">
        <v>0</v>
      </c>
      <c r="AM48" s="2521" t="s">
        <v>3048</v>
      </c>
      <c r="AN48" s="2522">
        <v>0</v>
      </c>
      <c r="AO48" s="2521" t="s">
        <v>3049</v>
      </c>
      <c r="AP48" s="2522">
        <v>0</v>
      </c>
      <c r="AQ48" s="2521" t="s">
        <v>3050</v>
      </c>
      <c r="AR48" s="2522">
        <v>0</v>
      </c>
      <c r="AS48" s="2521" t="s">
        <v>3051</v>
      </c>
      <c r="AT48" s="2522">
        <v>0</v>
      </c>
      <c r="AU48" s="2521" t="s">
        <v>3052</v>
      </c>
      <c r="AV48" s="2522">
        <v>0</v>
      </c>
      <c r="AW48" s="2521" t="s">
        <v>3053</v>
      </c>
      <c r="AX48" s="2522">
        <v>0</v>
      </c>
      <c r="AY48" s="2521" t="s">
        <v>3054</v>
      </c>
      <c r="AZ48" s="2522">
        <v>0</v>
      </c>
      <c r="BA48" s="2521" t="s">
        <v>3055</v>
      </c>
      <c r="BD48" s="9899"/>
      <c r="BE48" s="2509" t="s">
        <v>1174</v>
      </c>
      <c r="BF48" s="2510"/>
      <c r="BG48" s="2507"/>
      <c r="BH48" s="2509" t="s">
        <v>1190</v>
      </c>
      <c r="BI48" s="2510"/>
      <c r="BJ48" s="2507"/>
      <c r="BK48" s="2509" t="s">
        <v>1157</v>
      </c>
      <c r="BL48" s="2510"/>
      <c r="BM48" s="2507"/>
      <c r="BN48" s="2509" t="s">
        <v>1168</v>
      </c>
      <c r="BO48" s="2510"/>
      <c r="BP48" s="2507"/>
      <c r="BQ48" s="2509" t="s">
        <v>1172</v>
      </c>
      <c r="BR48" s="2510"/>
      <c r="BS48" s="2507"/>
      <c r="BT48" s="2509" t="s">
        <v>1176</v>
      </c>
      <c r="BU48" s="2510"/>
      <c r="BV48" s="2507"/>
      <c r="BW48" s="2509" t="s">
        <v>1181</v>
      </c>
      <c r="BX48" s="2510"/>
      <c r="BY48" s="2507"/>
      <c r="BZ48" s="2509" t="s">
        <v>1182</v>
      </c>
      <c r="CA48" s="2510"/>
      <c r="CB48" s="2507"/>
      <c r="CC48" s="2509" t="s">
        <v>1183</v>
      </c>
      <c r="CD48" s="2510"/>
      <c r="CE48" s="2507"/>
      <c r="CF48" s="2509" t="s">
        <v>1185</v>
      </c>
      <c r="CG48" s="2510"/>
      <c r="CH48" s="2507"/>
      <c r="CI48" s="2509" t="s">
        <v>1214</v>
      </c>
      <c r="CJ48" s="2510"/>
      <c r="CK48" s="2507"/>
      <c r="CL48" s="2509" t="s">
        <v>1229</v>
      </c>
      <c r="CM48" s="2510"/>
    </row>
    <row r="49" spans="1:91" ht="30">
      <c r="AD49" s="2496"/>
      <c r="BD49" s="2503"/>
      <c r="BE49" s="2504"/>
      <c r="BF49" s="2504"/>
      <c r="BG49" s="2504"/>
      <c r="BH49" s="2504"/>
      <c r="BI49" s="2504"/>
      <c r="BJ49" s="2504"/>
      <c r="BK49" s="2504"/>
      <c r="BL49" s="2504"/>
      <c r="BM49" s="2504"/>
      <c r="BN49" s="2504"/>
      <c r="BO49" s="2504"/>
      <c r="BP49" s="2504"/>
      <c r="BQ49" s="2504"/>
      <c r="BR49" s="2504"/>
      <c r="BS49" s="2504"/>
      <c r="BT49" s="2504"/>
      <c r="BU49" s="2504"/>
      <c r="BV49" s="2504"/>
      <c r="BW49" s="2504"/>
      <c r="BX49" s="2504"/>
      <c r="BY49" s="2504"/>
      <c r="BZ49" s="2504"/>
      <c r="CA49" s="2504"/>
      <c r="CB49" s="2504"/>
      <c r="CC49" s="2504"/>
      <c r="CD49" s="2504"/>
      <c r="CE49" s="2504"/>
      <c r="CF49" s="2504"/>
      <c r="CG49" s="2504"/>
      <c r="CH49" s="2504"/>
      <c r="CI49" s="2504"/>
      <c r="CJ49" s="2504"/>
      <c r="CK49" s="2504"/>
      <c r="CL49" s="2504"/>
      <c r="CM49" s="2504"/>
    </row>
    <row r="50" spans="1:91" ht="45">
      <c r="B50" s="2556" t="s">
        <v>1135</v>
      </c>
      <c r="C50" s="2459"/>
      <c r="D50" s="2460" t="s">
        <v>1136</v>
      </c>
      <c r="E50" s="2557" t="s">
        <v>1238</v>
      </c>
      <c r="F50" s="2558"/>
      <c r="G50" s="2558"/>
      <c r="H50" s="2558"/>
      <c r="I50" s="2558"/>
      <c r="J50" s="2558"/>
      <c r="K50" s="2558"/>
      <c r="L50" s="2558"/>
      <c r="M50" s="2559"/>
      <c r="O50" s="2458" t="s">
        <v>1135</v>
      </c>
      <c r="P50" s="2459"/>
      <c r="Q50" s="2460" t="s">
        <v>1136</v>
      </c>
      <c r="R50" s="2560" t="s">
        <v>1239</v>
      </c>
      <c r="S50" s="2561"/>
      <c r="T50" s="2561"/>
      <c r="U50" s="2561"/>
      <c r="V50" s="2561"/>
      <c r="W50" s="2561"/>
      <c r="X50" s="2561"/>
      <c r="Y50" s="2561"/>
      <c r="Z50" s="2562"/>
      <c r="AD50" s="2548" t="s">
        <v>3005</v>
      </c>
      <c r="BD50" s="9899" t="s">
        <v>3001</v>
      </c>
      <c r="BE50" s="2563" t="s">
        <v>1188</v>
      </c>
      <c r="BF50" s="2514"/>
      <c r="BG50" s="2512"/>
      <c r="BH50" s="2563" t="s">
        <v>353</v>
      </c>
      <c r="BI50" s="2514"/>
      <c r="BJ50" s="2512"/>
      <c r="BK50" s="2563" t="s">
        <v>342</v>
      </c>
      <c r="BL50" s="2514"/>
      <c r="BM50" s="2512"/>
      <c r="BN50" s="2563" t="s">
        <v>343</v>
      </c>
      <c r="BO50" s="2514"/>
      <c r="BP50" s="2512"/>
      <c r="BQ50" s="2563" t="s">
        <v>515</v>
      </c>
      <c r="BR50" s="2514"/>
      <c r="BS50" s="2512"/>
      <c r="BT50" s="2563" t="s">
        <v>1175</v>
      </c>
      <c r="BU50" s="2514"/>
      <c r="BV50" s="2512"/>
      <c r="BW50" s="2563" t="s">
        <v>349</v>
      </c>
      <c r="BX50" s="2514"/>
      <c r="BY50" s="2512"/>
      <c r="BZ50" s="2563" t="s">
        <v>351</v>
      </c>
      <c r="CA50" s="2514"/>
      <c r="CB50" s="2512"/>
      <c r="CC50" s="2563" t="s">
        <v>34</v>
      </c>
      <c r="CD50" s="2514"/>
      <c r="CE50" s="2512"/>
      <c r="CF50" s="2563" t="s">
        <v>537</v>
      </c>
      <c r="CG50" s="2514"/>
      <c r="CH50" s="2512"/>
      <c r="CI50" s="2563" t="s">
        <v>19</v>
      </c>
      <c r="CJ50" s="2514"/>
      <c r="CK50" s="2512"/>
      <c r="CL50" s="2563" t="s">
        <v>1226</v>
      </c>
      <c r="CM50" s="2514"/>
    </row>
    <row r="51" spans="1:91" ht="20.25">
      <c r="B51" s="431" t="s">
        <v>1141</v>
      </c>
      <c r="C51" s="2467" t="s">
        <v>1139</v>
      </c>
      <c r="D51" s="2564" t="str">
        <f>B51</f>
        <v>Aa</v>
      </c>
      <c r="E51" s="2565" t="s">
        <v>1246</v>
      </c>
      <c r="F51" s="2565"/>
      <c r="G51" s="2566"/>
      <c r="H51" s="2566"/>
      <c r="I51" s="2566"/>
      <c r="J51" s="2566"/>
      <c r="K51" s="2566"/>
      <c r="L51" s="2566"/>
      <c r="M51" s="2567"/>
      <c r="O51" s="431" t="s">
        <v>1141</v>
      </c>
      <c r="P51" s="2467" t="s">
        <v>1139</v>
      </c>
      <c r="Q51" s="2568" t="str">
        <f>O51</f>
        <v>Aa</v>
      </c>
      <c r="R51" s="2565" t="s">
        <v>1246</v>
      </c>
      <c r="S51" s="2565"/>
      <c r="T51" s="2566"/>
      <c r="U51" s="2566"/>
      <c r="V51" s="2566"/>
      <c r="W51" s="2566"/>
      <c r="X51" s="2566"/>
      <c r="Y51" s="2566"/>
      <c r="Z51" s="2567"/>
      <c r="AD51" s="2489" t="s">
        <v>2973</v>
      </c>
      <c r="AE51" s="2569" t="s">
        <v>3057</v>
      </c>
      <c r="AF51" s="2529"/>
      <c r="AG51" s="2569" t="s">
        <v>3058</v>
      </c>
      <c r="AH51" s="2529"/>
      <c r="AI51" s="2569" t="s">
        <v>3059</v>
      </c>
      <c r="AJ51" s="2529"/>
      <c r="AK51" s="2569" t="s">
        <v>3060</v>
      </c>
      <c r="AL51" s="2529"/>
      <c r="AM51" s="2569" t="s">
        <v>3061</v>
      </c>
      <c r="AN51" s="2529"/>
      <c r="AO51" s="2569" t="s">
        <v>3062</v>
      </c>
      <c r="AP51" s="2529"/>
      <c r="AQ51" s="2569" t="s">
        <v>3063</v>
      </c>
      <c r="AR51" s="2529"/>
      <c r="AS51" s="2569" t="s">
        <v>3064</v>
      </c>
      <c r="AT51" s="2529"/>
      <c r="AU51" s="2569" t="s">
        <v>3065</v>
      </c>
      <c r="AV51" s="2529"/>
      <c r="AW51" s="2569" t="s">
        <v>3066</v>
      </c>
      <c r="AX51" s="2529"/>
      <c r="AY51" s="2569" t="s">
        <v>3067</v>
      </c>
      <c r="AZ51" s="2529"/>
      <c r="BA51" s="2569" t="s">
        <v>3068</v>
      </c>
      <c r="BD51" s="9899"/>
      <c r="BE51" s="2515" t="s">
        <v>1174</v>
      </c>
      <c r="BF51" s="2516"/>
      <c r="BG51" s="2512"/>
      <c r="BH51" s="2515" t="s">
        <v>1190</v>
      </c>
      <c r="BI51" s="2516"/>
      <c r="BJ51" s="2512"/>
      <c r="BK51" s="2515" t="s">
        <v>1157</v>
      </c>
      <c r="BL51" s="2516"/>
      <c r="BM51" s="2512"/>
      <c r="BN51" s="2515" t="s">
        <v>1168</v>
      </c>
      <c r="BO51" s="2516"/>
      <c r="BP51" s="2512"/>
      <c r="BQ51" s="2515" t="s">
        <v>1172</v>
      </c>
      <c r="BR51" s="2516"/>
      <c r="BS51" s="2512"/>
      <c r="BT51" s="2515" t="s">
        <v>1176</v>
      </c>
      <c r="BU51" s="2516"/>
      <c r="BV51" s="2512"/>
      <c r="BW51" s="2515" t="s">
        <v>1181</v>
      </c>
      <c r="BX51" s="2516"/>
      <c r="BY51" s="2512"/>
      <c r="BZ51" s="2515" t="s">
        <v>1182</v>
      </c>
      <c r="CA51" s="2516"/>
      <c r="CB51" s="2512"/>
      <c r="CC51" s="2515" t="s">
        <v>1183</v>
      </c>
      <c r="CD51" s="2516"/>
      <c r="CE51" s="2512"/>
      <c r="CF51" s="2515" t="s">
        <v>1185</v>
      </c>
      <c r="CG51" s="2516"/>
      <c r="CH51" s="2512"/>
      <c r="CI51" s="2515" t="s">
        <v>1214</v>
      </c>
      <c r="CJ51" s="2516"/>
      <c r="CK51" s="2512"/>
      <c r="CL51" s="2515" t="s">
        <v>1229</v>
      </c>
      <c r="CM51" s="2516"/>
    </row>
    <row r="52" spans="1:91" ht="30">
      <c r="B52" s="2475"/>
      <c r="M52" s="2476"/>
      <c r="O52" s="2475"/>
      <c r="Z52" s="2476"/>
      <c r="AD52" s="2496"/>
      <c r="AE52" s="2532"/>
      <c r="AF52" s="2532"/>
      <c r="AG52" s="2532"/>
      <c r="AH52" s="2532"/>
      <c r="AI52" s="2532"/>
      <c r="AJ52" s="2532"/>
      <c r="AK52" s="2532"/>
      <c r="AL52" s="2532"/>
      <c r="AM52" s="2532"/>
      <c r="AN52" s="2532"/>
      <c r="AO52" s="2532"/>
      <c r="AP52" s="2532"/>
      <c r="AQ52" s="2532"/>
      <c r="AR52" s="2532"/>
      <c r="AS52" s="2532"/>
      <c r="AT52" s="2532"/>
      <c r="AU52" s="2532"/>
      <c r="AV52" s="2532"/>
      <c r="AW52" s="2532"/>
      <c r="AX52" s="2532"/>
      <c r="AY52" s="2532"/>
      <c r="AZ52" s="2532"/>
      <c r="BA52" s="2532"/>
      <c r="BD52" s="2496"/>
      <c r="BE52" s="2504"/>
      <c r="BF52" s="2504"/>
      <c r="BG52" s="2504"/>
      <c r="BH52" s="2504"/>
      <c r="BI52" s="2504"/>
      <c r="BJ52" s="2504"/>
      <c r="BK52" s="2504"/>
      <c r="BL52" s="2504"/>
      <c r="BM52" s="2504"/>
      <c r="BN52" s="2504"/>
      <c r="BO52" s="2504"/>
      <c r="BP52" s="2504"/>
      <c r="BQ52" s="2504"/>
      <c r="BR52" s="2504"/>
      <c r="BS52" s="2504"/>
      <c r="BT52" s="2504"/>
      <c r="BU52" s="2504"/>
      <c r="BV52" s="2504"/>
      <c r="BW52" s="2504"/>
      <c r="BX52" s="2504"/>
      <c r="BY52" s="2504"/>
      <c r="BZ52" s="2504"/>
      <c r="CA52" s="2504"/>
      <c r="CB52" s="2504"/>
      <c r="CC52" s="2504"/>
      <c r="CD52" s="2504"/>
      <c r="CE52" s="2504"/>
      <c r="CF52" s="2504"/>
      <c r="CG52" s="2504"/>
      <c r="CH52" s="2504"/>
      <c r="CI52" s="2504"/>
      <c r="CJ52" s="2504"/>
      <c r="CK52" s="2504"/>
      <c r="CL52" s="2504"/>
      <c r="CM52" s="2504"/>
    </row>
    <row r="53" spans="1:91" ht="30">
      <c r="B53" s="432" t="s">
        <v>1142</v>
      </c>
      <c r="C53" s="9919" t="s">
        <v>1143</v>
      </c>
      <c r="D53" s="9920"/>
      <c r="E53" s="2479" t="s">
        <v>1144</v>
      </c>
      <c r="F53" s="9919" t="s">
        <v>1143</v>
      </c>
      <c r="G53" s="9920"/>
      <c r="H53" s="2479" t="s">
        <v>1145</v>
      </c>
      <c r="I53" s="9919" t="s">
        <v>1143</v>
      </c>
      <c r="J53" s="9920"/>
      <c r="K53" s="2479" t="s">
        <v>1146</v>
      </c>
      <c r="L53" s="9919" t="s">
        <v>1143</v>
      </c>
      <c r="M53" s="9921"/>
      <c r="O53" s="432" t="s">
        <v>1142</v>
      </c>
      <c r="P53" s="9922" t="s">
        <v>1143</v>
      </c>
      <c r="Q53" s="9923"/>
      <c r="R53" s="2479" t="s">
        <v>1144</v>
      </c>
      <c r="S53" s="9922" t="s">
        <v>1143</v>
      </c>
      <c r="T53" s="9923"/>
      <c r="U53" s="2479" t="s">
        <v>1145</v>
      </c>
      <c r="V53" s="9922" t="s">
        <v>1143</v>
      </c>
      <c r="W53" s="9923"/>
      <c r="X53" s="2479" t="s">
        <v>1146</v>
      </c>
      <c r="Y53" s="9922" t="s">
        <v>1143</v>
      </c>
      <c r="Z53" s="9924"/>
      <c r="AD53" s="2489" t="s">
        <v>2317</v>
      </c>
      <c r="AE53" s="2570" t="s">
        <v>3069</v>
      </c>
      <c r="AF53" s="2502"/>
      <c r="AG53" s="2570" t="s">
        <v>3070</v>
      </c>
      <c r="AH53" s="2502"/>
      <c r="AI53" s="2570" t="s">
        <v>3071</v>
      </c>
      <c r="AJ53" s="2502"/>
      <c r="AK53" s="2570" t="s">
        <v>3072</v>
      </c>
      <c r="AL53" s="2502"/>
      <c r="AM53" s="2570" t="s">
        <v>3073</v>
      </c>
      <c r="AN53" s="2502"/>
      <c r="AO53" s="2570" t="s">
        <v>3074</v>
      </c>
      <c r="AP53" s="2502"/>
      <c r="AQ53" s="2570" t="s">
        <v>3075</v>
      </c>
      <c r="AR53" s="2502"/>
      <c r="AS53" s="2570" t="s">
        <v>3076</v>
      </c>
      <c r="AT53" s="2502"/>
      <c r="AU53" s="2570" t="s">
        <v>3077</v>
      </c>
      <c r="AV53" s="2502"/>
      <c r="AW53" s="2570" t="s">
        <v>3078</v>
      </c>
      <c r="AX53" s="2502"/>
      <c r="AY53" s="2570" t="s">
        <v>3079</v>
      </c>
      <c r="AZ53" s="2502"/>
      <c r="BA53" s="2570" t="s">
        <v>3080</v>
      </c>
      <c r="BD53" s="9899" t="s">
        <v>3003</v>
      </c>
      <c r="BE53" s="2571" t="s">
        <v>1188</v>
      </c>
      <c r="BF53" s="2520"/>
      <c r="BG53" s="2518"/>
      <c r="BH53" s="2571" t="s">
        <v>353</v>
      </c>
      <c r="BI53" s="2520"/>
      <c r="BJ53" s="2518"/>
      <c r="BK53" s="2571" t="s">
        <v>342</v>
      </c>
      <c r="BL53" s="2520"/>
      <c r="BM53" s="2518"/>
      <c r="BN53" s="2571" t="s">
        <v>343</v>
      </c>
      <c r="BO53" s="2520"/>
      <c r="BP53" s="2518"/>
      <c r="BQ53" s="2571" t="s">
        <v>515</v>
      </c>
      <c r="BR53" s="2520"/>
      <c r="BS53" s="2518"/>
      <c r="BT53" s="2571" t="s">
        <v>1175</v>
      </c>
      <c r="BU53" s="2520"/>
      <c r="BV53" s="2518"/>
      <c r="BW53" s="2571" t="s">
        <v>349</v>
      </c>
      <c r="BX53" s="2520"/>
      <c r="BY53" s="2518"/>
      <c r="BZ53" s="2571" t="s">
        <v>351</v>
      </c>
      <c r="CA53" s="2520"/>
      <c r="CB53" s="2518"/>
      <c r="CC53" s="2571" t="s">
        <v>34</v>
      </c>
      <c r="CD53" s="2520"/>
      <c r="CE53" s="2518"/>
      <c r="CF53" s="2571" t="s">
        <v>537</v>
      </c>
      <c r="CG53" s="2520"/>
      <c r="CH53" s="2518"/>
      <c r="CI53" s="2571" t="s">
        <v>19</v>
      </c>
      <c r="CJ53" s="2520"/>
      <c r="CK53" s="2518"/>
      <c r="CL53" s="2571" t="s">
        <v>1226</v>
      </c>
      <c r="CM53" s="2520"/>
    </row>
    <row r="54" spans="1:91" ht="30">
      <c r="A54" s="359"/>
      <c r="B54" s="433" t="s">
        <v>337</v>
      </c>
      <c r="C54" s="2480" t="s">
        <v>1139</v>
      </c>
      <c r="D54" s="2572" t="s">
        <v>337</v>
      </c>
      <c r="E54" s="2482" t="s">
        <v>1147</v>
      </c>
      <c r="F54" s="2480" t="s">
        <v>1139</v>
      </c>
      <c r="G54" s="459" t="s">
        <v>1147</v>
      </c>
      <c r="H54" s="2484">
        <v>1</v>
      </c>
      <c r="I54" s="2480" t="s">
        <v>1139</v>
      </c>
      <c r="J54" s="459">
        <v>1</v>
      </c>
      <c r="K54" s="2484">
        <v>27</v>
      </c>
      <c r="L54" s="2480" t="s">
        <v>1139</v>
      </c>
      <c r="M54" s="2573">
        <v>27</v>
      </c>
      <c r="N54" s="359"/>
      <c r="O54" s="433" t="s">
        <v>337</v>
      </c>
      <c r="P54" s="2480" t="s">
        <v>1139</v>
      </c>
      <c r="Q54" s="2574" t="s">
        <v>337</v>
      </c>
      <c r="R54" s="2482" t="s">
        <v>1147</v>
      </c>
      <c r="S54" s="2480" t="s">
        <v>1139</v>
      </c>
      <c r="T54" s="2575" t="s">
        <v>1147</v>
      </c>
      <c r="U54" s="2484">
        <v>1</v>
      </c>
      <c r="V54" s="2480" t="s">
        <v>1139</v>
      </c>
      <c r="W54" s="2574">
        <v>1</v>
      </c>
      <c r="X54" s="2484">
        <v>27</v>
      </c>
      <c r="Y54" s="2480" t="s">
        <v>1139</v>
      </c>
      <c r="Z54" s="2576">
        <v>27</v>
      </c>
      <c r="AA54" s="359"/>
      <c r="AB54" s="359"/>
      <c r="AC54" s="359"/>
      <c r="AD54" s="2496"/>
      <c r="AE54" s="2504"/>
      <c r="AF54" s="2504"/>
      <c r="AG54" s="2504"/>
      <c r="AH54" s="2504"/>
      <c r="AI54" s="2504"/>
      <c r="AJ54" s="2504"/>
      <c r="AK54" s="2504"/>
      <c r="AL54" s="2504"/>
      <c r="AM54" s="2504"/>
      <c r="AN54" s="2504"/>
      <c r="AO54" s="2504"/>
      <c r="AP54" s="2504"/>
      <c r="AQ54" s="2504"/>
      <c r="AR54" s="2504"/>
      <c r="AS54" s="2504"/>
      <c r="AT54" s="2504"/>
      <c r="AU54" s="2504"/>
      <c r="AV54" s="2504"/>
      <c r="AW54" s="2504"/>
      <c r="AX54" s="2504"/>
      <c r="AY54" s="2504"/>
      <c r="AZ54" s="2504"/>
      <c r="BA54" s="2504"/>
      <c r="BD54" s="9899"/>
      <c r="BE54" s="2523" t="s">
        <v>1174</v>
      </c>
      <c r="BF54" s="2524"/>
      <c r="BG54" s="2518"/>
      <c r="BH54" s="2523" t="s">
        <v>1190</v>
      </c>
      <c r="BI54" s="2524"/>
      <c r="BJ54" s="2518"/>
      <c r="BK54" s="2523" t="s">
        <v>1157</v>
      </c>
      <c r="BL54" s="2524"/>
      <c r="BM54" s="2518"/>
      <c r="BN54" s="2523" t="s">
        <v>1168</v>
      </c>
      <c r="BO54" s="2524"/>
      <c r="BP54" s="2518"/>
      <c r="BQ54" s="2523" t="s">
        <v>1172</v>
      </c>
      <c r="BR54" s="2524"/>
      <c r="BS54" s="2518"/>
      <c r="BT54" s="2523" t="s">
        <v>1176</v>
      </c>
      <c r="BU54" s="2524"/>
      <c r="BV54" s="2518"/>
      <c r="BW54" s="2523" t="s">
        <v>1181</v>
      </c>
      <c r="BX54" s="2524"/>
      <c r="BY54" s="2518"/>
      <c r="BZ54" s="2523" t="s">
        <v>1182</v>
      </c>
      <c r="CA54" s="2524"/>
      <c r="CB54" s="2518"/>
      <c r="CC54" s="2523" t="s">
        <v>1183</v>
      </c>
      <c r="CD54" s="2524"/>
      <c r="CE54" s="2518"/>
      <c r="CF54" s="2523" t="s">
        <v>1185</v>
      </c>
      <c r="CG54" s="2524"/>
      <c r="CH54" s="2518"/>
      <c r="CI54" s="2523" t="s">
        <v>1214</v>
      </c>
      <c r="CJ54" s="2524"/>
      <c r="CK54" s="2518"/>
      <c r="CL54" s="2523" t="s">
        <v>1229</v>
      </c>
      <c r="CM54" s="2524"/>
    </row>
    <row r="55" spans="1:91" ht="30">
      <c r="A55" s="359"/>
      <c r="B55" s="433" t="s">
        <v>339</v>
      </c>
      <c r="C55" s="2480" t="s">
        <v>1139</v>
      </c>
      <c r="D55" s="2572" t="s">
        <v>339</v>
      </c>
      <c r="E55" s="2482" t="s">
        <v>1150</v>
      </c>
      <c r="F55" s="2480" t="s">
        <v>1139</v>
      </c>
      <c r="G55" s="459" t="s">
        <v>1150</v>
      </c>
      <c r="H55" s="2484">
        <v>2</v>
      </c>
      <c r="I55" s="2480" t="s">
        <v>1139</v>
      </c>
      <c r="J55" s="459">
        <v>2</v>
      </c>
      <c r="K55" s="2484">
        <v>28</v>
      </c>
      <c r="L55" s="2480" t="s">
        <v>1139</v>
      </c>
      <c r="M55" s="2573">
        <v>28</v>
      </c>
      <c r="N55" s="359"/>
      <c r="O55" s="433" t="s">
        <v>339</v>
      </c>
      <c r="P55" s="2480" t="s">
        <v>1139</v>
      </c>
      <c r="Q55" s="2574" t="s">
        <v>339</v>
      </c>
      <c r="R55" s="2482" t="s">
        <v>1150</v>
      </c>
      <c r="S55" s="2480" t="s">
        <v>1139</v>
      </c>
      <c r="T55" s="2575" t="s">
        <v>1150</v>
      </c>
      <c r="U55" s="2484">
        <v>2</v>
      </c>
      <c r="V55" s="2480" t="s">
        <v>1139</v>
      </c>
      <c r="W55" s="2574">
        <v>2</v>
      </c>
      <c r="X55" s="2484">
        <v>28</v>
      </c>
      <c r="Y55" s="2480" t="s">
        <v>1139</v>
      </c>
      <c r="Z55" s="2576">
        <v>28</v>
      </c>
      <c r="AA55" s="359"/>
      <c r="AB55" s="359"/>
      <c r="AC55" s="359"/>
      <c r="AD55" s="2489" t="s">
        <v>2999</v>
      </c>
      <c r="AE55" s="2577" t="s">
        <v>3069</v>
      </c>
      <c r="AF55" s="2507">
        <v>0</v>
      </c>
      <c r="AG55" s="2577" t="s">
        <v>3070</v>
      </c>
      <c r="AH55" s="2507">
        <v>0</v>
      </c>
      <c r="AI55" s="2577" t="s">
        <v>3071</v>
      </c>
      <c r="AJ55" s="2507">
        <v>0</v>
      </c>
      <c r="AK55" s="2577" t="s">
        <v>3072</v>
      </c>
      <c r="AL55" s="2507">
        <v>0</v>
      </c>
      <c r="AM55" s="2577" t="s">
        <v>3073</v>
      </c>
      <c r="AN55" s="2507">
        <v>0</v>
      </c>
      <c r="AO55" s="2577" t="s">
        <v>3074</v>
      </c>
      <c r="AP55" s="2507">
        <v>0</v>
      </c>
      <c r="AQ55" s="2577" t="s">
        <v>3075</v>
      </c>
      <c r="AR55" s="2507">
        <v>0</v>
      </c>
      <c r="AS55" s="2578" t="s">
        <v>3076</v>
      </c>
      <c r="AT55" s="2507">
        <v>0</v>
      </c>
      <c r="AU55" s="2577" t="s">
        <v>3077</v>
      </c>
      <c r="AV55" s="2507">
        <v>0</v>
      </c>
      <c r="AW55" s="2577" t="s">
        <v>3078</v>
      </c>
      <c r="AX55" s="2507">
        <v>0</v>
      </c>
      <c r="AY55" s="2577" t="s">
        <v>3079</v>
      </c>
      <c r="AZ55" s="2507">
        <v>0</v>
      </c>
      <c r="BA55" s="2577" t="s">
        <v>3080</v>
      </c>
      <c r="BD55" s="2496"/>
      <c r="BE55" s="2504"/>
      <c r="BF55" s="2504"/>
      <c r="BG55" s="2504"/>
      <c r="BH55" s="2504"/>
      <c r="BI55" s="2504"/>
      <c r="BJ55" s="2504"/>
      <c r="BK55" s="2504"/>
      <c r="BL55" s="2504"/>
      <c r="BM55" s="2504"/>
      <c r="BN55" s="2504"/>
      <c r="BO55" s="2504"/>
      <c r="BP55" s="2504"/>
      <c r="BQ55" s="2504"/>
      <c r="BR55" s="2504"/>
      <c r="BS55" s="2504"/>
      <c r="BT55" s="2504"/>
      <c r="BU55" s="2504"/>
      <c r="BV55" s="2504"/>
      <c r="BW55" s="2504"/>
      <c r="BX55" s="2504"/>
      <c r="BY55" s="2504"/>
      <c r="BZ55" s="2504"/>
      <c r="CA55" s="2504"/>
      <c r="CB55" s="2504"/>
      <c r="CC55" s="2504"/>
      <c r="CD55" s="2504"/>
      <c r="CE55" s="2504"/>
      <c r="CF55" s="2504"/>
      <c r="CG55" s="2504"/>
      <c r="CH55" s="2504"/>
      <c r="CI55" s="2504"/>
      <c r="CJ55" s="2504"/>
      <c r="CK55" s="2504"/>
      <c r="CL55" s="2504"/>
      <c r="CM55" s="2504"/>
    </row>
    <row r="56" spans="1:91" ht="30">
      <c r="A56" s="359"/>
      <c r="B56" s="433" t="s">
        <v>338</v>
      </c>
      <c r="C56" s="2480" t="s">
        <v>1139</v>
      </c>
      <c r="D56" s="2572" t="s">
        <v>338</v>
      </c>
      <c r="E56" s="2482" t="s">
        <v>1154</v>
      </c>
      <c r="F56" s="2480" t="s">
        <v>1139</v>
      </c>
      <c r="G56" s="459" t="s">
        <v>1154</v>
      </c>
      <c r="H56" s="2484">
        <v>3</v>
      </c>
      <c r="I56" s="2480" t="s">
        <v>1139</v>
      </c>
      <c r="J56" s="459">
        <v>3</v>
      </c>
      <c r="K56" s="2484">
        <v>29</v>
      </c>
      <c r="L56" s="2480" t="s">
        <v>1139</v>
      </c>
      <c r="M56" s="2573">
        <v>29</v>
      </c>
      <c r="N56" s="359"/>
      <c r="O56" s="433" t="s">
        <v>338</v>
      </c>
      <c r="P56" s="2480" t="s">
        <v>1139</v>
      </c>
      <c r="Q56" s="2574" t="s">
        <v>338</v>
      </c>
      <c r="R56" s="2482" t="s">
        <v>1154</v>
      </c>
      <c r="S56" s="2480" t="s">
        <v>1139</v>
      </c>
      <c r="T56" s="2575" t="s">
        <v>1154</v>
      </c>
      <c r="U56" s="2484">
        <v>3</v>
      </c>
      <c r="V56" s="2480" t="s">
        <v>1139</v>
      </c>
      <c r="W56" s="2574">
        <v>3</v>
      </c>
      <c r="X56" s="2484">
        <v>29</v>
      </c>
      <c r="Y56" s="2480" t="s">
        <v>1139</v>
      </c>
      <c r="Z56" s="2576">
        <v>29</v>
      </c>
      <c r="AA56" s="359"/>
      <c r="AB56" s="359"/>
      <c r="AC56" s="359"/>
      <c r="AD56" s="2496"/>
      <c r="AE56" s="2504"/>
      <c r="AF56" s="2504"/>
      <c r="AG56" s="2504"/>
      <c r="AH56" s="2504"/>
      <c r="AI56" s="2504"/>
      <c r="AJ56" s="2504"/>
      <c r="AK56" s="2504"/>
      <c r="AL56" s="2504"/>
      <c r="AM56" s="2504"/>
      <c r="AN56" s="2504"/>
      <c r="AO56" s="2504"/>
      <c r="AP56" s="2504"/>
      <c r="AQ56" s="2504"/>
      <c r="AR56" s="2504"/>
      <c r="AS56" s="2552"/>
      <c r="AT56" s="2504"/>
      <c r="AU56" s="2504"/>
      <c r="AV56" s="2504"/>
      <c r="AW56" s="2504"/>
      <c r="AX56" s="2504"/>
      <c r="AY56" s="2504"/>
      <c r="AZ56" s="2504"/>
      <c r="BA56" s="2504"/>
      <c r="BD56" s="9899" t="s">
        <v>3004</v>
      </c>
      <c r="BE56" s="2579" t="s">
        <v>1188</v>
      </c>
      <c r="BF56" s="2527"/>
      <c r="BG56" s="2522"/>
      <c r="BH56" s="2579" t="s">
        <v>353</v>
      </c>
      <c r="BI56" s="2527"/>
      <c r="BJ56" s="2522"/>
      <c r="BK56" s="2579" t="s">
        <v>342</v>
      </c>
      <c r="BL56" s="2527"/>
      <c r="BM56" s="2522"/>
      <c r="BN56" s="2579" t="s">
        <v>343</v>
      </c>
      <c r="BO56" s="2527"/>
      <c r="BP56" s="2522"/>
      <c r="BQ56" s="2579" t="s">
        <v>515</v>
      </c>
      <c r="BR56" s="2527"/>
      <c r="BS56" s="2522"/>
      <c r="BT56" s="2579" t="s">
        <v>1175</v>
      </c>
      <c r="BU56" s="2527"/>
      <c r="BV56" s="2522"/>
      <c r="BW56" s="2579" t="s">
        <v>349</v>
      </c>
      <c r="BX56" s="2527"/>
      <c r="BY56" s="2522"/>
      <c r="BZ56" s="2579" t="s">
        <v>351</v>
      </c>
      <c r="CA56" s="2527"/>
      <c r="CB56" s="2522"/>
      <c r="CC56" s="2579" t="s">
        <v>34</v>
      </c>
      <c r="CD56" s="2527"/>
      <c r="CE56" s="2522"/>
      <c r="CF56" s="2579" t="s">
        <v>537</v>
      </c>
      <c r="CG56" s="2527"/>
      <c r="CH56" s="2522"/>
      <c r="CI56" s="2579" t="s">
        <v>19</v>
      </c>
      <c r="CJ56" s="2527"/>
      <c r="CK56" s="2522"/>
      <c r="CL56" s="2579" t="s">
        <v>1226</v>
      </c>
      <c r="CM56" s="2527"/>
    </row>
    <row r="57" spans="1:91" ht="20.25">
      <c r="A57" s="359"/>
      <c r="B57" s="433" t="s">
        <v>342</v>
      </c>
      <c r="C57" s="2480" t="s">
        <v>1139</v>
      </c>
      <c r="D57" s="2572" t="s">
        <v>342</v>
      </c>
      <c r="E57" s="2482" t="s">
        <v>1157</v>
      </c>
      <c r="F57" s="2480" t="s">
        <v>1139</v>
      </c>
      <c r="G57" s="459" t="s">
        <v>1157</v>
      </c>
      <c r="H57" s="2484">
        <v>4</v>
      </c>
      <c r="I57" s="2480" t="s">
        <v>1139</v>
      </c>
      <c r="J57" s="459">
        <v>4</v>
      </c>
      <c r="K57" s="2484">
        <v>30</v>
      </c>
      <c r="L57" s="2480" t="s">
        <v>1139</v>
      </c>
      <c r="M57" s="2573">
        <v>30</v>
      </c>
      <c r="N57" s="359"/>
      <c r="O57" s="433" t="s">
        <v>342</v>
      </c>
      <c r="P57" s="2480" t="s">
        <v>1139</v>
      </c>
      <c r="Q57" s="2574" t="s">
        <v>342</v>
      </c>
      <c r="R57" s="2482" t="s">
        <v>1157</v>
      </c>
      <c r="S57" s="2480" t="s">
        <v>1139</v>
      </c>
      <c r="T57" s="2575" t="s">
        <v>1157</v>
      </c>
      <c r="U57" s="2484">
        <v>4</v>
      </c>
      <c r="V57" s="2480" t="s">
        <v>1139</v>
      </c>
      <c r="W57" s="2574">
        <v>4</v>
      </c>
      <c r="X57" s="2484">
        <v>30</v>
      </c>
      <c r="Y57" s="2480" t="s">
        <v>1139</v>
      </c>
      <c r="Z57" s="2576">
        <v>30</v>
      </c>
      <c r="AA57" s="359"/>
      <c r="AB57" s="359"/>
      <c r="AC57" s="359"/>
      <c r="AD57" s="2489" t="s">
        <v>3000</v>
      </c>
      <c r="AE57" s="2580" t="s">
        <v>3069</v>
      </c>
      <c r="AF57" s="2512">
        <v>0</v>
      </c>
      <c r="AG57" s="2580" t="s">
        <v>3070</v>
      </c>
      <c r="AH57" s="2512">
        <v>0</v>
      </c>
      <c r="AI57" s="2580" t="s">
        <v>3071</v>
      </c>
      <c r="AJ57" s="2512">
        <v>0</v>
      </c>
      <c r="AK57" s="2580" t="s">
        <v>3072</v>
      </c>
      <c r="AL57" s="2512">
        <v>0</v>
      </c>
      <c r="AM57" s="2580" t="s">
        <v>3073</v>
      </c>
      <c r="AN57" s="2512">
        <v>0</v>
      </c>
      <c r="AO57" s="2580" t="s">
        <v>3074</v>
      </c>
      <c r="AP57" s="2512">
        <v>0</v>
      </c>
      <c r="AQ57" s="2580" t="s">
        <v>3075</v>
      </c>
      <c r="AR57" s="2512">
        <v>0</v>
      </c>
      <c r="AS57" s="2580" t="s">
        <v>3076</v>
      </c>
      <c r="AT57" s="2512">
        <v>0</v>
      </c>
      <c r="AU57" s="2580" t="s">
        <v>3077</v>
      </c>
      <c r="AV57" s="2512">
        <v>0</v>
      </c>
      <c r="AW57" s="2580" t="s">
        <v>3078</v>
      </c>
      <c r="AX57" s="2512">
        <v>0</v>
      </c>
      <c r="AY57" s="2580" t="s">
        <v>3079</v>
      </c>
      <c r="AZ57" s="2512">
        <v>0</v>
      </c>
      <c r="BA57" s="2580" t="s">
        <v>3080</v>
      </c>
      <c r="BD57" s="9899"/>
      <c r="BE57" s="2530" t="s">
        <v>1174</v>
      </c>
      <c r="BF57" s="2531"/>
      <c r="BG57" s="2522"/>
      <c r="BH57" s="2530" t="s">
        <v>1190</v>
      </c>
      <c r="BI57" s="2531"/>
      <c r="BJ57" s="2522"/>
      <c r="BK57" s="2530" t="s">
        <v>1157</v>
      </c>
      <c r="BL57" s="2531"/>
      <c r="BM57" s="2522"/>
      <c r="BN57" s="2530" t="s">
        <v>1168</v>
      </c>
      <c r="BO57" s="2531"/>
      <c r="BP57" s="2522"/>
      <c r="BQ57" s="2530" t="s">
        <v>1172</v>
      </c>
      <c r="BR57" s="2531"/>
      <c r="BS57" s="2522"/>
      <c r="BT57" s="2530" t="s">
        <v>1176</v>
      </c>
      <c r="BU57" s="2531"/>
      <c r="BV57" s="2522"/>
      <c r="BW57" s="2530" t="s">
        <v>1181</v>
      </c>
      <c r="BX57" s="2531"/>
      <c r="BY57" s="2522"/>
      <c r="BZ57" s="2530" t="s">
        <v>1182</v>
      </c>
      <c r="CA57" s="2531"/>
      <c r="CB57" s="2522"/>
      <c r="CC57" s="2530" t="s">
        <v>1183</v>
      </c>
      <c r="CD57" s="2531"/>
      <c r="CE57" s="2522"/>
      <c r="CF57" s="2530" t="s">
        <v>1185</v>
      </c>
      <c r="CG57" s="2531"/>
      <c r="CH57" s="2522"/>
      <c r="CI57" s="2530" t="s">
        <v>1214</v>
      </c>
      <c r="CJ57" s="2531"/>
      <c r="CK57" s="2522"/>
      <c r="CL57" s="2530" t="s">
        <v>1229</v>
      </c>
      <c r="CM57" s="2531"/>
    </row>
    <row r="58" spans="1:91" ht="30">
      <c r="A58" s="359"/>
      <c r="B58" s="433" t="s">
        <v>651</v>
      </c>
      <c r="C58" s="2480" t="s">
        <v>1139</v>
      </c>
      <c r="D58" s="2572" t="s">
        <v>651</v>
      </c>
      <c r="E58" s="2482" t="s">
        <v>1160</v>
      </c>
      <c r="F58" s="2480" t="s">
        <v>1139</v>
      </c>
      <c r="G58" s="459" t="s">
        <v>1160</v>
      </c>
      <c r="H58" s="2484">
        <v>5</v>
      </c>
      <c r="I58" s="2480" t="s">
        <v>1139</v>
      </c>
      <c r="J58" s="459">
        <v>5</v>
      </c>
      <c r="K58" s="2484">
        <v>31</v>
      </c>
      <c r="L58" s="2480" t="s">
        <v>1139</v>
      </c>
      <c r="M58" s="2573">
        <v>31</v>
      </c>
      <c r="N58" s="359"/>
      <c r="O58" s="433" t="s">
        <v>651</v>
      </c>
      <c r="P58" s="2480" t="s">
        <v>1139</v>
      </c>
      <c r="Q58" s="2574" t="s">
        <v>651</v>
      </c>
      <c r="R58" s="2482" t="s">
        <v>1160</v>
      </c>
      <c r="S58" s="2480" t="s">
        <v>1139</v>
      </c>
      <c r="T58" s="2575" t="s">
        <v>1160</v>
      </c>
      <c r="U58" s="2484">
        <v>5</v>
      </c>
      <c r="V58" s="2480" t="s">
        <v>1139</v>
      </c>
      <c r="W58" s="2574">
        <v>5</v>
      </c>
      <c r="X58" s="2484">
        <v>31</v>
      </c>
      <c r="Y58" s="2480" t="s">
        <v>1139</v>
      </c>
      <c r="Z58" s="2576">
        <v>31</v>
      </c>
      <c r="AA58" s="359"/>
      <c r="AB58" s="359"/>
      <c r="AC58" s="359"/>
      <c r="AD58" s="2496"/>
      <c r="AE58" s="2504"/>
      <c r="AF58" s="2504"/>
      <c r="AG58" s="2504"/>
      <c r="AH58" s="2504"/>
      <c r="AI58" s="2504"/>
      <c r="AJ58" s="2504"/>
      <c r="AK58" s="2504"/>
      <c r="AL58" s="2504"/>
      <c r="AM58" s="2504"/>
      <c r="AN58" s="2504"/>
      <c r="AO58" s="2504"/>
      <c r="AP58" s="2504"/>
      <c r="AQ58" s="2504"/>
      <c r="AR58" s="2504"/>
      <c r="AS58" s="2504"/>
      <c r="AT58" s="2504"/>
      <c r="AU58" s="2504"/>
      <c r="AV58" s="2504"/>
      <c r="AW58" s="2504"/>
      <c r="AX58" s="2504"/>
      <c r="AY58" s="2504"/>
      <c r="AZ58" s="2504"/>
      <c r="BA58" s="2504"/>
      <c r="BD58" s="2496"/>
      <c r="BE58" s="2504"/>
      <c r="BF58" s="2504"/>
      <c r="BG58" s="2504"/>
      <c r="BH58" s="2504"/>
      <c r="BI58" s="2504"/>
      <c r="BJ58" s="2504"/>
      <c r="BK58" s="2504"/>
      <c r="BL58" s="2504"/>
      <c r="BM58" s="2504"/>
      <c r="BN58" s="2504"/>
      <c r="BO58" s="2504"/>
      <c r="BP58" s="2504"/>
      <c r="BQ58" s="2504"/>
      <c r="BR58" s="2504"/>
      <c r="BS58" s="2504"/>
      <c r="BT58" s="2504"/>
      <c r="BU58" s="2504"/>
      <c r="BV58" s="2504"/>
      <c r="BW58" s="2504"/>
      <c r="BX58" s="2504"/>
      <c r="BY58" s="2504"/>
      <c r="BZ58" s="2504"/>
      <c r="CA58" s="2504"/>
      <c r="CB58" s="2504"/>
      <c r="CC58" s="2504"/>
      <c r="CD58" s="2504"/>
      <c r="CE58" s="2504"/>
      <c r="CF58" s="2504"/>
      <c r="CG58" s="2504"/>
      <c r="CH58" s="2504"/>
      <c r="CI58" s="2504"/>
      <c r="CJ58" s="2504"/>
      <c r="CK58" s="2504"/>
      <c r="CL58" s="2504"/>
      <c r="CM58" s="2504"/>
    </row>
    <row r="59" spans="1:91" ht="30">
      <c r="A59" s="359"/>
      <c r="B59" s="433" t="s">
        <v>343</v>
      </c>
      <c r="C59" s="2480" t="s">
        <v>1139</v>
      </c>
      <c r="D59" s="2572" t="s">
        <v>343</v>
      </c>
      <c r="E59" s="2482" t="s">
        <v>1168</v>
      </c>
      <c r="F59" s="2480" t="s">
        <v>1139</v>
      </c>
      <c r="G59" s="459" t="s">
        <v>1168</v>
      </c>
      <c r="H59" s="2484">
        <v>6</v>
      </c>
      <c r="I59" s="2480" t="s">
        <v>1139</v>
      </c>
      <c r="J59" s="459">
        <v>6</v>
      </c>
      <c r="K59" s="2484">
        <v>32</v>
      </c>
      <c r="L59" s="2480" t="s">
        <v>1139</v>
      </c>
      <c r="M59" s="2573">
        <v>32</v>
      </c>
      <c r="N59" s="359"/>
      <c r="O59" s="433" t="s">
        <v>343</v>
      </c>
      <c r="P59" s="2480" t="s">
        <v>1139</v>
      </c>
      <c r="Q59" s="2574" t="s">
        <v>343</v>
      </c>
      <c r="R59" s="2482" t="s">
        <v>1168</v>
      </c>
      <c r="S59" s="2480" t="s">
        <v>1139</v>
      </c>
      <c r="T59" s="2575" t="s">
        <v>1168</v>
      </c>
      <c r="U59" s="2484">
        <v>6</v>
      </c>
      <c r="V59" s="2480" t="s">
        <v>1139</v>
      </c>
      <c r="W59" s="2574">
        <v>6</v>
      </c>
      <c r="X59" s="2484">
        <v>32</v>
      </c>
      <c r="Y59" s="2480" t="s">
        <v>1139</v>
      </c>
      <c r="Z59" s="2576">
        <v>32</v>
      </c>
      <c r="AA59" s="359"/>
      <c r="AB59" s="359"/>
      <c r="AC59" s="359"/>
      <c r="AD59" s="2489" t="s">
        <v>3002</v>
      </c>
      <c r="AE59" s="2581" t="s">
        <v>3069</v>
      </c>
      <c r="AF59" s="2518">
        <v>0</v>
      </c>
      <c r="AG59" s="2581" t="s">
        <v>3070</v>
      </c>
      <c r="AH59" s="2518">
        <v>0</v>
      </c>
      <c r="AI59" s="2581" t="s">
        <v>3071</v>
      </c>
      <c r="AJ59" s="2518">
        <v>0</v>
      </c>
      <c r="AK59" s="2581" t="s">
        <v>3072</v>
      </c>
      <c r="AL59" s="2518">
        <v>0</v>
      </c>
      <c r="AM59" s="2581" t="s">
        <v>3073</v>
      </c>
      <c r="AN59" s="2518">
        <v>0</v>
      </c>
      <c r="AO59" s="2581" t="s">
        <v>3074</v>
      </c>
      <c r="AP59" s="2518">
        <v>0</v>
      </c>
      <c r="AQ59" s="2581" t="s">
        <v>3075</v>
      </c>
      <c r="AR59" s="2518">
        <v>0</v>
      </c>
      <c r="AS59" s="2581" t="s">
        <v>3076</v>
      </c>
      <c r="AT59" s="2518">
        <v>0</v>
      </c>
      <c r="AU59" s="2581" t="s">
        <v>3077</v>
      </c>
      <c r="AV59" s="2518">
        <v>0</v>
      </c>
      <c r="AW59" s="2581" t="s">
        <v>3078</v>
      </c>
      <c r="AX59" s="2518">
        <v>0</v>
      </c>
      <c r="AY59" s="2581" t="s">
        <v>3079</v>
      </c>
      <c r="AZ59" s="2518">
        <v>0</v>
      </c>
      <c r="BA59" s="2581" t="s">
        <v>3080</v>
      </c>
      <c r="BD59" s="2496"/>
      <c r="BE59" s="2478" t="s">
        <v>3081</v>
      </c>
      <c r="BF59" s="2504"/>
      <c r="BG59" s="2504"/>
      <c r="BH59" s="2504"/>
      <c r="BI59" s="2504"/>
      <c r="BJ59" s="2504"/>
      <c r="BK59" s="2504"/>
      <c r="BL59" s="2504"/>
      <c r="BM59" s="2504"/>
      <c r="BN59" s="2504"/>
      <c r="BO59" s="2504"/>
      <c r="BP59" s="2504"/>
      <c r="BQ59" s="2504"/>
      <c r="BR59" s="2504"/>
      <c r="BS59" s="2504"/>
      <c r="BT59" s="2504"/>
      <c r="BU59" s="2504"/>
      <c r="BV59" s="2504"/>
      <c r="BW59" s="2504"/>
      <c r="BX59" s="2504"/>
      <c r="BY59" s="2504"/>
      <c r="BZ59" s="2504"/>
      <c r="CA59" s="2504"/>
      <c r="CB59" s="2504"/>
      <c r="CC59" s="2504"/>
      <c r="CD59" s="2504"/>
      <c r="CE59" s="2504"/>
      <c r="CF59" s="2504"/>
      <c r="CG59" s="2504"/>
      <c r="CH59" s="2504"/>
      <c r="CI59" s="2504"/>
      <c r="CJ59" s="2504"/>
      <c r="CK59" s="2504"/>
      <c r="CL59" s="2504"/>
      <c r="CM59" s="2504"/>
    </row>
    <row r="60" spans="1:91" ht="30">
      <c r="A60" s="359"/>
      <c r="B60" s="433" t="s">
        <v>515</v>
      </c>
      <c r="C60" s="2480" t="s">
        <v>1139</v>
      </c>
      <c r="D60" s="2572" t="s">
        <v>515</v>
      </c>
      <c r="E60" s="2482" t="s">
        <v>1172</v>
      </c>
      <c r="F60" s="2480" t="s">
        <v>1139</v>
      </c>
      <c r="G60" s="459" t="s">
        <v>1172</v>
      </c>
      <c r="H60" s="2484">
        <v>7</v>
      </c>
      <c r="I60" s="2480" t="s">
        <v>1139</v>
      </c>
      <c r="J60" s="459">
        <v>7</v>
      </c>
      <c r="K60" s="2484">
        <v>33</v>
      </c>
      <c r="L60" s="2480" t="s">
        <v>1139</v>
      </c>
      <c r="M60" s="2573">
        <v>33</v>
      </c>
      <c r="N60" s="359"/>
      <c r="O60" s="433" t="s">
        <v>515</v>
      </c>
      <c r="P60" s="2480" t="s">
        <v>1139</v>
      </c>
      <c r="Q60" s="2574" t="s">
        <v>515</v>
      </c>
      <c r="R60" s="2482" t="s">
        <v>1172</v>
      </c>
      <c r="S60" s="2480" t="s">
        <v>1139</v>
      </c>
      <c r="T60" s="2575" t="s">
        <v>1172</v>
      </c>
      <c r="U60" s="2484">
        <v>7</v>
      </c>
      <c r="V60" s="2480" t="s">
        <v>1139</v>
      </c>
      <c r="W60" s="2574">
        <v>7</v>
      </c>
      <c r="X60" s="2484">
        <v>33</v>
      </c>
      <c r="Y60" s="2480" t="s">
        <v>1139</v>
      </c>
      <c r="Z60" s="2576">
        <v>33</v>
      </c>
      <c r="AA60" s="359"/>
      <c r="AB60" s="359"/>
      <c r="AC60" s="359"/>
      <c r="AD60" s="2496"/>
      <c r="AE60" s="2504"/>
      <c r="AF60" s="2504"/>
      <c r="AG60" s="2504"/>
      <c r="AH60" s="2504"/>
      <c r="AI60" s="2504"/>
      <c r="AJ60" s="2504"/>
      <c r="AK60" s="2504"/>
      <c r="AL60" s="2504"/>
      <c r="AM60" s="2504"/>
      <c r="AN60" s="2504"/>
      <c r="AO60" s="2504"/>
      <c r="AP60" s="2504"/>
      <c r="AQ60" s="2504"/>
      <c r="AR60" s="2504"/>
      <c r="AS60" s="2504"/>
      <c r="AT60" s="2504"/>
      <c r="AU60" s="2504"/>
      <c r="AV60" s="2504"/>
      <c r="AW60" s="2504"/>
      <c r="AX60" s="2504"/>
      <c r="AY60" s="2504"/>
      <c r="AZ60" s="2504"/>
      <c r="BA60" s="2504"/>
      <c r="BD60" s="9903" t="s">
        <v>2986</v>
      </c>
      <c r="BE60" s="2492" t="s">
        <v>1223</v>
      </c>
      <c r="BF60" s="2537"/>
      <c r="BG60" s="2504"/>
      <c r="BH60" s="2492" t="s">
        <v>1193</v>
      </c>
      <c r="BI60" s="2537"/>
      <c r="BJ60" s="2504"/>
      <c r="BK60" s="2492" t="s">
        <v>1170</v>
      </c>
      <c r="BL60" s="2537"/>
      <c r="BM60" s="2504"/>
      <c r="BN60" s="2492" t="s">
        <v>338</v>
      </c>
      <c r="BO60" s="2537"/>
      <c r="BP60" s="2504"/>
      <c r="BQ60" s="2492" t="s">
        <v>633</v>
      </c>
      <c r="BR60" s="2537"/>
      <c r="BS60" s="2504"/>
      <c r="BT60" s="2492" t="s">
        <v>339</v>
      </c>
      <c r="BU60" s="2537"/>
      <c r="BV60" s="2504"/>
      <c r="BW60" s="2492" t="s">
        <v>575</v>
      </c>
      <c r="BX60" s="2537"/>
      <c r="BY60" s="2504"/>
      <c r="BZ60" s="2492" t="s">
        <v>64</v>
      </c>
      <c r="CA60" s="2537"/>
      <c r="CB60" s="2504"/>
      <c r="CC60" s="2492" t="s">
        <v>2</v>
      </c>
      <c r="CD60" s="2537"/>
      <c r="CE60" s="2504"/>
      <c r="CF60" s="2492" t="s">
        <v>1232</v>
      </c>
      <c r="CG60" s="2537"/>
      <c r="CH60" s="2504"/>
      <c r="CI60" s="2492" t="s">
        <v>1230</v>
      </c>
      <c r="CJ60" s="2537"/>
      <c r="CK60" s="2504"/>
      <c r="CL60" s="2504"/>
      <c r="CM60" s="2504"/>
    </row>
    <row r="61" spans="1:91" ht="30">
      <c r="A61" s="359"/>
      <c r="B61" s="433" t="s">
        <v>1175</v>
      </c>
      <c r="C61" s="2480" t="s">
        <v>1139</v>
      </c>
      <c r="D61" s="2572" t="s">
        <v>1175</v>
      </c>
      <c r="E61" s="2482" t="s">
        <v>1176</v>
      </c>
      <c r="F61" s="2480" t="s">
        <v>1139</v>
      </c>
      <c r="G61" s="459" t="s">
        <v>1176</v>
      </c>
      <c r="H61" s="2484">
        <v>8</v>
      </c>
      <c r="I61" s="2480" t="s">
        <v>1139</v>
      </c>
      <c r="J61" s="459">
        <v>8</v>
      </c>
      <c r="K61" s="2484">
        <v>34</v>
      </c>
      <c r="L61" s="2480" t="s">
        <v>1139</v>
      </c>
      <c r="M61" s="2573">
        <v>34</v>
      </c>
      <c r="N61" s="359"/>
      <c r="O61" s="433" t="s">
        <v>1175</v>
      </c>
      <c r="P61" s="2480" t="s">
        <v>1139</v>
      </c>
      <c r="Q61" s="2574" t="s">
        <v>1175</v>
      </c>
      <c r="R61" s="2482" t="s">
        <v>1176</v>
      </c>
      <c r="S61" s="2480" t="s">
        <v>1139</v>
      </c>
      <c r="T61" s="2575" t="s">
        <v>1176</v>
      </c>
      <c r="U61" s="2484">
        <v>8</v>
      </c>
      <c r="V61" s="2480" t="s">
        <v>1139</v>
      </c>
      <c r="W61" s="2574">
        <v>8</v>
      </c>
      <c r="X61" s="2484">
        <v>34</v>
      </c>
      <c r="Y61" s="2480" t="s">
        <v>1139</v>
      </c>
      <c r="Z61" s="2576">
        <v>34</v>
      </c>
      <c r="AA61" s="359"/>
      <c r="AB61" s="359"/>
      <c r="AC61" s="359"/>
      <c r="AD61" s="2489" t="s">
        <v>3004</v>
      </c>
      <c r="AE61" s="2582" t="s">
        <v>3069</v>
      </c>
      <c r="AF61" s="2522">
        <v>0</v>
      </c>
      <c r="AG61" s="2582" t="s">
        <v>3070</v>
      </c>
      <c r="AH61" s="2522">
        <v>0</v>
      </c>
      <c r="AI61" s="2582" t="s">
        <v>3071</v>
      </c>
      <c r="AJ61" s="2522">
        <v>0</v>
      </c>
      <c r="AK61" s="2582" t="s">
        <v>3072</v>
      </c>
      <c r="AL61" s="2522">
        <v>0</v>
      </c>
      <c r="AM61" s="2582" t="s">
        <v>3073</v>
      </c>
      <c r="AN61" s="2522">
        <v>0</v>
      </c>
      <c r="AO61" s="2582" t="s">
        <v>3074</v>
      </c>
      <c r="AP61" s="2522">
        <v>0</v>
      </c>
      <c r="AQ61" s="2582" t="s">
        <v>3075</v>
      </c>
      <c r="AR61" s="2522">
        <v>0</v>
      </c>
      <c r="AS61" s="2582" t="s">
        <v>3076</v>
      </c>
      <c r="AT61" s="2522">
        <v>0</v>
      </c>
      <c r="AU61" s="2582" t="s">
        <v>3077</v>
      </c>
      <c r="AV61" s="2522">
        <v>0</v>
      </c>
      <c r="AW61" s="2582" t="s">
        <v>3078</v>
      </c>
      <c r="AX61" s="2522">
        <v>0</v>
      </c>
      <c r="AY61" s="2582" t="s">
        <v>3079</v>
      </c>
      <c r="AZ61" s="2522">
        <v>0</v>
      </c>
      <c r="BA61" s="2582" t="s">
        <v>3080</v>
      </c>
      <c r="BD61" s="9903"/>
      <c r="BE61" s="2498" t="s">
        <v>1223</v>
      </c>
      <c r="BF61" s="2499"/>
      <c r="BG61" s="2504"/>
      <c r="BH61" s="2498" t="s">
        <v>1194</v>
      </c>
      <c r="BI61" s="2499"/>
      <c r="BJ61" s="2504"/>
      <c r="BK61" s="2498" t="s">
        <v>1195</v>
      </c>
      <c r="BL61" s="2499"/>
      <c r="BM61" s="2504"/>
      <c r="BN61" s="2498" t="s">
        <v>1154</v>
      </c>
      <c r="BO61" s="2499"/>
      <c r="BP61" s="2504"/>
      <c r="BQ61" s="2498" t="s">
        <v>1192</v>
      </c>
      <c r="BR61" s="2499"/>
      <c r="BS61" s="2504"/>
      <c r="BT61" s="2498" t="s">
        <v>1150</v>
      </c>
      <c r="BU61" s="2499"/>
      <c r="BV61" s="2504"/>
      <c r="BW61" s="2498" t="s">
        <v>1186</v>
      </c>
      <c r="BX61" s="2499"/>
      <c r="BY61" s="2504"/>
      <c r="BZ61" s="2498" t="s">
        <v>42</v>
      </c>
      <c r="CA61" s="2499"/>
      <c r="CB61" s="2504"/>
      <c r="CC61" s="2498" t="s">
        <v>1204</v>
      </c>
      <c r="CD61" s="2499"/>
      <c r="CE61" s="2504"/>
      <c r="CF61" s="2498" t="s">
        <v>1207</v>
      </c>
      <c r="CG61" s="2499"/>
      <c r="CH61" s="2504"/>
      <c r="CI61" s="2498" t="s">
        <v>1211</v>
      </c>
      <c r="CJ61" s="2499"/>
      <c r="CK61" s="2504"/>
      <c r="CL61" s="2504"/>
      <c r="CM61" s="2504"/>
    </row>
    <row r="62" spans="1:91" ht="30.75" thickBot="1">
      <c r="A62" s="359"/>
      <c r="B62" s="433" t="s">
        <v>346</v>
      </c>
      <c r="C62" s="2480" t="s">
        <v>1139</v>
      </c>
      <c r="D62" s="2572" t="s">
        <v>346</v>
      </c>
      <c r="E62" s="2482" t="s">
        <v>1179</v>
      </c>
      <c r="F62" s="2480" t="s">
        <v>1139</v>
      </c>
      <c r="G62" s="459" t="s">
        <v>1179</v>
      </c>
      <c r="H62" s="2484">
        <v>9</v>
      </c>
      <c r="I62" s="2480" t="s">
        <v>1139</v>
      </c>
      <c r="J62" s="459">
        <v>9</v>
      </c>
      <c r="K62" s="2484">
        <v>35</v>
      </c>
      <c r="L62" s="2480" t="s">
        <v>1139</v>
      </c>
      <c r="M62" s="2573">
        <v>35</v>
      </c>
      <c r="N62" s="359"/>
      <c r="O62" s="433" t="s">
        <v>346</v>
      </c>
      <c r="P62" s="2480" t="s">
        <v>1139</v>
      </c>
      <c r="Q62" s="2574" t="s">
        <v>346</v>
      </c>
      <c r="R62" s="2482" t="s">
        <v>1179</v>
      </c>
      <c r="S62" s="2480" t="s">
        <v>1139</v>
      </c>
      <c r="T62" s="2575" t="s">
        <v>1179</v>
      </c>
      <c r="U62" s="2484">
        <v>9</v>
      </c>
      <c r="V62" s="2480" t="s">
        <v>1139</v>
      </c>
      <c r="W62" s="2574">
        <v>9</v>
      </c>
      <c r="X62" s="2484">
        <v>35</v>
      </c>
      <c r="Y62" s="2480" t="s">
        <v>1139</v>
      </c>
      <c r="Z62" s="2576">
        <v>35</v>
      </c>
      <c r="AA62" s="359"/>
      <c r="AB62" s="359"/>
      <c r="AC62" s="359"/>
      <c r="AD62" s="2583"/>
      <c r="AE62" s="2532"/>
      <c r="AF62" s="2532"/>
      <c r="AG62" s="2532"/>
      <c r="AH62" s="2532"/>
      <c r="AI62" s="2532"/>
      <c r="AJ62" s="2532"/>
      <c r="AK62" s="2532"/>
      <c r="AL62" s="2532"/>
      <c r="AM62" s="2532"/>
      <c r="AN62" s="2532"/>
      <c r="AO62" s="2532"/>
      <c r="AP62" s="2532"/>
      <c r="AQ62" s="2532"/>
      <c r="AR62" s="2532"/>
      <c r="AS62" s="2532"/>
      <c r="AT62" s="2532"/>
      <c r="AU62" s="2532"/>
      <c r="AV62" s="2532"/>
      <c r="AW62" s="2532"/>
      <c r="AX62" s="2532"/>
      <c r="AY62" s="2532"/>
      <c r="AZ62" s="2532"/>
      <c r="BA62" s="2532"/>
      <c r="BD62" s="2503"/>
      <c r="BE62" s="2494"/>
      <c r="BF62" s="2494"/>
      <c r="BG62" s="2504"/>
      <c r="BH62" s="2494"/>
      <c r="BI62" s="2494"/>
      <c r="BJ62" s="2504"/>
      <c r="BK62" s="2494"/>
      <c r="BL62" s="2494"/>
      <c r="BM62" s="2504"/>
      <c r="BN62" s="2494"/>
      <c r="BO62" s="2494"/>
      <c r="BP62" s="2504"/>
      <c r="BQ62" s="2494"/>
      <c r="BR62" s="2494"/>
      <c r="BS62" s="2504"/>
      <c r="BT62" s="2494"/>
      <c r="BU62" s="2494"/>
      <c r="BV62" s="2504"/>
      <c r="BW62" s="2494"/>
      <c r="BX62" s="2494"/>
      <c r="BY62" s="2504"/>
      <c r="BZ62" s="2494"/>
      <c r="CA62" s="2494"/>
      <c r="CB62" s="2504"/>
      <c r="CC62" s="2494"/>
      <c r="CD62" s="2494"/>
      <c r="CE62" s="2504"/>
      <c r="CF62" s="2494"/>
      <c r="CG62" s="2494"/>
      <c r="CH62" s="2504"/>
      <c r="CI62" s="2494"/>
      <c r="CJ62" s="2494"/>
      <c r="CK62" s="2504"/>
      <c r="CL62" s="2504"/>
      <c r="CM62" s="2504"/>
    </row>
    <row r="63" spans="1:91" ht="44.25" customHeight="1">
      <c r="A63" s="359"/>
      <c r="B63" s="433" t="s">
        <v>349</v>
      </c>
      <c r="C63" s="2480" t="s">
        <v>1139</v>
      </c>
      <c r="D63" s="2572" t="s">
        <v>349</v>
      </c>
      <c r="E63" s="2482" t="s">
        <v>1181</v>
      </c>
      <c r="F63" s="2480" t="s">
        <v>1139</v>
      </c>
      <c r="G63" s="459" t="s">
        <v>1181</v>
      </c>
      <c r="H63" s="2484">
        <v>10</v>
      </c>
      <c r="I63" s="2480" t="s">
        <v>1139</v>
      </c>
      <c r="J63" s="459">
        <v>10</v>
      </c>
      <c r="K63" s="2484">
        <v>36</v>
      </c>
      <c r="L63" s="2480" t="s">
        <v>1139</v>
      </c>
      <c r="M63" s="2573">
        <v>36</v>
      </c>
      <c r="N63" s="359"/>
      <c r="O63" s="433" t="s">
        <v>349</v>
      </c>
      <c r="P63" s="2480" t="s">
        <v>1139</v>
      </c>
      <c r="Q63" s="2574" t="s">
        <v>349</v>
      </c>
      <c r="R63" s="2482" t="s">
        <v>1181</v>
      </c>
      <c r="S63" s="2480" t="s">
        <v>1139</v>
      </c>
      <c r="T63" s="2575" t="s">
        <v>1181</v>
      </c>
      <c r="U63" s="2484">
        <v>10</v>
      </c>
      <c r="V63" s="2480" t="s">
        <v>1139</v>
      </c>
      <c r="W63" s="2574">
        <v>10</v>
      </c>
      <c r="X63" s="2484">
        <v>36</v>
      </c>
      <c r="Y63" s="2480" t="s">
        <v>1139</v>
      </c>
      <c r="Z63" s="2576">
        <v>36</v>
      </c>
      <c r="AA63" s="359"/>
      <c r="AB63" s="359"/>
      <c r="AC63" s="359"/>
      <c r="AE63" s="9904" t="s">
        <v>3082</v>
      </c>
      <c r="AF63" s="9905"/>
      <c r="AG63" s="9905"/>
      <c r="AH63" s="9905"/>
      <c r="AI63" s="9905"/>
      <c r="AJ63" s="9905"/>
      <c r="AK63" s="9905"/>
      <c r="AL63" s="9905"/>
      <c r="AM63" s="9905"/>
      <c r="AN63" s="9905"/>
      <c r="AO63" s="9905"/>
      <c r="AP63" s="9905"/>
      <c r="AQ63" s="9905"/>
      <c r="AR63" s="9905"/>
      <c r="AS63" s="9905"/>
      <c r="AT63" s="9905"/>
      <c r="AU63" s="9906"/>
      <c r="BD63" s="9899" t="s">
        <v>2999</v>
      </c>
      <c r="BE63" s="2584" t="s">
        <v>1223</v>
      </c>
      <c r="BF63" s="2506"/>
      <c r="BG63" s="2504"/>
      <c r="BH63" s="2584" t="s">
        <v>1193</v>
      </c>
      <c r="BI63" s="2506"/>
      <c r="BJ63" s="2504"/>
      <c r="BK63" s="2584" t="s">
        <v>1170</v>
      </c>
      <c r="BL63" s="2506"/>
      <c r="BM63" s="2504"/>
      <c r="BN63" s="2584" t="s">
        <v>338</v>
      </c>
      <c r="BO63" s="2506"/>
      <c r="BP63" s="2504"/>
      <c r="BQ63" s="2584" t="s">
        <v>633</v>
      </c>
      <c r="BR63" s="2506"/>
      <c r="BS63" s="2504"/>
      <c r="BT63" s="2584" t="s">
        <v>339</v>
      </c>
      <c r="BU63" s="2506"/>
      <c r="BV63" s="2504"/>
      <c r="BW63" s="2584" t="s">
        <v>575</v>
      </c>
      <c r="BX63" s="2506"/>
      <c r="BY63" s="2504"/>
      <c r="BZ63" s="2584" t="s">
        <v>64</v>
      </c>
      <c r="CA63" s="2506"/>
      <c r="CB63" s="2504"/>
      <c r="CC63" s="2584" t="s">
        <v>2</v>
      </c>
      <c r="CD63" s="2506"/>
      <c r="CE63" s="2504"/>
      <c r="CF63" s="2584" t="s">
        <v>1232</v>
      </c>
      <c r="CG63" s="2506"/>
      <c r="CH63" s="2504"/>
      <c r="CI63" s="2584" t="s">
        <v>1230</v>
      </c>
      <c r="CJ63" s="2506"/>
      <c r="CK63" s="2504"/>
      <c r="CL63" s="2504"/>
      <c r="CM63" s="2504"/>
    </row>
    <row r="64" spans="1:91" ht="30.75" thickBot="1">
      <c r="A64" s="359"/>
      <c r="B64" s="433" t="s">
        <v>351</v>
      </c>
      <c r="C64" s="2480" t="s">
        <v>1139</v>
      </c>
      <c r="D64" s="2572" t="s">
        <v>351</v>
      </c>
      <c r="E64" s="2482" t="s">
        <v>1182</v>
      </c>
      <c r="F64" s="2480" t="s">
        <v>1139</v>
      </c>
      <c r="G64" s="459" t="s">
        <v>1182</v>
      </c>
      <c r="H64" s="2484">
        <v>11</v>
      </c>
      <c r="I64" s="2480" t="s">
        <v>1139</v>
      </c>
      <c r="J64" s="459">
        <v>11</v>
      </c>
      <c r="K64" s="2484">
        <v>37</v>
      </c>
      <c r="L64" s="2480" t="s">
        <v>1139</v>
      </c>
      <c r="M64" s="2573">
        <v>37</v>
      </c>
      <c r="N64" s="359"/>
      <c r="O64" s="433" t="s">
        <v>351</v>
      </c>
      <c r="P64" s="2480" t="s">
        <v>1139</v>
      </c>
      <c r="Q64" s="2574" t="s">
        <v>351</v>
      </c>
      <c r="R64" s="2482" t="s">
        <v>1182</v>
      </c>
      <c r="S64" s="2480" t="s">
        <v>1139</v>
      </c>
      <c r="T64" s="2575" t="s">
        <v>1182</v>
      </c>
      <c r="U64" s="2484">
        <v>11</v>
      </c>
      <c r="V64" s="2480" t="s">
        <v>1139</v>
      </c>
      <c r="W64" s="2574">
        <v>11</v>
      </c>
      <c r="X64" s="2484">
        <v>37</v>
      </c>
      <c r="Y64" s="2480" t="s">
        <v>1139</v>
      </c>
      <c r="Z64" s="2576">
        <v>37</v>
      </c>
      <c r="AA64" s="359"/>
      <c r="AB64" s="359"/>
      <c r="AC64" s="359"/>
      <c r="AE64" s="9907"/>
      <c r="AF64" s="9908"/>
      <c r="AG64" s="9908"/>
      <c r="AH64" s="9908"/>
      <c r="AI64" s="9908"/>
      <c r="AJ64" s="9908"/>
      <c r="AK64" s="9908"/>
      <c r="AL64" s="9908"/>
      <c r="AM64" s="9908"/>
      <c r="AN64" s="9908"/>
      <c r="AO64" s="9908"/>
      <c r="AP64" s="9908"/>
      <c r="AQ64" s="9908"/>
      <c r="AR64" s="9908"/>
      <c r="AS64" s="9908"/>
      <c r="AT64" s="9908"/>
      <c r="AU64" s="9909"/>
      <c r="BD64" s="9899"/>
      <c r="BE64" s="2509" t="s">
        <v>1223</v>
      </c>
      <c r="BF64" s="2510"/>
      <c r="BG64" s="2504"/>
      <c r="BH64" s="2509" t="s">
        <v>1194</v>
      </c>
      <c r="BI64" s="2510"/>
      <c r="BJ64" s="2504"/>
      <c r="BK64" s="2509" t="s">
        <v>1195</v>
      </c>
      <c r="BL64" s="2510"/>
      <c r="BM64" s="2504"/>
      <c r="BN64" s="2509" t="s">
        <v>1154</v>
      </c>
      <c r="BO64" s="2510"/>
      <c r="BP64" s="2504"/>
      <c r="BQ64" s="2509" t="s">
        <v>1192</v>
      </c>
      <c r="BR64" s="2510"/>
      <c r="BS64" s="2504"/>
      <c r="BT64" s="2509" t="s">
        <v>1150</v>
      </c>
      <c r="BU64" s="2510"/>
      <c r="BV64" s="2504"/>
      <c r="BW64" s="2509" t="s">
        <v>1186</v>
      </c>
      <c r="BX64" s="2510"/>
      <c r="BY64" s="2504"/>
      <c r="BZ64" s="2509" t="s">
        <v>42</v>
      </c>
      <c r="CA64" s="2510"/>
      <c r="CB64" s="2504"/>
      <c r="CC64" s="2509" t="s">
        <v>1204</v>
      </c>
      <c r="CD64" s="2510"/>
      <c r="CE64" s="2504"/>
      <c r="CF64" s="2509" t="s">
        <v>1207</v>
      </c>
      <c r="CG64" s="2510"/>
      <c r="CH64" s="2504"/>
      <c r="CI64" s="2509" t="s">
        <v>1211</v>
      </c>
      <c r="CJ64" s="2510"/>
      <c r="CK64" s="2504"/>
      <c r="CL64" s="2504"/>
      <c r="CM64" s="2504"/>
    </row>
    <row r="65" spans="1:91" ht="30">
      <c r="A65" s="359"/>
      <c r="B65" s="433" t="s">
        <v>34</v>
      </c>
      <c r="C65" s="2480" t="s">
        <v>1139</v>
      </c>
      <c r="D65" s="2572" t="s">
        <v>34</v>
      </c>
      <c r="E65" s="2482" t="s">
        <v>1183</v>
      </c>
      <c r="F65" s="2480" t="s">
        <v>1139</v>
      </c>
      <c r="G65" s="459" t="s">
        <v>1183</v>
      </c>
      <c r="H65" s="2484">
        <v>12</v>
      </c>
      <c r="I65" s="2480" t="s">
        <v>1139</v>
      </c>
      <c r="J65" s="459">
        <v>12</v>
      </c>
      <c r="K65" s="2484">
        <v>38</v>
      </c>
      <c r="L65" s="2480" t="s">
        <v>1139</v>
      </c>
      <c r="M65" s="2573">
        <v>38</v>
      </c>
      <c r="N65" s="359"/>
      <c r="O65" s="433" t="s">
        <v>34</v>
      </c>
      <c r="P65" s="2480" t="s">
        <v>1139</v>
      </c>
      <c r="Q65" s="2574" t="s">
        <v>34</v>
      </c>
      <c r="R65" s="2482" t="s">
        <v>1183</v>
      </c>
      <c r="S65" s="2480" t="s">
        <v>1139</v>
      </c>
      <c r="T65" s="2575" t="s">
        <v>1183</v>
      </c>
      <c r="U65" s="2484">
        <v>12</v>
      </c>
      <c r="V65" s="2480" t="s">
        <v>1139</v>
      </c>
      <c r="W65" s="2574">
        <v>12</v>
      </c>
      <c r="X65" s="2484">
        <v>38</v>
      </c>
      <c r="Y65" s="2480" t="s">
        <v>1139</v>
      </c>
      <c r="Z65" s="2576">
        <v>38</v>
      </c>
      <c r="AA65" s="359"/>
      <c r="AB65" s="359"/>
      <c r="AC65" s="359"/>
      <c r="AE65" s="361"/>
      <c r="AF65" s="361"/>
      <c r="AG65" s="361"/>
      <c r="AH65" s="361"/>
      <c r="AI65" s="361"/>
      <c r="AJ65" s="361"/>
      <c r="AK65" s="361"/>
      <c r="AL65" s="361"/>
      <c r="AM65" s="361"/>
      <c r="AN65" s="361"/>
      <c r="AO65" s="361"/>
      <c r="AP65" s="361"/>
      <c r="BD65" s="2503"/>
      <c r="BE65" s="2504"/>
      <c r="BF65" s="2504"/>
      <c r="BG65" s="2504"/>
      <c r="BH65" s="2504"/>
      <c r="BI65" s="2504"/>
      <c r="BJ65" s="2504"/>
      <c r="BK65" s="2504"/>
      <c r="BL65" s="2504"/>
      <c r="BM65" s="2504"/>
      <c r="BN65" s="2504"/>
      <c r="BO65" s="2504"/>
      <c r="BP65" s="2504"/>
      <c r="BQ65" s="2504"/>
      <c r="BR65" s="2504"/>
      <c r="BS65" s="2504"/>
      <c r="BT65" s="2504"/>
      <c r="BU65" s="2504"/>
      <c r="BV65" s="2504"/>
      <c r="BW65" s="2504"/>
      <c r="BX65" s="2504"/>
      <c r="BY65" s="2504"/>
      <c r="BZ65" s="2504"/>
      <c r="CA65" s="2504"/>
      <c r="CB65" s="2504"/>
      <c r="CC65" s="2504"/>
      <c r="CD65" s="2504"/>
      <c r="CE65" s="2504"/>
      <c r="CF65" s="2504"/>
      <c r="CG65" s="2504"/>
      <c r="CH65" s="2504"/>
      <c r="CI65" s="2504"/>
      <c r="CJ65" s="2504"/>
      <c r="CK65" s="2504"/>
      <c r="CL65" s="2504"/>
      <c r="CM65" s="2504"/>
    </row>
    <row r="66" spans="1:91" ht="44.25" customHeight="1">
      <c r="A66" s="359"/>
      <c r="B66" s="433" t="s">
        <v>537</v>
      </c>
      <c r="C66" s="2480" t="s">
        <v>1139</v>
      </c>
      <c r="D66" s="2572" t="s">
        <v>537</v>
      </c>
      <c r="E66" s="2482" t="s">
        <v>1185</v>
      </c>
      <c r="F66" s="2480" t="s">
        <v>1139</v>
      </c>
      <c r="G66" s="459" t="s">
        <v>1185</v>
      </c>
      <c r="H66" s="2484">
        <v>13</v>
      </c>
      <c r="I66" s="2480" t="s">
        <v>1139</v>
      </c>
      <c r="J66" s="459">
        <v>13</v>
      </c>
      <c r="K66" s="2484">
        <v>39</v>
      </c>
      <c r="L66" s="2480" t="s">
        <v>1139</v>
      </c>
      <c r="M66" s="2573">
        <v>39</v>
      </c>
      <c r="N66" s="359"/>
      <c r="O66" s="433" t="s">
        <v>537</v>
      </c>
      <c r="P66" s="2480" t="s">
        <v>1139</v>
      </c>
      <c r="Q66" s="2574" t="s">
        <v>537</v>
      </c>
      <c r="R66" s="2482" t="s">
        <v>1185</v>
      </c>
      <c r="S66" s="2480" t="s">
        <v>1139</v>
      </c>
      <c r="T66" s="2575" t="s">
        <v>1185</v>
      </c>
      <c r="U66" s="2484">
        <v>13</v>
      </c>
      <c r="V66" s="2480" t="s">
        <v>1139</v>
      </c>
      <c r="W66" s="2574">
        <v>13</v>
      </c>
      <c r="X66" s="2484">
        <v>39</v>
      </c>
      <c r="Y66" s="2480" t="s">
        <v>1139</v>
      </c>
      <c r="Z66" s="2576">
        <v>39</v>
      </c>
      <c r="AA66" s="359"/>
      <c r="AB66" s="359"/>
      <c r="AC66" s="359"/>
      <c r="AE66" s="9910" t="s">
        <v>3083</v>
      </c>
      <c r="AF66" s="9911"/>
      <c r="AG66" s="9911"/>
      <c r="AH66" s="9911"/>
      <c r="AI66" s="9911"/>
      <c r="AJ66" s="9911"/>
      <c r="AK66" s="9911"/>
      <c r="AL66" s="9911"/>
      <c r="AM66" s="9911"/>
      <c r="AN66" s="9911"/>
      <c r="AO66" s="9911"/>
      <c r="AP66" s="9911"/>
      <c r="AQ66" s="9912"/>
      <c r="AS66" s="2585" t="s">
        <v>2322</v>
      </c>
      <c r="AU66" s="2585" t="s">
        <v>2323</v>
      </c>
      <c r="BD66" s="9899" t="s">
        <v>3001</v>
      </c>
      <c r="BE66" s="2563" t="s">
        <v>1223</v>
      </c>
      <c r="BF66" s="2514"/>
      <c r="BG66" s="2504"/>
      <c r="BH66" s="2563" t="s">
        <v>1193</v>
      </c>
      <c r="BI66" s="2514"/>
      <c r="BJ66" s="2504"/>
      <c r="BK66" s="2563" t="s">
        <v>1170</v>
      </c>
      <c r="BL66" s="2514"/>
      <c r="BM66" s="2504"/>
      <c r="BN66" s="2563" t="s">
        <v>338</v>
      </c>
      <c r="BO66" s="2514"/>
      <c r="BP66" s="2504"/>
      <c r="BQ66" s="2563" t="s">
        <v>633</v>
      </c>
      <c r="BR66" s="2514"/>
      <c r="BS66" s="2504"/>
      <c r="BT66" s="2563" t="s">
        <v>339</v>
      </c>
      <c r="BU66" s="2514"/>
      <c r="BV66" s="2504"/>
      <c r="BW66" s="2563" t="s">
        <v>575</v>
      </c>
      <c r="BX66" s="2514"/>
      <c r="BY66" s="2504"/>
      <c r="BZ66" s="2563" t="s">
        <v>64</v>
      </c>
      <c r="CA66" s="2514"/>
      <c r="CB66" s="2504"/>
      <c r="CC66" s="2563" t="s">
        <v>2</v>
      </c>
      <c r="CD66" s="2514"/>
      <c r="CE66" s="2504"/>
      <c r="CF66" s="2563" t="s">
        <v>1232</v>
      </c>
      <c r="CG66" s="2514"/>
      <c r="CH66" s="2504"/>
      <c r="CI66" s="2563" t="s">
        <v>1230</v>
      </c>
      <c r="CJ66" s="2514"/>
      <c r="CK66" s="2504"/>
      <c r="CL66" s="2504"/>
      <c r="CM66" s="2504"/>
    </row>
    <row r="67" spans="1:91" ht="30">
      <c r="A67" s="359"/>
      <c r="B67" s="433" t="s">
        <v>575</v>
      </c>
      <c r="C67" s="2480" t="s">
        <v>1139</v>
      </c>
      <c r="D67" s="2572" t="s">
        <v>575</v>
      </c>
      <c r="E67" s="2482" t="s">
        <v>1186</v>
      </c>
      <c r="F67" s="2480" t="s">
        <v>1139</v>
      </c>
      <c r="G67" s="459" t="s">
        <v>1186</v>
      </c>
      <c r="H67" s="2484">
        <v>14</v>
      </c>
      <c r="I67" s="2480" t="s">
        <v>1139</v>
      </c>
      <c r="J67" s="459">
        <v>14</v>
      </c>
      <c r="K67" s="2484">
        <v>40</v>
      </c>
      <c r="L67" s="2480" t="s">
        <v>1139</v>
      </c>
      <c r="M67" s="2573">
        <v>40</v>
      </c>
      <c r="N67" s="359"/>
      <c r="O67" s="433" t="s">
        <v>575</v>
      </c>
      <c r="P67" s="2480" t="s">
        <v>1139</v>
      </c>
      <c r="Q67" s="2574" t="s">
        <v>575</v>
      </c>
      <c r="R67" s="2482" t="s">
        <v>1186</v>
      </c>
      <c r="S67" s="2480" t="s">
        <v>1139</v>
      </c>
      <c r="T67" s="2575" t="s">
        <v>1186</v>
      </c>
      <c r="U67" s="2484">
        <v>14</v>
      </c>
      <c r="V67" s="2480" t="s">
        <v>1139</v>
      </c>
      <c r="W67" s="2574">
        <v>14</v>
      </c>
      <c r="X67" s="2484">
        <v>40</v>
      </c>
      <c r="Y67" s="2480" t="s">
        <v>1139</v>
      </c>
      <c r="Z67" s="2576">
        <v>40</v>
      </c>
      <c r="AA67" s="359"/>
      <c r="AB67" s="359"/>
      <c r="AC67" s="359"/>
      <c r="AE67" s="9913"/>
      <c r="AF67" s="9914"/>
      <c r="AG67" s="9914"/>
      <c r="AH67" s="9914"/>
      <c r="AI67" s="9914"/>
      <c r="AJ67" s="9914"/>
      <c r="AK67" s="9914"/>
      <c r="AL67" s="9914"/>
      <c r="AM67" s="9914"/>
      <c r="AN67" s="9914"/>
      <c r="AO67" s="9914"/>
      <c r="AP67" s="9914"/>
      <c r="AQ67" s="9915"/>
      <c r="AS67" s="2585" t="s">
        <v>3084</v>
      </c>
      <c r="AU67" s="2585" t="s">
        <v>3085</v>
      </c>
      <c r="BD67" s="9899"/>
      <c r="BE67" s="2515" t="s">
        <v>1223</v>
      </c>
      <c r="BF67" s="2516"/>
      <c r="BG67" s="2504"/>
      <c r="BH67" s="2515" t="s">
        <v>1194</v>
      </c>
      <c r="BI67" s="2516"/>
      <c r="BJ67" s="2504"/>
      <c r="BK67" s="2515" t="s">
        <v>1195</v>
      </c>
      <c r="BL67" s="2516"/>
      <c r="BM67" s="2504"/>
      <c r="BN67" s="2515" t="s">
        <v>1154</v>
      </c>
      <c r="BO67" s="2516"/>
      <c r="BP67" s="2504"/>
      <c r="BQ67" s="2515" t="s">
        <v>1192</v>
      </c>
      <c r="BR67" s="2516"/>
      <c r="BS67" s="2504"/>
      <c r="BT67" s="2515" t="s">
        <v>1150</v>
      </c>
      <c r="BU67" s="2516"/>
      <c r="BV67" s="2504"/>
      <c r="BW67" s="2515" t="s">
        <v>1186</v>
      </c>
      <c r="BX67" s="2516"/>
      <c r="BY67" s="2504"/>
      <c r="BZ67" s="2515" t="s">
        <v>42</v>
      </c>
      <c r="CA67" s="2516"/>
      <c r="CB67" s="2504"/>
      <c r="CC67" s="2515" t="s">
        <v>1204</v>
      </c>
      <c r="CD67" s="2516"/>
      <c r="CE67" s="2504"/>
      <c r="CF67" s="2515" t="s">
        <v>1207</v>
      </c>
      <c r="CG67" s="2516"/>
      <c r="CH67" s="2504"/>
      <c r="CI67" s="2515" t="s">
        <v>1211</v>
      </c>
      <c r="CJ67" s="2516"/>
      <c r="CK67" s="2504"/>
      <c r="CL67" s="2504"/>
      <c r="CM67" s="2504"/>
    </row>
    <row r="68" spans="1:91" ht="30">
      <c r="A68" s="359"/>
      <c r="B68" s="433" t="s">
        <v>583</v>
      </c>
      <c r="C68" s="2480" t="s">
        <v>1139</v>
      </c>
      <c r="D68" s="2572" t="s">
        <v>583</v>
      </c>
      <c r="E68" s="2482" t="s">
        <v>1187</v>
      </c>
      <c r="F68" s="2480" t="s">
        <v>1139</v>
      </c>
      <c r="G68" s="459" t="s">
        <v>1187</v>
      </c>
      <c r="H68" s="2484">
        <v>15</v>
      </c>
      <c r="I68" s="2480" t="s">
        <v>1139</v>
      </c>
      <c r="J68" s="459">
        <v>15</v>
      </c>
      <c r="K68" s="2484">
        <v>41</v>
      </c>
      <c r="L68" s="2480" t="s">
        <v>1139</v>
      </c>
      <c r="M68" s="2573">
        <v>41</v>
      </c>
      <c r="N68" s="359"/>
      <c r="O68" s="433" t="s">
        <v>583</v>
      </c>
      <c r="P68" s="2480" t="s">
        <v>1139</v>
      </c>
      <c r="Q68" s="2574" t="s">
        <v>583</v>
      </c>
      <c r="R68" s="2482" t="s">
        <v>1187</v>
      </c>
      <c r="S68" s="2480" t="s">
        <v>1139</v>
      </c>
      <c r="T68" s="2575" t="s">
        <v>1187</v>
      </c>
      <c r="U68" s="2484">
        <v>15</v>
      </c>
      <c r="V68" s="2480" t="s">
        <v>1139</v>
      </c>
      <c r="W68" s="2574">
        <v>15</v>
      </c>
      <c r="X68" s="2484">
        <v>41</v>
      </c>
      <c r="Y68" s="2480" t="s">
        <v>1139</v>
      </c>
      <c r="Z68" s="2576">
        <v>41</v>
      </c>
      <c r="AA68" s="359"/>
      <c r="AB68" s="359"/>
      <c r="AC68" s="359"/>
      <c r="AE68" s="9916"/>
      <c r="AF68" s="9917"/>
      <c r="AG68" s="9917"/>
      <c r="AH68" s="9917"/>
      <c r="AI68" s="9917"/>
      <c r="AJ68" s="9917"/>
      <c r="AK68" s="9917"/>
      <c r="AL68" s="9917"/>
      <c r="AM68" s="9917"/>
      <c r="AN68" s="9917"/>
      <c r="AO68" s="9917"/>
      <c r="AP68" s="9917"/>
      <c r="AQ68" s="9918"/>
      <c r="AS68" s="2586"/>
      <c r="BD68" s="2496"/>
      <c r="BE68" s="2504"/>
      <c r="BF68" s="2504"/>
      <c r="BG68" s="2504"/>
      <c r="BH68" s="2504"/>
      <c r="BI68" s="2504"/>
      <c r="BJ68" s="2504"/>
      <c r="BK68" s="2504"/>
      <c r="BL68" s="2504"/>
      <c r="BM68" s="2504"/>
      <c r="BN68" s="2504"/>
      <c r="BO68" s="2504"/>
      <c r="BP68" s="2504"/>
      <c r="BQ68" s="2504"/>
      <c r="BR68" s="2504"/>
      <c r="BS68" s="2504"/>
      <c r="BT68" s="2504"/>
      <c r="BU68" s="2504"/>
      <c r="BV68" s="2504"/>
      <c r="BW68" s="2504"/>
      <c r="BX68" s="2504"/>
      <c r="BY68" s="2504"/>
      <c r="BZ68" s="2504"/>
      <c r="CA68" s="2504"/>
      <c r="CB68" s="2504"/>
      <c r="CC68" s="2504"/>
      <c r="CD68" s="2504"/>
      <c r="CE68" s="2504"/>
      <c r="CF68" s="2504"/>
      <c r="CG68" s="2504"/>
      <c r="CH68" s="2504"/>
      <c r="CI68" s="2504"/>
      <c r="CJ68" s="2504"/>
      <c r="CK68" s="2504"/>
      <c r="CL68" s="2504"/>
      <c r="CM68" s="2504"/>
    </row>
    <row r="69" spans="1:91" ht="30">
      <c r="A69" s="359"/>
      <c r="B69" s="433" t="s">
        <v>620</v>
      </c>
      <c r="C69" s="2480" t="s">
        <v>1139</v>
      </c>
      <c r="D69" s="2572" t="s">
        <v>620</v>
      </c>
      <c r="E69" s="2482" t="s">
        <v>1178</v>
      </c>
      <c r="F69" s="2480" t="s">
        <v>1139</v>
      </c>
      <c r="G69" s="459" t="s">
        <v>1178</v>
      </c>
      <c r="H69" s="2484">
        <v>16</v>
      </c>
      <c r="I69" s="2480" t="s">
        <v>1139</v>
      </c>
      <c r="J69" s="459">
        <v>16</v>
      </c>
      <c r="K69" s="2484">
        <v>42</v>
      </c>
      <c r="L69" s="2480" t="s">
        <v>1139</v>
      </c>
      <c r="M69" s="2573">
        <v>42</v>
      </c>
      <c r="N69" s="359"/>
      <c r="O69" s="433" t="s">
        <v>620</v>
      </c>
      <c r="P69" s="2480" t="s">
        <v>1139</v>
      </c>
      <c r="Q69" s="2574" t="s">
        <v>620</v>
      </c>
      <c r="R69" s="2482" t="s">
        <v>1178</v>
      </c>
      <c r="S69" s="2480" t="s">
        <v>1139</v>
      </c>
      <c r="T69" s="2575" t="s">
        <v>1178</v>
      </c>
      <c r="U69" s="2484">
        <v>16</v>
      </c>
      <c r="V69" s="2480" t="s">
        <v>1139</v>
      </c>
      <c r="W69" s="2574">
        <v>16</v>
      </c>
      <c r="X69" s="2484">
        <v>42</v>
      </c>
      <c r="Y69" s="2480" t="s">
        <v>1139</v>
      </c>
      <c r="Z69" s="2576">
        <v>42</v>
      </c>
      <c r="AA69" s="359"/>
      <c r="AB69" s="359"/>
      <c r="AC69" s="359"/>
      <c r="AE69" s="361"/>
      <c r="AF69" s="361"/>
      <c r="AG69" s="361"/>
      <c r="AH69" s="361"/>
      <c r="AI69" s="361"/>
      <c r="AJ69" s="361"/>
      <c r="AK69" s="361"/>
      <c r="AL69" s="361"/>
      <c r="AM69" s="361"/>
      <c r="AN69" s="361"/>
      <c r="AO69" s="361"/>
      <c r="AP69" s="361"/>
      <c r="BD69" s="9899" t="s">
        <v>3003</v>
      </c>
      <c r="BE69" s="2571" t="s">
        <v>1223</v>
      </c>
      <c r="BF69" s="2520"/>
      <c r="BG69" s="2504"/>
      <c r="BH69" s="2571" t="s">
        <v>1193</v>
      </c>
      <c r="BI69" s="2520"/>
      <c r="BJ69" s="2504"/>
      <c r="BK69" s="2571" t="s">
        <v>1170</v>
      </c>
      <c r="BL69" s="2520"/>
      <c r="BM69" s="2504"/>
      <c r="BN69" s="2571" t="s">
        <v>338</v>
      </c>
      <c r="BO69" s="2520"/>
      <c r="BP69" s="2504"/>
      <c r="BQ69" s="2571" t="s">
        <v>633</v>
      </c>
      <c r="BR69" s="2520"/>
      <c r="BS69" s="2504"/>
      <c r="BT69" s="2571" t="s">
        <v>339</v>
      </c>
      <c r="BU69" s="2520"/>
      <c r="BV69" s="2504"/>
      <c r="BW69" s="2571" t="s">
        <v>575</v>
      </c>
      <c r="BX69" s="2520"/>
      <c r="BY69" s="2504"/>
      <c r="BZ69" s="2571" t="s">
        <v>64</v>
      </c>
      <c r="CA69" s="2520"/>
      <c r="CB69" s="2504"/>
      <c r="CC69" s="2571" t="s">
        <v>2</v>
      </c>
      <c r="CD69" s="2520"/>
      <c r="CE69" s="2504"/>
      <c r="CF69" s="2571" t="s">
        <v>1232</v>
      </c>
      <c r="CG69" s="2520"/>
      <c r="CH69" s="2504"/>
      <c r="CI69" s="2571" t="s">
        <v>1230</v>
      </c>
      <c r="CJ69" s="2520"/>
      <c r="CK69" s="2504"/>
      <c r="CL69" s="2504"/>
      <c r="CM69" s="2504"/>
    </row>
    <row r="70" spans="1:91" ht="30">
      <c r="A70" s="359"/>
      <c r="B70" s="433" t="s">
        <v>1188</v>
      </c>
      <c r="C70" s="2480" t="s">
        <v>1139</v>
      </c>
      <c r="D70" s="2572" t="s">
        <v>1188</v>
      </c>
      <c r="E70" s="2482" t="s">
        <v>1174</v>
      </c>
      <c r="F70" s="2480" t="s">
        <v>1139</v>
      </c>
      <c r="G70" s="459" t="s">
        <v>1174</v>
      </c>
      <c r="H70" s="2484">
        <v>17</v>
      </c>
      <c r="I70" s="2480" t="s">
        <v>1139</v>
      </c>
      <c r="J70" s="459">
        <v>17</v>
      </c>
      <c r="K70" s="2484">
        <v>43</v>
      </c>
      <c r="L70" s="2480" t="s">
        <v>1139</v>
      </c>
      <c r="M70" s="2573">
        <v>43</v>
      </c>
      <c r="N70" s="359"/>
      <c r="O70" s="433" t="s">
        <v>1188</v>
      </c>
      <c r="P70" s="2480" t="s">
        <v>1139</v>
      </c>
      <c r="Q70" s="2574" t="s">
        <v>1188</v>
      </c>
      <c r="R70" s="2482" t="s">
        <v>1174</v>
      </c>
      <c r="S70" s="2480" t="s">
        <v>1139</v>
      </c>
      <c r="T70" s="2575" t="s">
        <v>1174</v>
      </c>
      <c r="U70" s="2484">
        <v>17</v>
      </c>
      <c r="V70" s="2480" t="s">
        <v>1139</v>
      </c>
      <c r="W70" s="2574">
        <v>17</v>
      </c>
      <c r="X70" s="2484">
        <v>43</v>
      </c>
      <c r="Y70" s="2480" t="s">
        <v>1139</v>
      </c>
      <c r="Z70" s="2576">
        <v>43</v>
      </c>
      <c r="AA70" s="359"/>
      <c r="AB70" s="359"/>
      <c r="AC70" s="359"/>
      <c r="AF70" s="2587"/>
      <c r="AG70" s="9900" t="s">
        <v>3086</v>
      </c>
      <c r="AH70" s="9900"/>
      <c r="AI70" s="9900"/>
      <c r="AJ70" s="9900"/>
      <c r="AK70" s="9900"/>
      <c r="AL70" s="9900"/>
      <c r="AM70" s="9900"/>
      <c r="AN70" s="9900"/>
      <c r="AO70" s="9900"/>
      <c r="AP70" s="9900"/>
      <c r="AQ70" s="9900"/>
      <c r="AR70" s="9900"/>
      <c r="AS70" s="9900"/>
      <c r="AT70" s="9900"/>
      <c r="AU70" s="9900"/>
      <c r="BD70" s="9899"/>
      <c r="BE70" s="2523" t="s">
        <v>1223</v>
      </c>
      <c r="BF70" s="2524"/>
      <c r="BG70" s="2504"/>
      <c r="BH70" s="2523" t="s">
        <v>1194</v>
      </c>
      <c r="BI70" s="2524"/>
      <c r="BJ70" s="2504"/>
      <c r="BK70" s="2523" t="s">
        <v>1195</v>
      </c>
      <c r="BL70" s="2524"/>
      <c r="BM70" s="2504"/>
      <c r="BN70" s="2523" t="s">
        <v>1154</v>
      </c>
      <c r="BO70" s="2524"/>
      <c r="BP70" s="2504"/>
      <c r="BQ70" s="2523" t="s">
        <v>1192</v>
      </c>
      <c r="BR70" s="2524"/>
      <c r="BS70" s="2504"/>
      <c r="BT70" s="2523" t="s">
        <v>1150</v>
      </c>
      <c r="BU70" s="2524"/>
      <c r="BV70" s="2504"/>
      <c r="BW70" s="2523" t="s">
        <v>1186</v>
      </c>
      <c r="BX70" s="2524"/>
      <c r="BY70" s="2504"/>
      <c r="BZ70" s="2523" t="s">
        <v>42</v>
      </c>
      <c r="CA70" s="2524"/>
      <c r="CB70" s="2504"/>
      <c r="CC70" s="2523" t="s">
        <v>1204</v>
      </c>
      <c r="CD70" s="2524"/>
      <c r="CE70" s="2504"/>
      <c r="CF70" s="2523" t="s">
        <v>1207</v>
      </c>
      <c r="CG70" s="2524"/>
      <c r="CH70" s="2504"/>
      <c r="CI70" s="2523" t="s">
        <v>1211</v>
      </c>
      <c r="CJ70" s="2524"/>
      <c r="CK70" s="2504"/>
      <c r="CL70" s="2504"/>
      <c r="CM70" s="2504"/>
    </row>
    <row r="71" spans="1:91" ht="30">
      <c r="A71" s="359"/>
      <c r="B71" s="433" t="s">
        <v>516</v>
      </c>
      <c r="C71" s="2480" t="s">
        <v>1139</v>
      </c>
      <c r="D71" s="2572" t="s">
        <v>516</v>
      </c>
      <c r="E71" s="2482" t="s">
        <v>1189</v>
      </c>
      <c r="F71" s="2480" t="s">
        <v>1139</v>
      </c>
      <c r="G71" s="459" t="s">
        <v>1189</v>
      </c>
      <c r="H71" s="2484">
        <v>18</v>
      </c>
      <c r="I71" s="2480" t="s">
        <v>1139</v>
      </c>
      <c r="J71" s="459">
        <v>18</v>
      </c>
      <c r="K71" s="2484">
        <v>44</v>
      </c>
      <c r="L71" s="2480" t="s">
        <v>1139</v>
      </c>
      <c r="M71" s="2573">
        <v>44</v>
      </c>
      <c r="N71" s="359"/>
      <c r="O71" s="433" t="s">
        <v>516</v>
      </c>
      <c r="P71" s="2480" t="s">
        <v>1139</v>
      </c>
      <c r="Q71" s="2574" t="s">
        <v>516</v>
      </c>
      <c r="R71" s="2482" t="s">
        <v>1189</v>
      </c>
      <c r="S71" s="2480" t="s">
        <v>1139</v>
      </c>
      <c r="T71" s="2575" t="s">
        <v>1189</v>
      </c>
      <c r="U71" s="2484">
        <v>18</v>
      </c>
      <c r="V71" s="2480" t="s">
        <v>1139</v>
      </c>
      <c r="W71" s="2574">
        <v>18</v>
      </c>
      <c r="X71" s="2484">
        <v>44</v>
      </c>
      <c r="Y71" s="2480" t="s">
        <v>1139</v>
      </c>
      <c r="Z71" s="2576">
        <v>44</v>
      </c>
      <c r="AA71" s="359"/>
      <c r="AB71" s="359"/>
      <c r="AC71" s="359"/>
      <c r="AE71" s="361"/>
      <c r="AF71" s="361"/>
      <c r="AG71" s="361"/>
      <c r="AH71" s="361"/>
      <c r="AI71" s="361"/>
      <c r="AJ71" s="361"/>
      <c r="AK71" s="361"/>
      <c r="AL71" s="361"/>
      <c r="AM71" s="361"/>
      <c r="AN71" s="361"/>
      <c r="AO71" s="361"/>
      <c r="AP71" s="361"/>
      <c r="BD71" s="2496"/>
      <c r="BE71" s="2504"/>
      <c r="BF71" s="2504"/>
      <c r="BG71" s="2504"/>
      <c r="BH71" s="2504"/>
      <c r="BI71" s="2504"/>
      <c r="BJ71" s="2504"/>
      <c r="BK71" s="2504"/>
      <c r="BL71" s="2504"/>
      <c r="BM71" s="2504"/>
      <c r="BN71" s="2504"/>
      <c r="BO71" s="2504"/>
      <c r="BP71" s="2504"/>
      <c r="BQ71" s="2504"/>
      <c r="BR71" s="2504"/>
      <c r="BS71" s="2504"/>
      <c r="BT71" s="2504"/>
      <c r="BU71" s="2504"/>
      <c r="BV71" s="2504"/>
      <c r="BW71" s="2504"/>
      <c r="BX71" s="2504"/>
      <c r="BY71" s="2504"/>
      <c r="BZ71" s="2504"/>
      <c r="CA71" s="2504"/>
      <c r="CB71" s="2504"/>
      <c r="CC71" s="2504"/>
      <c r="CD71" s="2504"/>
      <c r="CE71" s="2504"/>
      <c r="CF71" s="2504"/>
      <c r="CG71" s="2504"/>
      <c r="CH71" s="2504"/>
      <c r="CI71" s="2504"/>
      <c r="CJ71" s="2504"/>
      <c r="CK71" s="2504"/>
      <c r="CL71" s="2504"/>
      <c r="CM71" s="2504"/>
    </row>
    <row r="72" spans="1:91" ht="30">
      <c r="A72" s="359"/>
      <c r="B72" s="433" t="s">
        <v>353</v>
      </c>
      <c r="C72" s="2480" t="s">
        <v>1139</v>
      </c>
      <c r="D72" s="2572" t="s">
        <v>353</v>
      </c>
      <c r="E72" s="2482" t="s">
        <v>1190</v>
      </c>
      <c r="F72" s="2480" t="s">
        <v>1139</v>
      </c>
      <c r="G72" s="459" t="s">
        <v>1190</v>
      </c>
      <c r="H72" s="2484">
        <v>19</v>
      </c>
      <c r="I72" s="2480" t="s">
        <v>1139</v>
      </c>
      <c r="J72" s="459">
        <v>19</v>
      </c>
      <c r="K72" s="2484">
        <v>45</v>
      </c>
      <c r="L72" s="2480" t="s">
        <v>1139</v>
      </c>
      <c r="M72" s="2573">
        <v>45</v>
      </c>
      <c r="N72" s="359"/>
      <c r="O72" s="433" t="s">
        <v>353</v>
      </c>
      <c r="P72" s="2480" t="s">
        <v>1139</v>
      </c>
      <c r="Q72" s="2574" t="s">
        <v>353</v>
      </c>
      <c r="R72" s="2482" t="s">
        <v>1190</v>
      </c>
      <c r="S72" s="2480" t="s">
        <v>1139</v>
      </c>
      <c r="T72" s="2575" t="s">
        <v>1190</v>
      </c>
      <c r="U72" s="2484">
        <v>19</v>
      </c>
      <c r="V72" s="2480" t="s">
        <v>1139</v>
      </c>
      <c r="W72" s="2574">
        <v>19</v>
      </c>
      <c r="X72" s="2484">
        <v>45</v>
      </c>
      <c r="Y72" s="2480" t="s">
        <v>1139</v>
      </c>
      <c r="Z72" s="2576">
        <v>45</v>
      </c>
      <c r="AA72" s="359"/>
      <c r="AB72" s="359"/>
      <c r="AC72" s="359"/>
      <c r="AG72" s="2588" t="s">
        <v>66</v>
      </c>
      <c r="AI72" s="2589" t="s">
        <v>2055</v>
      </c>
      <c r="AJ72" s="2586"/>
      <c r="AK72" s="2590" t="s">
        <v>66</v>
      </c>
      <c r="AM72" s="2591" t="s">
        <v>2055</v>
      </c>
      <c r="AO72" s="2592" t="s">
        <v>2055</v>
      </c>
      <c r="AQ72" s="2593" t="s">
        <v>66</v>
      </c>
      <c r="AS72" s="2594" t="s">
        <v>66</v>
      </c>
      <c r="AU72" s="2595" t="s">
        <v>66</v>
      </c>
      <c r="BD72" s="9899" t="s">
        <v>3004</v>
      </c>
      <c r="BE72" s="2579" t="s">
        <v>1223</v>
      </c>
      <c r="BF72" s="2527"/>
      <c r="BG72" s="2504"/>
      <c r="BH72" s="2579" t="s">
        <v>1193</v>
      </c>
      <c r="BI72" s="2527"/>
      <c r="BJ72" s="2504"/>
      <c r="BK72" s="2579" t="s">
        <v>1170</v>
      </c>
      <c r="BL72" s="2527"/>
      <c r="BM72" s="2504"/>
      <c r="BN72" s="2579" t="s">
        <v>338</v>
      </c>
      <c r="BO72" s="2527"/>
      <c r="BP72" s="2504"/>
      <c r="BQ72" s="2579" t="s">
        <v>633</v>
      </c>
      <c r="BR72" s="2527"/>
      <c r="BS72" s="2504"/>
      <c r="BT72" s="2579" t="s">
        <v>339</v>
      </c>
      <c r="BU72" s="2527"/>
      <c r="BV72" s="2504"/>
      <c r="BW72" s="2579" t="s">
        <v>575</v>
      </c>
      <c r="BX72" s="2527"/>
      <c r="BY72" s="2504"/>
      <c r="BZ72" s="2579" t="s">
        <v>64</v>
      </c>
      <c r="CA72" s="2527"/>
      <c r="CB72" s="2504"/>
      <c r="CC72" s="2579" t="s">
        <v>2</v>
      </c>
      <c r="CD72" s="2527"/>
      <c r="CE72" s="2504"/>
      <c r="CF72" s="2579" t="s">
        <v>1232</v>
      </c>
      <c r="CG72" s="2527"/>
      <c r="CH72" s="2504"/>
      <c r="CI72" s="2579" t="s">
        <v>1230</v>
      </c>
      <c r="CJ72" s="2527"/>
      <c r="CK72" s="2504"/>
      <c r="CL72" s="2504"/>
      <c r="CM72" s="2504"/>
    </row>
    <row r="73" spans="1:91" ht="30">
      <c r="A73" s="359"/>
      <c r="B73" s="433" t="s">
        <v>595</v>
      </c>
      <c r="C73" s="2480" t="s">
        <v>1139</v>
      </c>
      <c r="D73" s="2572" t="s">
        <v>595</v>
      </c>
      <c r="E73" s="2482" t="s">
        <v>1171</v>
      </c>
      <c r="F73" s="2480" t="s">
        <v>1139</v>
      </c>
      <c r="G73" s="459" t="s">
        <v>1171</v>
      </c>
      <c r="H73" s="2484">
        <v>20</v>
      </c>
      <c r="I73" s="2480" t="s">
        <v>1139</v>
      </c>
      <c r="J73" s="459">
        <v>20</v>
      </c>
      <c r="K73" s="2484">
        <v>46</v>
      </c>
      <c r="L73" s="2480" t="s">
        <v>1139</v>
      </c>
      <c r="M73" s="2573">
        <v>46</v>
      </c>
      <c r="N73" s="359"/>
      <c r="O73" s="433" t="s">
        <v>595</v>
      </c>
      <c r="P73" s="2480" t="s">
        <v>1139</v>
      </c>
      <c r="Q73" s="2574" t="s">
        <v>595</v>
      </c>
      <c r="R73" s="2482" t="s">
        <v>1171</v>
      </c>
      <c r="S73" s="2480" t="s">
        <v>1139</v>
      </c>
      <c r="T73" s="2575" t="s">
        <v>1171</v>
      </c>
      <c r="U73" s="2484">
        <v>20</v>
      </c>
      <c r="V73" s="2480" t="s">
        <v>1139</v>
      </c>
      <c r="W73" s="2574">
        <v>20</v>
      </c>
      <c r="X73" s="2484">
        <v>46</v>
      </c>
      <c r="Y73" s="2480" t="s">
        <v>1139</v>
      </c>
      <c r="Z73" s="2576">
        <v>46</v>
      </c>
      <c r="AA73" s="359"/>
      <c r="AB73" s="359"/>
      <c r="AC73" s="359"/>
      <c r="AG73" s="2596" t="s">
        <v>81</v>
      </c>
      <c r="AI73" s="2597" t="s">
        <v>2077</v>
      </c>
      <c r="AJ73" s="2586"/>
      <c r="AK73" s="2590" t="s">
        <v>81</v>
      </c>
      <c r="AM73" s="2591" t="s">
        <v>2066</v>
      </c>
      <c r="AO73" s="2598" t="s">
        <v>2077</v>
      </c>
      <c r="AQ73" s="2593" t="s">
        <v>81</v>
      </c>
      <c r="AS73" s="2594" t="s">
        <v>81</v>
      </c>
      <c r="AU73" s="2595" t="s">
        <v>81</v>
      </c>
      <c r="BD73" s="9899"/>
      <c r="BE73" s="2530" t="s">
        <v>1223</v>
      </c>
      <c r="BF73" s="2531"/>
      <c r="BG73" s="2504"/>
      <c r="BH73" s="2530" t="s">
        <v>1194</v>
      </c>
      <c r="BI73" s="2531"/>
      <c r="BJ73" s="2504"/>
      <c r="BK73" s="2530" t="s">
        <v>1195</v>
      </c>
      <c r="BL73" s="2531"/>
      <c r="BM73" s="2504"/>
      <c r="BN73" s="2530" t="s">
        <v>1154</v>
      </c>
      <c r="BO73" s="2531"/>
      <c r="BP73" s="2504"/>
      <c r="BQ73" s="2530" t="s">
        <v>1192</v>
      </c>
      <c r="BR73" s="2531"/>
      <c r="BS73" s="2504"/>
      <c r="BT73" s="2530" t="s">
        <v>1150</v>
      </c>
      <c r="BU73" s="2531"/>
      <c r="BV73" s="2504"/>
      <c r="BW73" s="2530" t="s">
        <v>1186</v>
      </c>
      <c r="BX73" s="2531"/>
      <c r="BY73" s="2504"/>
      <c r="BZ73" s="2530" t="s">
        <v>42</v>
      </c>
      <c r="CA73" s="2531"/>
      <c r="CB73" s="2504"/>
      <c r="CC73" s="2530" t="s">
        <v>1204</v>
      </c>
      <c r="CD73" s="2531"/>
      <c r="CE73" s="2504"/>
      <c r="CF73" s="2530" t="s">
        <v>1207</v>
      </c>
      <c r="CG73" s="2531"/>
      <c r="CH73" s="2504"/>
      <c r="CI73" s="2530" t="s">
        <v>1211</v>
      </c>
      <c r="CJ73" s="2531"/>
      <c r="CK73" s="2504"/>
      <c r="CL73" s="2504"/>
      <c r="CM73" s="2504"/>
    </row>
    <row r="74" spans="1:91" ht="23.25">
      <c r="A74" s="359"/>
      <c r="B74" s="433" t="s">
        <v>1191</v>
      </c>
      <c r="C74" s="2480" t="s">
        <v>1139</v>
      </c>
      <c r="D74" s="2572" t="s">
        <v>1191</v>
      </c>
      <c r="E74" s="2482" t="s">
        <v>1177</v>
      </c>
      <c r="F74" s="2480" t="s">
        <v>1139</v>
      </c>
      <c r="G74" s="459" t="s">
        <v>1177</v>
      </c>
      <c r="H74" s="2484">
        <v>21</v>
      </c>
      <c r="I74" s="2480" t="s">
        <v>1139</v>
      </c>
      <c r="J74" s="459">
        <v>21</v>
      </c>
      <c r="K74" s="2484">
        <v>47</v>
      </c>
      <c r="L74" s="2480" t="s">
        <v>1139</v>
      </c>
      <c r="M74" s="2573">
        <v>47</v>
      </c>
      <c r="N74" s="359"/>
      <c r="O74" s="433" t="s">
        <v>1191</v>
      </c>
      <c r="P74" s="2480" t="s">
        <v>1139</v>
      </c>
      <c r="Q74" s="2574" t="s">
        <v>1191</v>
      </c>
      <c r="R74" s="2482" t="s">
        <v>1177</v>
      </c>
      <c r="S74" s="2480" t="s">
        <v>1139</v>
      </c>
      <c r="T74" s="2575" t="s">
        <v>1177</v>
      </c>
      <c r="U74" s="2484">
        <v>21</v>
      </c>
      <c r="V74" s="2480" t="s">
        <v>1139</v>
      </c>
      <c r="W74" s="2574">
        <v>21</v>
      </c>
      <c r="X74" s="2484">
        <v>47</v>
      </c>
      <c r="Y74" s="2480" t="s">
        <v>1139</v>
      </c>
      <c r="Z74" s="2576">
        <v>47</v>
      </c>
      <c r="AA74" s="359"/>
      <c r="AB74" s="359"/>
      <c r="AC74" s="359"/>
      <c r="AG74" s="2599" t="s">
        <v>84</v>
      </c>
      <c r="AI74" s="2596" t="s">
        <v>2066</v>
      </c>
      <c r="AJ74" s="2586"/>
      <c r="AK74" s="2590" t="s">
        <v>84</v>
      </c>
      <c r="AM74" s="2591" t="s">
        <v>2077</v>
      </c>
      <c r="AO74" s="2598"/>
      <c r="AQ74" s="2593" t="s">
        <v>84</v>
      </c>
      <c r="AS74" s="2594" t="s">
        <v>84</v>
      </c>
      <c r="AU74" s="2595" t="s">
        <v>84</v>
      </c>
      <c r="BE74" s="2532"/>
      <c r="BF74" s="2532"/>
      <c r="BG74" s="2532"/>
      <c r="BH74" s="2532"/>
      <c r="BI74" s="2532"/>
      <c r="BJ74" s="2532"/>
      <c r="BK74" s="2532"/>
      <c r="BL74" s="2532"/>
      <c r="BM74" s="2532"/>
      <c r="BN74" s="2532"/>
      <c r="BO74" s="2532"/>
      <c r="BP74" s="2532"/>
      <c r="BQ74" s="2532"/>
      <c r="BR74" s="2532"/>
      <c r="BS74" s="2532"/>
      <c r="BT74" s="2532"/>
      <c r="BU74" s="2532"/>
      <c r="BV74" s="2532"/>
      <c r="BW74" s="2532"/>
      <c r="BX74" s="2532"/>
      <c r="BY74" s="2532"/>
      <c r="BZ74" s="2532"/>
      <c r="CA74" s="2532"/>
      <c r="CB74" s="2532"/>
      <c r="CC74" s="2532"/>
      <c r="CD74" s="2532"/>
      <c r="CE74" s="2532"/>
      <c r="CF74" s="2532"/>
      <c r="CG74" s="2532"/>
      <c r="CH74" s="2532"/>
      <c r="CI74" s="2532"/>
      <c r="CJ74" s="2532"/>
      <c r="CK74" s="2532"/>
      <c r="CL74" s="2532"/>
      <c r="CM74" s="2532"/>
    </row>
    <row r="75" spans="1:91" ht="23.25">
      <c r="A75" s="359"/>
      <c r="B75" s="433" t="s">
        <v>633</v>
      </c>
      <c r="C75" s="2480" t="s">
        <v>1139</v>
      </c>
      <c r="D75" s="2572" t="s">
        <v>633</v>
      </c>
      <c r="E75" s="2482" t="s">
        <v>1192</v>
      </c>
      <c r="F75" s="2480" t="s">
        <v>1139</v>
      </c>
      <c r="G75" s="459" t="s">
        <v>1192</v>
      </c>
      <c r="H75" s="2484">
        <v>22</v>
      </c>
      <c r="I75" s="2480" t="s">
        <v>1139</v>
      </c>
      <c r="J75" s="459">
        <v>22</v>
      </c>
      <c r="K75" s="2484">
        <v>48</v>
      </c>
      <c r="L75" s="2480" t="s">
        <v>1139</v>
      </c>
      <c r="M75" s="2573">
        <v>48</v>
      </c>
      <c r="N75" s="359"/>
      <c r="O75" s="433" t="s">
        <v>633</v>
      </c>
      <c r="P75" s="2480" t="s">
        <v>1139</v>
      </c>
      <c r="Q75" s="2574" t="s">
        <v>633</v>
      </c>
      <c r="R75" s="2482" t="s">
        <v>1192</v>
      </c>
      <c r="S75" s="2480" t="s">
        <v>1139</v>
      </c>
      <c r="T75" s="2575" t="s">
        <v>1192</v>
      </c>
      <c r="U75" s="2484">
        <v>22</v>
      </c>
      <c r="V75" s="2480" t="s">
        <v>1139</v>
      </c>
      <c r="W75" s="2574">
        <v>22</v>
      </c>
      <c r="X75" s="2484">
        <v>48</v>
      </c>
      <c r="Y75" s="2480" t="s">
        <v>1139</v>
      </c>
      <c r="Z75" s="2576">
        <v>48</v>
      </c>
      <c r="AA75" s="359"/>
      <c r="AB75" s="359"/>
      <c r="AC75" s="359"/>
      <c r="AG75" s="2600" t="s">
        <v>85</v>
      </c>
      <c r="AI75" s="2597" t="s">
        <v>2091</v>
      </c>
      <c r="AJ75" s="2586"/>
      <c r="AK75" s="2590" t="s">
        <v>85</v>
      </c>
      <c r="AM75" s="2591" t="s">
        <v>2091</v>
      </c>
      <c r="AO75" s="2601" t="s">
        <v>2066</v>
      </c>
      <c r="AQ75" s="2593" t="s">
        <v>85</v>
      </c>
      <c r="AS75" s="2594" t="s">
        <v>85</v>
      </c>
      <c r="AU75" s="2595" t="s">
        <v>85</v>
      </c>
      <c r="BE75" s="2532"/>
      <c r="BF75" s="2532"/>
      <c r="BG75" s="2532"/>
      <c r="BH75" s="2532"/>
      <c r="BI75" s="2532"/>
      <c r="BJ75" s="2532"/>
      <c r="BK75" s="2532"/>
      <c r="BL75" s="2532"/>
      <c r="BM75" s="2532"/>
      <c r="BN75" s="2532"/>
      <c r="BO75" s="2532"/>
      <c r="BP75" s="2532"/>
      <c r="BQ75" s="2532"/>
      <c r="BR75" s="2532"/>
      <c r="BS75" s="2532"/>
      <c r="BT75" s="2532"/>
      <c r="BU75" s="2532"/>
      <c r="BV75" s="2532"/>
      <c r="BW75" s="2532"/>
      <c r="BX75" s="2532"/>
      <c r="BY75" s="2532"/>
      <c r="BZ75" s="2532"/>
      <c r="CA75" s="2532"/>
      <c r="CB75" s="2532"/>
      <c r="CC75" s="2532"/>
      <c r="CD75" s="2532"/>
      <c r="CE75" s="2532"/>
      <c r="CF75" s="2532"/>
      <c r="CG75" s="2532"/>
      <c r="CH75" s="2532"/>
      <c r="CI75" s="2532"/>
      <c r="CJ75" s="2532"/>
      <c r="CK75" s="2532"/>
      <c r="CL75" s="2532"/>
      <c r="CM75" s="2532"/>
    </row>
    <row r="76" spans="1:91" ht="23.25">
      <c r="A76" s="359"/>
      <c r="B76" s="433" t="s">
        <v>1193</v>
      </c>
      <c r="C76" s="2480" t="s">
        <v>1139</v>
      </c>
      <c r="D76" s="2572" t="s">
        <v>1193</v>
      </c>
      <c r="E76" s="2482" t="s">
        <v>1194</v>
      </c>
      <c r="F76" s="2480" t="s">
        <v>1139</v>
      </c>
      <c r="G76" s="459" t="s">
        <v>1194</v>
      </c>
      <c r="H76" s="2484">
        <v>23</v>
      </c>
      <c r="I76" s="2480" t="s">
        <v>1139</v>
      </c>
      <c r="J76" s="459">
        <v>23</v>
      </c>
      <c r="K76" s="2484">
        <v>49</v>
      </c>
      <c r="L76" s="2480" t="s">
        <v>1139</v>
      </c>
      <c r="M76" s="2573">
        <v>49</v>
      </c>
      <c r="N76" s="359"/>
      <c r="O76" s="433" t="s">
        <v>1193</v>
      </c>
      <c r="P76" s="2480" t="s">
        <v>1139</v>
      </c>
      <c r="Q76" s="2574" t="s">
        <v>1193</v>
      </c>
      <c r="R76" s="2482" t="s">
        <v>1194</v>
      </c>
      <c r="S76" s="2480" t="s">
        <v>1139</v>
      </c>
      <c r="T76" s="2575" t="s">
        <v>1194</v>
      </c>
      <c r="U76" s="2484">
        <v>23</v>
      </c>
      <c r="V76" s="2480" t="s">
        <v>1139</v>
      </c>
      <c r="W76" s="2574">
        <v>23</v>
      </c>
      <c r="X76" s="2484">
        <v>49</v>
      </c>
      <c r="Y76" s="2480" t="s">
        <v>1139</v>
      </c>
      <c r="Z76" s="2576">
        <v>49</v>
      </c>
      <c r="AA76" s="359"/>
      <c r="AB76" s="359"/>
      <c r="AC76" s="359"/>
      <c r="AG76" s="2602" t="s">
        <v>87</v>
      </c>
      <c r="AI76" s="2597" t="s">
        <v>2102</v>
      </c>
      <c r="AJ76" s="2586"/>
      <c r="AK76" s="2590" t="s">
        <v>87</v>
      </c>
      <c r="AM76" s="2591" t="s">
        <v>2102</v>
      </c>
      <c r="AO76" s="2603" t="s">
        <v>2091</v>
      </c>
      <c r="AQ76" s="2593" t="s">
        <v>87</v>
      </c>
      <c r="AS76" s="2594" t="s">
        <v>87</v>
      </c>
      <c r="AU76" s="2595" t="s">
        <v>87</v>
      </c>
      <c r="BE76" s="2532"/>
      <c r="BF76" s="2532"/>
      <c r="BG76" s="2532"/>
      <c r="BH76" s="2532"/>
      <c r="BI76" s="2532"/>
      <c r="BJ76" s="2532"/>
      <c r="BK76" s="2532"/>
      <c r="BL76" s="2532"/>
      <c r="BM76" s="2532"/>
      <c r="BN76" s="2532"/>
      <c r="BO76" s="2532"/>
      <c r="BP76" s="2532"/>
      <c r="BQ76" s="2532"/>
      <c r="BR76" s="2532"/>
      <c r="BS76" s="2532"/>
      <c r="BT76" s="2532"/>
      <c r="BU76" s="2532"/>
      <c r="BV76" s="2532"/>
      <c r="BW76" s="2532"/>
      <c r="BX76" s="2532"/>
      <c r="BY76" s="2532"/>
      <c r="BZ76" s="2532"/>
      <c r="CA76" s="2532"/>
      <c r="CB76" s="2532"/>
      <c r="CC76" s="2532"/>
      <c r="CD76" s="2532"/>
      <c r="CE76" s="2532"/>
      <c r="CF76" s="2532"/>
      <c r="CG76" s="2532"/>
      <c r="CH76" s="2532"/>
      <c r="CI76" s="2532"/>
      <c r="CJ76" s="2532"/>
      <c r="CK76" s="2532"/>
      <c r="CL76" s="2532"/>
      <c r="CM76" s="2532"/>
    </row>
    <row r="77" spans="1:91" ht="23.25">
      <c r="A77" s="359"/>
      <c r="B77" s="433" t="s">
        <v>1170</v>
      </c>
      <c r="C77" s="2480" t="s">
        <v>1139</v>
      </c>
      <c r="D77" s="2572" t="s">
        <v>1170</v>
      </c>
      <c r="E77" s="2482" t="s">
        <v>1195</v>
      </c>
      <c r="F77" s="2480" t="s">
        <v>1139</v>
      </c>
      <c r="G77" s="459" t="s">
        <v>1195</v>
      </c>
      <c r="H77" s="2484">
        <v>24</v>
      </c>
      <c r="I77" s="2480" t="s">
        <v>1139</v>
      </c>
      <c r="J77" s="459">
        <v>24</v>
      </c>
      <c r="K77" s="2484">
        <v>50</v>
      </c>
      <c r="L77" s="2480" t="s">
        <v>1139</v>
      </c>
      <c r="M77" s="2573">
        <v>50</v>
      </c>
      <c r="N77" s="359"/>
      <c r="O77" s="433" t="s">
        <v>1170</v>
      </c>
      <c r="P77" s="2480" t="s">
        <v>1139</v>
      </c>
      <c r="Q77" s="2574" t="s">
        <v>1170</v>
      </c>
      <c r="R77" s="2482" t="s">
        <v>1195</v>
      </c>
      <c r="S77" s="2480" t="s">
        <v>1139</v>
      </c>
      <c r="T77" s="2575" t="s">
        <v>1195</v>
      </c>
      <c r="U77" s="2484">
        <v>24</v>
      </c>
      <c r="V77" s="2480" t="s">
        <v>1139</v>
      </c>
      <c r="W77" s="2574">
        <v>24</v>
      </c>
      <c r="X77" s="2484">
        <v>50</v>
      </c>
      <c r="Y77" s="2480" t="s">
        <v>1139</v>
      </c>
      <c r="Z77" s="2576">
        <v>50</v>
      </c>
      <c r="AA77" s="359"/>
      <c r="AB77" s="359"/>
      <c r="AC77" s="359"/>
      <c r="AG77" s="2604" t="s">
        <v>6</v>
      </c>
      <c r="AI77" s="2597" t="s">
        <v>2116</v>
      </c>
      <c r="AJ77" s="2586"/>
      <c r="AK77" s="2590" t="s">
        <v>6</v>
      </c>
      <c r="AM77" s="2591" t="s">
        <v>2116</v>
      </c>
      <c r="AO77" s="2605" t="s">
        <v>2102</v>
      </c>
      <c r="AQ77" s="2593" t="s">
        <v>6</v>
      </c>
      <c r="AS77" s="2594" t="s">
        <v>6</v>
      </c>
      <c r="AU77" s="2595" t="s">
        <v>6</v>
      </c>
      <c r="BE77" s="2532"/>
      <c r="BF77" s="2532"/>
      <c r="BG77" s="2532"/>
      <c r="BH77" s="2532"/>
      <c r="BI77" s="2532"/>
      <c r="BJ77" s="2532"/>
      <c r="BK77" s="2532"/>
      <c r="BL77" s="2532"/>
      <c r="BM77" s="2532"/>
      <c r="BN77" s="2532"/>
      <c r="BO77" s="2532"/>
      <c r="BP77" s="2532"/>
      <c r="BQ77" s="2532"/>
      <c r="BR77" s="2532"/>
      <c r="BS77" s="2532"/>
      <c r="BT77" s="2532"/>
      <c r="BU77" s="2532"/>
      <c r="BV77" s="2532"/>
      <c r="BW77" s="2532"/>
      <c r="BX77" s="2532"/>
      <c r="BY77" s="2532"/>
      <c r="BZ77" s="2532"/>
      <c r="CA77" s="2532"/>
      <c r="CB77" s="2532"/>
      <c r="CC77" s="2532"/>
      <c r="CD77" s="2532"/>
      <c r="CE77" s="2532"/>
      <c r="CF77" s="2532"/>
      <c r="CG77" s="2532"/>
      <c r="CH77" s="2532"/>
      <c r="CI77" s="2532"/>
      <c r="CJ77" s="2532"/>
      <c r="CK77" s="2532"/>
      <c r="CL77" s="2532"/>
      <c r="CM77" s="2532"/>
    </row>
    <row r="78" spans="1:91" ht="23.25">
      <c r="A78" s="359"/>
      <c r="B78" s="433" t="s">
        <v>1197</v>
      </c>
      <c r="C78" s="2480" t="s">
        <v>1139</v>
      </c>
      <c r="D78" s="2572" t="s">
        <v>1197</v>
      </c>
      <c r="E78" s="2482" t="s">
        <v>1198</v>
      </c>
      <c r="F78" s="2480" t="s">
        <v>1139</v>
      </c>
      <c r="G78" s="459" t="s">
        <v>1198</v>
      </c>
      <c r="H78" s="2484">
        <v>25</v>
      </c>
      <c r="I78" s="2480" t="s">
        <v>1139</v>
      </c>
      <c r="J78" s="459">
        <v>25</v>
      </c>
      <c r="K78" s="2484">
        <v>51</v>
      </c>
      <c r="L78" s="2480" t="s">
        <v>1139</v>
      </c>
      <c r="M78" s="2573">
        <v>51</v>
      </c>
      <c r="N78" s="359"/>
      <c r="O78" s="433" t="s">
        <v>1197</v>
      </c>
      <c r="P78" s="2480" t="s">
        <v>1139</v>
      </c>
      <c r="Q78" s="2574" t="s">
        <v>1197</v>
      </c>
      <c r="R78" s="2482" t="s">
        <v>1198</v>
      </c>
      <c r="S78" s="2480" t="s">
        <v>1139</v>
      </c>
      <c r="T78" s="2575" t="s">
        <v>1198</v>
      </c>
      <c r="U78" s="2484">
        <v>25</v>
      </c>
      <c r="V78" s="2480" t="s">
        <v>1139</v>
      </c>
      <c r="W78" s="2574">
        <v>25</v>
      </c>
      <c r="X78" s="2484">
        <v>51</v>
      </c>
      <c r="Y78" s="2480" t="s">
        <v>1139</v>
      </c>
      <c r="Z78" s="2576">
        <v>51</v>
      </c>
      <c r="AA78" s="359"/>
      <c r="AB78" s="359"/>
      <c r="AC78" s="359"/>
      <c r="AG78" s="2606" t="s">
        <v>89</v>
      </c>
      <c r="AI78" s="2597" t="s">
        <v>2127</v>
      </c>
      <c r="AJ78" s="2586"/>
      <c r="AK78" s="2590" t="s">
        <v>89</v>
      </c>
      <c r="AM78" s="2591" t="s">
        <v>2127</v>
      </c>
      <c r="AO78" s="2607" t="s">
        <v>2116</v>
      </c>
      <c r="AQ78" s="2593" t="s">
        <v>89</v>
      </c>
      <c r="AS78" s="2594" t="s">
        <v>89</v>
      </c>
      <c r="AU78" s="2595" t="s">
        <v>89</v>
      </c>
      <c r="BE78" s="2532"/>
      <c r="BF78" s="2532"/>
      <c r="BG78" s="2532"/>
      <c r="BH78" s="2532"/>
      <c r="BI78" s="2532"/>
      <c r="BJ78" s="2532"/>
      <c r="BK78" s="2532"/>
      <c r="BL78" s="2532"/>
      <c r="BM78" s="2532"/>
      <c r="BN78" s="2532"/>
      <c r="BO78" s="2532"/>
      <c r="BP78" s="2532"/>
      <c r="BQ78" s="2532"/>
      <c r="BR78" s="2532"/>
      <c r="BS78" s="2532"/>
      <c r="BT78" s="2532"/>
      <c r="BU78" s="2532"/>
      <c r="BV78" s="2532"/>
      <c r="BW78" s="2532"/>
      <c r="BX78" s="2532"/>
      <c r="BY78" s="2532"/>
      <c r="BZ78" s="2532"/>
      <c r="CA78" s="2532"/>
      <c r="CB78" s="2532"/>
      <c r="CC78" s="2532"/>
      <c r="CD78" s="2532"/>
      <c r="CE78" s="2532"/>
      <c r="CF78" s="2532"/>
      <c r="CG78" s="2532"/>
      <c r="CH78" s="2532"/>
      <c r="CI78" s="2532"/>
      <c r="CJ78" s="2532"/>
      <c r="CK78" s="2532"/>
      <c r="CL78" s="2532"/>
      <c r="CM78" s="2532"/>
    </row>
    <row r="79" spans="1:91" ht="23.25">
      <c r="A79" s="359"/>
      <c r="B79" s="433" t="s">
        <v>1173</v>
      </c>
      <c r="C79" s="2480" t="s">
        <v>1139</v>
      </c>
      <c r="D79" s="2572" t="s">
        <v>1173</v>
      </c>
      <c r="E79" s="2482" t="s">
        <v>1200</v>
      </c>
      <c r="F79" s="2480" t="s">
        <v>1139</v>
      </c>
      <c r="G79" s="459" t="s">
        <v>1200</v>
      </c>
      <c r="H79" s="2484">
        <v>26</v>
      </c>
      <c r="I79" s="2480" t="s">
        <v>1139</v>
      </c>
      <c r="J79" s="459">
        <v>26</v>
      </c>
      <c r="K79" s="2484">
        <v>52</v>
      </c>
      <c r="L79" s="2480" t="s">
        <v>1139</v>
      </c>
      <c r="M79" s="2573">
        <v>52</v>
      </c>
      <c r="N79" s="359"/>
      <c r="O79" s="433" t="s">
        <v>1173</v>
      </c>
      <c r="P79" s="2480" t="s">
        <v>1139</v>
      </c>
      <c r="Q79" s="2574" t="s">
        <v>1173</v>
      </c>
      <c r="R79" s="2482" t="s">
        <v>1200</v>
      </c>
      <c r="S79" s="2480" t="s">
        <v>1139</v>
      </c>
      <c r="T79" s="2575" t="s">
        <v>1200</v>
      </c>
      <c r="U79" s="2484">
        <v>26</v>
      </c>
      <c r="V79" s="2480" t="s">
        <v>1139</v>
      </c>
      <c r="W79" s="2574">
        <v>26</v>
      </c>
      <c r="X79" s="2484">
        <v>52</v>
      </c>
      <c r="Y79" s="2480" t="s">
        <v>1139</v>
      </c>
      <c r="Z79" s="2576">
        <v>52</v>
      </c>
      <c r="AA79" s="359"/>
      <c r="AB79" s="359"/>
      <c r="AC79" s="359"/>
      <c r="AG79" s="2608" t="s">
        <v>90</v>
      </c>
      <c r="AI79" s="2597" t="s">
        <v>2201</v>
      </c>
      <c r="AJ79" s="2586"/>
      <c r="AK79" s="2590" t="s">
        <v>90</v>
      </c>
      <c r="AM79" s="2591" t="s">
        <v>2201</v>
      </c>
      <c r="AO79" s="2609" t="s">
        <v>2127</v>
      </c>
      <c r="AQ79" s="2593" t="s">
        <v>90</v>
      </c>
      <c r="AS79" s="2594" t="s">
        <v>90</v>
      </c>
      <c r="AU79" s="2595" t="s">
        <v>90</v>
      </c>
      <c r="BE79" s="2532"/>
      <c r="BF79" s="2532"/>
      <c r="BG79" s="2532"/>
      <c r="BH79" s="2532"/>
      <c r="BI79" s="2532"/>
      <c r="BJ79" s="2532"/>
      <c r="BK79" s="2532"/>
      <c r="BL79" s="2532"/>
      <c r="BM79" s="2532"/>
      <c r="BN79" s="2532"/>
      <c r="BO79" s="2532"/>
      <c r="BP79" s="2532"/>
      <c r="BQ79" s="2532"/>
      <c r="BR79" s="2532"/>
      <c r="BS79" s="2532"/>
      <c r="BT79" s="2532"/>
      <c r="BU79" s="2532"/>
      <c r="BV79" s="2532"/>
      <c r="BW79" s="2532"/>
      <c r="BX79" s="2532"/>
      <c r="BY79" s="2532"/>
      <c r="BZ79" s="2532"/>
      <c r="CA79" s="2532"/>
      <c r="CB79" s="2532"/>
      <c r="CC79" s="2532"/>
      <c r="CD79" s="2532"/>
      <c r="CE79" s="2532"/>
      <c r="CF79" s="2532"/>
      <c r="CG79" s="2532"/>
      <c r="CH79" s="2532"/>
      <c r="CI79" s="2532"/>
      <c r="CJ79" s="2532"/>
      <c r="CK79" s="2532"/>
      <c r="CL79" s="2532"/>
      <c r="CM79" s="2532"/>
    </row>
    <row r="80" spans="1:91" ht="23.25">
      <c r="A80" s="359"/>
      <c r="B80" s="433" t="s">
        <v>1202</v>
      </c>
      <c r="C80" s="2480" t="s">
        <v>1139</v>
      </c>
      <c r="D80" s="2572" t="s">
        <v>1202</v>
      </c>
      <c r="E80" s="2482" t="s">
        <v>19</v>
      </c>
      <c r="F80" s="2480" t="s">
        <v>1139</v>
      </c>
      <c r="G80" s="459" t="s">
        <v>19</v>
      </c>
      <c r="H80" s="2484" t="s">
        <v>1203</v>
      </c>
      <c r="I80" s="2480" t="s">
        <v>1139</v>
      </c>
      <c r="J80" s="2572" t="s">
        <v>1203</v>
      </c>
      <c r="K80" s="2484" t="s">
        <v>1204</v>
      </c>
      <c r="L80" s="2480" t="s">
        <v>1139</v>
      </c>
      <c r="M80" s="2573" t="s">
        <v>1204</v>
      </c>
      <c r="N80" s="359"/>
      <c r="O80" s="433" t="s">
        <v>1202</v>
      </c>
      <c r="P80" s="2480" t="s">
        <v>1139</v>
      </c>
      <c r="Q80" s="2574" t="s">
        <v>1202</v>
      </c>
      <c r="R80" s="2482" t="s">
        <v>19</v>
      </c>
      <c r="S80" s="2480" t="s">
        <v>1139</v>
      </c>
      <c r="T80" s="2575" t="s">
        <v>19</v>
      </c>
      <c r="U80" s="2484" t="s">
        <v>1203</v>
      </c>
      <c r="V80" s="2480" t="s">
        <v>1139</v>
      </c>
      <c r="W80" s="2574" t="s">
        <v>1203</v>
      </c>
      <c r="X80" s="2484" t="s">
        <v>1204</v>
      </c>
      <c r="Y80" s="2480" t="s">
        <v>1139</v>
      </c>
      <c r="Z80" s="2576" t="s">
        <v>1204</v>
      </c>
      <c r="AA80" s="359"/>
      <c r="AB80" s="359"/>
      <c r="AC80" s="359"/>
      <c r="AG80" s="2610" t="s">
        <v>92</v>
      </c>
      <c r="AI80" s="2597" t="s">
        <v>2209</v>
      </c>
      <c r="AJ80" s="2586"/>
      <c r="AK80" s="2590" t="s">
        <v>92</v>
      </c>
      <c r="AM80" s="2591" t="s">
        <v>2209</v>
      </c>
      <c r="AO80" s="2611" t="s">
        <v>2201</v>
      </c>
      <c r="AQ80" s="2593" t="s">
        <v>92</v>
      </c>
      <c r="AS80" s="2594" t="s">
        <v>92</v>
      </c>
      <c r="AU80" s="2595" t="s">
        <v>92</v>
      </c>
      <c r="BE80" s="2532"/>
      <c r="BF80" s="2532"/>
      <c r="BG80" s="2532"/>
      <c r="BH80" s="2532"/>
      <c r="BI80" s="2532"/>
      <c r="BJ80" s="2532"/>
      <c r="BK80" s="2532"/>
      <c r="BL80" s="2532"/>
      <c r="BM80" s="2532"/>
      <c r="BN80" s="2532"/>
      <c r="BO80" s="2532"/>
      <c r="BP80" s="2532"/>
      <c r="BQ80" s="2532"/>
      <c r="BR80" s="2532"/>
      <c r="BS80" s="2532"/>
      <c r="BT80" s="2532"/>
      <c r="BU80" s="2532"/>
      <c r="BV80" s="2532"/>
      <c r="BW80" s="2532"/>
      <c r="BX80" s="2532"/>
      <c r="BY80" s="2532"/>
      <c r="BZ80" s="2532"/>
      <c r="CA80" s="2532"/>
      <c r="CB80" s="2532"/>
      <c r="CC80" s="2532"/>
      <c r="CD80" s="2532"/>
      <c r="CE80" s="2532"/>
      <c r="CF80" s="2532"/>
      <c r="CG80" s="2532"/>
      <c r="CH80" s="2532"/>
      <c r="CI80" s="2532"/>
      <c r="CJ80" s="2532"/>
      <c r="CK80" s="2532"/>
      <c r="CL80" s="2532"/>
      <c r="CM80" s="2532"/>
    </row>
    <row r="81" spans="1:91" ht="23.25">
      <c r="A81" s="359"/>
      <c r="B81" s="433" t="s">
        <v>1205</v>
      </c>
      <c r="C81" s="2480" t="s">
        <v>1139</v>
      </c>
      <c r="D81" s="2572" t="s">
        <v>1205</v>
      </c>
      <c r="E81" s="2482" t="s">
        <v>1206</v>
      </c>
      <c r="F81" s="2480" t="s">
        <v>1139</v>
      </c>
      <c r="G81" s="459" t="s">
        <v>1206</v>
      </c>
      <c r="H81" s="2484" t="s">
        <v>212</v>
      </c>
      <c r="I81" s="2480" t="s">
        <v>1139</v>
      </c>
      <c r="J81" s="2572" t="s">
        <v>212</v>
      </c>
      <c r="K81" s="2484" t="s">
        <v>1207</v>
      </c>
      <c r="L81" s="2480" t="s">
        <v>1139</v>
      </c>
      <c r="M81" s="2573" t="s">
        <v>1207</v>
      </c>
      <c r="N81" s="359"/>
      <c r="O81" s="433" t="s">
        <v>1205</v>
      </c>
      <c r="P81" s="2480" t="s">
        <v>1139</v>
      </c>
      <c r="Q81" s="2574" t="s">
        <v>1205</v>
      </c>
      <c r="R81" s="2482" t="s">
        <v>1206</v>
      </c>
      <c r="S81" s="2480" t="s">
        <v>1139</v>
      </c>
      <c r="T81" s="2575" t="s">
        <v>1206</v>
      </c>
      <c r="U81" s="2484" t="s">
        <v>212</v>
      </c>
      <c r="V81" s="2480" t="s">
        <v>1139</v>
      </c>
      <c r="W81" s="2574" t="s">
        <v>212</v>
      </c>
      <c r="X81" s="2484" t="s">
        <v>1207</v>
      </c>
      <c r="Y81" s="2480" t="s">
        <v>1139</v>
      </c>
      <c r="Z81" s="2576" t="s">
        <v>1207</v>
      </c>
      <c r="AA81" s="359"/>
      <c r="AB81" s="359"/>
      <c r="AC81" s="359"/>
      <c r="AG81" s="2612" t="s">
        <v>94</v>
      </c>
      <c r="AI81" s="2597" t="s">
        <v>2216</v>
      </c>
      <c r="AJ81" s="2586"/>
      <c r="AK81" s="2590" t="s">
        <v>94</v>
      </c>
      <c r="AM81" s="2591" t="s">
        <v>2216</v>
      </c>
      <c r="AO81" s="2613" t="s">
        <v>2209</v>
      </c>
      <c r="AQ81" s="2593" t="s">
        <v>94</v>
      </c>
      <c r="AS81" s="2594" t="s">
        <v>94</v>
      </c>
      <c r="AU81" s="2595" t="s">
        <v>94</v>
      </c>
      <c r="BE81" s="2532"/>
      <c r="BF81" s="2532"/>
      <c r="BG81" s="2532"/>
      <c r="BH81" s="2532"/>
      <c r="BI81" s="2532"/>
      <c r="BJ81" s="2532"/>
      <c r="BK81" s="2532"/>
      <c r="BL81" s="2532"/>
      <c r="BM81" s="2532"/>
      <c r="BN81" s="2532"/>
      <c r="BO81" s="2532"/>
      <c r="BP81" s="2532"/>
      <c r="BQ81" s="2532"/>
      <c r="BR81" s="2532"/>
      <c r="BS81" s="2532"/>
      <c r="BT81" s="2532"/>
      <c r="BU81" s="2532"/>
      <c r="BV81" s="2532"/>
      <c r="BW81" s="2532"/>
      <c r="BX81" s="2532"/>
      <c r="BY81" s="2532"/>
      <c r="BZ81" s="2532"/>
      <c r="CA81" s="2532"/>
      <c r="CB81" s="2532"/>
      <c r="CC81" s="2532"/>
      <c r="CD81" s="2532"/>
      <c r="CE81" s="2532"/>
      <c r="CF81" s="2532"/>
      <c r="CG81" s="2532"/>
      <c r="CH81" s="2532"/>
      <c r="CI81" s="2532"/>
      <c r="CJ81" s="2532"/>
      <c r="CK81" s="2532"/>
      <c r="CL81" s="2532"/>
      <c r="CM81" s="2532"/>
    </row>
    <row r="82" spans="1:91" ht="23.25">
      <c r="A82" s="359"/>
      <c r="B82" s="433" t="s">
        <v>1209</v>
      </c>
      <c r="C82" s="2480" t="s">
        <v>1139</v>
      </c>
      <c r="D82" s="2572" t="s">
        <v>1209</v>
      </c>
      <c r="E82" s="2482" t="s">
        <v>1210</v>
      </c>
      <c r="F82" s="2480" t="s">
        <v>1139</v>
      </c>
      <c r="G82" s="459" t="s">
        <v>1210</v>
      </c>
      <c r="H82" s="2484" t="s">
        <v>1211</v>
      </c>
      <c r="I82" s="2480" t="s">
        <v>1139</v>
      </c>
      <c r="J82" s="2572" t="s">
        <v>1211</v>
      </c>
      <c r="K82" s="2484" t="s">
        <v>1212</v>
      </c>
      <c r="L82" s="2480" t="s">
        <v>1139</v>
      </c>
      <c r="M82" s="2573" t="s">
        <v>1212</v>
      </c>
      <c r="N82" s="359"/>
      <c r="O82" s="433" t="s">
        <v>1209</v>
      </c>
      <c r="P82" s="2480" t="s">
        <v>1139</v>
      </c>
      <c r="Q82" s="2574" t="s">
        <v>1209</v>
      </c>
      <c r="R82" s="2482" t="s">
        <v>1210</v>
      </c>
      <c r="S82" s="2480" t="s">
        <v>1139</v>
      </c>
      <c r="T82" s="2575" t="s">
        <v>1210</v>
      </c>
      <c r="U82" s="2484" t="s">
        <v>1211</v>
      </c>
      <c r="V82" s="2480" t="s">
        <v>1139</v>
      </c>
      <c r="W82" s="2574" t="s">
        <v>1211</v>
      </c>
      <c r="X82" s="2484" t="s">
        <v>1212</v>
      </c>
      <c r="Y82" s="2480" t="s">
        <v>1139</v>
      </c>
      <c r="Z82" s="2576" t="s">
        <v>1212</v>
      </c>
      <c r="AA82" s="359"/>
      <c r="AB82" s="359"/>
      <c r="AC82" s="359"/>
      <c r="AG82" s="2614" t="s">
        <v>96</v>
      </c>
      <c r="AI82" s="2597" t="s">
        <v>2222</v>
      </c>
      <c r="AJ82" s="2586"/>
      <c r="AK82" s="2590" t="s">
        <v>96</v>
      </c>
      <c r="AM82" s="2591" t="s">
        <v>2222</v>
      </c>
      <c r="AO82" s="2586"/>
      <c r="AQ82" s="2593" t="s">
        <v>96</v>
      </c>
      <c r="AS82" s="2594" t="s">
        <v>96</v>
      </c>
      <c r="AU82" s="2595" t="s">
        <v>96</v>
      </c>
      <c r="BE82" s="2532"/>
      <c r="BF82" s="2532"/>
      <c r="BG82" s="2532"/>
      <c r="BH82" s="2532"/>
      <c r="BI82" s="2532"/>
      <c r="BJ82" s="2532"/>
      <c r="BK82" s="2532"/>
      <c r="BL82" s="2532"/>
      <c r="BM82" s="2532"/>
      <c r="BN82" s="2532"/>
      <c r="BO82" s="2532"/>
      <c r="BP82" s="2532"/>
      <c r="BQ82" s="2532"/>
      <c r="BR82" s="2532"/>
      <c r="BS82" s="2532"/>
      <c r="BT82" s="2532"/>
      <c r="BU82" s="2532"/>
      <c r="BV82" s="2532"/>
      <c r="BW82" s="2532"/>
      <c r="BX82" s="2532"/>
      <c r="BY82" s="2532"/>
      <c r="BZ82" s="2532"/>
      <c r="CA82" s="2532"/>
      <c r="CB82" s="2532"/>
      <c r="CC82" s="2532"/>
      <c r="CD82" s="2532"/>
      <c r="CE82" s="2532"/>
      <c r="CF82" s="2532"/>
      <c r="CG82" s="2532"/>
      <c r="CH82" s="2532"/>
      <c r="CI82" s="2532"/>
      <c r="CJ82" s="2532"/>
      <c r="CK82" s="2532"/>
      <c r="CL82" s="2532"/>
      <c r="CM82" s="2532"/>
    </row>
    <row r="83" spans="1:91" ht="23.25">
      <c r="A83" s="359"/>
      <c r="B83" s="433" t="s">
        <v>1214</v>
      </c>
      <c r="C83" s="2480" t="s">
        <v>1139</v>
      </c>
      <c r="D83" s="2572" t="s">
        <v>1214</v>
      </c>
      <c r="E83" s="2482" t="s">
        <v>1215</v>
      </c>
      <c r="F83" s="2480" t="s">
        <v>1139</v>
      </c>
      <c r="G83" s="459" t="s">
        <v>1215</v>
      </c>
      <c r="H83" s="2484" t="s">
        <v>64</v>
      </c>
      <c r="I83" s="2480" t="s">
        <v>1139</v>
      </c>
      <c r="J83" s="2572" t="s">
        <v>64</v>
      </c>
      <c r="K83" s="2484" t="s">
        <v>2</v>
      </c>
      <c r="L83" s="2480" t="s">
        <v>1139</v>
      </c>
      <c r="M83" s="2573" t="s">
        <v>2</v>
      </c>
      <c r="N83" s="359"/>
      <c r="O83" s="433" t="s">
        <v>1214</v>
      </c>
      <c r="P83" s="2480" t="s">
        <v>1139</v>
      </c>
      <c r="Q83" s="2574" t="s">
        <v>1214</v>
      </c>
      <c r="R83" s="2482" t="s">
        <v>1215</v>
      </c>
      <c r="S83" s="2480" t="s">
        <v>1139</v>
      </c>
      <c r="T83" s="2575" t="s">
        <v>1215</v>
      </c>
      <c r="U83" s="2484" t="s">
        <v>64</v>
      </c>
      <c r="V83" s="2480" t="s">
        <v>1139</v>
      </c>
      <c r="W83" s="2574" t="s">
        <v>64</v>
      </c>
      <c r="X83" s="2484" t="s">
        <v>2</v>
      </c>
      <c r="Y83" s="2480" t="s">
        <v>1139</v>
      </c>
      <c r="Z83" s="2576" t="s">
        <v>2</v>
      </c>
      <c r="AA83" s="359"/>
      <c r="AB83" s="359"/>
      <c r="AC83" s="359"/>
      <c r="AG83" s="2615" t="s">
        <v>97</v>
      </c>
      <c r="AI83" s="2597" t="s">
        <v>2227</v>
      </c>
      <c r="AJ83" s="2586"/>
      <c r="AK83" s="2590" t="s">
        <v>97</v>
      </c>
      <c r="AM83" s="2591" t="s">
        <v>2227</v>
      </c>
      <c r="AO83" s="2586"/>
      <c r="AQ83" s="2593" t="s">
        <v>97</v>
      </c>
      <c r="AS83" s="2594" t="s">
        <v>97</v>
      </c>
      <c r="AU83" s="2595" t="s">
        <v>97</v>
      </c>
      <c r="BE83" s="2532"/>
      <c r="BF83" s="2532"/>
      <c r="BG83" s="2532"/>
      <c r="BH83" s="2532"/>
      <c r="BI83" s="2532"/>
      <c r="BJ83" s="2532"/>
      <c r="BK83" s="2532"/>
      <c r="BL83" s="2532"/>
      <c r="BM83" s="2532"/>
      <c r="BN83" s="2532"/>
      <c r="BO83" s="2532"/>
      <c r="BP83" s="2532"/>
      <c r="BQ83" s="2532"/>
      <c r="BR83" s="2532"/>
      <c r="BS83" s="2532"/>
      <c r="BT83" s="2532"/>
      <c r="BU83" s="2532"/>
      <c r="BV83" s="2532"/>
      <c r="BW83" s="2532"/>
      <c r="BX83" s="2532"/>
      <c r="BY83" s="2532"/>
      <c r="BZ83" s="2532"/>
      <c r="CA83" s="2532"/>
      <c r="CB83" s="2532"/>
      <c r="CC83" s="2532"/>
      <c r="CD83" s="2532"/>
      <c r="CE83" s="2532"/>
      <c r="CF83" s="2532"/>
      <c r="CG83" s="2532"/>
      <c r="CH83" s="2532"/>
      <c r="CI83" s="2532"/>
      <c r="CJ83" s="2532"/>
      <c r="CK83" s="2532"/>
      <c r="CL83" s="2532"/>
      <c r="CM83" s="2532"/>
    </row>
    <row r="84" spans="1:91" ht="20.25">
      <c r="A84" s="359"/>
      <c r="B84" s="433" t="s">
        <v>1216</v>
      </c>
      <c r="C84" s="2480" t="s">
        <v>1139</v>
      </c>
      <c r="D84" s="2572" t="s">
        <v>1216</v>
      </c>
      <c r="E84" s="2482" t="s">
        <v>1217</v>
      </c>
      <c r="F84" s="2480" t="s">
        <v>1139</v>
      </c>
      <c r="G84" s="459" t="s">
        <v>1217</v>
      </c>
      <c r="H84" s="2484" t="s">
        <v>1218</v>
      </c>
      <c r="I84" s="2480" t="s">
        <v>1139</v>
      </c>
      <c r="J84" s="2572" t="s">
        <v>1218</v>
      </c>
      <c r="K84" s="2484" t="s">
        <v>1219</v>
      </c>
      <c r="L84" s="2480" t="s">
        <v>1139</v>
      </c>
      <c r="M84" s="2573" t="s">
        <v>1219</v>
      </c>
      <c r="N84" s="359"/>
      <c r="O84" s="433" t="s">
        <v>1216</v>
      </c>
      <c r="P84" s="2480" t="s">
        <v>1139</v>
      </c>
      <c r="Q84" s="2574" t="s">
        <v>1216</v>
      </c>
      <c r="R84" s="2482" t="s">
        <v>1217</v>
      </c>
      <c r="S84" s="2480" t="s">
        <v>1139</v>
      </c>
      <c r="T84" s="2575" t="s">
        <v>1217</v>
      </c>
      <c r="U84" s="2484" t="s">
        <v>1218</v>
      </c>
      <c r="V84" s="2480" t="s">
        <v>1139</v>
      </c>
      <c r="W84" s="2574" t="s">
        <v>1218</v>
      </c>
      <c r="X84" s="2484" t="s">
        <v>1219</v>
      </c>
      <c r="Y84" s="2480" t="s">
        <v>1139</v>
      </c>
      <c r="Z84" s="2576" t="s">
        <v>1219</v>
      </c>
      <c r="AA84" s="359"/>
      <c r="AB84" s="359"/>
      <c r="AC84" s="359"/>
      <c r="AG84" s="2616" t="s">
        <v>99</v>
      </c>
      <c r="AI84" s="2597" t="s">
        <v>2230</v>
      </c>
      <c r="AJ84" s="2586"/>
      <c r="AK84" s="2590" t="s">
        <v>99</v>
      </c>
      <c r="AM84" s="2591" t="s">
        <v>2230</v>
      </c>
      <c r="AO84" s="2586"/>
      <c r="AQ84" s="2593" t="s">
        <v>99</v>
      </c>
      <c r="AS84" s="2594" t="s">
        <v>99</v>
      </c>
      <c r="AU84" s="2595" t="s">
        <v>99</v>
      </c>
    </row>
    <row r="85" spans="1:91" ht="20.25">
      <c r="A85" s="359"/>
      <c r="B85" s="433" t="s">
        <v>1221</v>
      </c>
      <c r="C85" s="2480" t="s">
        <v>1139</v>
      </c>
      <c r="D85" s="2572" t="s">
        <v>1221</v>
      </c>
      <c r="E85" s="2482" t="s">
        <v>1222</v>
      </c>
      <c r="F85" s="2480" t="s">
        <v>1139</v>
      </c>
      <c r="G85" s="459" t="s">
        <v>1222</v>
      </c>
      <c r="H85" s="2484" t="s">
        <v>1223</v>
      </c>
      <c r="I85" s="2480" t="s">
        <v>1139</v>
      </c>
      <c r="J85" s="2572" t="s">
        <v>1223</v>
      </c>
      <c r="K85" s="2484" t="s">
        <v>1224</v>
      </c>
      <c r="L85" s="2480" t="s">
        <v>1139</v>
      </c>
      <c r="M85" s="2573" t="s">
        <v>1224</v>
      </c>
      <c r="N85" s="359"/>
      <c r="O85" s="433" t="s">
        <v>1221</v>
      </c>
      <c r="P85" s="2480" t="s">
        <v>1139</v>
      </c>
      <c r="Q85" s="2574" t="s">
        <v>1221</v>
      </c>
      <c r="R85" s="2482" t="s">
        <v>1222</v>
      </c>
      <c r="S85" s="2480" t="s">
        <v>1139</v>
      </c>
      <c r="T85" s="2575" t="s">
        <v>1222</v>
      </c>
      <c r="U85" s="2484" t="s">
        <v>1223</v>
      </c>
      <c r="V85" s="2480" t="s">
        <v>1139</v>
      </c>
      <c r="W85" s="2574" t="s">
        <v>1223</v>
      </c>
      <c r="X85" s="2484" t="s">
        <v>1224</v>
      </c>
      <c r="Y85" s="2480" t="s">
        <v>1139</v>
      </c>
      <c r="Z85" s="2576" t="s">
        <v>1224</v>
      </c>
      <c r="AA85" s="359"/>
      <c r="AB85" s="359"/>
      <c r="AC85" s="359"/>
      <c r="AG85" s="2617" t="s">
        <v>101</v>
      </c>
      <c r="AI85" s="2597" t="s">
        <v>2234</v>
      </c>
      <c r="AJ85" s="2586"/>
      <c r="AK85" s="2590" t="s">
        <v>101</v>
      </c>
      <c r="AM85" s="2591" t="s">
        <v>2234</v>
      </c>
      <c r="AO85" s="2586"/>
      <c r="AQ85" s="2593" t="s">
        <v>101</v>
      </c>
      <c r="AS85" s="2594" t="s">
        <v>101</v>
      </c>
      <c r="AU85" s="2595" t="s">
        <v>101</v>
      </c>
    </row>
    <row r="86" spans="1:91" s="1519" customFormat="1" ht="20.25">
      <c r="A86" s="359"/>
      <c r="B86" s="433" t="s">
        <v>1226</v>
      </c>
      <c r="C86" s="2480" t="s">
        <v>1139</v>
      </c>
      <c r="D86" s="2572" t="s">
        <v>1226</v>
      </c>
      <c r="E86" s="2482" t="s">
        <v>1227</v>
      </c>
      <c r="F86" s="2480" t="s">
        <v>1139</v>
      </c>
      <c r="G86" s="459" t="s">
        <v>1227</v>
      </c>
      <c r="H86" s="2484" t="s">
        <v>1228</v>
      </c>
      <c r="I86" s="2480" t="s">
        <v>1139</v>
      </c>
      <c r="J86" s="2572" t="s">
        <v>1228</v>
      </c>
      <c r="K86" s="2484" t="s">
        <v>1229</v>
      </c>
      <c r="L86" s="2480" t="s">
        <v>1139</v>
      </c>
      <c r="M86" s="2573" t="s">
        <v>1229</v>
      </c>
      <c r="N86" s="359"/>
      <c r="O86" s="433" t="s">
        <v>1226</v>
      </c>
      <c r="P86" s="2480" t="s">
        <v>1139</v>
      </c>
      <c r="Q86" s="2574" t="s">
        <v>1226</v>
      </c>
      <c r="R86" s="2482" t="s">
        <v>1227</v>
      </c>
      <c r="S86" s="2480" t="s">
        <v>1139</v>
      </c>
      <c r="T86" s="2575" t="s">
        <v>1227</v>
      </c>
      <c r="U86" s="2484" t="s">
        <v>1228</v>
      </c>
      <c r="V86" s="2480" t="s">
        <v>1139</v>
      </c>
      <c r="W86" s="2574" t="s">
        <v>1228</v>
      </c>
      <c r="X86" s="2484" t="s">
        <v>1229</v>
      </c>
      <c r="Y86" s="2480" t="s">
        <v>1139</v>
      </c>
      <c r="Z86" s="2576" t="s">
        <v>1229</v>
      </c>
      <c r="AA86" s="359"/>
      <c r="AB86" s="359"/>
      <c r="AC86" s="359"/>
      <c r="AG86" s="2618" t="s">
        <v>103</v>
      </c>
      <c r="AI86" s="2597" t="s">
        <v>2241</v>
      </c>
      <c r="AJ86" s="2586"/>
      <c r="AK86" s="2590" t="s">
        <v>103</v>
      </c>
      <c r="AM86" s="2591" t="s">
        <v>2241</v>
      </c>
      <c r="AO86" s="2586"/>
      <c r="AQ86" s="2593" t="s">
        <v>103</v>
      </c>
      <c r="AS86" s="2594" t="s">
        <v>103</v>
      </c>
      <c r="AU86" s="2595" t="s">
        <v>103</v>
      </c>
    </row>
    <row r="87" spans="1:91" s="1519" customFormat="1" ht="20.25">
      <c r="A87" s="359"/>
      <c r="B87" s="433" t="s">
        <v>1230</v>
      </c>
      <c r="C87" s="2480" t="s">
        <v>1139</v>
      </c>
      <c r="D87" s="2572" t="s">
        <v>1230</v>
      </c>
      <c r="E87" s="2482" t="s">
        <v>1231</v>
      </c>
      <c r="F87" s="2480" t="s">
        <v>1139</v>
      </c>
      <c r="G87" s="459" t="s">
        <v>1231</v>
      </c>
      <c r="H87" s="2484" t="s">
        <v>1232</v>
      </c>
      <c r="I87" s="2480" t="s">
        <v>1139</v>
      </c>
      <c r="J87" s="2572" t="s">
        <v>1232</v>
      </c>
      <c r="K87" s="2484" t="s">
        <v>42</v>
      </c>
      <c r="L87" s="2480" t="s">
        <v>1139</v>
      </c>
      <c r="M87" s="2573" t="s">
        <v>42</v>
      </c>
      <c r="N87" s="359"/>
      <c r="O87" s="433" t="s">
        <v>1230</v>
      </c>
      <c r="P87" s="2480" t="s">
        <v>1139</v>
      </c>
      <c r="Q87" s="2574" t="s">
        <v>1230</v>
      </c>
      <c r="R87" s="2482" t="s">
        <v>1231</v>
      </c>
      <c r="S87" s="2480" t="s">
        <v>1139</v>
      </c>
      <c r="T87" s="2575" t="s">
        <v>1231</v>
      </c>
      <c r="U87" s="2484" t="s">
        <v>1232</v>
      </c>
      <c r="V87" s="2480" t="s">
        <v>1139</v>
      </c>
      <c r="W87" s="2574" t="s">
        <v>1232</v>
      </c>
      <c r="X87" s="2484" t="s">
        <v>42</v>
      </c>
      <c r="Y87" s="2480" t="s">
        <v>1139</v>
      </c>
      <c r="Z87" s="2576" t="s">
        <v>42</v>
      </c>
      <c r="AA87" s="359"/>
      <c r="AB87" s="359"/>
      <c r="AC87" s="359"/>
      <c r="AG87" s="2619" t="s">
        <v>105</v>
      </c>
      <c r="AI87" s="2597" t="s">
        <v>2246</v>
      </c>
      <c r="AJ87" s="2586"/>
      <c r="AK87" s="2590" t="s">
        <v>105</v>
      </c>
      <c r="AM87" s="2591" t="s">
        <v>2246</v>
      </c>
      <c r="AO87" s="2586"/>
      <c r="AQ87" s="2593" t="s">
        <v>105</v>
      </c>
      <c r="AS87" s="2594" t="s">
        <v>105</v>
      </c>
      <c r="AU87" s="2595" t="s">
        <v>105</v>
      </c>
    </row>
    <row r="88" spans="1:91" s="1519" customFormat="1" ht="20.25">
      <c r="A88" s="359"/>
      <c r="B88" s="433"/>
      <c r="C88" s="2480" t="s">
        <v>1139</v>
      </c>
      <c r="D88" s="2572"/>
      <c r="E88" s="2482" t="s">
        <v>1234</v>
      </c>
      <c r="F88" s="2480" t="s">
        <v>1139</v>
      </c>
      <c r="G88" s="459" t="s">
        <v>1234</v>
      </c>
      <c r="H88" s="2484" t="s">
        <v>1235</v>
      </c>
      <c r="I88" s="2480" t="s">
        <v>1139</v>
      </c>
      <c r="J88" s="2572" t="s">
        <v>1235</v>
      </c>
      <c r="K88" s="2484"/>
      <c r="L88" s="2480" t="s">
        <v>1139</v>
      </c>
      <c r="M88" s="2573"/>
      <c r="N88" s="359"/>
      <c r="O88" s="433"/>
      <c r="P88" s="2480" t="s">
        <v>1139</v>
      </c>
      <c r="Q88" s="2574"/>
      <c r="R88" s="2482" t="s">
        <v>1234</v>
      </c>
      <c r="S88" s="2480" t="s">
        <v>1139</v>
      </c>
      <c r="T88" s="2575" t="s">
        <v>1234</v>
      </c>
      <c r="U88" s="2484" t="s">
        <v>1235</v>
      </c>
      <c r="V88" s="2480" t="s">
        <v>1139</v>
      </c>
      <c r="W88" s="2574" t="s">
        <v>1235</v>
      </c>
      <c r="X88" s="2484"/>
      <c r="Y88" s="2480" t="s">
        <v>1139</v>
      </c>
      <c r="Z88" s="2576"/>
      <c r="AA88" s="359"/>
      <c r="AB88" s="359"/>
      <c r="AC88" s="359"/>
      <c r="AG88" s="2620" t="s">
        <v>107</v>
      </c>
      <c r="AI88" s="2597" t="s">
        <v>2251</v>
      </c>
      <c r="AJ88" s="2586"/>
      <c r="AK88" s="2590" t="s">
        <v>107</v>
      </c>
      <c r="AM88" s="2591" t="s">
        <v>2251</v>
      </c>
      <c r="AO88" s="2586"/>
      <c r="AQ88" s="2593" t="s">
        <v>107</v>
      </c>
      <c r="AS88" s="2594" t="s">
        <v>107</v>
      </c>
      <c r="AU88" s="2595" t="s">
        <v>107</v>
      </c>
    </row>
    <row r="89" spans="1:91" s="1519" customFormat="1" ht="18.75">
      <c r="A89" s="360"/>
      <c r="B89" s="2621"/>
      <c r="C89" s="2622"/>
      <c r="D89" s="2622"/>
      <c r="E89" s="2622"/>
      <c r="F89" s="2622"/>
      <c r="G89" s="2622"/>
      <c r="H89" s="2622"/>
      <c r="I89" s="2622"/>
      <c r="J89" s="2622"/>
      <c r="K89" s="2622"/>
      <c r="L89" s="2622"/>
      <c r="M89" s="2623"/>
      <c r="N89" s="460"/>
      <c r="O89" s="2621"/>
      <c r="P89" s="2622"/>
      <c r="Q89" s="2622"/>
      <c r="R89" s="2622"/>
      <c r="S89" s="2622"/>
      <c r="T89" s="2622"/>
      <c r="U89" s="2622"/>
      <c r="V89" s="2622"/>
      <c r="W89" s="2622"/>
      <c r="X89" s="2622"/>
      <c r="Y89" s="2622"/>
      <c r="Z89" s="2623"/>
      <c r="AA89" s="460"/>
      <c r="AB89" s="360"/>
      <c r="AC89" s="360"/>
      <c r="AG89" s="2624" t="s">
        <v>108</v>
      </c>
      <c r="AI89" s="2597" t="s">
        <v>2255</v>
      </c>
      <c r="AJ89" s="2586"/>
      <c r="AK89" s="2590" t="s">
        <v>108</v>
      </c>
      <c r="AM89" s="2591" t="s">
        <v>2255</v>
      </c>
      <c r="AO89" s="2586"/>
      <c r="AQ89" s="2593" t="s">
        <v>108</v>
      </c>
      <c r="AS89" s="2594" t="s">
        <v>108</v>
      </c>
      <c r="AU89" s="2595" t="s">
        <v>108</v>
      </c>
    </row>
    <row r="90" spans="1:91" s="1519" customFormat="1" ht="18.75">
      <c r="A90" s="361"/>
      <c r="B90" s="361"/>
      <c r="C90" s="361"/>
      <c r="D90" s="361"/>
      <c r="E90" s="361"/>
      <c r="F90" s="361"/>
      <c r="G90" s="361"/>
      <c r="H90" s="361"/>
      <c r="I90" s="361"/>
      <c r="J90" s="361"/>
      <c r="K90" s="361"/>
      <c r="L90" s="361"/>
      <c r="M90" s="361"/>
      <c r="N90" s="361"/>
      <c r="O90" s="361"/>
      <c r="P90" s="361"/>
      <c r="Q90" s="361"/>
      <c r="R90" s="361"/>
      <c r="S90" s="361"/>
      <c r="T90" s="361"/>
      <c r="U90" s="361"/>
      <c r="V90" s="361"/>
      <c r="W90" s="361"/>
      <c r="X90" s="361"/>
      <c r="Y90" s="361"/>
      <c r="Z90" s="361"/>
      <c r="AA90" s="361"/>
      <c r="AB90" s="361"/>
      <c r="AC90" s="361"/>
      <c r="AG90" s="2625" t="s">
        <v>109</v>
      </c>
      <c r="AI90" s="2597" t="s">
        <v>2260</v>
      </c>
      <c r="AJ90" s="2586"/>
      <c r="AK90" s="2590" t="s">
        <v>109</v>
      </c>
      <c r="AM90" s="2591" t="s">
        <v>2260</v>
      </c>
      <c r="AO90" s="2586"/>
      <c r="AQ90" s="2593" t="s">
        <v>109</v>
      </c>
      <c r="AS90" s="2594" t="s">
        <v>109</v>
      </c>
      <c r="AU90" s="2595" t="s">
        <v>109</v>
      </c>
    </row>
    <row r="91" spans="1:91" s="1519" customFormat="1" ht="18.75">
      <c r="A91" s="361"/>
      <c r="B91" s="361"/>
      <c r="C91" s="361"/>
      <c r="D91" s="361"/>
      <c r="E91" s="361"/>
      <c r="F91" s="361"/>
      <c r="G91" s="361"/>
      <c r="H91" s="361"/>
      <c r="I91" s="361"/>
      <c r="J91" s="361"/>
      <c r="K91" s="361"/>
      <c r="L91" s="361"/>
      <c r="M91" s="361"/>
      <c r="N91" s="361"/>
      <c r="O91" s="361"/>
      <c r="P91" s="361"/>
      <c r="Q91" s="361"/>
      <c r="R91" s="361"/>
      <c r="S91" s="361"/>
      <c r="T91" s="361"/>
      <c r="U91" s="361"/>
      <c r="V91" s="361"/>
      <c r="W91" s="361"/>
      <c r="X91" s="361"/>
      <c r="Y91" s="361"/>
      <c r="Z91" s="361"/>
      <c r="AA91" s="361"/>
      <c r="AB91" s="361"/>
      <c r="AC91" s="361"/>
      <c r="AG91" s="2625" t="s">
        <v>110</v>
      </c>
      <c r="AI91" s="2597" t="s">
        <v>3087</v>
      </c>
      <c r="AJ91" s="2586"/>
      <c r="AK91" s="2590" t="s">
        <v>110</v>
      </c>
      <c r="AM91" s="2626"/>
      <c r="AO91" s="2586"/>
      <c r="AQ91" s="2593" t="s">
        <v>110</v>
      </c>
      <c r="AS91" s="2594" t="s">
        <v>110</v>
      </c>
      <c r="AU91" s="2595" t="s">
        <v>110</v>
      </c>
    </row>
    <row r="92" spans="1:91" s="1519" customFormat="1" ht="45">
      <c r="A92" s="361"/>
      <c r="B92" s="2458" t="s">
        <v>1135</v>
      </c>
      <c r="C92" s="2459"/>
      <c r="D92" s="2460" t="s">
        <v>1136</v>
      </c>
      <c r="E92" s="2627" t="s">
        <v>1242</v>
      </c>
      <c r="F92" s="2628"/>
      <c r="G92" s="2628"/>
      <c r="H92" s="2628"/>
      <c r="I92" s="2628"/>
      <c r="J92" s="2628"/>
      <c r="K92" s="2628"/>
      <c r="L92" s="2628"/>
      <c r="M92" s="2629"/>
      <c r="N92" s="361"/>
      <c r="O92" s="2458" t="s">
        <v>1135</v>
      </c>
      <c r="P92" s="2459"/>
      <c r="Q92" s="2460" t="s">
        <v>1136</v>
      </c>
      <c r="R92" s="2461" t="s">
        <v>1243</v>
      </c>
      <c r="S92" s="2462"/>
      <c r="T92" s="2462"/>
      <c r="U92" s="2462"/>
      <c r="V92" s="2462"/>
      <c r="W92" s="2462"/>
      <c r="X92" s="2462"/>
      <c r="Y92" s="2462"/>
      <c r="Z92" s="2463"/>
      <c r="AA92" s="361"/>
      <c r="AB92" s="361"/>
      <c r="AC92" s="361"/>
    </row>
    <row r="93" spans="1:91" s="1519" customFormat="1" ht="20.25">
      <c r="A93" s="361"/>
      <c r="B93" s="431" t="s">
        <v>1141</v>
      </c>
      <c r="C93" s="2467" t="s">
        <v>1139</v>
      </c>
      <c r="D93" s="2630" t="str">
        <f>B93</f>
        <v>Aa</v>
      </c>
      <c r="E93" s="2631" t="s">
        <v>1140</v>
      </c>
      <c r="F93" s="2632"/>
      <c r="G93" s="2633"/>
      <c r="H93" s="2633"/>
      <c r="I93" s="2633"/>
      <c r="J93" s="2633"/>
      <c r="K93" s="2633"/>
      <c r="L93" s="2633"/>
      <c r="M93" s="2634"/>
      <c r="N93" s="361"/>
      <c r="O93" s="431" t="s">
        <v>1141</v>
      </c>
      <c r="P93" s="2467" t="s">
        <v>1139</v>
      </c>
      <c r="Q93" s="2635" t="str">
        <f>O93</f>
        <v>Aa</v>
      </c>
      <c r="R93" s="2565" t="s">
        <v>1246</v>
      </c>
      <c r="S93" s="2632"/>
      <c r="T93" s="2633"/>
      <c r="U93" s="2633"/>
      <c r="V93" s="2633"/>
      <c r="W93" s="2633"/>
      <c r="X93" s="2633"/>
      <c r="Y93" s="2633"/>
      <c r="Z93" s="2634"/>
      <c r="AA93" s="361"/>
      <c r="AB93" s="361"/>
      <c r="AC93" s="361"/>
    </row>
    <row r="94" spans="1:91" s="1519" customFormat="1">
      <c r="A94" s="361"/>
      <c r="B94" s="2475"/>
      <c r="C94" s="361"/>
      <c r="D94" s="361"/>
      <c r="E94" s="361"/>
      <c r="F94" s="361"/>
      <c r="G94" s="361"/>
      <c r="H94" s="361"/>
      <c r="I94" s="361"/>
      <c r="J94" s="361"/>
      <c r="K94" s="361"/>
      <c r="L94" s="361"/>
      <c r="M94" s="2476"/>
      <c r="N94" s="361"/>
      <c r="O94" s="2475"/>
      <c r="P94" s="361"/>
      <c r="Q94" s="361"/>
      <c r="R94" s="361"/>
      <c r="S94" s="361"/>
      <c r="T94" s="361"/>
      <c r="U94" s="361"/>
      <c r="V94" s="361"/>
      <c r="W94" s="361"/>
      <c r="X94" s="361"/>
      <c r="Y94" s="361"/>
      <c r="Z94" s="2476"/>
      <c r="AA94" s="361"/>
      <c r="AB94" s="361"/>
      <c r="AC94" s="361"/>
    </row>
    <row r="95" spans="1:91" s="1519" customFormat="1">
      <c r="A95" s="361"/>
      <c r="B95" s="432" t="s">
        <v>1142</v>
      </c>
      <c r="C95" s="9889" t="s">
        <v>1143</v>
      </c>
      <c r="D95" s="9890"/>
      <c r="E95" s="2479" t="s">
        <v>1144</v>
      </c>
      <c r="F95" s="9889" t="s">
        <v>1143</v>
      </c>
      <c r="G95" s="9890"/>
      <c r="H95" s="2479" t="s">
        <v>1145</v>
      </c>
      <c r="I95" s="9889" t="s">
        <v>1143</v>
      </c>
      <c r="J95" s="9890"/>
      <c r="K95" s="2479" t="s">
        <v>1146</v>
      </c>
      <c r="L95" s="9889" t="s">
        <v>1143</v>
      </c>
      <c r="M95" s="9891"/>
      <c r="N95" s="361"/>
      <c r="O95" s="432" t="s">
        <v>1142</v>
      </c>
      <c r="P95" s="9892" t="s">
        <v>1143</v>
      </c>
      <c r="Q95" s="9893"/>
      <c r="R95" s="2479" t="s">
        <v>1144</v>
      </c>
      <c r="S95" s="9892" t="s">
        <v>1143</v>
      </c>
      <c r="T95" s="9893"/>
      <c r="U95" s="2479" t="s">
        <v>1145</v>
      </c>
      <c r="V95" s="9892" t="s">
        <v>1143</v>
      </c>
      <c r="W95" s="9893"/>
      <c r="X95" s="2479" t="s">
        <v>1146</v>
      </c>
      <c r="Y95" s="9892" t="s">
        <v>1143</v>
      </c>
      <c r="Z95" s="9902"/>
      <c r="AA95" s="361"/>
      <c r="AB95" s="361"/>
      <c r="AC95" s="361"/>
    </row>
    <row r="96" spans="1:91" s="1519" customFormat="1" ht="20.25">
      <c r="A96" s="359"/>
      <c r="B96" s="433" t="s">
        <v>337</v>
      </c>
      <c r="C96" s="2480" t="s">
        <v>1139</v>
      </c>
      <c r="D96" s="2636" t="s">
        <v>337</v>
      </c>
      <c r="E96" s="2482" t="s">
        <v>1147</v>
      </c>
      <c r="F96" s="2480" t="s">
        <v>1139</v>
      </c>
      <c r="G96" s="2637" t="s">
        <v>1147</v>
      </c>
      <c r="H96" s="2484">
        <v>1</v>
      </c>
      <c r="I96" s="2480" t="s">
        <v>1139</v>
      </c>
      <c r="J96" s="2636">
        <v>1</v>
      </c>
      <c r="K96" s="2484">
        <v>27</v>
      </c>
      <c r="L96" s="2480" t="s">
        <v>1139</v>
      </c>
      <c r="M96" s="2638">
        <v>27</v>
      </c>
      <c r="N96" s="359"/>
      <c r="O96" s="433" t="s">
        <v>337</v>
      </c>
      <c r="P96" s="2480" t="s">
        <v>1139</v>
      </c>
      <c r="Q96" s="2639" t="s">
        <v>337</v>
      </c>
      <c r="R96" s="2482" t="s">
        <v>1147</v>
      </c>
      <c r="S96" s="2480" t="s">
        <v>1139</v>
      </c>
      <c r="T96" s="2640" t="s">
        <v>1147</v>
      </c>
      <c r="U96" s="2484">
        <v>1</v>
      </c>
      <c r="V96" s="2480" t="s">
        <v>1139</v>
      </c>
      <c r="W96" s="2639">
        <v>1</v>
      </c>
      <c r="X96" s="2484">
        <v>27</v>
      </c>
      <c r="Y96" s="2480" t="s">
        <v>1139</v>
      </c>
      <c r="Z96" s="2641">
        <v>27</v>
      </c>
      <c r="AA96" s="359"/>
      <c r="AB96" s="359"/>
      <c r="AC96" s="359"/>
    </row>
    <row r="97" spans="1:29" s="1519" customFormat="1" ht="20.25">
      <c r="A97" s="359"/>
      <c r="B97" s="433" t="s">
        <v>339</v>
      </c>
      <c r="C97" s="2480" t="s">
        <v>1139</v>
      </c>
      <c r="D97" s="2636" t="s">
        <v>339</v>
      </c>
      <c r="E97" s="2482" t="s">
        <v>1150</v>
      </c>
      <c r="F97" s="2480" t="s">
        <v>1139</v>
      </c>
      <c r="G97" s="2637" t="s">
        <v>1150</v>
      </c>
      <c r="H97" s="2484">
        <v>2</v>
      </c>
      <c r="I97" s="2480" t="s">
        <v>1139</v>
      </c>
      <c r="J97" s="2636">
        <v>2</v>
      </c>
      <c r="K97" s="2484">
        <v>28</v>
      </c>
      <c r="L97" s="2480" t="s">
        <v>1139</v>
      </c>
      <c r="M97" s="2638">
        <v>28</v>
      </c>
      <c r="N97" s="359"/>
      <c r="O97" s="433" t="s">
        <v>339</v>
      </c>
      <c r="P97" s="2480" t="s">
        <v>1139</v>
      </c>
      <c r="Q97" s="2639" t="s">
        <v>339</v>
      </c>
      <c r="R97" s="2482" t="s">
        <v>1150</v>
      </c>
      <c r="S97" s="2480" t="s">
        <v>1139</v>
      </c>
      <c r="T97" s="2640" t="s">
        <v>1150</v>
      </c>
      <c r="U97" s="2484">
        <v>2</v>
      </c>
      <c r="V97" s="2480" t="s">
        <v>1139</v>
      </c>
      <c r="W97" s="2639">
        <v>2</v>
      </c>
      <c r="X97" s="2484">
        <v>28</v>
      </c>
      <c r="Y97" s="2480" t="s">
        <v>1139</v>
      </c>
      <c r="Z97" s="2641">
        <v>28</v>
      </c>
      <c r="AA97" s="359"/>
      <c r="AB97" s="359"/>
      <c r="AC97" s="359"/>
    </row>
    <row r="98" spans="1:29" s="1519" customFormat="1" ht="20.25">
      <c r="A98" s="359"/>
      <c r="B98" s="433" t="s">
        <v>338</v>
      </c>
      <c r="C98" s="2480" t="s">
        <v>1139</v>
      </c>
      <c r="D98" s="2636" t="s">
        <v>338</v>
      </c>
      <c r="E98" s="2482" t="s">
        <v>1154</v>
      </c>
      <c r="F98" s="2480" t="s">
        <v>1139</v>
      </c>
      <c r="G98" s="2637" t="s">
        <v>1154</v>
      </c>
      <c r="H98" s="2484">
        <v>3</v>
      </c>
      <c r="I98" s="2480" t="s">
        <v>1139</v>
      </c>
      <c r="J98" s="2636">
        <v>3</v>
      </c>
      <c r="K98" s="2484">
        <v>29</v>
      </c>
      <c r="L98" s="2480" t="s">
        <v>1139</v>
      </c>
      <c r="M98" s="2638">
        <v>29</v>
      </c>
      <c r="N98" s="359"/>
      <c r="O98" s="433" t="s">
        <v>338</v>
      </c>
      <c r="P98" s="2480" t="s">
        <v>1139</v>
      </c>
      <c r="Q98" s="2639" t="s">
        <v>338</v>
      </c>
      <c r="R98" s="2482" t="s">
        <v>1154</v>
      </c>
      <c r="S98" s="2480" t="s">
        <v>1139</v>
      </c>
      <c r="T98" s="2640" t="s">
        <v>1154</v>
      </c>
      <c r="U98" s="2484">
        <v>3</v>
      </c>
      <c r="V98" s="2480" t="s">
        <v>1139</v>
      </c>
      <c r="W98" s="2639">
        <v>3</v>
      </c>
      <c r="X98" s="2484">
        <v>29</v>
      </c>
      <c r="Y98" s="2480" t="s">
        <v>1139</v>
      </c>
      <c r="Z98" s="2641">
        <v>29</v>
      </c>
      <c r="AA98" s="359"/>
      <c r="AB98" s="359"/>
      <c r="AC98" s="359"/>
    </row>
    <row r="99" spans="1:29" s="1519" customFormat="1" ht="20.25">
      <c r="A99" s="359"/>
      <c r="B99" s="433" t="s">
        <v>342</v>
      </c>
      <c r="C99" s="2480" t="s">
        <v>1139</v>
      </c>
      <c r="D99" s="2636" t="s">
        <v>342</v>
      </c>
      <c r="E99" s="2482" t="s">
        <v>1157</v>
      </c>
      <c r="F99" s="2480" t="s">
        <v>1139</v>
      </c>
      <c r="G99" s="2637" t="s">
        <v>1157</v>
      </c>
      <c r="H99" s="2484">
        <v>4</v>
      </c>
      <c r="I99" s="2480" t="s">
        <v>1139</v>
      </c>
      <c r="J99" s="2636">
        <v>4</v>
      </c>
      <c r="K99" s="2484">
        <v>30</v>
      </c>
      <c r="L99" s="2480" t="s">
        <v>1139</v>
      </c>
      <c r="M99" s="2638">
        <v>30</v>
      </c>
      <c r="N99" s="359"/>
      <c r="O99" s="433" t="s">
        <v>342</v>
      </c>
      <c r="P99" s="2480" t="s">
        <v>1139</v>
      </c>
      <c r="Q99" s="2639" t="s">
        <v>342</v>
      </c>
      <c r="R99" s="2482" t="s">
        <v>1157</v>
      </c>
      <c r="S99" s="2480" t="s">
        <v>1139</v>
      </c>
      <c r="T99" s="2640" t="s">
        <v>1157</v>
      </c>
      <c r="U99" s="2484">
        <v>4</v>
      </c>
      <c r="V99" s="2480" t="s">
        <v>1139</v>
      </c>
      <c r="W99" s="2639">
        <v>4</v>
      </c>
      <c r="X99" s="2484">
        <v>30</v>
      </c>
      <c r="Y99" s="2480" t="s">
        <v>1139</v>
      </c>
      <c r="Z99" s="2641">
        <v>30</v>
      </c>
      <c r="AA99" s="359"/>
      <c r="AB99" s="359"/>
      <c r="AC99" s="359"/>
    </row>
    <row r="100" spans="1:29" s="1519" customFormat="1" ht="20.25">
      <c r="A100" s="359"/>
      <c r="B100" s="433" t="s">
        <v>651</v>
      </c>
      <c r="C100" s="2480" t="s">
        <v>1139</v>
      </c>
      <c r="D100" s="2636" t="s">
        <v>651</v>
      </c>
      <c r="E100" s="2482" t="s">
        <v>1160</v>
      </c>
      <c r="F100" s="2480" t="s">
        <v>1139</v>
      </c>
      <c r="G100" s="2637" t="s">
        <v>1160</v>
      </c>
      <c r="H100" s="2484">
        <v>5</v>
      </c>
      <c r="I100" s="2480" t="s">
        <v>1139</v>
      </c>
      <c r="J100" s="2636">
        <v>5</v>
      </c>
      <c r="K100" s="2484">
        <v>31</v>
      </c>
      <c r="L100" s="2480" t="s">
        <v>1139</v>
      </c>
      <c r="M100" s="2638">
        <v>31</v>
      </c>
      <c r="N100" s="359"/>
      <c r="O100" s="433" t="s">
        <v>651</v>
      </c>
      <c r="P100" s="2480" t="s">
        <v>1139</v>
      </c>
      <c r="Q100" s="2639" t="s">
        <v>651</v>
      </c>
      <c r="R100" s="2482" t="s">
        <v>1160</v>
      </c>
      <c r="S100" s="2480" t="s">
        <v>1139</v>
      </c>
      <c r="T100" s="2640" t="s">
        <v>1160</v>
      </c>
      <c r="U100" s="2484">
        <v>5</v>
      </c>
      <c r="V100" s="2480" t="s">
        <v>1139</v>
      </c>
      <c r="W100" s="2639">
        <v>5</v>
      </c>
      <c r="X100" s="2484">
        <v>31</v>
      </c>
      <c r="Y100" s="2480" t="s">
        <v>1139</v>
      </c>
      <c r="Z100" s="2641">
        <v>31</v>
      </c>
      <c r="AA100" s="359"/>
      <c r="AB100" s="359"/>
      <c r="AC100" s="359"/>
    </row>
    <row r="101" spans="1:29" s="1519" customFormat="1" ht="20.25">
      <c r="A101" s="359"/>
      <c r="B101" s="433" t="s">
        <v>343</v>
      </c>
      <c r="C101" s="2480" t="s">
        <v>1139</v>
      </c>
      <c r="D101" s="2636" t="s">
        <v>343</v>
      </c>
      <c r="E101" s="2482" t="s">
        <v>1168</v>
      </c>
      <c r="F101" s="2480" t="s">
        <v>1139</v>
      </c>
      <c r="G101" s="2637" t="s">
        <v>1168</v>
      </c>
      <c r="H101" s="2484">
        <v>6</v>
      </c>
      <c r="I101" s="2480" t="s">
        <v>1139</v>
      </c>
      <c r="J101" s="2636">
        <v>6</v>
      </c>
      <c r="K101" s="2484">
        <v>32</v>
      </c>
      <c r="L101" s="2480" t="s">
        <v>1139</v>
      </c>
      <c r="M101" s="2638">
        <v>32</v>
      </c>
      <c r="N101" s="359"/>
      <c r="O101" s="433" t="s">
        <v>343</v>
      </c>
      <c r="P101" s="2480" t="s">
        <v>1139</v>
      </c>
      <c r="Q101" s="2639" t="s">
        <v>343</v>
      </c>
      <c r="R101" s="2482" t="s">
        <v>1168</v>
      </c>
      <c r="S101" s="2480" t="s">
        <v>1139</v>
      </c>
      <c r="T101" s="2640" t="s">
        <v>1168</v>
      </c>
      <c r="U101" s="2484">
        <v>6</v>
      </c>
      <c r="V101" s="2480" t="s">
        <v>1139</v>
      </c>
      <c r="W101" s="2639">
        <v>6</v>
      </c>
      <c r="X101" s="2484">
        <v>32</v>
      </c>
      <c r="Y101" s="2480" t="s">
        <v>1139</v>
      </c>
      <c r="Z101" s="2641">
        <v>32</v>
      </c>
      <c r="AA101" s="359"/>
      <c r="AB101" s="359"/>
      <c r="AC101" s="359"/>
    </row>
    <row r="102" spans="1:29" s="1519" customFormat="1" ht="20.25">
      <c r="A102" s="359"/>
      <c r="B102" s="433" t="s">
        <v>515</v>
      </c>
      <c r="C102" s="2480" t="s">
        <v>1139</v>
      </c>
      <c r="D102" s="2636" t="s">
        <v>515</v>
      </c>
      <c r="E102" s="2482" t="s">
        <v>1172</v>
      </c>
      <c r="F102" s="2480" t="s">
        <v>1139</v>
      </c>
      <c r="G102" s="2637" t="s">
        <v>1172</v>
      </c>
      <c r="H102" s="2484">
        <v>7</v>
      </c>
      <c r="I102" s="2480" t="s">
        <v>1139</v>
      </c>
      <c r="J102" s="2636">
        <v>7</v>
      </c>
      <c r="K102" s="2484">
        <v>33</v>
      </c>
      <c r="L102" s="2480" t="s">
        <v>1139</v>
      </c>
      <c r="M102" s="2638">
        <v>33</v>
      </c>
      <c r="N102" s="359"/>
      <c r="O102" s="433" t="s">
        <v>515</v>
      </c>
      <c r="P102" s="2480" t="s">
        <v>1139</v>
      </c>
      <c r="Q102" s="2639" t="s">
        <v>515</v>
      </c>
      <c r="R102" s="2482" t="s">
        <v>1172</v>
      </c>
      <c r="S102" s="2480" t="s">
        <v>1139</v>
      </c>
      <c r="T102" s="2640" t="s">
        <v>1172</v>
      </c>
      <c r="U102" s="2484">
        <v>7</v>
      </c>
      <c r="V102" s="2480" t="s">
        <v>1139</v>
      </c>
      <c r="W102" s="2639">
        <v>7</v>
      </c>
      <c r="X102" s="2484">
        <v>33</v>
      </c>
      <c r="Y102" s="2480" t="s">
        <v>1139</v>
      </c>
      <c r="Z102" s="2641">
        <v>33</v>
      </c>
      <c r="AA102" s="359"/>
      <c r="AB102" s="359"/>
      <c r="AC102" s="359"/>
    </row>
    <row r="103" spans="1:29" s="1519" customFormat="1" ht="20.25">
      <c r="A103" s="359"/>
      <c r="B103" s="433" t="s">
        <v>1175</v>
      </c>
      <c r="C103" s="2480" t="s">
        <v>1139</v>
      </c>
      <c r="D103" s="2636" t="s">
        <v>1175</v>
      </c>
      <c r="E103" s="2482" t="s">
        <v>1176</v>
      </c>
      <c r="F103" s="2480" t="s">
        <v>1139</v>
      </c>
      <c r="G103" s="2637" t="s">
        <v>1176</v>
      </c>
      <c r="H103" s="2484">
        <v>8</v>
      </c>
      <c r="I103" s="2480" t="s">
        <v>1139</v>
      </c>
      <c r="J103" s="2636">
        <v>8</v>
      </c>
      <c r="K103" s="2484">
        <v>34</v>
      </c>
      <c r="L103" s="2480" t="s">
        <v>1139</v>
      </c>
      <c r="M103" s="2638">
        <v>34</v>
      </c>
      <c r="N103" s="359"/>
      <c r="O103" s="433" t="s">
        <v>1175</v>
      </c>
      <c r="P103" s="2480" t="s">
        <v>1139</v>
      </c>
      <c r="Q103" s="2639" t="s">
        <v>1175</v>
      </c>
      <c r="R103" s="2482" t="s">
        <v>1176</v>
      </c>
      <c r="S103" s="2480" t="s">
        <v>1139</v>
      </c>
      <c r="T103" s="2640" t="s">
        <v>1176</v>
      </c>
      <c r="U103" s="2484">
        <v>8</v>
      </c>
      <c r="V103" s="2480" t="s">
        <v>1139</v>
      </c>
      <c r="W103" s="2639">
        <v>8</v>
      </c>
      <c r="X103" s="2484">
        <v>34</v>
      </c>
      <c r="Y103" s="2480" t="s">
        <v>1139</v>
      </c>
      <c r="Z103" s="2641">
        <v>34</v>
      </c>
      <c r="AA103" s="359"/>
      <c r="AB103" s="359"/>
      <c r="AC103" s="359"/>
    </row>
    <row r="104" spans="1:29" s="1519" customFormat="1" ht="20.25">
      <c r="A104" s="359"/>
      <c r="B104" s="433" t="s">
        <v>346</v>
      </c>
      <c r="C104" s="2480" t="s">
        <v>1139</v>
      </c>
      <c r="D104" s="2636" t="s">
        <v>346</v>
      </c>
      <c r="E104" s="2482" t="s">
        <v>1179</v>
      </c>
      <c r="F104" s="2480" t="s">
        <v>1139</v>
      </c>
      <c r="G104" s="2637" t="s">
        <v>1179</v>
      </c>
      <c r="H104" s="2484">
        <v>9</v>
      </c>
      <c r="I104" s="2480" t="s">
        <v>1139</v>
      </c>
      <c r="J104" s="2636">
        <v>9</v>
      </c>
      <c r="K104" s="2484">
        <v>35</v>
      </c>
      <c r="L104" s="2480" t="s">
        <v>1139</v>
      </c>
      <c r="M104" s="2638">
        <v>35</v>
      </c>
      <c r="N104" s="359"/>
      <c r="O104" s="433" t="s">
        <v>346</v>
      </c>
      <c r="P104" s="2480" t="s">
        <v>1139</v>
      </c>
      <c r="Q104" s="2639" t="s">
        <v>346</v>
      </c>
      <c r="R104" s="2482" t="s">
        <v>1179</v>
      </c>
      <c r="S104" s="2480" t="s">
        <v>1139</v>
      </c>
      <c r="T104" s="2640" t="s">
        <v>1179</v>
      </c>
      <c r="U104" s="2484">
        <v>9</v>
      </c>
      <c r="V104" s="2480" t="s">
        <v>1139</v>
      </c>
      <c r="W104" s="2639">
        <v>9</v>
      </c>
      <c r="X104" s="2484">
        <v>35</v>
      </c>
      <c r="Y104" s="2480" t="s">
        <v>1139</v>
      </c>
      <c r="Z104" s="2641">
        <v>35</v>
      </c>
      <c r="AA104" s="359"/>
      <c r="AB104" s="359"/>
      <c r="AC104" s="359"/>
    </row>
    <row r="105" spans="1:29" s="1519" customFormat="1" ht="20.25">
      <c r="A105" s="359"/>
      <c r="B105" s="433" t="s">
        <v>349</v>
      </c>
      <c r="C105" s="2480" t="s">
        <v>1139</v>
      </c>
      <c r="D105" s="2636" t="s">
        <v>349</v>
      </c>
      <c r="E105" s="2482" t="s">
        <v>1181</v>
      </c>
      <c r="F105" s="2480" t="s">
        <v>1139</v>
      </c>
      <c r="G105" s="2637" t="s">
        <v>1181</v>
      </c>
      <c r="H105" s="2484">
        <v>10</v>
      </c>
      <c r="I105" s="2480" t="s">
        <v>1139</v>
      </c>
      <c r="J105" s="2636">
        <v>10</v>
      </c>
      <c r="K105" s="2484">
        <v>36</v>
      </c>
      <c r="L105" s="2480" t="s">
        <v>1139</v>
      </c>
      <c r="M105" s="2638">
        <v>36</v>
      </c>
      <c r="N105" s="359"/>
      <c r="O105" s="433" t="s">
        <v>349</v>
      </c>
      <c r="P105" s="2480" t="s">
        <v>1139</v>
      </c>
      <c r="Q105" s="2639" t="s">
        <v>349</v>
      </c>
      <c r="R105" s="2482" t="s">
        <v>1181</v>
      </c>
      <c r="S105" s="2480" t="s">
        <v>1139</v>
      </c>
      <c r="T105" s="2640" t="s">
        <v>1181</v>
      </c>
      <c r="U105" s="2484">
        <v>10</v>
      </c>
      <c r="V105" s="2480" t="s">
        <v>1139</v>
      </c>
      <c r="W105" s="2639">
        <v>10</v>
      </c>
      <c r="X105" s="2484">
        <v>36</v>
      </c>
      <c r="Y105" s="2480" t="s">
        <v>1139</v>
      </c>
      <c r="Z105" s="2641">
        <v>36</v>
      </c>
      <c r="AA105" s="359"/>
      <c r="AB105" s="359"/>
      <c r="AC105" s="359"/>
    </row>
    <row r="106" spans="1:29" s="1519" customFormat="1" ht="20.25">
      <c r="A106" s="359"/>
      <c r="B106" s="433" t="s">
        <v>351</v>
      </c>
      <c r="C106" s="2480" t="s">
        <v>1139</v>
      </c>
      <c r="D106" s="2636" t="s">
        <v>351</v>
      </c>
      <c r="E106" s="2482" t="s">
        <v>1182</v>
      </c>
      <c r="F106" s="2480" t="s">
        <v>1139</v>
      </c>
      <c r="G106" s="2637" t="s">
        <v>1182</v>
      </c>
      <c r="H106" s="2484">
        <v>11</v>
      </c>
      <c r="I106" s="2480" t="s">
        <v>1139</v>
      </c>
      <c r="J106" s="2636">
        <v>11</v>
      </c>
      <c r="K106" s="2484">
        <v>37</v>
      </c>
      <c r="L106" s="2480" t="s">
        <v>1139</v>
      </c>
      <c r="M106" s="2638">
        <v>37</v>
      </c>
      <c r="N106" s="359"/>
      <c r="O106" s="433" t="s">
        <v>351</v>
      </c>
      <c r="P106" s="2480" t="s">
        <v>1139</v>
      </c>
      <c r="Q106" s="2639" t="s">
        <v>351</v>
      </c>
      <c r="R106" s="2482" t="s">
        <v>1182</v>
      </c>
      <c r="S106" s="2480" t="s">
        <v>1139</v>
      </c>
      <c r="T106" s="2640" t="s">
        <v>1182</v>
      </c>
      <c r="U106" s="2484">
        <v>11</v>
      </c>
      <c r="V106" s="2480" t="s">
        <v>1139</v>
      </c>
      <c r="W106" s="2639">
        <v>11</v>
      </c>
      <c r="X106" s="2484">
        <v>37</v>
      </c>
      <c r="Y106" s="2480" t="s">
        <v>1139</v>
      </c>
      <c r="Z106" s="2641">
        <v>37</v>
      </c>
      <c r="AA106" s="359"/>
      <c r="AB106" s="359"/>
      <c r="AC106" s="359"/>
    </row>
    <row r="107" spans="1:29" s="1519" customFormat="1" ht="20.25">
      <c r="A107" s="359"/>
      <c r="B107" s="433" t="s">
        <v>34</v>
      </c>
      <c r="C107" s="2480" t="s">
        <v>1139</v>
      </c>
      <c r="D107" s="2636" t="s">
        <v>34</v>
      </c>
      <c r="E107" s="2482" t="s">
        <v>1183</v>
      </c>
      <c r="F107" s="2480" t="s">
        <v>1139</v>
      </c>
      <c r="G107" s="2637" t="s">
        <v>1183</v>
      </c>
      <c r="H107" s="2484">
        <v>12</v>
      </c>
      <c r="I107" s="2480" t="s">
        <v>1139</v>
      </c>
      <c r="J107" s="2636">
        <v>12</v>
      </c>
      <c r="K107" s="2484">
        <v>38</v>
      </c>
      <c r="L107" s="2480" t="s">
        <v>1139</v>
      </c>
      <c r="M107" s="2638">
        <v>38</v>
      </c>
      <c r="N107" s="359"/>
      <c r="O107" s="433" t="s">
        <v>34</v>
      </c>
      <c r="P107" s="2480" t="s">
        <v>1139</v>
      </c>
      <c r="Q107" s="2639" t="s">
        <v>34</v>
      </c>
      <c r="R107" s="2482" t="s">
        <v>1183</v>
      </c>
      <c r="S107" s="2480" t="s">
        <v>1139</v>
      </c>
      <c r="T107" s="2640" t="s">
        <v>1183</v>
      </c>
      <c r="U107" s="2484">
        <v>12</v>
      </c>
      <c r="V107" s="2480" t="s">
        <v>1139</v>
      </c>
      <c r="W107" s="2639">
        <v>12</v>
      </c>
      <c r="X107" s="2484">
        <v>38</v>
      </c>
      <c r="Y107" s="2480" t="s">
        <v>1139</v>
      </c>
      <c r="Z107" s="2641">
        <v>38</v>
      </c>
      <c r="AA107" s="359"/>
      <c r="AB107" s="359"/>
      <c r="AC107" s="359"/>
    </row>
    <row r="108" spans="1:29" s="1519" customFormat="1" ht="20.25">
      <c r="A108" s="359"/>
      <c r="B108" s="433" t="s">
        <v>537</v>
      </c>
      <c r="C108" s="2480" t="s">
        <v>1139</v>
      </c>
      <c r="D108" s="2636" t="s">
        <v>537</v>
      </c>
      <c r="E108" s="2482" t="s">
        <v>1185</v>
      </c>
      <c r="F108" s="2480" t="s">
        <v>1139</v>
      </c>
      <c r="G108" s="2637" t="s">
        <v>1185</v>
      </c>
      <c r="H108" s="2484">
        <v>13</v>
      </c>
      <c r="I108" s="2480" t="s">
        <v>1139</v>
      </c>
      <c r="J108" s="2636">
        <v>13</v>
      </c>
      <c r="K108" s="2484">
        <v>39</v>
      </c>
      <c r="L108" s="2480" t="s">
        <v>1139</v>
      </c>
      <c r="M108" s="2638">
        <v>39</v>
      </c>
      <c r="N108" s="359"/>
      <c r="O108" s="433" t="s">
        <v>537</v>
      </c>
      <c r="P108" s="2480" t="s">
        <v>1139</v>
      </c>
      <c r="Q108" s="2639" t="s">
        <v>537</v>
      </c>
      <c r="R108" s="2482" t="s">
        <v>1185</v>
      </c>
      <c r="S108" s="2480" t="s">
        <v>1139</v>
      </c>
      <c r="T108" s="2640" t="s">
        <v>1185</v>
      </c>
      <c r="U108" s="2484">
        <v>13</v>
      </c>
      <c r="V108" s="2480" t="s">
        <v>1139</v>
      </c>
      <c r="W108" s="2639">
        <v>13</v>
      </c>
      <c r="X108" s="2484">
        <v>39</v>
      </c>
      <c r="Y108" s="2480" t="s">
        <v>1139</v>
      </c>
      <c r="Z108" s="2641">
        <v>39</v>
      </c>
      <c r="AA108" s="359"/>
      <c r="AB108" s="359"/>
      <c r="AC108" s="359"/>
    </row>
    <row r="109" spans="1:29" s="1519" customFormat="1" ht="20.25">
      <c r="A109" s="359"/>
      <c r="B109" s="433" t="s">
        <v>575</v>
      </c>
      <c r="C109" s="2480" t="s">
        <v>1139</v>
      </c>
      <c r="D109" s="2636" t="s">
        <v>575</v>
      </c>
      <c r="E109" s="2482" t="s">
        <v>1186</v>
      </c>
      <c r="F109" s="2480" t="s">
        <v>1139</v>
      </c>
      <c r="G109" s="2637" t="s">
        <v>1186</v>
      </c>
      <c r="H109" s="2484">
        <v>14</v>
      </c>
      <c r="I109" s="2480" t="s">
        <v>1139</v>
      </c>
      <c r="J109" s="2636">
        <v>14</v>
      </c>
      <c r="K109" s="2484">
        <v>40</v>
      </c>
      <c r="L109" s="2480" t="s">
        <v>1139</v>
      </c>
      <c r="M109" s="2638">
        <v>40</v>
      </c>
      <c r="N109" s="359"/>
      <c r="O109" s="433" t="s">
        <v>575</v>
      </c>
      <c r="P109" s="2480" t="s">
        <v>1139</v>
      </c>
      <c r="Q109" s="2639" t="s">
        <v>575</v>
      </c>
      <c r="R109" s="2482" t="s">
        <v>1186</v>
      </c>
      <c r="S109" s="2480" t="s">
        <v>1139</v>
      </c>
      <c r="T109" s="2640" t="s">
        <v>1186</v>
      </c>
      <c r="U109" s="2484">
        <v>14</v>
      </c>
      <c r="V109" s="2480" t="s">
        <v>1139</v>
      </c>
      <c r="W109" s="2639">
        <v>14</v>
      </c>
      <c r="X109" s="2484">
        <v>40</v>
      </c>
      <c r="Y109" s="2480" t="s">
        <v>1139</v>
      </c>
      <c r="Z109" s="2641">
        <v>40</v>
      </c>
      <c r="AA109" s="359"/>
      <c r="AB109" s="359"/>
      <c r="AC109" s="359"/>
    </row>
    <row r="110" spans="1:29" s="1519" customFormat="1" ht="20.25">
      <c r="A110" s="359"/>
      <c r="B110" s="433" t="s">
        <v>583</v>
      </c>
      <c r="C110" s="2480" t="s">
        <v>1139</v>
      </c>
      <c r="D110" s="2636" t="s">
        <v>583</v>
      </c>
      <c r="E110" s="2482" t="s">
        <v>1187</v>
      </c>
      <c r="F110" s="2480" t="s">
        <v>1139</v>
      </c>
      <c r="G110" s="2637" t="s">
        <v>1187</v>
      </c>
      <c r="H110" s="2484">
        <v>15</v>
      </c>
      <c r="I110" s="2480" t="s">
        <v>1139</v>
      </c>
      <c r="J110" s="2636">
        <v>15</v>
      </c>
      <c r="K110" s="2484">
        <v>41</v>
      </c>
      <c r="L110" s="2480" t="s">
        <v>1139</v>
      </c>
      <c r="M110" s="2638">
        <v>41</v>
      </c>
      <c r="N110" s="359"/>
      <c r="O110" s="433" t="s">
        <v>583</v>
      </c>
      <c r="P110" s="2480" t="s">
        <v>1139</v>
      </c>
      <c r="Q110" s="2639" t="s">
        <v>583</v>
      </c>
      <c r="R110" s="2482" t="s">
        <v>1187</v>
      </c>
      <c r="S110" s="2480" t="s">
        <v>1139</v>
      </c>
      <c r="T110" s="2640" t="s">
        <v>1187</v>
      </c>
      <c r="U110" s="2484">
        <v>15</v>
      </c>
      <c r="V110" s="2480" t="s">
        <v>1139</v>
      </c>
      <c r="W110" s="2639">
        <v>15</v>
      </c>
      <c r="X110" s="2484">
        <v>41</v>
      </c>
      <c r="Y110" s="2480" t="s">
        <v>1139</v>
      </c>
      <c r="Z110" s="2641">
        <v>41</v>
      </c>
      <c r="AA110" s="359"/>
      <c r="AB110" s="359"/>
      <c r="AC110" s="359"/>
    </row>
    <row r="111" spans="1:29" s="1519" customFormat="1" ht="20.25">
      <c r="A111" s="359"/>
      <c r="B111" s="433" t="s">
        <v>620</v>
      </c>
      <c r="C111" s="2480" t="s">
        <v>1139</v>
      </c>
      <c r="D111" s="2636" t="s">
        <v>620</v>
      </c>
      <c r="E111" s="2482" t="s">
        <v>1178</v>
      </c>
      <c r="F111" s="2480" t="s">
        <v>1139</v>
      </c>
      <c r="G111" s="2637" t="s">
        <v>1178</v>
      </c>
      <c r="H111" s="2484">
        <v>16</v>
      </c>
      <c r="I111" s="2480" t="s">
        <v>1139</v>
      </c>
      <c r="J111" s="2636">
        <v>16</v>
      </c>
      <c r="K111" s="2484">
        <v>42</v>
      </c>
      <c r="L111" s="2480" t="s">
        <v>1139</v>
      </c>
      <c r="M111" s="2638">
        <v>42</v>
      </c>
      <c r="N111" s="359"/>
      <c r="O111" s="433" t="s">
        <v>620</v>
      </c>
      <c r="P111" s="2480" t="s">
        <v>1139</v>
      </c>
      <c r="Q111" s="2639" t="s">
        <v>620</v>
      </c>
      <c r="R111" s="2482" t="s">
        <v>1178</v>
      </c>
      <c r="S111" s="2480" t="s">
        <v>1139</v>
      </c>
      <c r="T111" s="2640" t="s">
        <v>1178</v>
      </c>
      <c r="U111" s="2484">
        <v>16</v>
      </c>
      <c r="V111" s="2480" t="s">
        <v>1139</v>
      </c>
      <c r="W111" s="2639">
        <v>16</v>
      </c>
      <c r="X111" s="2484">
        <v>42</v>
      </c>
      <c r="Y111" s="2480" t="s">
        <v>1139</v>
      </c>
      <c r="Z111" s="2641">
        <v>42</v>
      </c>
      <c r="AA111" s="359"/>
      <c r="AB111" s="359"/>
      <c r="AC111" s="359"/>
    </row>
    <row r="112" spans="1:29" s="1519" customFormat="1" ht="20.25">
      <c r="A112" s="359"/>
      <c r="B112" s="433" t="s">
        <v>1188</v>
      </c>
      <c r="C112" s="2480" t="s">
        <v>1139</v>
      </c>
      <c r="D112" s="2636" t="s">
        <v>1188</v>
      </c>
      <c r="E112" s="2482" t="s">
        <v>1174</v>
      </c>
      <c r="F112" s="2480" t="s">
        <v>1139</v>
      </c>
      <c r="G112" s="2637" t="s">
        <v>1174</v>
      </c>
      <c r="H112" s="2484">
        <v>17</v>
      </c>
      <c r="I112" s="2480" t="s">
        <v>1139</v>
      </c>
      <c r="J112" s="2636">
        <v>17</v>
      </c>
      <c r="K112" s="2484">
        <v>43</v>
      </c>
      <c r="L112" s="2480" t="s">
        <v>1139</v>
      </c>
      <c r="M112" s="2638">
        <v>43</v>
      </c>
      <c r="N112" s="359"/>
      <c r="O112" s="433" t="s">
        <v>1188</v>
      </c>
      <c r="P112" s="2480" t="s">
        <v>1139</v>
      </c>
      <c r="Q112" s="2639" t="s">
        <v>1188</v>
      </c>
      <c r="R112" s="2482" t="s">
        <v>1174</v>
      </c>
      <c r="S112" s="2480" t="s">
        <v>1139</v>
      </c>
      <c r="T112" s="2640" t="s">
        <v>1174</v>
      </c>
      <c r="U112" s="2484">
        <v>17</v>
      </c>
      <c r="V112" s="2480" t="s">
        <v>1139</v>
      </c>
      <c r="W112" s="2639">
        <v>17</v>
      </c>
      <c r="X112" s="2484">
        <v>43</v>
      </c>
      <c r="Y112" s="2480" t="s">
        <v>1139</v>
      </c>
      <c r="Z112" s="2641">
        <v>43</v>
      </c>
      <c r="AA112" s="359"/>
      <c r="AB112" s="359"/>
      <c r="AC112" s="359"/>
    </row>
    <row r="113" spans="1:29" s="1519" customFormat="1" ht="20.25">
      <c r="A113" s="359"/>
      <c r="B113" s="433" t="s">
        <v>516</v>
      </c>
      <c r="C113" s="2480" t="s">
        <v>1139</v>
      </c>
      <c r="D113" s="2636" t="s">
        <v>516</v>
      </c>
      <c r="E113" s="2482" t="s">
        <v>1189</v>
      </c>
      <c r="F113" s="2480" t="s">
        <v>1139</v>
      </c>
      <c r="G113" s="2637" t="s">
        <v>1189</v>
      </c>
      <c r="H113" s="2484">
        <v>18</v>
      </c>
      <c r="I113" s="2480" t="s">
        <v>1139</v>
      </c>
      <c r="J113" s="2636">
        <v>18</v>
      </c>
      <c r="K113" s="2484">
        <v>44</v>
      </c>
      <c r="L113" s="2480" t="s">
        <v>1139</v>
      </c>
      <c r="M113" s="2638">
        <v>44</v>
      </c>
      <c r="N113" s="359"/>
      <c r="O113" s="433" t="s">
        <v>516</v>
      </c>
      <c r="P113" s="2480" t="s">
        <v>1139</v>
      </c>
      <c r="Q113" s="2639" t="s">
        <v>516</v>
      </c>
      <c r="R113" s="2482" t="s">
        <v>1189</v>
      </c>
      <c r="S113" s="2480" t="s">
        <v>1139</v>
      </c>
      <c r="T113" s="2640" t="s">
        <v>1189</v>
      </c>
      <c r="U113" s="2484">
        <v>18</v>
      </c>
      <c r="V113" s="2480" t="s">
        <v>1139</v>
      </c>
      <c r="W113" s="2639">
        <v>18</v>
      </c>
      <c r="X113" s="2484">
        <v>44</v>
      </c>
      <c r="Y113" s="2480" t="s">
        <v>1139</v>
      </c>
      <c r="Z113" s="2641">
        <v>44</v>
      </c>
      <c r="AA113" s="359"/>
      <c r="AB113" s="359"/>
      <c r="AC113" s="359"/>
    </row>
    <row r="114" spans="1:29" s="1519" customFormat="1" ht="20.25">
      <c r="A114" s="359"/>
      <c r="B114" s="433" t="s">
        <v>353</v>
      </c>
      <c r="C114" s="2480" t="s">
        <v>1139</v>
      </c>
      <c r="D114" s="2636" t="s">
        <v>353</v>
      </c>
      <c r="E114" s="2482" t="s">
        <v>1190</v>
      </c>
      <c r="F114" s="2480" t="s">
        <v>1139</v>
      </c>
      <c r="G114" s="2637" t="s">
        <v>1190</v>
      </c>
      <c r="H114" s="2484">
        <v>19</v>
      </c>
      <c r="I114" s="2480" t="s">
        <v>1139</v>
      </c>
      <c r="J114" s="2636">
        <v>19</v>
      </c>
      <c r="K114" s="2484">
        <v>45</v>
      </c>
      <c r="L114" s="2480" t="s">
        <v>1139</v>
      </c>
      <c r="M114" s="2638">
        <v>45</v>
      </c>
      <c r="N114" s="359"/>
      <c r="O114" s="433" t="s">
        <v>353</v>
      </c>
      <c r="P114" s="2480" t="s">
        <v>1139</v>
      </c>
      <c r="Q114" s="2639" t="s">
        <v>353</v>
      </c>
      <c r="R114" s="2482" t="s">
        <v>1190</v>
      </c>
      <c r="S114" s="2480" t="s">
        <v>1139</v>
      </c>
      <c r="T114" s="2640" t="s">
        <v>1190</v>
      </c>
      <c r="U114" s="2484">
        <v>19</v>
      </c>
      <c r="V114" s="2480" t="s">
        <v>1139</v>
      </c>
      <c r="W114" s="2639">
        <v>19</v>
      </c>
      <c r="X114" s="2484">
        <v>45</v>
      </c>
      <c r="Y114" s="2480" t="s">
        <v>1139</v>
      </c>
      <c r="Z114" s="2641">
        <v>45</v>
      </c>
      <c r="AA114" s="359"/>
      <c r="AB114" s="359"/>
      <c r="AC114" s="359"/>
    </row>
    <row r="115" spans="1:29" s="1519" customFormat="1" ht="20.25">
      <c r="A115" s="359"/>
      <c r="B115" s="433" t="s">
        <v>595</v>
      </c>
      <c r="C115" s="2480" t="s">
        <v>1139</v>
      </c>
      <c r="D115" s="2636" t="s">
        <v>595</v>
      </c>
      <c r="E115" s="2482" t="s">
        <v>1171</v>
      </c>
      <c r="F115" s="2480" t="s">
        <v>1139</v>
      </c>
      <c r="G115" s="2637" t="s">
        <v>1171</v>
      </c>
      <c r="H115" s="2484">
        <v>20</v>
      </c>
      <c r="I115" s="2480" t="s">
        <v>1139</v>
      </c>
      <c r="J115" s="2636">
        <v>20</v>
      </c>
      <c r="K115" s="2484">
        <v>46</v>
      </c>
      <c r="L115" s="2480" t="s">
        <v>1139</v>
      </c>
      <c r="M115" s="2638">
        <v>46</v>
      </c>
      <c r="N115" s="359"/>
      <c r="O115" s="433" t="s">
        <v>595</v>
      </c>
      <c r="P115" s="2480" t="s">
        <v>1139</v>
      </c>
      <c r="Q115" s="2639" t="s">
        <v>595</v>
      </c>
      <c r="R115" s="2482" t="s">
        <v>1171</v>
      </c>
      <c r="S115" s="2480" t="s">
        <v>1139</v>
      </c>
      <c r="T115" s="2640" t="s">
        <v>1171</v>
      </c>
      <c r="U115" s="2484">
        <v>20</v>
      </c>
      <c r="V115" s="2480" t="s">
        <v>1139</v>
      </c>
      <c r="W115" s="2639">
        <v>20</v>
      </c>
      <c r="X115" s="2484">
        <v>46</v>
      </c>
      <c r="Y115" s="2480" t="s">
        <v>1139</v>
      </c>
      <c r="Z115" s="2641">
        <v>46</v>
      </c>
      <c r="AA115" s="359"/>
      <c r="AB115" s="359"/>
      <c r="AC115" s="359"/>
    </row>
    <row r="116" spans="1:29" s="1519" customFormat="1" ht="20.25">
      <c r="A116" s="359"/>
      <c r="B116" s="433" t="s">
        <v>1191</v>
      </c>
      <c r="C116" s="2480" t="s">
        <v>1139</v>
      </c>
      <c r="D116" s="2636" t="s">
        <v>1191</v>
      </c>
      <c r="E116" s="2482" t="s">
        <v>1177</v>
      </c>
      <c r="F116" s="2480" t="s">
        <v>1139</v>
      </c>
      <c r="G116" s="2637" t="s">
        <v>1177</v>
      </c>
      <c r="H116" s="2484">
        <v>21</v>
      </c>
      <c r="I116" s="2480" t="s">
        <v>1139</v>
      </c>
      <c r="J116" s="2636">
        <v>21</v>
      </c>
      <c r="K116" s="2484">
        <v>47</v>
      </c>
      <c r="L116" s="2480" t="s">
        <v>1139</v>
      </c>
      <c r="M116" s="2638">
        <v>47</v>
      </c>
      <c r="N116" s="359"/>
      <c r="O116" s="433" t="s">
        <v>1191</v>
      </c>
      <c r="P116" s="2480" t="s">
        <v>1139</v>
      </c>
      <c r="Q116" s="2639" t="s">
        <v>1191</v>
      </c>
      <c r="R116" s="2482" t="s">
        <v>1177</v>
      </c>
      <c r="S116" s="2480" t="s">
        <v>1139</v>
      </c>
      <c r="T116" s="2640" t="s">
        <v>1177</v>
      </c>
      <c r="U116" s="2484">
        <v>21</v>
      </c>
      <c r="V116" s="2480" t="s">
        <v>1139</v>
      </c>
      <c r="W116" s="2639">
        <v>21</v>
      </c>
      <c r="X116" s="2484">
        <v>47</v>
      </c>
      <c r="Y116" s="2480" t="s">
        <v>1139</v>
      </c>
      <c r="Z116" s="2641">
        <v>47</v>
      </c>
      <c r="AA116" s="359"/>
      <c r="AB116" s="359"/>
      <c r="AC116" s="359"/>
    </row>
    <row r="117" spans="1:29" s="1519" customFormat="1" ht="20.25">
      <c r="A117" s="359"/>
      <c r="B117" s="433" t="s">
        <v>633</v>
      </c>
      <c r="C117" s="2480" t="s">
        <v>1139</v>
      </c>
      <c r="D117" s="2636" t="s">
        <v>633</v>
      </c>
      <c r="E117" s="2482" t="s">
        <v>1192</v>
      </c>
      <c r="F117" s="2480" t="s">
        <v>1139</v>
      </c>
      <c r="G117" s="2637" t="s">
        <v>1192</v>
      </c>
      <c r="H117" s="2484">
        <v>22</v>
      </c>
      <c r="I117" s="2480" t="s">
        <v>1139</v>
      </c>
      <c r="J117" s="2636">
        <v>22</v>
      </c>
      <c r="K117" s="2484">
        <v>48</v>
      </c>
      <c r="L117" s="2480" t="s">
        <v>1139</v>
      </c>
      <c r="M117" s="2638">
        <v>48</v>
      </c>
      <c r="N117" s="359"/>
      <c r="O117" s="433" t="s">
        <v>633</v>
      </c>
      <c r="P117" s="2480" t="s">
        <v>1139</v>
      </c>
      <c r="Q117" s="2639" t="s">
        <v>633</v>
      </c>
      <c r="R117" s="2482" t="s">
        <v>1192</v>
      </c>
      <c r="S117" s="2480" t="s">
        <v>1139</v>
      </c>
      <c r="T117" s="2640" t="s">
        <v>1192</v>
      </c>
      <c r="U117" s="2484">
        <v>22</v>
      </c>
      <c r="V117" s="2480" t="s">
        <v>1139</v>
      </c>
      <c r="W117" s="2639">
        <v>22</v>
      </c>
      <c r="X117" s="2484">
        <v>48</v>
      </c>
      <c r="Y117" s="2480" t="s">
        <v>1139</v>
      </c>
      <c r="Z117" s="2641">
        <v>48</v>
      </c>
      <c r="AA117" s="359"/>
      <c r="AB117" s="359"/>
      <c r="AC117" s="359"/>
    </row>
    <row r="118" spans="1:29" s="1519" customFormat="1" ht="20.25">
      <c r="A118" s="359"/>
      <c r="B118" s="433" t="s">
        <v>1193</v>
      </c>
      <c r="C118" s="2480" t="s">
        <v>1139</v>
      </c>
      <c r="D118" s="2636" t="s">
        <v>1193</v>
      </c>
      <c r="E118" s="2482" t="s">
        <v>1194</v>
      </c>
      <c r="F118" s="2480" t="s">
        <v>1139</v>
      </c>
      <c r="G118" s="2637" t="s">
        <v>1194</v>
      </c>
      <c r="H118" s="2484">
        <v>23</v>
      </c>
      <c r="I118" s="2480" t="s">
        <v>1139</v>
      </c>
      <c r="J118" s="2636">
        <v>23</v>
      </c>
      <c r="K118" s="2484">
        <v>49</v>
      </c>
      <c r="L118" s="2480" t="s">
        <v>1139</v>
      </c>
      <c r="M118" s="2638">
        <v>49</v>
      </c>
      <c r="N118" s="359"/>
      <c r="O118" s="433" t="s">
        <v>1193</v>
      </c>
      <c r="P118" s="2480" t="s">
        <v>1139</v>
      </c>
      <c r="Q118" s="2639" t="s">
        <v>1193</v>
      </c>
      <c r="R118" s="2482" t="s">
        <v>1194</v>
      </c>
      <c r="S118" s="2480" t="s">
        <v>1139</v>
      </c>
      <c r="T118" s="2640" t="s">
        <v>1194</v>
      </c>
      <c r="U118" s="2484">
        <v>23</v>
      </c>
      <c r="V118" s="2480" t="s">
        <v>1139</v>
      </c>
      <c r="W118" s="2639">
        <v>23</v>
      </c>
      <c r="X118" s="2484">
        <v>49</v>
      </c>
      <c r="Y118" s="2480" t="s">
        <v>1139</v>
      </c>
      <c r="Z118" s="2641">
        <v>49</v>
      </c>
      <c r="AA118" s="359"/>
      <c r="AB118" s="359"/>
      <c r="AC118" s="359"/>
    </row>
    <row r="119" spans="1:29" s="1519" customFormat="1" ht="20.25">
      <c r="A119" s="359"/>
      <c r="B119" s="433" t="s">
        <v>1170</v>
      </c>
      <c r="C119" s="2480" t="s">
        <v>1139</v>
      </c>
      <c r="D119" s="2636" t="s">
        <v>1170</v>
      </c>
      <c r="E119" s="2482" t="s">
        <v>1195</v>
      </c>
      <c r="F119" s="2480" t="s">
        <v>1139</v>
      </c>
      <c r="G119" s="2637" t="s">
        <v>1195</v>
      </c>
      <c r="H119" s="2484">
        <v>24</v>
      </c>
      <c r="I119" s="2480" t="s">
        <v>1139</v>
      </c>
      <c r="J119" s="2636">
        <v>24</v>
      </c>
      <c r="K119" s="2484">
        <v>50</v>
      </c>
      <c r="L119" s="2480" t="s">
        <v>1139</v>
      </c>
      <c r="M119" s="2638">
        <v>50</v>
      </c>
      <c r="N119" s="359"/>
      <c r="O119" s="433" t="s">
        <v>1170</v>
      </c>
      <c r="P119" s="2480" t="s">
        <v>1139</v>
      </c>
      <c r="Q119" s="2639" t="s">
        <v>1170</v>
      </c>
      <c r="R119" s="2482" t="s">
        <v>1195</v>
      </c>
      <c r="S119" s="2480" t="s">
        <v>1139</v>
      </c>
      <c r="T119" s="2640" t="s">
        <v>1195</v>
      </c>
      <c r="U119" s="2484">
        <v>24</v>
      </c>
      <c r="V119" s="2480" t="s">
        <v>1139</v>
      </c>
      <c r="W119" s="2639">
        <v>24</v>
      </c>
      <c r="X119" s="2484">
        <v>50</v>
      </c>
      <c r="Y119" s="2480" t="s">
        <v>1139</v>
      </c>
      <c r="Z119" s="2641">
        <v>50</v>
      </c>
      <c r="AA119" s="359"/>
      <c r="AB119" s="359"/>
      <c r="AC119" s="359"/>
    </row>
    <row r="120" spans="1:29" s="1519" customFormat="1" ht="20.25">
      <c r="A120" s="359"/>
      <c r="B120" s="433" t="s">
        <v>1197</v>
      </c>
      <c r="C120" s="2480" t="s">
        <v>1139</v>
      </c>
      <c r="D120" s="2636" t="s">
        <v>1197</v>
      </c>
      <c r="E120" s="2482" t="s">
        <v>1198</v>
      </c>
      <c r="F120" s="2480" t="s">
        <v>1139</v>
      </c>
      <c r="G120" s="2637" t="s">
        <v>1198</v>
      </c>
      <c r="H120" s="2484">
        <v>25</v>
      </c>
      <c r="I120" s="2480" t="s">
        <v>1139</v>
      </c>
      <c r="J120" s="2636">
        <v>25</v>
      </c>
      <c r="K120" s="2484">
        <v>51</v>
      </c>
      <c r="L120" s="2480" t="s">
        <v>1139</v>
      </c>
      <c r="M120" s="2638">
        <v>51</v>
      </c>
      <c r="N120" s="359"/>
      <c r="O120" s="433" t="s">
        <v>1197</v>
      </c>
      <c r="P120" s="2480" t="s">
        <v>1139</v>
      </c>
      <c r="Q120" s="2639" t="s">
        <v>1197</v>
      </c>
      <c r="R120" s="2482" t="s">
        <v>1198</v>
      </c>
      <c r="S120" s="2480" t="s">
        <v>1139</v>
      </c>
      <c r="T120" s="2640" t="s">
        <v>1198</v>
      </c>
      <c r="U120" s="2484">
        <v>25</v>
      </c>
      <c r="V120" s="2480" t="s">
        <v>1139</v>
      </c>
      <c r="W120" s="2639">
        <v>25</v>
      </c>
      <c r="X120" s="2484">
        <v>51</v>
      </c>
      <c r="Y120" s="2480" t="s">
        <v>1139</v>
      </c>
      <c r="Z120" s="2641">
        <v>51</v>
      </c>
      <c r="AA120" s="359"/>
      <c r="AB120" s="359"/>
      <c r="AC120" s="359"/>
    </row>
    <row r="121" spans="1:29" s="1519" customFormat="1" ht="20.25">
      <c r="A121" s="359"/>
      <c r="B121" s="433" t="s">
        <v>1173</v>
      </c>
      <c r="C121" s="2480" t="s">
        <v>1139</v>
      </c>
      <c r="D121" s="2636" t="s">
        <v>1173</v>
      </c>
      <c r="E121" s="2482" t="s">
        <v>1200</v>
      </c>
      <c r="F121" s="2480" t="s">
        <v>1139</v>
      </c>
      <c r="G121" s="2637" t="s">
        <v>1200</v>
      </c>
      <c r="H121" s="2484">
        <v>26</v>
      </c>
      <c r="I121" s="2480" t="s">
        <v>1139</v>
      </c>
      <c r="J121" s="2636">
        <v>26</v>
      </c>
      <c r="K121" s="2484">
        <v>52</v>
      </c>
      <c r="L121" s="2480" t="s">
        <v>1139</v>
      </c>
      <c r="M121" s="2638">
        <v>52</v>
      </c>
      <c r="N121" s="359"/>
      <c r="O121" s="433" t="s">
        <v>1173</v>
      </c>
      <c r="P121" s="2480" t="s">
        <v>1139</v>
      </c>
      <c r="Q121" s="2639" t="s">
        <v>1173</v>
      </c>
      <c r="R121" s="2482" t="s">
        <v>1200</v>
      </c>
      <c r="S121" s="2480" t="s">
        <v>1139</v>
      </c>
      <c r="T121" s="2640" t="s">
        <v>1200</v>
      </c>
      <c r="U121" s="2484">
        <v>26</v>
      </c>
      <c r="V121" s="2480" t="s">
        <v>1139</v>
      </c>
      <c r="W121" s="2639">
        <v>26</v>
      </c>
      <c r="X121" s="2484">
        <v>52</v>
      </c>
      <c r="Y121" s="2480" t="s">
        <v>1139</v>
      </c>
      <c r="Z121" s="2641">
        <v>52</v>
      </c>
      <c r="AA121" s="359"/>
      <c r="AB121" s="359"/>
      <c r="AC121" s="359"/>
    </row>
    <row r="122" spans="1:29" s="1519" customFormat="1" ht="20.25">
      <c r="A122" s="359"/>
      <c r="B122" s="433" t="s">
        <v>1202</v>
      </c>
      <c r="C122" s="2480" t="s">
        <v>1139</v>
      </c>
      <c r="D122" s="2636" t="s">
        <v>1202</v>
      </c>
      <c r="E122" s="2482" t="s">
        <v>19</v>
      </c>
      <c r="F122" s="2480" t="s">
        <v>1139</v>
      </c>
      <c r="G122" s="2637" t="s">
        <v>19</v>
      </c>
      <c r="H122" s="2484" t="s">
        <v>1203</v>
      </c>
      <c r="I122" s="2480" t="s">
        <v>1139</v>
      </c>
      <c r="J122" s="2636" t="s">
        <v>1203</v>
      </c>
      <c r="K122" s="2484" t="s">
        <v>1204</v>
      </c>
      <c r="L122" s="2480" t="s">
        <v>1139</v>
      </c>
      <c r="M122" s="2638" t="s">
        <v>1204</v>
      </c>
      <c r="N122" s="359"/>
      <c r="O122" s="433" t="s">
        <v>1202</v>
      </c>
      <c r="P122" s="2480" t="s">
        <v>1139</v>
      </c>
      <c r="Q122" s="2639" t="s">
        <v>1202</v>
      </c>
      <c r="R122" s="2482" t="s">
        <v>19</v>
      </c>
      <c r="S122" s="2480" t="s">
        <v>1139</v>
      </c>
      <c r="T122" s="2640" t="s">
        <v>19</v>
      </c>
      <c r="U122" s="2484" t="s">
        <v>1203</v>
      </c>
      <c r="V122" s="2480" t="s">
        <v>1139</v>
      </c>
      <c r="W122" s="2639" t="s">
        <v>1203</v>
      </c>
      <c r="X122" s="2484" t="s">
        <v>1204</v>
      </c>
      <c r="Y122" s="2480" t="s">
        <v>1139</v>
      </c>
      <c r="Z122" s="2641" t="s">
        <v>1204</v>
      </c>
      <c r="AA122" s="359"/>
      <c r="AB122" s="359"/>
      <c r="AC122" s="359"/>
    </row>
    <row r="123" spans="1:29" s="1519" customFormat="1" ht="20.25">
      <c r="A123" s="359"/>
      <c r="B123" s="433" t="s">
        <v>1205</v>
      </c>
      <c r="C123" s="2480" t="s">
        <v>1139</v>
      </c>
      <c r="D123" s="2636" t="s">
        <v>1205</v>
      </c>
      <c r="E123" s="2482" t="s">
        <v>1206</v>
      </c>
      <c r="F123" s="2480" t="s">
        <v>1139</v>
      </c>
      <c r="G123" s="2637" t="s">
        <v>1206</v>
      </c>
      <c r="H123" s="2484" t="s">
        <v>212</v>
      </c>
      <c r="I123" s="2480" t="s">
        <v>1139</v>
      </c>
      <c r="J123" s="2636" t="s">
        <v>212</v>
      </c>
      <c r="K123" s="2484" t="s">
        <v>1207</v>
      </c>
      <c r="L123" s="2480" t="s">
        <v>1139</v>
      </c>
      <c r="M123" s="2638" t="s">
        <v>1207</v>
      </c>
      <c r="N123" s="359"/>
      <c r="O123" s="433" t="s">
        <v>1205</v>
      </c>
      <c r="P123" s="2480" t="s">
        <v>1139</v>
      </c>
      <c r="Q123" s="2639" t="s">
        <v>1205</v>
      </c>
      <c r="R123" s="2482" t="s">
        <v>1206</v>
      </c>
      <c r="S123" s="2480" t="s">
        <v>1139</v>
      </c>
      <c r="T123" s="2640" t="s">
        <v>1206</v>
      </c>
      <c r="U123" s="2484" t="s">
        <v>212</v>
      </c>
      <c r="V123" s="2480" t="s">
        <v>1139</v>
      </c>
      <c r="W123" s="2639" t="s">
        <v>212</v>
      </c>
      <c r="X123" s="2484" t="s">
        <v>1207</v>
      </c>
      <c r="Y123" s="2480" t="s">
        <v>1139</v>
      </c>
      <c r="Z123" s="2641" t="s">
        <v>1207</v>
      </c>
      <c r="AA123" s="359"/>
      <c r="AB123" s="359"/>
      <c r="AC123" s="359"/>
    </row>
    <row r="124" spans="1:29" s="1519" customFormat="1" ht="20.25">
      <c r="A124" s="359"/>
      <c r="B124" s="433" t="s">
        <v>1209</v>
      </c>
      <c r="C124" s="2480" t="s">
        <v>1139</v>
      </c>
      <c r="D124" s="2636" t="s">
        <v>1209</v>
      </c>
      <c r="E124" s="2482" t="s">
        <v>1210</v>
      </c>
      <c r="F124" s="2480" t="s">
        <v>1139</v>
      </c>
      <c r="G124" s="2637" t="s">
        <v>1210</v>
      </c>
      <c r="H124" s="2484" t="s">
        <v>1211</v>
      </c>
      <c r="I124" s="2480" t="s">
        <v>1139</v>
      </c>
      <c r="J124" s="2636" t="s">
        <v>1211</v>
      </c>
      <c r="K124" s="2484" t="s">
        <v>1212</v>
      </c>
      <c r="L124" s="2480" t="s">
        <v>1139</v>
      </c>
      <c r="M124" s="2638" t="s">
        <v>1212</v>
      </c>
      <c r="N124" s="359"/>
      <c r="O124" s="433" t="s">
        <v>1209</v>
      </c>
      <c r="P124" s="2480" t="s">
        <v>1139</v>
      </c>
      <c r="Q124" s="2639" t="s">
        <v>1209</v>
      </c>
      <c r="R124" s="2482" t="s">
        <v>1210</v>
      </c>
      <c r="S124" s="2480" t="s">
        <v>1139</v>
      </c>
      <c r="T124" s="2640" t="s">
        <v>1210</v>
      </c>
      <c r="U124" s="2484" t="s">
        <v>1211</v>
      </c>
      <c r="V124" s="2480" t="s">
        <v>1139</v>
      </c>
      <c r="W124" s="2639" t="s">
        <v>1211</v>
      </c>
      <c r="X124" s="2484" t="s">
        <v>1212</v>
      </c>
      <c r="Y124" s="2480" t="s">
        <v>1139</v>
      </c>
      <c r="Z124" s="2641" t="s">
        <v>1212</v>
      </c>
      <c r="AA124" s="359"/>
      <c r="AB124" s="359"/>
      <c r="AC124" s="359"/>
    </row>
    <row r="125" spans="1:29" s="1519" customFormat="1" ht="20.25">
      <c r="A125" s="359"/>
      <c r="B125" s="433" t="s">
        <v>1214</v>
      </c>
      <c r="C125" s="2480" t="s">
        <v>1139</v>
      </c>
      <c r="D125" s="2636" t="s">
        <v>1214</v>
      </c>
      <c r="E125" s="2482" t="s">
        <v>1215</v>
      </c>
      <c r="F125" s="2480" t="s">
        <v>1139</v>
      </c>
      <c r="G125" s="2637" t="s">
        <v>1215</v>
      </c>
      <c r="H125" s="2484" t="s">
        <v>64</v>
      </c>
      <c r="I125" s="2480" t="s">
        <v>1139</v>
      </c>
      <c r="J125" s="2636" t="s">
        <v>64</v>
      </c>
      <c r="K125" s="2484" t="s">
        <v>2</v>
      </c>
      <c r="L125" s="2480" t="s">
        <v>1139</v>
      </c>
      <c r="M125" s="2638" t="s">
        <v>2</v>
      </c>
      <c r="N125" s="359"/>
      <c r="O125" s="433" t="s">
        <v>1214</v>
      </c>
      <c r="P125" s="2480" t="s">
        <v>1139</v>
      </c>
      <c r="Q125" s="2639" t="s">
        <v>1214</v>
      </c>
      <c r="R125" s="2482" t="s">
        <v>1215</v>
      </c>
      <c r="S125" s="2480" t="s">
        <v>1139</v>
      </c>
      <c r="T125" s="2640" t="s">
        <v>1215</v>
      </c>
      <c r="U125" s="2484" t="s">
        <v>64</v>
      </c>
      <c r="V125" s="2480" t="s">
        <v>1139</v>
      </c>
      <c r="W125" s="2639" t="s">
        <v>64</v>
      </c>
      <c r="X125" s="2484" t="s">
        <v>2</v>
      </c>
      <c r="Y125" s="2480" t="s">
        <v>1139</v>
      </c>
      <c r="Z125" s="2641" t="s">
        <v>2</v>
      </c>
      <c r="AA125" s="359"/>
      <c r="AB125" s="359"/>
      <c r="AC125" s="359"/>
    </row>
    <row r="126" spans="1:29" s="1519" customFormat="1" ht="20.25">
      <c r="A126" s="359"/>
      <c r="B126" s="433" t="s">
        <v>1216</v>
      </c>
      <c r="C126" s="2480" t="s">
        <v>1139</v>
      </c>
      <c r="D126" s="2636" t="s">
        <v>1216</v>
      </c>
      <c r="E126" s="2482" t="s">
        <v>1217</v>
      </c>
      <c r="F126" s="2480" t="s">
        <v>1139</v>
      </c>
      <c r="G126" s="2637" t="s">
        <v>1217</v>
      </c>
      <c r="H126" s="2484" t="s">
        <v>1218</v>
      </c>
      <c r="I126" s="2480" t="s">
        <v>1139</v>
      </c>
      <c r="J126" s="2636" t="s">
        <v>1218</v>
      </c>
      <c r="K126" s="2484" t="s">
        <v>1219</v>
      </c>
      <c r="L126" s="2480" t="s">
        <v>1139</v>
      </c>
      <c r="M126" s="2638" t="s">
        <v>1219</v>
      </c>
      <c r="N126" s="359"/>
      <c r="O126" s="433" t="s">
        <v>1216</v>
      </c>
      <c r="P126" s="2480" t="s">
        <v>1139</v>
      </c>
      <c r="Q126" s="2639" t="s">
        <v>1216</v>
      </c>
      <c r="R126" s="2482" t="s">
        <v>1217</v>
      </c>
      <c r="S126" s="2480" t="s">
        <v>1139</v>
      </c>
      <c r="T126" s="2640" t="s">
        <v>1217</v>
      </c>
      <c r="U126" s="2484" t="s">
        <v>1218</v>
      </c>
      <c r="V126" s="2480" t="s">
        <v>1139</v>
      </c>
      <c r="W126" s="2639" t="s">
        <v>1218</v>
      </c>
      <c r="X126" s="2484" t="s">
        <v>1219</v>
      </c>
      <c r="Y126" s="2480" t="s">
        <v>1139</v>
      </c>
      <c r="Z126" s="2641" t="s">
        <v>1219</v>
      </c>
      <c r="AA126" s="359"/>
      <c r="AB126" s="359"/>
      <c r="AC126" s="359"/>
    </row>
    <row r="127" spans="1:29" s="1519" customFormat="1" ht="20.25">
      <c r="A127" s="359"/>
      <c r="B127" s="433" t="s">
        <v>1221</v>
      </c>
      <c r="C127" s="2480" t="s">
        <v>1139</v>
      </c>
      <c r="D127" s="2636" t="s">
        <v>1221</v>
      </c>
      <c r="E127" s="2482" t="s">
        <v>1222</v>
      </c>
      <c r="F127" s="2480" t="s">
        <v>1139</v>
      </c>
      <c r="G127" s="2637" t="s">
        <v>1222</v>
      </c>
      <c r="H127" s="2484" t="s">
        <v>1223</v>
      </c>
      <c r="I127" s="2480" t="s">
        <v>1139</v>
      </c>
      <c r="J127" s="2636" t="s">
        <v>1223</v>
      </c>
      <c r="K127" s="2484" t="s">
        <v>1224</v>
      </c>
      <c r="L127" s="2480" t="s">
        <v>1139</v>
      </c>
      <c r="M127" s="2638" t="s">
        <v>1224</v>
      </c>
      <c r="N127" s="359"/>
      <c r="O127" s="433" t="s">
        <v>1221</v>
      </c>
      <c r="P127" s="2480" t="s">
        <v>1139</v>
      </c>
      <c r="Q127" s="2639" t="s">
        <v>1221</v>
      </c>
      <c r="R127" s="2482" t="s">
        <v>1222</v>
      </c>
      <c r="S127" s="2480" t="s">
        <v>1139</v>
      </c>
      <c r="T127" s="2640" t="s">
        <v>1222</v>
      </c>
      <c r="U127" s="2484" t="s">
        <v>1223</v>
      </c>
      <c r="V127" s="2480" t="s">
        <v>1139</v>
      </c>
      <c r="W127" s="2639" t="s">
        <v>1223</v>
      </c>
      <c r="X127" s="2484" t="s">
        <v>1224</v>
      </c>
      <c r="Y127" s="2480" t="s">
        <v>1139</v>
      </c>
      <c r="Z127" s="2641" t="s">
        <v>1224</v>
      </c>
      <c r="AA127" s="359"/>
      <c r="AB127" s="359"/>
      <c r="AC127" s="359"/>
    </row>
    <row r="128" spans="1:29" s="1519" customFormat="1" ht="20.25">
      <c r="A128" s="359"/>
      <c r="B128" s="433" t="s">
        <v>1226</v>
      </c>
      <c r="C128" s="2480" t="s">
        <v>1139</v>
      </c>
      <c r="D128" s="2636" t="s">
        <v>1226</v>
      </c>
      <c r="E128" s="2482" t="s">
        <v>1227</v>
      </c>
      <c r="F128" s="2480" t="s">
        <v>1139</v>
      </c>
      <c r="G128" s="2637" t="s">
        <v>1227</v>
      </c>
      <c r="H128" s="2484" t="s">
        <v>1228</v>
      </c>
      <c r="I128" s="2480" t="s">
        <v>1139</v>
      </c>
      <c r="J128" s="2636" t="s">
        <v>1228</v>
      </c>
      <c r="K128" s="2484" t="s">
        <v>1229</v>
      </c>
      <c r="L128" s="2480" t="s">
        <v>1139</v>
      </c>
      <c r="M128" s="2638" t="s">
        <v>1229</v>
      </c>
      <c r="N128" s="359"/>
      <c r="O128" s="433" t="s">
        <v>1226</v>
      </c>
      <c r="P128" s="2480" t="s">
        <v>1139</v>
      </c>
      <c r="Q128" s="2639" t="s">
        <v>1226</v>
      </c>
      <c r="R128" s="2482" t="s">
        <v>1227</v>
      </c>
      <c r="S128" s="2480" t="s">
        <v>1139</v>
      </c>
      <c r="T128" s="2640" t="s">
        <v>1227</v>
      </c>
      <c r="U128" s="2484" t="s">
        <v>1228</v>
      </c>
      <c r="V128" s="2480" t="s">
        <v>1139</v>
      </c>
      <c r="W128" s="2639" t="s">
        <v>1228</v>
      </c>
      <c r="X128" s="2484" t="s">
        <v>1229</v>
      </c>
      <c r="Y128" s="2480" t="s">
        <v>1139</v>
      </c>
      <c r="Z128" s="2641" t="s">
        <v>1229</v>
      </c>
      <c r="AA128" s="359"/>
      <c r="AB128" s="359"/>
      <c r="AC128" s="359"/>
    </row>
    <row r="129" spans="1:29" s="1519" customFormat="1" ht="20.25">
      <c r="A129" s="359"/>
      <c r="B129" s="433" t="s">
        <v>1230</v>
      </c>
      <c r="C129" s="2480" t="s">
        <v>1139</v>
      </c>
      <c r="D129" s="2636" t="s">
        <v>1230</v>
      </c>
      <c r="E129" s="2482" t="s">
        <v>1231</v>
      </c>
      <c r="F129" s="2480" t="s">
        <v>1139</v>
      </c>
      <c r="G129" s="2637" t="s">
        <v>1231</v>
      </c>
      <c r="H129" s="2484" t="s">
        <v>1232</v>
      </c>
      <c r="I129" s="2480" t="s">
        <v>1139</v>
      </c>
      <c r="J129" s="2636" t="s">
        <v>1232</v>
      </c>
      <c r="K129" s="2484" t="s">
        <v>42</v>
      </c>
      <c r="L129" s="2480" t="s">
        <v>1139</v>
      </c>
      <c r="M129" s="2638" t="s">
        <v>42</v>
      </c>
      <c r="N129" s="359"/>
      <c r="O129" s="433" t="s">
        <v>1230</v>
      </c>
      <c r="P129" s="2480" t="s">
        <v>1139</v>
      </c>
      <c r="Q129" s="2639" t="s">
        <v>1230</v>
      </c>
      <c r="R129" s="2482" t="s">
        <v>1231</v>
      </c>
      <c r="S129" s="2480" t="s">
        <v>1139</v>
      </c>
      <c r="T129" s="2640" t="s">
        <v>1231</v>
      </c>
      <c r="U129" s="2484" t="s">
        <v>1232</v>
      </c>
      <c r="V129" s="2480" t="s">
        <v>1139</v>
      </c>
      <c r="W129" s="2639" t="s">
        <v>1232</v>
      </c>
      <c r="X129" s="2484" t="s">
        <v>42</v>
      </c>
      <c r="Y129" s="2480" t="s">
        <v>1139</v>
      </c>
      <c r="Z129" s="2641" t="s">
        <v>42</v>
      </c>
      <c r="AA129" s="359"/>
      <c r="AB129" s="359"/>
      <c r="AC129" s="359"/>
    </row>
    <row r="130" spans="1:29" s="1519" customFormat="1" ht="20.25">
      <c r="A130" s="359"/>
      <c r="B130" s="433"/>
      <c r="C130" s="2480" t="s">
        <v>1139</v>
      </c>
      <c r="D130" s="2636"/>
      <c r="E130" s="2482" t="s">
        <v>1234</v>
      </c>
      <c r="F130" s="2480" t="s">
        <v>1139</v>
      </c>
      <c r="G130" s="2637" t="s">
        <v>1234</v>
      </c>
      <c r="H130" s="2484" t="s">
        <v>1235</v>
      </c>
      <c r="I130" s="2480" t="s">
        <v>1139</v>
      </c>
      <c r="J130" s="2636" t="s">
        <v>1235</v>
      </c>
      <c r="K130" s="2484"/>
      <c r="L130" s="2480" t="s">
        <v>1139</v>
      </c>
      <c r="M130" s="2638"/>
      <c r="N130" s="359"/>
      <c r="O130" s="433"/>
      <c r="P130" s="2480" t="s">
        <v>1139</v>
      </c>
      <c r="Q130" s="2639"/>
      <c r="R130" s="2482" t="s">
        <v>1234</v>
      </c>
      <c r="S130" s="2480" t="s">
        <v>1139</v>
      </c>
      <c r="T130" s="2640" t="s">
        <v>1234</v>
      </c>
      <c r="U130" s="2484" t="s">
        <v>1235</v>
      </c>
      <c r="V130" s="2480" t="s">
        <v>1139</v>
      </c>
      <c r="W130" s="2639" t="s">
        <v>1235</v>
      </c>
      <c r="X130" s="2484"/>
      <c r="Y130" s="2480" t="s">
        <v>1139</v>
      </c>
      <c r="Z130" s="2641"/>
      <c r="AA130" s="359"/>
      <c r="AB130" s="359"/>
      <c r="AC130" s="359"/>
    </row>
    <row r="131" spans="1:29" s="1519" customFormat="1" ht="15">
      <c r="A131" s="361"/>
      <c r="B131" s="2642"/>
      <c r="C131" s="2643"/>
      <c r="D131" s="2643"/>
      <c r="E131" s="2643"/>
      <c r="F131" s="2643"/>
      <c r="G131" s="2643"/>
      <c r="H131" s="2643"/>
      <c r="I131" s="2643"/>
      <c r="J131" s="2643"/>
      <c r="K131" s="2643"/>
      <c r="L131" s="2643"/>
      <c r="M131" s="2644"/>
      <c r="N131" s="2645"/>
      <c r="O131" s="2642"/>
      <c r="P131" s="2643"/>
      <c r="Q131" s="2643"/>
      <c r="R131" s="2643"/>
      <c r="S131" s="2643"/>
      <c r="T131" s="2643"/>
      <c r="U131" s="2643"/>
      <c r="V131" s="2643"/>
      <c r="W131" s="2643"/>
      <c r="X131" s="2643"/>
      <c r="Y131" s="2643"/>
      <c r="Z131" s="2646"/>
      <c r="AA131" s="460"/>
      <c r="AB131" s="361"/>
      <c r="AC131" s="361"/>
    </row>
    <row r="134" spans="1:29" s="1519" customFormat="1" ht="45">
      <c r="A134" s="361"/>
      <c r="B134" s="2458" t="s">
        <v>1135</v>
      </c>
      <c r="C134" s="2459"/>
      <c r="D134" s="2460" t="s">
        <v>1136</v>
      </c>
      <c r="E134" s="2464" t="s">
        <v>1244</v>
      </c>
      <c r="F134" s="2465"/>
      <c r="G134" s="2465"/>
      <c r="H134" s="2465"/>
      <c r="I134" s="2465"/>
      <c r="J134" s="2465"/>
      <c r="K134" s="2465"/>
      <c r="L134" s="2465"/>
      <c r="M134" s="2466"/>
      <c r="N134" s="361"/>
      <c r="O134" s="2458" t="s">
        <v>1135</v>
      </c>
      <c r="P134" s="2459"/>
      <c r="Q134" s="2460" t="s">
        <v>1136</v>
      </c>
      <c r="R134" s="2647" t="s">
        <v>1245</v>
      </c>
      <c r="S134" s="2648"/>
      <c r="T134" s="2648"/>
      <c r="U134" s="2648"/>
      <c r="V134" s="2648"/>
      <c r="W134" s="2648"/>
      <c r="X134" s="2648"/>
      <c r="Y134" s="2648"/>
      <c r="Z134" s="2649"/>
      <c r="AA134" s="361"/>
      <c r="AB134" s="361"/>
      <c r="AC134" s="361"/>
    </row>
    <row r="135" spans="1:29" s="1519" customFormat="1" ht="20.25">
      <c r="A135" s="361"/>
      <c r="B135" s="431" t="s">
        <v>1141</v>
      </c>
      <c r="C135" s="2467" t="s">
        <v>1139</v>
      </c>
      <c r="D135" s="2650" t="str">
        <f>B135</f>
        <v>Aa</v>
      </c>
      <c r="E135" s="2565" t="s">
        <v>1246</v>
      </c>
      <c r="F135" s="2565"/>
      <c r="G135" s="2566"/>
      <c r="H135" s="2566"/>
      <c r="I135" s="2566"/>
      <c r="J135" s="2566"/>
      <c r="K135" s="2566"/>
      <c r="L135" s="2566"/>
      <c r="M135" s="2567"/>
      <c r="N135" s="361"/>
      <c r="O135" s="431" t="s">
        <v>1141</v>
      </c>
      <c r="P135" s="2467" t="s">
        <v>1139</v>
      </c>
      <c r="Q135" s="2651" t="str">
        <f>O135</f>
        <v>Aa</v>
      </c>
      <c r="R135" s="2565" t="s">
        <v>1246</v>
      </c>
      <c r="S135" s="2565"/>
      <c r="T135" s="2566"/>
      <c r="U135" s="2566"/>
      <c r="V135" s="2566"/>
      <c r="W135" s="2566"/>
      <c r="X135" s="2566"/>
      <c r="Y135" s="2566"/>
      <c r="Z135" s="2567"/>
      <c r="AA135" s="361"/>
      <c r="AB135" s="361"/>
      <c r="AC135" s="361"/>
    </row>
    <row r="136" spans="1:29" s="1519" customFormat="1">
      <c r="A136" s="361"/>
      <c r="B136" s="2475"/>
      <c r="C136" s="361"/>
      <c r="D136" s="361"/>
      <c r="E136" s="361"/>
      <c r="F136" s="361"/>
      <c r="G136" s="361"/>
      <c r="H136" s="361"/>
      <c r="I136" s="361"/>
      <c r="J136" s="361"/>
      <c r="K136" s="361"/>
      <c r="L136" s="361"/>
      <c r="M136" s="2476"/>
      <c r="N136" s="361"/>
      <c r="O136" s="2475"/>
      <c r="P136" s="361"/>
      <c r="Q136" s="361"/>
      <c r="R136" s="361"/>
      <c r="S136" s="361"/>
      <c r="T136" s="361"/>
      <c r="U136" s="361"/>
      <c r="V136" s="361"/>
      <c r="W136" s="361"/>
      <c r="X136" s="361"/>
      <c r="Y136" s="361"/>
      <c r="Z136" s="2476"/>
      <c r="AA136" s="361"/>
      <c r="AB136" s="361"/>
      <c r="AC136" s="361"/>
    </row>
    <row r="137" spans="1:29" s="1519" customFormat="1">
      <c r="A137" s="361"/>
      <c r="B137" s="432" t="s">
        <v>1142</v>
      </c>
      <c r="C137" s="9894" t="s">
        <v>1143</v>
      </c>
      <c r="D137" s="9895"/>
      <c r="E137" s="2479" t="s">
        <v>1144</v>
      </c>
      <c r="F137" s="9894" t="s">
        <v>1143</v>
      </c>
      <c r="G137" s="9895"/>
      <c r="H137" s="2479" t="s">
        <v>1145</v>
      </c>
      <c r="I137" s="9894" t="s">
        <v>1143</v>
      </c>
      <c r="J137" s="9895"/>
      <c r="K137" s="2479" t="s">
        <v>1146</v>
      </c>
      <c r="L137" s="9894" t="s">
        <v>1143</v>
      </c>
      <c r="M137" s="9896"/>
      <c r="N137" s="361"/>
      <c r="O137" s="432" t="s">
        <v>1142</v>
      </c>
      <c r="P137" s="9897" t="s">
        <v>1143</v>
      </c>
      <c r="Q137" s="9898"/>
      <c r="R137" s="2479" t="s">
        <v>1144</v>
      </c>
      <c r="S137" s="9897" t="s">
        <v>1143</v>
      </c>
      <c r="T137" s="9898"/>
      <c r="U137" s="2479" t="s">
        <v>1145</v>
      </c>
      <c r="V137" s="9897" t="s">
        <v>1143</v>
      </c>
      <c r="W137" s="9898"/>
      <c r="X137" s="2479" t="s">
        <v>1146</v>
      </c>
      <c r="Y137" s="9897" t="s">
        <v>1143</v>
      </c>
      <c r="Z137" s="9901"/>
      <c r="AA137" s="361"/>
      <c r="AB137" s="361"/>
      <c r="AC137" s="361"/>
    </row>
    <row r="138" spans="1:29" s="1519" customFormat="1" ht="20.25">
      <c r="A138" s="359"/>
      <c r="B138" s="433" t="s">
        <v>337</v>
      </c>
      <c r="C138" s="2480" t="s">
        <v>1139</v>
      </c>
      <c r="D138" s="2652" t="s">
        <v>337</v>
      </c>
      <c r="E138" s="2482" t="s">
        <v>1147</v>
      </c>
      <c r="F138" s="2480" t="s">
        <v>1139</v>
      </c>
      <c r="G138" s="2653" t="s">
        <v>1147</v>
      </c>
      <c r="H138" s="2484">
        <v>1</v>
      </c>
      <c r="I138" s="2480" t="s">
        <v>1139</v>
      </c>
      <c r="J138" s="2654">
        <v>1</v>
      </c>
      <c r="K138" s="2484">
        <v>27</v>
      </c>
      <c r="L138" s="2480" t="s">
        <v>1139</v>
      </c>
      <c r="M138" s="2655">
        <v>27</v>
      </c>
      <c r="N138" s="359"/>
      <c r="O138" s="433" t="s">
        <v>337</v>
      </c>
      <c r="P138" s="2480" t="s">
        <v>1139</v>
      </c>
      <c r="Q138" s="2656" t="s">
        <v>337</v>
      </c>
      <c r="R138" s="2482" t="s">
        <v>1147</v>
      </c>
      <c r="S138" s="2480" t="s">
        <v>1139</v>
      </c>
      <c r="T138" s="2657" t="s">
        <v>1147</v>
      </c>
      <c r="U138" s="2484">
        <v>1</v>
      </c>
      <c r="V138" s="2480" t="s">
        <v>1139</v>
      </c>
      <c r="W138" s="2656">
        <v>1</v>
      </c>
      <c r="X138" s="2484">
        <v>27</v>
      </c>
      <c r="Y138" s="2480" t="s">
        <v>1139</v>
      </c>
      <c r="Z138" s="2658">
        <v>27</v>
      </c>
      <c r="AA138" s="359"/>
      <c r="AB138" s="359"/>
      <c r="AC138" s="359"/>
    </row>
    <row r="139" spans="1:29" s="1519" customFormat="1" ht="20.25">
      <c r="A139" s="359"/>
      <c r="B139" s="433" t="s">
        <v>339</v>
      </c>
      <c r="C139" s="2480" t="s">
        <v>1139</v>
      </c>
      <c r="D139" s="2652" t="s">
        <v>339</v>
      </c>
      <c r="E139" s="2482" t="s">
        <v>1150</v>
      </c>
      <c r="F139" s="2480" t="s">
        <v>1139</v>
      </c>
      <c r="G139" s="2653" t="s">
        <v>1150</v>
      </c>
      <c r="H139" s="2484">
        <v>2</v>
      </c>
      <c r="I139" s="2480" t="s">
        <v>1139</v>
      </c>
      <c r="J139" s="2654">
        <v>2</v>
      </c>
      <c r="K139" s="2484">
        <v>28</v>
      </c>
      <c r="L139" s="2480" t="s">
        <v>1139</v>
      </c>
      <c r="M139" s="2655">
        <v>28</v>
      </c>
      <c r="N139" s="359"/>
      <c r="O139" s="433" t="s">
        <v>339</v>
      </c>
      <c r="P139" s="2480" t="s">
        <v>1139</v>
      </c>
      <c r="Q139" s="2656" t="s">
        <v>339</v>
      </c>
      <c r="R139" s="2482" t="s">
        <v>1150</v>
      </c>
      <c r="S139" s="2480" t="s">
        <v>1139</v>
      </c>
      <c r="T139" s="2657" t="s">
        <v>1150</v>
      </c>
      <c r="U139" s="2484">
        <v>2</v>
      </c>
      <c r="V139" s="2480" t="s">
        <v>1139</v>
      </c>
      <c r="W139" s="2656">
        <v>2</v>
      </c>
      <c r="X139" s="2484">
        <v>28</v>
      </c>
      <c r="Y139" s="2480" t="s">
        <v>1139</v>
      </c>
      <c r="Z139" s="2658">
        <v>28</v>
      </c>
      <c r="AA139" s="359"/>
      <c r="AB139" s="359"/>
      <c r="AC139" s="359"/>
    </row>
    <row r="140" spans="1:29" s="1519" customFormat="1" ht="20.25">
      <c r="A140" s="359"/>
      <c r="B140" s="433" t="s">
        <v>338</v>
      </c>
      <c r="C140" s="2480" t="s">
        <v>1139</v>
      </c>
      <c r="D140" s="2652" t="s">
        <v>338</v>
      </c>
      <c r="E140" s="2482" t="s">
        <v>1154</v>
      </c>
      <c r="F140" s="2480" t="s">
        <v>1139</v>
      </c>
      <c r="G140" s="2653" t="s">
        <v>1154</v>
      </c>
      <c r="H140" s="2484">
        <v>3</v>
      </c>
      <c r="I140" s="2480" t="s">
        <v>1139</v>
      </c>
      <c r="J140" s="2654">
        <v>3</v>
      </c>
      <c r="K140" s="2484">
        <v>29</v>
      </c>
      <c r="L140" s="2480" t="s">
        <v>1139</v>
      </c>
      <c r="M140" s="2655">
        <v>29</v>
      </c>
      <c r="N140" s="359"/>
      <c r="O140" s="433" t="s">
        <v>338</v>
      </c>
      <c r="P140" s="2480" t="s">
        <v>1139</v>
      </c>
      <c r="Q140" s="2656" t="s">
        <v>338</v>
      </c>
      <c r="R140" s="2482" t="s">
        <v>1154</v>
      </c>
      <c r="S140" s="2480" t="s">
        <v>1139</v>
      </c>
      <c r="T140" s="2657" t="s">
        <v>1154</v>
      </c>
      <c r="U140" s="2484">
        <v>3</v>
      </c>
      <c r="V140" s="2480" t="s">
        <v>1139</v>
      </c>
      <c r="W140" s="2656">
        <v>3</v>
      </c>
      <c r="X140" s="2484">
        <v>29</v>
      </c>
      <c r="Y140" s="2480" t="s">
        <v>1139</v>
      </c>
      <c r="Z140" s="2658">
        <v>29</v>
      </c>
      <c r="AA140" s="359"/>
      <c r="AB140" s="359"/>
      <c r="AC140" s="359"/>
    </row>
    <row r="141" spans="1:29" s="1519" customFormat="1" ht="20.25">
      <c r="A141" s="359"/>
      <c r="B141" s="433" t="s">
        <v>342</v>
      </c>
      <c r="C141" s="2480" t="s">
        <v>1139</v>
      </c>
      <c r="D141" s="2652" t="s">
        <v>342</v>
      </c>
      <c r="E141" s="2482" t="s">
        <v>1157</v>
      </c>
      <c r="F141" s="2480" t="s">
        <v>1139</v>
      </c>
      <c r="G141" s="2653" t="s">
        <v>1157</v>
      </c>
      <c r="H141" s="2484">
        <v>4</v>
      </c>
      <c r="I141" s="2480" t="s">
        <v>1139</v>
      </c>
      <c r="J141" s="2654">
        <v>4</v>
      </c>
      <c r="K141" s="2484">
        <v>30</v>
      </c>
      <c r="L141" s="2480" t="s">
        <v>1139</v>
      </c>
      <c r="M141" s="2655">
        <v>30</v>
      </c>
      <c r="N141" s="359"/>
      <c r="O141" s="433" t="s">
        <v>342</v>
      </c>
      <c r="P141" s="2480" t="s">
        <v>1139</v>
      </c>
      <c r="Q141" s="2656" t="s">
        <v>342</v>
      </c>
      <c r="R141" s="2482" t="s">
        <v>1157</v>
      </c>
      <c r="S141" s="2480" t="s">
        <v>1139</v>
      </c>
      <c r="T141" s="2657" t="s">
        <v>1157</v>
      </c>
      <c r="U141" s="2484">
        <v>4</v>
      </c>
      <c r="V141" s="2480" t="s">
        <v>1139</v>
      </c>
      <c r="W141" s="2656">
        <v>4</v>
      </c>
      <c r="X141" s="2484">
        <v>30</v>
      </c>
      <c r="Y141" s="2480" t="s">
        <v>1139</v>
      </c>
      <c r="Z141" s="2658">
        <v>30</v>
      </c>
      <c r="AA141" s="359"/>
      <c r="AB141" s="359"/>
      <c r="AC141" s="359"/>
    </row>
    <row r="142" spans="1:29" s="1519" customFormat="1" ht="20.25">
      <c r="A142" s="359"/>
      <c r="B142" s="433" t="s">
        <v>651</v>
      </c>
      <c r="C142" s="2480" t="s">
        <v>1139</v>
      </c>
      <c r="D142" s="2652" t="s">
        <v>651</v>
      </c>
      <c r="E142" s="2482" t="s">
        <v>1160</v>
      </c>
      <c r="F142" s="2480" t="s">
        <v>1139</v>
      </c>
      <c r="G142" s="2653" t="s">
        <v>1160</v>
      </c>
      <c r="H142" s="2484">
        <v>5</v>
      </c>
      <c r="I142" s="2480" t="s">
        <v>1139</v>
      </c>
      <c r="J142" s="2654">
        <v>5</v>
      </c>
      <c r="K142" s="2484">
        <v>31</v>
      </c>
      <c r="L142" s="2480" t="s">
        <v>1139</v>
      </c>
      <c r="M142" s="2655">
        <v>31</v>
      </c>
      <c r="N142" s="359"/>
      <c r="O142" s="433" t="s">
        <v>651</v>
      </c>
      <c r="P142" s="2480" t="s">
        <v>1139</v>
      </c>
      <c r="Q142" s="2656" t="s">
        <v>651</v>
      </c>
      <c r="R142" s="2482" t="s">
        <v>1160</v>
      </c>
      <c r="S142" s="2480" t="s">
        <v>1139</v>
      </c>
      <c r="T142" s="2657" t="s">
        <v>1160</v>
      </c>
      <c r="U142" s="2484">
        <v>5</v>
      </c>
      <c r="V142" s="2480" t="s">
        <v>1139</v>
      </c>
      <c r="W142" s="2656">
        <v>5</v>
      </c>
      <c r="X142" s="2484">
        <v>31</v>
      </c>
      <c r="Y142" s="2480" t="s">
        <v>1139</v>
      </c>
      <c r="Z142" s="2658">
        <v>31</v>
      </c>
      <c r="AA142" s="359"/>
      <c r="AB142" s="359"/>
      <c r="AC142" s="359"/>
    </row>
    <row r="143" spans="1:29" s="1519" customFormat="1" ht="20.25">
      <c r="A143" s="359"/>
      <c r="B143" s="433" t="s">
        <v>343</v>
      </c>
      <c r="C143" s="2480" t="s">
        <v>1139</v>
      </c>
      <c r="D143" s="2652" t="s">
        <v>343</v>
      </c>
      <c r="E143" s="2482" t="s">
        <v>1168</v>
      </c>
      <c r="F143" s="2480" t="s">
        <v>1139</v>
      </c>
      <c r="G143" s="2653" t="s">
        <v>1168</v>
      </c>
      <c r="H143" s="2484">
        <v>6</v>
      </c>
      <c r="I143" s="2480" t="s">
        <v>1139</v>
      </c>
      <c r="J143" s="2654">
        <v>6</v>
      </c>
      <c r="K143" s="2484">
        <v>32</v>
      </c>
      <c r="L143" s="2480" t="s">
        <v>1139</v>
      </c>
      <c r="M143" s="2655">
        <v>32</v>
      </c>
      <c r="N143" s="359"/>
      <c r="O143" s="433" t="s">
        <v>343</v>
      </c>
      <c r="P143" s="2480" t="s">
        <v>1139</v>
      </c>
      <c r="Q143" s="2656" t="s">
        <v>343</v>
      </c>
      <c r="R143" s="2482" t="s">
        <v>1168</v>
      </c>
      <c r="S143" s="2480" t="s">
        <v>1139</v>
      </c>
      <c r="T143" s="2657" t="s">
        <v>1168</v>
      </c>
      <c r="U143" s="2484">
        <v>6</v>
      </c>
      <c r="V143" s="2480" t="s">
        <v>1139</v>
      </c>
      <c r="W143" s="2656">
        <v>6</v>
      </c>
      <c r="X143" s="2484">
        <v>32</v>
      </c>
      <c r="Y143" s="2480" t="s">
        <v>1139</v>
      </c>
      <c r="Z143" s="2658">
        <v>32</v>
      </c>
      <c r="AA143" s="359"/>
      <c r="AB143" s="359"/>
      <c r="AC143" s="359"/>
    </row>
    <row r="144" spans="1:29" s="1519" customFormat="1" ht="20.25">
      <c r="A144" s="359"/>
      <c r="B144" s="433" t="s">
        <v>515</v>
      </c>
      <c r="C144" s="2480" t="s">
        <v>1139</v>
      </c>
      <c r="D144" s="2652" t="s">
        <v>515</v>
      </c>
      <c r="E144" s="2482" t="s">
        <v>1172</v>
      </c>
      <c r="F144" s="2480" t="s">
        <v>1139</v>
      </c>
      <c r="G144" s="2653" t="s">
        <v>1172</v>
      </c>
      <c r="H144" s="2484">
        <v>7</v>
      </c>
      <c r="I144" s="2480" t="s">
        <v>1139</v>
      </c>
      <c r="J144" s="2654">
        <v>7</v>
      </c>
      <c r="K144" s="2484">
        <v>33</v>
      </c>
      <c r="L144" s="2480" t="s">
        <v>1139</v>
      </c>
      <c r="M144" s="2655">
        <v>33</v>
      </c>
      <c r="N144" s="359"/>
      <c r="O144" s="433" t="s">
        <v>515</v>
      </c>
      <c r="P144" s="2480" t="s">
        <v>1139</v>
      </c>
      <c r="Q144" s="2656" t="s">
        <v>515</v>
      </c>
      <c r="R144" s="2482" t="s">
        <v>1172</v>
      </c>
      <c r="S144" s="2480" t="s">
        <v>1139</v>
      </c>
      <c r="T144" s="2657" t="s">
        <v>1172</v>
      </c>
      <c r="U144" s="2484">
        <v>7</v>
      </c>
      <c r="V144" s="2480" t="s">
        <v>1139</v>
      </c>
      <c r="W144" s="2656">
        <v>7</v>
      </c>
      <c r="X144" s="2484">
        <v>33</v>
      </c>
      <c r="Y144" s="2480" t="s">
        <v>1139</v>
      </c>
      <c r="Z144" s="2658">
        <v>33</v>
      </c>
      <c r="AA144" s="359"/>
      <c r="AB144" s="359"/>
      <c r="AC144" s="359"/>
    </row>
    <row r="145" spans="1:29" s="1519" customFormat="1" ht="20.25">
      <c r="A145" s="359"/>
      <c r="B145" s="433" t="s">
        <v>1175</v>
      </c>
      <c r="C145" s="2480" t="s">
        <v>1139</v>
      </c>
      <c r="D145" s="2652" t="s">
        <v>1175</v>
      </c>
      <c r="E145" s="2482" t="s">
        <v>1176</v>
      </c>
      <c r="F145" s="2480" t="s">
        <v>1139</v>
      </c>
      <c r="G145" s="2653" t="s">
        <v>1176</v>
      </c>
      <c r="H145" s="2484">
        <v>8</v>
      </c>
      <c r="I145" s="2480" t="s">
        <v>1139</v>
      </c>
      <c r="J145" s="2654">
        <v>8</v>
      </c>
      <c r="K145" s="2484">
        <v>34</v>
      </c>
      <c r="L145" s="2480" t="s">
        <v>1139</v>
      </c>
      <c r="M145" s="2655">
        <v>34</v>
      </c>
      <c r="N145" s="359"/>
      <c r="O145" s="433" t="s">
        <v>1175</v>
      </c>
      <c r="P145" s="2480" t="s">
        <v>1139</v>
      </c>
      <c r="Q145" s="2656" t="s">
        <v>1175</v>
      </c>
      <c r="R145" s="2482" t="s">
        <v>1176</v>
      </c>
      <c r="S145" s="2480" t="s">
        <v>1139</v>
      </c>
      <c r="T145" s="2657" t="s">
        <v>1176</v>
      </c>
      <c r="U145" s="2484">
        <v>8</v>
      </c>
      <c r="V145" s="2480" t="s">
        <v>1139</v>
      </c>
      <c r="W145" s="2656">
        <v>8</v>
      </c>
      <c r="X145" s="2484">
        <v>34</v>
      </c>
      <c r="Y145" s="2480" t="s">
        <v>1139</v>
      </c>
      <c r="Z145" s="2658">
        <v>34</v>
      </c>
      <c r="AA145" s="359"/>
      <c r="AB145" s="359"/>
      <c r="AC145" s="359"/>
    </row>
    <row r="146" spans="1:29" s="1519" customFormat="1" ht="20.25">
      <c r="A146" s="359"/>
      <c r="B146" s="433" t="s">
        <v>346</v>
      </c>
      <c r="C146" s="2480" t="s">
        <v>1139</v>
      </c>
      <c r="D146" s="2652" t="s">
        <v>346</v>
      </c>
      <c r="E146" s="2482" t="s">
        <v>1179</v>
      </c>
      <c r="F146" s="2480" t="s">
        <v>1139</v>
      </c>
      <c r="G146" s="2653" t="s">
        <v>1179</v>
      </c>
      <c r="H146" s="2484">
        <v>9</v>
      </c>
      <c r="I146" s="2480" t="s">
        <v>1139</v>
      </c>
      <c r="J146" s="2654">
        <v>9</v>
      </c>
      <c r="K146" s="2484">
        <v>35</v>
      </c>
      <c r="L146" s="2480" t="s">
        <v>1139</v>
      </c>
      <c r="M146" s="2655">
        <v>35</v>
      </c>
      <c r="N146" s="359"/>
      <c r="O146" s="433" t="s">
        <v>346</v>
      </c>
      <c r="P146" s="2480" t="s">
        <v>1139</v>
      </c>
      <c r="Q146" s="2656" t="s">
        <v>346</v>
      </c>
      <c r="R146" s="2482" t="s">
        <v>1179</v>
      </c>
      <c r="S146" s="2480" t="s">
        <v>1139</v>
      </c>
      <c r="T146" s="2657" t="s">
        <v>1179</v>
      </c>
      <c r="U146" s="2484">
        <v>9</v>
      </c>
      <c r="V146" s="2480" t="s">
        <v>1139</v>
      </c>
      <c r="W146" s="2656">
        <v>9</v>
      </c>
      <c r="X146" s="2484">
        <v>35</v>
      </c>
      <c r="Y146" s="2480" t="s">
        <v>1139</v>
      </c>
      <c r="Z146" s="2658">
        <v>35</v>
      </c>
      <c r="AA146" s="359"/>
      <c r="AB146" s="359"/>
      <c r="AC146" s="359"/>
    </row>
    <row r="147" spans="1:29" s="1519" customFormat="1" ht="20.25">
      <c r="A147" s="359"/>
      <c r="B147" s="433" t="s">
        <v>349</v>
      </c>
      <c r="C147" s="2480" t="s">
        <v>1139</v>
      </c>
      <c r="D147" s="2652" t="s">
        <v>349</v>
      </c>
      <c r="E147" s="2482" t="s">
        <v>1181</v>
      </c>
      <c r="F147" s="2480" t="s">
        <v>1139</v>
      </c>
      <c r="G147" s="2653" t="s">
        <v>1181</v>
      </c>
      <c r="H147" s="2484">
        <v>10</v>
      </c>
      <c r="I147" s="2480" t="s">
        <v>1139</v>
      </c>
      <c r="J147" s="2654">
        <v>10</v>
      </c>
      <c r="K147" s="2484">
        <v>36</v>
      </c>
      <c r="L147" s="2480" t="s">
        <v>1139</v>
      </c>
      <c r="M147" s="2655">
        <v>36</v>
      </c>
      <c r="N147" s="359"/>
      <c r="O147" s="433" t="s">
        <v>349</v>
      </c>
      <c r="P147" s="2480" t="s">
        <v>1139</v>
      </c>
      <c r="Q147" s="2656" t="s">
        <v>349</v>
      </c>
      <c r="R147" s="2482" t="s">
        <v>1181</v>
      </c>
      <c r="S147" s="2480" t="s">
        <v>1139</v>
      </c>
      <c r="T147" s="2657" t="s">
        <v>1181</v>
      </c>
      <c r="U147" s="2484">
        <v>10</v>
      </c>
      <c r="V147" s="2480" t="s">
        <v>1139</v>
      </c>
      <c r="W147" s="2656">
        <v>10</v>
      </c>
      <c r="X147" s="2484">
        <v>36</v>
      </c>
      <c r="Y147" s="2480" t="s">
        <v>1139</v>
      </c>
      <c r="Z147" s="2658">
        <v>36</v>
      </c>
      <c r="AA147" s="359"/>
      <c r="AB147" s="359"/>
      <c r="AC147" s="359"/>
    </row>
    <row r="148" spans="1:29" s="1519" customFormat="1" ht="20.25">
      <c r="A148" s="359"/>
      <c r="B148" s="433" t="s">
        <v>351</v>
      </c>
      <c r="C148" s="2480" t="s">
        <v>1139</v>
      </c>
      <c r="D148" s="2652" t="s">
        <v>351</v>
      </c>
      <c r="E148" s="2482" t="s">
        <v>1182</v>
      </c>
      <c r="F148" s="2480" t="s">
        <v>1139</v>
      </c>
      <c r="G148" s="2653" t="s">
        <v>1182</v>
      </c>
      <c r="H148" s="2484">
        <v>11</v>
      </c>
      <c r="I148" s="2480" t="s">
        <v>1139</v>
      </c>
      <c r="J148" s="2654">
        <v>11</v>
      </c>
      <c r="K148" s="2484">
        <v>37</v>
      </c>
      <c r="L148" s="2480" t="s">
        <v>1139</v>
      </c>
      <c r="M148" s="2655">
        <v>37</v>
      </c>
      <c r="N148" s="359"/>
      <c r="O148" s="433" t="s">
        <v>351</v>
      </c>
      <c r="P148" s="2480" t="s">
        <v>1139</v>
      </c>
      <c r="Q148" s="2656" t="s">
        <v>351</v>
      </c>
      <c r="R148" s="2482" t="s">
        <v>1182</v>
      </c>
      <c r="S148" s="2480" t="s">
        <v>1139</v>
      </c>
      <c r="T148" s="2657" t="s">
        <v>1182</v>
      </c>
      <c r="U148" s="2484">
        <v>11</v>
      </c>
      <c r="V148" s="2480" t="s">
        <v>1139</v>
      </c>
      <c r="W148" s="2656">
        <v>11</v>
      </c>
      <c r="X148" s="2484">
        <v>37</v>
      </c>
      <c r="Y148" s="2480" t="s">
        <v>1139</v>
      </c>
      <c r="Z148" s="2658">
        <v>37</v>
      </c>
      <c r="AA148" s="359"/>
      <c r="AB148" s="359"/>
      <c r="AC148" s="359"/>
    </row>
    <row r="149" spans="1:29" s="1519" customFormat="1" ht="20.25">
      <c r="A149" s="359"/>
      <c r="B149" s="433" t="s">
        <v>34</v>
      </c>
      <c r="C149" s="2480" t="s">
        <v>1139</v>
      </c>
      <c r="D149" s="2652" t="s">
        <v>34</v>
      </c>
      <c r="E149" s="2482" t="s">
        <v>1183</v>
      </c>
      <c r="F149" s="2480" t="s">
        <v>1139</v>
      </c>
      <c r="G149" s="2653" t="s">
        <v>1183</v>
      </c>
      <c r="H149" s="2484">
        <v>12</v>
      </c>
      <c r="I149" s="2480" t="s">
        <v>1139</v>
      </c>
      <c r="J149" s="2654">
        <v>12</v>
      </c>
      <c r="K149" s="2484">
        <v>38</v>
      </c>
      <c r="L149" s="2480" t="s">
        <v>1139</v>
      </c>
      <c r="M149" s="2655">
        <v>38</v>
      </c>
      <c r="N149" s="359"/>
      <c r="O149" s="433" t="s">
        <v>34</v>
      </c>
      <c r="P149" s="2480" t="s">
        <v>1139</v>
      </c>
      <c r="Q149" s="2656" t="s">
        <v>34</v>
      </c>
      <c r="R149" s="2482" t="s">
        <v>1183</v>
      </c>
      <c r="S149" s="2480" t="s">
        <v>1139</v>
      </c>
      <c r="T149" s="2657" t="s">
        <v>1183</v>
      </c>
      <c r="U149" s="2484">
        <v>12</v>
      </c>
      <c r="V149" s="2480" t="s">
        <v>1139</v>
      </c>
      <c r="W149" s="2656">
        <v>12</v>
      </c>
      <c r="X149" s="2484">
        <v>38</v>
      </c>
      <c r="Y149" s="2480" t="s">
        <v>1139</v>
      </c>
      <c r="Z149" s="2658">
        <v>38</v>
      </c>
      <c r="AA149" s="359"/>
      <c r="AB149" s="359"/>
      <c r="AC149" s="359"/>
    </row>
    <row r="150" spans="1:29" s="1519" customFormat="1" ht="20.25">
      <c r="A150" s="359"/>
      <c r="B150" s="433" t="s">
        <v>537</v>
      </c>
      <c r="C150" s="2480" t="s">
        <v>1139</v>
      </c>
      <c r="D150" s="2652" t="s">
        <v>537</v>
      </c>
      <c r="E150" s="2482" t="s">
        <v>1185</v>
      </c>
      <c r="F150" s="2480" t="s">
        <v>1139</v>
      </c>
      <c r="G150" s="2653" t="s">
        <v>1185</v>
      </c>
      <c r="H150" s="2484">
        <v>13</v>
      </c>
      <c r="I150" s="2480" t="s">
        <v>1139</v>
      </c>
      <c r="J150" s="2654">
        <v>13</v>
      </c>
      <c r="K150" s="2484">
        <v>39</v>
      </c>
      <c r="L150" s="2480" t="s">
        <v>1139</v>
      </c>
      <c r="M150" s="2655">
        <v>39</v>
      </c>
      <c r="N150" s="359"/>
      <c r="O150" s="433" t="s">
        <v>537</v>
      </c>
      <c r="P150" s="2480" t="s">
        <v>1139</v>
      </c>
      <c r="Q150" s="2656" t="s">
        <v>537</v>
      </c>
      <c r="R150" s="2482" t="s">
        <v>1185</v>
      </c>
      <c r="S150" s="2480" t="s">
        <v>1139</v>
      </c>
      <c r="T150" s="2657" t="s">
        <v>1185</v>
      </c>
      <c r="U150" s="2484">
        <v>13</v>
      </c>
      <c r="V150" s="2480" t="s">
        <v>1139</v>
      </c>
      <c r="W150" s="2656">
        <v>13</v>
      </c>
      <c r="X150" s="2484">
        <v>39</v>
      </c>
      <c r="Y150" s="2480" t="s">
        <v>1139</v>
      </c>
      <c r="Z150" s="2658">
        <v>39</v>
      </c>
      <c r="AA150" s="359"/>
      <c r="AB150" s="359"/>
      <c r="AC150" s="359"/>
    </row>
    <row r="151" spans="1:29" s="1519" customFormat="1" ht="20.25">
      <c r="A151" s="359"/>
      <c r="B151" s="433" t="s">
        <v>575</v>
      </c>
      <c r="C151" s="2480" t="s">
        <v>1139</v>
      </c>
      <c r="D151" s="2652" t="s">
        <v>575</v>
      </c>
      <c r="E151" s="2482" t="s">
        <v>1186</v>
      </c>
      <c r="F151" s="2480" t="s">
        <v>1139</v>
      </c>
      <c r="G151" s="2653" t="s">
        <v>1186</v>
      </c>
      <c r="H151" s="2484">
        <v>14</v>
      </c>
      <c r="I151" s="2480" t="s">
        <v>1139</v>
      </c>
      <c r="J151" s="2654">
        <v>14</v>
      </c>
      <c r="K151" s="2484">
        <v>40</v>
      </c>
      <c r="L151" s="2480" t="s">
        <v>1139</v>
      </c>
      <c r="M151" s="2655">
        <v>40</v>
      </c>
      <c r="N151" s="359"/>
      <c r="O151" s="433" t="s">
        <v>575</v>
      </c>
      <c r="P151" s="2480" t="s">
        <v>1139</v>
      </c>
      <c r="Q151" s="2656" t="s">
        <v>575</v>
      </c>
      <c r="R151" s="2482" t="s">
        <v>1186</v>
      </c>
      <c r="S151" s="2480" t="s">
        <v>1139</v>
      </c>
      <c r="T151" s="2657" t="s">
        <v>1186</v>
      </c>
      <c r="U151" s="2484">
        <v>14</v>
      </c>
      <c r="V151" s="2480" t="s">
        <v>1139</v>
      </c>
      <c r="W151" s="2656">
        <v>14</v>
      </c>
      <c r="X151" s="2484">
        <v>40</v>
      </c>
      <c r="Y151" s="2480" t="s">
        <v>1139</v>
      </c>
      <c r="Z151" s="2658">
        <v>40</v>
      </c>
      <c r="AA151" s="359"/>
      <c r="AB151" s="359"/>
      <c r="AC151" s="359"/>
    </row>
    <row r="152" spans="1:29" s="1519" customFormat="1" ht="20.25">
      <c r="A152" s="359"/>
      <c r="B152" s="433" t="s">
        <v>583</v>
      </c>
      <c r="C152" s="2480" t="s">
        <v>1139</v>
      </c>
      <c r="D152" s="2652" t="s">
        <v>583</v>
      </c>
      <c r="E152" s="2482" t="s">
        <v>1187</v>
      </c>
      <c r="F152" s="2480" t="s">
        <v>1139</v>
      </c>
      <c r="G152" s="2653" t="s">
        <v>1187</v>
      </c>
      <c r="H152" s="2484">
        <v>15</v>
      </c>
      <c r="I152" s="2480" t="s">
        <v>1139</v>
      </c>
      <c r="J152" s="2654">
        <v>15</v>
      </c>
      <c r="K152" s="2484">
        <v>41</v>
      </c>
      <c r="L152" s="2480" t="s">
        <v>1139</v>
      </c>
      <c r="M152" s="2655">
        <v>41</v>
      </c>
      <c r="N152" s="359"/>
      <c r="O152" s="433" t="s">
        <v>583</v>
      </c>
      <c r="P152" s="2480" t="s">
        <v>1139</v>
      </c>
      <c r="Q152" s="2656" t="s">
        <v>583</v>
      </c>
      <c r="R152" s="2482" t="s">
        <v>1187</v>
      </c>
      <c r="S152" s="2480" t="s">
        <v>1139</v>
      </c>
      <c r="T152" s="2657" t="s">
        <v>1187</v>
      </c>
      <c r="U152" s="2484">
        <v>15</v>
      </c>
      <c r="V152" s="2480" t="s">
        <v>1139</v>
      </c>
      <c r="W152" s="2656">
        <v>15</v>
      </c>
      <c r="X152" s="2484">
        <v>41</v>
      </c>
      <c r="Y152" s="2480" t="s">
        <v>1139</v>
      </c>
      <c r="Z152" s="2658">
        <v>41</v>
      </c>
      <c r="AA152" s="359"/>
      <c r="AB152" s="359"/>
      <c r="AC152" s="359"/>
    </row>
    <row r="153" spans="1:29" s="1519" customFormat="1" ht="20.25">
      <c r="A153" s="359"/>
      <c r="B153" s="433" t="s">
        <v>620</v>
      </c>
      <c r="C153" s="2480" t="s">
        <v>1139</v>
      </c>
      <c r="D153" s="2652" t="s">
        <v>620</v>
      </c>
      <c r="E153" s="2482" t="s">
        <v>1178</v>
      </c>
      <c r="F153" s="2480" t="s">
        <v>1139</v>
      </c>
      <c r="G153" s="2653" t="s">
        <v>1178</v>
      </c>
      <c r="H153" s="2484">
        <v>16</v>
      </c>
      <c r="I153" s="2480" t="s">
        <v>1139</v>
      </c>
      <c r="J153" s="2654">
        <v>16</v>
      </c>
      <c r="K153" s="2484">
        <v>42</v>
      </c>
      <c r="L153" s="2480" t="s">
        <v>1139</v>
      </c>
      <c r="M153" s="2655">
        <v>42</v>
      </c>
      <c r="N153" s="359"/>
      <c r="O153" s="433" t="s">
        <v>620</v>
      </c>
      <c r="P153" s="2480" t="s">
        <v>1139</v>
      </c>
      <c r="Q153" s="2656" t="s">
        <v>620</v>
      </c>
      <c r="R153" s="2482" t="s">
        <v>1178</v>
      </c>
      <c r="S153" s="2480" t="s">
        <v>1139</v>
      </c>
      <c r="T153" s="2657" t="s">
        <v>1178</v>
      </c>
      <c r="U153" s="2484">
        <v>16</v>
      </c>
      <c r="V153" s="2480" t="s">
        <v>1139</v>
      </c>
      <c r="W153" s="2656">
        <v>16</v>
      </c>
      <c r="X153" s="2484">
        <v>42</v>
      </c>
      <c r="Y153" s="2480" t="s">
        <v>1139</v>
      </c>
      <c r="Z153" s="2658">
        <v>42</v>
      </c>
      <c r="AA153" s="359"/>
      <c r="AB153" s="359"/>
      <c r="AC153" s="359"/>
    </row>
    <row r="154" spans="1:29" s="1519" customFormat="1" ht="20.25">
      <c r="A154" s="359"/>
      <c r="B154" s="433" t="s">
        <v>1188</v>
      </c>
      <c r="C154" s="2480" t="s">
        <v>1139</v>
      </c>
      <c r="D154" s="2652" t="s">
        <v>1188</v>
      </c>
      <c r="E154" s="2482" t="s">
        <v>1174</v>
      </c>
      <c r="F154" s="2480" t="s">
        <v>1139</v>
      </c>
      <c r="G154" s="2653" t="s">
        <v>1174</v>
      </c>
      <c r="H154" s="2484">
        <v>17</v>
      </c>
      <c r="I154" s="2480" t="s">
        <v>1139</v>
      </c>
      <c r="J154" s="2654">
        <v>17</v>
      </c>
      <c r="K154" s="2484">
        <v>43</v>
      </c>
      <c r="L154" s="2480" t="s">
        <v>1139</v>
      </c>
      <c r="M154" s="2655">
        <v>43</v>
      </c>
      <c r="N154" s="359"/>
      <c r="O154" s="433" t="s">
        <v>1188</v>
      </c>
      <c r="P154" s="2480" t="s">
        <v>1139</v>
      </c>
      <c r="Q154" s="2656" t="s">
        <v>1188</v>
      </c>
      <c r="R154" s="2482" t="s">
        <v>1174</v>
      </c>
      <c r="S154" s="2480" t="s">
        <v>1139</v>
      </c>
      <c r="T154" s="2657" t="s">
        <v>1174</v>
      </c>
      <c r="U154" s="2484">
        <v>17</v>
      </c>
      <c r="V154" s="2480" t="s">
        <v>1139</v>
      </c>
      <c r="W154" s="2656">
        <v>17</v>
      </c>
      <c r="X154" s="2484">
        <v>43</v>
      </c>
      <c r="Y154" s="2480" t="s">
        <v>1139</v>
      </c>
      <c r="Z154" s="2658">
        <v>43</v>
      </c>
      <c r="AA154" s="359"/>
      <c r="AB154" s="359"/>
      <c r="AC154" s="359"/>
    </row>
    <row r="155" spans="1:29" s="1519" customFormat="1" ht="20.25">
      <c r="A155" s="359"/>
      <c r="B155" s="433" t="s">
        <v>516</v>
      </c>
      <c r="C155" s="2480" t="s">
        <v>1139</v>
      </c>
      <c r="D155" s="2652" t="s">
        <v>516</v>
      </c>
      <c r="E155" s="2482" t="s">
        <v>1189</v>
      </c>
      <c r="F155" s="2480" t="s">
        <v>1139</v>
      </c>
      <c r="G155" s="2653" t="s">
        <v>1189</v>
      </c>
      <c r="H155" s="2484">
        <v>18</v>
      </c>
      <c r="I155" s="2480" t="s">
        <v>1139</v>
      </c>
      <c r="J155" s="2654">
        <v>18</v>
      </c>
      <c r="K155" s="2484">
        <v>44</v>
      </c>
      <c r="L155" s="2480" t="s">
        <v>1139</v>
      </c>
      <c r="M155" s="2655">
        <v>44</v>
      </c>
      <c r="N155" s="359"/>
      <c r="O155" s="433" t="s">
        <v>516</v>
      </c>
      <c r="P155" s="2480" t="s">
        <v>1139</v>
      </c>
      <c r="Q155" s="2656" t="s">
        <v>516</v>
      </c>
      <c r="R155" s="2482" t="s">
        <v>1189</v>
      </c>
      <c r="S155" s="2480" t="s">
        <v>1139</v>
      </c>
      <c r="T155" s="2657" t="s">
        <v>1189</v>
      </c>
      <c r="U155" s="2484">
        <v>18</v>
      </c>
      <c r="V155" s="2480" t="s">
        <v>1139</v>
      </c>
      <c r="W155" s="2656">
        <v>18</v>
      </c>
      <c r="X155" s="2484">
        <v>44</v>
      </c>
      <c r="Y155" s="2480" t="s">
        <v>1139</v>
      </c>
      <c r="Z155" s="2658">
        <v>44</v>
      </c>
      <c r="AA155" s="359"/>
      <c r="AB155" s="359"/>
      <c r="AC155" s="359"/>
    </row>
    <row r="156" spans="1:29" s="1519" customFormat="1" ht="20.25">
      <c r="A156" s="359"/>
      <c r="B156" s="433" t="s">
        <v>353</v>
      </c>
      <c r="C156" s="2480" t="s">
        <v>1139</v>
      </c>
      <c r="D156" s="2652" t="s">
        <v>353</v>
      </c>
      <c r="E156" s="2482" t="s">
        <v>1190</v>
      </c>
      <c r="F156" s="2480" t="s">
        <v>1139</v>
      </c>
      <c r="G156" s="2653" t="s">
        <v>1190</v>
      </c>
      <c r="H156" s="2484">
        <v>19</v>
      </c>
      <c r="I156" s="2480" t="s">
        <v>1139</v>
      </c>
      <c r="J156" s="2654">
        <v>19</v>
      </c>
      <c r="K156" s="2484">
        <v>45</v>
      </c>
      <c r="L156" s="2480" t="s">
        <v>1139</v>
      </c>
      <c r="M156" s="2655">
        <v>45</v>
      </c>
      <c r="N156" s="359"/>
      <c r="O156" s="433" t="s">
        <v>353</v>
      </c>
      <c r="P156" s="2480" t="s">
        <v>1139</v>
      </c>
      <c r="Q156" s="2656" t="s">
        <v>353</v>
      </c>
      <c r="R156" s="2482" t="s">
        <v>1190</v>
      </c>
      <c r="S156" s="2480" t="s">
        <v>1139</v>
      </c>
      <c r="T156" s="2657" t="s">
        <v>1190</v>
      </c>
      <c r="U156" s="2484">
        <v>19</v>
      </c>
      <c r="V156" s="2480" t="s">
        <v>1139</v>
      </c>
      <c r="W156" s="2656">
        <v>19</v>
      </c>
      <c r="X156" s="2484">
        <v>45</v>
      </c>
      <c r="Y156" s="2480" t="s">
        <v>1139</v>
      </c>
      <c r="Z156" s="2658">
        <v>45</v>
      </c>
      <c r="AA156" s="359"/>
      <c r="AB156" s="359"/>
      <c r="AC156" s="359"/>
    </row>
    <row r="157" spans="1:29" s="1519" customFormat="1" ht="20.25">
      <c r="A157" s="359"/>
      <c r="B157" s="433" t="s">
        <v>595</v>
      </c>
      <c r="C157" s="2480" t="s">
        <v>1139</v>
      </c>
      <c r="D157" s="2652" t="s">
        <v>595</v>
      </c>
      <c r="E157" s="2482" t="s">
        <v>1171</v>
      </c>
      <c r="F157" s="2480" t="s">
        <v>1139</v>
      </c>
      <c r="G157" s="2653" t="s">
        <v>1171</v>
      </c>
      <c r="H157" s="2484">
        <v>20</v>
      </c>
      <c r="I157" s="2480" t="s">
        <v>1139</v>
      </c>
      <c r="J157" s="2654">
        <v>20</v>
      </c>
      <c r="K157" s="2484">
        <v>46</v>
      </c>
      <c r="L157" s="2480" t="s">
        <v>1139</v>
      </c>
      <c r="M157" s="2655">
        <v>46</v>
      </c>
      <c r="N157" s="359"/>
      <c r="O157" s="433" t="s">
        <v>595</v>
      </c>
      <c r="P157" s="2480" t="s">
        <v>1139</v>
      </c>
      <c r="Q157" s="2656" t="s">
        <v>595</v>
      </c>
      <c r="R157" s="2482" t="s">
        <v>1171</v>
      </c>
      <c r="S157" s="2480" t="s">
        <v>1139</v>
      </c>
      <c r="T157" s="2657" t="s">
        <v>1171</v>
      </c>
      <c r="U157" s="2484">
        <v>20</v>
      </c>
      <c r="V157" s="2480" t="s">
        <v>1139</v>
      </c>
      <c r="W157" s="2656">
        <v>20</v>
      </c>
      <c r="X157" s="2484">
        <v>46</v>
      </c>
      <c r="Y157" s="2480" t="s">
        <v>1139</v>
      </c>
      <c r="Z157" s="2658">
        <v>46</v>
      </c>
      <c r="AA157" s="359"/>
      <c r="AB157" s="359"/>
      <c r="AC157" s="359"/>
    </row>
    <row r="158" spans="1:29" s="1519" customFormat="1" ht="20.25">
      <c r="A158" s="359"/>
      <c r="B158" s="433" t="s">
        <v>1191</v>
      </c>
      <c r="C158" s="2480" t="s">
        <v>1139</v>
      </c>
      <c r="D158" s="2652" t="s">
        <v>1191</v>
      </c>
      <c r="E158" s="2482" t="s">
        <v>1177</v>
      </c>
      <c r="F158" s="2480" t="s">
        <v>1139</v>
      </c>
      <c r="G158" s="2653" t="s">
        <v>1177</v>
      </c>
      <c r="H158" s="2484">
        <v>21</v>
      </c>
      <c r="I158" s="2480" t="s">
        <v>1139</v>
      </c>
      <c r="J158" s="2654">
        <v>21</v>
      </c>
      <c r="K158" s="2484">
        <v>47</v>
      </c>
      <c r="L158" s="2480" t="s">
        <v>1139</v>
      </c>
      <c r="M158" s="2655">
        <v>47</v>
      </c>
      <c r="N158" s="359"/>
      <c r="O158" s="433" t="s">
        <v>1191</v>
      </c>
      <c r="P158" s="2480" t="s">
        <v>1139</v>
      </c>
      <c r="Q158" s="2656" t="s">
        <v>1191</v>
      </c>
      <c r="R158" s="2482" t="s">
        <v>1177</v>
      </c>
      <c r="S158" s="2480" t="s">
        <v>1139</v>
      </c>
      <c r="T158" s="2657" t="s">
        <v>1177</v>
      </c>
      <c r="U158" s="2484">
        <v>21</v>
      </c>
      <c r="V158" s="2480" t="s">
        <v>1139</v>
      </c>
      <c r="W158" s="2656">
        <v>21</v>
      </c>
      <c r="X158" s="2484">
        <v>47</v>
      </c>
      <c r="Y158" s="2480" t="s">
        <v>1139</v>
      </c>
      <c r="Z158" s="2658">
        <v>47</v>
      </c>
      <c r="AA158" s="359"/>
      <c r="AB158" s="359"/>
      <c r="AC158" s="359"/>
    </row>
    <row r="159" spans="1:29" s="1519" customFormat="1" ht="20.25">
      <c r="A159" s="359"/>
      <c r="B159" s="433" t="s">
        <v>633</v>
      </c>
      <c r="C159" s="2480" t="s">
        <v>1139</v>
      </c>
      <c r="D159" s="2652" t="s">
        <v>633</v>
      </c>
      <c r="E159" s="2482" t="s">
        <v>1192</v>
      </c>
      <c r="F159" s="2480" t="s">
        <v>1139</v>
      </c>
      <c r="G159" s="2653" t="s">
        <v>1192</v>
      </c>
      <c r="H159" s="2484">
        <v>22</v>
      </c>
      <c r="I159" s="2480" t="s">
        <v>1139</v>
      </c>
      <c r="J159" s="2654">
        <v>22</v>
      </c>
      <c r="K159" s="2484">
        <v>48</v>
      </c>
      <c r="L159" s="2480" t="s">
        <v>1139</v>
      </c>
      <c r="M159" s="2655">
        <v>48</v>
      </c>
      <c r="N159" s="359"/>
      <c r="O159" s="433" t="s">
        <v>633</v>
      </c>
      <c r="P159" s="2480" t="s">
        <v>1139</v>
      </c>
      <c r="Q159" s="2656" t="s">
        <v>633</v>
      </c>
      <c r="R159" s="2482" t="s">
        <v>1192</v>
      </c>
      <c r="S159" s="2480" t="s">
        <v>1139</v>
      </c>
      <c r="T159" s="2657" t="s">
        <v>1192</v>
      </c>
      <c r="U159" s="2484">
        <v>22</v>
      </c>
      <c r="V159" s="2480" t="s">
        <v>1139</v>
      </c>
      <c r="W159" s="2656">
        <v>22</v>
      </c>
      <c r="X159" s="2484">
        <v>48</v>
      </c>
      <c r="Y159" s="2480" t="s">
        <v>1139</v>
      </c>
      <c r="Z159" s="2658">
        <v>48</v>
      </c>
      <c r="AA159" s="359"/>
      <c r="AB159" s="359"/>
      <c r="AC159" s="359"/>
    </row>
    <row r="160" spans="1:29" s="1519" customFormat="1" ht="20.25">
      <c r="A160" s="359"/>
      <c r="B160" s="433" t="s">
        <v>1193</v>
      </c>
      <c r="C160" s="2480" t="s">
        <v>1139</v>
      </c>
      <c r="D160" s="2652" t="s">
        <v>1193</v>
      </c>
      <c r="E160" s="2482" t="s">
        <v>1194</v>
      </c>
      <c r="F160" s="2480" t="s">
        <v>1139</v>
      </c>
      <c r="G160" s="2653" t="s">
        <v>1194</v>
      </c>
      <c r="H160" s="2484">
        <v>23</v>
      </c>
      <c r="I160" s="2480" t="s">
        <v>1139</v>
      </c>
      <c r="J160" s="2654">
        <v>23</v>
      </c>
      <c r="K160" s="2484">
        <v>49</v>
      </c>
      <c r="L160" s="2480" t="s">
        <v>1139</v>
      </c>
      <c r="M160" s="2655">
        <v>49</v>
      </c>
      <c r="N160" s="359"/>
      <c r="O160" s="433" t="s">
        <v>1193</v>
      </c>
      <c r="P160" s="2480" t="s">
        <v>1139</v>
      </c>
      <c r="Q160" s="2656" t="s">
        <v>1193</v>
      </c>
      <c r="R160" s="2482" t="s">
        <v>1194</v>
      </c>
      <c r="S160" s="2480" t="s">
        <v>1139</v>
      </c>
      <c r="T160" s="2657" t="s">
        <v>1194</v>
      </c>
      <c r="U160" s="2484">
        <v>23</v>
      </c>
      <c r="V160" s="2480" t="s">
        <v>1139</v>
      </c>
      <c r="W160" s="2656">
        <v>23</v>
      </c>
      <c r="X160" s="2484">
        <v>49</v>
      </c>
      <c r="Y160" s="2480" t="s">
        <v>1139</v>
      </c>
      <c r="Z160" s="2658">
        <v>49</v>
      </c>
      <c r="AA160" s="359"/>
      <c r="AB160" s="359"/>
      <c r="AC160" s="359"/>
    </row>
    <row r="161" spans="1:29" s="1519" customFormat="1" ht="20.25">
      <c r="A161" s="359"/>
      <c r="B161" s="433" t="s">
        <v>1170</v>
      </c>
      <c r="C161" s="2480" t="s">
        <v>1139</v>
      </c>
      <c r="D161" s="2652" t="s">
        <v>1170</v>
      </c>
      <c r="E161" s="2482" t="s">
        <v>1195</v>
      </c>
      <c r="F161" s="2480" t="s">
        <v>1139</v>
      </c>
      <c r="G161" s="2653" t="s">
        <v>1195</v>
      </c>
      <c r="H161" s="2484">
        <v>24</v>
      </c>
      <c r="I161" s="2480" t="s">
        <v>1139</v>
      </c>
      <c r="J161" s="2654">
        <v>24</v>
      </c>
      <c r="K161" s="2484">
        <v>50</v>
      </c>
      <c r="L161" s="2480" t="s">
        <v>1139</v>
      </c>
      <c r="M161" s="2655">
        <v>50</v>
      </c>
      <c r="N161" s="359"/>
      <c r="O161" s="433" t="s">
        <v>1170</v>
      </c>
      <c r="P161" s="2480" t="s">
        <v>1139</v>
      </c>
      <c r="Q161" s="2656" t="s">
        <v>1170</v>
      </c>
      <c r="R161" s="2482" t="s">
        <v>1195</v>
      </c>
      <c r="S161" s="2480" t="s">
        <v>1139</v>
      </c>
      <c r="T161" s="2657" t="s">
        <v>1195</v>
      </c>
      <c r="U161" s="2484">
        <v>24</v>
      </c>
      <c r="V161" s="2480" t="s">
        <v>1139</v>
      </c>
      <c r="W161" s="2656">
        <v>24</v>
      </c>
      <c r="X161" s="2484">
        <v>50</v>
      </c>
      <c r="Y161" s="2480" t="s">
        <v>1139</v>
      </c>
      <c r="Z161" s="2658">
        <v>50</v>
      </c>
      <c r="AA161" s="359"/>
      <c r="AB161" s="359"/>
      <c r="AC161" s="359"/>
    </row>
    <row r="162" spans="1:29" s="1519" customFormat="1" ht="20.25">
      <c r="A162" s="359"/>
      <c r="B162" s="433" t="s">
        <v>1197</v>
      </c>
      <c r="C162" s="2480" t="s">
        <v>1139</v>
      </c>
      <c r="D162" s="2652" t="s">
        <v>1197</v>
      </c>
      <c r="E162" s="2482" t="s">
        <v>1198</v>
      </c>
      <c r="F162" s="2480" t="s">
        <v>1139</v>
      </c>
      <c r="G162" s="2653" t="s">
        <v>1198</v>
      </c>
      <c r="H162" s="2484">
        <v>25</v>
      </c>
      <c r="I162" s="2480" t="s">
        <v>1139</v>
      </c>
      <c r="J162" s="2654">
        <v>25</v>
      </c>
      <c r="K162" s="2484">
        <v>51</v>
      </c>
      <c r="L162" s="2480" t="s">
        <v>1139</v>
      </c>
      <c r="M162" s="2655">
        <v>51</v>
      </c>
      <c r="N162" s="359"/>
      <c r="O162" s="433" t="s">
        <v>1197</v>
      </c>
      <c r="P162" s="2480" t="s">
        <v>1139</v>
      </c>
      <c r="Q162" s="2656" t="s">
        <v>1197</v>
      </c>
      <c r="R162" s="2482" t="s">
        <v>1198</v>
      </c>
      <c r="S162" s="2480" t="s">
        <v>1139</v>
      </c>
      <c r="T162" s="2657" t="s">
        <v>1198</v>
      </c>
      <c r="U162" s="2484">
        <v>25</v>
      </c>
      <c r="V162" s="2480" t="s">
        <v>1139</v>
      </c>
      <c r="W162" s="2656">
        <v>25</v>
      </c>
      <c r="X162" s="2484">
        <v>51</v>
      </c>
      <c r="Y162" s="2480" t="s">
        <v>1139</v>
      </c>
      <c r="Z162" s="2658">
        <v>51</v>
      </c>
      <c r="AA162" s="359"/>
      <c r="AB162" s="359"/>
      <c r="AC162" s="359"/>
    </row>
    <row r="163" spans="1:29" s="1519" customFormat="1" ht="20.25">
      <c r="A163" s="359"/>
      <c r="B163" s="433" t="s">
        <v>1173</v>
      </c>
      <c r="C163" s="2480" t="s">
        <v>1139</v>
      </c>
      <c r="D163" s="2652" t="s">
        <v>1173</v>
      </c>
      <c r="E163" s="2482" t="s">
        <v>1200</v>
      </c>
      <c r="F163" s="2480" t="s">
        <v>1139</v>
      </c>
      <c r="G163" s="2653" t="s">
        <v>1200</v>
      </c>
      <c r="H163" s="2484">
        <v>26</v>
      </c>
      <c r="I163" s="2480" t="s">
        <v>1139</v>
      </c>
      <c r="J163" s="2654">
        <v>26</v>
      </c>
      <c r="K163" s="2484">
        <v>52</v>
      </c>
      <c r="L163" s="2480" t="s">
        <v>1139</v>
      </c>
      <c r="M163" s="2655">
        <v>52</v>
      </c>
      <c r="N163" s="359"/>
      <c r="O163" s="433" t="s">
        <v>1173</v>
      </c>
      <c r="P163" s="2480" t="s">
        <v>1139</v>
      </c>
      <c r="Q163" s="2656" t="s">
        <v>1173</v>
      </c>
      <c r="R163" s="2482" t="s">
        <v>1200</v>
      </c>
      <c r="S163" s="2480" t="s">
        <v>1139</v>
      </c>
      <c r="T163" s="2657" t="s">
        <v>1200</v>
      </c>
      <c r="U163" s="2484">
        <v>26</v>
      </c>
      <c r="V163" s="2480" t="s">
        <v>1139</v>
      </c>
      <c r="W163" s="2656">
        <v>26</v>
      </c>
      <c r="X163" s="2484">
        <v>52</v>
      </c>
      <c r="Y163" s="2480" t="s">
        <v>1139</v>
      </c>
      <c r="Z163" s="2658">
        <v>52</v>
      </c>
      <c r="AA163" s="359"/>
      <c r="AB163" s="359"/>
      <c r="AC163" s="359"/>
    </row>
    <row r="164" spans="1:29" s="1519" customFormat="1" ht="20.25">
      <c r="A164" s="359"/>
      <c r="B164" s="433" t="s">
        <v>1202</v>
      </c>
      <c r="C164" s="2480" t="s">
        <v>1139</v>
      </c>
      <c r="D164" s="2652" t="s">
        <v>1202</v>
      </c>
      <c r="E164" s="2482" t="s">
        <v>19</v>
      </c>
      <c r="F164" s="2480" t="s">
        <v>1139</v>
      </c>
      <c r="G164" s="2653" t="s">
        <v>19</v>
      </c>
      <c r="H164" s="2484" t="s">
        <v>1203</v>
      </c>
      <c r="I164" s="2480" t="s">
        <v>1139</v>
      </c>
      <c r="J164" s="2654" t="s">
        <v>1203</v>
      </c>
      <c r="K164" s="2484" t="s">
        <v>1204</v>
      </c>
      <c r="L164" s="2480" t="s">
        <v>1139</v>
      </c>
      <c r="M164" s="2655" t="s">
        <v>1204</v>
      </c>
      <c r="N164" s="359"/>
      <c r="O164" s="433" t="s">
        <v>1202</v>
      </c>
      <c r="P164" s="2480" t="s">
        <v>1139</v>
      </c>
      <c r="Q164" s="2656" t="s">
        <v>1202</v>
      </c>
      <c r="R164" s="2482" t="s">
        <v>19</v>
      </c>
      <c r="S164" s="2480" t="s">
        <v>1139</v>
      </c>
      <c r="T164" s="2657" t="s">
        <v>19</v>
      </c>
      <c r="U164" s="2484" t="s">
        <v>1203</v>
      </c>
      <c r="V164" s="2480" t="s">
        <v>1139</v>
      </c>
      <c r="W164" s="2656" t="s">
        <v>1203</v>
      </c>
      <c r="X164" s="2484" t="s">
        <v>1204</v>
      </c>
      <c r="Y164" s="2480" t="s">
        <v>1139</v>
      </c>
      <c r="Z164" s="2658" t="s">
        <v>1204</v>
      </c>
      <c r="AA164" s="359"/>
      <c r="AB164" s="359"/>
      <c r="AC164" s="359"/>
    </row>
    <row r="165" spans="1:29" s="1519" customFormat="1" ht="20.25">
      <c r="A165" s="359"/>
      <c r="B165" s="433" t="s">
        <v>1205</v>
      </c>
      <c r="C165" s="2480" t="s">
        <v>1139</v>
      </c>
      <c r="D165" s="2652" t="s">
        <v>1205</v>
      </c>
      <c r="E165" s="2482" t="s">
        <v>1206</v>
      </c>
      <c r="F165" s="2480" t="s">
        <v>1139</v>
      </c>
      <c r="G165" s="2653" t="s">
        <v>1206</v>
      </c>
      <c r="H165" s="2484" t="s">
        <v>212</v>
      </c>
      <c r="I165" s="2480" t="s">
        <v>1139</v>
      </c>
      <c r="J165" s="2654" t="s">
        <v>212</v>
      </c>
      <c r="K165" s="2484" t="s">
        <v>1207</v>
      </c>
      <c r="L165" s="2480" t="s">
        <v>1139</v>
      </c>
      <c r="M165" s="2655" t="s">
        <v>1207</v>
      </c>
      <c r="N165" s="359"/>
      <c r="O165" s="433" t="s">
        <v>1205</v>
      </c>
      <c r="P165" s="2480" t="s">
        <v>1139</v>
      </c>
      <c r="Q165" s="2656" t="s">
        <v>1205</v>
      </c>
      <c r="R165" s="2482" t="s">
        <v>1206</v>
      </c>
      <c r="S165" s="2480" t="s">
        <v>1139</v>
      </c>
      <c r="T165" s="2657" t="s">
        <v>1206</v>
      </c>
      <c r="U165" s="2484" t="s">
        <v>212</v>
      </c>
      <c r="V165" s="2480" t="s">
        <v>1139</v>
      </c>
      <c r="W165" s="2656" t="s">
        <v>212</v>
      </c>
      <c r="X165" s="2484" t="s">
        <v>1207</v>
      </c>
      <c r="Y165" s="2480" t="s">
        <v>1139</v>
      </c>
      <c r="Z165" s="2658" t="s">
        <v>1207</v>
      </c>
      <c r="AA165" s="359"/>
      <c r="AB165" s="359"/>
      <c r="AC165" s="359"/>
    </row>
    <row r="166" spans="1:29" s="1519" customFormat="1" ht="20.25">
      <c r="A166" s="359"/>
      <c r="B166" s="433" t="s">
        <v>1209</v>
      </c>
      <c r="C166" s="2480" t="s">
        <v>1139</v>
      </c>
      <c r="D166" s="2652" t="s">
        <v>1209</v>
      </c>
      <c r="E166" s="2482" t="s">
        <v>1210</v>
      </c>
      <c r="F166" s="2480" t="s">
        <v>1139</v>
      </c>
      <c r="G166" s="2653" t="s">
        <v>1210</v>
      </c>
      <c r="H166" s="2484" t="s">
        <v>1211</v>
      </c>
      <c r="I166" s="2480" t="s">
        <v>1139</v>
      </c>
      <c r="J166" s="2654" t="s">
        <v>1211</v>
      </c>
      <c r="K166" s="2484" t="s">
        <v>1212</v>
      </c>
      <c r="L166" s="2480" t="s">
        <v>1139</v>
      </c>
      <c r="M166" s="2655" t="s">
        <v>1212</v>
      </c>
      <c r="N166" s="359"/>
      <c r="O166" s="433" t="s">
        <v>1209</v>
      </c>
      <c r="P166" s="2480" t="s">
        <v>1139</v>
      </c>
      <c r="Q166" s="2656" t="s">
        <v>1209</v>
      </c>
      <c r="R166" s="2482" t="s">
        <v>1210</v>
      </c>
      <c r="S166" s="2480" t="s">
        <v>1139</v>
      </c>
      <c r="T166" s="2657" t="s">
        <v>1210</v>
      </c>
      <c r="U166" s="2484" t="s">
        <v>1211</v>
      </c>
      <c r="V166" s="2480" t="s">
        <v>1139</v>
      </c>
      <c r="W166" s="2656" t="s">
        <v>1211</v>
      </c>
      <c r="X166" s="2484" t="s">
        <v>1212</v>
      </c>
      <c r="Y166" s="2480" t="s">
        <v>1139</v>
      </c>
      <c r="Z166" s="2658" t="s">
        <v>1212</v>
      </c>
      <c r="AA166" s="359"/>
      <c r="AB166" s="359"/>
      <c r="AC166" s="359"/>
    </row>
    <row r="167" spans="1:29" s="1519" customFormat="1" ht="20.25">
      <c r="A167" s="359"/>
      <c r="B167" s="433" t="s">
        <v>1214</v>
      </c>
      <c r="C167" s="2480" t="s">
        <v>1139</v>
      </c>
      <c r="D167" s="2652" t="s">
        <v>1214</v>
      </c>
      <c r="E167" s="2482" t="s">
        <v>1215</v>
      </c>
      <c r="F167" s="2480" t="s">
        <v>1139</v>
      </c>
      <c r="G167" s="2653" t="s">
        <v>1215</v>
      </c>
      <c r="H167" s="2484" t="s">
        <v>64</v>
      </c>
      <c r="I167" s="2480" t="s">
        <v>1139</v>
      </c>
      <c r="J167" s="2654" t="s">
        <v>64</v>
      </c>
      <c r="K167" s="2484" t="s">
        <v>2</v>
      </c>
      <c r="L167" s="2480" t="s">
        <v>1139</v>
      </c>
      <c r="M167" s="2655" t="s">
        <v>2</v>
      </c>
      <c r="N167" s="359"/>
      <c r="O167" s="433" t="s">
        <v>1214</v>
      </c>
      <c r="P167" s="2480" t="s">
        <v>1139</v>
      </c>
      <c r="Q167" s="2656" t="s">
        <v>1214</v>
      </c>
      <c r="R167" s="2482" t="s">
        <v>1215</v>
      </c>
      <c r="S167" s="2480" t="s">
        <v>1139</v>
      </c>
      <c r="T167" s="2657" t="s">
        <v>1215</v>
      </c>
      <c r="U167" s="2484" t="s">
        <v>64</v>
      </c>
      <c r="V167" s="2480" t="s">
        <v>1139</v>
      </c>
      <c r="W167" s="2656" t="s">
        <v>64</v>
      </c>
      <c r="X167" s="2484" t="s">
        <v>2</v>
      </c>
      <c r="Y167" s="2480" t="s">
        <v>1139</v>
      </c>
      <c r="Z167" s="2658" t="s">
        <v>2</v>
      </c>
      <c r="AA167" s="359"/>
      <c r="AB167" s="359"/>
      <c r="AC167" s="359"/>
    </row>
    <row r="168" spans="1:29" s="1519" customFormat="1" ht="20.25">
      <c r="A168" s="359"/>
      <c r="B168" s="433" t="s">
        <v>1216</v>
      </c>
      <c r="C168" s="2480" t="s">
        <v>1139</v>
      </c>
      <c r="D168" s="2652" t="s">
        <v>1216</v>
      </c>
      <c r="E168" s="2482" t="s">
        <v>1217</v>
      </c>
      <c r="F168" s="2480" t="s">
        <v>1139</v>
      </c>
      <c r="G168" s="2653" t="s">
        <v>1217</v>
      </c>
      <c r="H168" s="2484" t="s">
        <v>1218</v>
      </c>
      <c r="I168" s="2480" t="s">
        <v>1139</v>
      </c>
      <c r="J168" s="2654" t="s">
        <v>1218</v>
      </c>
      <c r="K168" s="2484" t="s">
        <v>1219</v>
      </c>
      <c r="L168" s="2480" t="s">
        <v>1139</v>
      </c>
      <c r="M168" s="2655" t="s">
        <v>1219</v>
      </c>
      <c r="N168" s="359"/>
      <c r="O168" s="433" t="s">
        <v>1216</v>
      </c>
      <c r="P168" s="2480" t="s">
        <v>1139</v>
      </c>
      <c r="Q168" s="2656" t="s">
        <v>1216</v>
      </c>
      <c r="R168" s="2482" t="s">
        <v>1217</v>
      </c>
      <c r="S168" s="2480" t="s">
        <v>1139</v>
      </c>
      <c r="T168" s="2657" t="s">
        <v>1217</v>
      </c>
      <c r="U168" s="2484" t="s">
        <v>1218</v>
      </c>
      <c r="V168" s="2480" t="s">
        <v>1139</v>
      </c>
      <c r="W168" s="2656" t="s">
        <v>1218</v>
      </c>
      <c r="X168" s="2484" t="s">
        <v>1219</v>
      </c>
      <c r="Y168" s="2480" t="s">
        <v>1139</v>
      </c>
      <c r="Z168" s="2658" t="s">
        <v>1219</v>
      </c>
      <c r="AA168" s="359"/>
      <c r="AB168" s="359"/>
      <c r="AC168" s="359"/>
    </row>
    <row r="169" spans="1:29" s="1519" customFormat="1" ht="20.25">
      <c r="A169" s="359"/>
      <c r="B169" s="433" t="s">
        <v>1221</v>
      </c>
      <c r="C169" s="2480" t="s">
        <v>1139</v>
      </c>
      <c r="D169" s="2652" t="s">
        <v>1221</v>
      </c>
      <c r="E169" s="2482" t="s">
        <v>1222</v>
      </c>
      <c r="F169" s="2480" t="s">
        <v>1139</v>
      </c>
      <c r="G169" s="2653" t="s">
        <v>1222</v>
      </c>
      <c r="H169" s="2484" t="s">
        <v>1223</v>
      </c>
      <c r="I169" s="2480" t="s">
        <v>1139</v>
      </c>
      <c r="J169" s="2654" t="s">
        <v>1223</v>
      </c>
      <c r="K169" s="2484" t="s">
        <v>1224</v>
      </c>
      <c r="L169" s="2480" t="s">
        <v>1139</v>
      </c>
      <c r="M169" s="2655" t="s">
        <v>1224</v>
      </c>
      <c r="N169" s="359"/>
      <c r="O169" s="433" t="s">
        <v>1221</v>
      </c>
      <c r="P169" s="2480" t="s">
        <v>1139</v>
      </c>
      <c r="Q169" s="2656" t="s">
        <v>1221</v>
      </c>
      <c r="R169" s="2482" t="s">
        <v>1222</v>
      </c>
      <c r="S169" s="2480" t="s">
        <v>1139</v>
      </c>
      <c r="T169" s="2657" t="s">
        <v>1222</v>
      </c>
      <c r="U169" s="2484" t="s">
        <v>1223</v>
      </c>
      <c r="V169" s="2480" t="s">
        <v>1139</v>
      </c>
      <c r="W169" s="2656" t="s">
        <v>1223</v>
      </c>
      <c r="X169" s="2484" t="s">
        <v>1224</v>
      </c>
      <c r="Y169" s="2480" t="s">
        <v>1139</v>
      </c>
      <c r="Z169" s="2658" t="s">
        <v>1224</v>
      </c>
      <c r="AA169" s="359"/>
      <c r="AB169" s="359"/>
      <c r="AC169" s="359"/>
    </row>
    <row r="170" spans="1:29" s="1519" customFormat="1" ht="20.25">
      <c r="A170" s="359"/>
      <c r="B170" s="433" t="s">
        <v>1226</v>
      </c>
      <c r="C170" s="2480" t="s">
        <v>1139</v>
      </c>
      <c r="D170" s="2652" t="s">
        <v>1226</v>
      </c>
      <c r="E170" s="2482" t="s">
        <v>1227</v>
      </c>
      <c r="F170" s="2480" t="s">
        <v>1139</v>
      </c>
      <c r="G170" s="2653" t="s">
        <v>1227</v>
      </c>
      <c r="H170" s="2484" t="s">
        <v>1228</v>
      </c>
      <c r="I170" s="2480" t="s">
        <v>1139</v>
      </c>
      <c r="J170" s="2654" t="s">
        <v>1228</v>
      </c>
      <c r="K170" s="2484" t="s">
        <v>1229</v>
      </c>
      <c r="L170" s="2480" t="s">
        <v>1139</v>
      </c>
      <c r="M170" s="2655" t="s">
        <v>1229</v>
      </c>
      <c r="N170" s="359"/>
      <c r="O170" s="433" t="s">
        <v>1226</v>
      </c>
      <c r="P170" s="2480" t="s">
        <v>1139</v>
      </c>
      <c r="Q170" s="2656" t="s">
        <v>1226</v>
      </c>
      <c r="R170" s="2482" t="s">
        <v>1227</v>
      </c>
      <c r="S170" s="2480" t="s">
        <v>1139</v>
      </c>
      <c r="T170" s="2657" t="s">
        <v>1227</v>
      </c>
      <c r="U170" s="2484" t="s">
        <v>1228</v>
      </c>
      <c r="V170" s="2480" t="s">
        <v>1139</v>
      </c>
      <c r="W170" s="2656" t="s">
        <v>1228</v>
      </c>
      <c r="X170" s="2484" t="s">
        <v>1229</v>
      </c>
      <c r="Y170" s="2480" t="s">
        <v>1139</v>
      </c>
      <c r="Z170" s="2658" t="s">
        <v>1229</v>
      </c>
      <c r="AA170" s="359"/>
      <c r="AB170" s="359"/>
      <c r="AC170" s="359"/>
    </row>
    <row r="171" spans="1:29" s="1519" customFormat="1" ht="20.25">
      <c r="A171" s="359"/>
      <c r="B171" s="433" t="s">
        <v>1230</v>
      </c>
      <c r="C171" s="2480" t="s">
        <v>1139</v>
      </c>
      <c r="D171" s="2652" t="s">
        <v>1230</v>
      </c>
      <c r="E171" s="2482" t="s">
        <v>1231</v>
      </c>
      <c r="F171" s="2480" t="s">
        <v>1139</v>
      </c>
      <c r="G171" s="2653" t="s">
        <v>1231</v>
      </c>
      <c r="H171" s="2484" t="s">
        <v>1232</v>
      </c>
      <c r="I171" s="2480" t="s">
        <v>1139</v>
      </c>
      <c r="J171" s="2654" t="s">
        <v>1232</v>
      </c>
      <c r="K171" s="2484" t="s">
        <v>42</v>
      </c>
      <c r="L171" s="2480" t="s">
        <v>1139</v>
      </c>
      <c r="M171" s="2655" t="s">
        <v>42</v>
      </c>
      <c r="N171" s="359"/>
      <c r="O171" s="433" t="s">
        <v>1230</v>
      </c>
      <c r="P171" s="2480" t="s">
        <v>1139</v>
      </c>
      <c r="Q171" s="2656" t="s">
        <v>1230</v>
      </c>
      <c r="R171" s="2482" t="s">
        <v>1231</v>
      </c>
      <c r="S171" s="2480" t="s">
        <v>1139</v>
      </c>
      <c r="T171" s="2657" t="s">
        <v>1231</v>
      </c>
      <c r="U171" s="2484" t="s">
        <v>1232</v>
      </c>
      <c r="V171" s="2480" t="s">
        <v>1139</v>
      </c>
      <c r="W171" s="2656" t="s">
        <v>1232</v>
      </c>
      <c r="X171" s="2484" t="s">
        <v>42</v>
      </c>
      <c r="Y171" s="2480" t="s">
        <v>1139</v>
      </c>
      <c r="Z171" s="2658" t="s">
        <v>42</v>
      </c>
      <c r="AA171" s="359"/>
      <c r="AB171" s="359"/>
      <c r="AC171" s="359"/>
    </row>
    <row r="172" spans="1:29" s="1519" customFormat="1" ht="20.25">
      <c r="A172" s="359"/>
      <c r="B172" s="433"/>
      <c r="C172" s="2480" t="s">
        <v>1139</v>
      </c>
      <c r="D172" s="2652"/>
      <c r="E172" s="2482" t="s">
        <v>1234</v>
      </c>
      <c r="F172" s="2480" t="s">
        <v>1139</v>
      </c>
      <c r="G172" s="2653" t="s">
        <v>1234</v>
      </c>
      <c r="H172" s="2484" t="s">
        <v>1235</v>
      </c>
      <c r="I172" s="2480" t="s">
        <v>1139</v>
      </c>
      <c r="J172" s="2654" t="s">
        <v>1235</v>
      </c>
      <c r="K172" s="2484"/>
      <c r="L172" s="2480" t="s">
        <v>1139</v>
      </c>
      <c r="M172" s="2655"/>
      <c r="N172" s="359"/>
      <c r="O172" s="433"/>
      <c r="P172" s="2480" t="s">
        <v>1139</v>
      </c>
      <c r="Q172" s="2656"/>
      <c r="R172" s="2482" t="s">
        <v>1234</v>
      </c>
      <c r="S172" s="2480" t="s">
        <v>1139</v>
      </c>
      <c r="T172" s="2657" t="s">
        <v>1234</v>
      </c>
      <c r="U172" s="2484" t="s">
        <v>1235</v>
      </c>
      <c r="V172" s="2480" t="s">
        <v>1139</v>
      </c>
      <c r="W172" s="2656" t="s">
        <v>1235</v>
      </c>
      <c r="X172" s="2484"/>
      <c r="Y172" s="2480" t="s">
        <v>1139</v>
      </c>
      <c r="Z172" s="2658"/>
      <c r="AA172" s="359"/>
      <c r="AB172" s="359"/>
      <c r="AC172" s="359"/>
    </row>
    <row r="173" spans="1:29" s="1519" customFormat="1" ht="15">
      <c r="A173" s="360"/>
      <c r="B173" s="2621"/>
      <c r="C173" s="2622"/>
      <c r="D173" s="2622"/>
      <c r="E173" s="2622"/>
      <c r="F173" s="2622"/>
      <c r="G173" s="2622"/>
      <c r="H173" s="2622"/>
      <c r="I173" s="2622"/>
      <c r="J173" s="2622"/>
      <c r="K173" s="2622"/>
      <c r="L173" s="2622"/>
      <c r="M173" s="2623"/>
      <c r="N173" s="360"/>
      <c r="O173" s="2642"/>
      <c r="P173" s="2643"/>
      <c r="Q173" s="2643"/>
      <c r="R173" s="2643"/>
      <c r="S173" s="2643"/>
      <c r="T173" s="2643"/>
      <c r="U173" s="2643"/>
      <c r="V173" s="2643"/>
      <c r="W173" s="2643"/>
      <c r="X173" s="2643"/>
      <c r="Y173" s="2643"/>
      <c r="Z173" s="2646"/>
      <c r="AA173" s="360"/>
      <c r="AB173" s="360"/>
      <c r="AC173" s="360"/>
    </row>
    <row r="174" spans="1:29" s="1519" customFormat="1" ht="15">
      <c r="A174" s="361"/>
      <c r="B174" s="361"/>
      <c r="C174" s="361"/>
      <c r="D174" s="361"/>
      <c r="E174" s="361"/>
      <c r="F174" s="361"/>
      <c r="G174" s="361"/>
      <c r="H174" s="361"/>
      <c r="I174" s="361"/>
      <c r="J174" s="361"/>
      <c r="K174" s="361"/>
      <c r="L174" s="361"/>
      <c r="M174" s="361"/>
      <c r="N174" s="360"/>
      <c r="O174" s="361"/>
      <c r="P174" s="361"/>
      <c r="Q174" s="361"/>
      <c r="R174" s="361"/>
      <c r="S174" s="361"/>
      <c r="T174" s="361"/>
      <c r="U174" s="361"/>
      <c r="V174" s="361"/>
      <c r="W174" s="361"/>
      <c r="X174" s="361"/>
      <c r="Y174" s="361"/>
      <c r="Z174" s="361"/>
      <c r="AA174" s="2645"/>
      <c r="AB174" s="361"/>
      <c r="AC174" s="361"/>
    </row>
  </sheetData>
  <mergeCells count="55">
    <mergeCell ref="S11:T11"/>
    <mergeCell ref="C11:D11"/>
    <mergeCell ref="F11:G11"/>
    <mergeCell ref="I11:J11"/>
    <mergeCell ref="L11:M11"/>
    <mergeCell ref="P11:Q11"/>
    <mergeCell ref="BD40:BD41"/>
    <mergeCell ref="V11:W11"/>
    <mergeCell ref="Y11:Z11"/>
    <mergeCell ref="BD12:BD13"/>
    <mergeCell ref="BD15:BD16"/>
    <mergeCell ref="BD18:BD19"/>
    <mergeCell ref="BD21:BD22"/>
    <mergeCell ref="BD24:BD25"/>
    <mergeCell ref="BD28:BD29"/>
    <mergeCell ref="BD31:BD32"/>
    <mergeCell ref="BD34:BD35"/>
    <mergeCell ref="BD37:BD38"/>
    <mergeCell ref="BD44:BD45"/>
    <mergeCell ref="BD47:BD48"/>
    <mergeCell ref="BD50:BD51"/>
    <mergeCell ref="C53:D53"/>
    <mergeCell ref="F53:G53"/>
    <mergeCell ref="I53:J53"/>
    <mergeCell ref="L53:M53"/>
    <mergeCell ref="P53:Q53"/>
    <mergeCell ref="S53:T53"/>
    <mergeCell ref="V53:W53"/>
    <mergeCell ref="Y53:Z53"/>
    <mergeCell ref="BD53:BD54"/>
    <mergeCell ref="BD56:BD57"/>
    <mergeCell ref="BD60:BD61"/>
    <mergeCell ref="AE63:AU64"/>
    <mergeCell ref="BD63:BD64"/>
    <mergeCell ref="AE66:AQ68"/>
    <mergeCell ref="BD66:BD67"/>
    <mergeCell ref="BD69:BD70"/>
    <mergeCell ref="AG70:AU70"/>
    <mergeCell ref="BD72:BD73"/>
    <mergeCell ref="Y137:Z137"/>
    <mergeCell ref="S95:T95"/>
    <mergeCell ref="V95:W95"/>
    <mergeCell ref="Y95:Z95"/>
    <mergeCell ref="S137:T137"/>
    <mergeCell ref="V137:W137"/>
    <mergeCell ref="C137:D137"/>
    <mergeCell ref="F137:G137"/>
    <mergeCell ref="I137:J137"/>
    <mergeCell ref="L137:M137"/>
    <mergeCell ref="P137:Q137"/>
    <mergeCell ref="C95:D95"/>
    <mergeCell ref="F95:G95"/>
    <mergeCell ref="I95:J95"/>
    <mergeCell ref="L95:M95"/>
    <mergeCell ref="P95:Q95"/>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XJ901"/>
  <sheetViews>
    <sheetView topLeftCell="A7" zoomScaleNormal="100" workbookViewId="0">
      <selection activeCell="R7" sqref="R7"/>
    </sheetView>
  </sheetViews>
  <sheetFormatPr baseColWidth="10" defaultRowHeight="15"/>
  <cols>
    <col min="1" max="1" width="3.7109375" customWidth="1"/>
    <col min="2" max="14" width="15.7109375" customWidth="1"/>
    <col min="16" max="16" width="16.5703125" customWidth="1"/>
  </cols>
  <sheetData>
    <row r="1" spans="1:17" ht="15.75" thickBot="1">
      <c r="A1" s="13">
        <f t="shared" ref="A1:Q1" ca="1" si="0">CELL("largeur",A1)</f>
        <v>3</v>
      </c>
      <c r="B1" s="13">
        <f t="shared" ca="1" si="0"/>
        <v>15</v>
      </c>
      <c r="C1" s="13">
        <f t="shared" ca="1" si="0"/>
        <v>15</v>
      </c>
      <c r="D1" s="13">
        <f t="shared" ca="1" si="0"/>
        <v>15</v>
      </c>
      <c r="E1" s="13">
        <f t="shared" ca="1" si="0"/>
        <v>15</v>
      </c>
      <c r="F1" s="13">
        <f t="shared" ca="1" si="0"/>
        <v>15</v>
      </c>
      <c r="G1" s="13">
        <f t="shared" ca="1" si="0"/>
        <v>15</v>
      </c>
      <c r="H1" s="13">
        <f t="shared" ca="1" si="0"/>
        <v>15</v>
      </c>
      <c r="I1" s="13">
        <f t="shared" ca="1" si="0"/>
        <v>15</v>
      </c>
      <c r="J1" s="13">
        <f t="shared" ca="1" si="0"/>
        <v>15</v>
      </c>
      <c r="K1" s="13">
        <f t="shared" ca="1" si="0"/>
        <v>15</v>
      </c>
      <c r="L1" s="13">
        <f t="shared" ca="1" si="0"/>
        <v>15</v>
      </c>
      <c r="M1" s="13">
        <f t="shared" ca="1" si="0"/>
        <v>15</v>
      </c>
      <c r="N1" s="13">
        <f t="shared" ca="1" si="0"/>
        <v>15</v>
      </c>
      <c r="O1" s="13">
        <f t="shared" ca="1" si="0"/>
        <v>11</v>
      </c>
      <c r="P1" s="13">
        <f t="shared" ca="1" si="0"/>
        <v>16</v>
      </c>
      <c r="Q1" s="13">
        <f t="shared" ca="1" si="0"/>
        <v>11</v>
      </c>
    </row>
    <row r="2" spans="1:17" ht="26.25">
      <c r="A2" s="14"/>
      <c r="B2" s="9108" t="s">
        <v>71</v>
      </c>
      <c r="C2" s="9109"/>
      <c r="D2" s="9109"/>
      <c r="E2" s="9109"/>
      <c r="F2" s="9109"/>
      <c r="G2" s="9109"/>
      <c r="H2" s="9109"/>
      <c r="I2" s="9109"/>
      <c r="J2" s="9109"/>
      <c r="K2" s="9109"/>
      <c r="L2" s="9109"/>
      <c r="M2" s="9109"/>
      <c r="N2" s="9109"/>
      <c r="O2" s="9109"/>
      <c r="P2" s="9109"/>
      <c r="Q2" s="9110"/>
    </row>
    <row r="3" spans="1:17" ht="20.100000000000001" customHeight="1">
      <c r="A3" s="14"/>
      <c r="B3" s="9111" t="s">
        <v>72</v>
      </c>
      <c r="C3" s="9112"/>
      <c r="D3" s="9112"/>
      <c r="E3" s="9112"/>
      <c r="F3" s="9112"/>
      <c r="G3" s="9112"/>
      <c r="H3" s="9112"/>
      <c r="I3" s="9112"/>
      <c r="J3" s="9112"/>
      <c r="K3" s="9112"/>
      <c r="L3" s="9112"/>
      <c r="M3" s="9112"/>
      <c r="N3" s="9112"/>
      <c r="O3" s="9112"/>
      <c r="P3" s="9112"/>
      <c r="Q3" s="9113"/>
    </row>
    <row r="4" spans="1:17" ht="20.100000000000001" customHeight="1">
      <c r="A4" s="14"/>
      <c r="B4" s="9111" t="s">
        <v>73</v>
      </c>
      <c r="C4" s="9112"/>
      <c r="D4" s="9112"/>
      <c r="E4" s="9112"/>
      <c r="F4" s="9112"/>
      <c r="G4" s="9112"/>
      <c r="H4" s="9112"/>
      <c r="I4" s="9112"/>
      <c r="J4" s="9112"/>
      <c r="K4" s="9112"/>
      <c r="L4" s="9112"/>
      <c r="M4" s="9112"/>
      <c r="N4" s="9112"/>
      <c r="O4" s="9112"/>
      <c r="P4" s="9112"/>
      <c r="Q4" s="9113"/>
    </row>
    <row r="5" spans="1:17" ht="20.100000000000001" customHeight="1">
      <c r="A5" s="14"/>
      <c r="B5" s="9111" t="s">
        <v>74</v>
      </c>
      <c r="C5" s="9112"/>
      <c r="D5" s="9112"/>
      <c r="E5" s="9112"/>
      <c r="F5" s="9112"/>
      <c r="G5" s="9112"/>
      <c r="H5" s="9112"/>
      <c r="I5" s="9112"/>
      <c r="J5" s="9112"/>
      <c r="K5" s="9112"/>
      <c r="L5" s="9112"/>
      <c r="M5" s="9112"/>
      <c r="N5" s="9112"/>
      <c r="O5" s="9112"/>
      <c r="P5" s="9112"/>
      <c r="Q5" s="9113"/>
    </row>
    <row r="6" spans="1:17" ht="27" thickBot="1">
      <c r="A6" s="14"/>
      <c r="B6" s="496" t="s">
        <v>1283</v>
      </c>
      <c r="C6" s="9114" t="s">
        <v>75</v>
      </c>
      <c r="D6" s="9114"/>
      <c r="E6" s="9114"/>
      <c r="F6" s="9114"/>
      <c r="G6" s="9114"/>
      <c r="H6" s="9114"/>
      <c r="I6" s="9114"/>
      <c r="J6" s="9114"/>
      <c r="K6" s="9114"/>
      <c r="L6" s="9114"/>
      <c r="M6" s="9114"/>
      <c r="N6" s="9114"/>
      <c r="O6" s="9114"/>
      <c r="P6" s="9114"/>
      <c r="Q6" s="9115"/>
    </row>
    <row r="7" spans="1:17" ht="15.75">
      <c r="A7" s="15"/>
      <c r="B7" s="14"/>
      <c r="C7" s="16"/>
      <c r="D7" s="14"/>
      <c r="E7" s="14"/>
      <c r="F7" s="14"/>
      <c r="G7" s="14"/>
      <c r="H7" s="14"/>
      <c r="I7" s="14"/>
      <c r="J7" s="14"/>
      <c r="K7" s="14"/>
      <c r="L7" s="14"/>
      <c r="M7" s="15"/>
      <c r="N7" s="15"/>
      <c r="O7" s="15"/>
      <c r="P7" s="15"/>
      <c r="Q7" s="15"/>
    </row>
    <row r="8" spans="1:17" ht="15.75" customHeight="1">
      <c r="A8" s="15"/>
      <c r="B8" s="9116" t="s">
        <v>1284</v>
      </c>
      <c r="C8" s="9116"/>
      <c r="D8" s="9116"/>
      <c r="E8" s="9116"/>
      <c r="F8" s="9116"/>
      <c r="G8" s="9116"/>
      <c r="H8" s="9116"/>
      <c r="I8" s="9116"/>
      <c r="J8" s="9116"/>
      <c r="K8" s="9116"/>
      <c r="L8" s="9116"/>
      <c r="M8" s="9116"/>
      <c r="N8" s="9116"/>
      <c r="O8" s="9116"/>
      <c r="P8" s="9116"/>
      <c r="Q8" s="9116"/>
    </row>
    <row r="9" spans="1:17" ht="15.75" customHeight="1">
      <c r="A9" s="15"/>
      <c r="B9" s="9116"/>
      <c r="C9" s="9116"/>
      <c r="D9" s="9116"/>
      <c r="E9" s="9116"/>
      <c r="F9" s="9116"/>
      <c r="G9" s="9116"/>
      <c r="H9" s="9116"/>
      <c r="I9" s="9116"/>
      <c r="J9" s="9116"/>
      <c r="K9" s="9116"/>
      <c r="L9" s="9116"/>
      <c r="M9" s="9116"/>
      <c r="N9" s="9116"/>
      <c r="O9" s="9116"/>
      <c r="P9" s="9116"/>
      <c r="Q9" s="9116"/>
    </row>
    <row r="10" spans="1:17" ht="30.75" customHeight="1">
      <c r="A10" s="15"/>
      <c r="B10" s="9116"/>
      <c r="C10" s="9116"/>
      <c r="D10" s="9116"/>
      <c r="E10" s="9116"/>
      <c r="F10" s="9116"/>
      <c r="G10" s="9116"/>
      <c r="H10" s="9116"/>
      <c r="I10" s="9116"/>
      <c r="J10" s="9116"/>
      <c r="K10" s="9116"/>
      <c r="L10" s="9116"/>
      <c r="M10" s="9116"/>
      <c r="N10" s="9116"/>
      <c r="O10" s="9116"/>
      <c r="P10" s="9116"/>
      <c r="Q10" s="9116"/>
    </row>
    <row r="11" spans="1:17" ht="15.75" thickBot="1">
      <c r="A11" s="15"/>
      <c r="B11" s="14"/>
      <c r="C11" s="17"/>
      <c r="D11" s="14"/>
      <c r="E11" s="14"/>
      <c r="F11" s="14"/>
      <c r="G11" s="14"/>
      <c r="H11" s="14"/>
      <c r="I11" s="14"/>
      <c r="J11" s="14"/>
      <c r="K11" s="14"/>
      <c r="L11" s="14"/>
      <c r="M11" s="15"/>
      <c r="N11" s="15"/>
      <c r="O11" s="15"/>
      <c r="P11" s="15"/>
      <c r="Q11" s="15"/>
    </row>
    <row r="12" spans="1:17" ht="31.5" customHeight="1" thickBot="1">
      <c r="A12" s="15"/>
      <c r="B12" s="9073" t="s">
        <v>1285</v>
      </c>
      <c r="C12" s="9074"/>
      <c r="D12" s="9074"/>
      <c r="E12" s="9074"/>
      <c r="F12" s="9074"/>
      <c r="G12" s="9074"/>
      <c r="H12" s="9074"/>
      <c r="I12" s="9074"/>
      <c r="J12" s="9074"/>
      <c r="K12" s="9074"/>
      <c r="L12" s="9074"/>
      <c r="M12" s="9074"/>
      <c r="N12" s="9074"/>
      <c r="O12" s="9074"/>
      <c r="P12" s="9074"/>
      <c r="Q12" s="9075"/>
    </row>
    <row r="13" spans="1:17">
      <c r="A13" s="15"/>
      <c r="B13" s="18"/>
      <c r="C13" s="14"/>
      <c r="D13" s="14"/>
      <c r="E13" s="14"/>
      <c r="F13" s="14"/>
      <c r="G13" s="14"/>
      <c r="H13" s="14"/>
      <c r="I13" s="14"/>
      <c r="J13" s="14"/>
      <c r="K13" s="14"/>
      <c r="L13" s="14"/>
      <c r="M13" s="15"/>
      <c r="N13" s="15"/>
      <c r="O13" s="15"/>
      <c r="P13" s="15"/>
      <c r="Q13" s="15"/>
    </row>
    <row r="14" spans="1:17">
      <c r="A14" s="15"/>
      <c r="B14" s="18"/>
      <c r="C14" s="19" t="s">
        <v>76</v>
      </c>
      <c r="D14" s="14"/>
      <c r="E14" s="14"/>
      <c r="F14" s="14"/>
      <c r="G14" s="14"/>
      <c r="H14" s="14"/>
      <c r="I14" s="14"/>
      <c r="J14" s="14"/>
      <c r="K14" s="14"/>
      <c r="L14" s="14"/>
      <c r="M14" s="15"/>
      <c r="N14" s="15"/>
      <c r="O14" s="15"/>
      <c r="P14" s="15"/>
      <c r="Q14" s="15"/>
    </row>
    <row r="15" spans="1:17">
      <c r="A15" s="15"/>
      <c r="B15" s="18"/>
      <c r="C15" s="14"/>
      <c r="D15" s="14"/>
      <c r="E15" s="14"/>
      <c r="F15" s="14"/>
      <c r="G15" s="14"/>
      <c r="H15" s="14"/>
      <c r="I15" s="14"/>
      <c r="J15" s="14"/>
      <c r="K15" s="14"/>
      <c r="L15" s="14"/>
      <c r="M15" s="15"/>
      <c r="N15" s="15"/>
      <c r="O15" s="15"/>
      <c r="P15" s="15"/>
      <c r="Q15" s="15"/>
    </row>
    <row r="16" spans="1:17">
      <c r="A16" s="15"/>
      <c r="B16" s="18"/>
      <c r="C16" s="497" t="s">
        <v>59</v>
      </c>
      <c r="D16" s="498" t="s">
        <v>58</v>
      </c>
      <c r="E16" s="499" t="s">
        <v>60</v>
      </c>
      <c r="F16" s="499" t="s">
        <v>77</v>
      </c>
      <c r="G16" s="14"/>
      <c r="H16" s="14"/>
      <c r="I16" s="14"/>
      <c r="J16" s="14"/>
      <c r="K16" s="14"/>
      <c r="L16" s="14"/>
      <c r="M16" s="15"/>
      <c r="N16" s="20" t="s">
        <v>78</v>
      </c>
      <c r="O16" s="15"/>
      <c r="P16" s="15"/>
      <c r="Q16" s="15"/>
    </row>
    <row r="17" spans="1:17">
      <c r="A17" s="15"/>
      <c r="B17" s="18"/>
      <c r="C17" s="14"/>
      <c r="D17" s="14"/>
      <c r="E17" s="14"/>
      <c r="F17" s="14"/>
      <c r="G17" s="14"/>
      <c r="H17" s="14"/>
      <c r="I17" s="14"/>
      <c r="J17" s="14"/>
      <c r="K17" s="14"/>
      <c r="L17" s="14"/>
      <c r="M17" s="15"/>
      <c r="N17" s="15"/>
      <c r="O17" s="15"/>
      <c r="P17" s="15"/>
      <c r="Q17" s="15"/>
    </row>
    <row r="18" spans="1:17" ht="15.75">
      <c r="A18" s="15"/>
      <c r="B18" s="14"/>
      <c r="C18" s="21" t="s">
        <v>79</v>
      </c>
      <c r="D18" s="22"/>
      <c r="E18" s="22"/>
      <c r="F18" s="14"/>
      <c r="G18" s="14"/>
      <c r="H18" s="14"/>
      <c r="I18" s="14"/>
      <c r="J18" s="14"/>
      <c r="K18" s="14"/>
      <c r="L18" s="14"/>
      <c r="M18" s="15"/>
      <c r="N18" s="500" t="s">
        <v>66</v>
      </c>
      <c r="O18" s="15"/>
      <c r="P18" s="15"/>
      <c r="Q18" s="15"/>
    </row>
    <row r="19" spans="1:17" ht="15.75">
      <c r="A19" s="15"/>
      <c r="B19" s="14"/>
      <c r="C19" s="490"/>
      <c r="D19" s="882"/>
      <c r="E19" s="883">
        <v>1050</v>
      </c>
      <c r="F19" s="23" t="s">
        <v>80</v>
      </c>
      <c r="G19" s="1"/>
      <c r="H19" s="14"/>
      <c r="I19" s="14"/>
      <c r="J19" s="14"/>
      <c r="K19" s="14"/>
      <c r="L19" s="14"/>
      <c r="M19" s="15"/>
      <c r="N19" s="500" t="s">
        <v>81</v>
      </c>
      <c r="O19" s="24" t="s">
        <v>82</v>
      </c>
      <c r="P19" s="15"/>
      <c r="Q19" s="15"/>
    </row>
    <row r="20" spans="1:17" ht="15.75">
      <c r="A20" s="15"/>
      <c r="B20" s="14"/>
      <c r="C20" s="490"/>
      <c r="D20" s="882"/>
      <c r="E20" s="883">
        <v>400</v>
      </c>
      <c r="F20" s="23" t="s">
        <v>83</v>
      </c>
      <c r="G20" s="1"/>
      <c r="H20" s="14"/>
      <c r="I20" s="14"/>
      <c r="J20" s="14"/>
      <c r="K20" s="14"/>
      <c r="L20" s="14"/>
      <c r="M20" s="15"/>
      <c r="N20" s="500" t="s">
        <v>84</v>
      </c>
      <c r="O20" s="15"/>
      <c r="P20" s="15"/>
      <c r="Q20" s="15"/>
    </row>
    <row r="21" spans="1:17" ht="15.75">
      <c r="A21" s="15"/>
      <c r="B21" s="14"/>
      <c r="C21" s="25"/>
      <c r="D21" s="25"/>
      <c r="E21" s="25"/>
      <c r="F21" s="14"/>
      <c r="G21" s="14"/>
      <c r="H21" s="14"/>
      <c r="I21" s="14"/>
      <c r="J21" s="14"/>
      <c r="K21" s="14"/>
      <c r="L21" s="14"/>
      <c r="M21" s="15"/>
      <c r="N21" s="500" t="s">
        <v>85</v>
      </c>
      <c r="O21" s="15"/>
      <c r="P21" s="15"/>
      <c r="Q21" s="15"/>
    </row>
    <row r="22" spans="1:17" ht="20.25">
      <c r="A22" s="15"/>
      <c r="B22" s="14"/>
      <c r="C22" s="26" t="s">
        <v>86</v>
      </c>
      <c r="D22" s="27"/>
      <c r="E22" s="27"/>
      <c r="F22" s="28"/>
      <c r="G22" s="28"/>
      <c r="H22" s="28"/>
      <c r="I22" s="28"/>
      <c r="J22" s="14"/>
      <c r="K22" s="14"/>
      <c r="L22" s="14"/>
      <c r="M22" s="15"/>
      <c r="N22" s="500" t="s">
        <v>87</v>
      </c>
      <c r="O22" s="15"/>
      <c r="P22" s="15"/>
      <c r="Q22" s="15"/>
    </row>
    <row r="23" spans="1:17" ht="15.75">
      <c r="A23" s="15"/>
      <c r="B23" s="14"/>
      <c r="C23" s="27" t="s">
        <v>88</v>
      </c>
      <c r="D23" s="22"/>
      <c r="E23" s="22"/>
      <c r="F23" s="14"/>
      <c r="G23" s="14"/>
      <c r="H23" s="14"/>
      <c r="I23" s="14"/>
      <c r="J23" s="14"/>
      <c r="K23" s="14"/>
      <c r="L23" s="14"/>
      <c r="M23" s="15"/>
      <c r="N23" s="500" t="s">
        <v>6</v>
      </c>
      <c r="O23" s="15"/>
      <c r="P23" s="15"/>
      <c r="Q23" s="15"/>
    </row>
    <row r="24" spans="1:17" ht="15.75">
      <c r="A24" s="15"/>
      <c r="B24" s="14"/>
      <c r="C24" s="27"/>
      <c r="D24" s="22"/>
      <c r="E24" s="22"/>
      <c r="F24" s="14"/>
      <c r="G24" s="14"/>
      <c r="H24" s="27"/>
      <c r="I24" s="14"/>
      <c r="J24" s="14"/>
      <c r="K24" s="14"/>
      <c r="L24" s="14"/>
      <c r="M24" s="15"/>
      <c r="N24" s="500" t="s">
        <v>89</v>
      </c>
      <c r="O24" s="15"/>
      <c r="P24" s="15"/>
      <c r="Q24" s="15"/>
    </row>
    <row r="25" spans="1:17" ht="15.75">
      <c r="A25" s="15"/>
      <c r="B25" s="14"/>
      <c r="C25" s="497" t="s">
        <v>59</v>
      </c>
      <c r="D25" s="498" t="s">
        <v>58</v>
      </c>
      <c r="E25" s="499" t="s">
        <v>60</v>
      </c>
      <c r="F25" s="499" t="s">
        <v>77</v>
      </c>
      <c r="G25" s="14"/>
      <c r="H25" s="14"/>
      <c r="I25" s="14"/>
      <c r="J25" s="14"/>
      <c r="K25" s="14"/>
      <c r="L25" s="14"/>
      <c r="M25" s="15"/>
      <c r="N25" s="500" t="s">
        <v>90</v>
      </c>
      <c r="O25" s="15"/>
      <c r="P25" s="15"/>
      <c r="Q25" s="15"/>
    </row>
    <row r="26" spans="1:17" ht="15.75">
      <c r="A26" s="15"/>
      <c r="B26" s="14"/>
      <c r="C26" s="490">
        <v>2</v>
      </c>
      <c r="D26" s="884" t="s">
        <v>68</v>
      </c>
      <c r="E26" s="883">
        <v>50</v>
      </c>
      <c r="F26" s="29" t="s">
        <v>91</v>
      </c>
      <c r="G26" s="14"/>
      <c r="H26" s="14"/>
      <c r="I26" s="14"/>
      <c r="J26" s="14"/>
      <c r="K26" s="14"/>
      <c r="L26" s="14"/>
      <c r="M26" s="15"/>
      <c r="N26" s="500" t="s">
        <v>92</v>
      </c>
      <c r="O26" s="15"/>
      <c r="P26" s="15"/>
      <c r="Q26" s="15"/>
    </row>
    <row r="27" spans="1:17" ht="15.75">
      <c r="A27" s="15"/>
      <c r="B27" s="14"/>
      <c r="C27" s="30" t="s">
        <v>93</v>
      </c>
      <c r="D27" s="27"/>
      <c r="E27" s="29"/>
      <c r="F27" s="29"/>
      <c r="G27" s="14"/>
      <c r="H27" s="14"/>
      <c r="I27" s="14"/>
      <c r="J27" s="14"/>
      <c r="K27" s="14"/>
      <c r="L27" s="14"/>
      <c r="M27" s="15"/>
      <c r="N27" s="500" t="s">
        <v>94</v>
      </c>
      <c r="O27" s="15"/>
      <c r="P27" s="15"/>
      <c r="Q27" s="15"/>
    </row>
    <row r="28" spans="1:17" ht="15.75">
      <c r="A28" s="15"/>
      <c r="B28" s="14"/>
      <c r="C28" s="27" t="s">
        <v>95</v>
      </c>
      <c r="D28" s="1"/>
      <c r="E28" s="23"/>
      <c r="F28" s="29"/>
      <c r="G28" s="14"/>
      <c r="H28" s="14"/>
      <c r="I28" s="14"/>
      <c r="J28" s="14"/>
      <c r="K28" s="14"/>
      <c r="L28" s="14"/>
      <c r="M28" s="15"/>
      <c r="N28" s="500" t="s">
        <v>96</v>
      </c>
      <c r="O28" s="15"/>
      <c r="P28" s="15"/>
      <c r="Q28" s="15"/>
    </row>
    <row r="29" spans="1:17" ht="15.75">
      <c r="A29" s="15"/>
      <c r="B29" s="14"/>
      <c r="C29" s="27"/>
      <c r="D29" s="29"/>
      <c r="E29" s="29"/>
      <c r="F29" s="29"/>
      <c r="G29" s="14"/>
      <c r="H29" s="14"/>
      <c r="I29" s="14"/>
      <c r="J29" s="14"/>
      <c r="K29" s="14"/>
      <c r="L29" s="14"/>
      <c r="M29" s="15"/>
      <c r="N29" s="500" t="s">
        <v>97</v>
      </c>
      <c r="O29" s="15"/>
      <c r="P29" s="15"/>
      <c r="Q29" s="15"/>
    </row>
    <row r="30" spans="1:17" ht="20.25">
      <c r="A30" s="15"/>
      <c r="B30" s="14"/>
      <c r="C30" s="26" t="s">
        <v>98</v>
      </c>
      <c r="E30" s="29"/>
      <c r="F30" s="29"/>
      <c r="G30" s="14"/>
      <c r="H30" s="14"/>
      <c r="I30" s="14"/>
      <c r="J30" s="14"/>
      <c r="K30" s="14"/>
      <c r="L30" s="14"/>
      <c r="M30" s="15"/>
      <c r="N30" s="500" t="s">
        <v>99</v>
      </c>
      <c r="O30" s="15"/>
      <c r="P30" s="15"/>
      <c r="Q30" s="15"/>
    </row>
    <row r="31" spans="1:17" ht="15.75">
      <c r="A31" s="15"/>
      <c r="B31" s="14"/>
      <c r="C31" s="27" t="s">
        <v>100</v>
      </c>
      <c r="D31" s="1"/>
      <c r="E31" s="23"/>
      <c r="F31" s="29"/>
      <c r="G31" s="14"/>
      <c r="H31" s="14"/>
      <c r="I31" s="14"/>
      <c r="J31" s="14"/>
      <c r="K31" s="14"/>
      <c r="L31" s="14"/>
      <c r="M31" s="15"/>
      <c r="N31" s="500" t="s">
        <v>101</v>
      </c>
      <c r="O31" s="15"/>
      <c r="P31" s="15"/>
      <c r="Q31" s="15"/>
    </row>
    <row r="32" spans="1:17" ht="15.75">
      <c r="A32" s="15"/>
      <c r="B32" s="14"/>
      <c r="C32" s="27" t="s">
        <v>102</v>
      </c>
      <c r="D32" s="1"/>
      <c r="E32" s="23"/>
      <c r="F32" s="29"/>
      <c r="G32" s="14"/>
      <c r="H32" s="14"/>
      <c r="I32" s="14"/>
      <c r="J32" s="14"/>
      <c r="K32" s="14"/>
      <c r="L32" s="14"/>
      <c r="M32" s="15"/>
      <c r="N32" s="500" t="s">
        <v>103</v>
      </c>
      <c r="O32" s="15"/>
      <c r="P32" s="15"/>
      <c r="Q32" s="15"/>
    </row>
    <row r="33" spans="1:17" ht="15.75">
      <c r="A33" s="15"/>
      <c r="B33" s="14"/>
      <c r="C33" s="22" t="s">
        <v>104</v>
      </c>
      <c r="D33" s="1"/>
      <c r="E33" s="23"/>
      <c r="F33" s="29"/>
      <c r="G33" s="14"/>
      <c r="H33" s="14"/>
      <c r="I33" s="14"/>
      <c r="J33" s="14"/>
      <c r="K33" s="14"/>
      <c r="L33" s="14"/>
      <c r="M33" s="15"/>
      <c r="N33" s="500" t="s">
        <v>105</v>
      </c>
      <c r="O33" s="15"/>
      <c r="P33" s="15"/>
      <c r="Q33" s="15"/>
    </row>
    <row r="34" spans="1:17" ht="15.75">
      <c r="A34" s="15"/>
      <c r="B34" s="14"/>
      <c r="C34" s="22" t="s">
        <v>106</v>
      </c>
      <c r="D34" s="1"/>
      <c r="E34" s="23"/>
      <c r="F34" s="29"/>
      <c r="G34" s="14"/>
      <c r="H34" s="1"/>
      <c r="I34" s="1"/>
      <c r="J34" s="1"/>
      <c r="K34" s="14"/>
      <c r="L34" s="14"/>
      <c r="M34" s="15"/>
      <c r="N34" s="500" t="s">
        <v>107</v>
      </c>
      <c r="O34" s="15"/>
      <c r="P34" s="15"/>
      <c r="Q34" s="15"/>
    </row>
    <row r="35" spans="1:17" ht="15.75">
      <c r="A35" s="15"/>
      <c r="B35" s="14"/>
      <c r="C35" s="27"/>
      <c r="E35" s="29"/>
      <c r="F35" s="29"/>
      <c r="G35" s="14"/>
      <c r="H35" s="14"/>
      <c r="I35" s="14"/>
      <c r="J35" s="14"/>
      <c r="K35" s="14"/>
      <c r="L35" s="14"/>
      <c r="M35" s="15"/>
      <c r="N35" s="500" t="s">
        <v>108</v>
      </c>
      <c r="O35" s="15"/>
      <c r="P35" s="15"/>
      <c r="Q35" s="15"/>
    </row>
    <row r="36" spans="1:17" ht="18.75">
      <c r="A36" s="15"/>
      <c r="B36" s="14"/>
      <c r="C36" s="497" t="s">
        <v>59</v>
      </c>
      <c r="D36" s="498" t="s">
        <v>58</v>
      </c>
      <c r="E36" s="499" t="s">
        <v>60</v>
      </c>
      <c r="F36" s="499" t="s">
        <v>77</v>
      </c>
      <c r="G36" s="14"/>
      <c r="H36" s="428" t="s">
        <v>1132</v>
      </c>
      <c r="I36" s="14"/>
      <c r="J36" s="14"/>
      <c r="K36" s="19" t="s">
        <v>1131</v>
      </c>
      <c r="L36" s="14"/>
      <c r="M36" s="15"/>
      <c r="N36" s="500" t="s">
        <v>109</v>
      </c>
      <c r="O36" s="15"/>
      <c r="P36" s="15"/>
      <c r="Q36" s="15"/>
    </row>
    <row r="37" spans="1:17" ht="15.75">
      <c r="A37" s="15"/>
      <c r="B37" s="14"/>
      <c r="C37" s="490">
        <v>2</v>
      </c>
      <c r="D37" s="884" t="s">
        <v>68</v>
      </c>
      <c r="E37" s="883"/>
      <c r="F37" s="29" t="s">
        <v>91</v>
      </c>
      <c r="G37" s="492">
        <v>2</v>
      </c>
      <c r="H37" s="493" t="s">
        <v>68</v>
      </c>
      <c r="I37" s="494">
        <v>0.05</v>
      </c>
      <c r="J37" s="425">
        <v>2</v>
      </c>
      <c r="K37" s="501" t="s">
        <v>68</v>
      </c>
      <c r="L37" s="426">
        <v>0.05</v>
      </c>
      <c r="M37" s="427" t="s">
        <v>91</v>
      </c>
      <c r="N37" s="500" t="s">
        <v>110</v>
      </c>
      <c r="O37" s="15"/>
      <c r="P37" s="15"/>
      <c r="Q37" s="15"/>
    </row>
    <row r="38" spans="1:17" ht="15.75">
      <c r="A38" s="15"/>
      <c r="B38" s="14"/>
      <c r="C38" s="490">
        <v>5</v>
      </c>
      <c r="D38" s="882" t="s">
        <v>111</v>
      </c>
      <c r="E38" s="883"/>
      <c r="F38" s="29" t="s">
        <v>112</v>
      </c>
      <c r="G38" s="492">
        <v>5</v>
      </c>
      <c r="H38" s="493" t="s">
        <v>111</v>
      </c>
      <c r="I38" s="494"/>
      <c r="J38" s="425">
        <v>5</v>
      </c>
      <c r="K38" s="501" t="s">
        <v>111</v>
      </c>
      <c r="L38" s="426"/>
      <c r="M38" s="427" t="s">
        <v>112</v>
      </c>
      <c r="N38" s="15"/>
      <c r="O38" s="15"/>
      <c r="P38" s="15"/>
      <c r="Q38" s="15"/>
    </row>
    <row r="39" spans="1:17" ht="18.75">
      <c r="A39" s="15"/>
      <c r="B39" s="14"/>
      <c r="C39" s="495">
        <v>1</v>
      </c>
      <c r="D39" s="502" t="s">
        <v>113</v>
      </c>
      <c r="E39" s="715"/>
      <c r="F39" s="29" t="s">
        <v>114</v>
      </c>
      <c r="G39" s="492">
        <v>1</v>
      </c>
      <c r="H39" s="493" t="s">
        <v>113</v>
      </c>
      <c r="I39" s="494"/>
      <c r="J39" s="425">
        <v>1</v>
      </c>
      <c r="K39" s="501" t="s">
        <v>113</v>
      </c>
      <c r="L39" s="426"/>
      <c r="M39" s="427" t="s">
        <v>114</v>
      </c>
      <c r="N39" s="15"/>
      <c r="O39" s="320" t="s">
        <v>117</v>
      </c>
      <c r="P39" s="15"/>
      <c r="Q39" s="15"/>
    </row>
    <row r="40" spans="1:17" ht="18.75">
      <c r="A40" s="15"/>
      <c r="B40" s="14"/>
      <c r="C40" s="490">
        <v>1</v>
      </c>
      <c r="D40" s="882" t="s">
        <v>115</v>
      </c>
      <c r="E40" s="883"/>
      <c r="F40" s="29" t="s">
        <v>116</v>
      </c>
      <c r="G40" s="492">
        <v>1</v>
      </c>
      <c r="H40" s="493" t="s">
        <v>115</v>
      </c>
      <c r="I40" s="494"/>
      <c r="J40" s="425">
        <v>1</v>
      </c>
      <c r="K40" s="501" t="s">
        <v>115</v>
      </c>
      <c r="L40" s="426"/>
      <c r="M40" s="427" t="s">
        <v>116</v>
      </c>
      <c r="O40" s="31" t="s">
        <v>120</v>
      </c>
      <c r="P40" s="15"/>
      <c r="Q40" s="15"/>
    </row>
    <row r="41" spans="1:17" ht="18.75">
      <c r="A41" s="15"/>
      <c r="B41" s="14"/>
      <c r="C41" s="490">
        <v>1</v>
      </c>
      <c r="D41" s="882" t="s">
        <v>118</v>
      </c>
      <c r="E41" s="883"/>
      <c r="F41" s="29" t="s">
        <v>119</v>
      </c>
      <c r="G41" s="492">
        <v>1</v>
      </c>
      <c r="H41" s="493" t="s">
        <v>118</v>
      </c>
      <c r="I41" s="494"/>
      <c r="J41" s="425">
        <v>1</v>
      </c>
      <c r="K41" s="501" t="s">
        <v>118</v>
      </c>
      <c r="L41" s="426"/>
      <c r="M41" s="427" t="s">
        <v>119</v>
      </c>
      <c r="N41" s="14"/>
      <c r="O41" s="319" t="s">
        <v>508</v>
      </c>
      <c r="P41" s="15"/>
      <c r="Q41" s="15"/>
    </row>
    <row r="42" spans="1:17" ht="18.75">
      <c r="A42" s="15"/>
      <c r="B42" s="14"/>
      <c r="C42" s="22"/>
      <c r="D42" s="29"/>
      <c r="E42" s="29"/>
      <c r="F42" s="29"/>
      <c r="G42" s="14"/>
      <c r="H42" s="14"/>
      <c r="I42" s="14"/>
      <c r="J42" s="14"/>
      <c r="K42" s="14"/>
      <c r="L42" s="14"/>
      <c r="M42" s="15"/>
      <c r="N42" s="321" t="s">
        <v>510</v>
      </c>
      <c r="O42" s="321" t="s">
        <v>509</v>
      </c>
      <c r="P42" s="15"/>
      <c r="Q42" s="15"/>
    </row>
    <row r="43" spans="1:17">
      <c r="A43" s="15"/>
      <c r="B43" s="14"/>
      <c r="C43" s="19" t="s">
        <v>121</v>
      </c>
      <c r="D43" s="29"/>
      <c r="E43" s="29"/>
      <c r="F43" s="29"/>
      <c r="G43" s="14"/>
      <c r="H43" s="14"/>
      <c r="I43" s="14"/>
      <c r="J43" s="14"/>
      <c r="K43" s="14"/>
      <c r="L43" s="14"/>
      <c r="M43" s="14"/>
      <c r="N43" s="14"/>
      <c r="O43" s="15"/>
      <c r="P43" s="15"/>
      <c r="Q43" s="15"/>
    </row>
    <row r="44" spans="1:17">
      <c r="A44" s="15"/>
      <c r="B44" s="14"/>
      <c r="C44" s="22" t="s">
        <v>123</v>
      </c>
      <c r="D44" s="29"/>
      <c r="E44" s="29"/>
      <c r="F44" s="29"/>
      <c r="G44" s="14"/>
      <c r="H44" s="14"/>
      <c r="I44" s="14"/>
      <c r="J44" s="14"/>
      <c r="K44" s="14"/>
      <c r="L44" s="14"/>
      <c r="M44" s="10180" t="s">
        <v>130</v>
      </c>
      <c r="N44" s="10181"/>
      <c r="O44" s="10181"/>
      <c r="P44" s="10182"/>
      <c r="Q44" s="15"/>
    </row>
    <row r="45" spans="1:17" ht="15.75">
      <c r="A45" s="15"/>
      <c r="B45" s="14"/>
      <c r="C45" s="490">
        <v>0.5</v>
      </c>
      <c r="D45" s="882" t="s">
        <v>126</v>
      </c>
      <c r="E45" s="883"/>
      <c r="F45" s="29" t="s">
        <v>127</v>
      </c>
      <c r="G45" s="14"/>
      <c r="H45" s="882" t="s">
        <v>111</v>
      </c>
      <c r="I45" s="29" t="s">
        <v>122</v>
      </c>
      <c r="J45" s="14"/>
      <c r="K45" s="14"/>
      <c r="L45" s="14"/>
      <c r="M45" s="9079"/>
      <c r="N45" s="9080"/>
      <c r="O45" s="9080"/>
      <c r="P45" s="10183"/>
      <c r="Q45" s="15"/>
    </row>
    <row r="46" spans="1:17" ht="15.75">
      <c r="A46" s="15"/>
      <c r="B46" s="14"/>
      <c r="C46" s="490">
        <v>0.25</v>
      </c>
      <c r="D46" s="882" t="s">
        <v>128</v>
      </c>
      <c r="E46" s="883"/>
      <c r="F46" s="29" t="s">
        <v>129</v>
      </c>
      <c r="G46" s="14"/>
      <c r="H46" s="882" t="s">
        <v>124</v>
      </c>
      <c r="I46" s="29" t="s">
        <v>125</v>
      </c>
      <c r="J46" s="14"/>
      <c r="K46" s="14"/>
      <c r="L46" s="14"/>
      <c r="M46" s="9079"/>
      <c r="N46" s="9080"/>
      <c r="O46" s="9080"/>
      <c r="P46" s="10183"/>
      <c r="Q46" s="15"/>
    </row>
    <row r="47" spans="1:17" ht="15" customHeight="1">
      <c r="A47" s="15"/>
      <c r="B47" s="14"/>
      <c r="C47" s="22"/>
      <c r="D47" s="22"/>
      <c r="E47" s="22"/>
      <c r="F47" s="14"/>
      <c r="G47" s="14"/>
      <c r="H47" s="14"/>
      <c r="I47" s="14"/>
      <c r="J47" s="14"/>
      <c r="K47" s="14"/>
      <c r="L47" s="14"/>
      <c r="M47" s="9079"/>
      <c r="N47" s="9080"/>
      <c r="O47" s="9080"/>
      <c r="P47" s="10183"/>
      <c r="Q47" s="15"/>
    </row>
    <row r="48" spans="1:17" ht="15" customHeight="1">
      <c r="A48" s="15"/>
      <c r="B48" s="14"/>
      <c r="C48" s="19" t="s">
        <v>132</v>
      </c>
      <c r="D48" s="22"/>
      <c r="E48" s="22"/>
      <c r="F48" s="14"/>
      <c r="G48" s="14"/>
      <c r="H48" s="14"/>
      <c r="I48" s="14"/>
      <c r="J48" s="14"/>
      <c r="K48" s="14"/>
      <c r="L48" s="14"/>
      <c r="M48" s="9079"/>
      <c r="N48" s="9080"/>
      <c r="O48" s="9080"/>
      <c r="P48" s="10183"/>
      <c r="Q48" s="15"/>
    </row>
    <row r="49" spans="1:17" ht="15" customHeight="1">
      <c r="A49" s="15"/>
      <c r="B49" s="14"/>
      <c r="C49" s="19" t="s">
        <v>133</v>
      </c>
      <c r="D49" s="22"/>
      <c r="E49" s="22"/>
      <c r="F49" s="14"/>
      <c r="G49" s="14"/>
      <c r="H49" s="14"/>
      <c r="I49" s="14"/>
      <c r="J49" s="14"/>
      <c r="K49" s="14"/>
      <c r="L49" s="14"/>
      <c r="M49" s="10184"/>
      <c r="N49" s="10185"/>
      <c r="O49" s="10185"/>
      <c r="P49" s="10186"/>
      <c r="Q49" s="15"/>
    </row>
    <row r="50" spans="1:17" ht="15" customHeight="1">
      <c r="A50" s="15"/>
      <c r="B50" s="14"/>
      <c r="C50" s="27" t="s">
        <v>134</v>
      </c>
      <c r="D50" s="27"/>
      <c r="E50" s="27"/>
      <c r="F50" s="27"/>
      <c r="G50" s="27"/>
      <c r="H50" s="27"/>
      <c r="I50" s="27"/>
      <c r="J50" s="14"/>
      <c r="K50" s="14"/>
      <c r="L50" s="14"/>
      <c r="M50" s="1"/>
      <c r="N50" s="1"/>
      <c r="O50" s="1"/>
      <c r="P50" s="1"/>
      <c r="Q50" s="15"/>
    </row>
    <row r="51" spans="1:17" ht="15" customHeight="1">
      <c r="A51" s="15"/>
      <c r="B51" s="14"/>
      <c r="C51" s="27"/>
      <c r="D51" s="27" t="s">
        <v>457</v>
      </c>
      <c r="E51" s="27"/>
      <c r="F51" s="27"/>
      <c r="G51" s="27"/>
      <c r="H51" s="27"/>
      <c r="I51" s="27"/>
      <c r="J51" s="14"/>
      <c r="K51" s="14"/>
      <c r="L51" s="14"/>
      <c r="M51" s="10187" t="s">
        <v>137</v>
      </c>
      <c r="N51" s="10188"/>
      <c r="O51" s="10188"/>
      <c r="P51" s="10189"/>
      <c r="Q51" s="15"/>
    </row>
    <row r="52" spans="1:17" ht="15" customHeight="1">
      <c r="A52" s="15"/>
      <c r="B52" s="14"/>
      <c r="C52" s="27"/>
      <c r="D52" s="27" t="s">
        <v>458</v>
      </c>
      <c r="E52" s="27"/>
      <c r="F52" s="27"/>
      <c r="G52" s="27"/>
      <c r="H52" s="27"/>
      <c r="I52" s="27"/>
      <c r="J52" s="14"/>
      <c r="K52" s="14"/>
      <c r="L52" s="14"/>
      <c r="M52" s="9088"/>
      <c r="N52" s="9089"/>
      <c r="O52" s="9089"/>
      <c r="P52" s="10190"/>
      <c r="Q52" s="15"/>
    </row>
    <row r="53" spans="1:17" ht="15" customHeight="1">
      <c r="A53" s="15"/>
      <c r="B53" s="14"/>
      <c r="C53" s="27"/>
      <c r="D53" s="27" t="s">
        <v>459</v>
      </c>
      <c r="E53" s="27"/>
      <c r="F53" s="27"/>
      <c r="G53" s="27"/>
      <c r="H53" s="27"/>
      <c r="I53" s="27"/>
      <c r="J53" s="14"/>
      <c r="K53" s="14"/>
      <c r="L53" s="15"/>
      <c r="M53" s="9088"/>
      <c r="N53" s="9089"/>
      <c r="O53" s="9089"/>
      <c r="P53" s="10190"/>
      <c r="Q53" s="15"/>
    </row>
    <row r="54" spans="1:17" ht="15" customHeight="1">
      <c r="A54" s="15"/>
      <c r="B54" s="14"/>
      <c r="C54" s="27"/>
      <c r="D54" s="27" t="s">
        <v>136</v>
      </c>
      <c r="E54" s="27"/>
      <c r="F54" s="27"/>
      <c r="G54" s="27"/>
      <c r="H54" s="27"/>
      <c r="I54" s="27"/>
      <c r="J54" s="14"/>
      <c r="K54" s="14"/>
      <c r="L54" s="15"/>
      <c r="M54" s="10191"/>
      <c r="N54" s="10192"/>
      <c r="O54" s="10192"/>
      <c r="P54" s="10193"/>
      <c r="Q54" s="15"/>
    </row>
    <row r="55" spans="1:17" ht="15" customHeight="1">
      <c r="A55" s="15"/>
      <c r="B55" s="14"/>
      <c r="C55" s="27"/>
      <c r="D55" s="27"/>
      <c r="E55" s="27"/>
      <c r="F55" s="27"/>
      <c r="G55" s="27"/>
      <c r="H55" s="27"/>
      <c r="I55" s="27"/>
      <c r="J55" s="14"/>
      <c r="K55" s="14"/>
      <c r="L55" s="15"/>
      <c r="M55" s="15"/>
      <c r="N55" s="15"/>
      <c r="O55" s="15"/>
      <c r="P55" s="15"/>
      <c r="Q55" s="15"/>
    </row>
    <row r="56" spans="1:17">
      <c r="A56" s="525"/>
      <c r="B56" s="526"/>
      <c r="C56" s="527"/>
      <c r="D56" s="527"/>
      <c r="E56" s="527"/>
      <c r="F56" s="527"/>
      <c r="G56" s="527"/>
      <c r="H56" s="527"/>
      <c r="I56" s="527"/>
      <c r="J56" s="526"/>
      <c r="K56" s="526"/>
      <c r="L56" s="526"/>
      <c r="M56" s="525"/>
      <c r="N56" s="525"/>
      <c r="O56" s="525"/>
      <c r="P56" s="525"/>
      <c r="Q56" s="525"/>
    </row>
    <row r="57" spans="1:17" ht="15" customHeight="1">
      <c r="B57" s="1"/>
      <c r="C57" s="1"/>
      <c r="D57" s="1"/>
      <c r="E57" s="462"/>
      <c r="F57" s="462"/>
      <c r="G57" s="1"/>
      <c r="H57" s="1"/>
      <c r="I57" s="1"/>
      <c r="J57" s="1"/>
      <c r="K57" s="1"/>
      <c r="L57" s="15"/>
      <c r="M57" s="15"/>
      <c r="N57" s="15"/>
      <c r="O57" s="15"/>
      <c r="P57" s="15"/>
      <c r="Q57" s="15"/>
    </row>
    <row r="58" spans="1:17" ht="15" customHeight="1">
      <c r="A58" s="15"/>
      <c r="B58" s="462"/>
      <c r="C58" s="464" t="s">
        <v>143</v>
      </c>
      <c r="D58" s="1"/>
      <c r="E58" s="462"/>
      <c r="F58" s="462"/>
      <c r="G58" s="1"/>
      <c r="H58" s="1"/>
      <c r="I58" s="1"/>
      <c r="J58" s="1"/>
      <c r="K58" s="1"/>
      <c r="L58" s="1"/>
      <c r="M58" s="15"/>
      <c r="N58" s="15"/>
      <c r="O58" s="15"/>
      <c r="P58" s="15"/>
      <c r="Q58" s="15"/>
    </row>
    <row r="59" spans="1:17" ht="15" customHeight="1">
      <c r="A59" s="15"/>
      <c r="B59" s="522" t="s">
        <v>1283</v>
      </c>
      <c r="C59" s="465" t="s">
        <v>144</v>
      </c>
      <c r="D59" s="1"/>
      <c r="E59" s="465"/>
      <c r="F59" s="465"/>
      <c r="G59" s="27"/>
      <c r="H59" s="1"/>
      <c r="I59" s="1"/>
      <c r="J59" s="1"/>
      <c r="K59" s="1"/>
      <c r="L59" s="1"/>
      <c r="M59" s="10194" t="s">
        <v>4</v>
      </c>
      <c r="N59" s="10195"/>
      <c r="O59" s="10195"/>
      <c r="P59" s="10196"/>
      <c r="Q59" s="15"/>
    </row>
    <row r="60" spans="1:17" ht="21">
      <c r="A60" s="15"/>
      <c r="B60" s="466"/>
      <c r="C60" s="466"/>
      <c r="D60" s="1"/>
      <c r="E60" s="465"/>
      <c r="F60" s="465"/>
      <c r="G60" s="27"/>
      <c r="H60" s="1"/>
      <c r="I60" s="1"/>
      <c r="J60" s="1"/>
      <c r="K60" s="1"/>
      <c r="L60" s="1"/>
      <c r="M60" s="9097"/>
      <c r="N60" s="9098"/>
      <c r="O60" s="9098"/>
      <c r="P60" s="10197"/>
      <c r="Q60" s="15"/>
    </row>
    <row r="61" spans="1:17" ht="15" customHeight="1">
      <c r="A61" s="15"/>
      <c r="B61" s="522" t="s">
        <v>1283</v>
      </c>
      <c r="C61" s="9100" t="s">
        <v>145</v>
      </c>
      <c r="D61" s="9100"/>
      <c r="E61" s="9100"/>
      <c r="F61" s="9100"/>
      <c r="G61" s="9100"/>
      <c r="H61" s="9100"/>
      <c r="I61" s="27"/>
      <c r="J61" s="14"/>
      <c r="K61" s="1"/>
      <c r="L61" s="1"/>
      <c r="M61" s="9097"/>
      <c r="N61" s="9098"/>
      <c r="O61" s="9098"/>
      <c r="P61" s="10197"/>
      <c r="Q61" s="15"/>
    </row>
    <row r="62" spans="1:17" ht="21">
      <c r="A62" s="15"/>
      <c r="B62" s="466"/>
      <c r="C62" s="462"/>
      <c r="D62" s="1"/>
      <c r="E62" s="462"/>
      <c r="F62" s="462"/>
      <c r="G62" s="27"/>
      <c r="H62" s="27"/>
      <c r="I62" s="27"/>
      <c r="J62" s="14"/>
      <c r="K62" s="1"/>
      <c r="L62" s="1"/>
      <c r="M62" s="9097"/>
      <c r="N62" s="9098"/>
      <c r="O62" s="9098"/>
      <c r="P62" s="10197"/>
      <c r="Q62" s="15"/>
    </row>
    <row r="63" spans="1:17" ht="21">
      <c r="A63" s="15"/>
      <c r="B63" s="462"/>
      <c r="C63" s="464" t="s">
        <v>146</v>
      </c>
      <c r="D63" s="1"/>
      <c r="E63" s="462"/>
      <c r="F63" s="462"/>
      <c r="G63" s="27"/>
      <c r="H63" s="27"/>
      <c r="I63" s="27"/>
      <c r="J63" s="14"/>
      <c r="K63" s="1"/>
      <c r="L63" s="14"/>
      <c r="M63" s="9101" t="s">
        <v>3</v>
      </c>
      <c r="N63" s="9102"/>
      <c r="O63" s="9102"/>
      <c r="P63" s="10198"/>
      <c r="Q63" s="15"/>
    </row>
    <row r="64" spans="1:17" ht="21">
      <c r="A64" s="15"/>
      <c r="B64" s="522" t="s">
        <v>1283</v>
      </c>
      <c r="C64" s="9107" t="s">
        <v>147</v>
      </c>
      <c r="D64" s="9107"/>
      <c r="E64" s="9107"/>
      <c r="F64" s="9107"/>
      <c r="G64" s="9107"/>
      <c r="H64" s="9107"/>
      <c r="I64" s="9107"/>
      <c r="J64" s="9107"/>
      <c r="K64" s="1"/>
      <c r="L64" s="14"/>
      <c r="M64" s="9101"/>
      <c r="N64" s="9102"/>
      <c r="O64" s="9102"/>
      <c r="P64" s="10198"/>
      <c r="Q64" s="15"/>
    </row>
    <row r="65" spans="1:18" ht="21">
      <c r="A65" s="15"/>
      <c r="B65" s="465"/>
      <c r="C65" s="465"/>
      <c r="D65" s="1"/>
      <c r="E65" s="465"/>
      <c r="F65" s="465"/>
      <c r="G65" s="27"/>
      <c r="H65" s="33"/>
      <c r="I65" s="27"/>
      <c r="J65" s="14"/>
      <c r="K65" s="14"/>
      <c r="L65" s="14"/>
      <c r="M65" s="10199"/>
      <c r="N65" s="10200"/>
      <c r="O65" s="10200"/>
      <c r="P65" s="10201"/>
      <c r="Q65" s="15"/>
    </row>
    <row r="66" spans="1:18" ht="21">
      <c r="A66" s="15"/>
      <c r="B66" s="522" t="s">
        <v>1283</v>
      </c>
      <c r="C66" s="9117" t="s">
        <v>1247</v>
      </c>
      <c r="D66" s="9117"/>
      <c r="E66" s="9117"/>
      <c r="F66" s="9117"/>
      <c r="G66" s="27"/>
      <c r="H66" s="33"/>
      <c r="I66" s="27"/>
      <c r="J66" s="14"/>
      <c r="K66" s="14"/>
      <c r="L66" s="14"/>
      <c r="M66" s="15"/>
      <c r="N66" s="15"/>
      <c r="O66" s="15"/>
      <c r="P66" s="15"/>
    </row>
    <row r="67" spans="1:18" ht="21">
      <c r="A67" s="15"/>
      <c r="B67" s="720"/>
      <c r="C67" s="720"/>
      <c r="D67" s="720"/>
      <c r="E67" s="720"/>
      <c r="F67" s="720"/>
      <c r="G67" s="27"/>
      <c r="H67" s="33"/>
      <c r="I67" s="27"/>
      <c r="J67" s="14"/>
      <c r="K67" s="14"/>
      <c r="L67" s="14"/>
      <c r="M67" s="15"/>
      <c r="N67" s="15"/>
      <c r="O67" s="15"/>
      <c r="P67" s="15"/>
      <c r="Q67" s="15"/>
      <c r="R67" s="885"/>
    </row>
    <row r="68" spans="1:18" ht="21">
      <c r="A68" s="15"/>
      <c r="B68" s="522" t="s">
        <v>1283</v>
      </c>
      <c r="C68" s="10202" t="s">
        <v>1745</v>
      </c>
      <c r="D68" s="10202"/>
      <c r="E68" s="10202"/>
      <c r="F68" s="720"/>
      <c r="G68" s="27"/>
      <c r="H68" s="33"/>
      <c r="I68" s="27"/>
      <c r="J68" s="14"/>
      <c r="K68" s="14"/>
      <c r="L68" s="14"/>
      <c r="M68" s="15"/>
      <c r="N68" s="15"/>
      <c r="O68" s="15"/>
      <c r="P68" s="15"/>
      <c r="Q68" s="15"/>
      <c r="R68" s="885"/>
    </row>
    <row r="69" spans="1:18" ht="21" customHeight="1">
      <c r="A69" s="15"/>
      <c r="B69" s="465"/>
      <c r="C69" s="33"/>
      <c r="D69" s="1"/>
      <c r="E69" s="465"/>
      <c r="F69" s="465"/>
      <c r="G69" s="27"/>
      <c r="H69" s="33"/>
      <c r="I69" s="27"/>
      <c r="J69" s="14"/>
      <c r="K69" s="14"/>
      <c r="L69" s="14"/>
      <c r="M69" s="14"/>
      <c r="N69" s="14"/>
      <c r="O69" s="14"/>
      <c r="P69" s="14"/>
      <c r="Q69" s="15"/>
    </row>
    <row r="70" spans="1:18" ht="21">
      <c r="A70" s="15"/>
      <c r="B70" s="522" t="s">
        <v>1283</v>
      </c>
      <c r="C70" s="9072" t="s">
        <v>1248</v>
      </c>
      <c r="D70" s="9072"/>
      <c r="E70" s="33"/>
      <c r="F70" s="33"/>
      <c r="G70" s="27"/>
      <c r="H70" s="33"/>
      <c r="I70" s="27"/>
      <c r="J70" s="14"/>
      <c r="K70" s="14"/>
      <c r="L70" s="14"/>
      <c r="M70" s="9118" t="s">
        <v>1281</v>
      </c>
      <c r="N70" s="9119"/>
      <c r="O70" s="9119"/>
      <c r="P70" s="10203"/>
      <c r="Q70" s="15"/>
    </row>
    <row r="71" spans="1:18" ht="21">
      <c r="A71" s="15"/>
      <c r="B71" s="465"/>
      <c r="C71" s="467"/>
      <c r="D71" s="465"/>
      <c r="E71" s="33"/>
      <c r="F71" s="27"/>
      <c r="G71" s="27"/>
      <c r="H71" s="33"/>
      <c r="I71" s="27"/>
      <c r="J71" s="14"/>
      <c r="K71" s="14"/>
      <c r="L71" s="14"/>
      <c r="M71" s="9069" t="s">
        <v>131</v>
      </c>
      <c r="N71" s="9070"/>
      <c r="O71" s="9070"/>
      <c r="P71" s="10179"/>
      <c r="Q71" s="15"/>
    </row>
    <row r="72" spans="1:18" ht="21">
      <c r="A72" s="15"/>
      <c r="B72" s="522" t="s">
        <v>1283</v>
      </c>
      <c r="C72" s="9072" t="s">
        <v>1249</v>
      </c>
      <c r="D72" s="9072"/>
      <c r="E72" s="9072"/>
      <c r="F72" s="27"/>
      <c r="I72" s="27"/>
      <c r="J72" s="14"/>
      <c r="K72" s="1"/>
      <c r="L72" s="1"/>
      <c r="M72" s="9069"/>
      <c r="N72" s="9070"/>
      <c r="O72" s="9070"/>
      <c r="P72" s="10179"/>
      <c r="Q72" s="15"/>
    </row>
    <row r="73" spans="1:18" ht="21">
      <c r="A73" s="15"/>
      <c r="B73" s="465"/>
      <c r="C73" s="33"/>
      <c r="D73" s="33"/>
      <c r="E73" s="33"/>
      <c r="F73" s="27"/>
      <c r="G73" s="27"/>
      <c r="H73" s="33"/>
      <c r="I73" s="27"/>
      <c r="J73" s="14"/>
      <c r="K73" s="1"/>
      <c r="L73" s="1"/>
      <c r="M73" s="9069"/>
      <c r="N73" s="9070"/>
      <c r="O73" s="9070"/>
      <c r="P73" s="10179"/>
      <c r="Q73" s="15"/>
    </row>
    <row r="74" spans="1:18" ht="21">
      <c r="A74" s="15"/>
      <c r="B74" s="522" t="s">
        <v>1283</v>
      </c>
      <c r="C74" s="9072" t="s">
        <v>1250</v>
      </c>
      <c r="D74" s="9072"/>
      <c r="E74" s="9072"/>
      <c r="F74" s="33"/>
      <c r="G74" s="27"/>
      <c r="H74" s="33"/>
      <c r="I74" s="27"/>
      <c r="J74" s="14"/>
      <c r="K74" s="1"/>
      <c r="L74" s="1"/>
      <c r="M74" s="9069"/>
      <c r="N74" s="9070"/>
      <c r="O74" s="9070"/>
      <c r="P74" s="10179"/>
      <c r="Q74" s="15"/>
    </row>
    <row r="75" spans="1:18" ht="21">
      <c r="A75" s="15"/>
      <c r="B75" s="465"/>
      <c r="C75" s="465"/>
      <c r="D75" s="33"/>
      <c r="E75" s="33"/>
      <c r="F75" s="33"/>
      <c r="G75" s="27"/>
      <c r="H75" s="33"/>
      <c r="I75" s="27"/>
      <c r="J75" s="14"/>
      <c r="K75" s="1"/>
      <c r="L75" s="1"/>
      <c r="M75" s="9053" t="s">
        <v>135</v>
      </c>
      <c r="N75" s="9054"/>
      <c r="O75" s="9054"/>
      <c r="P75" s="10173"/>
      <c r="Q75" s="15"/>
    </row>
    <row r="76" spans="1:18" ht="21">
      <c r="A76" s="15"/>
      <c r="B76" s="522" t="s">
        <v>1283</v>
      </c>
      <c r="C76" s="9056" t="s">
        <v>1290</v>
      </c>
      <c r="D76" s="9056"/>
      <c r="E76" s="9056"/>
      <c r="G76" s="27"/>
      <c r="H76" s="33"/>
      <c r="I76" s="27"/>
      <c r="J76" s="14"/>
      <c r="K76" s="1"/>
      <c r="L76" s="1"/>
      <c r="M76" s="9053"/>
      <c r="N76" s="9054"/>
      <c r="O76" s="9054"/>
      <c r="P76" s="10173"/>
      <c r="Q76" s="15"/>
    </row>
    <row r="77" spans="1:18" ht="15" customHeight="1">
      <c r="A77" s="15"/>
      <c r="B77" s="886"/>
      <c r="C77" s="27"/>
      <c r="D77" s="27"/>
      <c r="E77" s="27"/>
      <c r="F77" s="27"/>
      <c r="G77" s="27"/>
      <c r="H77" s="27"/>
      <c r="I77" s="27"/>
      <c r="J77" s="14"/>
      <c r="K77" s="1"/>
      <c r="L77" s="1"/>
      <c r="M77" s="9053"/>
      <c r="N77" s="9054"/>
      <c r="O77" s="9054"/>
      <c r="P77" s="10173"/>
      <c r="Q77" s="15"/>
    </row>
    <row r="78" spans="1:18" ht="21">
      <c r="A78" s="15"/>
      <c r="B78" s="522" t="s">
        <v>1283</v>
      </c>
      <c r="C78" s="9057" t="s">
        <v>1291</v>
      </c>
      <c r="D78" s="9057"/>
      <c r="E78" s="9057"/>
      <c r="F78" s="9057"/>
      <c r="G78" s="27"/>
      <c r="H78" s="27"/>
      <c r="I78" s="27"/>
      <c r="J78" s="14"/>
      <c r="K78" s="1"/>
      <c r="L78" s="1"/>
      <c r="M78" s="9058" t="s">
        <v>139</v>
      </c>
      <c r="N78" s="9059"/>
      <c r="O78" s="9059"/>
      <c r="P78" s="10174"/>
      <c r="Q78" s="15"/>
    </row>
    <row r="79" spans="1:18">
      <c r="A79" s="1"/>
      <c r="B79" s="1"/>
      <c r="C79" s="1"/>
      <c r="D79" s="1"/>
      <c r="E79" s="1"/>
      <c r="F79" s="1"/>
      <c r="G79" s="1"/>
      <c r="H79" s="1"/>
      <c r="I79" s="1"/>
      <c r="J79" s="1"/>
      <c r="K79" s="14"/>
      <c r="L79" s="14"/>
      <c r="M79" s="9058"/>
      <c r="N79" s="9059"/>
      <c r="O79" s="9059"/>
      <c r="P79" s="10174"/>
      <c r="Q79" s="15"/>
    </row>
    <row r="80" spans="1:18">
      <c r="A80" s="1"/>
      <c r="B80" s="1"/>
      <c r="C80" s="1"/>
      <c r="D80" s="1"/>
      <c r="E80" s="1"/>
      <c r="F80" s="1"/>
      <c r="G80" s="1"/>
      <c r="H80" s="1"/>
      <c r="I80" s="1"/>
      <c r="J80" s="1"/>
      <c r="K80" s="14"/>
      <c r="L80" s="14"/>
      <c r="M80" s="10175"/>
      <c r="N80" s="10176"/>
      <c r="O80" s="10176"/>
      <c r="P80" s="10177"/>
      <c r="Q80" s="15"/>
    </row>
    <row r="81" spans="1:17">
      <c r="A81" s="15"/>
      <c r="B81" s="14"/>
      <c r="C81" s="27"/>
      <c r="D81" s="27"/>
      <c r="E81" s="27"/>
      <c r="F81" s="27"/>
      <c r="G81" s="27"/>
      <c r="H81" s="27"/>
      <c r="I81" s="27"/>
      <c r="J81" s="14"/>
      <c r="K81" s="14"/>
      <c r="L81" s="14"/>
      <c r="M81" s="15"/>
      <c r="N81" s="15"/>
      <c r="O81" s="15"/>
      <c r="P81" s="15"/>
      <c r="Q81" s="15"/>
    </row>
    <row r="82" spans="1:17">
      <c r="A82" s="525"/>
      <c r="B82" s="526"/>
      <c r="C82" s="527"/>
      <c r="D82" s="527"/>
      <c r="E82" s="527"/>
      <c r="F82" s="527"/>
      <c r="G82" s="527"/>
      <c r="H82" s="527"/>
      <c r="I82" s="527"/>
      <c r="J82" s="526"/>
      <c r="K82" s="526"/>
      <c r="L82" s="526"/>
      <c r="M82" s="525"/>
      <c r="N82" s="525"/>
      <c r="O82" s="525"/>
      <c r="P82" s="525"/>
      <c r="Q82" s="525"/>
    </row>
    <row r="83" spans="1:17" ht="15" customHeight="1">
      <c r="B83" s="1"/>
      <c r="C83" s="1"/>
      <c r="D83" s="1"/>
      <c r="E83" s="462"/>
      <c r="F83" s="462"/>
      <c r="G83" s="1"/>
      <c r="H83" s="1"/>
      <c r="I83" s="1"/>
      <c r="J83" s="1"/>
      <c r="K83" s="1"/>
      <c r="L83" s="15"/>
      <c r="M83" s="15"/>
      <c r="N83" s="15"/>
      <c r="O83" s="15"/>
      <c r="P83" s="15"/>
      <c r="Q83" s="15"/>
    </row>
    <row r="84" spans="1:17" ht="15" customHeight="1">
      <c r="B84" s="1"/>
      <c r="C84" s="455" t="s">
        <v>1184</v>
      </c>
      <c r="D84" s="456"/>
      <c r="E84" s="456"/>
      <c r="F84" s="456"/>
      <c r="G84" s="456"/>
      <c r="H84" s="456"/>
      <c r="I84" s="456"/>
      <c r="J84" s="456"/>
      <c r="K84" s="456"/>
      <c r="L84" s="456"/>
      <c r="M84" s="359"/>
      <c r="N84" s="15"/>
      <c r="O84" s="15"/>
      <c r="P84" s="15"/>
      <c r="Q84" s="15"/>
    </row>
    <row r="85" spans="1:17" ht="45" customHeight="1">
      <c r="B85" s="1"/>
      <c r="C85" s="503"/>
      <c r="D85" s="503"/>
      <c r="E85" s="503"/>
      <c r="F85" s="503"/>
      <c r="G85" s="503"/>
      <c r="H85" s="503"/>
      <c r="I85" s="503"/>
      <c r="J85" s="503"/>
      <c r="K85" s="503"/>
      <c r="L85" s="15"/>
      <c r="M85" s="15"/>
      <c r="N85" s="15"/>
      <c r="O85" s="15"/>
      <c r="P85" s="15"/>
      <c r="Q85" s="15"/>
    </row>
    <row r="86" spans="1:17" ht="15" customHeight="1">
      <c r="B86" s="1"/>
      <c r="C86" s="1"/>
      <c r="D86" s="1"/>
      <c r="E86" s="462"/>
      <c r="F86" s="462"/>
      <c r="G86" s="1"/>
      <c r="H86" s="1"/>
      <c r="I86" s="1"/>
      <c r="J86" s="1"/>
      <c r="K86" s="1"/>
      <c r="L86" s="15"/>
      <c r="M86" s="15"/>
      <c r="N86" s="15"/>
      <c r="O86" s="15"/>
      <c r="P86" s="15"/>
      <c r="Q86" s="15"/>
    </row>
    <row r="87" spans="1:17" ht="15" customHeight="1" thickBot="1">
      <c r="B87" s="1"/>
      <c r="C87" s="1"/>
      <c r="D87" s="1"/>
      <c r="E87" s="462"/>
      <c r="F87" s="462"/>
      <c r="G87" s="1"/>
      <c r="H87" s="1"/>
      <c r="I87" s="1"/>
      <c r="J87" s="1"/>
      <c r="K87" s="1"/>
      <c r="L87" s="15"/>
      <c r="M87" s="15"/>
      <c r="N87" s="15"/>
      <c r="O87" s="15"/>
      <c r="P87" s="15"/>
      <c r="Q87" s="15"/>
    </row>
    <row r="88" spans="1:17" ht="20.100000000000001" customHeight="1">
      <c r="B88" s="9064" t="s">
        <v>1148</v>
      </c>
      <c r="C88" s="9065"/>
      <c r="D88" s="9065"/>
      <c r="E88" s="9065"/>
      <c r="F88" s="9065"/>
      <c r="G88" s="9065"/>
      <c r="H88" s="9065"/>
      <c r="I88" s="9065"/>
      <c r="J88" s="9065"/>
      <c r="K88" s="9065"/>
      <c r="L88" s="9066"/>
      <c r="M88" s="1"/>
      <c r="N88" s="15"/>
      <c r="O88" s="15"/>
      <c r="P88" s="15"/>
      <c r="Q88" s="15"/>
    </row>
    <row r="89" spans="1:17" ht="20.100000000000001" customHeight="1">
      <c r="B89" s="504"/>
      <c r="C89" s="505"/>
      <c r="D89" s="505"/>
      <c r="E89" s="505"/>
      <c r="F89" s="505"/>
      <c r="G89" s="505"/>
      <c r="H89" s="505"/>
      <c r="I89" s="505"/>
      <c r="J89" s="505"/>
      <c r="K89" s="505"/>
      <c r="L89" s="506"/>
      <c r="M89" s="1"/>
      <c r="N89" s="15"/>
      <c r="O89" s="15"/>
      <c r="P89" s="15"/>
      <c r="Q89" s="15"/>
    </row>
    <row r="90" spans="1:17" ht="20.100000000000001" customHeight="1">
      <c r="B90" s="434" t="s">
        <v>1151</v>
      </c>
      <c r="C90" s="435">
        <v>3</v>
      </c>
      <c r="D90" s="34"/>
      <c r="E90" s="9067" t="s">
        <v>1152</v>
      </c>
      <c r="F90" s="9067"/>
      <c r="G90" s="9067"/>
      <c r="H90" s="9067"/>
      <c r="I90" s="9067"/>
      <c r="J90" s="9067"/>
      <c r="K90" s="9067"/>
      <c r="L90" s="10178"/>
      <c r="M90" s="1"/>
      <c r="N90" s="15"/>
      <c r="O90" s="15"/>
      <c r="P90" s="15"/>
      <c r="Q90" s="15"/>
    </row>
    <row r="91" spans="1:17" ht="20.100000000000001" customHeight="1">
      <c r="B91" s="434"/>
      <c r="C91" s="507"/>
      <c r="D91" s="34"/>
      <c r="E91" s="9067"/>
      <c r="F91" s="9067"/>
      <c r="G91" s="9067"/>
      <c r="H91" s="9067"/>
      <c r="I91" s="9067"/>
      <c r="J91" s="9067"/>
      <c r="K91" s="9067"/>
      <c r="L91" s="10178"/>
      <c r="M91" s="1"/>
      <c r="N91" s="15"/>
      <c r="O91" s="15"/>
      <c r="P91" s="15"/>
      <c r="Q91" s="15"/>
    </row>
    <row r="92" spans="1:17" ht="20.100000000000001" customHeight="1">
      <c r="B92" s="434" t="s">
        <v>1155</v>
      </c>
      <c r="C92" s="436"/>
      <c r="D92" s="34"/>
      <c r="E92" s="9067"/>
      <c r="F92" s="9067"/>
      <c r="G92" s="9067"/>
      <c r="H92" s="9067"/>
      <c r="I92" s="9067"/>
      <c r="J92" s="9067"/>
      <c r="K92" s="9067"/>
      <c r="L92" s="10178"/>
      <c r="M92" s="15"/>
      <c r="N92" s="15"/>
      <c r="O92" s="15"/>
      <c r="P92" s="15"/>
      <c r="Q92" s="15"/>
    </row>
    <row r="93" spans="1:17" ht="20.100000000000001" customHeight="1">
      <c r="B93" s="434"/>
      <c r="C93" s="436"/>
      <c r="D93" s="34"/>
      <c r="E93" s="9067"/>
      <c r="F93" s="9067"/>
      <c r="G93" s="9067"/>
      <c r="H93" s="9067"/>
      <c r="I93" s="9067"/>
      <c r="J93" s="9067"/>
      <c r="K93" s="9067"/>
      <c r="L93" s="10178"/>
      <c r="M93" s="15"/>
      <c r="N93" s="15"/>
      <c r="O93" s="15"/>
      <c r="P93" s="15"/>
      <c r="Q93" s="15"/>
    </row>
    <row r="94" spans="1:17" ht="20.100000000000001" customHeight="1">
      <c r="B94" s="434" t="s">
        <v>1158</v>
      </c>
      <c r="C94" s="436"/>
      <c r="D94" s="34"/>
      <c r="E94" s="9067"/>
      <c r="F94" s="9067"/>
      <c r="G94" s="9067"/>
      <c r="H94" s="9067"/>
      <c r="I94" s="9067"/>
      <c r="J94" s="9067"/>
      <c r="K94" s="9067"/>
      <c r="L94" s="10178"/>
      <c r="M94" s="15"/>
      <c r="N94" s="15"/>
      <c r="O94" s="15"/>
      <c r="P94" s="15"/>
      <c r="Q94" s="15"/>
    </row>
    <row r="95" spans="1:17" ht="20.100000000000001" customHeight="1">
      <c r="B95" s="434"/>
      <c r="C95" s="436"/>
      <c r="D95" s="34"/>
      <c r="E95" s="717"/>
      <c r="F95" s="717"/>
      <c r="G95" s="717"/>
      <c r="H95" s="717"/>
      <c r="I95" s="717"/>
      <c r="J95" s="717"/>
      <c r="K95" s="717"/>
      <c r="L95" s="718"/>
      <c r="M95" s="15"/>
      <c r="N95" s="15"/>
      <c r="O95" s="15"/>
      <c r="P95" s="15"/>
      <c r="Q95" s="15"/>
    </row>
    <row r="96" spans="1:17" ht="20.100000000000001" customHeight="1">
      <c r="B96" s="437"/>
      <c r="C96" s="34"/>
      <c r="D96" s="34"/>
      <c r="E96" s="438"/>
      <c r="F96" s="439" t="s">
        <v>1161</v>
      </c>
      <c r="G96" s="440" t="s">
        <v>1162</v>
      </c>
      <c r="H96" s="440" t="s">
        <v>1163</v>
      </c>
      <c r="I96" s="440" t="s">
        <v>1164</v>
      </c>
      <c r="J96" s="440" t="s">
        <v>1165</v>
      </c>
      <c r="K96" s="440" t="s">
        <v>1166</v>
      </c>
      <c r="L96" s="441" t="s">
        <v>1167</v>
      </c>
      <c r="M96" s="15"/>
      <c r="N96" s="15"/>
      <c r="O96" s="15"/>
      <c r="P96" s="15"/>
      <c r="Q96" s="15"/>
    </row>
    <row r="97" spans="2:17" ht="20.100000000000001" customHeight="1">
      <c r="B97" s="437"/>
      <c r="C97" s="34"/>
      <c r="D97" s="34"/>
      <c r="E97" s="438"/>
      <c r="F97" s="439"/>
      <c r="G97" s="440"/>
      <c r="H97" s="440"/>
      <c r="I97" s="440"/>
      <c r="J97" s="440"/>
      <c r="K97" s="440"/>
      <c r="L97" s="441"/>
      <c r="M97" s="15"/>
      <c r="N97" s="15"/>
      <c r="O97" s="15"/>
      <c r="P97" s="15"/>
      <c r="Q97" s="15"/>
    </row>
    <row r="98" spans="2:17" ht="20.100000000000001" customHeight="1">
      <c r="B98" s="437" t="s">
        <v>1169</v>
      </c>
      <c r="C98" s="34"/>
      <c r="D98" s="34"/>
      <c r="E98" s="311"/>
      <c r="F98" s="508" t="s">
        <v>66</v>
      </c>
      <c r="G98" s="508" t="s">
        <v>81</v>
      </c>
      <c r="H98" s="508" t="s">
        <v>84</v>
      </c>
      <c r="I98" s="508" t="s">
        <v>85</v>
      </c>
      <c r="J98" s="508" t="s">
        <v>87</v>
      </c>
      <c r="K98" s="443" t="s">
        <v>1170</v>
      </c>
      <c r="L98" s="444" t="s">
        <v>1171</v>
      </c>
      <c r="M98" s="15"/>
      <c r="N98" s="15"/>
      <c r="O98" s="15"/>
      <c r="P98" s="15"/>
      <c r="Q98" s="15"/>
    </row>
    <row r="99" spans="2:17" ht="20.100000000000001" customHeight="1">
      <c r="B99" s="437"/>
      <c r="C99" s="34"/>
      <c r="D99" s="34"/>
      <c r="E99" s="34"/>
      <c r="F99" s="442"/>
      <c r="G99" s="442"/>
      <c r="H99" s="442"/>
      <c r="I99" s="442"/>
      <c r="J99" s="442"/>
      <c r="K99" s="509"/>
      <c r="L99" s="510"/>
      <c r="M99" s="15"/>
      <c r="N99" s="15"/>
      <c r="O99" s="15"/>
      <c r="P99" s="15"/>
      <c r="Q99" s="15"/>
    </row>
    <row r="100" spans="2:17" ht="20.100000000000001" customHeight="1">
      <c r="B100" s="511" t="s">
        <v>6</v>
      </c>
      <c r="C100" s="508" t="s">
        <v>89</v>
      </c>
      <c r="D100" s="508" t="s">
        <v>90</v>
      </c>
      <c r="E100" s="508" t="s">
        <v>92</v>
      </c>
      <c r="F100" s="508" t="s">
        <v>94</v>
      </c>
      <c r="G100" s="508" t="s">
        <v>96</v>
      </c>
      <c r="H100" s="508" t="s">
        <v>97</v>
      </c>
      <c r="I100" s="508" t="s">
        <v>99</v>
      </c>
      <c r="J100" s="508" t="s">
        <v>101</v>
      </c>
      <c r="K100" s="443" t="s">
        <v>1173</v>
      </c>
      <c r="L100" s="444" t="s">
        <v>1174</v>
      </c>
      <c r="M100" s="15"/>
      <c r="N100" s="15"/>
      <c r="O100" s="15"/>
      <c r="P100" s="15"/>
      <c r="Q100" s="15"/>
    </row>
    <row r="101" spans="2:17" ht="20.100000000000001" customHeight="1">
      <c r="B101" s="445"/>
      <c r="C101" s="442"/>
      <c r="D101" s="442"/>
      <c r="E101" s="442"/>
      <c r="F101" s="442"/>
      <c r="G101" s="442"/>
      <c r="H101" s="442"/>
      <c r="I101" s="442"/>
      <c r="J101" s="442"/>
      <c r="K101" s="509"/>
      <c r="L101" s="510"/>
      <c r="M101" s="15"/>
      <c r="N101" s="15"/>
      <c r="O101" s="15"/>
      <c r="P101" s="15"/>
      <c r="Q101" s="15"/>
    </row>
    <row r="102" spans="2:17" ht="20.100000000000001" customHeight="1">
      <c r="B102" s="446"/>
      <c r="C102" s="401"/>
      <c r="D102" s="447" t="s">
        <v>1558</v>
      </c>
      <c r="E102" s="448">
        <f>COLUMN()</f>
        <v>5</v>
      </c>
      <c r="F102" s="401"/>
      <c r="G102" s="447" t="s">
        <v>503</v>
      </c>
      <c r="H102" s="305" t="str">
        <f>ADDRESS(ROW(),COLUMN(),4)</f>
        <v>H102</v>
      </c>
      <c r="I102" s="401"/>
      <c r="J102" s="401"/>
      <c r="K102" s="449" t="s">
        <v>1177</v>
      </c>
      <c r="L102" s="444" t="s">
        <v>1178</v>
      </c>
      <c r="M102" s="15"/>
      <c r="N102" s="15"/>
      <c r="O102" s="15"/>
      <c r="P102" s="15"/>
      <c r="Q102" s="15"/>
    </row>
    <row r="103" spans="2:17" ht="20.100000000000001" customHeight="1">
      <c r="B103" s="446"/>
      <c r="C103" s="401"/>
      <c r="D103" s="447"/>
      <c r="E103" s="512"/>
      <c r="F103" s="401"/>
      <c r="G103" s="401"/>
      <c r="H103" s="401"/>
      <c r="I103" s="401"/>
      <c r="J103" s="401"/>
      <c r="K103" s="513"/>
      <c r="L103" s="510"/>
      <c r="M103" s="15"/>
      <c r="N103" s="15"/>
      <c r="O103" s="15"/>
      <c r="P103" s="15"/>
      <c r="Q103" s="15"/>
    </row>
    <row r="104" spans="2:17" ht="20.100000000000001" customHeight="1">
      <c r="B104" s="446"/>
      <c r="C104" s="401"/>
      <c r="D104" s="447" t="s">
        <v>1180</v>
      </c>
      <c r="E104" s="712" t="str">
        <f>LEFT(ADDRESS(1,COLUMN(),4),LEN(ADDRESS(1,COLUMN(),4))-1)</f>
        <v>E</v>
      </c>
      <c r="F104" s="401"/>
      <c r="G104" s="447" t="s">
        <v>504</v>
      </c>
      <c r="H104" s="307">
        <f>ROW()</f>
        <v>104</v>
      </c>
      <c r="I104" s="401"/>
      <c r="J104" s="450" t="s">
        <v>1155</v>
      </c>
      <c r="K104" s="401"/>
      <c r="L104" s="451"/>
      <c r="M104" s="15"/>
      <c r="N104" s="15"/>
      <c r="O104" s="15"/>
      <c r="P104" s="15"/>
      <c r="Q104" s="15"/>
    </row>
    <row r="105" spans="2:17" ht="20.100000000000001" customHeight="1">
      <c r="B105" s="446"/>
      <c r="C105" s="401"/>
      <c r="D105" s="447"/>
      <c r="E105" s="447"/>
      <c r="F105" s="447"/>
      <c r="G105" s="447"/>
      <c r="H105" s="447"/>
      <c r="I105" s="447"/>
      <c r="J105" s="450"/>
      <c r="K105" s="401"/>
      <c r="L105" s="451"/>
      <c r="M105" s="15"/>
      <c r="N105" s="15"/>
      <c r="O105" s="15"/>
      <c r="P105" s="15"/>
      <c r="Q105" s="15"/>
    </row>
    <row r="106" spans="2:17" ht="20.100000000000001" customHeight="1">
      <c r="B106" s="446"/>
      <c r="C106" s="306" t="s">
        <v>7</v>
      </c>
      <c r="D106" s="318" t="str">
        <f ca="1">CELL("nomfichier")</f>
        <v>D:\Données\1.UPRT\0-UPRT.fait\1-UPRT.FR-SITE-WEB\ff-fiches-fabrications\ff.fiches.fabrication.2023\UPRT.23.aout\[ff-20-CHARCUTERIE-michel-Mariette.BOUDIN.BLANC_-1.xlsx]Exemples Michel Mariette</v>
      </c>
      <c r="E106" s="14"/>
      <c r="F106" s="447"/>
      <c r="G106" s="447"/>
      <c r="H106" s="447"/>
      <c r="I106" s="447"/>
      <c r="J106" s="450"/>
      <c r="K106" s="401"/>
      <c r="L106" s="451"/>
      <c r="M106" s="15"/>
      <c r="N106" s="15"/>
      <c r="O106" s="15"/>
      <c r="P106" s="15"/>
      <c r="Q106" s="15"/>
    </row>
    <row r="107" spans="2:17" ht="20.100000000000001" customHeight="1" thickBot="1">
      <c r="B107" s="452"/>
      <c r="C107" s="453"/>
      <c r="D107" s="453"/>
      <c r="E107" s="453"/>
      <c r="F107" s="453"/>
      <c r="G107" s="453"/>
      <c r="H107" s="453"/>
      <c r="I107" s="453"/>
      <c r="J107" s="453"/>
      <c r="K107" s="453"/>
      <c r="L107" s="454"/>
      <c r="M107" s="15"/>
      <c r="N107" s="15"/>
      <c r="O107" s="15"/>
      <c r="P107" s="15"/>
      <c r="Q107" s="15"/>
    </row>
    <row r="108" spans="2:17" ht="15" customHeight="1" thickBot="1">
      <c r="B108" s="1"/>
      <c r="C108" s="1"/>
      <c r="D108" s="1"/>
      <c r="E108" s="462"/>
      <c r="F108" s="462"/>
      <c r="G108" s="1"/>
      <c r="H108" s="1"/>
      <c r="I108" s="1"/>
      <c r="J108" s="1"/>
      <c r="K108" s="1"/>
      <c r="L108" s="15"/>
      <c r="M108" s="15"/>
      <c r="N108" s="15"/>
      <c r="O108" s="15"/>
      <c r="P108" s="15"/>
      <c r="Q108" s="15"/>
    </row>
    <row r="109" spans="2:17" ht="24.95" customHeight="1">
      <c r="B109" s="514" t="s">
        <v>337</v>
      </c>
      <c r="C109" s="9042" t="s">
        <v>1149</v>
      </c>
      <c r="D109" s="9042"/>
      <c r="E109" s="9042"/>
      <c r="F109" s="9042"/>
      <c r="G109" s="9042"/>
      <c r="H109" s="9042"/>
      <c r="I109" s="9042"/>
      <c r="J109" s="9042"/>
      <c r="K109" s="9043"/>
      <c r="L109" s="15"/>
      <c r="M109" s="15"/>
      <c r="N109" s="15"/>
      <c r="O109" s="15"/>
      <c r="P109" s="15"/>
      <c r="Q109" s="15"/>
    </row>
    <row r="110" spans="2:17" ht="24.95" customHeight="1">
      <c r="B110" s="515" t="s">
        <v>339</v>
      </c>
      <c r="C110" s="9044" t="s">
        <v>1153</v>
      </c>
      <c r="D110" s="9044"/>
      <c r="E110" s="9044"/>
      <c r="F110" s="9044"/>
      <c r="G110" s="9044"/>
      <c r="H110" s="9044"/>
      <c r="I110" s="9044"/>
      <c r="J110" s="9044"/>
      <c r="K110" s="10169"/>
      <c r="L110" s="15"/>
      <c r="M110" s="15"/>
      <c r="N110" s="15"/>
      <c r="O110" s="15"/>
      <c r="P110" s="15"/>
      <c r="Q110" s="15"/>
    </row>
    <row r="111" spans="2:17" ht="24.95" customHeight="1">
      <c r="B111" s="516" t="s">
        <v>338</v>
      </c>
      <c r="C111" s="9046" t="s">
        <v>1156</v>
      </c>
      <c r="D111" s="9046"/>
      <c r="E111" s="9046"/>
      <c r="F111" s="9046"/>
      <c r="G111" s="9046"/>
      <c r="H111" s="9046"/>
      <c r="I111" s="9046"/>
      <c r="J111" s="9046"/>
      <c r="K111" s="10170"/>
      <c r="L111" s="15"/>
      <c r="M111" s="15"/>
      <c r="N111" s="15"/>
      <c r="O111" s="15"/>
      <c r="P111" s="15"/>
      <c r="Q111" s="15"/>
    </row>
    <row r="112" spans="2:17" ht="24.95" customHeight="1">
      <c r="B112" s="517"/>
      <c r="C112" s="9048" t="s">
        <v>1159</v>
      </c>
      <c r="D112" s="9048"/>
      <c r="E112" s="9048"/>
      <c r="F112" s="9048"/>
      <c r="G112" s="9048"/>
      <c r="H112" s="9048"/>
      <c r="I112" s="9048"/>
      <c r="J112" s="9048"/>
      <c r="K112" s="10171"/>
      <c r="L112" s="15"/>
      <c r="M112" s="15"/>
      <c r="N112" s="15"/>
      <c r="O112" s="15"/>
      <c r="P112" s="15"/>
      <c r="Q112" s="15"/>
    </row>
    <row r="113" spans="2:17" ht="24.95" customHeight="1">
      <c r="B113" s="9050" t="s">
        <v>338</v>
      </c>
      <c r="C113" s="9051" t="str">
        <f>C111</f>
        <v>Saisir ICI</v>
      </c>
      <c r="D113" s="9051"/>
      <c r="E113" s="9051"/>
      <c r="F113" s="9051"/>
      <c r="G113" s="9051"/>
      <c r="H113" s="9051"/>
      <c r="I113" s="9051"/>
      <c r="J113" s="9051"/>
      <c r="K113" s="10172"/>
      <c r="L113" s="15"/>
      <c r="M113" s="15"/>
      <c r="N113" s="15"/>
      <c r="O113" s="15"/>
      <c r="P113" s="15"/>
      <c r="Q113" s="15"/>
    </row>
    <row r="114" spans="2:17" ht="24.95" customHeight="1">
      <c r="B114" s="9050"/>
      <c r="C114" s="9051"/>
      <c r="D114" s="9051"/>
      <c r="E114" s="9051"/>
      <c r="F114" s="9051"/>
      <c r="G114" s="9051"/>
      <c r="H114" s="9051"/>
      <c r="I114" s="9051"/>
      <c r="J114" s="9051"/>
      <c r="K114" s="10172"/>
      <c r="L114" s="15"/>
      <c r="M114" s="15"/>
      <c r="N114" s="15"/>
      <c r="O114" s="15"/>
      <c r="P114" s="15"/>
      <c r="Q114" s="15"/>
    </row>
    <row r="115" spans="2:17" ht="24.95" customHeight="1">
      <c r="B115" s="9050"/>
      <c r="C115" s="9051"/>
      <c r="D115" s="9051"/>
      <c r="E115" s="9051"/>
      <c r="F115" s="9051"/>
      <c r="G115" s="9051"/>
      <c r="H115" s="9051"/>
      <c r="I115" s="9051"/>
      <c r="J115" s="9051"/>
      <c r="K115" s="10172"/>
      <c r="L115" s="15"/>
      <c r="M115" s="15"/>
      <c r="N115" s="15"/>
      <c r="O115" s="15"/>
      <c r="P115" s="15"/>
      <c r="Q115" s="15"/>
    </row>
    <row r="116" spans="2:17" ht="24.95" customHeight="1">
      <c r="B116" s="10160" t="s">
        <v>337</v>
      </c>
      <c r="C116" s="10162" t="str">
        <f>+C109</f>
        <v>TEST POLICE DE CARACTERES</v>
      </c>
      <c r="D116" s="10162"/>
      <c r="E116" s="10162"/>
      <c r="F116" s="10162"/>
      <c r="G116" s="10162"/>
      <c r="H116" s="10162"/>
      <c r="I116" s="10162"/>
      <c r="J116" s="10162"/>
      <c r="K116" s="10163"/>
      <c r="L116" s="15"/>
      <c r="M116" s="15"/>
      <c r="N116" s="15"/>
      <c r="O116" s="15"/>
      <c r="P116" s="15"/>
      <c r="Q116" s="15"/>
    </row>
    <row r="117" spans="2:17" ht="24.95" customHeight="1">
      <c r="B117" s="9029"/>
      <c r="C117" s="9033"/>
      <c r="D117" s="9033"/>
      <c r="E117" s="9033"/>
      <c r="F117" s="9033"/>
      <c r="G117" s="9033"/>
      <c r="H117" s="9033"/>
      <c r="I117" s="9033"/>
      <c r="J117" s="9033"/>
      <c r="K117" s="10164"/>
      <c r="L117" s="15"/>
      <c r="M117" s="15"/>
      <c r="N117" s="15"/>
      <c r="O117" s="15"/>
      <c r="P117" s="15"/>
      <c r="Q117" s="15"/>
    </row>
    <row r="118" spans="2:17" ht="24.95" customHeight="1">
      <c r="B118" s="10161"/>
      <c r="C118" s="10165"/>
      <c r="D118" s="10165"/>
      <c r="E118" s="10165"/>
      <c r="F118" s="10165"/>
      <c r="G118" s="10165"/>
      <c r="H118" s="10165"/>
      <c r="I118" s="10165"/>
      <c r="J118" s="10165"/>
      <c r="K118" s="10166"/>
      <c r="L118" s="15"/>
      <c r="M118" s="15"/>
      <c r="N118" s="15"/>
      <c r="O118" s="15"/>
      <c r="P118" s="15"/>
      <c r="Q118" s="15"/>
    </row>
    <row r="119" spans="2:17" ht="24.95" customHeight="1">
      <c r="B119" s="9029" t="s">
        <v>339</v>
      </c>
      <c r="C119" s="9038" t="str">
        <f>+C110</f>
        <v>Saisir une ou des lettres / nombres ou une phrase cellule C jaune</v>
      </c>
      <c r="D119" s="9038"/>
      <c r="E119" s="9038"/>
      <c r="F119" s="9038"/>
      <c r="G119" s="9038"/>
      <c r="H119" s="9038"/>
      <c r="I119" s="9038"/>
      <c r="J119" s="9038"/>
      <c r="K119" s="10168"/>
      <c r="L119" s="15"/>
      <c r="M119" s="15"/>
      <c r="N119" s="15"/>
      <c r="O119" s="15"/>
      <c r="P119" s="15"/>
      <c r="Q119" s="15"/>
    </row>
    <row r="120" spans="2:17" ht="24.95" customHeight="1">
      <c r="B120" s="9029"/>
      <c r="C120" s="9038"/>
      <c r="D120" s="9038"/>
      <c r="E120" s="9038"/>
      <c r="F120" s="9038"/>
      <c r="G120" s="9038"/>
      <c r="H120" s="9038"/>
      <c r="I120" s="9038"/>
      <c r="J120" s="9038"/>
      <c r="K120" s="10168"/>
      <c r="L120" s="15"/>
      <c r="M120" s="15"/>
      <c r="N120" s="15"/>
      <c r="O120" s="15"/>
      <c r="P120" s="15"/>
      <c r="Q120" s="15"/>
    </row>
    <row r="121" spans="2:17" ht="24.95" customHeight="1">
      <c r="B121" s="9029"/>
      <c r="C121" s="9038"/>
      <c r="D121" s="9038"/>
      <c r="E121" s="9038"/>
      <c r="F121" s="9038"/>
      <c r="G121" s="9038"/>
      <c r="H121" s="9038"/>
      <c r="I121" s="9038"/>
      <c r="J121" s="9038"/>
      <c r="K121" s="10168"/>
      <c r="L121" s="15"/>
      <c r="M121" s="15"/>
      <c r="N121" s="15"/>
      <c r="O121" s="15"/>
      <c r="P121" s="15"/>
      <c r="Q121" s="15"/>
    </row>
    <row r="122" spans="2:17" ht="24.95" customHeight="1">
      <c r="B122" s="9029"/>
      <c r="C122" s="9038"/>
      <c r="D122" s="9038"/>
      <c r="E122" s="9038"/>
      <c r="F122" s="9038"/>
      <c r="G122" s="9038"/>
      <c r="H122" s="9038"/>
      <c r="I122" s="9038"/>
      <c r="J122" s="9038"/>
      <c r="K122" s="10168"/>
      <c r="L122" s="15"/>
      <c r="M122" s="15"/>
      <c r="N122" s="15"/>
      <c r="O122" s="15"/>
      <c r="P122" s="15"/>
      <c r="Q122" s="15"/>
    </row>
    <row r="123" spans="2:17" ht="24.95" customHeight="1" thickBot="1">
      <c r="B123" s="10167"/>
      <c r="C123" s="9040"/>
      <c r="D123" s="9040"/>
      <c r="E123" s="9040"/>
      <c r="F123" s="9040"/>
      <c r="G123" s="9040"/>
      <c r="H123" s="9040"/>
      <c r="I123" s="9040"/>
      <c r="J123" s="9040"/>
      <c r="K123" s="9041"/>
      <c r="L123" s="15"/>
      <c r="M123" s="15"/>
      <c r="N123" s="15"/>
      <c r="O123" s="15"/>
      <c r="P123" s="15"/>
      <c r="Q123" s="15"/>
    </row>
    <row r="124" spans="2:17" ht="15" customHeight="1">
      <c r="B124" s="15"/>
      <c r="C124" s="15"/>
      <c r="D124" s="15"/>
      <c r="E124" s="15"/>
      <c r="F124" s="15"/>
      <c r="G124" s="15"/>
      <c r="H124" s="15"/>
      <c r="I124" s="15"/>
      <c r="J124" s="15"/>
      <c r="K124" s="15"/>
      <c r="L124" s="15"/>
      <c r="M124" s="15"/>
      <c r="N124" s="15"/>
      <c r="O124" s="15"/>
      <c r="P124" s="15"/>
      <c r="Q124" s="15"/>
    </row>
    <row r="125" spans="2:17" ht="15" customHeight="1">
      <c r="B125" s="1"/>
      <c r="C125" s="1"/>
      <c r="D125" s="1"/>
      <c r="E125" s="462"/>
      <c r="F125" s="462"/>
      <c r="G125" s="1"/>
      <c r="H125" s="1"/>
      <c r="I125" s="1"/>
      <c r="J125" s="1"/>
      <c r="K125" s="1"/>
      <c r="L125" s="15"/>
      <c r="M125" s="15"/>
      <c r="N125" s="15"/>
      <c r="O125" s="15"/>
      <c r="P125" s="15"/>
      <c r="Q125" s="15"/>
    </row>
    <row r="126" spans="2:17" ht="20.100000000000001" customHeight="1">
      <c r="B126" s="1"/>
      <c r="C126" s="436" t="s">
        <v>1286</v>
      </c>
      <c r="D126" s="518"/>
      <c r="E126" s="518"/>
      <c r="F126" s="518"/>
      <c r="G126" s="1"/>
      <c r="H126" s="1"/>
      <c r="I126" s="1"/>
      <c r="J126" s="1"/>
      <c r="K126" s="1"/>
      <c r="L126" s="15"/>
      <c r="M126" s="15"/>
      <c r="N126" s="15"/>
      <c r="O126" s="15"/>
      <c r="P126" s="15"/>
      <c r="Q126" s="15"/>
    </row>
    <row r="127" spans="2:17" ht="20.100000000000001" customHeight="1">
      <c r="B127" s="519" t="s">
        <v>1283</v>
      </c>
      <c r="C127" s="8051" t="s">
        <v>1287</v>
      </c>
      <c r="D127" s="8051"/>
      <c r="E127" s="8051"/>
      <c r="F127" s="8051"/>
      <c r="G127" s="8051"/>
      <c r="H127" s="8051"/>
      <c r="I127" s="1"/>
      <c r="J127" s="1"/>
      <c r="K127" s="1"/>
      <c r="L127" s="15"/>
      <c r="M127" s="15"/>
      <c r="N127" s="15"/>
      <c r="O127" s="15"/>
      <c r="P127" s="15"/>
      <c r="Q127" s="15"/>
    </row>
    <row r="128" spans="2:17" ht="20.100000000000001" customHeight="1">
      <c r="B128" s="1"/>
      <c r="C128" s="436"/>
      <c r="D128" s="518"/>
      <c r="E128" s="518"/>
      <c r="F128" s="518"/>
      <c r="G128" s="1"/>
      <c r="H128" s="1"/>
      <c r="I128" s="1"/>
      <c r="J128" s="1"/>
      <c r="K128" s="1"/>
      <c r="L128" s="15"/>
      <c r="M128" s="15"/>
      <c r="N128" s="15"/>
      <c r="O128" s="15"/>
      <c r="P128" s="15"/>
      <c r="Q128" s="15"/>
    </row>
    <row r="129" spans="2:17" ht="20.100000000000001" customHeight="1">
      <c r="B129" s="519" t="s">
        <v>1283</v>
      </c>
      <c r="C129" s="8051" t="s">
        <v>1288</v>
      </c>
      <c r="D129" s="9023"/>
      <c r="E129" s="9023"/>
      <c r="F129" s="9023"/>
      <c r="G129" s="1"/>
      <c r="H129" s="1"/>
      <c r="I129" s="1"/>
      <c r="J129" s="1"/>
      <c r="K129" s="1"/>
      <c r="L129" s="15"/>
      <c r="M129" s="15"/>
      <c r="N129" s="15"/>
      <c r="O129" s="15"/>
      <c r="P129" s="15"/>
      <c r="Q129" s="15"/>
    </row>
    <row r="130" spans="2:17" ht="20.100000000000001" customHeight="1">
      <c r="B130" s="1"/>
      <c r="C130" s="518"/>
      <c r="D130" s="518"/>
      <c r="E130" s="518"/>
      <c r="F130" s="518"/>
      <c r="G130" s="1"/>
      <c r="H130" s="1"/>
      <c r="I130" s="1"/>
      <c r="J130" s="1"/>
      <c r="K130" s="1"/>
      <c r="L130" s="15"/>
      <c r="M130" s="15"/>
      <c r="N130" s="15"/>
      <c r="O130" s="15"/>
      <c r="P130" s="15"/>
      <c r="Q130" s="15"/>
    </row>
    <row r="131" spans="2:17" ht="20.100000000000001" customHeight="1">
      <c r="B131" s="519" t="s">
        <v>1283</v>
      </c>
      <c r="C131" s="9027" t="s">
        <v>1289</v>
      </c>
      <c r="D131" s="9027"/>
      <c r="E131" s="9027"/>
      <c r="F131" s="9027"/>
      <c r="G131" s="1"/>
      <c r="H131" s="1"/>
      <c r="I131" s="1"/>
      <c r="J131" s="1"/>
      <c r="K131" s="1"/>
      <c r="L131" s="15"/>
      <c r="M131" s="15"/>
      <c r="N131" s="15"/>
      <c r="O131" s="15"/>
      <c r="P131" s="15"/>
      <c r="Q131" s="15"/>
    </row>
    <row r="132" spans="2:17" ht="20.100000000000001" customHeight="1">
      <c r="B132" s="1"/>
      <c r="C132" s="518"/>
      <c r="D132" s="518"/>
      <c r="E132" s="518"/>
      <c r="F132" s="518"/>
      <c r="G132" s="1"/>
      <c r="H132" s="1"/>
      <c r="I132" s="1"/>
      <c r="J132" s="1"/>
      <c r="K132" s="1"/>
      <c r="L132" s="15"/>
      <c r="M132" s="15"/>
      <c r="N132" s="15"/>
      <c r="O132" s="15"/>
      <c r="P132" s="15"/>
      <c r="Q132" s="15"/>
    </row>
    <row r="133" spans="2:17" ht="20.100000000000001" customHeight="1">
      <c r="B133" s="1"/>
      <c r="C133" s="520" t="s">
        <v>1196</v>
      </c>
      <c r="D133" s="518"/>
      <c r="E133" s="518"/>
      <c r="F133" s="521"/>
      <c r="G133" s="1"/>
      <c r="H133" s="1"/>
      <c r="I133" s="1"/>
      <c r="J133" s="1"/>
      <c r="K133" s="1"/>
      <c r="L133" s="15"/>
      <c r="M133" s="15"/>
      <c r="N133" s="15"/>
      <c r="O133" s="15"/>
      <c r="P133" s="15"/>
      <c r="Q133" s="15"/>
    </row>
    <row r="134" spans="2:17" ht="20.100000000000001" customHeight="1">
      <c r="B134" s="519" t="s">
        <v>1283</v>
      </c>
      <c r="C134" s="9024" t="s">
        <v>1199</v>
      </c>
      <c r="D134" s="9024"/>
      <c r="E134" s="9024"/>
      <c r="F134" s="9024"/>
      <c r="G134" s="9024"/>
      <c r="H134" s="9024"/>
      <c r="I134" s="9024"/>
      <c r="J134" s="1"/>
      <c r="K134" s="1"/>
      <c r="L134" s="15"/>
      <c r="M134" s="15"/>
      <c r="N134" s="15"/>
      <c r="O134" s="15"/>
      <c r="P134" s="15"/>
      <c r="Q134" s="15"/>
    </row>
    <row r="135" spans="2:17" ht="20.100000000000001" customHeight="1">
      <c r="B135" s="719"/>
      <c r="C135" s="719"/>
      <c r="D135" s="719"/>
      <c r="E135" s="719"/>
      <c r="F135" s="719"/>
      <c r="G135" s="719"/>
      <c r="H135" s="719"/>
      <c r="I135" s="719"/>
      <c r="J135" s="1"/>
      <c r="K135" s="1"/>
      <c r="L135" s="15"/>
      <c r="M135" s="15"/>
      <c r="N135" s="15"/>
      <c r="O135" s="15"/>
      <c r="P135" s="15"/>
      <c r="Q135" s="15"/>
    </row>
    <row r="136" spans="2:17" ht="20.100000000000001" customHeight="1">
      <c r="B136" s="519" t="s">
        <v>1283</v>
      </c>
      <c r="C136" s="9024" t="s">
        <v>1201</v>
      </c>
      <c r="D136" s="9024"/>
      <c r="E136" s="518"/>
      <c r="F136" s="518"/>
      <c r="G136" s="1"/>
      <c r="H136" s="1"/>
      <c r="I136" s="1"/>
      <c r="J136" s="1"/>
      <c r="K136" s="1"/>
      <c r="L136" s="15"/>
      <c r="M136" s="15"/>
      <c r="N136" s="15"/>
      <c r="O136" s="15"/>
      <c r="P136" s="15"/>
      <c r="Q136" s="15"/>
    </row>
    <row r="137" spans="2:17" ht="20.100000000000001" customHeight="1">
      <c r="B137" s="1"/>
      <c r="C137" s="518"/>
      <c r="D137" s="518"/>
      <c r="E137" s="518"/>
      <c r="F137" s="521"/>
      <c r="G137" s="1"/>
      <c r="H137" s="1"/>
      <c r="I137" s="1"/>
      <c r="J137" s="1"/>
      <c r="K137" s="1"/>
      <c r="L137" s="15"/>
      <c r="M137" s="15"/>
      <c r="N137" s="15"/>
      <c r="O137" s="15"/>
      <c r="P137" s="15"/>
      <c r="Q137" s="15"/>
    </row>
    <row r="138" spans="2:17" ht="20.100000000000001" customHeight="1">
      <c r="B138" s="1"/>
      <c r="C138" s="520" t="s">
        <v>1208</v>
      </c>
      <c r="D138" s="518"/>
      <c r="E138" s="518"/>
      <c r="F138" s="518"/>
      <c r="G138" s="1"/>
      <c r="H138" s="1"/>
      <c r="I138" s="1"/>
      <c r="J138" s="1"/>
      <c r="K138" s="1"/>
      <c r="L138" s="15"/>
      <c r="M138" s="15"/>
      <c r="N138" s="15"/>
      <c r="O138" s="15"/>
      <c r="P138" s="15"/>
      <c r="Q138" s="15"/>
    </row>
    <row r="139" spans="2:17" ht="20.100000000000001" customHeight="1">
      <c r="B139" s="519" t="s">
        <v>1283</v>
      </c>
      <c r="C139" s="9024" t="s">
        <v>1213</v>
      </c>
      <c r="D139" s="9024"/>
      <c r="E139" s="9024"/>
      <c r="F139" s="9024"/>
      <c r="G139" s="1"/>
      <c r="H139" s="1"/>
      <c r="I139" s="1"/>
      <c r="J139" s="1"/>
      <c r="K139" s="1"/>
      <c r="L139" s="15"/>
      <c r="M139" s="15"/>
      <c r="N139" s="15"/>
      <c r="O139" s="15"/>
      <c r="P139" s="15"/>
      <c r="Q139" s="15"/>
    </row>
    <row r="140" spans="2:17" ht="20.100000000000001" customHeight="1">
      <c r="B140" s="1"/>
      <c r="C140" s="518"/>
      <c r="D140" s="518"/>
      <c r="E140" s="518"/>
      <c r="F140" s="518"/>
      <c r="G140" s="1"/>
      <c r="H140" s="1"/>
      <c r="I140" s="1"/>
      <c r="J140" s="1"/>
      <c r="K140" s="1"/>
      <c r="L140" s="15"/>
      <c r="M140" s="15"/>
      <c r="N140" s="15"/>
      <c r="O140" s="15"/>
      <c r="P140" s="15"/>
      <c r="Q140" s="15"/>
    </row>
    <row r="141" spans="2:17" ht="20.100000000000001" customHeight="1">
      <c r="B141" s="1"/>
      <c r="C141" s="520" t="s">
        <v>1220</v>
      </c>
      <c r="D141" s="518"/>
      <c r="E141" s="518"/>
      <c r="F141" s="518"/>
      <c r="G141" s="1"/>
      <c r="H141" s="1"/>
      <c r="I141" s="1"/>
      <c r="J141" s="1"/>
      <c r="K141" s="1"/>
      <c r="L141" s="15"/>
      <c r="M141" s="15"/>
      <c r="N141" s="15"/>
      <c r="O141" s="15"/>
      <c r="P141" s="15"/>
      <c r="Q141" s="15"/>
    </row>
    <row r="142" spans="2:17" ht="20.100000000000001" customHeight="1">
      <c r="B142" s="519" t="s">
        <v>1283</v>
      </c>
      <c r="C142" s="9024" t="s">
        <v>1225</v>
      </c>
      <c r="D142" s="9024"/>
      <c r="E142" s="9024"/>
      <c r="F142" s="9024"/>
      <c r="G142" s="1"/>
      <c r="H142" s="1"/>
      <c r="I142" s="1"/>
      <c r="J142" s="1"/>
      <c r="K142" s="1"/>
      <c r="L142" s="15"/>
      <c r="M142" s="15"/>
      <c r="N142" s="15"/>
      <c r="O142" s="15"/>
      <c r="P142" s="15"/>
      <c r="Q142" s="15"/>
    </row>
    <row r="143" spans="2:17" ht="20.100000000000001" customHeight="1">
      <c r="B143" s="1"/>
      <c r="C143" s="518"/>
      <c r="D143" s="518"/>
      <c r="E143" s="518"/>
      <c r="F143" s="518"/>
      <c r="G143" s="1"/>
      <c r="H143" s="1"/>
      <c r="I143" s="1"/>
      <c r="J143" s="1"/>
      <c r="K143" s="1"/>
      <c r="L143" s="15"/>
      <c r="M143" s="15"/>
      <c r="N143" s="15"/>
      <c r="O143" s="15"/>
      <c r="P143" s="15"/>
      <c r="Q143" s="15"/>
    </row>
    <row r="144" spans="2:17" ht="20.100000000000001" customHeight="1">
      <c r="B144" s="1"/>
      <c r="C144" s="520" t="s">
        <v>1233</v>
      </c>
      <c r="D144" s="518"/>
      <c r="E144" s="518"/>
      <c r="F144" s="518"/>
      <c r="G144" s="1"/>
      <c r="H144" s="1"/>
      <c r="I144" s="1"/>
      <c r="J144" s="1"/>
      <c r="K144" s="1"/>
      <c r="L144" s="15"/>
      <c r="M144" s="15"/>
      <c r="N144" s="15"/>
      <c r="O144" s="15"/>
      <c r="P144" s="15"/>
      <c r="Q144" s="15"/>
    </row>
    <row r="145" spans="1:17" ht="20.100000000000001" customHeight="1">
      <c r="B145" s="519" t="s">
        <v>1283</v>
      </c>
      <c r="C145" s="9024" t="s">
        <v>1236</v>
      </c>
      <c r="D145" s="9024"/>
      <c r="E145" s="518"/>
      <c r="F145" s="518"/>
      <c r="G145" s="1"/>
      <c r="H145" s="1"/>
      <c r="I145" s="1"/>
      <c r="J145" s="1"/>
      <c r="K145" s="1"/>
      <c r="L145" s="15"/>
      <c r="M145" s="15"/>
      <c r="N145" s="15"/>
      <c r="O145" s="15"/>
      <c r="P145" s="15"/>
      <c r="Q145" s="15"/>
    </row>
    <row r="146" spans="1:17" ht="20.100000000000001" customHeight="1">
      <c r="B146" s="719"/>
      <c r="C146" s="719"/>
      <c r="D146" s="719"/>
      <c r="E146" s="518"/>
      <c r="F146" s="518"/>
      <c r="G146" s="1"/>
      <c r="H146" s="1"/>
      <c r="I146" s="1"/>
      <c r="J146" s="1"/>
      <c r="K146" s="1"/>
      <c r="L146" s="15"/>
      <c r="M146" s="15"/>
      <c r="N146" s="15"/>
      <c r="O146" s="15"/>
      <c r="P146" s="15"/>
      <c r="Q146" s="15"/>
    </row>
    <row r="147" spans="1:17" ht="20.100000000000001" customHeight="1">
      <c r="B147" s="522" t="s">
        <v>1283</v>
      </c>
      <c r="C147" s="8051" t="s">
        <v>1237</v>
      </c>
      <c r="D147" s="9023"/>
      <c r="E147" s="9023"/>
      <c r="F147" s="9023"/>
      <c r="G147" s="1"/>
      <c r="H147" s="1"/>
      <c r="I147" s="1"/>
      <c r="J147" s="1"/>
      <c r="K147" s="1"/>
      <c r="L147" s="15"/>
      <c r="M147" s="15"/>
      <c r="N147" s="15"/>
      <c r="O147" s="15"/>
      <c r="P147" s="15"/>
      <c r="Q147" s="15"/>
    </row>
    <row r="148" spans="1:17" ht="20.100000000000001" customHeight="1">
      <c r="B148" s="1"/>
      <c r="C148" s="518"/>
      <c r="D148" s="523"/>
      <c r="E148" s="518"/>
      <c r="F148" s="524"/>
      <c r="G148" s="1"/>
      <c r="H148" s="1"/>
      <c r="I148" s="1"/>
      <c r="J148" s="1"/>
      <c r="K148" s="1"/>
      <c r="L148" s="15"/>
      <c r="M148" s="15"/>
      <c r="N148" s="15"/>
      <c r="O148" s="15"/>
      <c r="P148" s="15"/>
      <c r="Q148" s="15"/>
    </row>
    <row r="149" spans="1:17" ht="20.100000000000001" customHeight="1">
      <c r="B149" s="1"/>
      <c r="C149" s="520" t="s">
        <v>1240</v>
      </c>
      <c r="D149" s="523"/>
      <c r="E149" s="518"/>
      <c r="F149" s="524"/>
      <c r="G149" s="1"/>
      <c r="H149" s="1"/>
      <c r="I149" s="1"/>
      <c r="J149" s="1"/>
      <c r="K149" s="1"/>
      <c r="L149" s="15"/>
      <c r="M149" s="15"/>
      <c r="N149" s="15"/>
      <c r="O149" s="15"/>
      <c r="P149" s="15"/>
      <c r="Q149" s="15"/>
    </row>
    <row r="150" spans="1:17" ht="20.100000000000001" customHeight="1">
      <c r="B150" s="519" t="s">
        <v>1283</v>
      </c>
      <c r="C150" s="9024" t="s">
        <v>1241</v>
      </c>
      <c r="D150" s="9024"/>
      <c r="E150" s="9024"/>
      <c r="F150" s="9024"/>
      <c r="G150" s="9024"/>
      <c r="H150" s="1"/>
      <c r="I150" s="1"/>
      <c r="J150" s="1"/>
      <c r="K150" s="1"/>
      <c r="L150" s="15"/>
      <c r="M150" s="15"/>
      <c r="N150" s="15"/>
      <c r="O150" s="15"/>
      <c r="P150" s="15"/>
      <c r="Q150" s="15"/>
    </row>
    <row r="151" spans="1:17" ht="20.100000000000001" customHeight="1">
      <c r="B151" s="1"/>
      <c r="C151" s="1"/>
      <c r="D151" s="1"/>
      <c r="E151" s="462"/>
      <c r="F151" s="462"/>
      <c r="G151" s="1"/>
      <c r="H151" s="1"/>
      <c r="I151" s="1"/>
      <c r="J151" s="1"/>
      <c r="K151" s="1"/>
      <c r="L151" s="15"/>
      <c r="M151" s="15"/>
      <c r="N151" s="15"/>
      <c r="O151" s="15"/>
      <c r="P151" s="15"/>
      <c r="Q151" s="15"/>
    </row>
    <row r="152" spans="1:17">
      <c r="A152" s="525"/>
      <c r="B152" s="526"/>
      <c r="C152" s="527"/>
      <c r="D152" s="527"/>
      <c r="E152" s="527"/>
      <c r="F152" s="527"/>
      <c r="G152" s="527"/>
      <c r="H152" s="527"/>
      <c r="I152" s="527"/>
      <c r="J152" s="526"/>
      <c r="K152" s="526"/>
      <c r="L152" s="526"/>
      <c r="M152" s="525"/>
      <c r="N152" s="525"/>
      <c r="O152" s="525"/>
      <c r="P152" s="525"/>
      <c r="Q152" s="525"/>
    </row>
    <row r="153" spans="1:17" ht="18.75">
      <c r="A153" s="15"/>
      <c r="B153" s="308" t="s">
        <v>502</v>
      </c>
      <c r="C153" s="1"/>
      <c r="D153" s="1"/>
      <c r="E153" s="1"/>
      <c r="F153" s="723"/>
      <c r="G153" s="723"/>
      <c r="H153" s="14"/>
      <c r="I153" s="721"/>
      <c r="J153" s="282"/>
      <c r="K153" s="282"/>
      <c r="L153" s="38"/>
      <c r="M153" s="721"/>
      <c r="N153" s="721"/>
      <c r="O153" s="15"/>
      <c r="P153" s="15"/>
      <c r="Q153" s="14"/>
    </row>
    <row r="154" spans="1:17" ht="18.75">
      <c r="A154" s="15"/>
      <c r="B154" s="308"/>
      <c r="C154" s="9025" t="s">
        <v>500</v>
      </c>
      <c r="D154" s="9025"/>
      <c r="E154" s="9025"/>
      <c r="F154" s="9025"/>
      <c r="G154" s="9025"/>
      <c r="H154" s="9025"/>
      <c r="I154" s="721"/>
      <c r="J154" s="721"/>
      <c r="K154" s="38"/>
      <c r="L154" s="38"/>
      <c r="M154" s="721"/>
      <c r="N154" s="721"/>
      <c r="O154" s="15"/>
      <c r="P154" s="15"/>
      <c r="Q154" s="14"/>
    </row>
    <row r="155" spans="1:17" ht="18.75">
      <c r="A155" s="15"/>
      <c r="B155" s="308"/>
      <c r="C155" s="316"/>
      <c r="D155" s="723"/>
      <c r="E155" s="723"/>
      <c r="F155" s="723"/>
      <c r="G155" s="723"/>
      <c r="H155" s="14"/>
      <c r="I155" s="721"/>
      <c r="J155" s="721"/>
      <c r="K155" s="38"/>
      <c r="L155" s="38"/>
      <c r="M155" s="721"/>
      <c r="N155" s="721"/>
      <c r="O155" s="15"/>
      <c r="P155" s="15"/>
      <c r="Q155" s="14"/>
    </row>
    <row r="156" spans="1:17" ht="18.75">
      <c r="A156" s="15"/>
      <c r="B156" s="317"/>
      <c r="C156" s="9026" t="s">
        <v>501</v>
      </c>
      <c r="D156" s="9026"/>
      <c r="E156" s="9026"/>
      <c r="F156" s="9026"/>
      <c r="G156" s="14"/>
      <c r="H156" s="14"/>
      <c r="I156" s="14"/>
      <c r="J156" s="14"/>
      <c r="K156" s="14"/>
      <c r="L156" s="38"/>
      <c r="M156" s="721"/>
      <c r="N156" s="721"/>
      <c r="O156" s="15"/>
      <c r="P156" s="15"/>
      <c r="Q156" s="14"/>
    </row>
    <row r="157" spans="1:17" ht="18.75">
      <c r="A157" s="15"/>
      <c r="B157" s="317"/>
      <c r="C157" s="738"/>
      <c r="D157" s="723"/>
      <c r="E157" s="723"/>
      <c r="F157" s="723"/>
      <c r="G157" s="14"/>
      <c r="H157" s="14"/>
      <c r="I157" s="14"/>
      <c r="J157" s="14"/>
      <c r="K157" s="38"/>
      <c r="L157" s="38"/>
      <c r="M157" s="721"/>
      <c r="N157" s="721"/>
      <c r="O157" s="15"/>
      <c r="P157" s="15"/>
      <c r="Q157" s="14"/>
    </row>
    <row r="158" spans="1:17" ht="18.75">
      <c r="A158" s="15"/>
      <c r="B158" s="308"/>
      <c r="C158" s="9025" t="s">
        <v>499</v>
      </c>
      <c r="D158" s="9025"/>
      <c r="E158" s="9025"/>
      <c r="F158" s="9025"/>
      <c r="G158" s="14"/>
      <c r="H158" s="14"/>
      <c r="I158" s="14"/>
      <c r="J158" s="14"/>
      <c r="K158" s="14"/>
      <c r="L158" s="38"/>
      <c r="M158" s="721"/>
      <c r="N158" s="721"/>
      <c r="O158" s="15"/>
      <c r="P158" s="15"/>
      <c r="Q158" s="14"/>
    </row>
    <row r="159" spans="1:17" ht="18.75">
      <c r="A159" s="15"/>
      <c r="B159" s="308"/>
      <c r="C159" s="308"/>
      <c r="D159" s="308"/>
      <c r="E159" s="308"/>
      <c r="F159" s="308"/>
      <c r="G159" s="14"/>
      <c r="H159" s="14"/>
      <c r="I159" s="14"/>
      <c r="J159" s="14"/>
      <c r="K159" s="14"/>
      <c r="L159" s="38"/>
      <c r="M159" s="721"/>
      <c r="N159" s="721"/>
      <c r="O159" s="15"/>
      <c r="P159" s="15"/>
      <c r="Q159" s="14"/>
    </row>
    <row r="160" spans="1:17" ht="18.75">
      <c r="A160" s="15"/>
      <c r="B160" s="308"/>
      <c r="C160" s="9025" t="s">
        <v>1251</v>
      </c>
      <c r="D160" s="9025"/>
      <c r="E160" s="9025"/>
      <c r="F160" s="9025"/>
      <c r="G160" s="14"/>
      <c r="H160" s="14"/>
      <c r="I160" s="14"/>
      <c r="J160" s="14"/>
      <c r="K160" s="14"/>
      <c r="L160" s="38"/>
      <c r="M160" s="721"/>
      <c r="N160" s="721"/>
      <c r="O160" s="15"/>
      <c r="P160" s="15"/>
      <c r="Q160" s="14"/>
    </row>
    <row r="161" spans="1:17" ht="18.75">
      <c r="A161" s="15"/>
      <c r="B161" s="308"/>
      <c r="C161" s="316"/>
      <c r="D161" s="723"/>
      <c r="E161" s="723"/>
      <c r="F161" s="723"/>
      <c r="G161" s="14"/>
      <c r="H161" s="14"/>
      <c r="I161" s="14"/>
      <c r="J161" s="14"/>
      <c r="K161" s="14"/>
      <c r="L161" s="38"/>
      <c r="M161" s="721"/>
      <c r="N161" s="721"/>
      <c r="O161" s="15"/>
      <c r="P161" s="15"/>
      <c r="Q161" s="14"/>
    </row>
    <row r="162" spans="1:17" ht="16.5" customHeight="1">
      <c r="A162" s="15"/>
      <c r="B162" s="265" t="s">
        <v>361</v>
      </c>
      <c r="C162" s="266"/>
      <c r="D162" s="267"/>
      <c r="E162" s="266"/>
      <c r="F162" s="266"/>
      <c r="G162" s="266"/>
      <c r="H162" s="266"/>
      <c r="I162" s="266"/>
      <c r="J162" s="266"/>
      <c r="K162" s="266"/>
      <c r="L162" s="15"/>
      <c r="M162" s="15"/>
      <c r="N162" s="15"/>
      <c r="O162" s="15"/>
      <c r="P162" s="15"/>
      <c r="Q162" s="15"/>
    </row>
    <row r="163" spans="1:17" ht="16.5" customHeight="1">
      <c r="A163" s="15"/>
      <c r="B163" s="268"/>
      <c r="C163" s="266"/>
      <c r="D163" s="299" t="s">
        <v>456</v>
      </c>
      <c r="E163" s="297"/>
      <c r="F163" s="297"/>
      <c r="G163" s="266"/>
      <c r="H163" s="266"/>
      <c r="I163" s="266"/>
      <c r="J163" s="266"/>
      <c r="K163" s="266"/>
      <c r="L163" s="15"/>
      <c r="M163" s="15"/>
      <c r="N163" s="15"/>
      <c r="O163" s="15"/>
      <c r="P163" s="15"/>
      <c r="Q163" s="15"/>
    </row>
    <row r="164" spans="1:17" ht="20.100000000000001" customHeight="1">
      <c r="A164" s="15"/>
      <c r="B164" s="269"/>
      <c r="C164" s="266"/>
      <c r="D164" s="297" t="s">
        <v>362</v>
      </c>
      <c r="E164" s="266"/>
      <c r="F164" s="266"/>
      <c r="G164" s="266"/>
      <c r="H164" s="266"/>
      <c r="I164" s="266"/>
      <c r="J164" s="266"/>
      <c r="K164" s="266"/>
      <c r="L164" s="15"/>
      <c r="M164" s="15"/>
      <c r="N164" s="15"/>
      <c r="O164" s="15"/>
      <c r="P164" s="15"/>
      <c r="Q164" s="15"/>
    </row>
    <row r="165" spans="1:17" ht="20.100000000000001" customHeight="1">
      <c r="A165" s="15"/>
      <c r="B165" s="269"/>
      <c r="C165" s="266"/>
      <c r="D165" s="297" t="s">
        <v>1515</v>
      </c>
      <c r="E165" s="266"/>
      <c r="F165" s="266"/>
      <c r="G165" s="266"/>
      <c r="H165" s="266"/>
      <c r="I165" s="299" t="s">
        <v>1516</v>
      </c>
      <c r="J165" s="266"/>
      <c r="K165" s="266"/>
      <c r="L165" s="15"/>
      <c r="M165" s="15"/>
      <c r="N165" s="15"/>
      <c r="O165" s="15"/>
      <c r="P165" s="15"/>
      <c r="Q165" s="15"/>
    </row>
    <row r="166" spans="1:17" ht="20.100000000000001" customHeight="1" thickBot="1">
      <c r="A166" s="15"/>
      <c r="B166" s="270" t="s">
        <v>1517</v>
      </c>
      <c r="C166" s="271"/>
      <c r="D166" s="272"/>
      <c r="E166" s="271"/>
      <c r="F166" s="650"/>
      <c r="G166" s="271"/>
      <c r="H166" s="271"/>
      <c r="I166" s="271"/>
      <c r="J166" s="271"/>
      <c r="K166" s="271"/>
      <c r="L166" s="15"/>
      <c r="M166" s="15"/>
      <c r="N166" s="15"/>
      <c r="O166" s="15"/>
      <c r="P166" s="15"/>
      <c r="Q166" s="15"/>
    </row>
    <row r="167" spans="1:17" ht="20.100000000000001" customHeight="1" thickTop="1" thickBot="1">
      <c r="A167" s="15"/>
      <c r="B167" s="270"/>
      <c r="C167" s="273"/>
      <c r="D167" s="274">
        <f>LEN(F167)</f>
        <v>58</v>
      </c>
      <c r="E167" s="275" t="s">
        <v>363</v>
      </c>
      <c r="F167" s="651" t="s">
        <v>361</v>
      </c>
      <c r="G167" s="271"/>
      <c r="H167" s="271"/>
      <c r="I167" s="271"/>
      <c r="J167" s="271"/>
      <c r="K167" s="271"/>
      <c r="L167" s="15"/>
      <c r="M167" s="15"/>
      <c r="N167" s="15"/>
      <c r="O167" s="15"/>
      <c r="P167" s="15"/>
      <c r="Q167" s="15"/>
    </row>
    <row r="168" spans="1:17" ht="20.100000000000001" customHeight="1" thickTop="1">
      <c r="A168" s="15"/>
      <c r="B168" s="270"/>
      <c r="C168" s="271"/>
      <c r="D168" s="271"/>
      <c r="E168" s="271"/>
      <c r="F168" s="652"/>
      <c r="G168" s="271"/>
      <c r="H168" s="271"/>
      <c r="I168" s="271"/>
      <c r="J168" s="271"/>
      <c r="K168" s="271"/>
      <c r="L168" s="15"/>
      <c r="M168" s="15"/>
      <c r="N168" s="15"/>
      <c r="O168" s="15"/>
      <c r="P168" s="15"/>
      <c r="Q168" s="15"/>
    </row>
    <row r="169" spans="1:17" ht="20.100000000000001" customHeight="1">
      <c r="A169" s="15"/>
      <c r="B169" s="270" t="s">
        <v>364</v>
      </c>
      <c r="C169" s="276"/>
      <c r="D169" s="276"/>
      <c r="E169" s="276"/>
      <c r="F169" s="276"/>
      <c r="G169" s="276"/>
      <c r="H169" s="276"/>
      <c r="I169" s="276"/>
      <c r="J169" s="276"/>
      <c r="K169" s="276"/>
      <c r="L169" s="15"/>
      <c r="M169" s="15"/>
      <c r="N169" s="15"/>
      <c r="O169" s="15"/>
      <c r="P169" s="15"/>
      <c r="Q169" s="15"/>
    </row>
    <row r="170" spans="1:17" ht="20.100000000000001" customHeight="1">
      <c r="A170" s="15"/>
      <c r="B170" s="270"/>
      <c r="C170" s="273"/>
      <c r="D170" s="274">
        <f>LEN(F170)</f>
        <v>50</v>
      </c>
      <c r="E170" s="275" t="s">
        <v>363</v>
      </c>
      <c r="F170" s="298" t="str">
        <f>SUBSTITUTE(F167," ","")</f>
        <v>Utilitairepoursupprimerlesespacevidesdansunephrase</v>
      </c>
      <c r="G170" s="271"/>
      <c r="H170" s="271"/>
      <c r="I170" s="271"/>
      <c r="J170" s="271"/>
      <c r="K170" s="271"/>
      <c r="L170" s="15"/>
      <c r="M170" s="15"/>
      <c r="N170" s="15"/>
      <c r="O170" s="15"/>
      <c r="P170" s="15"/>
      <c r="Q170" s="15"/>
    </row>
    <row r="171" spans="1:17" ht="18">
      <c r="A171" s="15"/>
      <c r="B171" s="270"/>
      <c r="C171" s="270" t="s">
        <v>1518</v>
      </c>
      <c r="D171" s="276"/>
      <c r="E171" s="276"/>
      <c r="F171" s="276"/>
      <c r="G171" s="276"/>
      <c r="H171" s="276"/>
      <c r="I171" s="276"/>
      <c r="J171" s="276"/>
      <c r="K171" s="276"/>
      <c r="L171" s="15"/>
      <c r="M171" s="15"/>
      <c r="N171" s="15"/>
      <c r="O171" s="15"/>
      <c r="P171" s="15"/>
      <c r="Q171" s="15"/>
    </row>
    <row r="172" spans="1:17" ht="18">
      <c r="A172" s="15"/>
      <c r="B172" s="277"/>
      <c r="C172" s="270" t="s">
        <v>1519</v>
      </c>
      <c r="D172" s="270"/>
      <c r="E172" s="277"/>
      <c r="F172" s="277"/>
      <c r="G172" s="277"/>
      <c r="H172" s="277"/>
      <c r="I172" s="277"/>
      <c r="J172" s="277"/>
      <c r="K172" s="277"/>
      <c r="L172" s="15"/>
      <c r="M172" s="15"/>
      <c r="N172" s="15"/>
      <c r="O172" s="15"/>
      <c r="P172" s="15"/>
      <c r="Q172" s="15"/>
    </row>
    <row r="173" spans="1:17" ht="18">
      <c r="A173" s="15"/>
      <c r="B173" s="277"/>
      <c r="C173" s="270" t="s">
        <v>1520</v>
      </c>
      <c r="D173" s="270"/>
      <c r="E173" s="277"/>
      <c r="F173" s="277"/>
      <c r="G173" s="277"/>
      <c r="H173" s="277"/>
      <c r="I173" s="277"/>
      <c r="J173" s="277"/>
      <c r="K173" s="277"/>
      <c r="L173" s="15"/>
      <c r="M173" s="15"/>
      <c r="N173" s="15"/>
      <c r="O173" s="15"/>
      <c r="P173" s="15"/>
      <c r="Q173" s="15"/>
    </row>
    <row r="174" spans="1:17" ht="18">
      <c r="A174" s="15"/>
      <c r="B174" s="277"/>
      <c r="C174" s="270"/>
      <c r="D174" s="270"/>
      <c r="E174" s="277"/>
      <c r="F174" s="277"/>
      <c r="G174" s="277"/>
      <c r="H174" s="277"/>
      <c r="I174" s="277"/>
      <c r="J174" s="277"/>
      <c r="K174" s="277"/>
      <c r="L174" s="15"/>
      <c r="M174" s="15"/>
      <c r="N174" s="15"/>
      <c r="O174" s="15"/>
      <c r="P174" s="15"/>
      <c r="Q174" s="15"/>
    </row>
    <row r="175" spans="1:17" ht="15.75">
      <c r="A175" s="15"/>
      <c r="B175" s="277"/>
      <c r="C175" s="653" t="s">
        <v>1521</v>
      </c>
      <c r="D175" s="654" t="s">
        <v>1522</v>
      </c>
      <c r="E175" s="277"/>
      <c r="F175" s="277"/>
      <c r="G175" s="277"/>
      <c r="H175" s="277"/>
      <c r="I175" s="277"/>
      <c r="J175" s="277"/>
      <c r="K175" s="277"/>
      <c r="L175" s="15"/>
      <c r="M175" s="15"/>
      <c r="N175" s="15"/>
      <c r="O175" s="15"/>
      <c r="P175" s="15"/>
      <c r="Q175" s="15"/>
    </row>
    <row r="176" spans="1:17" ht="15" customHeight="1">
      <c r="B176" s="277"/>
      <c r="C176" s="277"/>
      <c r="D176" s="277"/>
      <c r="E176" s="277"/>
      <c r="F176" s="277"/>
      <c r="G176" s="277"/>
      <c r="H176" s="277"/>
      <c r="I176" s="277"/>
      <c r="J176" s="277"/>
      <c r="K176" s="277"/>
      <c r="L176" s="15"/>
      <c r="M176" s="15"/>
      <c r="N176" s="15"/>
      <c r="O176" s="15"/>
      <c r="P176" s="15"/>
      <c r="Q176" s="15"/>
    </row>
    <row r="177" spans="1:17">
      <c r="A177" s="15"/>
      <c r="B177" s="14"/>
      <c r="C177" s="14"/>
      <c r="D177" s="14"/>
      <c r="E177" s="14"/>
      <c r="F177" s="14"/>
      <c r="G177" s="14"/>
      <c r="H177" s="14"/>
      <c r="I177" s="14"/>
      <c r="J177" s="14"/>
      <c r="K177" s="14"/>
      <c r="L177" s="14"/>
      <c r="M177" s="15"/>
      <c r="N177" s="15"/>
      <c r="O177" s="15"/>
      <c r="P177" s="15"/>
      <c r="Q177" s="15"/>
    </row>
    <row r="178" spans="1:17" ht="18.75">
      <c r="A178" s="15"/>
      <c r="B178" s="14"/>
      <c r="C178" s="420"/>
      <c r="D178" s="316" t="s">
        <v>499</v>
      </c>
      <c r="E178" s="421"/>
      <c r="F178" s="421"/>
      <c r="G178" s="15"/>
      <c r="H178" s="15"/>
      <c r="I178" s="15"/>
      <c r="J178" s="15"/>
      <c r="K178" s="15"/>
      <c r="L178" s="15"/>
      <c r="M178" s="15"/>
      <c r="N178" s="15"/>
      <c r="O178" s="15"/>
      <c r="P178" s="15"/>
      <c r="Q178" s="15"/>
    </row>
    <row r="179" spans="1:17">
      <c r="A179" s="15"/>
      <c r="B179" s="14"/>
      <c r="C179" s="1"/>
      <c r="D179" s="422"/>
      <c r="E179" s="15"/>
      <c r="F179" s="15"/>
      <c r="G179" s="15"/>
      <c r="H179" s="15"/>
      <c r="I179" s="15"/>
      <c r="J179" s="15"/>
      <c r="K179" s="15"/>
      <c r="L179" s="15"/>
      <c r="M179" s="15"/>
      <c r="N179" s="15"/>
      <c r="O179" s="15"/>
      <c r="P179" s="15"/>
      <c r="Q179" s="15"/>
    </row>
    <row r="180" spans="1:17">
      <c r="A180" s="15"/>
      <c r="B180" s="14"/>
      <c r="C180" s="423" t="s">
        <v>498</v>
      </c>
      <c r="D180" s="1"/>
      <c r="E180" s="1"/>
      <c r="F180" s="15"/>
      <c r="G180" s="15"/>
      <c r="H180" s="15"/>
      <c r="I180" s="416" t="s">
        <v>470</v>
      </c>
      <c r="J180" s="416" t="s">
        <v>471</v>
      </c>
      <c r="K180" s="15"/>
      <c r="L180" s="15"/>
      <c r="M180" s="15"/>
      <c r="N180" s="15"/>
      <c r="O180" s="15"/>
      <c r="P180" s="15"/>
      <c r="Q180" s="15"/>
    </row>
    <row r="181" spans="1:17">
      <c r="A181" s="15"/>
      <c r="B181" s="14"/>
      <c r="C181" s="417" t="s">
        <v>472</v>
      </c>
      <c r="D181" s="1"/>
      <c r="E181" s="1"/>
      <c r="F181" s="15"/>
      <c r="G181" s="15"/>
      <c r="H181" s="15"/>
      <c r="I181" s="418">
        <v>41422</v>
      </c>
      <c r="J181" s="419">
        <v>4416</v>
      </c>
      <c r="K181" s="15"/>
      <c r="L181" s="15"/>
      <c r="M181" s="15"/>
      <c r="N181" s="15"/>
      <c r="O181" s="15"/>
      <c r="P181" s="15"/>
      <c r="Q181" s="15"/>
    </row>
    <row r="182" spans="1:17">
      <c r="A182" s="15"/>
      <c r="B182" s="14"/>
      <c r="C182" s="417" t="s">
        <v>473</v>
      </c>
      <c r="D182" s="1"/>
      <c r="E182" s="1"/>
      <c r="F182" s="15"/>
      <c r="G182" s="15"/>
      <c r="H182" s="15"/>
      <c r="I182" s="418">
        <v>41092</v>
      </c>
      <c r="J182" s="419">
        <v>14900</v>
      </c>
      <c r="K182" s="15"/>
      <c r="L182" s="15"/>
      <c r="M182" s="15"/>
      <c r="N182" s="15"/>
      <c r="O182" s="15"/>
      <c r="P182" s="15"/>
      <c r="Q182" s="15"/>
    </row>
    <row r="183" spans="1:17">
      <c r="A183" s="15"/>
      <c r="B183" s="14"/>
      <c r="C183" s="417" t="s">
        <v>474</v>
      </c>
      <c r="D183" s="1"/>
      <c r="E183" s="1"/>
      <c r="F183" s="15"/>
      <c r="G183" s="15"/>
      <c r="H183" s="15"/>
      <c r="I183" s="418">
        <v>41062</v>
      </c>
      <c r="J183" s="419">
        <v>36257</v>
      </c>
      <c r="K183" s="15"/>
      <c r="L183" s="15"/>
      <c r="M183" s="15"/>
      <c r="N183" s="15"/>
      <c r="O183" s="15"/>
      <c r="P183" s="15"/>
      <c r="Q183" s="15"/>
    </row>
    <row r="184" spans="1:17">
      <c r="A184" s="15"/>
      <c r="B184" s="14"/>
      <c r="C184" s="417" t="s">
        <v>475</v>
      </c>
      <c r="D184" s="1"/>
      <c r="E184" s="1"/>
      <c r="F184" s="15"/>
      <c r="G184" s="15"/>
      <c r="H184" s="15"/>
      <c r="I184" s="418">
        <v>41062</v>
      </c>
      <c r="J184" s="419">
        <v>14390</v>
      </c>
      <c r="K184" s="15"/>
      <c r="L184" s="15"/>
      <c r="M184" s="15"/>
      <c r="N184" s="15"/>
      <c r="O184" s="15"/>
      <c r="P184" s="15"/>
      <c r="Q184" s="15"/>
    </row>
    <row r="185" spans="1:17">
      <c r="A185" s="15"/>
      <c r="B185" s="14"/>
      <c r="C185" s="716" t="s">
        <v>476</v>
      </c>
      <c r="D185" s="1"/>
      <c r="E185" s="1"/>
      <c r="F185" s="15"/>
      <c r="G185" s="15"/>
      <c r="H185" s="15"/>
      <c r="I185" s="418">
        <v>41052</v>
      </c>
      <c r="J185" s="419">
        <v>48910</v>
      </c>
      <c r="K185" s="15"/>
      <c r="L185" s="15"/>
      <c r="M185" s="15"/>
      <c r="N185" s="15"/>
      <c r="O185" s="15"/>
      <c r="P185" s="15"/>
      <c r="Q185" s="15"/>
    </row>
    <row r="186" spans="1:17">
      <c r="A186" s="15"/>
      <c r="B186" s="14"/>
      <c r="C186" s="417" t="s">
        <v>477</v>
      </c>
      <c r="D186" s="1"/>
      <c r="E186" s="1"/>
      <c r="F186" s="15"/>
      <c r="G186" s="15"/>
      <c r="H186" s="15"/>
      <c r="I186" s="418">
        <v>41025</v>
      </c>
      <c r="J186" s="419">
        <v>14751</v>
      </c>
      <c r="K186" s="15"/>
      <c r="L186" s="15"/>
      <c r="M186" s="15"/>
      <c r="N186" s="15"/>
      <c r="O186" s="15"/>
      <c r="P186" s="15"/>
      <c r="Q186" s="15"/>
    </row>
    <row r="187" spans="1:17">
      <c r="A187" s="15"/>
      <c r="B187" s="14"/>
      <c r="C187" s="417" t="s">
        <v>478</v>
      </c>
      <c r="D187" s="1"/>
      <c r="E187" s="1"/>
      <c r="F187" s="15"/>
      <c r="G187" s="15"/>
      <c r="H187" s="15"/>
      <c r="I187" s="418">
        <v>40848</v>
      </c>
      <c r="J187" s="419">
        <v>10084</v>
      </c>
      <c r="K187" s="15"/>
      <c r="L187" s="15"/>
      <c r="M187" s="15"/>
      <c r="N187" s="15"/>
      <c r="O187" s="15"/>
      <c r="P187" s="15"/>
      <c r="Q187" s="15"/>
    </row>
    <row r="188" spans="1:17">
      <c r="A188" s="15"/>
      <c r="B188" s="14"/>
      <c r="C188" s="417" t="s">
        <v>479</v>
      </c>
      <c r="D188" s="1"/>
      <c r="E188" s="1"/>
      <c r="F188" s="15"/>
      <c r="G188" s="15"/>
      <c r="H188" s="15"/>
      <c r="I188" s="418">
        <v>40454</v>
      </c>
      <c r="J188" s="419">
        <v>45222</v>
      </c>
      <c r="K188" s="15"/>
      <c r="L188" s="15"/>
      <c r="M188" s="15"/>
      <c r="N188" s="15"/>
      <c r="O188" s="15"/>
      <c r="P188" s="15"/>
      <c r="Q188" s="15"/>
    </row>
    <row r="189" spans="1:17">
      <c r="A189" s="15"/>
      <c r="B189" s="14"/>
      <c r="C189" s="417" t="s">
        <v>480</v>
      </c>
      <c r="D189" s="1"/>
      <c r="E189" s="1"/>
      <c r="F189" s="15"/>
      <c r="G189" s="15"/>
      <c r="H189" s="15"/>
      <c r="I189" s="418">
        <v>40294</v>
      </c>
      <c r="J189" s="419">
        <v>65784</v>
      </c>
      <c r="K189" s="15"/>
      <c r="L189" s="15"/>
      <c r="M189" s="15"/>
      <c r="N189" s="15"/>
      <c r="O189" s="15"/>
      <c r="P189" s="15"/>
      <c r="Q189" s="15"/>
    </row>
    <row r="190" spans="1:17">
      <c r="A190" s="15"/>
      <c r="B190" s="14"/>
      <c r="C190" s="417" t="s">
        <v>481</v>
      </c>
      <c r="D190" s="1"/>
      <c r="E190" s="1"/>
      <c r="F190" s="15"/>
      <c r="G190" s="15"/>
      <c r="H190" s="15"/>
      <c r="I190" s="418">
        <v>40273</v>
      </c>
      <c r="J190" s="419">
        <v>96965</v>
      </c>
      <c r="K190" s="15"/>
      <c r="L190" s="15"/>
      <c r="M190" s="15"/>
      <c r="N190" s="15"/>
      <c r="O190" s="15"/>
      <c r="P190" s="15"/>
      <c r="Q190" s="15"/>
    </row>
    <row r="191" spans="1:17">
      <c r="A191" s="15"/>
      <c r="B191" s="14"/>
      <c r="C191" s="417" t="s">
        <v>482</v>
      </c>
      <c r="D191" s="1"/>
      <c r="E191" s="1"/>
      <c r="F191" s="15"/>
      <c r="G191" s="15"/>
      <c r="H191" s="15"/>
      <c r="I191" s="418">
        <v>40273</v>
      </c>
      <c r="J191" s="419">
        <v>45902</v>
      </c>
      <c r="K191" s="15"/>
      <c r="L191" s="15"/>
      <c r="M191" s="15"/>
      <c r="N191" s="15"/>
      <c r="O191" s="15"/>
      <c r="P191" s="15"/>
      <c r="Q191" s="15"/>
    </row>
    <row r="192" spans="1:17">
      <c r="A192" s="15"/>
      <c r="B192" s="14"/>
      <c r="C192" s="417" t="s">
        <v>483</v>
      </c>
      <c r="D192" s="1"/>
      <c r="E192" s="1"/>
      <c r="F192" s="15"/>
      <c r="G192" s="15"/>
      <c r="H192" s="15"/>
      <c r="I192" s="418">
        <v>40250</v>
      </c>
      <c r="J192" s="419">
        <v>122444</v>
      </c>
      <c r="K192" s="15"/>
      <c r="L192" s="15"/>
      <c r="M192" s="15"/>
      <c r="N192" s="15"/>
      <c r="O192" s="15"/>
      <c r="P192" s="15"/>
      <c r="Q192" s="15"/>
    </row>
    <row r="193" spans="1:17">
      <c r="A193" s="15"/>
      <c r="B193" s="14"/>
      <c r="C193" s="417" t="s">
        <v>484</v>
      </c>
      <c r="D193" s="1"/>
      <c r="E193" s="1"/>
      <c r="F193" s="15"/>
      <c r="G193" s="15"/>
      <c r="H193" s="15"/>
      <c r="I193" s="418">
        <v>40182</v>
      </c>
      <c r="J193" s="419">
        <v>100241</v>
      </c>
      <c r="K193" s="15"/>
      <c r="L193" s="15"/>
      <c r="M193" s="15"/>
      <c r="N193" s="15"/>
      <c r="O193" s="15"/>
      <c r="P193" s="15"/>
      <c r="Q193" s="15"/>
    </row>
    <row r="194" spans="1:17">
      <c r="A194" s="15"/>
      <c r="B194" s="14"/>
      <c r="C194" s="417" t="s">
        <v>485</v>
      </c>
      <c r="D194" s="1"/>
      <c r="E194" s="1"/>
      <c r="F194" s="15"/>
      <c r="G194" s="15"/>
      <c r="H194" s="15"/>
      <c r="I194" s="418">
        <v>40138</v>
      </c>
      <c r="J194" s="419">
        <v>23956</v>
      </c>
      <c r="K194" s="15"/>
      <c r="L194" s="15"/>
      <c r="M194" s="15"/>
      <c r="N194" s="15"/>
      <c r="O194" s="15"/>
      <c r="P194" s="15"/>
      <c r="Q194" s="15"/>
    </row>
    <row r="195" spans="1:17">
      <c r="A195" s="15"/>
      <c r="B195" s="14"/>
      <c r="C195" s="417" t="s">
        <v>486</v>
      </c>
      <c r="D195" s="1"/>
      <c r="E195" s="1"/>
      <c r="F195" s="15"/>
      <c r="G195" s="15"/>
      <c r="H195" s="15"/>
      <c r="I195" s="418">
        <v>40125</v>
      </c>
      <c r="J195" s="419">
        <v>113684</v>
      </c>
      <c r="K195" s="15"/>
      <c r="L195" s="15"/>
      <c r="M195" s="15"/>
      <c r="N195" s="15"/>
      <c r="O195" s="15"/>
      <c r="P195" s="15"/>
      <c r="Q195" s="15"/>
    </row>
    <row r="196" spans="1:17">
      <c r="A196" s="15"/>
      <c r="B196" s="14"/>
      <c r="C196" s="417" t="s">
        <v>487</v>
      </c>
      <c r="D196" s="1"/>
      <c r="E196" s="1"/>
      <c r="F196" s="15"/>
      <c r="G196" s="15"/>
      <c r="H196" s="15"/>
      <c r="I196" s="418">
        <v>40111</v>
      </c>
      <c r="J196" s="419">
        <v>27154</v>
      </c>
      <c r="K196" s="15"/>
      <c r="L196" s="15"/>
      <c r="M196" s="15"/>
      <c r="N196" s="15"/>
      <c r="O196" s="15"/>
      <c r="P196" s="15"/>
      <c r="Q196" s="15"/>
    </row>
    <row r="197" spans="1:17">
      <c r="A197" s="15"/>
      <c r="B197" s="14"/>
      <c r="C197" s="417" t="s">
        <v>488</v>
      </c>
      <c r="D197" s="1"/>
      <c r="E197" s="1"/>
      <c r="F197" s="15"/>
      <c r="G197" s="15"/>
      <c r="H197" s="15"/>
      <c r="I197" s="418">
        <v>40096</v>
      </c>
      <c r="J197" s="419">
        <v>25774</v>
      </c>
      <c r="K197" s="15"/>
      <c r="L197" s="15"/>
      <c r="M197" s="15"/>
      <c r="N197" s="15"/>
      <c r="O197" s="15"/>
      <c r="P197" s="15"/>
      <c r="Q197" s="15"/>
    </row>
    <row r="198" spans="1:17">
      <c r="A198" s="15"/>
      <c r="B198" s="14"/>
      <c r="C198" s="417" t="s">
        <v>489</v>
      </c>
      <c r="D198" s="1"/>
      <c r="E198" s="1"/>
      <c r="F198" s="15"/>
      <c r="G198" s="15"/>
      <c r="H198" s="15"/>
      <c r="I198" s="418">
        <v>40085</v>
      </c>
      <c r="J198" s="419">
        <v>79344</v>
      </c>
      <c r="K198" s="15"/>
      <c r="L198" s="15"/>
      <c r="M198" s="15"/>
      <c r="N198" s="15"/>
      <c r="O198" s="15"/>
      <c r="P198" s="15"/>
      <c r="Q198" s="15"/>
    </row>
    <row r="199" spans="1:17">
      <c r="A199" s="15"/>
      <c r="B199" s="14"/>
      <c r="C199" s="417" t="s">
        <v>490</v>
      </c>
      <c r="D199" s="1"/>
      <c r="E199" s="1"/>
      <c r="F199" s="15"/>
      <c r="G199" s="15"/>
      <c r="H199" s="15"/>
      <c r="I199" s="418">
        <v>40068</v>
      </c>
      <c r="J199" s="419">
        <v>145176</v>
      </c>
      <c r="K199" s="15"/>
      <c r="L199" s="15"/>
      <c r="M199" s="15"/>
      <c r="N199" s="15"/>
      <c r="O199" s="15"/>
      <c r="P199" s="15"/>
      <c r="Q199" s="15"/>
    </row>
    <row r="200" spans="1:17">
      <c r="A200" s="15"/>
      <c r="B200" s="14"/>
      <c r="C200" s="417" t="s">
        <v>491</v>
      </c>
      <c r="D200" s="1"/>
      <c r="E200" s="1"/>
      <c r="F200" s="15"/>
      <c r="G200" s="15"/>
      <c r="H200" s="15"/>
      <c r="I200" s="418">
        <v>40048</v>
      </c>
      <c r="J200" s="419">
        <v>7657</v>
      </c>
      <c r="K200" s="15"/>
      <c r="L200" s="15"/>
      <c r="M200" s="15"/>
      <c r="N200" s="15"/>
      <c r="O200" s="15"/>
      <c r="P200" s="15"/>
      <c r="Q200" s="15"/>
    </row>
    <row r="201" spans="1:17">
      <c r="A201" s="15"/>
      <c r="B201" s="14"/>
      <c r="C201" s="417" t="s">
        <v>492</v>
      </c>
      <c r="D201" s="1"/>
      <c r="E201" s="1"/>
      <c r="F201" s="15"/>
      <c r="G201" s="15"/>
      <c r="H201" s="15"/>
      <c r="I201" s="418">
        <v>40044</v>
      </c>
      <c r="J201" s="419">
        <v>45164</v>
      </c>
      <c r="K201" s="15"/>
      <c r="L201" s="15"/>
      <c r="M201" s="15"/>
      <c r="N201" s="15"/>
      <c r="O201" s="15"/>
      <c r="P201" s="15"/>
      <c r="Q201" s="15"/>
    </row>
    <row r="202" spans="1:17">
      <c r="A202" s="15"/>
      <c r="B202" s="14"/>
      <c r="C202" s="417" t="s">
        <v>493</v>
      </c>
      <c r="D202" s="1"/>
      <c r="E202" s="1"/>
      <c r="F202" s="15"/>
      <c r="G202" s="15"/>
      <c r="H202" s="15"/>
      <c r="I202" s="418">
        <v>40020</v>
      </c>
      <c r="J202" s="419">
        <v>105218</v>
      </c>
      <c r="K202" s="15"/>
      <c r="L202" s="15"/>
      <c r="M202" s="15"/>
      <c r="N202" s="15"/>
      <c r="O202" s="15"/>
      <c r="P202" s="15"/>
      <c r="Q202" s="15"/>
    </row>
    <row r="203" spans="1:17">
      <c r="A203" s="15"/>
      <c r="B203" s="14"/>
      <c r="C203" s="417" t="s">
        <v>494</v>
      </c>
      <c r="D203" s="1"/>
      <c r="E203" s="1"/>
      <c r="F203" s="15"/>
      <c r="G203" s="15"/>
      <c r="H203" s="15"/>
      <c r="I203" s="418">
        <v>39788</v>
      </c>
      <c r="J203" s="419">
        <v>59780</v>
      </c>
      <c r="K203" s="15"/>
      <c r="L203" s="15"/>
      <c r="M203" s="15"/>
      <c r="N203" s="15"/>
      <c r="O203" s="15"/>
      <c r="P203" s="15"/>
      <c r="Q203" s="15"/>
    </row>
    <row r="204" spans="1:17">
      <c r="A204" s="15"/>
      <c r="B204" s="14"/>
      <c r="C204" s="417" t="s">
        <v>495</v>
      </c>
      <c r="D204" s="1"/>
      <c r="E204" s="1"/>
      <c r="F204" s="15"/>
      <c r="G204" s="15"/>
      <c r="H204" s="15"/>
      <c r="I204" s="418">
        <v>39787</v>
      </c>
      <c r="J204" s="419">
        <v>75563</v>
      </c>
      <c r="K204" s="15"/>
      <c r="L204" s="15"/>
      <c r="M204" s="15"/>
      <c r="N204" s="15"/>
      <c r="O204" s="15"/>
      <c r="P204" s="15"/>
      <c r="Q204" s="15"/>
    </row>
    <row r="205" spans="1:17">
      <c r="A205" s="15"/>
      <c r="B205" s="14"/>
      <c r="C205" s="417" t="s">
        <v>496</v>
      </c>
      <c r="D205" s="1"/>
      <c r="E205" s="1"/>
      <c r="F205" s="15"/>
      <c r="G205" s="15"/>
      <c r="H205" s="15"/>
      <c r="I205" s="418">
        <v>39787</v>
      </c>
      <c r="J205" s="419">
        <v>15781</v>
      </c>
      <c r="K205" s="15"/>
      <c r="L205" s="15"/>
      <c r="M205" s="15"/>
      <c r="N205" s="15"/>
      <c r="O205" s="15"/>
      <c r="P205" s="15"/>
      <c r="Q205" s="15"/>
    </row>
    <row r="206" spans="1:17">
      <c r="A206" s="15"/>
      <c r="B206" s="14"/>
      <c r="C206" s="417" t="s">
        <v>497</v>
      </c>
      <c r="D206" s="1"/>
      <c r="E206" s="1"/>
      <c r="F206" s="15"/>
      <c r="G206" s="15"/>
      <c r="H206" s="15"/>
      <c r="I206" s="15"/>
      <c r="J206" s="15"/>
      <c r="K206" s="15"/>
      <c r="L206" s="15"/>
      <c r="M206" s="15"/>
      <c r="N206" s="15"/>
      <c r="O206" s="15"/>
      <c r="P206" s="15"/>
      <c r="Q206" s="15"/>
    </row>
    <row r="207" spans="1:17" ht="20.100000000000001" customHeight="1">
      <c r="B207" s="1"/>
      <c r="C207" s="1"/>
      <c r="D207" s="1"/>
      <c r="E207" s="462"/>
      <c r="F207" s="462"/>
      <c r="G207" s="1"/>
      <c r="H207" s="1"/>
      <c r="I207" s="1"/>
      <c r="J207" s="1"/>
      <c r="K207" s="1"/>
      <c r="L207" s="15"/>
      <c r="M207" s="15"/>
      <c r="N207" s="15"/>
      <c r="O207" s="15"/>
      <c r="P207" s="15"/>
      <c r="Q207" s="15"/>
    </row>
    <row r="208" spans="1:17" ht="20.100000000000001" customHeight="1">
      <c r="B208" s="1"/>
      <c r="C208" s="739" t="s">
        <v>1559</v>
      </c>
      <c r="D208" s="1"/>
      <c r="E208" s="462"/>
      <c r="F208" s="462"/>
      <c r="G208" s="1"/>
      <c r="H208" s="1"/>
      <c r="I208" s="1"/>
      <c r="J208" s="1"/>
      <c r="K208" s="1"/>
      <c r="L208" s="15"/>
      <c r="M208" s="15"/>
      <c r="N208" s="15"/>
      <c r="O208" s="15"/>
      <c r="P208" s="15"/>
      <c r="Q208" s="15"/>
    </row>
    <row r="209" spans="1:1310" ht="20.100000000000001" customHeight="1">
      <c r="B209" s="1"/>
      <c r="C209" s="1"/>
      <c r="D209" s="1"/>
      <c r="E209" s="462"/>
      <c r="F209" s="462"/>
      <c r="G209" s="1"/>
      <c r="H209" s="1"/>
      <c r="I209" s="1"/>
      <c r="J209" s="1"/>
      <c r="K209" s="1"/>
      <c r="L209" s="15"/>
      <c r="M209" s="15"/>
      <c r="N209" s="15"/>
      <c r="O209" s="15"/>
      <c r="P209" s="15"/>
      <c r="Q209" s="15"/>
    </row>
    <row r="210" spans="1:1310" ht="20.100000000000001" customHeight="1">
      <c r="B210" s="1"/>
      <c r="C210" s="1"/>
      <c r="D210" s="1"/>
      <c r="E210" s="462"/>
      <c r="F210" s="462"/>
      <c r="G210" s="1"/>
      <c r="H210" s="1"/>
      <c r="I210" s="1"/>
      <c r="J210" s="1"/>
      <c r="K210" s="1"/>
      <c r="L210" s="15"/>
      <c r="M210" s="15"/>
      <c r="N210" s="15"/>
      <c r="O210" s="15"/>
      <c r="P210" s="15"/>
      <c r="Q210" s="15"/>
    </row>
    <row r="211" spans="1:1310" ht="20.100000000000001" customHeight="1">
      <c r="B211" s="1"/>
      <c r="C211" s="1"/>
      <c r="D211" s="1"/>
      <c r="E211" s="462"/>
      <c r="F211" s="462"/>
      <c r="G211" s="1"/>
      <c r="H211" s="1"/>
      <c r="I211" s="1"/>
      <c r="J211" s="1"/>
      <c r="K211" s="1"/>
      <c r="L211" s="15"/>
      <c r="M211" s="15"/>
      <c r="N211" s="15"/>
      <c r="O211" s="15"/>
      <c r="P211" s="15"/>
      <c r="Q211" s="15"/>
    </row>
    <row r="212" spans="1:1310" ht="20.100000000000001" customHeight="1">
      <c r="B212" s="1"/>
      <c r="C212" s="1"/>
      <c r="D212" s="1"/>
      <c r="E212" s="462"/>
      <c r="F212" s="462"/>
      <c r="G212" s="1"/>
      <c r="H212" s="1"/>
      <c r="I212" s="1"/>
      <c r="J212" s="1"/>
      <c r="K212" s="1"/>
      <c r="L212" s="15"/>
      <c r="M212" s="15"/>
      <c r="N212" s="15"/>
      <c r="O212" s="15"/>
      <c r="P212" s="15"/>
      <c r="Q212" s="15"/>
    </row>
    <row r="213" spans="1:1310" ht="20.100000000000001" customHeight="1">
      <c r="B213" s="1"/>
      <c r="C213" s="1"/>
      <c r="D213" s="1"/>
      <c r="E213" s="462"/>
      <c r="F213" s="462"/>
      <c r="G213" s="1"/>
      <c r="H213" s="1"/>
      <c r="I213" s="1"/>
      <c r="J213" s="1"/>
      <c r="K213" s="1"/>
      <c r="L213" s="15"/>
      <c r="M213" s="15"/>
      <c r="N213" s="15"/>
      <c r="O213" s="15"/>
      <c r="P213" s="15"/>
      <c r="Q213" s="15"/>
    </row>
    <row r="214" spans="1:1310" ht="20.100000000000001" customHeight="1">
      <c r="B214" s="1"/>
      <c r="C214" s="1"/>
      <c r="D214" s="1"/>
      <c r="E214" s="462"/>
      <c r="F214" s="462"/>
      <c r="G214" s="1"/>
      <c r="H214" s="1"/>
      <c r="I214" s="1"/>
      <c r="J214" s="1"/>
      <c r="K214" s="1"/>
      <c r="L214" s="15"/>
      <c r="M214" s="15"/>
      <c r="N214" s="15"/>
      <c r="O214" s="15"/>
      <c r="P214" s="15"/>
      <c r="Q214" s="15"/>
    </row>
    <row r="215" spans="1:1310" ht="20.100000000000001" customHeight="1">
      <c r="B215" s="1"/>
      <c r="C215" s="1"/>
      <c r="D215" s="1"/>
      <c r="E215" s="462"/>
      <c r="F215" s="462"/>
      <c r="G215" s="1"/>
      <c r="H215" s="1"/>
      <c r="I215" s="1"/>
      <c r="J215" s="1"/>
      <c r="K215" s="1"/>
      <c r="L215" s="15"/>
      <c r="M215" s="15"/>
      <c r="N215" s="15"/>
      <c r="O215" s="15"/>
      <c r="P215" s="15"/>
      <c r="Q215" s="15"/>
    </row>
    <row r="216" spans="1:1310" ht="20.100000000000001" customHeight="1">
      <c r="B216" s="1"/>
      <c r="C216" s="1"/>
      <c r="D216" s="1"/>
      <c r="E216" s="462"/>
      <c r="F216" s="462"/>
      <c r="G216" s="1"/>
      <c r="H216" s="1"/>
      <c r="I216" s="1"/>
      <c r="J216" s="1"/>
      <c r="K216" s="1"/>
      <c r="L216" s="15"/>
      <c r="M216" s="15"/>
      <c r="N216" s="15"/>
      <c r="O216" s="15"/>
      <c r="P216" s="15"/>
      <c r="Q216" s="15"/>
    </row>
    <row r="217" spans="1:1310" ht="20.100000000000001" customHeight="1">
      <c r="B217" s="1"/>
      <c r="C217" s="1"/>
      <c r="D217" s="1"/>
      <c r="E217" s="462"/>
      <c r="F217" s="462"/>
      <c r="G217" s="1"/>
      <c r="H217" s="1"/>
      <c r="I217" s="1"/>
      <c r="J217" s="1"/>
      <c r="K217" s="1"/>
      <c r="L217" s="15"/>
      <c r="M217" s="15"/>
      <c r="N217" s="15"/>
      <c r="O217" s="15"/>
      <c r="P217" s="15"/>
      <c r="Q217" s="15"/>
    </row>
    <row r="218" spans="1:1310" ht="20.100000000000001" customHeight="1">
      <c r="B218" s="1"/>
      <c r="C218" s="1"/>
      <c r="D218" s="1"/>
      <c r="E218" s="462"/>
      <c r="F218" s="462"/>
      <c r="G218" s="1"/>
      <c r="H218" s="1"/>
      <c r="I218" s="1"/>
      <c r="J218" s="1"/>
      <c r="K218" s="1"/>
      <c r="L218" s="15"/>
      <c r="M218" s="15"/>
      <c r="N218" s="15"/>
      <c r="O218" s="15"/>
      <c r="P218" s="15"/>
      <c r="Q218" s="15"/>
    </row>
    <row r="219" spans="1:1310" ht="20.100000000000001" customHeight="1">
      <c r="B219" s="1"/>
      <c r="C219" s="1"/>
      <c r="D219" s="1"/>
      <c r="E219" s="462"/>
      <c r="F219" s="462"/>
      <c r="G219" s="1"/>
      <c r="H219" s="1"/>
      <c r="I219" s="1"/>
      <c r="J219" s="1"/>
      <c r="K219" s="1"/>
      <c r="L219" s="15"/>
      <c r="M219" s="15"/>
      <c r="N219" s="15"/>
      <c r="O219" s="15"/>
      <c r="P219" s="15"/>
      <c r="Q219" s="15"/>
    </row>
    <row r="220" spans="1:1310" ht="20.100000000000001" customHeight="1">
      <c r="B220" s="1"/>
      <c r="C220" s="1"/>
      <c r="D220" s="1"/>
      <c r="E220" s="462"/>
      <c r="F220" s="462"/>
      <c r="G220" s="1"/>
      <c r="H220" s="1"/>
      <c r="I220" s="1"/>
      <c r="J220" s="1"/>
      <c r="K220" s="1"/>
      <c r="L220" s="15"/>
      <c r="M220" s="15"/>
      <c r="N220" s="15"/>
      <c r="O220" s="15"/>
      <c r="P220" s="15"/>
      <c r="Q220" s="15"/>
    </row>
    <row r="221" spans="1:1310" s="741" customFormat="1" ht="23.25" customHeight="1">
      <c r="A221" s="759">
        <v>1</v>
      </c>
      <c r="B221" s="9020" t="s">
        <v>1560</v>
      </c>
      <c r="C221" s="9020"/>
      <c r="D221" s="9020"/>
      <c r="E221" s="9020"/>
      <c r="F221" s="9020"/>
      <c r="G221" s="9020"/>
      <c r="H221" s="9020"/>
      <c r="I221" s="9020"/>
      <c r="J221" s="9020"/>
      <c r="K221" s="9020"/>
      <c r="L221" s="9020"/>
      <c r="M221" s="9020"/>
      <c r="N221" s="9020"/>
      <c r="O221" s="9020"/>
      <c r="P221" s="9020"/>
      <c r="Q221" s="9020"/>
      <c r="R221" s="311"/>
      <c r="S221" s="311"/>
      <c r="T221" s="311"/>
      <c r="U221" s="311"/>
      <c r="V221" s="311"/>
      <c r="W221" s="311"/>
      <c r="X221" s="311"/>
      <c r="Y221" s="311"/>
      <c r="Z221" s="311"/>
      <c r="AA221" s="311"/>
      <c r="AB221" s="311"/>
      <c r="AC221" s="311"/>
      <c r="AD221" s="740"/>
      <c r="AE221" s="740"/>
      <c r="AF221" s="740"/>
      <c r="AG221" s="740"/>
      <c r="AH221" s="740"/>
      <c r="AI221" s="740"/>
      <c r="AJ221" s="740"/>
      <c r="AK221" s="740"/>
      <c r="AL221" s="740"/>
      <c r="AM221" s="740"/>
      <c r="AN221" s="740"/>
      <c r="AO221" s="740"/>
      <c r="AP221" s="740"/>
      <c r="AQ221" s="740"/>
      <c r="AR221" s="740"/>
      <c r="AS221" s="740"/>
      <c r="AT221" s="740"/>
      <c r="AU221" s="740"/>
      <c r="AV221" s="740"/>
      <c r="AW221" s="740"/>
      <c r="AX221" s="740"/>
      <c r="AY221" s="740"/>
      <c r="AZ221" s="740"/>
      <c r="BA221" s="740"/>
      <c r="BB221" s="740"/>
      <c r="BC221" s="740"/>
      <c r="BD221" s="740"/>
      <c r="BE221" s="740"/>
      <c r="BF221" s="740"/>
      <c r="BG221" s="740"/>
      <c r="BH221" s="740"/>
      <c r="BI221" s="740"/>
      <c r="BJ221" s="740"/>
      <c r="BK221" s="740"/>
      <c r="BL221" s="740"/>
      <c r="BM221" s="740"/>
      <c r="BN221" s="740"/>
      <c r="BO221" s="740"/>
      <c r="BP221" s="740"/>
      <c r="BQ221" s="740"/>
      <c r="BR221" s="740"/>
      <c r="BS221" s="740"/>
      <c r="BT221" s="740"/>
      <c r="BU221" s="740"/>
      <c r="BV221" s="740"/>
      <c r="BW221" s="740"/>
      <c r="BX221" s="740"/>
      <c r="BY221" s="740"/>
      <c r="BZ221" s="740"/>
      <c r="CA221" s="740"/>
      <c r="CB221" s="740"/>
      <c r="CC221" s="740"/>
      <c r="CD221" s="740"/>
      <c r="CE221" s="740"/>
      <c r="CF221" s="740"/>
      <c r="CG221" s="740"/>
      <c r="CH221" s="740"/>
      <c r="CI221" s="740"/>
      <c r="CJ221" s="740"/>
      <c r="CK221" s="740"/>
      <c r="CL221" s="740"/>
      <c r="CM221" s="740"/>
      <c r="CN221" s="740"/>
      <c r="CO221" s="740"/>
      <c r="CP221" s="740"/>
      <c r="CQ221" s="740"/>
      <c r="CR221" s="740"/>
      <c r="CS221" s="740"/>
      <c r="CT221" s="740"/>
      <c r="CU221" s="740"/>
      <c r="CV221" s="740"/>
      <c r="CW221" s="740"/>
      <c r="CX221" s="740"/>
      <c r="CY221" s="740"/>
      <c r="CZ221" s="740"/>
      <c r="DA221" s="740"/>
      <c r="DB221" s="740"/>
      <c r="DC221" s="740"/>
      <c r="DD221" s="740"/>
      <c r="DE221" s="740"/>
      <c r="DF221" s="740"/>
      <c r="DG221" s="740"/>
      <c r="DH221" s="740"/>
      <c r="DI221" s="740"/>
      <c r="DJ221" s="740"/>
      <c r="DK221" s="740"/>
      <c r="DL221" s="740"/>
      <c r="DM221" s="740"/>
      <c r="DN221" s="740"/>
      <c r="DO221" s="740"/>
      <c r="DP221" s="740"/>
      <c r="DQ221" s="740"/>
      <c r="DR221" s="740"/>
      <c r="DS221" s="740"/>
      <c r="DT221" s="740"/>
      <c r="DU221" s="740"/>
      <c r="DV221" s="740"/>
      <c r="DW221" s="740"/>
      <c r="DX221" s="740"/>
      <c r="DY221" s="740"/>
      <c r="DZ221" s="740"/>
      <c r="EA221" s="740"/>
      <c r="EB221" s="740"/>
      <c r="EC221" s="740"/>
      <c r="ED221" s="740"/>
      <c r="EE221" s="740"/>
      <c r="EF221" s="740"/>
      <c r="EG221" s="740"/>
      <c r="EH221" s="740"/>
      <c r="EI221" s="740"/>
      <c r="EJ221" s="740"/>
      <c r="EK221" s="740"/>
      <c r="EL221" s="740"/>
      <c r="EM221" s="740"/>
      <c r="EN221" s="740"/>
      <c r="EO221" s="740"/>
      <c r="EP221" s="740"/>
      <c r="EQ221" s="740"/>
      <c r="ER221" s="740"/>
      <c r="ES221" s="740"/>
      <c r="ET221" s="740"/>
      <c r="EU221" s="740"/>
      <c r="EV221" s="740"/>
      <c r="EW221" s="740"/>
      <c r="EX221" s="740"/>
      <c r="EY221" s="740"/>
      <c r="EZ221" s="740"/>
      <c r="FA221" s="740"/>
      <c r="FB221" s="740"/>
      <c r="FC221" s="740"/>
      <c r="FD221" s="740"/>
      <c r="FE221" s="740"/>
      <c r="FF221" s="740"/>
      <c r="FG221" s="740"/>
      <c r="FH221" s="740"/>
      <c r="FI221" s="740"/>
      <c r="FJ221" s="740"/>
      <c r="FK221" s="740"/>
      <c r="FL221" s="740"/>
      <c r="FM221" s="740"/>
      <c r="FN221" s="740"/>
      <c r="FO221" s="740"/>
      <c r="FP221" s="740"/>
      <c r="FQ221" s="740"/>
      <c r="FR221" s="740"/>
      <c r="FS221" s="740"/>
      <c r="FT221" s="740"/>
      <c r="FU221" s="740"/>
      <c r="FV221" s="740"/>
      <c r="FW221" s="740"/>
      <c r="FX221" s="740"/>
      <c r="FY221" s="740"/>
      <c r="FZ221" s="740"/>
      <c r="GA221" s="740"/>
      <c r="GB221" s="740"/>
      <c r="GC221" s="740"/>
      <c r="GD221" s="740"/>
      <c r="GE221" s="740"/>
      <c r="GF221" s="740"/>
      <c r="GG221" s="740"/>
      <c r="GH221" s="740"/>
      <c r="GI221" s="740"/>
      <c r="GJ221" s="740"/>
      <c r="GK221" s="740"/>
      <c r="GL221" s="740"/>
      <c r="GM221" s="740"/>
      <c r="GN221" s="740"/>
      <c r="GO221" s="740"/>
      <c r="GP221" s="740"/>
      <c r="GQ221" s="740"/>
      <c r="GR221" s="740"/>
      <c r="GS221" s="740"/>
      <c r="GT221" s="740"/>
      <c r="GU221" s="740"/>
      <c r="GV221" s="740"/>
      <c r="GW221" s="740"/>
      <c r="GX221" s="740"/>
      <c r="GY221" s="740"/>
      <c r="GZ221" s="740"/>
      <c r="HA221" s="740"/>
      <c r="HB221" s="740"/>
      <c r="HC221" s="740"/>
      <c r="HD221" s="740"/>
      <c r="HE221" s="740"/>
      <c r="HF221" s="740"/>
      <c r="HG221" s="740"/>
      <c r="HH221" s="740"/>
      <c r="HI221" s="740"/>
      <c r="HJ221" s="740"/>
      <c r="HK221" s="740"/>
      <c r="HL221" s="740"/>
      <c r="HM221" s="740"/>
      <c r="HN221" s="740"/>
      <c r="HO221" s="740"/>
      <c r="HP221" s="740"/>
      <c r="HQ221" s="740"/>
      <c r="HR221" s="740"/>
      <c r="HS221" s="740"/>
      <c r="HT221" s="740"/>
      <c r="HU221" s="740"/>
      <c r="HV221" s="740"/>
      <c r="HW221" s="740"/>
      <c r="HX221" s="740"/>
      <c r="HY221" s="740"/>
      <c r="HZ221" s="740"/>
      <c r="IA221" s="740"/>
      <c r="IB221" s="740"/>
      <c r="IC221" s="740"/>
      <c r="ID221" s="740"/>
      <c r="IE221" s="740"/>
      <c r="IF221" s="740"/>
      <c r="IG221" s="740"/>
      <c r="IH221" s="740"/>
      <c r="II221" s="740"/>
      <c r="IJ221" s="740"/>
      <c r="IK221" s="740"/>
      <c r="IL221" s="740"/>
      <c r="IM221" s="740"/>
      <c r="IN221" s="740"/>
      <c r="IO221" s="740"/>
      <c r="IP221" s="740"/>
      <c r="IQ221" s="740"/>
      <c r="IR221" s="740"/>
      <c r="IS221" s="740"/>
      <c r="IT221" s="740"/>
      <c r="IU221" s="740"/>
      <c r="IV221" s="740"/>
      <c r="IW221" s="740"/>
      <c r="IX221" s="740"/>
      <c r="IY221" s="740"/>
      <c r="IZ221" s="740"/>
      <c r="JA221" s="740"/>
      <c r="JB221" s="740"/>
      <c r="JC221" s="740"/>
      <c r="JD221" s="740"/>
      <c r="JE221" s="740"/>
      <c r="JF221" s="740"/>
      <c r="JG221" s="740"/>
      <c r="JH221" s="740"/>
      <c r="JI221" s="740"/>
      <c r="JJ221" s="740"/>
      <c r="JK221" s="740"/>
      <c r="JL221" s="740"/>
      <c r="JM221" s="740"/>
      <c r="JN221" s="740"/>
      <c r="JO221" s="740"/>
      <c r="JP221" s="740"/>
      <c r="JQ221" s="740"/>
      <c r="JR221" s="740"/>
      <c r="JS221" s="740"/>
      <c r="JT221" s="740"/>
      <c r="JU221" s="740"/>
      <c r="JV221" s="740"/>
      <c r="JW221" s="740"/>
      <c r="JX221" s="740"/>
      <c r="JY221" s="740"/>
      <c r="JZ221" s="740"/>
      <c r="KA221" s="740"/>
      <c r="KB221" s="740"/>
      <c r="KC221" s="740"/>
      <c r="KD221" s="740"/>
      <c r="KE221" s="740"/>
      <c r="KF221" s="740"/>
      <c r="KG221" s="740"/>
      <c r="KH221" s="740"/>
      <c r="KI221" s="740"/>
      <c r="KJ221" s="740"/>
      <c r="KK221" s="740"/>
      <c r="KL221" s="740"/>
      <c r="KM221" s="740"/>
      <c r="KN221" s="740"/>
      <c r="KO221" s="740"/>
      <c r="KP221" s="740"/>
      <c r="KQ221" s="740"/>
      <c r="KR221" s="740"/>
      <c r="KS221" s="740"/>
      <c r="KT221" s="740"/>
      <c r="KU221" s="740"/>
      <c r="KV221" s="740"/>
      <c r="KW221" s="740"/>
      <c r="KX221" s="740"/>
      <c r="KY221" s="740"/>
      <c r="KZ221" s="740"/>
      <c r="LA221" s="740"/>
      <c r="LB221" s="740"/>
      <c r="LC221" s="740"/>
      <c r="LD221" s="740"/>
      <c r="LE221" s="740"/>
      <c r="LF221" s="740"/>
      <c r="LG221" s="740"/>
      <c r="LH221" s="740"/>
      <c r="LI221" s="740"/>
      <c r="LJ221" s="740"/>
      <c r="LK221" s="740"/>
      <c r="LL221" s="740"/>
      <c r="LM221" s="740"/>
      <c r="LN221" s="740"/>
      <c r="LO221" s="740"/>
      <c r="LP221" s="740"/>
      <c r="LQ221" s="740"/>
      <c r="LR221" s="740"/>
      <c r="LS221" s="740"/>
      <c r="LT221" s="740"/>
      <c r="LU221" s="740"/>
      <c r="LV221" s="740"/>
      <c r="LW221" s="740"/>
      <c r="LX221" s="740"/>
      <c r="LY221" s="740"/>
      <c r="LZ221" s="740"/>
      <c r="MA221" s="740"/>
      <c r="MB221" s="740"/>
      <c r="MC221" s="740"/>
      <c r="MD221" s="740"/>
      <c r="ME221" s="740"/>
      <c r="MF221" s="740"/>
      <c r="MG221" s="740"/>
      <c r="MH221" s="740"/>
      <c r="MI221" s="740"/>
      <c r="MJ221" s="740"/>
      <c r="MK221" s="740"/>
      <c r="ML221" s="740"/>
      <c r="MM221" s="740"/>
      <c r="MN221" s="740"/>
      <c r="MO221" s="740"/>
      <c r="MP221" s="740"/>
      <c r="MQ221" s="740"/>
      <c r="MR221" s="740"/>
      <c r="MS221" s="740"/>
      <c r="MT221" s="740"/>
      <c r="MU221" s="740"/>
      <c r="MV221" s="740"/>
      <c r="MW221" s="740"/>
      <c r="MX221" s="740"/>
      <c r="MY221" s="740"/>
      <c r="MZ221" s="740"/>
      <c r="NA221" s="740"/>
      <c r="NB221" s="740"/>
      <c r="NC221" s="740"/>
      <c r="ND221" s="740"/>
      <c r="NE221" s="740"/>
      <c r="NF221" s="740"/>
      <c r="NG221" s="740"/>
      <c r="NH221" s="740"/>
      <c r="NI221" s="740"/>
      <c r="NJ221" s="740"/>
      <c r="NK221" s="740"/>
      <c r="NL221" s="740"/>
      <c r="NM221" s="740"/>
      <c r="NN221" s="740"/>
      <c r="NO221" s="740"/>
      <c r="NP221" s="740"/>
      <c r="NQ221" s="740"/>
      <c r="NR221" s="740"/>
      <c r="NS221" s="740"/>
      <c r="NT221" s="740"/>
      <c r="NU221" s="740"/>
      <c r="NV221" s="740"/>
      <c r="NW221" s="740"/>
      <c r="NX221" s="740"/>
      <c r="NY221" s="740"/>
      <c r="NZ221" s="740"/>
      <c r="OA221" s="740"/>
      <c r="OB221" s="740"/>
      <c r="OC221" s="740"/>
      <c r="OD221" s="740"/>
      <c r="OE221" s="740"/>
      <c r="OF221" s="740"/>
      <c r="OG221" s="740"/>
      <c r="OH221" s="740"/>
      <c r="OI221" s="740"/>
      <c r="OJ221" s="740"/>
      <c r="OK221" s="740"/>
      <c r="OL221" s="740"/>
      <c r="OM221" s="740"/>
      <c r="ON221" s="740"/>
      <c r="OO221" s="740"/>
      <c r="OP221" s="740"/>
      <c r="OQ221" s="740"/>
      <c r="OR221" s="740"/>
      <c r="OS221" s="740"/>
      <c r="OT221" s="740"/>
      <c r="OU221" s="740"/>
      <c r="OV221" s="740"/>
      <c r="OW221" s="740"/>
      <c r="OX221" s="740"/>
      <c r="OY221" s="740"/>
      <c r="OZ221" s="740"/>
      <c r="PA221" s="740"/>
      <c r="PB221" s="740"/>
      <c r="PC221" s="740"/>
      <c r="PD221" s="740"/>
      <c r="PE221" s="740"/>
      <c r="PF221" s="740"/>
      <c r="PG221" s="740"/>
      <c r="PH221" s="740"/>
      <c r="PI221" s="740"/>
      <c r="PJ221" s="740"/>
      <c r="PK221" s="740"/>
      <c r="PL221" s="740"/>
      <c r="PM221" s="740"/>
      <c r="PN221" s="740"/>
      <c r="PO221" s="740"/>
      <c r="PP221" s="740"/>
      <c r="PQ221" s="740"/>
      <c r="PR221" s="740"/>
      <c r="PS221" s="740"/>
      <c r="PT221" s="740"/>
      <c r="PU221" s="740"/>
      <c r="PV221" s="740"/>
      <c r="PW221" s="740"/>
      <c r="PX221" s="740"/>
      <c r="PY221" s="740"/>
      <c r="PZ221" s="740"/>
      <c r="QA221" s="740"/>
      <c r="QB221" s="740"/>
      <c r="QC221" s="740"/>
      <c r="QD221" s="740"/>
      <c r="QE221" s="740"/>
      <c r="QF221" s="740"/>
      <c r="QG221" s="740"/>
      <c r="QH221" s="740"/>
      <c r="QI221" s="740"/>
      <c r="QJ221" s="740"/>
      <c r="QK221" s="740"/>
      <c r="QL221" s="740"/>
      <c r="QM221" s="740"/>
      <c r="QN221" s="740"/>
      <c r="QO221" s="740"/>
      <c r="QP221" s="740"/>
      <c r="QQ221" s="740"/>
      <c r="QR221" s="740"/>
      <c r="QS221" s="740"/>
      <c r="QT221" s="740"/>
      <c r="QU221" s="740"/>
      <c r="QV221" s="740"/>
      <c r="QW221" s="740"/>
      <c r="QX221" s="740"/>
      <c r="QY221" s="740"/>
      <c r="QZ221" s="740"/>
      <c r="RA221" s="740"/>
      <c r="RB221" s="740"/>
      <c r="RC221" s="740"/>
      <c r="RD221" s="740"/>
      <c r="RE221" s="740"/>
      <c r="RF221" s="740"/>
      <c r="RG221" s="740"/>
      <c r="RH221" s="740"/>
      <c r="RI221" s="740"/>
      <c r="RJ221" s="740"/>
      <c r="RK221" s="740"/>
      <c r="RL221" s="740"/>
      <c r="RM221" s="740"/>
      <c r="RN221" s="740"/>
      <c r="RO221" s="740"/>
      <c r="RP221" s="740"/>
      <c r="RQ221" s="740"/>
      <c r="RR221" s="740"/>
      <c r="RS221" s="740"/>
      <c r="RT221" s="740"/>
      <c r="RU221" s="740"/>
      <c r="RV221" s="740"/>
      <c r="RW221" s="740"/>
      <c r="RX221" s="740"/>
      <c r="RY221" s="740"/>
      <c r="RZ221" s="740"/>
      <c r="SA221" s="740"/>
      <c r="SB221" s="740"/>
      <c r="SC221" s="740"/>
      <c r="SD221" s="740"/>
      <c r="SE221" s="740"/>
      <c r="SF221" s="740"/>
      <c r="SG221" s="740"/>
      <c r="SH221" s="740"/>
      <c r="SI221" s="740"/>
      <c r="SJ221" s="740"/>
      <c r="SK221" s="740"/>
      <c r="SL221" s="740"/>
      <c r="SM221" s="740"/>
      <c r="SN221" s="740"/>
      <c r="SO221" s="740"/>
      <c r="SP221" s="740"/>
      <c r="SQ221" s="740"/>
      <c r="SR221" s="740"/>
      <c r="SS221" s="740"/>
      <c r="ST221" s="740"/>
      <c r="SU221" s="740"/>
      <c r="SV221" s="740"/>
      <c r="SW221" s="740"/>
      <c r="SX221" s="740"/>
      <c r="SY221" s="740"/>
      <c r="SZ221" s="740"/>
      <c r="TA221" s="740"/>
      <c r="TB221" s="740"/>
      <c r="TC221" s="740"/>
      <c r="TD221" s="740"/>
      <c r="TE221" s="740"/>
      <c r="TF221" s="740"/>
      <c r="TG221" s="740"/>
      <c r="TH221" s="740"/>
      <c r="TI221" s="740"/>
      <c r="TJ221" s="740"/>
      <c r="TK221" s="740"/>
      <c r="TL221" s="740"/>
      <c r="TM221" s="740"/>
      <c r="TN221" s="740"/>
      <c r="TO221" s="740"/>
      <c r="TP221" s="740"/>
      <c r="TQ221" s="740"/>
      <c r="TR221" s="740"/>
      <c r="TS221" s="740"/>
      <c r="TT221" s="740"/>
      <c r="TU221" s="740"/>
      <c r="TV221" s="740"/>
      <c r="TW221" s="740"/>
      <c r="TX221" s="740"/>
      <c r="TY221" s="740"/>
      <c r="TZ221" s="740"/>
      <c r="UA221" s="740"/>
      <c r="UB221" s="740"/>
      <c r="UC221" s="740"/>
      <c r="UD221" s="740"/>
      <c r="UE221" s="740"/>
      <c r="UF221" s="740"/>
      <c r="UG221" s="740"/>
      <c r="UH221" s="740"/>
      <c r="UI221" s="740"/>
      <c r="UJ221" s="740"/>
      <c r="UK221" s="740"/>
      <c r="UL221" s="740"/>
      <c r="UM221" s="740"/>
      <c r="UN221" s="740"/>
      <c r="UO221" s="740"/>
      <c r="UP221" s="740"/>
      <c r="UQ221" s="740"/>
      <c r="UR221" s="740"/>
      <c r="US221" s="740"/>
      <c r="UT221" s="740"/>
      <c r="UU221" s="740"/>
      <c r="UV221" s="740"/>
      <c r="UW221" s="740"/>
      <c r="UX221" s="740"/>
      <c r="UY221" s="740"/>
      <c r="UZ221" s="740"/>
      <c r="VA221" s="740"/>
      <c r="VB221" s="740"/>
      <c r="VC221" s="740"/>
      <c r="VD221" s="740"/>
      <c r="VE221" s="740"/>
      <c r="VF221" s="740"/>
      <c r="VG221" s="740"/>
      <c r="VH221" s="740"/>
      <c r="VI221" s="740"/>
      <c r="VJ221" s="740"/>
      <c r="VK221" s="740"/>
      <c r="VL221" s="740"/>
      <c r="VM221" s="740"/>
      <c r="VN221" s="740"/>
      <c r="VO221" s="740"/>
      <c r="VP221" s="740"/>
      <c r="VQ221" s="740"/>
      <c r="VR221" s="740"/>
      <c r="VS221" s="740"/>
      <c r="VT221" s="740"/>
      <c r="VU221" s="740"/>
      <c r="VV221" s="740"/>
      <c r="VW221" s="740"/>
      <c r="VX221" s="740"/>
      <c r="VY221" s="740"/>
      <c r="VZ221" s="740"/>
      <c r="WA221" s="740"/>
      <c r="WB221" s="740"/>
      <c r="WC221" s="740"/>
      <c r="WD221" s="740"/>
      <c r="WE221" s="740"/>
      <c r="WF221" s="740"/>
      <c r="WG221" s="740"/>
      <c r="WH221" s="740"/>
      <c r="WI221" s="740"/>
      <c r="WJ221" s="740"/>
      <c r="WK221" s="740"/>
      <c r="WL221" s="740"/>
      <c r="WM221" s="740"/>
      <c r="WN221" s="740"/>
      <c r="WO221" s="740"/>
      <c r="WP221" s="740"/>
      <c r="WQ221" s="740"/>
      <c r="WR221" s="740"/>
      <c r="WS221" s="740"/>
      <c r="WT221" s="740"/>
      <c r="WU221" s="740"/>
      <c r="WV221" s="740"/>
      <c r="WW221" s="740"/>
      <c r="WX221" s="740"/>
      <c r="WY221" s="740"/>
      <c r="WZ221" s="740"/>
      <c r="XA221" s="740"/>
      <c r="XB221" s="740"/>
      <c r="XC221" s="740"/>
      <c r="XD221" s="740"/>
      <c r="XE221" s="740"/>
      <c r="XF221" s="740"/>
      <c r="XG221" s="740"/>
      <c r="XH221" s="740"/>
      <c r="XI221" s="740"/>
      <c r="XJ221" s="740"/>
      <c r="XK221" s="740"/>
      <c r="XL221" s="740"/>
      <c r="XM221" s="740"/>
      <c r="XN221" s="740"/>
      <c r="XO221" s="740"/>
      <c r="XP221" s="740"/>
      <c r="XQ221" s="740"/>
      <c r="XR221" s="740"/>
      <c r="XS221" s="740"/>
      <c r="XT221" s="740"/>
      <c r="XU221" s="740"/>
      <c r="XV221" s="740"/>
      <c r="XW221" s="740"/>
      <c r="XX221" s="740"/>
      <c r="XY221" s="740"/>
      <c r="XZ221" s="740"/>
      <c r="YA221" s="740"/>
      <c r="YB221" s="740"/>
      <c r="YC221" s="740"/>
      <c r="YD221" s="740"/>
      <c r="YE221" s="740"/>
      <c r="YF221" s="740"/>
      <c r="YG221" s="740"/>
      <c r="YH221" s="740"/>
      <c r="YI221" s="740"/>
      <c r="YJ221" s="740"/>
      <c r="YK221" s="740"/>
      <c r="YL221" s="740"/>
      <c r="YM221" s="740"/>
      <c r="YN221" s="740"/>
      <c r="YO221" s="740"/>
      <c r="YP221" s="740"/>
      <c r="YQ221" s="740"/>
      <c r="YR221" s="740"/>
      <c r="YS221" s="740"/>
      <c r="YT221" s="740"/>
      <c r="YU221" s="740"/>
      <c r="YV221" s="740"/>
      <c r="YW221" s="740"/>
      <c r="YX221" s="740"/>
      <c r="YY221" s="740"/>
      <c r="YZ221" s="740"/>
      <c r="ZA221" s="740"/>
      <c r="ZB221" s="740"/>
      <c r="ZC221" s="740"/>
      <c r="ZD221" s="740"/>
      <c r="ZE221" s="740"/>
      <c r="ZF221" s="740"/>
      <c r="ZG221" s="740"/>
      <c r="ZH221" s="740"/>
      <c r="ZI221" s="740"/>
      <c r="ZJ221" s="740"/>
      <c r="ZK221" s="740"/>
      <c r="ZL221" s="740"/>
      <c r="ZM221" s="740"/>
      <c r="ZN221" s="740"/>
      <c r="ZO221" s="740"/>
      <c r="ZP221" s="740"/>
      <c r="ZQ221" s="740"/>
      <c r="ZR221" s="740"/>
      <c r="ZS221" s="740"/>
      <c r="ZT221" s="740"/>
      <c r="ZU221" s="740"/>
      <c r="ZV221" s="740"/>
      <c r="ZW221" s="740"/>
      <c r="ZX221" s="740"/>
      <c r="ZY221" s="740"/>
      <c r="ZZ221" s="740"/>
      <c r="AAA221" s="740"/>
      <c r="AAB221" s="740"/>
      <c r="AAC221" s="740"/>
      <c r="AAD221" s="740"/>
      <c r="AAE221" s="740"/>
      <c r="AAF221" s="740"/>
      <c r="AAG221" s="740"/>
      <c r="AAH221" s="740"/>
      <c r="AAI221" s="740"/>
      <c r="AAJ221" s="740"/>
      <c r="AAK221" s="740"/>
      <c r="AAL221" s="740"/>
      <c r="AAM221" s="740"/>
      <c r="AAN221" s="740"/>
      <c r="AAO221" s="740"/>
      <c r="AAP221" s="740"/>
      <c r="AAQ221" s="740"/>
      <c r="AAR221" s="740"/>
      <c r="AAS221" s="740"/>
      <c r="AAT221" s="740"/>
      <c r="AAU221" s="740"/>
      <c r="AAV221" s="740"/>
      <c r="AAW221" s="740"/>
      <c r="AAX221" s="740"/>
      <c r="AAY221" s="740"/>
      <c r="AAZ221" s="740"/>
      <c r="ABA221" s="740"/>
      <c r="ABB221" s="740"/>
      <c r="ABC221" s="740"/>
      <c r="ABD221" s="740"/>
      <c r="ABE221" s="740"/>
      <c r="ABF221" s="740"/>
      <c r="ABG221" s="740"/>
      <c r="ABH221" s="740"/>
      <c r="ABI221" s="740"/>
      <c r="ABJ221" s="740"/>
      <c r="ABK221" s="740"/>
      <c r="ABL221" s="740"/>
      <c r="ABM221" s="740"/>
      <c r="ABN221" s="740"/>
      <c r="ABO221" s="740"/>
      <c r="ABP221" s="740"/>
      <c r="ABQ221" s="740"/>
      <c r="ABR221" s="740"/>
      <c r="ABS221" s="740"/>
      <c r="ABT221" s="740"/>
      <c r="ABU221" s="740"/>
      <c r="ABV221" s="740"/>
      <c r="ABW221" s="740"/>
      <c r="ABX221" s="740"/>
      <c r="ABY221" s="740"/>
      <c r="ABZ221" s="740"/>
      <c r="ACA221" s="740"/>
      <c r="ACB221" s="740"/>
      <c r="ACC221" s="740"/>
      <c r="ACD221" s="740"/>
      <c r="ACE221" s="740"/>
      <c r="ACF221" s="740"/>
      <c r="ACG221" s="740"/>
      <c r="ACH221" s="740"/>
      <c r="ACI221" s="740"/>
      <c r="ACJ221" s="740"/>
      <c r="ACK221" s="740"/>
      <c r="ACL221" s="740"/>
      <c r="ACM221" s="740"/>
      <c r="ACN221" s="740"/>
      <c r="ACO221" s="740"/>
      <c r="ACP221" s="740"/>
      <c r="ACQ221" s="740"/>
      <c r="ACR221" s="740"/>
      <c r="ACS221" s="740"/>
      <c r="ACT221" s="740"/>
      <c r="ACU221" s="740"/>
      <c r="ACV221" s="740"/>
      <c r="ACW221" s="740"/>
      <c r="ACX221" s="740"/>
      <c r="ACY221" s="740"/>
      <c r="ACZ221" s="740"/>
      <c r="ADA221" s="740"/>
      <c r="ADB221" s="740"/>
      <c r="ADC221" s="740"/>
      <c r="ADD221" s="740"/>
      <c r="ADE221" s="740"/>
      <c r="ADF221" s="740"/>
      <c r="ADG221" s="740"/>
      <c r="ADH221" s="740"/>
      <c r="ADI221" s="740"/>
      <c r="ADJ221" s="740"/>
      <c r="ADK221" s="740"/>
      <c r="ADL221" s="740"/>
      <c r="ADM221" s="740"/>
      <c r="ADN221" s="740"/>
      <c r="ADO221" s="740"/>
      <c r="ADP221" s="740"/>
      <c r="ADQ221" s="740"/>
      <c r="ADR221" s="740"/>
      <c r="ADS221" s="740"/>
      <c r="ADT221" s="740"/>
      <c r="ADU221" s="740"/>
      <c r="ADV221" s="740"/>
      <c r="ADW221" s="740"/>
      <c r="ADX221" s="740"/>
      <c r="ADY221" s="740"/>
      <c r="ADZ221" s="740"/>
      <c r="AEA221" s="740"/>
      <c r="AEB221" s="740"/>
      <c r="AEC221" s="740"/>
      <c r="AED221" s="740"/>
      <c r="AEE221" s="740"/>
      <c r="AEF221" s="740"/>
      <c r="AEG221" s="740"/>
      <c r="AEH221" s="740"/>
      <c r="AEI221" s="740"/>
      <c r="AEJ221" s="740"/>
      <c r="AEK221" s="740"/>
      <c r="AEL221" s="740"/>
      <c r="AEM221" s="740"/>
      <c r="AEN221" s="740"/>
      <c r="AEO221" s="740"/>
      <c r="AEP221" s="740"/>
      <c r="AEQ221" s="740"/>
      <c r="AER221" s="740"/>
      <c r="AES221" s="740"/>
      <c r="AET221" s="740"/>
      <c r="AEU221" s="740"/>
      <c r="AEV221" s="740"/>
      <c r="AEW221" s="740"/>
      <c r="AEX221" s="740"/>
      <c r="AEY221" s="740"/>
      <c r="AEZ221" s="740"/>
      <c r="AFA221" s="740"/>
      <c r="AFB221" s="740"/>
      <c r="AFC221" s="740"/>
      <c r="AFD221" s="740"/>
      <c r="AFE221" s="740"/>
      <c r="AFF221" s="740"/>
      <c r="AFG221" s="740"/>
      <c r="AFH221" s="740"/>
      <c r="AFI221" s="740"/>
      <c r="AFJ221" s="740"/>
      <c r="AFK221" s="740"/>
      <c r="AFL221" s="740"/>
      <c r="AFM221" s="740"/>
      <c r="AFN221" s="740"/>
      <c r="AFO221" s="740"/>
      <c r="AFP221" s="740"/>
      <c r="AFQ221" s="740"/>
      <c r="AFR221" s="740"/>
      <c r="AFS221" s="740"/>
      <c r="AFT221" s="740"/>
      <c r="AFU221" s="740"/>
      <c r="AFV221" s="740"/>
      <c r="AFW221" s="740"/>
      <c r="AFX221" s="740"/>
      <c r="AFY221" s="740"/>
      <c r="AFZ221" s="740"/>
      <c r="AGA221" s="740"/>
      <c r="AGB221" s="740"/>
      <c r="AGC221" s="740"/>
      <c r="AGD221" s="740"/>
      <c r="AGE221" s="740"/>
      <c r="AGF221" s="740"/>
      <c r="AGG221" s="740"/>
      <c r="AGH221" s="740"/>
      <c r="AGI221" s="740"/>
      <c r="AGJ221" s="740"/>
      <c r="AGK221" s="740"/>
      <c r="AGL221" s="740"/>
      <c r="AGM221" s="740"/>
      <c r="AGN221" s="740"/>
      <c r="AGO221" s="740"/>
      <c r="AGP221" s="740"/>
      <c r="AGQ221" s="740"/>
      <c r="AGR221" s="740"/>
      <c r="AGS221" s="740"/>
      <c r="AGT221" s="740"/>
      <c r="AGU221" s="740"/>
      <c r="AGV221" s="740"/>
      <c r="AGW221" s="740"/>
      <c r="AGX221" s="740"/>
      <c r="AGY221" s="740"/>
      <c r="AGZ221" s="740"/>
      <c r="AHA221" s="740"/>
      <c r="AHB221" s="740"/>
      <c r="AHC221" s="740"/>
      <c r="AHD221" s="740"/>
      <c r="AHE221" s="740"/>
      <c r="AHF221" s="740"/>
      <c r="AHG221" s="740"/>
      <c r="AHH221" s="740"/>
      <c r="AHI221" s="740"/>
      <c r="AHJ221" s="740"/>
      <c r="AHK221" s="740"/>
      <c r="AHL221" s="740"/>
      <c r="AHM221" s="740"/>
      <c r="AHN221" s="740"/>
      <c r="AHO221" s="740"/>
      <c r="AHP221" s="740"/>
      <c r="AHQ221" s="740"/>
      <c r="AHR221" s="740"/>
      <c r="AHS221" s="740"/>
      <c r="AHT221" s="740"/>
      <c r="AHU221" s="740"/>
      <c r="AHV221" s="740"/>
      <c r="AHW221" s="740"/>
      <c r="AHX221" s="740"/>
      <c r="AHY221" s="740"/>
      <c r="AHZ221" s="740"/>
      <c r="AIA221" s="740"/>
      <c r="AIB221" s="740"/>
      <c r="AIC221" s="740"/>
      <c r="AID221" s="740"/>
      <c r="AIE221" s="740"/>
      <c r="AIF221" s="740"/>
      <c r="AIG221" s="740"/>
      <c r="AIH221" s="740"/>
      <c r="AII221" s="740"/>
      <c r="AIJ221" s="740"/>
      <c r="AIK221" s="740"/>
      <c r="AIL221" s="740"/>
      <c r="AIM221" s="740"/>
      <c r="AIN221" s="740"/>
      <c r="AIO221" s="740"/>
      <c r="AIP221" s="740"/>
      <c r="AIQ221" s="740"/>
      <c r="AIR221" s="740"/>
      <c r="AIS221" s="740"/>
      <c r="AIT221" s="740"/>
      <c r="AIU221" s="740"/>
      <c r="AIV221" s="740"/>
      <c r="AIW221" s="740"/>
      <c r="AIX221" s="740"/>
      <c r="AIY221" s="740"/>
      <c r="AIZ221" s="740"/>
      <c r="AJA221" s="740"/>
      <c r="AJB221" s="740"/>
      <c r="AJC221" s="740"/>
      <c r="AJD221" s="740"/>
      <c r="AJE221" s="740"/>
      <c r="AJF221" s="740"/>
      <c r="AJG221" s="740"/>
      <c r="AJH221" s="740"/>
      <c r="AJI221" s="740"/>
      <c r="AJJ221" s="740"/>
      <c r="AJK221" s="740"/>
      <c r="AJL221" s="740"/>
      <c r="AJM221" s="740"/>
      <c r="AJN221" s="740"/>
      <c r="AJO221" s="740"/>
      <c r="AJP221" s="740"/>
      <c r="AJQ221" s="740"/>
      <c r="AJR221" s="740"/>
      <c r="AJS221" s="740"/>
      <c r="AJT221" s="740"/>
      <c r="AJU221" s="740"/>
      <c r="AJV221" s="740"/>
      <c r="AJW221" s="740"/>
      <c r="AJX221" s="740"/>
      <c r="AJY221" s="740"/>
      <c r="AJZ221" s="740"/>
      <c r="AKA221" s="740"/>
      <c r="AKB221" s="740"/>
      <c r="AKC221" s="740"/>
      <c r="AKD221" s="740"/>
      <c r="AKE221" s="740"/>
      <c r="AKF221" s="740"/>
      <c r="AKG221" s="740"/>
      <c r="AKH221" s="740"/>
      <c r="AKI221" s="740"/>
      <c r="AKJ221" s="740"/>
      <c r="AKK221" s="740"/>
      <c r="AKL221" s="740"/>
      <c r="AKM221" s="740"/>
      <c r="AKN221" s="740"/>
      <c r="AKO221" s="740"/>
      <c r="AKP221" s="740"/>
      <c r="AKQ221" s="740"/>
      <c r="AKR221" s="740"/>
      <c r="AKS221" s="740"/>
      <c r="AKT221" s="740"/>
      <c r="AKU221" s="740"/>
      <c r="AKV221" s="740"/>
      <c r="AKW221" s="740"/>
      <c r="AKX221" s="740"/>
      <c r="AKY221" s="740"/>
      <c r="AKZ221" s="740"/>
      <c r="ALA221" s="740"/>
      <c r="ALB221" s="740"/>
      <c r="ALC221" s="740"/>
      <c r="ALD221" s="740"/>
      <c r="ALE221" s="740"/>
      <c r="ALF221" s="740"/>
      <c r="ALG221" s="740"/>
      <c r="ALH221" s="740"/>
      <c r="ALI221" s="740"/>
      <c r="ALJ221" s="740"/>
      <c r="ALK221" s="740"/>
      <c r="ALL221" s="740"/>
      <c r="ALM221" s="740"/>
      <c r="ALN221" s="740"/>
      <c r="ALO221" s="740"/>
      <c r="ALP221" s="740"/>
      <c r="ALQ221" s="740"/>
      <c r="ALR221" s="740"/>
      <c r="ALS221" s="740"/>
      <c r="ALT221" s="740"/>
      <c r="ALU221" s="740"/>
      <c r="ALV221" s="740"/>
      <c r="ALW221" s="740"/>
      <c r="ALX221" s="740"/>
      <c r="ALY221" s="740"/>
      <c r="ALZ221" s="740"/>
      <c r="AMA221" s="740"/>
      <c r="AMB221" s="740"/>
      <c r="AMC221" s="740"/>
      <c r="AMD221" s="740"/>
      <c r="AME221" s="740"/>
      <c r="AMF221" s="740"/>
      <c r="AMG221" s="740"/>
      <c r="AMH221" s="740"/>
      <c r="AMI221" s="740"/>
      <c r="AMJ221" s="740"/>
      <c r="AMK221" s="740"/>
      <c r="AML221" s="740"/>
      <c r="AMM221" s="740"/>
      <c r="AMN221" s="740"/>
      <c r="AMO221" s="740"/>
      <c r="AMP221" s="740"/>
      <c r="AMQ221" s="740"/>
      <c r="AMR221" s="740"/>
      <c r="AMS221" s="740"/>
      <c r="AMT221" s="740"/>
      <c r="AMU221" s="740"/>
      <c r="AMV221" s="740"/>
      <c r="AMW221" s="740"/>
      <c r="AMX221" s="740"/>
      <c r="AMY221" s="740"/>
      <c r="AMZ221" s="740"/>
      <c r="ANA221" s="740"/>
      <c r="ANB221" s="740"/>
      <c r="ANC221" s="740"/>
      <c r="AND221" s="740"/>
      <c r="ANE221" s="740"/>
      <c r="ANF221" s="740"/>
      <c r="ANG221" s="740"/>
      <c r="ANH221" s="740"/>
      <c r="ANI221" s="740"/>
      <c r="ANJ221" s="740"/>
      <c r="ANK221" s="740"/>
      <c r="ANL221" s="740"/>
      <c r="ANM221" s="740"/>
      <c r="ANN221" s="740"/>
      <c r="ANO221" s="740"/>
      <c r="ANP221" s="740"/>
      <c r="ANQ221" s="740"/>
      <c r="ANR221" s="740"/>
      <c r="ANS221" s="740"/>
      <c r="ANT221" s="740"/>
      <c r="ANU221" s="740"/>
      <c r="ANV221" s="740"/>
      <c r="ANW221" s="740"/>
      <c r="ANX221" s="740"/>
      <c r="ANY221" s="740"/>
      <c r="ANZ221" s="740"/>
      <c r="AOA221" s="740"/>
      <c r="AOB221" s="740"/>
      <c r="AOC221" s="740"/>
      <c r="AOD221" s="740"/>
      <c r="AOE221" s="740"/>
      <c r="AOF221" s="740"/>
      <c r="AOG221" s="740"/>
      <c r="AOH221" s="740"/>
      <c r="AOI221" s="740"/>
      <c r="AOJ221" s="740"/>
      <c r="AOK221" s="740"/>
      <c r="AOL221" s="740"/>
      <c r="AOM221" s="740"/>
      <c r="AON221" s="740"/>
      <c r="AOO221" s="740"/>
      <c r="AOP221" s="740"/>
      <c r="AOQ221" s="740"/>
      <c r="AOR221" s="740"/>
      <c r="AOS221" s="740"/>
      <c r="AOT221" s="740"/>
      <c r="AOU221" s="740"/>
      <c r="AOV221" s="740"/>
      <c r="AOW221" s="740"/>
      <c r="AOX221" s="740"/>
      <c r="AOY221" s="740"/>
      <c r="AOZ221" s="740"/>
      <c r="APA221" s="740"/>
      <c r="APB221" s="740"/>
      <c r="APC221" s="740"/>
      <c r="APD221" s="740"/>
      <c r="APE221" s="740"/>
      <c r="APF221" s="740"/>
      <c r="APG221" s="740"/>
      <c r="APH221" s="740"/>
      <c r="API221" s="740"/>
      <c r="APJ221" s="740"/>
      <c r="APK221" s="740"/>
      <c r="APL221" s="740"/>
      <c r="APM221" s="740"/>
      <c r="APN221" s="740"/>
      <c r="APO221" s="740"/>
      <c r="APP221" s="740"/>
      <c r="APQ221" s="740"/>
      <c r="APR221" s="740"/>
      <c r="APS221" s="740"/>
      <c r="APT221" s="740"/>
      <c r="APU221" s="740"/>
      <c r="APV221" s="740"/>
      <c r="APW221" s="740"/>
      <c r="APX221" s="740"/>
      <c r="APY221" s="740"/>
      <c r="APZ221" s="740"/>
      <c r="AQA221" s="740"/>
      <c r="AQB221" s="740"/>
      <c r="AQC221" s="740"/>
      <c r="AQD221" s="740"/>
      <c r="AQE221" s="740"/>
      <c r="AQF221" s="740"/>
      <c r="AQG221" s="740"/>
      <c r="AQH221" s="740"/>
      <c r="AQI221" s="740"/>
      <c r="AQJ221" s="740"/>
      <c r="AQK221" s="740"/>
      <c r="AQL221" s="740"/>
      <c r="AQM221" s="740"/>
      <c r="AQN221" s="740"/>
      <c r="AQO221" s="740"/>
      <c r="AQP221" s="740"/>
      <c r="AQQ221" s="740"/>
      <c r="AQR221" s="740"/>
      <c r="AQS221" s="740"/>
      <c r="AQT221" s="740"/>
      <c r="AQU221" s="740"/>
      <c r="AQV221" s="740"/>
      <c r="AQW221" s="740"/>
      <c r="AQX221" s="740"/>
      <c r="AQY221" s="740"/>
      <c r="AQZ221" s="740"/>
      <c r="ARA221" s="740"/>
      <c r="ARB221" s="740"/>
      <c r="ARC221" s="740"/>
      <c r="ARD221" s="740"/>
      <c r="ARE221" s="740"/>
      <c r="ARF221" s="740"/>
      <c r="ARG221" s="740"/>
      <c r="ARH221" s="740"/>
      <c r="ARI221" s="740"/>
      <c r="ARJ221" s="740"/>
      <c r="ARK221" s="740"/>
      <c r="ARL221" s="740"/>
      <c r="ARM221" s="740"/>
      <c r="ARN221" s="740"/>
      <c r="ARO221" s="740"/>
      <c r="ARP221" s="740"/>
      <c r="ARQ221" s="740"/>
      <c r="ARR221" s="740"/>
      <c r="ARS221" s="740"/>
      <c r="ART221" s="740"/>
      <c r="ARU221" s="740"/>
      <c r="ARV221" s="740"/>
      <c r="ARW221" s="740"/>
      <c r="ARX221" s="740"/>
      <c r="ARY221" s="740"/>
      <c r="ARZ221" s="740"/>
      <c r="ASA221" s="740"/>
      <c r="ASB221" s="740"/>
      <c r="ASC221" s="740"/>
      <c r="ASD221" s="740"/>
      <c r="ASE221" s="740"/>
      <c r="ASF221" s="740"/>
      <c r="ASG221" s="740"/>
      <c r="ASH221" s="740"/>
      <c r="ASI221" s="740"/>
      <c r="ASJ221" s="740"/>
      <c r="ASK221" s="740"/>
      <c r="ASL221" s="740"/>
      <c r="ASM221" s="740"/>
      <c r="ASN221" s="740"/>
      <c r="ASO221" s="740"/>
      <c r="ASP221" s="740"/>
      <c r="ASQ221" s="740"/>
      <c r="ASR221" s="740"/>
      <c r="ASS221" s="740"/>
      <c r="AST221" s="740"/>
      <c r="ASU221" s="740"/>
      <c r="ASV221" s="740"/>
      <c r="ASW221" s="740"/>
      <c r="ASX221" s="740"/>
      <c r="ASY221" s="740"/>
      <c r="ASZ221" s="740"/>
      <c r="ATA221" s="740"/>
      <c r="ATB221" s="740"/>
      <c r="ATC221" s="740"/>
      <c r="ATD221" s="740"/>
      <c r="ATE221" s="740"/>
      <c r="ATF221" s="740"/>
      <c r="ATG221" s="740"/>
      <c r="ATH221" s="740"/>
      <c r="ATI221" s="740"/>
      <c r="ATJ221" s="740"/>
      <c r="ATK221" s="740"/>
      <c r="ATL221" s="740"/>
      <c r="ATM221" s="740"/>
      <c r="ATN221" s="740"/>
      <c r="ATO221" s="740"/>
      <c r="ATP221" s="740"/>
      <c r="ATQ221" s="740"/>
      <c r="ATR221" s="740"/>
      <c r="ATS221" s="740"/>
      <c r="ATT221" s="740"/>
      <c r="ATU221" s="740"/>
      <c r="ATV221" s="740"/>
      <c r="ATW221" s="740"/>
      <c r="ATX221" s="740"/>
      <c r="ATY221" s="740"/>
      <c r="ATZ221" s="740"/>
      <c r="AUA221" s="740"/>
      <c r="AUB221" s="740"/>
      <c r="AUC221" s="740"/>
      <c r="AUD221" s="740"/>
      <c r="AUE221" s="740"/>
      <c r="AUF221" s="740"/>
      <c r="AUG221" s="740"/>
      <c r="AUH221" s="740"/>
      <c r="AUI221" s="740"/>
      <c r="AUJ221" s="740"/>
      <c r="AUK221" s="740"/>
      <c r="AUL221" s="740"/>
      <c r="AUM221" s="740"/>
      <c r="AUN221" s="740"/>
      <c r="AUO221" s="740"/>
      <c r="AUP221" s="740"/>
      <c r="AUQ221" s="740"/>
      <c r="AUR221" s="740"/>
      <c r="AUS221" s="740"/>
      <c r="AUT221" s="740"/>
      <c r="AUU221" s="740"/>
      <c r="AUV221" s="740"/>
      <c r="AUW221" s="740"/>
      <c r="AUX221" s="740"/>
      <c r="AUY221" s="740"/>
      <c r="AUZ221" s="740"/>
      <c r="AVA221" s="740"/>
      <c r="AVB221" s="740"/>
      <c r="AVC221" s="740"/>
      <c r="AVD221" s="740"/>
      <c r="AVE221" s="740"/>
      <c r="AVF221" s="740"/>
      <c r="AVG221" s="740"/>
      <c r="AVH221" s="740"/>
      <c r="AVI221" s="740"/>
      <c r="AVJ221" s="740"/>
      <c r="AVK221" s="740"/>
      <c r="AVL221" s="740"/>
      <c r="AVM221" s="740"/>
      <c r="AVN221" s="740"/>
      <c r="AVO221" s="740"/>
      <c r="AVP221" s="740"/>
      <c r="AVQ221" s="740"/>
      <c r="AVR221" s="740"/>
      <c r="AVS221" s="740"/>
      <c r="AVT221" s="740"/>
      <c r="AVU221" s="740"/>
      <c r="AVV221" s="740"/>
      <c r="AVW221" s="740"/>
      <c r="AVX221" s="740"/>
      <c r="AVY221" s="740"/>
      <c r="AVZ221" s="740"/>
      <c r="AWA221" s="740"/>
      <c r="AWB221" s="740"/>
      <c r="AWC221" s="740"/>
      <c r="AWD221" s="740"/>
      <c r="AWE221" s="740"/>
      <c r="AWF221" s="740"/>
      <c r="AWG221" s="740"/>
      <c r="AWH221" s="740"/>
      <c r="AWI221" s="740"/>
      <c r="AWJ221" s="740"/>
      <c r="AWK221" s="740"/>
      <c r="AWL221" s="740"/>
      <c r="AWM221" s="740"/>
      <c r="AWN221" s="740"/>
      <c r="AWO221" s="740"/>
      <c r="AWP221" s="740"/>
      <c r="AWQ221" s="740"/>
      <c r="AWR221" s="740"/>
      <c r="AWS221" s="740"/>
      <c r="AWT221" s="740"/>
      <c r="AWU221" s="740"/>
      <c r="AWV221" s="740"/>
      <c r="AWW221" s="740"/>
      <c r="AWX221" s="740"/>
      <c r="AWY221" s="740"/>
      <c r="AWZ221" s="740"/>
      <c r="AXA221" s="740"/>
      <c r="AXB221" s="740"/>
      <c r="AXC221" s="740"/>
      <c r="AXD221" s="740"/>
      <c r="AXE221" s="740"/>
      <c r="AXF221" s="740"/>
      <c r="AXG221" s="740"/>
      <c r="AXH221" s="740"/>
      <c r="AXI221" s="740"/>
      <c r="AXJ221" s="740"/>
    </row>
    <row r="222" spans="1:1310" s="741" customFormat="1" ht="23.25" customHeight="1">
      <c r="A222" s="756"/>
      <c r="B222" s="9021" t="s">
        <v>1561</v>
      </c>
      <c r="C222" s="9021"/>
      <c r="D222" s="9021"/>
      <c r="E222" s="9021"/>
      <c r="F222" s="9021"/>
      <c r="G222" s="9021"/>
      <c r="H222" s="9021"/>
      <c r="I222" s="9021"/>
      <c r="J222" s="9021"/>
      <c r="K222" s="9021"/>
      <c r="L222" s="9021"/>
      <c r="M222" s="9021"/>
      <c r="N222" s="9021"/>
      <c r="O222" s="9021"/>
      <c r="P222" s="9021"/>
      <c r="Q222" s="9021"/>
      <c r="R222" s="311"/>
      <c r="S222" s="311"/>
      <c r="T222" s="311"/>
      <c r="U222" s="311"/>
      <c r="V222" s="311"/>
      <c r="W222" s="311"/>
      <c r="X222" s="311"/>
      <c r="Y222" s="311"/>
      <c r="Z222" s="311"/>
      <c r="AA222" s="311"/>
      <c r="AB222" s="311"/>
      <c r="AC222" s="311"/>
      <c r="AD222" s="740"/>
      <c r="AE222" s="740"/>
      <c r="AF222" s="740"/>
      <c r="AG222" s="740"/>
      <c r="AH222" s="740"/>
      <c r="AI222" s="740"/>
      <c r="AJ222" s="740"/>
      <c r="AK222" s="740"/>
      <c r="AL222" s="740"/>
      <c r="AM222" s="740"/>
      <c r="AN222" s="740"/>
      <c r="AO222" s="740"/>
      <c r="AP222" s="740"/>
      <c r="AQ222" s="740"/>
      <c r="AR222" s="740"/>
      <c r="AS222" s="740"/>
      <c r="AT222" s="740"/>
      <c r="AU222" s="740"/>
      <c r="AV222" s="740"/>
      <c r="AW222" s="740"/>
      <c r="AX222" s="740"/>
      <c r="AY222" s="740"/>
      <c r="AZ222" s="740"/>
      <c r="BA222" s="740"/>
      <c r="BB222" s="740"/>
      <c r="BC222" s="740"/>
      <c r="BD222" s="740"/>
      <c r="BE222" s="740"/>
      <c r="BF222" s="740"/>
      <c r="BG222" s="740"/>
      <c r="BH222" s="740"/>
      <c r="BI222" s="740"/>
      <c r="BJ222" s="740"/>
      <c r="BK222" s="740"/>
      <c r="BL222" s="740"/>
      <c r="BM222" s="740"/>
      <c r="BN222" s="740"/>
      <c r="BO222" s="740"/>
      <c r="BP222" s="740"/>
      <c r="BQ222" s="740"/>
      <c r="BR222" s="740"/>
      <c r="BS222" s="740"/>
      <c r="BT222" s="740"/>
      <c r="BU222" s="740"/>
      <c r="BV222" s="740"/>
      <c r="BW222" s="740"/>
      <c r="BX222" s="740"/>
      <c r="BY222" s="740"/>
      <c r="BZ222" s="740"/>
      <c r="CA222" s="740"/>
      <c r="CB222" s="740"/>
      <c r="CC222" s="740"/>
      <c r="CD222" s="740"/>
      <c r="CE222" s="740"/>
      <c r="CF222" s="740"/>
      <c r="CG222" s="740"/>
      <c r="CH222" s="740"/>
      <c r="CI222" s="740"/>
      <c r="CJ222" s="740"/>
      <c r="CK222" s="740"/>
      <c r="CL222" s="740"/>
      <c r="CM222" s="740"/>
      <c r="CN222" s="740"/>
      <c r="CO222" s="740"/>
      <c r="CP222" s="740"/>
      <c r="CQ222" s="740"/>
      <c r="CR222" s="740"/>
      <c r="CS222" s="740"/>
      <c r="CT222" s="740"/>
      <c r="CU222" s="740"/>
      <c r="CV222" s="740"/>
      <c r="CW222" s="740"/>
      <c r="CX222" s="740"/>
      <c r="CY222" s="740"/>
      <c r="CZ222" s="740"/>
      <c r="DA222" s="740"/>
      <c r="DB222" s="740"/>
      <c r="DC222" s="740"/>
      <c r="DD222" s="740"/>
      <c r="DE222" s="740"/>
      <c r="DF222" s="740"/>
      <c r="DG222" s="740"/>
      <c r="DH222" s="740"/>
      <c r="DI222" s="740"/>
      <c r="DJ222" s="740"/>
      <c r="DK222" s="740"/>
      <c r="DL222" s="740"/>
      <c r="DM222" s="740"/>
      <c r="DN222" s="740"/>
      <c r="DO222" s="740"/>
      <c r="DP222" s="740"/>
      <c r="DQ222" s="740"/>
      <c r="DR222" s="740"/>
      <c r="DS222" s="740"/>
      <c r="DT222" s="740"/>
      <c r="DU222" s="740"/>
      <c r="DV222" s="740"/>
      <c r="DW222" s="740"/>
      <c r="DX222" s="740"/>
      <c r="DY222" s="740"/>
      <c r="DZ222" s="740"/>
      <c r="EA222" s="740"/>
      <c r="EB222" s="740"/>
      <c r="EC222" s="740"/>
      <c r="ED222" s="740"/>
      <c r="EE222" s="740"/>
      <c r="EF222" s="740"/>
      <c r="EG222" s="740"/>
      <c r="EH222" s="740"/>
      <c r="EI222" s="740"/>
      <c r="EJ222" s="740"/>
      <c r="EK222" s="740"/>
      <c r="EL222" s="740"/>
      <c r="EM222" s="740"/>
      <c r="EN222" s="740"/>
      <c r="EO222" s="740"/>
      <c r="EP222" s="740"/>
      <c r="EQ222" s="740"/>
      <c r="ER222" s="740"/>
      <c r="ES222" s="740"/>
      <c r="ET222" s="740"/>
      <c r="EU222" s="740"/>
      <c r="EV222" s="740"/>
      <c r="EW222" s="740"/>
      <c r="EX222" s="740"/>
      <c r="EY222" s="740"/>
      <c r="EZ222" s="740"/>
      <c r="FA222" s="740"/>
      <c r="FB222" s="740"/>
      <c r="FC222" s="740"/>
      <c r="FD222" s="740"/>
      <c r="FE222" s="740"/>
      <c r="FF222" s="740"/>
      <c r="FG222" s="740"/>
      <c r="FH222" s="740"/>
      <c r="FI222" s="740"/>
      <c r="FJ222" s="740"/>
      <c r="FK222" s="740"/>
      <c r="FL222" s="740"/>
      <c r="FM222" s="740"/>
      <c r="FN222" s="740"/>
      <c r="FO222" s="740"/>
      <c r="FP222" s="740"/>
      <c r="FQ222" s="740"/>
      <c r="FR222" s="740"/>
      <c r="FS222" s="740"/>
      <c r="FT222" s="740"/>
      <c r="FU222" s="740"/>
      <c r="FV222" s="740"/>
      <c r="FW222" s="740"/>
      <c r="FX222" s="740"/>
      <c r="FY222" s="740"/>
      <c r="FZ222" s="740"/>
      <c r="GA222" s="740"/>
      <c r="GB222" s="740"/>
      <c r="GC222" s="740"/>
      <c r="GD222" s="740"/>
      <c r="GE222" s="740"/>
      <c r="GF222" s="740"/>
      <c r="GG222" s="740"/>
      <c r="GH222" s="740"/>
      <c r="GI222" s="740"/>
      <c r="GJ222" s="740"/>
      <c r="GK222" s="740"/>
      <c r="GL222" s="740"/>
      <c r="GM222" s="740"/>
      <c r="GN222" s="740"/>
      <c r="GO222" s="740"/>
      <c r="GP222" s="740"/>
      <c r="GQ222" s="740"/>
      <c r="GR222" s="740"/>
      <c r="GS222" s="740"/>
      <c r="GT222" s="740"/>
      <c r="GU222" s="740"/>
      <c r="GV222" s="740"/>
      <c r="GW222" s="740"/>
      <c r="GX222" s="740"/>
      <c r="GY222" s="740"/>
      <c r="GZ222" s="740"/>
      <c r="HA222" s="740"/>
      <c r="HB222" s="740"/>
      <c r="HC222" s="740"/>
      <c r="HD222" s="740"/>
      <c r="HE222" s="740"/>
      <c r="HF222" s="740"/>
      <c r="HG222" s="740"/>
      <c r="HH222" s="740"/>
      <c r="HI222" s="740"/>
      <c r="HJ222" s="740"/>
      <c r="HK222" s="740"/>
      <c r="HL222" s="740"/>
      <c r="HM222" s="740"/>
      <c r="HN222" s="740"/>
      <c r="HO222" s="740"/>
      <c r="HP222" s="740"/>
      <c r="HQ222" s="740"/>
      <c r="HR222" s="740"/>
      <c r="HS222" s="740"/>
      <c r="HT222" s="740"/>
      <c r="HU222" s="740"/>
      <c r="HV222" s="740"/>
      <c r="HW222" s="740"/>
      <c r="HX222" s="740"/>
      <c r="HY222" s="740"/>
      <c r="HZ222" s="740"/>
      <c r="IA222" s="740"/>
      <c r="IB222" s="740"/>
      <c r="IC222" s="740"/>
      <c r="ID222" s="740"/>
      <c r="IE222" s="740"/>
      <c r="IF222" s="740"/>
      <c r="IG222" s="740"/>
      <c r="IH222" s="740"/>
      <c r="II222" s="740"/>
      <c r="IJ222" s="740"/>
      <c r="IK222" s="740"/>
      <c r="IL222" s="740"/>
      <c r="IM222" s="740"/>
      <c r="IN222" s="740"/>
      <c r="IO222" s="740"/>
      <c r="IP222" s="740"/>
      <c r="IQ222" s="740"/>
      <c r="IR222" s="740"/>
      <c r="IS222" s="740"/>
      <c r="IT222" s="740"/>
      <c r="IU222" s="740"/>
      <c r="IV222" s="740"/>
      <c r="IW222" s="740"/>
      <c r="IX222" s="740"/>
      <c r="IY222" s="740"/>
      <c r="IZ222" s="740"/>
      <c r="JA222" s="740"/>
      <c r="JB222" s="740"/>
      <c r="JC222" s="740"/>
      <c r="JD222" s="740"/>
      <c r="JE222" s="740"/>
      <c r="JF222" s="740"/>
      <c r="JG222" s="740"/>
      <c r="JH222" s="740"/>
      <c r="JI222" s="740"/>
      <c r="JJ222" s="740"/>
      <c r="JK222" s="740"/>
      <c r="JL222" s="740"/>
      <c r="JM222" s="740"/>
      <c r="JN222" s="740"/>
      <c r="JO222" s="740"/>
      <c r="JP222" s="740"/>
      <c r="JQ222" s="740"/>
      <c r="JR222" s="740"/>
      <c r="JS222" s="740"/>
      <c r="JT222" s="740"/>
      <c r="JU222" s="740"/>
      <c r="JV222" s="740"/>
      <c r="JW222" s="740"/>
      <c r="JX222" s="740"/>
      <c r="JY222" s="740"/>
      <c r="JZ222" s="740"/>
      <c r="KA222" s="740"/>
      <c r="KB222" s="740"/>
      <c r="KC222" s="740"/>
      <c r="KD222" s="740"/>
      <c r="KE222" s="740"/>
      <c r="KF222" s="740"/>
      <c r="KG222" s="740"/>
      <c r="KH222" s="740"/>
      <c r="KI222" s="740"/>
      <c r="KJ222" s="740"/>
      <c r="KK222" s="740"/>
      <c r="KL222" s="740"/>
      <c r="KM222" s="740"/>
      <c r="KN222" s="740"/>
      <c r="KO222" s="740"/>
      <c r="KP222" s="740"/>
      <c r="KQ222" s="740"/>
      <c r="KR222" s="740"/>
      <c r="KS222" s="740"/>
      <c r="KT222" s="740"/>
      <c r="KU222" s="740"/>
      <c r="KV222" s="740"/>
      <c r="KW222" s="740"/>
      <c r="KX222" s="740"/>
      <c r="KY222" s="740"/>
      <c r="KZ222" s="740"/>
      <c r="LA222" s="740"/>
      <c r="LB222" s="740"/>
      <c r="LC222" s="740"/>
      <c r="LD222" s="740"/>
      <c r="LE222" s="740"/>
      <c r="LF222" s="740"/>
      <c r="LG222" s="740"/>
      <c r="LH222" s="740"/>
      <c r="LI222" s="740"/>
      <c r="LJ222" s="740"/>
      <c r="LK222" s="740"/>
      <c r="LL222" s="740"/>
      <c r="LM222" s="740"/>
      <c r="LN222" s="740"/>
      <c r="LO222" s="740"/>
      <c r="LP222" s="740"/>
      <c r="LQ222" s="740"/>
      <c r="LR222" s="740"/>
      <c r="LS222" s="740"/>
      <c r="LT222" s="740"/>
      <c r="LU222" s="740"/>
      <c r="LV222" s="740"/>
      <c r="LW222" s="740"/>
      <c r="LX222" s="740"/>
      <c r="LY222" s="740"/>
      <c r="LZ222" s="740"/>
      <c r="MA222" s="740"/>
      <c r="MB222" s="740"/>
      <c r="MC222" s="740"/>
      <c r="MD222" s="740"/>
      <c r="ME222" s="740"/>
      <c r="MF222" s="740"/>
      <c r="MG222" s="740"/>
      <c r="MH222" s="740"/>
      <c r="MI222" s="740"/>
      <c r="MJ222" s="740"/>
      <c r="MK222" s="740"/>
      <c r="ML222" s="740"/>
      <c r="MM222" s="740"/>
      <c r="MN222" s="740"/>
      <c r="MO222" s="740"/>
      <c r="MP222" s="740"/>
      <c r="MQ222" s="740"/>
      <c r="MR222" s="740"/>
      <c r="MS222" s="740"/>
      <c r="MT222" s="740"/>
      <c r="MU222" s="740"/>
      <c r="MV222" s="740"/>
      <c r="MW222" s="740"/>
      <c r="MX222" s="740"/>
      <c r="MY222" s="740"/>
      <c r="MZ222" s="740"/>
      <c r="NA222" s="740"/>
      <c r="NB222" s="740"/>
      <c r="NC222" s="740"/>
      <c r="ND222" s="740"/>
      <c r="NE222" s="740"/>
      <c r="NF222" s="740"/>
      <c r="NG222" s="740"/>
      <c r="NH222" s="740"/>
      <c r="NI222" s="740"/>
      <c r="NJ222" s="740"/>
      <c r="NK222" s="740"/>
      <c r="NL222" s="740"/>
      <c r="NM222" s="740"/>
      <c r="NN222" s="740"/>
      <c r="NO222" s="740"/>
      <c r="NP222" s="740"/>
      <c r="NQ222" s="740"/>
      <c r="NR222" s="740"/>
      <c r="NS222" s="740"/>
      <c r="NT222" s="740"/>
      <c r="NU222" s="740"/>
      <c r="NV222" s="740"/>
      <c r="NW222" s="740"/>
      <c r="NX222" s="740"/>
      <c r="NY222" s="740"/>
      <c r="NZ222" s="740"/>
      <c r="OA222" s="740"/>
      <c r="OB222" s="740"/>
      <c r="OC222" s="740"/>
      <c r="OD222" s="740"/>
      <c r="OE222" s="740"/>
      <c r="OF222" s="740"/>
      <c r="OG222" s="740"/>
      <c r="OH222" s="740"/>
      <c r="OI222" s="740"/>
      <c r="OJ222" s="740"/>
      <c r="OK222" s="740"/>
      <c r="OL222" s="740"/>
      <c r="OM222" s="740"/>
      <c r="ON222" s="740"/>
      <c r="OO222" s="740"/>
      <c r="OP222" s="740"/>
      <c r="OQ222" s="740"/>
      <c r="OR222" s="740"/>
      <c r="OS222" s="740"/>
      <c r="OT222" s="740"/>
      <c r="OU222" s="740"/>
      <c r="OV222" s="740"/>
      <c r="OW222" s="740"/>
      <c r="OX222" s="740"/>
      <c r="OY222" s="740"/>
      <c r="OZ222" s="740"/>
      <c r="PA222" s="740"/>
      <c r="PB222" s="740"/>
      <c r="PC222" s="740"/>
      <c r="PD222" s="740"/>
      <c r="PE222" s="740"/>
      <c r="PF222" s="740"/>
      <c r="PG222" s="740"/>
      <c r="PH222" s="740"/>
      <c r="PI222" s="740"/>
      <c r="PJ222" s="740"/>
      <c r="PK222" s="740"/>
      <c r="PL222" s="740"/>
      <c r="PM222" s="740"/>
      <c r="PN222" s="740"/>
      <c r="PO222" s="740"/>
      <c r="PP222" s="740"/>
      <c r="PQ222" s="740"/>
      <c r="PR222" s="740"/>
      <c r="PS222" s="740"/>
      <c r="PT222" s="740"/>
      <c r="PU222" s="740"/>
      <c r="PV222" s="740"/>
      <c r="PW222" s="740"/>
      <c r="PX222" s="740"/>
      <c r="PY222" s="740"/>
      <c r="PZ222" s="740"/>
      <c r="QA222" s="740"/>
      <c r="QB222" s="740"/>
      <c r="QC222" s="740"/>
      <c r="QD222" s="740"/>
      <c r="QE222" s="740"/>
      <c r="QF222" s="740"/>
      <c r="QG222" s="740"/>
      <c r="QH222" s="740"/>
      <c r="QI222" s="740"/>
      <c r="QJ222" s="740"/>
      <c r="QK222" s="740"/>
      <c r="QL222" s="740"/>
      <c r="QM222" s="740"/>
      <c r="QN222" s="740"/>
      <c r="QO222" s="740"/>
      <c r="QP222" s="740"/>
      <c r="QQ222" s="740"/>
      <c r="QR222" s="740"/>
      <c r="QS222" s="740"/>
      <c r="QT222" s="740"/>
      <c r="QU222" s="740"/>
      <c r="QV222" s="740"/>
      <c r="QW222" s="740"/>
      <c r="QX222" s="740"/>
      <c r="QY222" s="740"/>
      <c r="QZ222" s="740"/>
      <c r="RA222" s="740"/>
      <c r="RB222" s="740"/>
      <c r="RC222" s="740"/>
      <c r="RD222" s="740"/>
      <c r="RE222" s="740"/>
      <c r="RF222" s="740"/>
      <c r="RG222" s="740"/>
      <c r="RH222" s="740"/>
      <c r="RI222" s="740"/>
      <c r="RJ222" s="740"/>
      <c r="RK222" s="740"/>
      <c r="RL222" s="740"/>
      <c r="RM222" s="740"/>
      <c r="RN222" s="740"/>
      <c r="RO222" s="740"/>
      <c r="RP222" s="740"/>
      <c r="RQ222" s="740"/>
      <c r="RR222" s="740"/>
      <c r="RS222" s="740"/>
      <c r="RT222" s="740"/>
      <c r="RU222" s="740"/>
      <c r="RV222" s="740"/>
      <c r="RW222" s="740"/>
      <c r="RX222" s="740"/>
      <c r="RY222" s="740"/>
      <c r="RZ222" s="740"/>
      <c r="SA222" s="740"/>
      <c r="SB222" s="740"/>
      <c r="SC222" s="740"/>
      <c r="SD222" s="740"/>
      <c r="SE222" s="740"/>
      <c r="SF222" s="740"/>
      <c r="SG222" s="740"/>
      <c r="SH222" s="740"/>
      <c r="SI222" s="740"/>
      <c r="SJ222" s="740"/>
      <c r="SK222" s="740"/>
      <c r="SL222" s="740"/>
      <c r="SM222" s="740"/>
      <c r="SN222" s="740"/>
      <c r="SO222" s="740"/>
      <c r="SP222" s="740"/>
      <c r="SQ222" s="740"/>
      <c r="SR222" s="740"/>
      <c r="SS222" s="740"/>
      <c r="ST222" s="740"/>
      <c r="SU222" s="740"/>
      <c r="SV222" s="740"/>
      <c r="SW222" s="740"/>
      <c r="SX222" s="740"/>
      <c r="SY222" s="740"/>
      <c r="SZ222" s="740"/>
      <c r="TA222" s="740"/>
      <c r="TB222" s="740"/>
      <c r="TC222" s="740"/>
      <c r="TD222" s="740"/>
      <c r="TE222" s="740"/>
      <c r="TF222" s="740"/>
      <c r="TG222" s="740"/>
      <c r="TH222" s="740"/>
      <c r="TI222" s="740"/>
      <c r="TJ222" s="740"/>
      <c r="TK222" s="740"/>
      <c r="TL222" s="740"/>
      <c r="TM222" s="740"/>
      <c r="TN222" s="740"/>
      <c r="TO222" s="740"/>
      <c r="TP222" s="740"/>
      <c r="TQ222" s="740"/>
      <c r="TR222" s="740"/>
      <c r="TS222" s="740"/>
      <c r="TT222" s="740"/>
      <c r="TU222" s="740"/>
      <c r="TV222" s="740"/>
      <c r="TW222" s="740"/>
      <c r="TX222" s="740"/>
      <c r="TY222" s="740"/>
      <c r="TZ222" s="740"/>
      <c r="UA222" s="740"/>
      <c r="UB222" s="740"/>
      <c r="UC222" s="740"/>
      <c r="UD222" s="740"/>
      <c r="UE222" s="740"/>
      <c r="UF222" s="740"/>
      <c r="UG222" s="740"/>
      <c r="UH222" s="740"/>
      <c r="UI222" s="740"/>
      <c r="UJ222" s="740"/>
      <c r="UK222" s="740"/>
      <c r="UL222" s="740"/>
      <c r="UM222" s="740"/>
      <c r="UN222" s="740"/>
      <c r="UO222" s="740"/>
      <c r="UP222" s="740"/>
      <c r="UQ222" s="740"/>
      <c r="UR222" s="740"/>
      <c r="US222" s="740"/>
      <c r="UT222" s="740"/>
      <c r="UU222" s="740"/>
      <c r="UV222" s="740"/>
      <c r="UW222" s="740"/>
      <c r="UX222" s="740"/>
      <c r="UY222" s="740"/>
      <c r="UZ222" s="740"/>
      <c r="VA222" s="740"/>
      <c r="VB222" s="740"/>
      <c r="VC222" s="740"/>
      <c r="VD222" s="740"/>
      <c r="VE222" s="740"/>
      <c r="VF222" s="740"/>
      <c r="VG222" s="740"/>
      <c r="VH222" s="740"/>
      <c r="VI222" s="740"/>
      <c r="VJ222" s="740"/>
      <c r="VK222" s="740"/>
      <c r="VL222" s="740"/>
      <c r="VM222" s="740"/>
      <c r="VN222" s="740"/>
      <c r="VO222" s="740"/>
      <c r="VP222" s="740"/>
      <c r="VQ222" s="740"/>
      <c r="VR222" s="740"/>
      <c r="VS222" s="740"/>
      <c r="VT222" s="740"/>
      <c r="VU222" s="740"/>
      <c r="VV222" s="740"/>
      <c r="VW222" s="740"/>
      <c r="VX222" s="740"/>
      <c r="VY222" s="740"/>
      <c r="VZ222" s="740"/>
      <c r="WA222" s="740"/>
      <c r="WB222" s="740"/>
      <c r="WC222" s="740"/>
      <c r="WD222" s="740"/>
      <c r="WE222" s="740"/>
      <c r="WF222" s="740"/>
      <c r="WG222" s="740"/>
      <c r="WH222" s="740"/>
      <c r="WI222" s="740"/>
      <c r="WJ222" s="740"/>
      <c r="WK222" s="740"/>
      <c r="WL222" s="740"/>
      <c r="WM222" s="740"/>
      <c r="WN222" s="740"/>
      <c r="WO222" s="740"/>
      <c r="WP222" s="740"/>
      <c r="WQ222" s="740"/>
      <c r="WR222" s="740"/>
      <c r="WS222" s="740"/>
      <c r="WT222" s="740"/>
      <c r="WU222" s="740"/>
      <c r="WV222" s="740"/>
      <c r="WW222" s="740"/>
      <c r="WX222" s="740"/>
      <c r="WY222" s="740"/>
      <c r="WZ222" s="740"/>
      <c r="XA222" s="740"/>
      <c r="XB222" s="740"/>
      <c r="XC222" s="740"/>
      <c r="XD222" s="740"/>
      <c r="XE222" s="740"/>
      <c r="XF222" s="740"/>
      <c r="XG222" s="740"/>
      <c r="XH222" s="740"/>
      <c r="XI222" s="740"/>
      <c r="XJ222" s="740"/>
      <c r="XK222" s="740"/>
      <c r="XL222" s="740"/>
      <c r="XM222" s="740"/>
      <c r="XN222" s="740"/>
      <c r="XO222" s="740"/>
      <c r="XP222" s="740"/>
      <c r="XQ222" s="740"/>
      <c r="XR222" s="740"/>
      <c r="XS222" s="740"/>
      <c r="XT222" s="740"/>
      <c r="XU222" s="740"/>
      <c r="XV222" s="740"/>
      <c r="XW222" s="740"/>
      <c r="XX222" s="740"/>
      <c r="XY222" s="740"/>
      <c r="XZ222" s="740"/>
      <c r="YA222" s="740"/>
      <c r="YB222" s="740"/>
      <c r="YC222" s="740"/>
      <c r="YD222" s="740"/>
      <c r="YE222" s="740"/>
      <c r="YF222" s="740"/>
      <c r="YG222" s="740"/>
      <c r="YH222" s="740"/>
      <c r="YI222" s="740"/>
      <c r="YJ222" s="740"/>
      <c r="YK222" s="740"/>
      <c r="YL222" s="740"/>
      <c r="YM222" s="740"/>
      <c r="YN222" s="740"/>
      <c r="YO222" s="740"/>
      <c r="YP222" s="740"/>
      <c r="YQ222" s="740"/>
      <c r="YR222" s="740"/>
      <c r="YS222" s="740"/>
      <c r="YT222" s="740"/>
      <c r="YU222" s="740"/>
      <c r="YV222" s="740"/>
      <c r="YW222" s="740"/>
      <c r="YX222" s="740"/>
      <c r="YY222" s="740"/>
      <c r="YZ222" s="740"/>
      <c r="ZA222" s="740"/>
      <c r="ZB222" s="740"/>
      <c r="ZC222" s="740"/>
      <c r="ZD222" s="740"/>
      <c r="ZE222" s="740"/>
      <c r="ZF222" s="740"/>
      <c r="ZG222" s="740"/>
      <c r="ZH222" s="740"/>
      <c r="ZI222" s="740"/>
      <c r="ZJ222" s="740"/>
      <c r="ZK222" s="740"/>
      <c r="ZL222" s="740"/>
      <c r="ZM222" s="740"/>
      <c r="ZN222" s="740"/>
      <c r="ZO222" s="740"/>
      <c r="ZP222" s="740"/>
      <c r="ZQ222" s="740"/>
      <c r="ZR222" s="740"/>
      <c r="ZS222" s="740"/>
      <c r="ZT222" s="740"/>
      <c r="ZU222" s="740"/>
      <c r="ZV222" s="740"/>
      <c r="ZW222" s="740"/>
      <c r="ZX222" s="740"/>
      <c r="ZY222" s="740"/>
      <c r="ZZ222" s="740"/>
      <c r="AAA222" s="740"/>
      <c r="AAB222" s="740"/>
      <c r="AAC222" s="740"/>
      <c r="AAD222" s="740"/>
      <c r="AAE222" s="740"/>
      <c r="AAF222" s="740"/>
      <c r="AAG222" s="740"/>
      <c r="AAH222" s="740"/>
      <c r="AAI222" s="740"/>
      <c r="AAJ222" s="740"/>
      <c r="AAK222" s="740"/>
      <c r="AAL222" s="740"/>
      <c r="AAM222" s="740"/>
      <c r="AAN222" s="740"/>
      <c r="AAO222" s="740"/>
      <c r="AAP222" s="740"/>
      <c r="AAQ222" s="740"/>
      <c r="AAR222" s="740"/>
      <c r="AAS222" s="740"/>
      <c r="AAT222" s="740"/>
      <c r="AAU222" s="740"/>
      <c r="AAV222" s="740"/>
      <c r="AAW222" s="740"/>
      <c r="AAX222" s="740"/>
      <c r="AAY222" s="740"/>
      <c r="AAZ222" s="740"/>
      <c r="ABA222" s="740"/>
      <c r="ABB222" s="740"/>
      <c r="ABC222" s="740"/>
      <c r="ABD222" s="740"/>
      <c r="ABE222" s="740"/>
      <c r="ABF222" s="740"/>
      <c r="ABG222" s="740"/>
      <c r="ABH222" s="740"/>
      <c r="ABI222" s="740"/>
      <c r="ABJ222" s="740"/>
      <c r="ABK222" s="740"/>
      <c r="ABL222" s="740"/>
      <c r="ABM222" s="740"/>
      <c r="ABN222" s="740"/>
      <c r="ABO222" s="740"/>
      <c r="ABP222" s="740"/>
      <c r="ABQ222" s="740"/>
      <c r="ABR222" s="740"/>
      <c r="ABS222" s="740"/>
      <c r="ABT222" s="740"/>
      <c r="ABU222" s="740"/>
      <c r="ABV222" s="740"/>
      <c r="ABW222" s="740"/>
      <c r="ABX222" s="740"/>
      <c r="ABY222" s="740"/>
      <c r="ABZ222" s="740"/>
      <c r="ACA222" s="740"/>
      <c r="ACB222" s="740"/>
      <c r="ACC222" s="740"/>
      <c r="ACD222" s="740"/>
      <c r="ACE222" s="740"/>
      <c r="ACF222" s="740"/>
      <c r="ACG222" s="740"/>
      <c r="ACH222" s="740"/>
      <c r="ACI222" s="740"/>
      <c r="ACJ222" s="740"/>
      <c r="ACK222" s="740"/>
      <c r="ACL222" s="740"/>
      <c r="ACM222" s="740"/>
      <c r="ACN222" s="740"/>
      <c r="ACO222" s="740"/>
      <c r="ACP222" s="740"/>
      <c r="ACQ222" s="740"/>
      <c r="ACR222" s="740"/>
      <c r="ACS222" s="740"/>
      <c r="ACT222" s="740"/>
      <c r="ACU222" s="740"/>
      <c r="ACV222" s="740"/>
      <c r="ACW222" s="740"/>
      <c r="ACX222" s="740"/>
      <c r="ACY222" s="740"/>
      <c r="ACZ222" s="740"/>
      <c r="ADA222" s="740"/>
      <c r="ADB222" s="740"/>
      <c r="ADC222" s="740"/>
      <c r="ADD222" s="740"/>
      <c r="ADE222" s="740"/>
      <c r="ADF222" s="740"/>
      <c r="ADG222" s="740"/>
      <c r="ADH222" s="740"/>
      <c r="ADI222" s="740"/>
      <c r="ADJ222" s="740"/>
      <c r="ADK222" s="740"/>
      <c r="ADL222" s="740"/>
      <c r="ADM222" s="740"/>
      <c r="ADN222" s="740"/>
      <c r="ADO222" s="740"/>
      <c r="ADP222" s="740"/>
      <c r="ADQ222" s="740"/>
      <c r="ADR222" s="740"/>
      <c r="ADS222" s="740"/>
      <c r="ADT222" s="740"/>
      <c r="ADU222" s="740"/>
      <c r="ADV222" s="740"/>
      <c r="ADW222" s="740"/>
      <c r="ADX222" s="740"/>
      <c r="ADY222" s="740"/>
      <c r="ADZ222" s="740"/>
      <c r="AEA222" s="740"/>
      <c r="AEB222" s="740"/>
      <c r="AEC222" s="740"/>
      <c r="AED222" s="740"/>
      <c r="AEE222" s="740"/>
      <c r="AEF222" s="740"/>
      <c r="AEG222" s="740"/>
      <c r="AEH222" s="740"/>
      <c r="AEI222" s="740"/>
      <c r="AEJ222" s="740"/>
      <c r="AEK222" s="740"/>
      <c r="AEL222" s="740"/>
      <c r="AEM222" s="740"/>
      <c r="AEN222" s="740"/>
      <c r="AEO222" s="740"/>
      <c r="AEP222" s="740"/>
      <c r="AEQ222" s="740"/>
      <c r="AER222" s="740"/>
      <c r="AES222" s="740"/>
      <c r="AET222" s="740"/>
      <c r="AEU222" s="740"/>
      <c r="AEV222" s="740"/>
      <c r="AEW222" s="740"/>
      <c r="AEX222" s="740"/>
      <c r="AEY222" s="740"/>
      <c r="AEZ222" s="740"/>
      <c r="AFA222" s="740"/>
      <c r="AFB222" s="740"/>
      <c r="AFC222" s="740"/>
      <c r="AFD222" s="740"/>
      <c r="AFE222" s="740"/>
      <c r="AFF222" s="740"/>
      <c r="AFG222" s="740"/>
      <c r="AFH222" s="740"/>
      <c r="AFI222" s="740"/>
      <c r="AFJ222" s="740"/>
      <c r="AFK222" s="740"/>
      <c r="AFL222" s="740"/>
      <c r="AFM222" s="740"/>
      <c r="AFN222" s="740"/>
      <c r="AFO222" s="740"/>
      <c r="AFP222" s="740"/>
      <c r="AFQ222" s="740"/>
      <c r="AFR222" s="740"/>
      <c r="AFS222" s="740"/>
      <c r="AFT222" s="740"/>
      <c r="AFU222" s="740"/>
      <c r="AFV222" s="740"/>
      <c r="AFW222" s="740"/>
      <c r="AFX222" s="740"/>
      <c r="AFY222" s="740"/>
      <c r="AFZ222" s="740"/>
      <c r="AGA222" s="740"/>
      <c r="AGB222" s="740"/>
      <c r="AGC222" s="740"/>
      <c r="AGD222" s="740"/>
      <c r="AGE222" s="740"/>
      <c r="AGF222" s="740"/>
      <c r="AGG222" s="740"/>
      <c r="AGH222" s="740"/>
      <c r="AGI222" s="740"/>
      <c r="AGJ222" s="740"/>
      <c r="AGK222" s="740"/>
      <c r="AGL222" s="740"/>
      <c r="AGM222" s="740"/>
      <c r="AGN222" s="740"/>
      <c r="AGO222" s="740"/>
      <c r="AGP222" s="740"/>
      <c r="AGQ222" s="740"/>
      <c r="AGR222" s="740"/>
      <c r="AGS222" s="740"/>
      <c r="AGT222" s="740"/>
      <c r="AGU222" s="740"/>
      <c r="AGV222" s="740"/>
      <c r="AGW222" s="740"/>
      <c r="AGX222" s="740"/>
      <c r="AGY222" s="740"/>
      <c r="AGZ222" s="740"/>
      <c r="AHA222" s="740"/>
      <c r="AHB222" s="740"/>
      <c r="AHC222" s="740"/>
      <c r="AHD222" s="740"/>
      <c r="AHE222" s="740"/>
      <c r="AHF222" s="740"/>
      <c r="AHG222" s="740"/>
      <c r="AHH222" s="740"/>
      <c r="AHI222" s="740"/>
      <c r="AHJ222" s="740"/>
      <c r="AHK222" s="740"/>
      <c r="AHL222" s="740"/>
      <c r="AHM222" s="740"/>
      <c r="AHN222" s="740"/>
      <c r="AHO222" s="740"/>
      <c r="AHP222" s="740"/>
      <c r="AHQ222" s="740"/>
      <c r="AHR222" s="740"/>
      <c r="AHS222" s="740"/>
      <c r="AHT222" s="740"/>
      <c r="AHU222" s="740"/>
      <c r="AHV222" s="740"/>
      <c r="AHW222" s="740"/>
      <c r="AHX222" s="740"/>
      <c r="AHY222" s="740"/>
      <c r="AHZ222" s="740"/>
      <c r="AIA222" s="740"/>
      <c r="AIB222" s="740"/>
      <c r="AIC222" s="740"/>
      <c r="AID222" s="740"/>
      <c r="AIE222" s="740"/>
      <c r="AIF222" s="740"/>
      <c r="AIG222" s="740"/>
      <c r="AIH222" s="740"/>
      <c r="AII222" s="740"/>
      <c r="AIJ222" s="740"/>
      <c r="AIK222" s="740"/>
      <c r="AIL222" s="740"/>
      <c r="AIM222" s="740"/>
      <c r="AIN222" s="740"/>
      <c r="AIO222" s="740"/>
      <c r="AIP222" s="740"/>
      <c r="AIQ222" s="740"/>
      <c r="AIR222" s="740"/>
      <c r="AIS222" s="740"/>
      <c r="AIT222" s="740"/>
      <c r="AIU222" s="740"/>
      <c r="AIV222" s="740"/>
      <c r="AIW222" s="740"/>
      <c r="AIX222" s="740"/>
      <c r="AIY222" s="740"/>
      <c r="AIZ222" s="740"/>
      <c r="AJA222" s="740"/>
      <c r="AJB222" s="740"/>
      <c r="AJC222" s="740"/>
      <c r="AJD222" s="740"/>
      <c r="AJE222" s="740"/>
      <c r="AJF222" s="740"/>
      <c r="AJG222" s="740"/>
      <c r="AJH222" s="740"/>
      <c r="AJI222" s="740"/>
      <c r="AJJ222" s="740"/>
      <c r="AJK222" s="740"/>
      <c r="AJL222" s="740"/>
      <c r="AJM222" s="740"/>
      <c r="AJN222" s="740"/>
      <c r="AJO222" s="740"/>
      <c r="AJP222" s="740"/>
      <c r="AJQ222" s="740"/>
      <c r="AJR222" s="740"/>
      <c r="AJS222" s="740"/>
      <c r="AJT222" s="740"/>
      <c r="AJU222" s="740"/>
      <c r="AJV222" s="740"/>
      <c r="AJW222" s="740"/>
      <c r="AJX222" s="740"/>
      <c r="AJY222" s="740"/>
      <c r="AJZ222" s="740"/>
      <c r="AKA222" s="740"/>
      <c r="AKB222" s="740"/>
      <c r="AKC222" s="740"/>
      <c r="AKD222" s="740"/>
      <c r="AKE222" s="740"/>
      <c r="AKF222" s="740"/>
      <c r="AKG222" s="740"/>
      <c r="AKH222" s="740"/>
      <c r="AKI222" s="740"/>
      <c r="AKJ222" s="740"/>
      <c r="AKK222" s="740"/>
      <c r="AKL222" s="740"/>
      <c r="AKM222" s="740"/>
      <c r="AKN222" s="740"/>
      <c r="AKO222" s="740"/>
      <c r="AKP222" s="740"/>
      <c r="AKQ222" s="740"/>
      <c r="AKR222" s="740"/>
      <c r="AKS222" s="740"/>
      <c r="AKT222" s="740"/>
      <c r="AKU222" s="740"/>
      <c r="AKV222" s="740"/>
      <c r="AKW222" s="740"/>
      <c r="AKX222" s="740"/>
      <c r="AKY222" s="740"/>
      <c r="AKZ222" s="740"/>
      <c r="ALA222" s="740"/>
      <c r="ALB222" s="740"/>
      <c r="ALC222" s="740"/>
      <c r="ALD222" s="740"/>
      <c r="ALE222" s="740"/>
      <c r="ALF222" s="740"/>
      <c r="ALG222" s="740"/>
      <c r="ALH222" s="740"/>
      <c r="ALI222" s="740"/>
      <c r="ALJ222" s="740"/>
      <c r="ALK222" s="740"/>
      <c r="ALL222" s="740"/>
      <c r="ALM222" s="740"/>
      <c r="ALN222" s="740"/>
      <c r="ALO222" s="740"/>
      <c r="ALP222" s="740"/>
      <c r="ALQ222" s="740"/>
      <c r="ALR222" s="740"/>
      <c r="ALS222" s="740"/>
      <c r="ALT222" s="740"/>
      <c r="ALU222" s="740"/>
      <c r="ALV222" s="740"/>
      <c r="ALW222" s="740"/>
      <c r="ALX222" s="740"/>
      <c r="ALY222" s="740"/>
      <c r="ALZ222" s="740"/>
      <c r="AMA222" s="740"/>
      <c r="AMB222" s="740"/>
      <c r="AMC222" s="740"/>
      <c r="AMD222" s="740"/>
      <c r="AME222" s="740"/>
      <c r="AMF222" s="740"/>
      <c r="AMG222" s="740"/>
      <c r="AMH222" s="740"/>
      <c r="AMI222" s="740"/>
      <c r="AMJ222" s="740"/>
      <c r="AMK222" s="740"/>
      <c r="AML222" s="740"/>
      <c r="AMM222" s="740"/>
      <c r="AMN222" s="740"/>
      <c r="AMO222" s="740"/>
      <c r="AMP222" s="740"/>
      <c r="AMQ222" s="740"/>
      <c r="AMR222" s="740"/>
      <c r="AMS222" s="740"/>
      <c r="AMT222" s="740"/>
      <c r="AMU222" s="740"/>
      <c r="AMV222" s="740"/>
      <c r="AMW222" s="740"/>
      <c r="AMX222" s="740"/>
      <c r="AMY222" s="740"/>
      <c r="AMZ222" s="740"/>
      <c r="ANA222" s="740"/>
      <c r="ANB222" s="740"/>
      <c r="ANC222" s="740"/>
      <c r="AND222" s="740"/>
      <c r="ANE222" s="740"/>
      <c r="ANF222" s="740"/>
      <c r="ANG222" s="740"/>
      <c r="ANH222" s="740"/>
      <c r="ANI222" s="740"/>
      <c r="ANJ222" s="740"/>
      <c r="ANK222" s="740"/>
      <c r="ANL222" s="740"/>
      <c r="ANM222" s="740"/>
      <c r="ANN222" s="740"/>
      <c r="ANO222" s="740"/>
      <c r="ANP222" s="740"/>
      <c r="ANQ222" s="740"/>
      <c r="ANR222" s="740"/>
      <c r="ANS222" s="740"/>
      <c r="ANT222" s="740"/>
      <c r="ANU222" s="740"/>
      <c r="ANV222" s="740"/>
      <c r="ANW222" s="740"/>
      <c r="ANX222" s="740"/>
      <c r="ANY222" s="740"/>
      <c r="ANZ222" s="740"/>
      <c r="AOA222" s="740"/>
      <c r="AOB222" s="740"/>
      <c r="AOC222" s="740"/>
      <c r="AOD222" s="740"/>
      <c r="AOE222" s="740"/>
      <c r="AOF222" s="740"/>
      <c r="AOG222" s="740"/>
      <c r="AOH222" s="740"/>
      <c r="AOI222" s="740"/>
      <c r="AOJ222" s="740"/>
      <c r="AOK222" s="740"/>
      <c r="AOL222" s="740"/>
      <c r="AOM222" s="740"/>
      <c r="AON222" s="740"/>
      <c r="AOO222" s="740"/>
      <c r="AOP222" s="740"/>
      <c r="AOQ222" s="740"/>
      <c r="AOR222" s="740"/>
      <c r="AOS222" s="740"/>
      <c r="AOT222" s="740"/>
      <c r="AOU222" s="740"/>
      <c r="AOV222" s="740"/>
      <c r="AOW222" s="740"/>
      <c r="AOX222" s="740"/>
      <c r="AOY222" s="740"/>
      <c r="AOZ222" s="740"/>
      <c r="APA222" s="740"/>
      <c r="APB222" s="740"/>
      <c r="APC222" s="740"/>
      <c r="APD222" s="740"/>
      <c r="APE222" s="740"/>
      <c r="APF222" s="740"/>
      <c r="APG222" s="740"/>
      <c r="APH222" s="740"/>
      <c r="API222" s="740"/>
      <c r="APJ222" s="740"/>
      <c r="APK222" s="740"/>
      <c r="APL222" s="740"/>
      <c r="APM222" s="740"/>
      <c r="APN222" s="740"/>
      <c r="APO222" s="740"/>
      <c r="APP222" s="740"/>
      <c r="APQ222" s="740"/>
      <c r="APR222" s="740"/>
      <c r="APS222" s="740"/>
      <c r="APT222" s="740"/>
      <c r="APU222" s="740"/>
      <c r="APV222" s="740"/>
      <c r="APW222" s="740"/>
      <c r="APX222" s="740"/>
      <c r="APY222" s="740"/>
      <c r="APZ222" s="740"/>
      <c r="AQA222" s="740"/>
      <c r="AQB222" s="740"/>
      <c r="AQC222" s="740"/>
      <c r="AQD222" s="740"/>
      <c r="AQE222" s="740"/>
      <c r="AQF222" s="740"/>
      <c r="AQG222" s="740"/>
      <c r="AQH222" s="740"/>
      <c r="AQI222" s="740"/>
      <c r="AQJ222" s="740"/>
      <c r="AQK222" s="740"/>
      <c r="AQL222" s="740"/>
      <c r="AQM222" s="740"/>
      <c r="AQN222" s="740"/>
      <c r="AQO222" s="740"/>
      <c r="AQP222" s="740"/>
      <c r="AQQ222" s="740"/>
      <c r="AQR222" s="740"/>
      <c r="AQS222" s="740"/>
      <c r="AQT222" s="740"/>
      <c r="AQU222" s="740"/>
      <c r="AQV222" s="740"/>
      <c r="AQW222" s="740"/>
      <c r="AQX222" s="740"/>
      <c r="AQY222" s="740"/>
      <c r="AQZ222" s="740"/>
      <c r="ARA222" s="740"/>
      <c r="ARB222" s="740"/>
      <c r="ARC222" s="740"/>
      <c r="ARD222" s="740"/>
      <c r="ARE222" s="740"/>
      <c r="ARF222" s="740"/>
      <c r="ARG222" s="740"/>
      <c r="ARH222" s="740"/>
      <c r="ARI222" s="740"/>
      <c r="ARJ222" s="740"/>
      <c r="ARK222" s="740"/>
      <c r="ARL222" s="740"/>
      <c r="ARM222" s="740"/>
      <c r="ARN222" s="740"/>
      <c r="ARO222" s="740"/>
      <c r="ARP222" s="740"/>
      <c r="ARQ222" s="740"/>
      <c r="ARR222" s="740"/>
      <c r="ARS222" s="740"/>
      <c r="ART222" s="740"/>
      <c r="ARU222" s="740"/>
      <c r="ARV222" s="740"/>
      <c r="ARW222" s="740"/>
      <c r="ARX222" s="740"/>
      <c r="ARY222" s="740"/>
      <c r="ARZ222" s="740"/>
      <c r="ASA222" s="740"/>
      <c r="ASB222" s="740"/>
      <c r="ASC222" s="740"/>
      <c r="ASD222" s="740"/>
      <c r="ASE222" s="740"/>
      <c r="ASF222" s="740"/>
      <c r="ASG222" s="740"/>
      <c r="ASH222" s="740"/>
      <c r="ASI222" s="740"/>
      <c r="ASJ222" s="740"/>
      <c r="ASK222" s="740"/>
      <c r="ASL222" s="740"/>
      <c r="ASM222" s="740"/>
      <c r="ASN222" s="740"/>
      <c r="ASO222" s="740"/>
      <c r="ASP222" s="740"/>
      <c r="ASQ222" s="740"/>
      <c r="ASR222" s="740"/>
      <c r="ASS222" s="740"/>
      <c r="AST222" s="740"/>
      <c r="ASU222" s="740"/>
      <c r="ASV222" s="740"/>
      <c r="ASW222" s="740"/>
      <c r="ASX222" s="740"/>
      <c r="ASY222" s="740"/>
      <c r="ASZ222" s="740"/>
      <c r="ATA222" s="740"/>
      <c r="ATB222" s="740"/>
      <c r="ATC222" s="740"/>
      <c r="ATD222" s="740"/>
      <c r="ATE222" s="740"/>
      <c r="ATF222" s="740"/>
      <c r="ATG222" s="740"/>
      <c r="ATH222" s="740"/>
      <c r="ATI222" s="740"/>
      <c r="ATJ222" s="740"/>
      <c r="ATK222" s="740"/>
      <c r="ATL222" s="740"/>
      <c r="ATM222" s="740"/>
      <c r="ATN222" s="740"/>
      <c r="ATO222" s="740"/>
      <c r="ATP222" s="740"/>
      <c r="ATQ222" s="740"/>
      <c r="ATR222" s="740"/>
      <c r="ATS222" s="740"/>
      <c r="ATT222" s="740"/>
      <c r="ATU222" s="740"/>
      <c r="ATV222" s="740"/>
      <c r="ATW222" s="740"/>
      <c r="ATX222" s="740"/>
      <c r="ATY222" s="740"/>
      <c r="ATZ222" s="740"/>
      <c r="AUA222" s="740"/>
      <c r="AUB222" s="740"/>
      <c r="AUC222" s="740"/>
      <c r="AUD222" s="740"/>
      <c r="AUE222" s="740"/>
      <c r="AUF222" s="740"/>
      <c r="AUG222" s="740"/>
      <c r="AUH222" s="740"/>
      <c r="AUI222" s="740"/>
      <c r="AUJ222" s="740"/>
      <c r="AUK222" s="740"/>
      <c r="AUL222" s="740"/>
      <c r="AUM222" s="740"/>
      <c r="AUN222" s="740"/>
      <c r="AUO222" s="740"/>
      <c r="AUP222" s="740"/>
      <c r="AUQ222" s="740"/>
      <c r="AUR222" s="740"/>
      <c r="AUS222" s="740"/>
      <c r="AUT222" s="740"/>
      <c r="AUU222" s="740"/>
      <c r="AUV222" s="740"/>
      <c r="AUW222" s="740"/>
      <c r="AUX222" s="740"/>
      <c r="AUY222" s="740"/>
      <c r="AUZ222" s="740"/>
      <c r="AVA222" s="740"/>
      <c r="AVB222" s="740"/>
      <c r="AVC222" s="740"/>
      <c r="AVD222" s="740"/>
      <c r="AVE222" s="740"/>
      <c r="AVF222" s="740"/>
      <c r="AVG222" s="740"/>
      <c r="AVH222" s="740"/>
      <c r="AVI222" s="740"/>
      <c r="AVJ222" s="740"/>
      <c r="AVK222" s="740"/>
      <c r="AVL222" s="740"/>
      <c r="AVM222" s="740"/>
      <c r="AVN222" s="740"/>
      <c r="AVO222" s="740"/>
      <c r="AVP222" s="740"/>
      <c r="AVQ222" s="740"/>
      <c r="AVR222" s="740"/>
      <c r="AVS222" s="740"/>
      <c r="AVT222" s="740"/>
      <c r="AVU222" s="740"/>
      <c r="AVV222" s="740"/>
      <c r="AVW222" s="740"/>
      <c r="AVX222" s="740"/>
      <c r="AVY222" s="740"/>
      <c r="AVZ222" s="740"/>
      <c r="AWA222" s="740"/>
      <c r="AWB222" s="740"/>
      <c r="AWC222" s="740"/>
      <c r="AWD222" s="740"/>
      <c r="AWE222" s="740"/>
      <c r="AWF222" s="740"/>
      <c r="AWG222" s="740"/>
      <c r="AWH222" s="740"/>
      <c r="AWI222" s="740"/>
      <c r="AWJ222" s="740"/>
      <c r="AWK222" s="740"/>
      <c r="AWL222" s="740"/>
      <c r="AWM222" s="740"/>
      <c r="AWN222" s="740"/>
      <c r="AWO222" s="740"/>
      <c r="AWP222" s="740"/>
      <c r="AWQ222" s="740"/>
      <c r="AWR222" s="740"/>
      <c r="AWS222" s="740"/>
      <c r="AWT222" s="740"/>
      <c r="AWU222" s="740"/>
      <c r="AWV222" s="740"/>
      <c r="AWW222" s="740"/>
      <c r="AWX222" s="740"/>
      <c r="AWY222" s="740"/>
      <c r="AWZ222" s="740"/>
      <c r="AXA222" s="740"/>
      <c r="AXB222" s="740"/>
      <c r="AXC222" s="740"/>
      <c r="AXD222" s="740"/>
      <c r="AXE222" s="740"/>
      <c r="AXF222" s="740"/>
      <c r="AXG222" s="740"/>
      <c r="AXH222" s="740"/>
      <c r="AXI222" s="740"/>
      <c r="AXJ222" s="740"/>
    </row>
    <row r="223" spans="1:1310" s="741" customFormat="1" ht="23.25" customHeight="1">
      <c r="A223" s="756"/>
      <c r="B223" s="9021"/>
      <c r="C223" s="9021"/>
      <c r="D223" s="9021"/>
      <c r="E223" s="9021"/>
      <c r="F223" s="9021"/>
      <c r="G223" s="9021"/>
      <c r="H223" s="9021"/>
      <c r="I223" s="9021"/>
      <c r="J223" s="9021"/>
      <c r="K223" s="9021"/>
      <c r="L223" s="9021"/>
      <c r="M223" s="9021"/>
      <c r="N223" s="9021"/>
      <c r="O223" s="9021"/>
      <c r="P223" s="9021"/>
      <c r="Q223" s="9021"/>
      <c r="R223" s="311"/>
      <c r="S223" s="311"/>
      <c r="T223" s="311"/>
      <c r="U223" s="311"/>
      <c r="V223" s="311"/>
      <c r="W223" s="311"/>
      <c r="X223" s="311"/>
      <c r="Y223" s="311"/>
      <c r="Z223" s="311"/>
      <c r="AA223" s="311"/>
      <c r="AB223" s="311"/>
      <c r="AC223" s="311"/>
      <c r="AD223" s="740"/>
      <c r="AE223" s="740"/>
      <c r="AF223" s="740"/>
      <c r="AG223" s="740"/>
      <c r="AH223" s="740"/>
      <c r="AI223" s="740"/>
      <c r="AJ223" s="740"/>
      <c r="AK223" s="740"/>
      <c r="AL223" s="740"/>
      <c r="AM223" s="740"/>
      <c r="AN223" s="740"/>
      <c r="AO223" s="740"/>
      <c r="AP223" s="740"/>
      <c r="AQ223" s="740"/>
      <c r="AR223" s="740"/>
      <c r="AS223" s="740"/>
      <c r="AT223" s="740"/>
      <c r="AU223" s="740"/>
      <c r="AV223" s="740"/>
      <c r="AW223" s="740"/>
      <c r="AX223" s="740"/>
      <c r="AY223" s="740"/>
      <c r="AZ223" s="740"/>
      <c r="BA223" s="740"/>
      <c r="BB223" s="740"/>
      <c r="BC223" s="740"/>
      <c r="BD223" s="740"/>
      <c r="BE223" s="740"/>
      <c r="BF223" s="740"/>
      <c r="BG223" s="740"/>
      <c r="BH223" s="740"/>
      <c r="BI223" s="740"/>
      <c r="BJ223" s="740"/>
      <c r="BK223" s="740"/>
      <c r="BL223" s="740"/>
      <c r="BM223" s="740"/>
      <c r="BN223" s="740"/>
      <c r="BO223" s="740"/>
      <c r="BP223" s="740"/>
      <c r="BQ223" s="740"/>
      <c r="BR223" s="740"/>
      <c r="BS223" s="740"/>
      <c r="BT223" s="740"/>
      <c r="BU223" s="740"/>
      <c r="BV223" s="740"/>
      <c r="BW223" s="740"/>
      <c r="BX223" s="740"/>
      <c r="BY223" s="740"/>
      <c r="BZ223" s="740"/>
      <c r="CA223" s="740"/>
      <c r="CB223" s="740"/>
      <c r="CC223" s="740"/>
      <c r="CD223" s="740"/>
      <c r="CE223" s="740"/>
      <c r="CF223" s="740"/>
      <c r="CG223" s="740"/>
      <c r="CH223" s="740"/>
      <c r="CI223" s="740"/>
      <c r="CJ223" s="740"/>
      <c r="CK223" s="740"/>
      <c r="CL223" s="740"/>
      <c r="CM223" s="740"/>
      <c r="CN223" s="740"/>
      <c r="CO223" s="740"/>
      <c r="CP223" s="740"/>
      <c r="CQ223" s="740"/>
      <c r="CR223" s="740"/>
      <c r="CS223" s="740"/>
      <c r="CT223" s="740"/>
      <c r="CU223" s="740"/>
      <c r="CV223" s="740"/>
      <c r="CW223" s="740"/>
      <c r="CX223" s="740"/>
      <c r="CY223" s="740"/>
      <c r="CZ223" s="740"/>
      <c r="DA223" s="740"/>
      <c r="DB223" s="740"/>
      <c r="DC223" s="740"/>
      <c r="DD223" s="740"/>
      <c r="DE223" s="740"/>
      <c r="DF223" s="740"/>
      <c r="DG223" s="740"/>
      <c r="DH223" s="740"/>
      <c r="DI223" s="740"/>
      <c r="DJ223" s="740"/>
      <c r="DK223" s="740"/>
      <c r="DL223" s="740"/>
      <c r="DM223" s="740"/>
      <c r="DN223" s="740"/>
      <c r="DO223" s="740"/>
      <c r="DP223" s="740"/>
      <c r="DQ223" s="740"/>
      <c r="DR223" s="740"/>
      <c r="DS223" s="740"/>
      <c r="DT223" s="740"/>
      <c r="DU223" s="740"/>
      <c r="DV223" s="740"/>
      <c r="DW223" s="740"/>
      <c r="DX223" s="740"/>
      <c r="DY223" s="740"/>
      <c r="DZ223" s="740"/>
      <c r="EA223" s="740"/>
      <c r="EB223" s="740"/>
      <c r="EC223" s="740"/>
      <c r="ED223" s="740"/>
      <c r="EE223" s="740"/>
      <c r="EF223" s="740"/>
      <c r="EG223" s="740"/>
      <c r="EH223" s="740"/>
      <c r="EI223" s="740"/>
      <c r="EJ223" s="740"/>
      <c r="EK223" s="740"/>
      <c r="EL223" s="740"/>
      <c r="EM223" s="740"/>
      <c r="EN223" s="740"/>
      <c r="EO223" s="740"/>
      <c r="EP223" s="740"/>
      <c r="EQ223" s="740"/>
      <c r="ER223" s="740"/>
      <c r="ES223" s="740"/>
      <c r="ET223" s="740"/>
      <c r="EU223" s="740"/>
      <c r="EV223" s="740"/>
      <c r="EW223" s="740"/>
      <c r="EX223" s="740"/>
      <c r="EY223" s="740"/>
      <c r="EZ223" s="740"/>
      <c r="FA223" s="740"/>
      <c r="FB223" s="740"/>
      <c r="FC223" s="740"/>
      <c r="FD223" s="740"/>
      <c r="FE223" s="740"/>
      <c r="FF223" s="740"/>
      <c r="FG223" s="740"/>
      <c r="FH223" s="740"/>
      <c r="FI223" s="740"/>
      <c r="FJ223" s="740"/>
      <c r="FK223" s="740"/>
      <c r="FL223" s="740"/>
      <c r="FM223" s="740"/>
      <c r="FN223" s="740"/>
      <c r="FO223" s="740"/>
      <c r="FP223" s="740"/>
      <c r="FQ223" s="740"/>
      <c r="FR223" s="740"/>
      <c r="FS223" s="740"/>
      <c r="FT223" s="740"/>
      <c r="FU223" s="740"/>
      <c r="FV223" s="740"/>
      <c r="FW223" s="740"/>
      <c r="FX223" s="740"/>
      <c r="FY223" s="740"/>
      <c r="FZ223" s="740"/>
      <c r="GA223" s="740"/>
      <c r="GB223" s="740"/>
      <c r="GC223" s="740"/>
      <c r="GD223" s="740"/>
      <c r="GE223" s="740"/>
      <c r="GF223" s="740"/>
      <c r="GG223" s="740"/>
      <c r="GH223" s="740"/>
      <c r="GI223" s="740"/>
      <c r="GJ223" s="740"/>
      <c r="GK223" s="740"/>
      <c r="GL223" s="740"/>
      <c r="GM223" s="740"/>
      <c r="GN223" s="740"/>
      <c r="GO223" s="740"/>
      <c r="GP223" s="740"/>
      <c r="GQ223" s="740"/>
      <c r="GR223" s="740"/>
      <c r="GS223" s="740"/>
      <c r="GT223" s="740"/>
      <c r="GU223" s="740"/>
      <c r="GV223" s="740"/>
      <c r="GW223" s="740"/>
      <c r="GX223" s="740"/>
      <c r="GY223" s="740"/>
      <c r="GZ223" s="740"/>
      <c r="HA223" s="740"/>
      <c r="HB223" s="740"/>
      <c r="HC223" s="740"/>
      <c r="HD223" s="740"/>
      <c r="HE223" s="740"/>
      <c r="HF223" s="740"/>
      <c r="HG223" s="740"/>
      <c r="HH223" s="740"/>
      <c r="HI223" s="740"/>
      <c r="HJ223" s="740"/>
      <c r="HK223" s="740"/>
      <c r="HL223" s="740"/>
      <c r="HM223" s="740"/>
      <c r="HN223" s="740"/>
      <c r="HO223" s="740"/>
      <c r="HP223" s="740"/>
      <c r="HQ223" s="740"/>
      <c r="HR223" s="740"/>
      <c r="HS223" s="740"/>
      <c r="HT223" s="740"/>
      <c r="HU223" s="740"/>
      <c r="HV223" s="740"/>
      <c r="HW223" s="740"/>
      <c r="HX223" s="740"/>
      <c r="HY223" s="740"/>
      <c r="HZ223" s="740"/>
      <c r="IA223" s="740"/>
      <c r="IB223" s="740"/>
      <c r="IC223" s="740"/>
      <c r="ID223" s="740"/>
      <c r="IE223" s="740"/>
      <c r="IF223" s="740"/>
      <c r="IG223" s="740"/>
      <c r="IH223" s="740"/>
      <c r="II223" s="740"/>
      <c r="IJ223" s="740"/>
      <c r="IK223" s="740"/>
      <c r="IL223" s="740"/>
      <c r="IM223" s="740"/>
      <c r="IN223" s="740"/>
      <c r="IO223" s="740"/>
      <c r="IP223" s="740"/>
      <c r="IQ223" s="740"/>
      <c r="IR223" s="740"/>
      <c r="IS223" s="740"/>
      <c r="IT223" s="740"/>
      <c r="IU223" s="740"/>
      <c r="IV223" s="740"/>
      <c r="IW223" s="740"/>
      <c r="IX223" s="740"/>
      <c r="IY223" s="740"/>
      <c r="IZ223" s="740"/>
      <c r="JA223" s="740"/>
      <c r="JB223" s="740"/>
      <c r="JC223" s="740"/>
      <c r="JD223" s="740"/>
      <c r="JE223" s="740"/>
      <c r="JF223" s="740"/>
      <c r="JG223" s="740"/>
      <c r="JH223" s="740"/>
      <c r="JI223" s="740"/>
      <c r="JJ223" s="740"/>
      <c r="JK223" s="740"/>
      <c r="JL223" s="740"/>
      <c r="JM223" s="740"/>
      <c r="JN223" s="740"/>
      <c r="JO223" s="740"/>
      <c r="JP223" s="740"/>
      <c r="JQ223" s="740"/>
      <c r="JR223" s="740"/>
      <c r="JS223" s="740"/>
      <c r="JT223" s="740"/>
      <c r="JU223" s="740"/>
      <c r="JV223" s="740"/>
      <c r="JW223" s="740"/>
      <c r="JX223" s="740"/>
      <c r="JY223" s="740"/>
      <c r="JZ223" s="740"/>
      <c r="KA223" s="740"/>
      <c r="KB223" s="740"/>
      <c r="KC223" s="740"/>
      <c r="KD223" s="740"/>
      <c r="KE223" s="740"/>
      <c r="KF223" s="740"/>
      <c r="KG223" s="740"/>
      <c r="KH223" s="740"/>
      <c r="KI223" s="740"/>
      <c r="KJ223" s="740"/>
      <c r="KK223" s="740"/>
      <c r="KL223" s="740"/>
      <c r="KM223" s="740"/>
      <c r="KN223" s="740"/>
      <c r="KO223" s="740"/>
      <c r="KP223" s="740"/>
      <c r="KQ223" s="740"/>
      <c r="KR223" s="740"/>
      <c r="KS223" s="740"/>
      <c r="KT223" s="740"/>
      <c r="KU223" s="740"/>
      <c r="KV223" s="740"/>
      <c r="KW223" s="740"/>
      <c r="KX223" s="740"/>
      <c r="KY223" s="740"/>
      <c r="KZ223" s="740"/>
      <c r="LA223" s="740"/>
      <c r="LB223" s="740"/>
      <c r="LC223" s="740"/>
      <c r="LD223" s="740"/>
      <c r="LE223" s="740"/>
      <c r="LF223" s="740"/>
      <c r="LG223" s="740"/>
      <c r="LH223" s="740"/>
      <c r="LI223" s="740"/>
      <c r="LJ223" s="740"/>
      <c r="LK223" s="740"/>
      <c r="LL223" s="740"/>
      <c r="LM223" s="740"/>
      <c r="LN223" s="740"/>
      <c r="LO223" s="740"/>
      <c r="LP223" s="740"/>
      <c r="LQ223" s="740"/>
      <c r="LR223" s="740"/>
      <c r="LS223" s="740"/>
      <c r="LT223" s="740"/>
      <c r="LU223" s="740"/>
      <c r="LV223" s="740"/>
      <c r="LW223" s="740"/>
      <c r="LX223" s="740"/>
      <c r="LY223" s="740"/>
      <c r="LZ223" s="740"/>
      <c r="MA223" s="740"/>
      <c r="MB223" s="740"/>
      <c r="MC223" s="740"/>
      <c r="MD223" s="740"/>
      <c r="ME223" s="740"/>
      <c r="MF223" s="740"/>
      <c r="MG223" s="740"/>
      <c r="MH223" s="740"/>
      <c r="MI223" s="740"/>
      <c r="MJ223" s="740"/>
      <c r="MK223" s="740"/>
      <c r="ML223" s="740"/>
      <c r="MM223" s="740"/>
      <c r="MN223" s="740"/>
      <c r="MO223" s="740"/>
      <c r="MP223" s="740"/>
      <c r="MQ223" s="740"/>
      <c r="MR223" s="740"/>
      <c r="MS223" s="740"/>
      <c r="MT223" s="740"/>
      <c r="MU223" s="740"/>
      <c r="MV223" s="740"/>
      <c r="MW223" s="740"/>
      <c r="MX223" s="740"/>
      <c r="MY223" s="740"/>
      <c r="MZ223" s="740"/>
      <c r="NA223" s="740"/>
      <c r="NB223" s="740"/>
      <c r="NC223" s="740"/>
      <c r="ND223" s="740"/>
      <c r="NE223" s="740"/>
      <c r="NF223" s="740"/>
      <c r="NG223" s="740"/>
      <c r="NH223" s="740"/>
      <c r="NI223" s="740"/>
      <c r="NJ223" s="740"/>
      <c r="NK223" s="740"/>
      <c r="NL223" s="740"/>
      <c r="NM223" s="740"/>
      <c r="NN223" s="740"/>
      <c r="NO223" s="740"/>
      <c r="NP223" s="740"/>
      <c r="NQ223" s="740"/>
      <c r="NR223" s="740"/>
      <c r="NS223" s="740"/>
      <c r="NT223" s="740"/>
      <c r="NU223" s="740"/>
      <c r="NV223" s="740"/>
      <c r="NW223" s="740"/>
      <c r="NX223" s="740"/>
      <c r="NY223" s="740"/>
      <c r="NZ223" s="740"/>
      <c r="OA223" s="740"/>
      <c r="OB223" s="740"/>
      <c r="OC223" s="740"/>
      <c r="OD223" s="740"/>
      <c r="OE223" s="740"/>
      <c r="OF223" s="740"/>
      <c r="OG223" s="740"/>
      <c r="OH223" s="740"/>
      <c r="OI223" s="740"/>
      <c r="OJ223" s="740"/>
      <c r="OK223" s="740"/>
      <c r="OL223" s="740"/>
      <c r="OM223" s="740"/>
      <c r="ON223" s="740"/>
      <c r="OO223" s="740"/>
      <c r="OP223" s="740"/>
      <c r="OQ223" s="740"/>
      <c r="OR223" s="740"/>
      <c r="OS223" s="740"/>
      <c r="OT223" s="740"/>
      <c r="OU223" s="740"/>
      <c r="OV223" s="740"/>
      <c r="OW223" s="740"/>
      <c r="OX223" s="740"/>
      <c r="OY223" s="740"/>
      <c r="OZ223" s="740"/>
      <c r="PA223" s="740"/>
      <c r="PB223" s="740"/>
      <c r="PC223" s="740"/>
      <c r="PD223" s="740"/>
      <c r="PE223" s="740"/>
      <c r="PF223" s="740"/>
      <c r="PG223" s="740"/>
      <c r="PH223" s="740"/>
      <c r="PI223" s="740"/>
      <c r="PJ223" s="740"/>
      <c r="PK223" s="740"/>
      <c r="PL223" s="740"/>
      <c r="PM223" s="740"/>
      <c r="PN223" s="740"/>
      <c r="PO223" s="740"/>
      <c r="PP223" s="740"/>
      <c r="PQ223" s="740"/>
      <c r="PR223" s="740"/>
      <c r="PS223" s="740"/>
      <c r="PT223" s="740"/>
      <c r="PU223" s="740"/>
      <c r="PV223" s="740"/>
      <c r="PW223" s="740"/>
      <c r="PX223" s="740"/>
      <c r="PY223" s="740"/>
      <c r="PZ223" s="740"/>
      <c r="QA223" s="740"/>
      <c r="QB223" s="740"/>
      <c r="QC223" s="740"/>
      <c r="QD223" s="740"/>
      <c r="QE223" s="740"/>
      <c r="QF223" s="740"/>
      <c r="QG223" s="740"/>
      <c r="QH223" s="740"/>
      <c r="QI223" s="740"/>
      <c r="QJ223" s="740"/>
      <c r="QK223" s="740"/>
      <c r="QL223" s="740"/>
      <c r="QM223" s="740"/>
      <c r="QN223" s="740"/>
      <c r="QO223" s="740"/>
      <c r="QP223" s="740"/>
      <c r="QQ223" s="740"/>
      <c r="QR223" s="740"/>
      <c r="QS223" s="740"/>
      <c r="QT223" s="740"/>
      <c r="QU223" s="740"/>
      <c r="QV223" s="740"/>
      <c r="QW223" s="740"/>
      <c r="QX223" s="740"/>
      <c r="QY223" s="740"/>
      <c r="QZ223" s="740"/>
      <c r="RA223" s="740"/>
      <c r="RB223" s="740"/>
      <c r="RC223" s="740"/>
      <c r="RD223" s="740"/>
      <c r="RE223" s="740"/>
      <c r="RF223" s="740"/>
      <c r="RG223" s="740"/>
      <c r="RH223" s="740"/>
      <c r="RI223" s="740"/>
      <c r="RJ223" s="740"/>
      <c r="RK223" s="740"/>
      <c r="RL223" s="740"/>
      <c r="RM223" s="740"/>
      <c r="RN223" s="740"/>
      <c r="RO223" s="740"/>
      <c r="RP223" s="740"/>
      <c r="RQ223" s="740"/>
      <c r="RR223" s="740"/>
      <c r="RS223" s="740"/>
      <c r="RT223" s="740"/>
      <c r="RU223" s="740"/>
      <c r="RV223" s="740"/>
      <c r="RW223" s="740"/>
      <c r="RX223" s="740"/>
      <c r="RY223" s="740"/>
      <c r="RZ223" s="740"/>
      <c r="SA223" s="740"/>
      <c r="SB223" s="740"/>
      <c r="SC223" s="740"/>
      <c r="SD223" s="740"/>
      <c r="SE223" s="740"/>
      <c r="SF223" s="740"/>
      <c r="SG223" s="740"/>
      <c r="SH223" s="740"/>
      <c r="SI223" s="740"/>
      <c r="SJ223" s="740"/>
      <c r="SK223" s="740"/>
      <c r="SL223" s="740"/>
      <c r="SM223" s="740"/>
      <c r="SN223" s="740"/>
      <c r="SO223" s="740"/>
      <c r="SP223" s="740"/>
      <c r="SQ223" s="740"/>
      <c r="SR223" s="740"/>
      <c r="SS223" s="740"/>
      <c r="ST223" s="740"/>
      <c r="SU223" s="740"/>
      <c r="SV223" s="740"/>
      <c r="SW223" s="740"/>
      <c r="SX223" s="740"/>
      <c r="SY223" s="740"/>
      <c r="SZ223" s="740"/>
      <c r="TA223" s="740"/>
      <c r="TB223" s="740"/>
      <c r="TC223" s="740"/>
      <c r="TD223" s="740"/>
      <c r="TE223" s="740"/>
      <c r="TF223" s="740"/>
      <c r="TG223" s="740"/>
      <c r="TH223" s="740"/>
      <c r="TI223" s="740"/>
      <c r="TJ223" s="740"/>
      <c r="TK223" s="740"/>
      <c r="TL223" s="740"/>
      <c r="TM223" s="740"/>
      <c r="TN223" s="740"/>
      <c r="TO223" s="740"/>
      <c r="TP223" s="740"/>
      <c r="TQ223" s="740"/>
      <c r="TR223" s="740"/>
      <c r="TS223" s="740"/>
      <c r="TT223" s="740"/>
      <c r="TU223" s="740"/>
      <c r="TV223" s="740"/>
      <c r="TW223" s="740"/>
      <c r="TX223" s="740"/>
      <c r="TY223" s="740"/>
      <c r="TZ223" s="740"/>
      <c r="UA223" s="740"/>
      <c r="UB223" s="740"/>
      <c r="UC223" s="740"/>
      <c r="UD223" s="740"/>
      <c r="UE223" s="740"/>
      <c r="UF223" s="740"/>
      <c r="UG223" s="740"/>
      <c r="UH223" s="740"/>
      <c r="UI223" s="740"/>
      <c r="UJ223" s="740"/>
      <c r="UK223" s="740"/>
      <c r="UL223" s="740"/>
      <c r="UM223" s="740"/>
      <c r="UN223" s="740"/>
      <c r="UO223" s="740"/>
      <c r="UP223" s="740"/>
      <c r="UQ223" s="740"/>
      <c r="UR223" s="740"/>
      <c r="US223" s="740"/>
      <c r="UT223" s="740"/>
      <c r="UU223" s="740"/>
      <c r="UV223" s="740"/>
      <c r="UW223" s="740"/>
      <c r="UX223" s="740"/>
      <c r="UY223" s="740"/>
      <c r="UZ223" s="740"/>
      <c r="VA223" s="740"/>
      <c r="VB223" s="740"/>
      <c r="VC223" s="740"/>
      <c r="VD223" s="740"/>
      <c r="VE223" s="740"/>
      <c r="VF223" s="740"/>
      <c r="VG223" s="740"/>
      <c r="VH223" s="740"/>
      <c r="VI223" s="740"/>
      <c r="VJ223" s="740"/>
      <c r="VK223" s="740"/>
      <c r="VL223" s="740"/>
      <c r="VM223" s="740"/>
      <c r="VN223" s="740"/>
      <c r="VO223" s="740"/>
      <c r="VP223" s="740"/>
      <c r="VQ223" s="740"/>
      <c r="VR223" s="740"/>
      <c r="VS223" s="740"/>
      <c r="VT223" s="740"/>
      <c r="VU223" s="740"/>
      <c r="VV223" s="740"/>
      <c r="VW223" s="740"/>
      <c r="VX223" s="740"/>
      <c r="VY223" s="740"/>
      <c r="VZ223" s="740"/>
      <c r="WA223" s="740"/>
      <c r="WB223" s="740"/>
      <c r="WC223" s="740"/>
      <c r="WD223" s="740"/>
      <c r="WE223" s="740"/>
      <c r="WF223" s="740"/>
      <c r="WG223" s="740"/>
      <c r="WH223" s="740"/>
      <c r="WI223" s="740"/>
      <c r="WJ223" s="740"/>
      <c r="WK223" s="740"/>
      <c r="WL223" s="740"/>
      <c r="WM223" s="740"/>
      <c r="WN223" s="740"/>
      <c r="WO223" s="740"/>
      <c r="WP223" s="740"/>
      <c r="WQ223" s="740"/>
      <c r="WR223" s="740"/>
      <c r="WS223" s="740"/>
      <c r="WT223" s="740"/>
      <c r="WU223" s="740"/>
      <c r="WV223" s="740"/>
      <c r="WW223" s="740"/>
      <c r="WX223" s="740"/>
      <c r="WY223" s="740"/>
      <c r="WZ223" s="740"/>
      <c r="XA223" s="740"/>
      <c r="XB223" s="740"/>
      <c r="XC223" s="740"/>
      <c r="XD223" s="740"/>
      <c r="XE223" s="740"/>
      <c r="XF223" s="740"/>
      <c r="XG223" s="740"/>
      <c r="XH223" s="740"/>
      <c r="XI223" s="740"/>
      <c r="XJ223" s="740"/>
      <c r="XK223" s="740"/>
      <c r="XL223" s="740"/>
      <c r="XM223" s="740"/>
      <c r="XN223" s="740"/>
      <c r="XO223" s="740"/>
      <c r="XP223" s="740"/>
      <c r="XQ223" s="740"/>
      <c r="XR223" s="740"/>
      <c r="XS223" s="740"/>
      <c r="XT223" s="740"/>
      <c r="XU223" s="740"/>
      <c r="XV223" s="740"/>
      <c r="XW223" s="740"/>
      <c r="XX223" s="740"/>
      <c r="XY223" s="740"/>
      <c r="XZ223" s="740"/>
      <c r="YA223" s="740"/>
      <c r="YB223" s="740"/>
      <c r="YC223" s="740"/>
      <c r="YD223" s="740"/>
      <c r="YE223" s="740"/>
      <c r="YF223" s="740"/>
      <c r="YG223" s="740"/>
      <c r="YH223" s="740"/>
      <c r="YI223" s="740"/>
      <c r="YJ223" s="740"/>
      <c r="YK223" s="740"/>
      <c r="YL223" s="740"/>
      <c r="YM223" s="740"/>
      <c r="YN223" s="740"/>
      <c r="YO223" s="740"/>
      <c r="YP223" s="740"/>
      <c r="YQ223" s="740"/>
      <c r="YR223" s="740"/>
      <c r="YS223" s="740"/>
      <c r="YT223" s="740"/>
      <c r="YU223" s="740"/>
      <c r="YV223" s="740"/>
      <c r="YW223" s="740"/>
      <c r="YX223" s="740"/>
      <c r="YY223" s="740"/>
      <c r="YZ223" s="740"/>
      <c r="ZA223" s="740"/>
      <c r="ZB223" s="740"/>
      <c r="ZC223" s="740"/>
      <c r="ZD223" s="740"/>
      <c r="ZE223" s="740"/>
      <c r="ZF223" s="740"/>
      <c r="ZG223" s="740"/>
      <c r="ZH223" s="740"/>
      <c r="ZI223" s="740"/>
      <c r="ZJ223" s="740"/>
      <c r="ZK223" s="740"/>
      <c r="ZL223" s="740"/>
      <c r="ZM223" s="740"/>
      <c r="ZN223" s="740"/>
      <c r="ZO223" s="740"/>
      <c r="ZP223" s="740"/>
      <c r="ZQ223" s="740"/>
      <c r="ZR223" s="740"/>
      <c r="ZS223" s="740"/>
      <c r="ZT223" s="740"/>
      <c r="ZU223" s="740"/>
      <c r="ZV223" s="740"/>
      <c r="ZW223" s="740"/>
      <c r="ZX223" s="740"/>
      <c r="ZY223" s="740"/>
      <c r="ZZ223" s="740"/>
      <c r="AAA223" s="740"/>
      <c r="AAB223" s="740"/>
      <c r="AAC223" s="740"/>
      <c r="AAD223" s="740"/>
      <c r="AAE223" s="740"/>
      <c r="AAF223" s="740"/>
      <c r="AAG223" s="740"/>
      <c r="AAH223" s="740"/>
      <c r="AAI223" s="740"/>
      <c r="AAJ223" s="740"/>
      <c r="AAK223" s="740"/>
      <c r="AAL223" s="740"/>
      <c r="AAM223" s="740"/>
      <c r="AAN223" s="740"/>
      <c r="AAO223" s="740"/>
      <c r="AAP223" s="740"/>
      <c r="AAQ223" s="740"/>
      <c r="AAR223" s="740"/>
      <c r="AAS223" s="740"/>
      <c r="AAT223" s="740"/>
      <c r="AAU223" s="740"/>
      <c r="AAV223" s="740"/>
      <c r="AAW223" s="740"/>
      <c r="AAX223" s="740"/>
      <c r="AAY223" s="740"/>
      <c r="AAZ223" s="740"/>
      <c r="ABA223" s="740"/>
      <c r="ABB223" s="740"/>
      <c r="ABC223" s="740"/>
      <c r="ABD223" s="740"/>
      <c r="ABE223" s="740"/>
      <c r="ABF223" s="740"/>
      <c r="ABG223" s="740"/>
      <c r="ABH223" s="740"/>
      <c r="ABI223" s="740"/>
      <c r="ABJ223" s="740"/>
      <c r="ABK223" s="740"/>
      <c r="ABL223" s="740"/>
      <c r="ABM223" s="740"/>
      <c r="ABN223" s="740"/>
      <c r="ABO223" s="740"/>
      <c r="ABP223" s="740"/>
      <c r="ABQ223" s="740"/>
      <c r="ABR223" s="740"/>
      <c r="ABS223" s="740"/>
      <c r="ABT223" s="740"/>
      <c r="ABU223" s="740"/>
      <c r="ABV223" s="740"/>
      <c r="ABW223" s="740"/>
      <c r="ABX223" s="740"/>
      <c r="ABY223" s="740"/>
      <c r="ABZ223" s="740"/>
      <c r="ACA223" s="740"/>
      <c r="ACB223" s="740"/>
      <c r="ACC223" s="740"/>
      <c r="ACD223" s="740"/>
      <c r="ACE223" s="740"/>
      <c r="ACF223" s="740"/>
      <c r="ACG223" s="740"/>
      <c r="ACH223" s="740"/>
      <c r="ACI223" s="740"/>
      <c r="ACJ223" s="740"/>
      <c r="ACK223" s="740"/>
      <c r="ACL223" s="740"/>
      <c r="ACM223" s="740"/>
      <c r="ACN223" s="740"/>
      <c r="ACO223" s="740"/>
      <c r="ACP223" s="740"/>
      <c r="ACQ223" s="740"/>
      <c r="ACR223" s="740"/>
      <c r="ACS223" s="740"/>
      <c r="ACT223" s="740"/>
      <c r="ACU223" s="740"/>
      <c r="ACV223" s="740"/>
      <c r="ACW223" s="740"/>
      <c r="ACX223" s="740"/>
      <c r="ACY223" s="740"/>
      <c r="ACZ223" s="740"/>
      <c r="ADA223" s="740"/>
      <c r="ADB223" s="740"/>
      <c r="ADC223" s="740"/>
      <c r="ADD223" s="740"/>
      <c r="ADE223" s="740"/>
      <c r="ADF223" s="740"/>
      <c r="ADG223" s="740"/>
      <c r="ADH223" s="740"/>
      <c r="ADI223" s="740"/>
      <c r="ADJ223" s="740"/>
      <c r="ADK223" s="740"/>
      <c r="ADL223" s="740"/>
      <c r="ADM223" s="740"/>
      <c r="ADN223" s="740"/>
      <c r="ADO223" s="740"/>
      <c r="ADP223" s="740"/>
      <c r="ADQ223" s="740"/>
      <c r="ADR223" s="740"/>
      <c r="ADS223" s="740"/>
      <c r="ADT223" s="740"/>
      <c r="ADU223" s="740"/>
      <c r="ADV223" s="740"/>
      <c r="ADW223" s="740"/>
      <c r="ADX223" s="740"/>
      <c r="ADY223" s="740"/>
      <c r="ADZ223" s="740"/>
      <c r="AEA223" s="740"/>
      <c r="AEB223" s="740"/>
      <c r="AEC223" s="740"/>
      <c r="AED223" s="740"/>
      <c r="AEE223" s="740"/>
      <c r="AEF223" s="740"/>
      <c r="AEG223" s="740"/>
      <c r="AEH223" s="740"/>
      <c r="AEI223" s="740"/>
      <c r="AEJ223" s="740"/>
      <c r="AEK223" s="740"/>
      <c r="AEL223" s="740"/>
      <c r="AEM223" s="740"/>
      <c r="AEN223" s="740"/>
      <c r="AEO223" s="740"/>
      <c r="AEP223" s="740"/>
      <c r="AEQ223" s="740"/>
      <c r="AER223" s="740"/>
      <c r="AES223" s="740"/>
      <c r="AET223" s="740"/>
      <c r="AEU223" s="740"/>
      <c r="AEV223" s="740"/>
      <c r="AEW223" s="740"/>
      <c r="AEX223" s="740"/>
      <c r="AEY223" s="740"/>
      <c r="AEZ223" s="740"/>
      <c r="AFA223" s="740"/>
      <c r="AFB223" s="740"/>
      <c r="AFC223" s="740"/>
      <c r="AFD223" s="740"/>
      <c r="AFE223" s="740"/>
      <c r="AFF223" s="740"/>
      <c r="AFG223" s="740"/>
      <c r="AFH223" s="740"/>
      <c r="AFI223" s="740"/>
      <c r="AFJ223" s="740"/>
      <c r="AFK223" s="740"/>
      <c r="AFL223" s="740"/>
      <c r="AFM223" s="740"/>
      <c r="AFN223" s="740"/>
      <c r="AFO223" s="740"/>
      <c r="AFP223" s="740"/>
      <c r="AFQ223" s="740"/>
      <c r="AFR223" s="740"/>
      <c r="AFS223" s="740"/>
      <c r="AFT223" s="740"/>
      <c r="AFU223" s="740"/>
      <c r="AFV223" s="740"/>
      <c r="AFW223" s="740"/>
      <c r="AFX223" s="740"/>
      <c r="AFY223" s="740"/>
      <c r="AFZ223" s="740"/>
      <c r="AGA223" s="740"/>
      <c r="AGB223" s="740"/>
      <c r="AGC223" s="740"/>
      <c r="AGD223" s="740"/>
      <c r="AGE223" s="740"/>
      <c r="AGF223" s="740"/>
      <c r="AGG223" s="740"/>
      <c r="AGH223" s="740"/>
      <c r="AGI223" s="740"/>
      <c r="AGJ223" s="740"/>
      <c r="AGK223" s="740"/>
      <c r="AGL223" s="740"/>
      <c r="AGM223" s="740"/>
      <c r="AGN223" s="740"/>
      <c r="AGO223" s="740"/>
      <c r="AGP223" s="740"/>
      <c r="AGQ223" s="740"/>
      <c r="AGR223" s="740"/>
      <c r="AGS223" s="740"/>
      <c r="AGT223" s="740"/>
      <c r="AGU223" s="740"/>
      <c r="AGV223" s="740"/>
      <c r="AGW223" s="740"/>
      <c r="AGX223" s="740"/>
      <c r="AGY223" s="740"/>
      <c r="AGZ223" s="740"/>
      <c r="AHA223" s="740"/>
      <c r="AHB223" s="740"/>
      <c r="AHC223" s="740"/>
      <c r="AHD223" s="740"/>
      <c r="AHE223" s="740"/>
      <c r="AHF223" s="740"/>
      <c r="AHG223" s="740"/>
      <c r="AHH223" s="740"/>
      <c r="AHI223" s="740"/>
      <c r="AHJ223" s="740"/>
      <c r="AHK223" s="740"/>
      <c r="AHL223" s="740"/>
      <c r="AHM223" s="740"/>
      <c r="AHN223" s="740"/>
      <c r="AHO223" s="740"/>
      <c r="AHP223" s="740"/>
      <c r="AHQ223" s="740"/>
      <c r="AHR223" s="740"/>
      <c r="AHS223" s="740"/>
      <c r="AHT223" s="740"/>
      <c r="AHU223" s="740"/>
      <c r="AHV223" s="740"/>
      <c r="AHW223" s="740"/>
      <c r="AHX223" s="740"/>
      <c r="AHY223" s="740"/>
      <c r="AHZ223" s="740"/>
      <c r="AIA223" s="740"/>
      <c r="AIB223" s="740"/>
      <c r="AIC223" s="740"/>
      <c r="AID223" s="740"/>
      <c r="AIE223" s="740"/>
      <c r="AIF223" s="740"/>
      <c r="AIG223" s="740"/>
      <c r="AIH223" s="740"/>
      <c r="AII223" s="740"/>
      <c r="AIJ223" s="740"/>
      <c r="AIK223" s="740"/>
      <c r="AIL223" s="740"/>
      <c r="AIM223" s="740"/>
      <c r="AIN223" s="740"/>
      <c r="AIO223" s="740"/>
      <c r="AIP223" s="740"/>
      <c r="AIQ223" s="740"/>
      <c r="AIR223" s="740"/>
      <c r="AIS223" s="740"/>
      <c r="AIT223" s="740"/>
      <c r="AIU223" s="740"/>
      <c r="AIV223" s="740"/>
      <c r="AIW223" s="740"/>
      <c r="AIX223" s="740"/>
      <c r="AIY223" s="740"/>
      <c r="AIZ223" s="740"/>
      <c r="AJA223" s="740"/>
      <c r="AJB223" s="740"/>
      <c r="AJC223" s="740"/>
      <c r="AJD223" s="740"/>
      <c r="AJE223" s="740"/>
      <c r="AJF223" s="740"/>
      <c r="AJG223" s="740"/>
      <c r="AJH223" s="740"/>
      <c r="AJI223" s="740"/>
      <c r="AJJ223" s="740"/>
      <c r="AJK223" s="740"/>
      <c r="AJL223" s="740"/>
      <c r="AJM223" s="740"/>
      <c r="AJN223" s="740"/>
      <c r="AJO223" s="740"/>
      <c r="AJP223" s="740"/>
      <c r="AJQ223" s="740"/>
      <c r="AJR223" s="740"/>
      <c r="AJS223" s="740"/>
      <c r="AJT223" s="740"/>
      <c r="AJU223" s="740"/>
      <c r="AJV223" s="740"/>
      <c r="AJW223" s="740"/>
      <c r="AJX223" s="740"/>
      <c r="AJY223" s="740"/>
      <c r="AJZ223" s="740"/>
      <c r="AKA223" s="740"/>
      <c r="AKB223" s="740"/>
      <c r="AKC223" s="740"/>
      <c r="AKD223" s="740"/>
      <c r="AKE223" s="740"/>
      <c r="AKF223" s="740"/>
      <c r="AKG223" s="740"/>
      <c r="AKH223" s="740"/>
      <c r="AKI223" s="740"/>
      <c r="AKJ223" s="740"/>
      <c r="AKK223" s="740"/>
      <c r="AKL223" s="740"/>
      <c r="AKM223" s="740"/>
      <c r="AKN223" s="740"/>
      <c r="AKO223" s="740"/>
      <c r="AKP223" s="740"/>
      <c r="AKQ223" s="740"/>
      <c r="AKR223" s="740"/>
      <c r="AKS223" s="740"/>
      <c r="AKT223" s="740"/>
      <c r="AKU223" s="740"/>
      <c r="AKV223" s="740"/>
      <c r="AKW223" s="740"/>
      <c r="AKX223" s="740"/>
      <c r="AKY223" s="740"/>
      <c r="AKZ223" s="740"/>
      <c r="ALA223" s="740"/>
      <c r="ALB223" s="740"/>
      <c r="ALC223" s="740"/>
      <c r="ALD223" s="740"/>
      <c r="ALE223" s="740"/>
      <c r="ALF223" s="740"/>
      <c r="ALG223" s="740"/>
      <c r="ALH223" s="740"/>
      <c r="ALI223" s="740"/>
      <c r="ALJ223" s="740"/>
      <c r="ALK223" s="740"/>
      <c r="ALL223" s="740"/>
      <c r="ALM223" s="740"/>
      <c r="ALN223" s="740"/>
      <c r="ALO223" s="740"/>
      <c r="ALP223" s="740"/>
      <c r="ALQ223" s="740"/>
      <c r="ALR223" s="740"/>
      <c r="ALS223" s="740"/>
      <c r="ALT223" s="740"/>
      <c r="ALU223" s="740"/>
      <c r="ALV223" s="740"/>
      <c r="ALW223" s="740"/>
      <c r="ALX223" s="740"/>
      <c r="ALY223" s="740"/>
      <c r="ALZ223" s="740"/>
      <c r="AMA223" s="740"/>
      <c r="AMB223" s="740"/>
      <c r="AMC223" s="740"/>
      <c r="AMD223" s="740"/>
      <c r="AME223" s="740"/>
      <c r="AMF223" s="740"/>
      <c r="AMG223" s="740"/>
      <c r="AMH223" s="740"/>
      <c r="AMI223" s="740"/>
      <c r="AMJ223" s="740"/>
      <c r="AMK223" s="740"/>
      <c r="AML223" s="740"/>
      <c r="AMM223" s="740"/>
      <c r="AMN223" s="740"/>
      <c r="AMO223" s="740"/>
      <c r="AMP223" s="740"/>
      <c r="AMQ223" s="740"/>
      <c r="AMR223" s="740"/>
      <c r="AMS223" s="740"/>
      <c r="AMT223" s="740"/>
      <c r="AMU223" s="740"/>
      <c r="AMV223" s="740"/>
      <c r="AMW223" s="740"/>
      <c r="AMX223" s="740"/>
      <c r="AMY223" s="740"/>
      <c r="AMZ223" s="740"/>
      <c r="ANA223" s="740"/>
      <c r="ANB223" s="740"/>
      <c r="ANC223" s="740"/>
      <c r="AND223" s="740"/>
      <c r="ANE223" s="740"/>
      <c r="ANF223" s="740"/>
      <c r="ANG223" s="740"/>
      <c r="ANH223" s="740"/>
      <c r="ANI223" s="740"/>
      <c r="ANJ223" s="740"/>
      <c r="ANK223" s="740"/>
      <c r="ANL223" s="740"/>
      <c r="ANM223" s="740"/>
      <c r="ANN223" s="740"/>
      <c r="ANO223" s="740"/>
      <c r="ANP223" s="740"/>
      <c r="ANQ223" s="740"/>
      <c r="ANR223" s="740"/>
      <c r="ANS223" s="740"/>
      <c r="ANT223" s="740"/>
      <c r="ANU223" s="740"/>
      <c r="ANV223" s="740"/>
      <c r="ANW223" s="740"/>
      <c r="ANX223" s="740"/>
      <c r="ANY223" s="740"/>
      <c r="ANZ223" s="740"/>
      <c r="AOA223" s="740"/>
      <c r="AOB223" s="740"/>
      <c r="AOC223" s="740"/>
      <c r="AOD223" s="740"/>
      <c r="AOE223" s="740"/>
      <c r="AOF223" s="740"/>
      <c r="AOG223" s="740"/>
      <c r="AOH223" s="740"/>
      <c r="AOI223" s="740"/>
      <c r="AOJ223" s="740"/>
      <c r="AOK223" s="740"/>
      <c r="AOL223" s="740"/>
      <c r="AOM223" s="740"/>
      <c r="AON223" s="740"/>
      <c r="AOO223" s="740"/>
      <c r="AOP223" s="740"/>
      <c r="AOQ223" s="740"/>
      <c r="AOR223" s="740"/>
      <c r="AOS223" s="740"/>
      <c r="AOT223" s="740"/>
      <c r="AOU223" s="740"/>
      <c r="AOV223" s="740"/>
      <c r="AOW223" s="740"/>
      <c r="AOX223" s="740"/>
      <c r="AOY223" s="740"/>
      <c r="AOZ223" s="740"/>
      <c r="APA223" s="740"/>
      <c r="APB223" s="740"/>
      <c r="APC223" s="740"/>
      <c r="APD223" s="740"/>
      <c r="APE223" s="740"/>
      <c r="APF223" s="740"/>
      <c r="APG223" s="740"/>
      <c r="APH223" s="740"/>
      <c r="API223" s="740"/>
      <c r="APJ223" s="740"/>
      <c r="APK223" s="740"/>
      <c r="APL223" s="740"/>
      <c r="APM223" s="740"/>
      <c r="APN223" s="740"/>
      <c r="APO223" s="740"/>
      <c r="APP223" s="740"/>
      <c r="APQ223" s="740"/>
      <c r="APR223" s="740"/>
      <c r="APS223" s="740"/>
      <c r="APT223" s="740"/>
      <c r="APU223" s="740"/>
      <c r="APV223" s="740"/>
      <c r="APW223" s="740"/>
      <c r="APX223" s="740"/>
      <c r="APY223" s="740"/>
      <c r="APZ223" s="740"/>
      <c r="AQA223" s="740"/>
      <c r="AQB223" s="740"/>
      <c r="AQC223" s="740"/>
      <c r="AQD223" s="740"/>
      <c r="AQE223" s="740"/>
      <c r="AQF223" s="740"/>
      <c r="AQG223" s="740"/>
      <c r="AQH223" s="740"/>
      <c r="AQI223" s="740"/>
      <c r="AQJ223" s="740"/>
      <c r="AQK223" s="740"/>
      <c r="AQL223" s="740"/>
      <c r="AQM223" s="740"/>
      <c r="AQN223" s="740"/>
      <c r="AQO223" s="740"/>
      <c r="AQP223" s="740"/>
      <c r="AQQ223" s="740"/>
      <c r="AQR223" s="740"/>
      <c r="AQS223" s="740"/>
      <c r="AQT223" s="740"/>
      <c r="AQU223" s="740"/>
      <c r="AQV223" s="740"/>
      <c r="AQW223" s="740"/>
      <c r="AQX223" s="740"/>
      <c r="AQY223" s="740"/>
      <c r="AQZ223" s="740"/>
      <c r="ARA223" s="740"/>
      <c r="ARB223" s="740"/>
      <c r="ARC223" s="740"/>
      <c r="ARD223" s="740"/>
      <c r="ARE223" s="740"/>
      <c r="ARF223" s="740"/>
      <c r="ARG223" s="740"/>
      <c r="ARH223" s="740"/>
      <c r="ARI223" s="740"/>
      <c r="ARJ223" s="740"/>
      <c r="ARK223" s="740"/>
      <c r="ARL223" s="740"/>
      <c r="ARM223" s="740"/>
      <c r="ARN223" s="740"/>
      <c r="ARO223" s="740"/>
      <c r="ARP223" s="740"/>
      <c r="ARQ223" s="740"/>
      <c r="ARR223" s="740"/>
      <c r="ARS223" s="740"/>
      <c r="ART223" s="740"/>
      <c r="ARU223" s="740"/>
      <c r="ARV223" s="740"/>
      <c r="ARW223" s="740"/>
      <c r="ARX223" s="740"/>
      <c r="ARY223" s="740"/>
      <c r="ARZ223" s="740"/>
      <c r="ASA223" s="740"/>
      <c r="ASB223" s="740"/>
      <c r="ASC223" s="740"/>
      <c r="ASD223" s="740"/>
      <c r="ASE223" s="740"/>
      <c r="ASF223" s="740"/>
      <c r="ASG223" s="740"/>
      <c r="ASH223" s="740"/>
      <c r="ASI223" s="740"/>
      <c r="ASJ223" s="740"/>
      <c r="ASK223" s="740"/>
      <c r="ASL223" s="740"/>
      <c r="ASM223" s="740"/>
      <c r="ASN223" s="740"/>
      <c r="ASO223" s="740"/>
      <c r="ASP223" s="740"/>
      <c r="ASQ223" s="740"/>
      <c r="ASR223" s="740"/>
      <c r="ASS223" s="740"/>
      <c r="AST223" s="740"/>
      <c r="ASU223" s="740"/>
      <c r="ASV223" s="740"/>
      <c r="ASW223" s="740"/>
      <c r="ASX223" s="740"/>
      <c r="ASY223" s="740"/>
      <c r="ASZ223" s="740"/>
      <c r="ATA223" s="740"/>
      <c r="ATB223" s="740"/>
      <c r="ATC223" s="740"/>
      <c r="ATD223" s="740"/>
      <c r="ATE223" s="740"/>
      <c r="ATF223" s="740"/>
      <c r="ATG223" s="740"/>
      <c r="ATH223" s="740"/>
      <c r="ATI223" s="740"/>
      <c r="ATJ223" s="740"/>
      <c r="ATK223" s="740"/>
      <c r="ATL223" s="740"/>
      <c r="ATM223" s="740"/>
      <c r="ATN223" s="740"/>
      <c r="ATO223" s="740"/>
      <c r="ATP223" s="740"/>
      <c r="ATQ223" s="740"/>
      <c r="ATR223" s="740"/>
      <c r="ATS223" s="740"/>
      <c r="ATT223" s="740"/>
      <c r="ATU223" s="740"/>
      <c r="ATV223" s="740"/>
      <c r="ATW223" s="740"/>
      <c r="ATX223" s="740"/>
      <c r="ATY223" s="740"/>
      <c r="ATZ223" s="740"/>
      <c r="AUA223" s="740"/>
      <c r="AUB223" s="740"/>
      <c r="AUC223" s="740"/>
      <c r="AUD223" s="740"/>
      <c r="AUE223" s="740"/>
      <c r="AUF223" s="740"/>
      <c r="AUG223" s="740"/>
      <c r="AUH223" s="740"/>
      <c r="AUI223" s="740"/>
      <c r="AUJ223" s="740"/>
      <c r="AUK223" s="740"/>
      <c r="AUL223" s="740"/>
      <c r="AUM223" s="740"/>
      <c r="AUN223" s="740"/>
      <c r="AUO223" s="740"/>
      <c r="AUP223" s="740"/>
      <c r="AUQ223" s="740"/>
      <c r="AUR223" s="740"/>
      <c r="AUS223" s="740"/>
      <c r="AUT223" s="740"/>
      <c r="AUU223" s="740"/>
      <c r="AUV223" s="740"/>
      <c r="AUW223" s="740"/>
      <c r="AUX223" s="740"/>
      <c r="AUY223" s="740"/>
      <c r="AUZ223" s="740"/>
      <c r="AVA223" s="740"/>
      <c r="AVB223" s="740"/>
      <c r="AVC223" s="740"/>
      <c r="AVD223" s="740"/>
      <c r="AVE223" s="740"/>
      <c r="AVF223" s="740"/>
      <c r="AVG223" s="740"/>
      <c r="AVH223" s="740"/>
      <c r="AVI223" s="740"/>
      <c r="AVJ223" s="740"/>
      <c r="AVK223" s="740"/>
      <c r="AVL223" s="740"/>
      <c r="AVM223" s="740"/>
      <c r="AVN223" s="740"/>
      <c r="AVO223" s="740"/>
      <c r="AVP223" s="740"/>
      <c r="AVQ223" s="740"/>
      <c r="AVR223" s="740"/>
      <c r="AVS223" s="740"/>
      <c r="AVT223" s="740"/>
      <c r="AVU223" s="740"/>
      <c r="AVV223" s="740"/>
      <c r="AVW223" s="740"/>
      <c r="AVX223" s="740"/>
      <c r="AVY223" s="740"/>
      <c r="AVZ223" s="740"/>
      <c r="AWA223" s="740"/>
      <c r="AWB223" s="740"/>
      <c r="AWC223" s="740"/>
      <c r="AWD223" s="740"/>
      <c r="AWE223" s="740"/>
      <c r="AWF223" s="740"/>
      <c r="AWG223" s="740"/>
      <c r="AWH223" s="740"/>
      <c r="AWI223" s="740"/>
      <c r="AWJ223" s="740"/>
      <c r="AWK223" s="740"/>
      <c r="AWL223" s="740"/>
      <c r="AWM223" s="740"/>
      <c r="AWN223" s="740"/>
      <c r="AWO223" s="740"/>
      <c r="AWP223" s="740"/>
      <c r="AWQ223" s="740"/>
      <c r="AWR223" s="740"/>
      <c r="AWS223" s="740"/>
      <c r="AWT223" s="740"/>
      <c r="AWU223" s="740"/>
      <c r="AWV223" s="740"/>
      <c r="AWW223" s="740"/>
      <c r="AWX223" s="740"/>
      <c r="AWY223" s="740"/>
      <c r="AWZ223" s="740"/>
      <c r="AXA223" s="740"/>
      <c r="AXB223" s="740"/>
      <c r="AXC223" s="740"/>
      <c r="AXD223" s="740"/>
      <c r="AXE223" s="740"/>
      <c r="AXF223" s="740"/>
      <c r="AXG223" s="740"/>
      <c r="AXH223" s="740"/>
      <c r="AXI223" s="740"/>
      <c r="AXJ223" s="740"/>
    </row>
    <row r="224" spans="1:1310" s="741" customFormat="1" ht="23.25" customHeight="1">
      <c r="A224" s="756"/>
      <c r="B224" s="10159" t="s">
        <v>1562</v>
      </c>
      <c r="C224" s="10159"/>
      <c r="D224" s="10159"/>
      <c r="E224" s="10159"/>
      <c r="F224" s="10159"/>
      <c r="G224" s="10159"/>
      <c r="H224" s="10159"/>
      <c r="I224" s="10159"/>
      <c r="J224" s="10159"/>
      <c r="K224" s="10159"/>
      <c r="L224" s="10159"/>
      <c r="M224" s="10159"/>
      <c r="N224" s="10159"/>
      <c r="O224" s="10159"/>
      <c r="P224" s="10159"/>
      <c r="Q224" s="10159"/>
      <c r="R224" s="311"/>
      <c r="S224" s="311"/>
      <c r="T224" s="311"/>
      <c r="U224" s="311"/>
      <c r="V224" s="311"/>
      <c r="W224" s="311"/>
      <c r="X224" s="311"/>
      <c r="Y224" s="311"/>
      <c r="Z224" s="311"/>
      <c r="AA224" s="311"/>
      <c r="AB224" s="311"/>
      <c r="AC224" s="311"/>
      <c r="AD224" s="740"/>
      <c r="AE224" s="740"/>
      <c r="AF224" s="740"/>
      <c r="AG224" s="740"/>
      <c r="AH224" s="740"/>
      <c r="AI224" s="740"/>
      <c r="AJ224" s="740"/>
      <c r="AK224" s="740"/>
      <c r="AL224" s="740"/>
      <c r="AM224" s="740"/>
      <c r="AN224" s="740"/>
      <c r="AO224" s="740"/>
      <c r="AP224" s="740"/>
      <c r="AQ224" s="740"/>
      <c r="AR224" s="740"/>
      <c r="AS224" s="740"/>
      <c r="AT224" s="740"/>
      <c r="AU224" s="740"/>
      <c r="AV224" s="740"/>
      <c r="AW224" s="740"/>
      <c r="AX224" s="740"/>
      <c r="AY224" s="740"/>
      <c r="AZ224" s="740"/>
      <c r="BA224" s="740"/>
      <c r="BB224" s="740"/>
      <c r="BC224" s="740"/>
      <c r="BD224" s="740"/>
      <c r="BE224" s="740"/>
      <c r="BF224" s="740"/>
      <c r="BG224" s="740"/>
      <c r="BH224" s="740"/>
      <c r="BI224" s="740"/>
      <c r="BJ224" s="740"/>
      <c r="BK224" s="740"/>
      <c r="BL224" s="740"/>
      <c r="BM224" s="740"/>
      <c r="BN224" s="740"/>
      <c r="BO224" s="740"/>
      <c r="BP224" s="740"/>
      <c r="BQ224" s="740"/>
      <c r="BR224" s="740"/>
      <c r="BS224" s="740"/>
      <c r="BT224" s="740"/>
      <c r="BU224" s="740"/>
      <c r="BV224" s="740"/>
      <c r="BW224" s="740"/>
      <c r="BX224" s="740"/>
      <c r="BY224" s="740"/>
      <c r="BZ224" s="740"/>
      <c r="CA224" s="740"/>
      <c r="CB224" s="740"/>
      <c r="CC224" s="740"/>
      <c r="CD224" s="740"/>
      <c r="CE224" s="740"/>
      <c r="CF224" s="740"/>
      <c r="CG224" s="740"/>
      <c r="CH224" s="740"/>
      <c r="CI224" s="740"/>
      <c r="CJ224" s="740"/>
      <c r="CK224" s="740"/>
      <c r="CL224" s="740"/>
      <c r="CM224" s="740"/>
      <c r="CN224" s="740"/>
      <c r="CO224" s="740"/>
      <c r="CP224" s="740"/>
      <c r="CQ224" s="740"/>
      <c r="CR224" s="740"/>
      <c r="CS224" s="740"/>
      <c r="CT224" s="740"/>
      <c r="CU224" s="740"/>
      <c r="CV224" s="740"/>
      <c r="CW224" s="740"/>
      <c r="CX224" s="740"/>
      <c r="CY224" s="740"/>
      <c r="CZ224" s="740"/>
      <c r="DA224" s="740"/>
      <c r="DB224" s="740"/>
      <c r="DC224" s="740"/>
      <c r="DD224" s="740"/>
      <c r="DE224" s="740"/>
      <c r="DF224" s="740"/>
      <c r="DG224" s="740"/>
      <c r="DH224" s="740"/>
      <c r="DI224" s="740"/>
      <c r="DJ224" s="740"/>
      <c r="DK224" s="740"/>
      <c r="DL224" s="740"/>
      <c r="DM224" s="740"/>
      <c r="DN224" s="740"/>
      <c r="DO224" s="740"/>
      <c r="DP224" s="740"/>
      <c r="DQ224" s="740"/>
      <c r="DR224" s="740"/>
      <c r="DS224" s="740"/>
      <c r="DT224" s="740"/>
      <c r="DU224" s="740"/>
      <c r="DV224" s="740"/>
      <c r="DW224" s="740"/>
      <c r="DX224" s="740"/>
      <c r="DY224" s="740"/>
      <c r="DZ224" s="740"/>
      <c r="EA224" s="740"/>
      <c r="EB224" s="740"/>
      <c r="EC224" s="740"/>
      <c r="ED224" s="740"/>
      <c r="EE224" s="740"/>
      <c r="EF224" s="740"/>
      <c r="EG224" s="740"/>
      <c r="EH224" s="740"/>
      <c r="EI224" s="740"/>
      <c r="EJ224" s="740"/>
      <c r="EK224" s="740"/>
      <c r="EL224" s="740"/>
      <c r="EM224" s="740"/>
      <c r="EN224" s="740"/>
      <c r="EO224" s="740"/>
      <c r="EP224" s="740"/>
      <c r="EQ224" s="740"/>
      <c r="ER224" s="740"/>
      <c r="ES224" s="740"/>
      <c r="ET224" s="740"/>
      <c r="EU224" s="740"/>
      <c r="EV224" s="740"/>
      <c r="EW224" s="740"/>
      <c r="EX224" s="740"/>
      <c r="EY224" s="740"/>
      <c r="EZ224" s="740"/>
      <c r="FA224" s="740"/>
      <c r="FB224" s="740"/>
      <c r="FC224" s="740"/>
      <c r="FD224" s="740"/>
      <c r="FE224" s="740"/>
      <c r="FF224" s="740"/>
      <c r="FG224" s="740"/>
      <c r="FH224" s="740"/>
      <c r="FI224" s="740"/>
      <c r="FJ224" s="740"/>
      <c r="FK224" s="740"/>
      <c r="FL224" s="740"/>
      <c r="FM224" s="740"/>
      <c r="FN224" s="740"/>
      <c r="FO224" s="740"/>
      <c r="FP224" s="740"/>
      <c r="FQ224" s="740"/>
      <c r="FR224" s="740"/>
      <c r="FS224" s="740"/>
      <c r="FT224" s="740"/>
      <c r="FU224" s="740"/>
      <c r="FV224" s="740"/>
      <c r="FW224" s="740"/>
      <c r="FX224" s="740"/>
      <c r="FY224" s="740"/>
      <c r="FZ224" s="740"/>
      <c r="GA224" s="740"/>
      <c r="GB224" s="740"/>
      <c r="GC224" s="740"/>
      <c r="GD224" s="740"/>
      <c r="GE224" s="740"/>
      <c r="GF224" s="740"/>
      <c r="GG224" s="740"/>
      <c r="GH224" s="740"/>
      <c r="GI224" s="740"/>
      <c r="GJ224" s="740"/>
      <c r="GK224" s="740"/>
      <c r="GL224" s="740"/>
      <c r="GM224" s="740"/>
      <c r="GN224" s="740"/>
      <c r="GO224" s="740"/>
      <c r="GP224" s="740"/>
      <c r="GQ224" s="740"/>
      <c r="GR224" s="740"/>
      <c r="GS224" s="740"/>
      <c r="GT224" s="740"/>
      <c r="GU224" s="740"/>
      <c r="GV224" s="740"/>
      <c r="GW224" s="740"/>
      <c r="GX224" s="740"/>
      <c r="GY224" s="740"/>
      <c r="GZ224" s="740"/>
      <c r="HA224" s="740"/>
      <c r="HB224" s="740"/>
      <c r="HC224" s="740"/>
      <c r="HD224" s="740"/>
      <c r="HE224" s="740"/>
      <c r="HF224" s="740"/>
      <c r="HG224" s="740"/>
      <c r="HH224" s="740"/>
      <c r="HI224" s="740"/>
      <c r="HJ224" s="740"/>
      <c r="HK224" s="740"/>
      <c r="HL224" s="740"/>
      <c r="HM224" s="740"/>
      <c r="HN224" s="740"/>
      <c r="HO224" s="740"/>
      <c r="HP224" s="740"/>
      <c r="HQ224" s="740"/>
      <c r="HR224" s="740"/>
      <c r="HS224" s="740"/>
      <c r="HT224" s="740"/>
      <c r="HU224" s="740"/>
      <c r="HV224" s="740"/>
      <c r="HW224" s="740"/>
      <c r="HX224" s="740"/>
      <c r="HY224" s="740"/>
      <c r="HZ224" s="740"/>
      <c r="IA224" s="740"/>
      <c r="IB224" s="740"/>
      <c r="IC224" s="740"/>
      <c r="ID224" s="740"/>
      <c r="IE224" s="740"/>
      <c r="IF224" s="740"/>
      <c r="IG224" s="740"/>
      <c r="IH224" s="740"/>
      <c r="II224" s="740"/>
      <c r="IJ224" s="740"/>
      <c r="IK224" s="740"/>
      <c r="IL224" s="740"/>
      <c r="IM224" s="740"/>
      <c r="IN224" s="740"/>
      <c r="IO224" s="740"/>
      <c r="IP224" s="740"/>
      <c r="IQ224" s="740"/>
      <c r="IR224" s="740"/>
      <c r="IS224" s="740"/>
      <c r="IT224" s="740"/>
      <c r="IU224" s="740"/>
      <c r="IV224" s="740"/>
      <c r="IW224" s="740"/>
      <c r="IX224" s="740"/>
      <c r="IY224" s="740"/>
      <c r="IZ224" s="740"/>
      <c r="JA224" s="740"/>
      <c r="JB224" s="740"/>
      <c r="JC224" s="740"/>
      <c r="JD224" s="740"/>
      <c r="JE224" s="740"/>
      <c r="JF224" s="740"/>
      <c r="JG224" s="740"/>
      <c r="JH224" s="740"/>
      <c r="JI224" s="740"/>
      <c r="JJ224" s="740"/>
      <c r="JK224" s="740"/>
      <c r="JL224" s="740"/>
      <c r="JM224" s="740"/>
      <c r="JN224" s="740"/>
      <c r="JO224" s="740"/>
      <c r="JP224" s="740"/>
      <c r="JQ224" s="740"/>
      <c r="JR224" s="740"/>
      <c r="JS224" s="740"/>
      <c r="JT224" s="740"/>
      <c r="JU224" s="740"/>
      <c r="JV224" s="740"/>
      <c r="JW224" s="740"/>
      <c r="JX224" s="740"/>
      <c r="JY224" s="740"/>
      <c r="JZ224" s="740"/>
      <c r="KA224" s="740"/>
      <c r="KB224" s="740"/>
      <c r="KC224" s="740"/>
      <c r="KD224" s="740"/>
      <c r="KE224" s="740"/>
      <c r="KF224" s="740"/>
      <c r="KG224" s="740"/>
      <c r="KH224" s="740"/>
      <c r="KI224" s="740"/>
      <c r="KJ224" s="740"/>
      <c r="KK224" s="740"/>
      <c r="KL224" s="740"/>
      <c r="KM224" s="740"/>
      <c r="KN224" s="740"/>
      <c r="KO224" s="740"/>
      <c r="KP224" s="740"/>
      <c r="KQ224" s="740"/>
      <c r="KR224" s="740"/>
      <c r="KS224" s="740"/>
      <c r="KT224" s="740"/>
      <c r="KU224" s="740"/>
      <c r="KV224" s="740"/>
      <c r="KW224" s="740"/>
      <c r="KX224" s="740"/>
      <c r="KY224" s="740"/>
      <c r="KZ224" s="740"/>
      <c r="LA224" s="740"/>
      <c r="LB224" s="740"/>
      <c r="LC224" s="740"/>
      <c r="LD224" s="740"/>
      <c r="LE224" s="740"/>
      <c r="LF224" s="740"/>
      <c r="LG224" s="740"/>
      <c r="LH224" s="740"/>
      <c r="LI224" s="740"/>
      <c r="LJ224" s="740"/>
      <c r="LK224" s="740"/>
      <c r="LL224" s="740"/>
      <c r="LM224" s="740"/>
      <c r="LN224" s="740"/>
      <c r="LO224" s="740"/>
      <c r="LP224" s="740"/>
      <c r="LQ224" s="740"/>
      <c r="LR224" s="740"/>
      <c r="LS224" s="740"/>
      <c r="LT224" s="740"/>
      <c r="LU224" s="740"/>
      <c r="LV224" s="740"/>
      <c r="LW224" s="740"/>
      <c r="LX224" s="740"/>
      <c r="LY224" s="740"/>
      <c r="LZ224" s="740"/>
      <c r="MA224" s="740"/>
      <c r="MB224" s="740"/>
      <c r="MC224" s="740"/>
      <c r="MD224" s="740"/>
      <c r="ME224" s="740"/>
      <c r="MF224" s="740"/>
      <c r="MG224" s="740"/>
      <c r="MH224" s="740"/>
      <c r="MI224" s="740"/>
      <c r="MJ224" s="740"/>
      <c r="MK224" s="740"/>
      <c r="ML224" s="740"/>
      <c r="MM224" s="740"/>
      <c r="MN224" s="740"/>
      <c r="MO224" s="740"/>
      <c r="MP224" s="740"/>
      <c r="MQ224" s="740"/>
      <c r="MR224" s="740"/>
      <c r="MS224" s="740"/>
      <c r="MT224" s="740"/>
      <c r="MU224" s="740"/>
      <c r="MV224" s="740"/>
      <c r="MW224" s="740"/>
      <c r="MX224" s="740"/>
      <c r="MY224" s="740"/>
      <c r="MZ224" s="740"/>
      <c r="NA224" s="740"/>
      <c r="NB224" s="740"/>
      <c r="NC224" s="740"/>
      <c r="ND224" s="740"/>
      <c r="NE224" s="740"/>
      <c r="NF224" s="740"/>
      <c r="NG224" s="740"/>
      <c r="NH224" s="740"/>
      <c r="NI224" s="740"/>
      <c r="NJ224" s="740"/>
      <c r="NK224" s="740"/>
      <c r="NL224" s="740"/>
      <c r="NM224" s="740"/>
      <c r="NN224" s="740"/>
      <c r="NO224" s="740"/>
      <c r="NP224" s="740"/>
      <c r="NQ224" s="740"/>
      <c r="NR224" s="740"/>
      <c r="NS224" s="740"/>
      <c r="NT224" s="740"/>
      <c r="NU224" s="740"/>
      <c r="NV224" s="740"/>
      <c r="NW224" s="740"/>
      <c r="NX224" s="740"/>
      <c r="NY224" s="740"/>
      <c r="NZ224" s="740"/>
      <c r="OA224" s="740"/>
      <c r="OB224" s="740"/>
      <c r="OC224" s="740"/>
      <c r="OD224" s="740"/>
      <c r="OE224" s="740"/>
      <c r="OF224" s="740"/>
      <c r="OG224" s="740"/>
      <c r="OH224" s="740"/>
      <c r="OI224" s="740"/>
      <c r="OJ224" s="740"/>
      <c r="OK224" s="740"/>
      <c r="OL224" s="740"/>
      <c r="OM224" s="740"/>
      <c r="ON224" s="740"/>
      <c r="OO224" s="740"/>
      <c r="OP224" s="740"/>
      <c r="OQ224" s="740"/>
      <c r="OR224" s="740"/>
      <c r="OS224" s="740"/>
      <c r="OT224" s="740"/>
      <c r="OU224" s="740"/>
      <c r="OV224" s="740"/>
      <c r="OW224" s="740"/>
      <c r="OX224" s="740"/>
      <c r="OY224" s="740"/>
      <c r="OZ224" s="740"/>
      <c r="PA224" s="740"/>
      <c r="PB224" s="740"/>
      <c r="PC224" s="740"/>
      <c r="PD224" s="740"/>
      <c r="PE224" s="740"/>
      <c r="PF224" s="740"/>
      <c r="PG224" s="740"/>
      <c r="PH224" s="740"/>
      <c r="PI224" s="740"/>
      <c r="PJ224" s="740"/>
      <c r="PK224" s="740"/>
      <c r="PL224" s="740"/>
      <c r="PM224" s="740"/>
      <c r="PN224" s="740"/>
      <c r="PO224" s="740"/>
      <c r="PP224" s="740"/>
      <c r="PQ224" s="740"/>
      <c r="PR224" s="740"/>
      <c r="PS224" s="740"/>
      <c r="PT224" s="740"/>
      <c r="PU224" s="740"/>
      <c r="PV224" s="740"/>
      <c r="PW224" s="740"/>
      <c r="PX224" s="740"/>
      <c r="PY224" s="740"/>
      <c r="PZ224" s="740"/>
      <c r="QA224" s="740"/>
      <c r="QB224" s="740"/>
      <c r="QC224" s="740"/>
      <c r="QD224" s="740"/>
      <c r="QE224" s="740"/>
      <c r="QF224" s="740"/>
      <c r="QG224" s="740"/>
      <c r="QH224" s="740"/>
      <c r="QI224" s="740"/>
      <c r="QJ224" s="740"/>
      <c r="QK224" s="740"/>
      <c r="QL224" s="740"/>
      <c r="QM224" s="740"/>
      <c r="QN224" s="740"/>
      <c r="QO224" s="740"/>
      <c r="QP224" s="740"/>
      <c r="QQ224" s="740"/>
      <c r="QR224" s="740"/>
      <c r="QS224" s="740"/>
      <c r="QT224" s="740"/>
      <c r="QU224" s="740"/>
      <c r="QV224" s="740"/>
      <c r="QW224" s="740"/>
      <c r="QX224" s="740"/>
      <c r="QY224" s="740"/>
      <c r="QZ224" s="740"/>
      <c r="RA224" s="740"/>
      <c r="RB224" s="740"/>
      <c r="RC224" s="740"/>
      <c r="RD224" s="740"/>
      <c r="RE224" s="740"/>
      <c r="RF224" s="740"/>
      <c r="RG224" s="740"/>
      <c r="RH224" s="740"/>
      <c r="RI224" s="740"/>
      <c r="RJ224" s="740"/>
      <c r="RK224" s="740"/>
      <c r="RL224" s="740"/>
      <c r="RM224" s="740"/>
      <c r="RN224" s="740"/>
      <c r="RO224" s="740"/>
      <c r="RP224" s="740"/>
      <c r="RQ224" s="740"/>
      <c r="RR224" s="740"/>
      <c r="RS224" s="740"/>
      <c r="RT224" s="740"/>
      <c r="RU224" s="740"/>
      <c r="RV224" s="740"/>
      <c r="RW224" s="740"/>
      <c r="RX224" s="740"/>
      <c r="RY224" s="740"/>
      <c r="RZ224" s="740"/>
      <c r="SA224" s="740"/>
      <c r="SB224" s="740"/>
      <c r="SC224" s="740"/>
      <c r="SD224" s="740"/>
      <c r="SE224" s="740"/>
      <c r="SF224" s="740"/>
      <c r="SG224" s="740"/>
      <c r="SH224" s="740"/>
      <c r="SI224" s="740"/>
      <c r="SJ224" s="740"/>
      <c r="SK224" s="740"/>
      <c r="SL224" s="740"/>
      <c r="SM224" s="740"/>
      <c r="SN224" s="740"/>
      <c r="SO224" s="740"/>
      <c r="SP224" s="740"/>
      <c r="SQ224" s="740"/>
      <c r="SR224" s="740"/>
      <c r="SS224" s="740"/>
      <c r="ST224" s="740"/>
      <c r="SU224" s="740"/>
      <c r="SV224" s="740"/>
      <c r="SW224" s="740"/>
      <c r="SX224" s="740"/>
      <c r="SY224" s="740"/>
      <c r="SZ224" s="740"/>
      <c r="TA224" s="740"/>
      <c r="TB224" s="740"/>
      <c r="TC224" s="740"/>
      <c r="TD224" s="740"/>
      <c r="TE224" s="740"/>
      <c r="TF224" s="740"/>
      <c r="TG224" s="740"/>
      <c r="TH224" s="740"/>
      <c r="TI224" s="740"/>
      <c r="TJ224" s="740"/>
      <c r="TK224" s="740"/>
      <c r="TL224" s="740"/>
      <c r="TM224" s="740"/>
      <c r="TN224" s="740"/>
      <c r="TO224" s="740"/>
      <c r="TP224" s="740"/>
      <c r="TQ224" s="740"/>
      <c r="TR224" s="740"/>
      <c r="TS224" s="740"/>
      <c r="TT224" s="740"/>
      <c r="TU224" s="740"/>
      <c r="TV224" s="740"/>
      <c r="TW224" s="740"/>
      <c r="TX224" s="740"/>
      <c r="TY224" s="740"/>
      <c r="TZ224" s="740"/>
      <c r="UA224" s="740"/>
      <c r="UB224" s="740"/>
      <c r="UC224" s="740"/>
      <c r="UD224" s="740"/>
      <c r="UE224" s="740"/>
      <c r="UF224" s="740"/>
      <c r="UG224" s="740"/>
      <c r="UH224" s="740"/>
      <c r="UI224" s="740"/>
      <c r="UJ224" s="740"/>
      <c r="UK224" s="740"/>
      <c r="UL224" s="740"/>
      <c r="UM224" s="740"/>
      <c r="UN224" s="740"/>
      <c r="UO224" s="740"/>
      <c r="UP224" s="740"/>
      <c r="UQ224" s="740"/>
      <c r="UR224" s="740"/>
      <c r="US224" s="740"/>
      <c r="UT224" s="740"/>
      <c r="UU224" s="740"/>
      <c r="UV224" s="740"/>
      <c r="UW224" s="740"/>
      <c r="UX224" s="740"/>
      <c r="UY224" s="740"/>
      <c r="UZ224" s="740"/>
      <c r="VA224" s="740"/>
      <c r="VB224" s="740"/>
      <c r="VC224" s="740"/>
      <c r="VD224" s="740"/>
      <c r="VE224" s="740"/>
      <c r="VF224" s="740"/>
      <c r="VG224" s="740"/>
      <c r="VH224" s="740"/>
      <c r="VI224" s="740"/>
      <c r="VJ224" s="740"/>
      <c r="VK224" s="740"/>
      <c r="VL224" s="740"/>
      <c r="VM224" s="740"/>
      <c r="VN224" s="740"/>
      <c r="VO224" s="740"/>
      <c r="VP224" s="740"/>
      <c r="VQ224" s="740"/>
      <c r="VR224" s="740"/>
      <c r="VS224" s="740"/>
      <c r="VT224" s="740"/>
      <c r="VU224" s="740"/>
      <c r="VV224" s="740"/>
      <c r="VW224" s="740"/>
      <c r="VX224" s="740"/>
      <c r="VY224" s="740"/>
      <c r="VZ224" s="740"/>
      <c r="WA224" s="740"/>
      <c r="WB224" s="740"/>
      <c r="WC224" s="740"/>
      <c r="WD224" s="740"/>
      <c r="WE224" s="740"/>
      <c r="WF224" s="740"/>
      <c r="WG224" s="740"/>
      <c r="WH224" s="740"/>
      <c r="WI224" s="740"/>
      <c r="WJ224" s="740"/>
      <c r="WK224" s="740"/>
      <c r="WL224" s="740"/>
      <c r="WM224" s="740"/>
      <c r="WN224" s="740"/>
      <c r="WO224" s="740"/>
      <c r="WP224" s="740"/>
      <c r="WQ224" s="740"/>
      <c r="WR224" s="740"/>
      <c r="WS224" s="740"/>
      <c r="WT224" s="740"/>
      <c r="WU224" s="740"/>
      <c r="WV224" s="740"/>
      <c r="WW224" s="740"/>
      <c r="WX224" s="740"/>
      <c r="WY224" s="740"/>
      <c r="WZ224" s="740"/>
      <c r="XA224" s="740"/>
      <c r="XB224" s="740"/>
      <c r="XC224" s="740"/>
      <c r="XD224" s="740"/>
      <c r="XE224" s="740"/>
      <c r="XF224" s="740"/>
      <c r="XG224" s="740"/>
      <c r="XH224" s="740"/>
      <c r="XI224" s="740"/>
      <c r="XJ224" s="740"/>
      <c r="XK224" s="740"/>
      <c r="XL224" s="740"/>
      <c r="XM224" s="740"/>
      <c r="XN224" s="740"/>
      <c r="XO224" s="740"/>
      <c r="XP224" s="740"/>
      <c r="XQ224" s="740"/>
      <c r="XR224" s="740"/>
      <c r="XS224" s="740"/>
      <c r="XT224" s="740"/>
      <c r="XU224" s="740"/>
      <c r="XV224" s="740"/>
      <c r="XW224" s="740"/>
      <c r="XX224" s="740"/>
      <c r="XY224" s="740"/>
      <c r="XZ224" s="740"/>
      <c r="YA224" s="740"/>
      <c r="YB224" s="740"/>
      <c r="YC224" s="740"/>
      <c r="YD224" s="740"/>
      <c r="YE224" s="740"/>
      <c r="YF224" s="740"/>
      <c r="YG224" s="740"/>
      <c r="YH224" s="740"/>
      <c r="YI224" s="740"/>
      <c r="YJ224" s="740"/>
      <c r="YK224" s="740"/>
      <c r="YL224" s="740"/>
      <c r="YM224" s="740"/>
      <c r="YN224" s="740"/>
      <c r="YO224" s="740"/>
      <c r="YP224" s="740"/>
      <c r="YQ224" s="740"/>
      <c r="YR224" s="740"/>
      <c r="YS224" s="740"/>
      <c r="YT224" s="740"/>
      <c r="YU224" s="740"/>
      <c r="YV224" s="740"/>
      <c r="YW224" s="740"/>
      <c r="YX224" s="740"/>
      <c r="YY224" s="740"/>
      <c r="YZ224" s="740"/>
      <c r="ZA224" s="740"/>
      <c r="ZB224" s="740"/>
      <c r="ZC224" s="740"/>
      <c r="ZD224" s="740"/>
      <c r="ZE224" s="740"/>
      <c r="ZF224" s="740"/>
      <c r="ZG224" s="740"/>
      <c r="ZH224" s="740"/>
      <c r="ZI224" s="740"/>
      <c r="ZJ224" s="740"/>
      <c r="ZK224" s="740"/>
      <c r="ZL224" s="740"/>
      <c r="ZM224" s="740"/>
      <c r="ZN224" s="740"/>
      <c r="ZO224" s="740"/>
      <c r="ZP224" s="740"/>
      <c r="ZQ224" s="740"/>
      <c r="ZR224" s="740"/>
      <c r="ZS224" s="740"/>
      <c r="ZT224" s="740"/>
      <c r="ZU224" s="740"/>
      <c r="ZV224" s="740"/>
      <c r="ZW224" s="740"/>
      <c r="ZX224" s="740"/>
      <c r="ZY224" s="740"/>
      <c r="ZZ224" s="740"/>
      <c r="AAA224" s="740"/>
      <c r="AAB224" s="740"/>
      <c r="AAC224" s="740"/>
      <c r="AAD224" s="740"/>
      <c r="AAE224" s="740"/>
      <c r="AAF224" s="740"/>
      <c r="AAG224" s="740"/>
      <c r="AAH224" s="740"/>
      <c r="AAI224" s="740"/>
      <c r="AAJ224" s="740"/>
      <c r="AAK224" s="740"/>
      <c r="AAL224" s="740"/>
      <c r="AAM224" s="740"/>
      <c r="AAN224" s="740"/>
      <c r="AAO224" s="740"/>
      <c r="AAP224" s="740"/>
      <c r="AAQ224" s="740"/>
      <c r="AAR224" s="740"/>
      <c r="AAS224" s="740"/>
      <c r="AAT224" s="740"/>
      <c r="AAU224" s="740"/>
      <c r="AAV224" s="740"/>
      <c r="AAW224" s="740"/>
      <c r="AAX224" s="740"/>
      <c r="AAY224" s="740"/>
      <c r="AAZ224" s="740"/>
      <c r="ABA224" s="740"/>
      <c r="ABB224" s="740"/>
      <c r="ABC224" s="740"/>
      <c r="ABD224" s="740"/>
      <c r="ABE224" s="740"/>
      <c r="ABF224" s="740"/>
      <c r="ABG224" s="740"/>
      <c r="ABH224" s="740"/>
      <c r="ABI224" s="740"/>
      <c r="ABJ224" s="740"/>
      <c r="ABK224" s="740"/>
      <c r="ABL224" s="740"/>
      <c r="ABM224" s="740"/>
      <c r="ABN224" s="740"/>
      <c r="ABO224" s="740"/>
      <c r="ABP224" s="740"/>
      <c r="ABQ224" s="740"/>
      <c r="ABR224" s="740"/>
      <c r="ABS224" s="740"/>
      <c r="ABT224" s="740"/>
      <c r="ABU224" s="740"/>
      <c r="ABV224" s="740"/>
      <c r="ABW224" s="740"/>
      <c r="ABX224" s="740"/>
      <c r="ABY224" s="740"/>
      <c r="ABZ224" s="740"/>
      <c r="ACA224" s="740"/>
      <c r="ACB224" s="740"/>
      <c r="ACC224" s="740"/>
      <c r="ACD224" s="740"/>
      <c r="ACE224" s="740"/>
      <c r="ACF224" s="740"/>
      <c r="ACG224" s="740"/>
      <c r="ACH224" s="740"/>
      <c r="ACI224" s="740"/>
      <c r="ACJ224" s="740"/>
      <c r="ACK224" s="740"/>
      <c r="ACL224" s="740"/>
      <c r="ACM224" s="740"/>
      <c r="ACN224" s="740"/>
      <c r="ACO224" s="740"/>
      <c r="ACP224" s="740"/>
      <c r="ACQ224" s="740"/>
      <c r="ACR224" s="740"/>
      <c r="ACS224" s="740"/>
      <c r="ACT224" s="740"/>
      <c r="ACU224" s="740"/>
      <c r="ACV224" s="740"/>
      <c r="ACW224" s="740"/>
      <c r="ACX224" s="740"/>
      <c r="ACY224" s="740"/>
      <c r="ACZ224" s="740"/>
      <c r="ADA224" s="740"/>
      <c r="ADB224" s="740"/>
      <c r="ADC224" s="740"/>
      <c r="ADD224" s="740"/>
      <c r="ADE224" s="740"/>
      <c r="ADF224" s="740"/>
      <c r="ADG224" s="740"/>
      <c r="ADH224" s="740"/>
      <c r="ADI224" s="740"/>
      <c r="ADJ224" s="740"/>
      <c r="ADK224" s="740"/>
      <c r="ADL224" s="740"/>
      <c r="ADM224" s="740"/>
      <c r="ADN224" s="740"/>
      <c r="ADO224" s="740"/>
      <c r="ADP224" s="740"/>
      <c r="ADQ224" s="740"/>
      <c r="ADR224" s="740"/>
      <c r="ADS224" s="740"/>
      <c r="ADT224" s="740"/>
      <c r="ADU224" s="740"/>
      <c r="ADV224" s="740"/>
      <c r="ADW224" s="740"/>
      <c r="ADX224" s="740"/>
      <c r="ADY224" s="740"/>
      <c r="ADZ224" s="740"/>
      <c r="AEA224" s="740"/>
      <c r="AEB224" s="740"/>
      <c r="AEC224" s="740"/>
      <c r="AED224" s="740"/>
      <c r="AEE224" s="740"/>
      <c r="AEF224" s="740"/>
      <c r="AEG224" s="740"/>
      <c r="AEH224" s="740"/>
      <c r="AEI224" s="740"/>
      <c r="AEJ224" s="740"/>
      <c r="AEK224" s="740"/>
      <c r="AEL224" s="740"/>
      <c r="AEM224" s="740"/>
      <c r="AEN224" s="740"/>
      <c r="AEO224" s="740"/>
      <c r="AEP224" s="740"/>
      <c r="AEQ224" s="740"/>
      <c r="AER224" s="740"/>
      <c r="AES224" s="740"/>
      <c r="AET224" s="740"/>
      <c r="AEU224" s="740"/>
      <c r="AEV224" s="740"/>
      <c r="AEW224" s="740"/>
      <c r="AEX224" s="740"/>
      <c r="AEY224" s="740"/>
      <c r="AEZ224" s="740"/>
      <c r="AFA224" s="740"/>
      <c r="AFB224" s="740"/>
      <c r="AFC224" s="740"/>
      <c r="AFD224" s="740"/>
      <c r="AFE224" s="740"/>
      <c r="AFF224" s="740"/>
      <c r="AFG224" s="740"/>
      <c r="AFH224" s="740"/>
      <c r="AFI224" s="740"/>
      <c r="AFJ224" s="740"/>
      <c r="AFK224" s="740"/>
      <c r="AFL224" s="740"/>
      <c r="AFM224" s="740"/>
      <c r="AFN224" s="740"/>
      <c r="AFO224" s="740"/>
      <c r="AFP224" s="740"/>
      <c r="AFQ224" s="740"/>
      <c r="AFR224" s="740"/>
      <c r="AFS224" s="740"/>
      <c r="AFT224" s="740"/>
      <c r="AFU224" s="740"/>
      <c r="AFV224" s="740"/>
      <c r="AFW224" s="740"/>
      <c r="AFX224" s="740"/>
      <c r="AFY224" s="740"/>
      <c r="AFZ224" s="740"/>
      <c r="AGA224" s="740"/>
      <c r="AGB224" s="740"/>
      <c r="AGC224" s="740"/>
      <c r="AGD224" s="740"/>
      <c r="AGE224" s="740"/>
      <c r="AGF224" s="740"/>
      <c r="AGG224" s="740"/>
      <c r="AGH224" s="740"/>
      <c r="AGI224" s="740"/>
      <c r="AGJ224" s="740"/>
      <c r="AGK224" s="740"/>
      <c r="AGL224" s="740"/>
      <c r="AGM224" s="740"/>
      <c r="AGN224" s="740"/>
      <c r="AGO224" s="740"/>
      <c r="AGP224" s="740"/>
      <c r="AGQ224" s="740"/>
      <c r="AGR224" s="740"/>
      <c r="AGS224" s="740"/>
      <c r="AGT224" s="740"/>
      <c r="AGU224" s="740"/>
      <c r="AGV224" s="740"/>
      <c r="AGW224" s="740"/>
      <c r="AGX224" s="740"/>
      <c r="AGY224" s="740"/>
      <c r="AGZ224" s="740"/>
      <c r="AHA224" s="740"/>
      <c r="AHB224" s="740"/>
      <c r="AHC224" s="740"/>
      <c r="AHD224" s="740"/>
      <c r="AHE224" s="740"/>
      <c r="AHF224" s="740"/>
      <c r="AHG224" s="740"/>
      <c r="AHH224" s="740"/>
      <c r="AHI224" s="740"/>
      <c r="AHJ224" s="740"/>
      <c r="AHK224" s="740"/>
      <c r="AHL224" s="740"/>
      <c r="AHM224" s="740"/>
      <c r="AHN224" s="740"/>
      <c r="AHO224" s="740"/>
      <c r="AHP224" s="740"/>
      <c r="AHQ224" s="740"/>
      <c r="AHR224" s="740"/>
      <c r="AHS224" s="740"/>
      <c r="AHT224" s="740"/>
      <c r="AHU224" s="740"/>
      <c r="AHV224" s="740"/>
      <c r="AHW224" s="740"/>
      <c r="AHX224" s="740"/>
      <c r="AHY224" s="740"/>
      <c r="AHZ224" s="740"/>
      <c r="AIA224" s="740"/>
      <c r="AIB224" s="740"/>
      <c r="AIC224" s="740"/>
      <c r="AID224" s="740"/>
      <c r="AIE224" s="740"/>
      <c r="AIF224" s="740"/>
      <c r="AIG224" s="740"/>
      <c r="AIH224" s="740"/>
      <c r="AII224" s="740"/>
      <c r="AIJ224" s="740"/>
      <c r="AIK224" s="740"/>
      <c r="AIL224" s="740"/>
      <c r="AIM224" s="740"/>
      <c r="AIN224" s="740"/>
      <c r="AIO224" s="740"/>
      <c r="AIP224" s="740"/>
      <c r="AIQ224" s="740"/>
      <c r="AIR224" s="740"/>
      <c r="AIS224" s="740"/>
      <c r="AIT224" s="740"/>
      <c r="AIU224" s="740"/>
      <c r="AIV224" s="740"/>
      <c r="AIW224" s="740"/>
      <c r="AIX224" s="740"/>
      <c r="AIY224" s="740"/>
      <c r="AIZ224" s="740"/>
      <c r="AJA224" s="740"/>
      <c r="AJB224" s="740"/>
      <c r="AJC224" s="740"/>
      <c r="AJD224" s="740"/>
      <c r="AJE224" s="740"/>
      <c r="AJF224" s="740"/>
      <c r="AJG224" s="740"/>
      <c r="AJH224" s="740"/>
      <c r="AJI224" s="740"/>
      <c r="AJJ224" s="740"/>
      <c r="AJK224" s="740"/>
      <c r="AJL224" s="740"/>
      <c r="AJM224" s="740"/>
      <c r="AJN224" s="740"/>
      <c r="AJO224" s="740"/>
      <c r="AJP224" s="740"/>
      <c r="AJQ224" s="740"/>
      <c r="AJR224" s="740"/>
      <c r="AJS224" s="740"/>
      <c r="AJT224" s="740"/>
      <c r="AJU224" s="740"/>
      <c r="AJV224" s="740"/>
      <c r="AJW224" s="740"/>
      <c r="AJX224" s="740"/>
      <c r="AJY224" s="740"/>
      <c r="AJZ224" s="740"/>
      <c r="AKA224" s="740"/>
      <c r="AKB224" s="740"/>
      <c r="AKC224" s="740"/>
      <c r="AKD224" s="740"/>
      <c r="AKE224" s="740"/>
      <c r="AKF224" s="740"/>
      <c r="AKG224" s="740"/>
      <c r="AKH224" s="740"/>
      <c r="AKI224" s="740"/>
      <c r="AKJ224" s="740"/>
      <c r="AKK224" s="740"/>
      <c r="AKL224" s="740"/>
      <c r="AKM224" s="740"/>
      <c r="AKN224" s="740"/>
      <c r="AKO224" s="740"/>
      <c r="AKP224" s="740"/>
      <c r="AKQ224" s="740"/>
      <c r="AKR224" s="740"/>
      <c r="AKS224" s="740"/>
      <c r="AKT224" s="740"/>
      <c r="AKU224" s="740"/>
      <c r="AKV224" s="740"/>
      <c r="AKW224" s="740"/>
      <c r="AKX224" s="740"/>
      <c r="AKY224" s="740"/>
      <c r="AKZ224" s="740"/>
      <c r="ALA224" s="740"/>
      <c r="ALB224" s="740"/>
      <c r="ALC224" s="740"/>
      <c r="ALD224" s="740"/>
      <c r="ALE224" s="740"/>
      <c r="ALF224" s="740"/>
      <c r="ALG224" s="740"/>
      <c r="ALH224" s="740"/>
      <c r="ALI224" s="740"/>
      <c r="ALJ224" s="740"/>
      <c r="ALK224" s="740"/>
      <c r="ALL224" s="740"/>
      <c r="ALM224" s="740"/>
      <c r="ALN224" s="740"/>
      <c r="ALO224" s="740"/>
      <c r="ALP224" s="740"/>
      <c r="ALQ224" s="740"/>
      <c r="ALR224" s="740"/>
      <c r="ALS224" s="740"/>
      <c r="ALT224" s="740"/>
      <c r="ALU224" s="740"/>
      <c r="ALV224" s="740"/>
      <c r="ALW224" s="740"/>
      <c r="ALX224" s="740"/>
      <c r="ALY224" s="740"/>
      <c r="ALZ224" s="740"/>
      <c r="AMA224" s="740"/>
      <c r="AMB224" s="740"/>
      <c r="AMC224" s="740"/>
      <c r="AMD224" s="740"/>
      <c r="AME224" s="740"/>
      <c r="AMF224" s="740"/>
      <c r="AMG224" s="740"/>
      <c r="AMH224" s="740"/>
      <c r="AMI224" s="740"/>
      <c r="AMJ224" s="740"/>
      <c r="AMK224" s="740"/>
      <c r="AML224" s="740"/>
      <c r="AMM224" s="740"/>
      <c r="AMN224" s="740"/>
      <c r="AMO224" s="740"/>
      <c r="AMP224" s="740"/>
      <c r="AMQ224" s="740"/>
      <c r="AMR224" s="740"/>
      <c r="AMS224" s="740"/>
      <c r="AMT224" s="740"/>
      <c r="AMU224" s="740"/>
      <c r="AMV224" s="740"/>
      <c r="AMW224" s="740"/>
      <c r="AMX224" s="740"/>
      <c r="AMY224" s="740"/>
      <c r="AMZ224" s="740"/>
      <c r="ANA224" s="740"/>
      <c r="ANB224" s="740"/>
      <c r="ANC224" s="740"/>
      <c r="AND224" s="740"/>
      <c r="ANE224" s="740"/>
      <c r="ANF224" s="740"/>
      <c r="ANG224" s="740"/>
      <c r="ANH224" s="740"/>
      <c r="ANI224" s="740"/>
      <c r="ANJ224" s="740"/>
      <c r="ANK224" s="740"/>
      <c r="ANL224" s="740"/>
      <c r="ANM224" s="740"/>
      <c r="ANN224" s="740"/>
      <c r="ANO224" s="740"/>
      <c r="ANP224" s="740"/>
      <c r="ANQ224" s="740"/>
      <c r="ANR224" s="740"/>
      <c r="ANS224" s="740"/>
      <c r="ANT224" s="740"/>
      <c r="ANU224" s="740"/>
      <c r="ANV224" s="740"/>
      <c r="ANW224" s="740"/>
      <c r="ANX224" s="740"/>
      <c r="ANY224" s="740"/>
      <c r="ANZ224" s="740"/>
      <c r="AOA224" s="740"/>
      <c r="AOB224" s="740"/>
      <c r="AOC224" s="740"/>
      <c r="AOD224" s="740"/>
      <c r="AOE224" s="740"/>
      <c r="AOF224" s="740"/>
      <c r="AOG224" s="740"/>
      <c r="AOH224" s="740"/>
      <c r="AOI224" s="740"/>
      <c r="AOJ224" s="740"/>
      <c r="AOK224" s="740"/>
      <c r="AOL224" s="740"/>
      <c r="AOM224" s="740"/>
      <c r="AON224" s="740"/>
      <c r="AOO224" s="740"/>
      <c r="AOP224" s="740"/>
      <c r="AOQ224" s="740"/>
      <c r="AOR224" s="740"/>
      <c r="AOS224" s="740"/>
      <c r="AOT224" s="740"/>
      <c r="AOU224" s="740"/>
      <c r="AOV224" s="740"/>
      <c r="AOW224" s="740"/>
      <c r="AOX224" s="740"/>
      <c r="AOY224" s="740"/>
      <c r="AOZ224" s="740"/>
      <c r="APA224" s="740"/>
      <c r="APB224" s="740"/>
      <c r="APC224" s="740"/>
      <c r="APD224" s="740"/>
      <c r="APE224" s="740"/>
      <c r="APF224" s="740"/>
      <c r="APG224" s="740"/>
      <c r="APH224" s="740"/>
      <c r="API224" s="740"/>
      <c r="APJ224" s="740"/>
      <c r="APK224" s="740"/>
      <c r="APL224" s="740"/>
      <c r="APM224" s="740"/>
      <c r="APN224" s="740"/>
      <c r="APO224" s="740"/>
      <c r="APP224" s="740"/>
      <c r="APQ224" s="740"/>
      <c r="APR224" s="740"/>
      <c r="APS224" s="740"/>
      <c r="APT224" s="740"/>
      <c r="APU224" s="740"/>
      <c r="APV224" s="740"/>
      <c r="APW224" s="740"/>
      <c r="APX224" s="740"/>
      <c r="APY224" s="740"/>
      <c r="APZ224" s="740"/>
      <c r="AQA224" s="740"/>
      <c r="AQB224" s="740"/>
      <c r="AQC224" s="740"/>
      <c r="AQD224" s="740"/>
      <c r="AQE224" s="740"/>
      <c r="AQF224" s="740"/>
      <c r="AQG224" s="740"/>
      <c r="AQH224" s="740"/>
      <c r="AQI224" s="740"/>
      <c r="AQJ224" s="740"/>
      <c r="AQK224" s="740"/>
      <c r="AQL224" s="740"/>
      <c r="AQM224" s="740"/>
      <c r="AQN224" s="740"/>
      <c r="AQO224" s="740"/>
      <c r="AQP224" s="740"/>
      <c r="AQQ224" s="740"/>
      <c r="AQR224" s="740"/>
      <c r="AQS224" s="740"/>
      <c r="AQT224" s="740"/>
      <c r="AQU224" s="740"/>
      <c r="AQV224" s="740"/>
      <c r="AQW224" s="740"/>
      <c r="AQX224" s="740"/>
      <c r="AQY224" s="740"/>
      <c r="AQZ224" s="740"/>
      <c r="ARA224" s="740"/>
      <c r="ARB224" s="740"/>
      <c r="ARC224" s="740"/>
      <c r="ARD224" s="740"/>
      <c r="ARE224" s="740"/>
      <c r="ARF224" s="740"/>
      <c r="ARG224" s="740"/>
      <c r="ARH224" s="740"/>
      <c r="ARI224" s="740"/>
      <c r="ARJ224" s="740"/>
      <c r="ARK224" s="740"/>
      <c r="ARL224" s="740"/>
      <c r="ARM224" s="740"/>
      <c r="ARN224" s="740"/>
      <c r="ARO224" s="740"/>
      <c r="ARP224" s="740"/>
      <c r="ARQ224" s="740"/>
      <c r="ARR224" s="740"/>
      <c r="ARS224" s="740"/>
      <c r="ART224" s="740"/>
      <c r="ARU224" s="740"/>
      <c r="ARV224" s="740"/>
      <c r="ARW224" s="740"/>
      <c r="ARX224" s="740"/>
      <c r="ARY224" s="740"/>
      <c r="ARZ224" s="740"/>
      <c r="ASA224" s="740"/>
      <c r="ASB224" s="740"/>
      <c r="ASC224" s="740"/>
      <c r="ASD224" s="740"/>
      <c r="ASE224" s="740"/>
      <c r="ASF224" s="740"/>
      <c r="ASG224" s="740"/>
      <c r="ASH224" s="740"/>
      <c r="ASI224" s="740"/>
      <c r="ASJ224" s="740"/>
      <c r="ASK224" s="740"/>
      <c r="ASL224" s="740"/>
      <c r="ASM224" s="740"/>
      <c r="ASN224" s="740"/>
      <c r="ASO224" s="740"/>
      <c r="ASP224" s="740"/>
      <c r="ASQ224" s="740"/>
      <c r="ASR224" s="740"/>
      <c r="ASS224" s="740"/>
      <c r="AST224" s="740"/>
      <c r="ASU224" s="740"/>
      <c r="ASV224" s="740"/>
      <c r="ASW224" s="740"/>
      <c r="ASX224" s="740"/>
      <c r="ASY224" s="740"/>
      <c r="ASZ224" s="740"/>
      <c r="ATA224" s="740"/>
      <c r="ATB224" s="740"/>
      <c r="ATC224" s="740"/>
      <c r="ATD224" s="740"/>
      <c r="ATE224" s="740"/>
      <c r="ATF224" s="740"/>
      <c r="ATG224" s="740"/>
      <c r="ATH224" s="740"/>
      <c r="ATI224" s="740"/>
      <c r="ATJ224" s="740"/>
      <c r="ATK224" s="740"/>
      <c r="ATL224" s="740"/>
      <c r="ATM224" s="740"/>
      <c r="ATN224" s="740"/>
      <c r="ATO224" s="740"/>
      <c r="ATP224" s="740"/>
      <c r="ATQ224" s="740"/>
      <c r="ATR224" s="740"/>
      <c r="ATS224" s="740"/>
      <c r="ATT224" s="740"/>
      <c r="ATU224" s="740"/>
      <c r="ATV224" s="740"/>
      <c r="ATW224" s="740"/>
      <c r="ATX224" s="740"/>
      <c r="ATY224" s="740"/>
      <c r="ATZ224" s="740"/>
      <c r="AUA224" s="740"/>
      <c r="AUB224" s="740"/>
      <c r="AUC224" s="740"/>
      <c r="AUD224" s="740"/>
      <c r="AUE224" s="740"/>
      <c r="AUF224" s="740"/>
      <c r="AUG224" s="740"/>
      <c r="AUH224" s="740"/>
      <c r="AUI224" s="740"/>
      <c r="AUJ224" s="740"/>
      <c r="AUK224" s="740"/>
      <c r="AUL224" s="740"/>
      <c r="AUM224" s="740"/>
      <c r="AUN224" s="740"/>
      <c r="AUO224" s="740"/>
      <c r="AUP224" s="740"/>
      <c r="AUQ224" s="740"/>
      <c r="AUR224" s="740"/>
      <c r="AUS224" s="740"/>
      <c r="AUT224" s="740"/>
      <c r="AUU224" s="740"/>
      <c r="AUV224" s="740"/>
      <c r="AUW224" s="740"/>
      <c r="AUX224" s="740"/>
      <c r="AUY224" s="740"/>
      <c r="AUZ224" s="740"/>
      <c r="AVA224" s="740"/>
      <c r="AVB224" s="740"/>
      <c r="AVC224" s="740"/>
      <c r="AVD224" s="740"/>
      <c r="AVE224" s="740"/>
      <c r="AVF224" s="740"/>
      <c r="AVG224" s="740"/>
      <c r="AVH224" s="740"/>
      <c r="AVI224" s="740"/>
      <c r="AVJ224" s="740"/>
      <c r="AVK224" s="740"/>
      <c r="AVL224" s="740"/>
      <c r="AVM224" s="740"/>
      <c r="AVN224" s="740"/>
      <c r="AVO224" s="740"/>
      <c r="AVP224" s="740"/>
      <c r="AVQ224" s="740"/>
      <c r="AVR224" s="740"/>
      <c r="AVS224" s="740"/>
      <c r="AVT224" s="740"/>
      <c r="AVU224" s="740"/>
      <c r="AVV224" s="740"/>
      <c r="AVW224" s="740"/>
      <c r="AVX224" s="740"/>
      <c r="AVY224" s="740"/>
      <c r="AVZ224" s="740"/>
      <c r="AWA224" s="740"/>
      <c r="AWB224" s="740"/>
      <c r="AWC224" s="740"/>
      <c r="AWD224" s="740"/>
      <c r="AWE224" s="740"/>
      <c r="AWF224" s="740"/>
      <c r="AWG224" s="740"/>
      <c r="AWH224" s="740"/>
      <c r="AWI224" s="740"/>
      <c r="AWJ224" s="740"/>
      <c r="AWK224" s="740"/>
      <c r="AWL224" s="740"/>
      <c r="AWM224" s="740"/>
      <c r="AWN224" s="740"/>
      <c r="AWO224" s="740"/>
      <c r="AWP224" s="740"/>
      <c r="AWQ224" s="740"/>
      <c r="AWR224" s="740"/>
      <c r="AWS224" s="740"/>
      <c r="AWT224" s="740"/>
      <c r="AWU224" s="740"/>
      <c r="AWV224" s="740"/>
      <c r="AWW224" s="740"/>
      <c r="AWX224" s="740"/>
      <c r="AWY224" s="740"/>
      <c r="AWZ224" s="740"/>
      <c r="AXA224" s="740"/>
      <c r="AXB224" s="740"/>
      <c r="AXC224" s="740"/>
      <c r="AXD224" s="740"/>
      <c r="AXE224" s="740"/>
      <c r="AXF224" s="740"/>
      <c r="AXG224" s="740"/>
      <c r="AXH224" s="740"/>
      <c r="AXI224" s="740"/>
      <c r="AXJ224" s="740"/>
    </row>
    <row r="225" spans="1:1310" s="741" customFormat="1" ht="23.25" customHeight="1">
      <c r="A225" s="756"/>
      <c r="B225" s="9016" t="s">
        <v>1563</v>
      </c>
      <c r="C225" s="9016"/>
      <c r="D225" s="9016"/>
      <c r="E225" s="9016"/>
      <c r="F225" s="749"/>
      <c r="G225" s="9016" t="s">
        <v>1564</v>
      </c>
      <c r="H225" s="9016"/>
      <c r="I225" s="9016"/>
      <c r="J225" s="749"/>
      <c r="K225" s="9016" t="s">
        <v>1565</v>
      </c>
      <c r="L225" s="9016"/>
      <c r="M225" s="9016"/>
      <c r="N225" s="749"/>
      <c r="O225" s="9016" t="s">
        <v>1566</v>
      </c>
      <c r="P225" s="9016"/>
      <c r="Q225" s="749"/>
      <c r="R225" s="311"/>
      <c r="S225" s="311"/>
      <c r="T225" s="311"/>
      <c r="U225" s="311"/>
      <c r="V225" s="311"/>
      <c r="W225" s="311"/>
      <c r="X225" s="311"/>
      <c r="Y225" s="311"/>
      <c r="Z225" s="311"/>
      <c r="AA225" s="311"/>
      <c r="AB225" s="311"/>
      <c r="AC225" s="311"/>
      <c r="AD225" s="740"/>
      <c r="AE225" s="740"/>
      <c r="AF225" s="740"/>
      <c r="AG225" s="740"/>
      <c r="AH225" s="740"/>
      <c r="AI225" s="740"/>
      <c r="AJ225" s="740"/>
      <c r="AK225" s="740"/>
      <c r="AL225" s="740"/>
      <c r="AM225" s="740"/>
      <c r="AN225" s="740"/>
      <c r="AO225" s="740"/>
      <c r="AP225" s="740"/>
      <c r="AQ225" s="740"/>
      <c r="AR225" s="740"/>
      <c r="AS225" s="740"/>
      <c r="AT225" s="740"/>
      <c r="AU225" s="740"/>
      <c r="AV225" s="740"/>
      <c r="AW225" s="740"/>
      <c r="AX225" s="740"/>
      <c r="AY225" s="740"/>
      <c r="AZ225" s="740"/>
      <c r="BA225" s="740"/>
      <c r="BB225" s="740"/>
      <c r="BC225" s="740"/>
      <c r="BD225" s="740"/>
      <c r="BE225" s="740"/>
      <c r="BF225" s="740"/>
      <c r="BG225" s="740"/>
      <c r="BH225" s="740"/>
      <c r="BI225" s="740"/>
      <c r="BJ225" s="740"/>
      <c r="BK225" s="740"/>
      <c r="BL225" s="740"/>
      <c r="BM225" s="740"/>
      <c r="BN225" s="740"/>
      <c r="BO225" s="740"/>
      <c r="BP225" s="740"/>
      <c r="BQ225" s="740"/>
      <c r="BR225" s="740"/>
      <c r="BS225" s="740"/>
      <c r="BT225" s="740"/>
      <c r="BU225" s="740"/>
      <c r="BV225" s="740"/>
      <c r="BW225" s="740"/>
      <c r="BX225" s="740"/>
      <c r="BY225" s="740"/>
      <c r="BZ225" s="740"/>
      <c r="CA225" s="740"/>
      <c r="CB225" s="740"/>
      <c r="CC225" s="740"/>
      <c r="CD225" s="740"/>
      <c r="CE225" s="740"/>
      <c r="CF225" s="740"/>
      <c r="CG225" s="740"/>
      <c r="CH225" s="740"/>
      <c r="CI225" s="740"/>
      <c r="CJ225" s="740"/>
      <c r="CK225" s="740"/>
      <c r="CL225" s="740"/>
      <c r="CM225" s="740"/>
      <c r="CN225" s="740"/>
      <c r="CO225" s="740"/>
      <c r="CP225" s="740"/>
      <c r="CQ225" s="740"/>
      <c r="CR225" s="740"/>
      <c r="CS225" s="740"/>
      <c r="CT225" s="740"/>
      <c r="CU225" s="740"/>
      <c r="CV225" s="740"/>
      <c r="CW225" s="740"/>
      <c r="CX225" s="740"/>
      <c r="CY225" s="740"/>
      <c r="CZ225" s="740"/>
      <c r="DA225" s="740"/>
      <c r="DB225" s="740"/>
      <c r="DC225" s="740"/>
      <c r="DD225" s="740"/>
      <c r="DE225" s="740"/>
      <c r="DF225" s="740"/>
      <c r="DG225" s="740"/>
      <c r="DH225" s="740"/>
      <c r="DI225" s="740"/>
      <c r="DJ225" s="740"/>
      <c r="DK225" s="740"/>
      <c r="DL225" s="740"/>
      <c r="DM225" s="740"/>
      <c r="DN225" s="740"/>
      <c r="DO225" s="740"/>
      <c r="DP225" s="740"/>
      <c r="DQ225" s="740"/>
      <c r="DR225" s="740"/>
      <c r="DS225" s="740"/>
      <c r="DT225" s="740"/>
      <c r="DU225" s="740"/>
      <c r="DV225" s="740"/>
      <c r="DW225" s="740"/>
      <c r="DX225" s="740"/>
      <c r="DY225" s="740"/>
      <c r="DZ225" s="740"/>
      <c r="EA225" s="740"/>
      <c r="EB225" s="740"/>
      <c r="EC225" s="740"/>
      <c r="ED225" s="740"/>
      <c r="EE225" s="740"/>
      <c r="EF225" s="740"/>
      <c r="EG225" s="740"/>
      <c r="EH225" s="740"/>
      <c r="EI225" s="740"/>
      <c r="EJ225" s="740"/>
      <c r="EK225" s="740"/>
      <c r="EL225" s="740"/>
      <c r="EM225" s="740"/>
      <c r="EN225" s="740"/>
      <c r="EO225" s="740"/>
      <c r="EP225" s="740"/>
      <c r="EQ225" s="740"/>
      <c r="ER225" s="740"/>
      <c r="ES225" s="740"/>
      <c r="ET225" s="740"/>
      <c r="EU225" s="740"/>
      <c r="EV225" s="740"/>
      <c r="EW225" s="740"/>
      <c r="EX225" s="740"/>
      <c r="EY225" s="740"/>
      <c r="EZ225" s="740"/>
      <c r="FA225" s="740"/>
      <c r="FB225" s="740"/>
      <c r="FC225" s="740"/>
      <c r="FD225" s="740"/>
      <c r="FE225" s="740"/>
      <c r="FF225" s="740"/>
      <c r="FG225" s="740"/>
      <c r="FH225" s="740"/>
      <c r="FI225" s="740"/>
      <c r="FJ225" s="740"/>
      <c r="FK225" s="740"/>
      <c r="FL225" s="740"/>
      <c r="FM225" s="740"/>
      <c r="FN225" s="740"/>
      <c r="FO225" s="740"/>
      <c r="FP225" s="740"/>
      <c r="FQ225" s="740"/>
      <c r="FR225" s="740"/>
      <c r="FS225" s="740"/>
      <c r="FT225" s="740"/>
      <c r="FU225" s="740"/>
      <c r="FV225" s="740"/>
      <c r="FW225" s="740"/>
      <c r="FX225" s="740"/>
      <c r="FY225" s="740"/>
      <c r="FZ225" s="740"/>
      <c r="GA225" s="740"/>
      <c r="GB225" s="740"/>
      <c r="GC225" s="740"/>
      <c r="GD225" s="740"/>
      <c r="GE225" s="740"/>
      <c r="GF225" s="740"/>
      <c r="GG225" s="740"/>
      <c r="GH225" s="740"/>
      <c r="GI225" s="740"/>
      <c r="GJ225" s="740"/>
      <c r="GK225" s="740"/>
      <c r="GL225" s="740"/>
      <c r="GM225" s="740"/>
      <c r="GN225" s="740"/>
      <c r="GO225" s="740"/>
      <c r="GP225" s="740"/>
      <c r="GQ225" s="740"/>
      <c r="GR225" s="740"/>
      <c r="GS225" s="740"/>
      <c r="GT225" s="740"/>
      <c r="GU225" s="740"/>
      <c r="GV225" s="740"/>
      <c r="GW225" s="740"/>
      <c r="GX225" s="740"/>
      <c r="GY225" s="740"/>
      <c r="GZ225" s="740"/>
      <c r="HA225" s="740"/>
      <c r="HB225" s="740"/>
      <c r="HC225" s="740"/>
      <c r="HD225" s="740"/>
      <c r="HE225" s="740"/>
      <c r="HF225" s="740"/>
      <c r="HG225" s="740"/>
      <c r="HH225" s="740"/>
      <c r="HI225" s="740"/>
      <c r="HJ225" s="740"/>
      <c r="HK225" s="740"/>
      <c r="HL225" s="740"/>
      <c r="HM225" s="740"/>
      <c r="HN225" s="740"/>
      <c r="HO225" s="740"/>
      <c r="HP225" s="740"/>
      <c r="HQ225" s="740"/>
      <c r="HR225" s="740"/>
      <c r="HS225" s="740"/>
      <c r="HT225" s="740"/>
      <c r="HU225" s="740"/>
      <c r="HV225" s="740"/>
      <c r="HW225" s="740"/>
      <c r="HX225" s="740"/>
      <c r="HY225" s="740"/>
      <c r="HZ225" s="740"/>
      <c r="IA225" s="740"/>
      <c r="IB225" s="740"/>
      <c r="IC225" s="740"/>
      <c r="ID225" s="740"/>
      <c r="IE225" s="740"/>
      <c r="IF225" s="740"/>
      <c r="IG225" s="740"/>
      <c r="IH225" s="740"/>
      <c r="II225" s="740"/>
      <c r="IJ225" s="740"/>
      <c r="IK225" s="740"/>
      <c r="IL225" s="740"/>
      <c r="IM225" s="740"/>
      <c r="IN225" s="740"/>
      <c r="IO225" s="740"/>
      <c r="IP225" s="740"/>
      <c r="IQ225" s="740"/>
      <c r="IR225" s="740"/>
      <c r="IS225" s="740"/>
      <c r="IT225" s="740"/>
      <c r="IU225" s="740"/>
      <c r="IV225" s="740"/>
      <c r="IW225" s="740"/>
      <c r="IX225" s="740"/>
      <c r="IY225" s="740"/>
      <c r="IZ225" s="740"/>
      <c r="JA225" s="740"/>
      <c r="JB225" s="740"/>
      <c r="JC225" s="740"/>
      <c r="JD225" s="740"/>
      <c r="JE225" s="740"/>
      <c r="JF225" s="740"/>
      <c r="JG225" s="740"/>
      <c r="JH225" s="740"/>
      <c r="JI225" s="740"/>
      <c r="JJ225" s="740"/>
      <c r="JK225" s="740"/>
      <c r="JL225" s="740"/>
      <c r="JM225" s="740"/>
      <c r="JN225" s="740"/>
      <c r="JO225" s="740"/>
      <c r="JP225" s="740"/>
      <c r="JQ225" s="740"/>
      <c r="JR225" s="740"/>
      <c r="JS225" s="740"/>
      <c r="JT225" s="740"/>
      <c r="JU225" s="740"/>
      <c r="JV225" s="740"/>
      <c r="JW225" s="740"/>
      <c r="JX225" s="740"/>
      <c r="JY225" s="740"/>
      <c r="JZ225" s="740"/>
      <c r="KA225" s="740"/>
      <c r="KB225" s="740"/>
      <c r="KC225" s="740"/>
      <c r="KD225" s="740"/>
      <c r="KE225" s="740"/>
      <c r="KF225" s="740"/>
      <c r="KG225" s="740"/>
      <c r="KH225" s="740"/>
      <c r="KI225" s="740"/>
      <c r="KJ225" s="740"/>
      <c r="KK225" s="740"/>
      <c r="KL225" s="740"/>
      <c r="KM225" s="740"/>
      <c r="KN225" s="740"/>
      <c r="KO225" s="740"/>
      <c r="KP225" s="740"/>
      <c r="KQ225" s="740"/>
      <c r="KR225" s="740"/>
      <c r="KS225" s="740"/>
      <c r="KT225" s="740"/>
      <c r="KU225" s="740"/>
      <c r="KV225" s="740"/>
      <c r="KW225" s="740"/>
      <c r="KX225" s="740"/>
      <c r="KY225" s="740"/>
      <c r="KZ225" s="740"/>
      <c r="LA225" s="740"/>
      <c r="LB225" s="740"/>
      <c r="LC225" s="740"/>
      <c r="LD225" s="740"/>
      <c r="LE225" s="740"/>
      <c r="LF225" s="740"/>
      <c r="LG225" s="740"/>
      <c r="LH225" s="740"/>
      <c r="LI225" s="740"/>
      <c r="LJ225" s="740"/>
      <c r="LK225" s="740"/>
      <c r="LL225" s="740"/>
      <c r="LM225" s="740"/>
      <c r="LN225" s="740"/>
      <c r="LO225" s="740"/>
      <c r="LP225" s="740"/>
      <c r="LQ225" s="740"/>
      <c r="LR225" s="740"/>
      <c r="LS225" s="740"/>
      <c r="LT225" s="740"/>
      <c r="LU225" s="740"/>
      <c r="LV225" s="740"/>
      <c r="LW225" s="740"/>
      <c r="LX225" s="740"/>
      <c r="LY225" s="740"/>
      <c r="LZ225" s="740"/>
      <c r="MA225" s="740"/>
      <c r="MB225" s="740"/>
      <c r="MC225" s="740"/>
      <c r="MD225" s="740"/>
      <c r="ME225" s="740"/>
      <c r="MF225" s="740"/>
      <c r="MG225" s="740"/>
      <c r="MH225" s="740"/>
      <c r="MI225" s="740"/>
      <c r="MJ225" s="740"/>
      <c r="MK225" s="740"/>
      <c r="ML225" s="740"/>
      <c r="MM225" s="740"/>
      <c r="MN225" s="740"/>
      <c r="MO225" s="740"/>
      <c r="MP225" s="740"/>
      <c r="MQ225" s="740"/>
      <c r="MR225" s="740"/>
      <c r="MS225" s="740"/>
      <c r="MT225" s="740"/>
      <c r="MU225" s="740"/>
      <c r="MV225" s="740"/>
      <c r="MW225" s="740"/>
      <c r="MX225" s="740"/>
      <c r="MY225" s="740"/>
      <c r="MZ225" s="740"/>
      <c r="NA225" s="740"/>
      <c r="NB225" s="740"/>
      <c r="NC225" s="740"/>
      <c r="ND225" s="740"/>
      <c r="NE225" s="740"/>
      <c r="NF225" s="740"/>
      <c r="NG225" s="740"/>
      <c r="NH225" s="740"/>
      <c r="NI225" s="740"/>
      <c r="NJ225" s="740"/>
      <c r="NK225" s="740"/>
      <c r="NL225" s="740"/>
      <c r="NM225" s="740"/>
      <c r="NN225" s="740"/>
      <c r="NO225" s="740"/>
      <c r="NP225" s="740"/>
      <c r="NQ225" s="740"/>
      <c r="NR225" s="740"/>
      <c r="NS225" s="740"/>
      <c r="NT225" s="740"/>
      <c r="NU225" s="740"/>
      <c r="NV225" s="740"/>
      <c r="NW225" s="740"/>
      <c r="NX225" s="740"/>
      <c r="NY225" s="740"/>
      <c r="NZ225" s="740"/>
      <c r="OA225" s="740"/>
      <c r="OB225" s="740"/>
      <c r="OC225" s="740"/>
      <c r="OD225" s="740"/>
      <c r="OE225" s="740"/>
      <c r="OF225" s="740"/>
      <c r="OG225" s="740"/>
      <c r="OH225" s="740"/>
      <c r="OI225" s="740"/>
      <c r="OJ225" s="740"/>
      <c r="OK225" s="740"/>
      <c r="OL225" s="740"/>
      <c r="OM225" s="740"/>
      <c r="ON225" s="740"/>
      <c r="OO225" s="740"/>
      <c r="OP225" s="740"/>
      <c r="OQ225" s="740"/>
      <c r="OR225" s="740"/>
      <c r="OS225" s="740"/>
      <c r="OT225" s="740"/>
      <c r="OU225" s="740"/>
      <c r="OV225" s="740"/>
      <c r="OW225" s="740"/>
      <c r="OX225" s="740"/>
      <c r="OY225" s="740"/>
      <c r="OZ225" s="740"/>
      <c r="PA225" s="740"/>
      <c r="PB225" s="740"/>
      <c r="PC225" s="740"/>
      <c r="PD225" s="740"/>
      <c r="PE225" s="740"/>
      <c r="PF225" s="740"/>
      <c r="PG225" s="740"/>
      <c r="PH225" s="740"/>
      <c r="PI225" s="740"/>
      <c r="PJ225" s="740"/>
      <c r="PK225" s="740"/>
      <c r="PL225" s="740"/>
      <c r="PM225" s="740"/>
      <c r="PN225" s="740"/>
      <c r="PO225" s="740"/>
      <c r="PP225" s="740"/>
      <c r="PQ225" s="740"/>
      <c r="PR225" s="740"/>
      <c r="PS225" s="740"/>
      <c r="PT225" s="740"/>
      <c r="PU225" s="740"/>
      <c r="PV225" s="740"/>
      <c r="PW225" s="740"/>
      <c r="PX225" s="740"/>
      <c r="PY225" s="740"/>
      <c r="PZ225" s="740"/>
      <c r="QA225" s="740"/>
      <c r="QB225" s="740"/>
      <c r="QC225" s="740"/>
      <c r="QD225" s="740"/>
      <c r="QE225" s="740"/>
      <c r="QF225" s="740"/>
      <c r="QG225" s="740"/>
      <c r="QH225" s="740"/>
      <c r="QI225" s="740"/>
      <c r="QJ225" s="740"/>
      <c r="QK225" s="740"/>
      <c r="QL225" s="740"/>
      <c r="QM225" s="740"/>
      <c r="QN225" s="740"/>
      <c r="QO225" s="740"/>
      <c r="QP225" s="740"/>
      <c r="QQ225" s="740"/>
      <c r="QR225" s="740"/>
      <c r="QS225" s="740"/>
      <c r="QT225" s="740"/>
      <c r="QU225" s="740"/>
      <c r="QV225" s="740"/>
      <c r="QW225" s="740"/>
      <c r="QX225" s="740"/>
      <c r="QY225" s="740"/>
      <c r="QZ225" s="740"/>
      <c r="RA225" s="740"/>
      <c r="RB225" s="740"/>
      <c r="RC225" s="740"/>
      <c r="RD225" s="740"/>
      <c r="RE225" s="740"/>
      <c r="RF225" s="740"/>
      <c r="RG225" s="740"/>
      <c r="RH225" s="740"/>
      <c r="RI225" s="740"/>
      <c r="RJ225" s="740"/>
      <c r="RK225" s="740"/>
      <c r="RL225" s="740"/>
      <c r="RM225" s="740"/>
      <c r="RN225" s="740"/>
      <c r="RO225" s="740"/>
      <c r="RP225" s="740"/>
      <c r="RQ225" s="740"/>
      <c r="RR225" s="740"/>
      <c r="RS225" s="740"/>
      <c r="RT225" s="740"/>
      <c r="RU225" s="740"/>
      <c r="RV225" s="740"/>
      <c r="RW225" s="740"/>
      <c r="RX225" s="740"/>
      <c r="RY225" s="740"/>
      <c r="RZ225" s="740"/>
      <c r="SA225" s="740"/>
      <c r="SB225" s="740"/>
      <c r="SC225" s="740"/>
      <c r="SD225" s="740"/>
      <c r="SE225" s="740"/>
      <c r="SF225" s="740"/>
      <c r="SG225" s="740"/>
      <c r="SH225" s="740"/>
      <c r="SI225" s="740"/>
      <c r="SJ225" s="740"/>
      <c r="SK225" s="740"/>
      <c r="SL225" s="740"/>
      <c r="SM225" s="740"/>
      <c r="SN225" s="740"/>
      <c r="SO225" s="740"/>
      <c r="SP225" s="740"/>
      <c r="SQ225" s="740"/>
      <c r="SR225" s="740"/>
      <c r="SS225" s="740"/>
      <c r="ST225" s="740"/>
      <c r="SU225" s="740"/>
      <c r="SV225" s="740"/>
      <c r="SW225" s="740"/>
      <c r="SX225" s="740"/>
      <c r="SY225" s="740"/>
      <c r="SZ225" s="740"/>
      <c r="TA225" s="740"/>
      <c r="TB225" s="740"/>
      <c r="TC225" s="740"/>
      <c r="TD225" s="740"/>
      <c r="TE225" s="740"/>
      <c r="TF225" s="740"/>
      <c r="TG225" s="740"/>
      <c r="TH225" s="740"/>
      <c r="TI225" s="740"/>
      <c r="TJ225" s="740"/>
      <c r="TK225" s="740"/>
      <c r="TL225" s="740"/>
      <c r="TM225" s="740"/>
      <c r="TN225" s="740"/>
      <c r="TO225" s="740"/>
      <c r="TP225" s="740"/>
      <c r="TQ225" s="740"/>
      <c r="TR225" s="740"/>
      <c r="TS225" s="740"/>
      <c r="TT225" s="740"/>
      <c r="TU225" s="740"/>
      <c r="TV225" s="740"/>
      <c r="TW225" s="740"/>
      <c r="TX225" s="740"/>
      <c r="TY225" s="740"/>
      <c r="TZ225" s="740"/>
      <c r="UA225" s="740"/>
      <c r="UB225" s="740"/>
      <c r="UC225" s="740"/>
      <c r="UD225" s="740"/>
      <c r="UE225" s="740"/>
      <c r="UF225" s="740"/>
      <c r="UG225" s="740"/>
      <c r="UH225" s="740"/>
      <c r="UI225" s="740"/>
      <c r="UJ225" s="740"/>
      <c r="UK225" s="740"/>
      <c r="UL225" s="740"/>
      <c r="UM225" s="740"/>
      <c r="UN225" s="740"/>
      <c r="UO225" s="740"/>
      <c r="UP225" s="740"/>
      <c r="UQ225" s="740"/>
      <c r="UR225" s="740"/>
      <c r="US225" s="740"/>
      <c r="UT225" s="740"/>
      <c r="UU225" s="740"/>
      <c r="UV225" s="740"/>
      <c r="UW225" s="740"/>
      <c r="UX225" s="740"/>
      <c r="UY225" s="740"/>
      <c r="UZ225" s="740"/>
      <c r="VA225" s="740"/>
      <c r="VB225" s="740"/>
      <c r="VC225" s="740"/>
      <c r="VD225" s="740"/>
      <c r="VE225" s="740"/>
      <c r="VF225" s="740"/>
      <c r="VG225" s="740"/>
      <c r="VH225" s="740"/>
      <c r="VI225" s="740"/>
      <c r="VJ225" s="740"/>
      <c r="VK225" s="740"/>
      <c r="VL225" s="740"/>
      <c r="VM225" s="740"/>
      <c r="VN225" s="740"/>
      <c r="VO225" s="740"/>
      <c r="VP225" s="740"/>
      <c r="VQ225" s="740"/>
      <c r="VR225" s="740"/>
      <c r="VS225" s="740"/>
      <c r="VT225" s="740"/>
      <c r="VU225" s="740"/>
      <c r="VV225" s="740"/>
      <c r="VW225" s="740"/>
      <c r="VX225" s="740"/>
      <c r="VY225" s="740"/>
      <c r="VZ225" s="740"/>
      <c r="WA225" s="740"/>
      <c r="WB225" s="740"/>
      <c r="WC225" s="740"/>
      <c r="WD225" s="740"/>
      <c r="WE225" s="740"/>
      <c r="WF225" s="740"/>
      <c r="WG225" s="740"/>
      <c r="WH225" s="740"/>
      <c r="WI225" s="740"/>
      <c r="WJ225" s="740"/>
      <c r="WK225" s="740"/>
      <c r="WL225" s="740"/>
      <c r="WM225" s="740"/>
      <c r="WN225" s="740"/>
      <c r="WO225" s="740"/>
      <c r="WP225" s="740"/>
      <c r="WQ225" s="740"/>
      <c r="WR225" s="740"/>
      <c r="WS225" s="740"/>
      <c r="WT225" s="740"/>
      <c r="WU225" s="740"/>
      <c r="WV225" s="740"/>
      <c r="WW225" s="740"/>
      <c r="WX225" s="740"/>
      <c r="WY225" s="740"/>
      <c r="WZ225" s="740"/>
      <c r="XA225" s="740"/>
      <c r="XB225" s="740"/>
      <c r="XC225" s="740"/>
      <c r="XD225" s="740"/>
      <c r="XE225" s="740"/>
      <c r="XF225" s="740"/>
      <c r="XG225" s="740"/>
      <c r="XH225" s="740"/>
      <c r="XI225" s="740"/>
      <c r="XJ225" s="740"/>
      <c r="XK225" s="740"/>
      <c r="XL225" s="740"/>
      <c r="XM225" s="740"/>
      <c r="XN225" s="740"/>
      <c r="XO225" s="740"/>
      <c r="XP225" s="740"/>
      <c r="XQ225" s="740"/>
      <c r="XR225" s="740"/>
      <c r="XS225" s="740"/>
      <c r="XT225" s="740"/>
      <c r="XU225" s="740"/>
      <c r="XV225" s="740"/>
      <c r="XW225" s="740"/>
      <c r="XX225" s="740"/>
      <c r="XY225" s="740"/>
      <c r="XZ225" s="740"/>
      <c r="YA225" s="740"/>
      <c r="YB225" s="740"/>
      <c r="YC225" s="740"/>
      <c r="YD225" s="740"/>
      <c r="YE225" s="740"/>
      <c r="YF225" s="740"/>
      <c r="YG225" s="740"/>
      <c r="YH225" s="740"/>
      <c r="YI225" s="740"/>
      <c r="YJ225" s="740"/>
      <c r="YK225" s="740"/>
      <c r="YL225" s="740"/>
      <c r="YM225" s="740"/>
      <c r="YN225" s="740"/>
      <c r="YO225" s="740"/>
      <c r="YP225" s="740"/>
      <c r="YQ225" s="740"/>
      <c r="YR225" s="740"/>
      <c r="YS225" s="740"/>
      <c r="YT225" s="740"/>
      <c r="YU225" s="740"/>
      <c r="YV225" s="740"/>
      <c r="YW225" s="740"/>
      <c r="YX225" s="740"/>
      <c r="YY225" s="740"/>
      <c r="YZ225" s="740"/>
      <c r="ZA225" s="740"/>
      <c r="ZB225" s="740"/>
      <c r="ZC225" s="740"/>
      <c r="ZD225" s="740"/>
      <c r="ZE225" s="740"/>
      <c r="ZF225" s="740"/>
      <c r="ZG225" s="740"/>
      <c r="ZH225" s="740"/>
      <c r="ZI225" s="740"/>
      <c r="ZJ225" s="740"/>
      <c r="ZK225" s="740"/>
      <c r="ZL225" s="740"/>
      <c r="ZM225" s="740"/>
      <c r="ZN225" s="740"/>
      <c r="ZO225" s="740"/>
      <c r="ZP225" s="740"/>
      <c r="ZQ225" s="740"/>
      <c r="ZR225" s="740"/>
      <c r="ZS225" s="740"/>
      <c r="ZT225" s="740"/>
      <c r="ZU225" s="740"/>
      <c r="ZV225" s="740"/>
      <c r="ZW225" s="740"/>
      <c r="ZX225" s="740"/>
      <c r="ZY225" s="740"/>
      <c r="ZZ225" s="740"/>
      <c r="AAA225" s="740"/>
      <c r="AAB225" s="740"/>
      <c r="AAC225" s="740"/>
      <c r="AAD225" s="740"/>
      <c r="AAE225" s="740"/>
      <c r="AAF225" s="740"/>
      <c r="AAG225" s="740"/>
      <c r="AAH225" s="740"/>
      <c r="AAI225" s="740"/>
      <c r="AAJ225" s="740"/>
      <c r="AAK225" s="740"/>
      <c r="AAL225" s="740"/>
      <c r="AAM225" s="740"/>
      <c r="AAN225" s="740"/>
      <c r="AAO225" s="740"/>
      <c r="AAP225" s="740"/>
      <c r="AAQ225" s="740"/>
      <c r="AAR225" s="740"/>
      <c r="AAS225" s="740"/>
      <c r="AAT225" s="740"/>
      <c r="AAU225" s="740"/>
      <c r="AAV225" s="740"/>
      <c r="AAW225" s="740"/>
      <c r="AAX225" s="740"/>
      <c r="AAY225" s="740"/>
      <c r="AAZ225" s="740"/>
      <c r="ABA225" s="740"/>
      <c r="ABB225" s="740"/>
      <c r="ABC225" s="740"/>
      <c r="ABD225" s="740"/>
      <c r="ABE225" s="740"/>
      <c r="ABF225" s="740"/>
      <c r="ABG225" s="740"/>
      <c r="ABH225" s="740"/>
      <c r="ABI225" s="740"/>
      <c r="ABJ225" s="740"/>
      <c r="ABK225" s="740"/>
      <c r="ABL225" s="740"/>
      <c r="ABM225" s="740"/>
      <c r="ABN225" s="740"/>
      <c r="ABO225" s="740"/>
      <c r="ABP225" s="740"/>
      <c r="ABQ225" s="740"/>
      <c r="ABR225" s="740"/>
      <c r="ABS225" s="740"/>
      <c r="ABT225" s="740"/>
      <c r="ABU225" s="740"/>
      <c r="ABV225" s="740"/>
      <c r="ABW225" s="740"/>
      <c r="ABX225" s="740"/>
      <c r="ABY225" s="740"/>
      <c r="ABZ225" s="740"/>
      <c r="ACA225" s="740"/>
      <c r="ACB225" s="740"/>
      <c r="ACC225" s="740"/>
      <c r="ACD225" s="740"/>
      <c r="ACE225" s="740"/>
      <c r="ACF225" s="740"/>
      <c r="ACG225" s="740"/>
      <c r="ACH225" s="740"/>
      <c r="ACI225" s="740"/>
      <c r="ACJ225" s="740"/>
      <c r="ACK225" s="740"/>
      <c r="ACL225" s="740"/>
      <c r="ACM225" s="740"/>
      <c r="ACN225" s="740"/>
      <c r="ACO225" s="740"/>
      <c r="ACP225" s="740"/>
      <c r="ACQ225" s="740"/>
      <c r="ACR225" s="740"/>
      <c r="ACS225" s="740"/>
      <c r="ACT225" s="740"/>
      <c r="ACU225" s="740"/>
      <c r="ACV225" s="740"/>
      <c r="ACW225" s="740"/>
      <c r="ACX225" s="740"/>
      <c r="ACY225" s="740"/>
      <c r="ACZ225" s="740"/>
      <c r="ADA225" s="740"/>
      <c r="ADB225" s="740"/>
      <c r="ADC225" s="740"/>
      <c r="ADD225" s="740"/>
      <c r="ADE225" s="740"/>
      <c r="ADF225" s="740"/>
      <c r="ADG225" s="740"/>
      <c r="ADH225" s="740"/>
      <c r="ADI225" s="740"/>
      <c r="ADJ225" s="740"/>
      <c r="ADK225" s="740"/>
      <c r="ADL225" s="740"/>
      <c r="ADM225" s="740"/>
      <c r="ADN225" s="740"/>
      <c r="ADO225" s="740"/>
      <c r="ADP225" s="740"/>
      <c r="ADQ225" s="740"/>
      <c r="ADR225" s="740"/>
      <c r="ADS225" s="740"/>
      <c r="ADT225" s="740"/>
      <c r="ADU225" s="740"/>
      <c r="ADV225" s="740"/>
      <c r="ADW225" s="740"/>
      <c r="ADX225" s="740"/>
      <c r="ADY225" s="740"/>
      <c r="ADZ225" s="740"/>
      <c r="AEA225" s="740"/>
      <c r="AEB225" s="740"/>
      <c r="AEC225" s="740"/>
      <c r="AED225" s="740"/>
      <c r="AEE225" s="740"/>
      <c r="AEF225" s="740"/>
      <c r="AEG225" s="740"/>
      <c r="AEH225" s="740"/>
      <c r="AEI225" s="740"/>
      <c r="AEJ225" s="740"/>
      <c r="AEK225" s="740"/>
      <c r="AEL225" s="740"/>
      <c r="AEM225" s="740"/>
      <c r="AEN225" s="740"/>
      <c r="AEO225" s="740"/>
      <c r="AEP225" s="740"/>
      <c r="AEQ225" s="740"/>
      <c r="AER225" s="740"/>
      <c r="AES225" s="740"/>
      <c r="AET225" s="740"/>
      <c r="AEU225" s="740"/>
      <c r="AEV225" s="740"/>
      <c r="AEW225" s="740"/>
      <c r="AEX225" s="740"/>
      <c r="AEY225" s="740"/>
      <c r="AEZ225" s="740"/>
      <c r="AFA225" s="740"/>
      <c r="AFB225" s="740"/>
      <c r="AFC225" s="740"/>
      <c r="AFD225" s="740"/>
      <c r="AFE225" s="740"/>
      <c r="AFF225" s="740"/>
      <c r="AFG225" s="740"/>
      <c r="AFH225" s="740"/>
      <c r="AFI225" s="740"/>
      <c r="AFJ225" s="740"/>
      <c r="AFK225" s="740"/>
      <c r="AFL225" s="740"/>
      <c r="AFM225" s="740"/>
      <c r="AFN225" s="740"/>
      <c r="AFO225" s="740"/>
      <c r="AFP225" s="740"/>
      <c r="AFQ225" s="740"/>
      <c r="AFR225" s="740"/>
      <c r="AFS225" s="740"/>
      <c r="AFT225" s="740"/>
      <c r="AFU225" s="740"/>
      <c r="AFV225" s="740"/>
      <c r="AFW225" s="740"/>
      <c r="AFX225" s="740"/>
      <c r="AFY225" s="740"/>
      <c r="AFZ225" s="740"/>
      <c r="AGA225" s="740"/>
      <c r="AGB225" s="740"/>
      <c r="AGC225" s="740"/>
      <c r="AGD225" s="740"/>
      <c r="AGE225" s="740"/>
      <c r="AGF225" s="740"/>
      <c r="AGG225" s="740"/>
      <c r="AGH225" s="740"/>
      <c r="AGI225" s="740"/>
      <c r="AGJ225" s="740"/>
      <c r="AGK225" s="740"/>
      <c r="AGL225" s="740"/>
      <c r="AGM225" s="740"/>
      <c r="AGN225" s="740"/>
      <c r="AGO225" s="740"/>
      <c r="AGP225" s="740"/>
      <c r="AGQ225" s="740"/>
      <c r="AGR225" s="740"/>
      <c r="AGS225" s="740"/>
      <c r="AGT225" s="740"/>
      <c r="AGU225" s="740"/>
      <c r="AGV225" s="740"/>
      <c r="AGW225" s="740"/>
      <c r="AGX225" s="740"/>
      <c r="AGY225" s="740"/>
      <c r="AGZ225" s="740"/>
      <c r="AHA225" s="740"/>
      <c r="AHB225" s="740"/>
      <c r="AHC225" s="740"/>
      <c r="AHD225" s="740"/>
      <c r="AHE225" s="740"/>
      <c r="AHF225" s="740"/>
      <c r="AHG225" s="740"/>
      <c r="AHH225" s="740"/>
      <c r="AHI225" s="740"/>
      <c r="AHJ225" s="740"/>
      <c r="AHK225" s="740"/>
      <c r="AHL225" s="740"/>
      <c r="AHM225" s="740"/>
      <c r="AHN225" s="740"/>
      <c r="AHO225" s="740"/>
      <c r="AHP225" s="740"/>
      <c r="AHQ225" s="740"/>
      <c r="AHR225" s="740"/>
      <c r="AHS225" s="740"/>
      <c r="AHT225" s="740"/>
      <c r="AHU225" s="740"/>
      <c r="AHV225" s="740"/>
      <c r="AHW225" s="740"/>
      <c r="AHX225" s="740"/>
      <c r="AHY225" s="740"/>
      <c r="AHZ225" s="740"/>
      <c r="AIA225" s="740"/>
      <c r="AIB225" s="740"/>
      <c r="AIC225" s="740"/>
      <c r="AID225" s="740"/>
      <c r="AIE225" s="740"/>
      <c r="AIF225" s="740"/>
      <c r="AIG225" s="740"/>
      <c r="AIH225" s="740"/>
      <c r="AII225" s="740"/>
      <c r="AIJ225" s="740"/>
      <c r="AIK225" s="740"/>
      <c r="AIL225" s="740"/>
      <c r="AIM225" s="740"/>
      <c r="AIN225" s="740"/>
      <c r="AIO225" s="740"/>
      <c r="AIP225" s="740"/>
      <c r="AIQ225" s="740"/>
      <c r="AIR225" s="740"/>
      <c r="AIS225" s="740"/>
      <c r="AIT225" s="740"/>
      <c r="AIU225" s="740"/>
      <c r="AIV225" s="740"/>
      <c r="AIW225" s="740"/>
      <c r="AIX225" s="740"/>
      <c r="AIY225" s="740"/>
      <c r="AIZ225" s="740"/>
      <c r="AJA225" s="740"/>
      <c r="AJB225" s="740"/>
      <c r="AJC225" s="740"/>
      <c r="AJD225" s="740"/>
      <c r="AJE225" s="740"/>
      <c r="AJF225" s="740"/>
      <c r="AJG225" s="740"/>
      <c r="AJH225" s="740"/>
      <c r="AJI225" s="740"/>
      <c r="AJJ225" s="740"/>
      <c r="AJK225" s="740"/>
      <c r="AJL225" s="740"/>
      <c r="AJM225" s="740"/>
      <c r="AJN225" s="740"/>
      <c r="AJO225" s="740"/>
      <c r="AJP225" s="740"/>
      <c r="AJQ225" s="740"/>
      <c r="AJR225" s="740"/>
      <c r="AJS225" s="740"/>
      <c r="AJT225" s="740"/>
      <c r="AJU225" s="740"/>
      <c r="AJV225" s="740"/>
      <c r="AJW225" s="740"/>
      <c r="AJX225" s="740"/>
      <c r="AJY225" s="740"/>
      <c r="AJZ225" s="740"/>
      <c r="AKA225" s="740"/>
      <c r="AKB225" s="740"/>
      <c r="AKC225" s="740"/>
      <c r="AKD225" s="740"/>
      <c r="AKE225" s="740"/>
      <c r="AKF225" s="740"/>
      <c r="AKG225" s="740"/>
      <c r="AKH225" s="740"/>
      <c r="AKI225" s="740"/>
      <c r="AKJ225" s="740"/>
      <c r="AKK225" s="740"/>
      <c r="AKL225" s="740"/>
      <c r="AKM225" s="740"/>
      <c r="AKN225" s="740"/>
      <c r="AKO225" s="740"/>
      <c r="AKP225" s="740"/>
      <c r="AKQ225" s="740"/>
      <c r="AKR225" s="740"/>
      <c r="AKS225" s="740"/>
      <c r="AKT225" s="740"/>
      <c r="AKU225" s="740"/>
      <c r="AKV225" s="740"/>
      <c r="AKW225" s="740"/>
      <c r="AKX225" s="740"/>
      <c r="AKY225" s="740"/>
      <c r="AKZ225" s="740"/>
      <c r="ALA225" s="740"/>
      <c r="ALB225" s="740"/>
      <c r="ALC225" s="740"/>
      <c r="ALD225" s="740"/>
      <c r="ALE225" s="740"/>
      <c r="ALF225" s="740"/>
      <c r="ALG225" s="740"/>
      <c r="ALH225" s="740"/>
      <c r="ALI225" s="740"/>
      <c r="ALJ225" s="740"/>
      <c r="ALK225" s="740"/>
      <c r="ALL225" s="740"/>
      <c r="ALM225" s="740"/>
      <c r="ALN225" s="740"/>
      <c r="ALO225" s="740"/>
      <c r="ALP225" s="740"/>
      <c r="ALQ225" s="740"/>
      <c r="ALR225" s="740"/>
      <c r="ALS225" s="740"/>
      <c r="ALT225" s="740"/>
      <c r="ALU225" s="740"/>
      <c r="ALV225" s="740"/>
      <c r="ALW225" s="740"/>
      <c r="ALX225" s="740"/>
      <c r="ALY225" s="740"/>
      <c r="ALZ225" s="740"/>
      <c r="AMA225" s="740"/>
      <c r="AMB225" s="740"/>
      <c r="AMC225" s="740"/>
      <c r="AMD225" s="740"/>
      <c r="AME225" s="740"/>
      <c r="AMF225" s="740"/>
      <c r="AMG225" s="740"/>
      <c r="AMH225" s="740"/>
      <c r="AMI225" s="740"/>
      <c r="AMJ225" s="740"/>
      <c r="AMK225" s="740"/>
      <c r="AML225" s="740"/>
      <c r="AMM225" s="740"/>
      <c r="AMN225" s="740"/>
      <c r="AMO225" s="740"/>
      <c r="AMP225" s="740"/>
      <c r="AMQ225" s="740"/>
      <c r="AMR225" s="740"/>
      <c r="AMS225" s="740"/>
      <c r="AMT225" s="740"/>
      <c r="AMU225" s="740"/>
      <c r="AMV225" s="740"/>
      <c r="AMW225" s="740"/>
      <c r="AMX225" s="740"/>
      <c r="AMY225" s="740"/>
      <c r="AMZ225" s="740"/>
      <c r="ANA225" s="740"/>
      <c r="ANB225" s="740"/>
      <c r="ANC225" s="740"/>
      <c r="AND225" s="740"/>
      <c r="ANE225" s="740"/>
      <c r="ANF225" s="740"/>
      <c r="ANG225" s="740"/>
      <c r="ANH225" s="740"/>
      <c r="ANI225" s="740"/>
      <c r="ANJ225" s="740"/>
      <c r="ANK225" s="740"/>
      <c r="ANL225" s="740"/>
      <c r="ANM225" s="740"/>
      <c r="ANN225" s="740"/>
      <c r="ANO225" s="740"/>
      <c r="ANP225" s="740"/>
      <c r="ANQ225" s="740"/>
      <c r="ANR225" s="740"/>
      <c r="ANS225" s="740"/>
      <c r="ANT225" s="740"/>
      <c r="ANU225" s="740"/>
      <c r="ANV225" s="740"/>
      <c r="ANW225" s="740"/>
      <c r="ANX225" s="740"/>
      <c r="ANY225" s="740"/>
      <c r="ANZ225" s="740"/>
      <c r="AOA225" s="740"/>
      <c r="AOB225" s="740"/>
      <c r="AOC225" s="740"/>
      <c r="AOD225" s="740"/>
      <c r="AOE225" s="740"/>
      <c r="AOF225" s="740"/>
      <c r="AOG225" s="740"/>
      <c r="AOH225" s="740"/>
      <c r="AOI225" s="740"/>
      <c r="AOJ225" s="740"/>
      <c r="AOK225" s="740"/>
      <c r="AOL225" s="740"/>
      <c r="AOM225" s="740"/>
      <c r="AON225" s="740"/>
      <c r="AOO225" s="740"/>
      <c r="AOP225" s="740"/>
      <c r="AOQ225" s="740"/>
      <c r="AOR225" s="740"/>
      <c r="AOS225" s="740"/>
      <c r="AOT225" s="740"/>
      <c r="AOU225" s="740"/>
      <c r="AOV225" s="740"/>
      <c r="AOW225" s="740"/>
      <c r="AOX225" s="740"/>
      <c r="AOY225" s="740"/>
      <c r="AOZ225" s="740"/>
      <c r="APA225" s="740"/>
      <c r="APB225" s="740"/>
      <c r="APC225" s="740"/>
      <c r="APD225" s="740"/>
      <c r="APE225" s="740"/>
      <c r="APF225" s="740"/>
      <c r="APG225" s="740"/>
      <c r="APH225" s="740"/>
      <c r="API225" s="740"/>
      <c r="APJ225" s="740"/>
      <c r="APK225" s="740"/>
      <c r="APL225" s="740"/>
      <c r="APM225" s="740"/>
      <c r="APN225" s="740"/>
      <c r="APO225" s="740"/>
      <c r="APP225" s="740"/>
      <c r="APQ225" s="740"/>
      <c r="APR225" s="740"/>
      <c r="APS225" s="740"/>
      <c r="APT225" s="740"/>
      <c r="APU225" s="740"/>
      <c r="APV225" s="740"/>
      <c r="APW225" s="740"/>
      <c r="APX225" s="740"/>
      <c r="APY225" s="740"/>
      <c r="APZ225" s="740"/>
      <c r="AQA225" s="740"/>
      <c r="AQB225" s="740"/>
      <c r="AQC225" s="740"/>
      <c r="AQD225" s="740"/>
      <c r="AQE225" s="740"/>
      <c r="AQF225" s="740"/>
      <c r="AQG225" s="740"/>
      <c r="AQH225" s="740"/>
      <c r="AQI225" s="740"/>
      <c r="AQJ225" s="740"/>
      <c r="AQK225" s="740"/>
      <c r="AQL225" s="740"/>
      <c r="AQM225" s="740"/>
      <c r="AQN225" s="740"/>
      <c r="AQO225" s="740"/>
      <c r="AQP225" s="740"/>
      <c r="AQQ225" s="740"/>
      <c r="AQR225" s="740"/>
      <c r="AQS225" s="740"/>
      <c r="AQT225" s="740"/>
      <c r="AQU225" s="740"/>
      <c r="AQV225" s="740"/>
      <c r="AQW225" s="740"/>
      <c r="AQX225" s="740"/>
      <c r="AQY225" s="740"/>
      <c r="AQZ225" s="740"/>
      <c r="ARA225" s="740"/>
      <c r="ARB225" s="740"/>
      <c r="ARC225" s="740"/>
      <c r="ARD225" s="740"/>
      <c r="ARE225" s="740"/>
      <c r="ARF225" s="740"/>
      <c r="ARG225" s="740"/>
      <c r="ARH225" s="740"/>
      <c r="ARI225" s="740"/>
      <c r="ARJ225" s="740"/>
      <c r="ARK225" s="740"/>
      <c r="ARL225" s="740"/>
      <c r="ARM225" s="740"/>
      <c r="ARN225" s="740"/>
      <c r="ARO225" s="740"/>
      <c r="ARP225" s="740"/>
      <c r="ARQ225" s="740"/>
      <c r="ARR225" s="740"/>
      <c r="ARS225" s="740"/>
      <c r="ART225" s="740"/>
      <c r="ARU225" s="740"/>
      <c r="ARV225" s="740"/>
      <c r="ARW225" s="740"/>
      <c r="ARX225" s="740"/>
      <c r="ARY225" s="740"/>
      <c r="ARZ225" s="740"/>
      <c r="ASA225" s="740"/>
      <c r="ASB225" s="740"/>
      <c r="ASC225" s="740"/>
      <c r="ASD225" s="740"/>
      <c r="ASE225" s="740"/>
      <c r="ASF225" s="740"/>
      <c r="ASG225" s="740"/>
      <c r="ASH225" s="740"/>
      <c r="ASI225" s="740"/>
      <c r="ASJ225" s="740"/>
      <c r="ASK225" s="740"/>
      <c r="ASL225" s="740"/>
      <c r="ASM225" s="740"/>
      <c r="ASN225" s="740"/>
      <c r="ASO225" s="740"/>
      <c r="ASP225" s="740"/>
      <c r="ASQ225" s="740"/>
      <c r="ASR225" s="740"/>
      <c r="ASS225" s="740"/>
      <c r="AST225" s="740"/>
      <c r="ASU225" s="740"/>
      <c r="ASV225" s="740"/>
      <c r="ASW225" s="740"/>
      <c r="ASX225" s="740"/>
      <c r="ASY225" s="740"/>
      <c r="ASZ225" s="740"/>
      <c r="ATA225" s="740"/>
      <c r="ATB225" s="740"/>
      <c r="ATC225" s="740"/>
      <c r="ATD225" s="740"/>
      <c r="ATE225" s="740"/>
      <c r="ATF225" s="740"/>
      <c r="ATG225" s="740"/>
      <c r="ATH225" s="740"/>
      <c r="ATI225" s="740"/>
      <c r="ATJ225" s="740"/>
      <c r="ATK225" s="740"/>
      <c r="ATL225" s="740"/>
      <c r="ATM225" s="740"/>
      <c r="ATN225" s="740"/>
      <c r="ATO225" s="740"/>
      <c r="ATP225" s="740"/>
      <c r="ATQ225" s="740"/>
      <c r="ATR225" s="740"/>
      <c r="ATS225" s="740"/>
      <c r="ATT225" s="740"/>
      <c r="ATU225" s="740"/>
      <c r="ATV225" s="740"/>
      <c r="ATW225" s="740"/>
      <c r="ATX225" s="740"/>
      <c r="ATY225" s="740"/>
      <c r="ATZ225" s="740"/>
      <c r="AUA225" s="740"/>
      <c r="AUB225" s="740"/>
      <c r="AUC225" s="740"/>
      <c r="AUD225" s="740"/>
      <c r="AUE225" s="740"/>
      <c r="AUF225" s="740"/>
      <c r="AUG225" s="740"/>
      <c r="AUH225" s="740"/>
      <c r="AUI225" s="740"/>
      <c r="AUJ225" s="740"/>
      <c r="AUK225" s="740"/>
      <c r="AUL225" s="740"/>
      <c r="AUM225" s="740"/>
      <c r="AUN225" s="740"/>
      <c r="AUO225" s="740"/>
      <c r="AUP225" s="740"/>
      <c r="AUQ225" s="740"/>
      <c r="AUR225" s="740"/>
      <c r="AUS225" s="740"/>
      <c r="AUT225" s="740"/>
      <c r="AUU225" s="740"/>
      <c r="AUV225" s="740"/>
      <c r="AUW225" s="740"/>
      <c r="AUX225" s="740"/>
      <c r="AUY225" s="740"/>
      <c r="AUZ225" s="740"/>
      <c r="AVA225" s="740"/>
      <c r="AVB225" s="740"/>
      <c r="AVC225" s="740"/>
      <c r="AVD225" s="740"/>
      <c r="AVE225" s="740"/>
      <c r="AVF225" s="740"/>
      <c r="AVG225" s="740"/>
      <c r="AVH225" s="740"/>
      <c r="AVI225" s="740"/>
      <c r="AVJ225" s="740"/>
      <c r="AVK225" s="740"/>
      <c r="AVL225" s="740"/>
      <c r="AVM225" s="740"/>
      <c r="AVN225" s="740"/>
      <c r="AVO225" s="740"/>
      <c r="AVP225" s="740"/>
      <c r="AVQ225" s="740"/>
      <c r="AVR225" s="740"/>
      <c r="AVS225" s="740"/>
      <c r="AVT225" s="740"/>
      <c r="AVU225" s="740"/>
      <c r="AVV225" s="740"/>
      <c r="AVW225" s="740"/>
      <c r="AVX225" s="740"/>
      <c r="AVY225" s="740"/>
      <c r="AVZ225" s="740"/>
      <c r="AWA225" s="740"/>
      <c r="AWB225" s="740"/>
      <c r="AWC225" s="740"/>
      <c r="AWD225" s="740"/>
      <c r="AWE225" s="740"/>
      <c r="AWF225" s="740"/>
      <c r="AWG225" s="740"/>
      <c r="AWH225" s="740"/>
      <c r="AWI225" s="740"/>
      <c r="AWJ225" s="740"/>
      <c r="AWK225" s="740"/>
      <c r="AWL225" s="740"/>
      <c r="AWM225" s="740"/>
      <c r="AWN225" s="740"/>
      <c r="AWO225" s="740"/>
      <c r="AWP225" s="740"/>
      <c r="AWQ225" s="740"/>
      <c r="AWR225" s="740"/>
      <c r="AWS225" s="740"/>
      <c r="AWT225" s="740"/>
      <c r="AWU225" s="740"/>
      <c r="AWV225" s="740"/>
      <c r="AWW225" s="740"/>
      <c r="AWX225" s="740"/>
      <c r="AWY225" s="740"/>
      <c r="AWZ225" s="740"/>
      <c r="AXA225" s="740"/>
      <c r="AXB225" s="740"/>
      <c r="AXC225" s="740"/>
      <c r="AXD225" s="740"/>
      <c r="AXE225" s="740"/>
      <c r="AXF225" s="740"/>
      <c r="AXG225" s="740"/>
      <c r="AXH225" s="740"/>
      <c r="AXI225" s="740"/>
      <c r="AXJ225" s="740"/>
    </row>
    <row r="226" spans="1:1310" s="741" customFormat="1" ht="23.25" customHeight="1">
      <c r="A226" s="756"/>
      <c r="B226" s="9016" t="s">
        <v>1567</v>
      </c>
      <c r="C226" s="9016"/>
      <c r="D226" s="9016"/>
      <c r="E226" s="9016"/>
      <c r="F226" s="750"/>
      <c r="G226" s="9016" t="s">
        <v>1568</v>
      </c>
      <c r="H226" s="9016"/>
      <c r="I226" s="9016"/>
      <c r="J226" s="750"/>
      <c r="K226" s="9016" t="s">
        <v>1569</v>
      </c>
      <c r="L226" s="9016"/>
      <c r="M226" s="9016"/>
      <c r="N226" s="750"/>
      <c r="O226" s="9016" t="s">
        <v>1570</v>
      </c>
      <c r="P226" s="9016"/>
      <c r="Q226" s="750"/>
      <c r="R226" s="311"/>
      <c r="S226" s="311"/>
      <c r="T226" s="311"/>
      <c r="U226" s="311"/>
      <c r="V226" s="311"/>
      <c r="W226" s="311"/>
      <c r="X226" s="311"/>
      <c r="Y226" s="311"/>
      <c r="Z226" s="311"/>
      <c r="AA226" s="311"/>
      <c r="AB226" s="311"/>
      <c r="AC226" s="311"/>
      <c r="AD226" s="740"/>
      <c r="AE226" s="740"/>
      <c r="AF226" s="740"/>
      <c r="AG226" s="740"/>
      <c r="AH226" s="740"/>
      <c r="AI226" s="740"/>
      <c r="AJ226" s="740"/>
      <c r="AK226" s="740"/>
      <c r="AL226" s="740"/>
      <c r="AM226" s="740"/>
      <c r="AN226" s="740"/>
      <c r="AO226" s="740"/>
      <c r="AP226" s="740"/>
      <c r="AQ226" s="740"/>
      <c r="AR226" s="740"/>
      <c r="AS226" s="740"/>
      <c r="AT226" s="740"/>
      <c r="AU226" s="740"/>
      <c r="AV226" s="740"/>
      <c r="AW226" s="740"/>
      <c r="AX226" s="740"/>
      <c r="AY226" s="740"/>
      <c r="AZ226" s="740"/>
      <c r="BA226" s="740"/>
      <c r="BB226" s="740"/>
      <c r="BC226" s="740"/>
      <c r="BD226" s="740"/>
      <c r="BE226" s="740"/>
      <c r="BF226" s="740"/>
      <c r="BG226" s="740"/>
      <c r="BH226" s="740"/>
      <c r="BI226" s="740"/>
      <c r="BJ226" s="740"/>
      <c r="BK226" s="740"/>
      <c r="BL226" s="740"/>
      <c r="BM226" s="740"/>
      <c r="BN226" s="740"/>
      <c r="BO226" s="740"/>
      <c r="BP226" s="740"/>
      <c r="BQ226" s="740"/>
      <c r="BR226" s="740"/>
      <c r="BS226" s="740"/>
      <c r="BT226" s="740"/>
      <c r="BU226" s="740"/>
      <c r="BV226" s="740"/>
      <c r="BW226" s="740"/>
      <c r="BX226" s="740"/>
      <c r="BY226" s="740"/>
      <c r="BZ226" s="740"/>
      <c r="CA226" s="740"/>
      <c r="CB226" s="740"/>
      <c r="CC226" s="740"/>
      <c r="CD226" s="740"/>
      <c r="CE226" s="740"/>
      <c r="CF226" s="740"/>
      <c r="CG226" s="740"/>
      <c r="CH226" s="740"/>
      <c r="CI226" s="740"/>
      <c r="CJ226" s="740"/>
      <c r="CK226" s="740"/>
      <c r="CL226" s="740"/>
      <c r="CM226" s="740"/>
      <c r="CN226" s="740"/>
      <c r="CO226" s="740"/>
      <c r="CP226" s="740"/>
      <c r="CQ226" s="740"/>
      <c r="CR226" s="740"/>
      <c r="CS226" s="740"/>
      <c r="CT226" s="740"/>
      <c r="CU226" s="740"/>
      <c r="CV226" s="740"/>
      <c r="CW226" s="740"/>
      <c r="CX226" s="740"/>
      <c r="CY226" s="740"/>
      <c r="CZ226" s="740"/>
      <c r="DA226" s="740"/>
      <c r="DB226" s="740"/>
      <c r="DC226" s="740"/>
      <c r="DD226" s="740"/>
      <c r="DE226" s="740"/>
      <c r="DF226" s="740"/>
      <c r="DG226" s="740"/>
      <c r="DH226" s="740"/>
      <c r="DI226" s="740"/>
      <c r="DJ226" s="740"/>
      <c r="DK226" s="740"/>
      <c r="DL226" s="740"/>
      <c r="DM226" s="740"/>
      <c r="DN226" s="740"/>
      <c r="DO226" s="740"/>
      <c r="DP226" s="740"/>
      <c r="DQ226" s="740"/>
      <c r="DR226" s="740"/>
      <c r="DS226" s="740"/>
      <c r="DT226" s="740"/>
      <c r="DU226" s="740"/>
      <c r="DV226" s="740"/>
      <c r="DW226" s="740"/>
      <c r="DX226" s="740"/>
      <c r="DY226" s="740"/>
      <c r="DZ226" s="740"/>
      <c r="EA226" s="740"/>
      <c r="EB226" s="740"/>
      <c r="EC226" s="740"/>
      <c r="ED226" s="740"/>
      <c r="EE226" s="740"/>
      <c r="EF226" s="740"/>
      <c r="EG226" s="740"/>
      <c r="EH226" s="740"/>
      <c r="EI226" s="740"/>
      <c r="EJ226" s="740"/>
      <c r="EK226" s="740"/>
      <c r="EL226" s="740"/>
      <c r="EM226" s="740"/>
      <c r="EN226" s="740"/>
      <c r="EO226" s="740"/>
      <c r="EP226" s="740"/>
      <c r="EQ226" s="740"/>
      <c r="ER226" s="740"/>
      <c r="ES226" s="740"/>
      <c r="ET226" s="740"/>
      <c r="EU226" s="740"/>
      <c r="EV226" s="740"/>
      <c r="EW226" s="740"/>
      <c r="EX226" s="740"/>
      <c r="EY226" s="740"/>
      <c r="EZ226" s="740"/>
      <c r="FA226" s="740"/>
      <c r="FB226" s="740"/>
      <c r="FC226" s="740"/>
      <c r="FD226" s="740"/>
      <c r="FE226" s="740"/>
      <c r="FF226" s="740"/>
      <c r="FG226" s="740"/>
      <c r="FH226" s="740"/>
      <c r="FI226" s="740"/>
      <c r="FJ226" s="740"/>
      <c r="FK226" s="740"/>
      <c r="FL226" s="740"/>
      <c r="FM226" s="740"/>
      <c r="FN226" s="740"/>
      <c r="FO226" s="740"/>
      <c r="FP226" s="740"/>
      <c r="FQ226" s="740"/>
      <c r="FR226" s="740"/>
      <c r="FS226" s="740"/>
      <c r="FT226" s="740"/>
      <c r="FU226" s="740"/>
      <c r="FV226" s="740"/>
      <c r="FW226" s="740"/>
      <c r="FX226" s="740"/>
      <c r="FY226" s="740"/>
      <c r="FZ226" s="740"/>
      <c r="GA226" s="740"/>
      <c r="GB226" s="740"/>
      <c r="GC226" s="740"/>
      <c r="GD226" s="740"/>
      <c r="GE226" s="740"/>
      <c r="GF226" s="740"/>
      <c r="GG226" s="740"/>
      <c r="GH226" s="740"/>
      <c r="GI226" s="740"/>
      <c r="GJ226" s="740"/>
      <c r="GK226" s="740"/>
      <c r="GL226" s="740"/>
      <c r="GM226" s="740"/>
      <c r="GN226" s="740"/>
      <c r="GO226" s="740"/>
      <c r="GP226" s="740"/>
      <c r="GQ226" s="740"/>
      <c r="GR226" s="740"/>
      <c r="GS226" s="740"/>
      <c r="GT226" s="740"/>
      <c r="GU226" s="740"/>
      <c r="GV226" s="740"/>
      <c r="GW226" s="740"/>
      <c r="GX226" s="740"/>
      <c r="GY226" s="740"/>
      <c r="GZ226" s="740"/>
      <c r="HA226" s="740"/>
      <c r="HB226" s="740"/>
      <c r="HC226" s="740"/>
      <c r="HD226" s="740"/>
      <c r="HE226" s="740"/>
      <c r="HF226" s="740"/>
      <c r="HG226" s="740"/>
      <c r="HH226" s="740"/>
      <c r="HI226" s="740"/>
      <c r="HJ226" s="740"/>
      <c r="HK226" s="740"/>
      <c r="HL226" s="740"/>
      <c r="HM226" s="740"/>
      <c r="HN226" s="740"/>
      <c r="HO226" s="740"/>
      <c r="HP226" s="740"/>
      <c r="HQ226" s="740"/>
      <c r="HR226" s="740"/>
      <c r="HS226" s="740"/>
      <c r="HT226" s="740"/>
      <c r="HU226" s="740"/>
      <c r="HV226" s="740"/>
      <c r="HW226" s="740"/>
      <c r="HX226" s="740"/>
      <c r="HY226" s="740"/>
      <c r="HZ226" s="740"/>
      <c r="IA226" s="740"/>
      <c r="IB226" s="740"/>
      <c r="IC226" s="740"/>
      <c r="ID226" s="740"/>
      <c r="IE226" s="740"/>
      <c r="IF226" s="740"/>
      <c r="IG226" s="740"/>
      <c r="IH226" s="740"/>
      <c r="II226" s="740"/>
      <c r="IJ226" s="740"/>
      <c r="IK226" s="740"/>
      <c r="IL226" s="740"/>
      <c r="IM226" s="740"/>
      <c r="IN226" s="740"/>
      <c r="IO226" s="740"/>
      <c r="IP226" s="740"/>
      <c r="IQ226" s="740"/>
      <c r="IR226" s="740"/>
      <c r="IS226" s="740"/>
      <c r="IT226" s="740"/>
      <c r="IU226" s="740"/>
      <c r="IV226" s="740"/>
      <c r="IW226" s="740"/>
      <c r="IX226" s="740"/>
      <c r="IY226" s="740"/>
      <c r="IZ226" s="740"/>
      <c r="JA226" s="740"/>
      <c r="JB226" s="740"/>
      <c r="JC226" s="740"/>
      <c r="JD226" s="740"/>
      <c r="JE226" s="740"/>
      <c r="JF226" s="740"/>
      <c r="JG226" s="740"/>
      <c r="JH226" s="740"/>
      <c r="JI226" s="740"/>
      <c r="JJ226" s="740"/>
      <c r="JK226" s="740"/>
      <c r="JL226" s="740"/>
      <c r="JM226" s="740"/>
      <c r="JN226" s="740"/>
      <c r="JO226" s="740"/>
      <c r="JP226" s="740"/>
      <c r="JQ226" s="740"/>
      <c r="JR226" s="740"/>
      <c r="JS226" s="740"/>
      <c r="JT226" s="740"/>
      <c r="JU226" s="740"/>
      <c r="JV226" s="740"/>
      <c r="JW226" s="740"/>
      <c r="JX226" s="740"/>
      <c r="JY226" s="740"/>
      <c r="JZ226" s="740"/>
      <c r="KA226" s="740"/>
      <c r="KB226" s="740"/>
      <c r="KC226" s="740"/>
      <c r="KD226" s="740"/>
      <c r="KE226" s="740"/>
      <c r="KF226" s="740"/>
      <c r="KG226" s="740"/>
      <c r="KH226" s="740"/>
      <c r="KI226" s="740"/>
      <c r="KJ226" s="740"/>
      <c r="KK226" s="740"/>
      <c r="KL226" s="740"/>
      <c r="KM226" s="740"/>
      <c r="KN226" s="740"/>
      <c r="KO226" s="740"/>
      <c r="KP226" s="740"/>
      <c r="KQ226" s="740"/>
      <c r="KR226" s="740"/>
      <c r="KS226" s="740"/>
      <c r="KT226" s="740"/>
      <c r="KU226" s="740"/>
      <c r="KV226" s="740"/>
      <c r="KW226" s="740"/>
      <c r="KX226" s="740"/>
      <c r="KY226" s="740"/>
      <c r="KZ226" s="740"/>
      <c r="LA226" s="740"/>
      <c r="LB226" s="740"/>
      <c r="LC226" s="740"/>
      <c r="LD226" s="740"/>
      <c r="LE226" s="740"/>
      <c r="LF226" s="740"/>
      <c r="LG226" s="740"/>
      <c r="LH226" s="740"/>
      <c r="LI226" s="740"/>
      <c r="LJ226" s="740"/>
      <c r="LK226" s="740"/>
      <c r="LL226" s="740"/>
      <c r="LM226" s="740"/>
      <c r="LN226" s="740"/>
      <c r="LO226" s="740"/>
      <c r="LP226" s="740"/>
      <c r="LQ226" s="740"/>
      <c r="LR226" s="740"/>
      <c r="LS226" s="740"/>
      <c r="LT226" s="740"/>
      <c r="LU226" s="740"/>
      <c r="LV226" s="740"/>
      <c r="LW226" s="740"/>
      <c r="LX226" s="740"/>
      <c r="LY226" s="740"/>
      <c r="LZ226" s="740"/>
      <c r="MA226" s="740"/>
      <c r="MB226" s="740"/>
      <c r="MC226" s="740"/>
      <c r="MD226" s="740"/>
      <c r="ME226" s="740"/>
      <c r="MF226" s="740"/>
      <c r="MG226" s="740"/>
      <c r="MH226" s="740"/>
      <c r="MI226" s="740"/>
      <c r="MJ226" s="740"/>
      <c r="MK226" s="740"/>
      <c r="ML226" s="740"/>
      <c r="MM226" s="740"/>
      <c r="MN226" s="740"/>
      <c r="MO226" s="740"/>
      <c r="MP226" s="740"/>
      <c r="MQ226" s="740"/>
      <c r="MR226" s="740"/>
      <c r="MS226" s="740"/>
      <c r="MT226" s="740"/>
      <c r="MU226" s="740"/>
      <c r="MV226" s="740"/>
      <c r="MW226" s="740"/>
      <c r="MX226" s="740"/>
      <c r="MY226" s="740"/>
      <c r="MZ226" s="740"/>
      <c r="NA226" s="740"/>
      <c r="NB226" s="740"/>
      <c r="NC226" s="740"/>
      <c r="ND226" s="740"/>
      <c r="NE226" s="740"/>
      <c r="NF226" s="740"/>
      <c r="NG226" s="740"/>
      <c r="NH226" s="740"/>
      <c r="NI226" s="740"/>
      <c r="NJ226" s="740"/>
      <c r="NK226" s="740"/>
      <c r="NL226" s="740"/>
      <c r="NM226" s="740"/>
      <c r="NN226" s="740"/>
      <c r="NO226" s="740"/>
      <c r="NP226" s="740"/>
      <c r="NQ226" s="740"/>
      <c r="NR226" s="740"/>
      <c r="NS226" s="740"/>
      <c r="NT226" s="740"/>
      <c r="NU226" s="740"/>
      <c r="NV226" s="740"/>
      <c r="NW226" s="740"/>
      <c r="NX226" s="740"/>
      <c r="NY226" s="740"/>
      <c r="NZ226" s="740"/>
      <c r="OA226" s="740"/>
      <c r="OB226" s="740"/>
      <c r="OC226" s="740"/>
      <c r="OD226" s="740"/>
      <c r="OE226" s="740"/>
      <c r="OF226" s="740"/>
      <c r="OG226" s="740"/>
      <c r="OH226" s="740"/>
      <c r="OI226" s="740"/>
      <c r="OJ226" s="740"/>
      <c r="OK226" s="740"/>
      <c r="OL226" s="740"/>
      <c r="OM226" s="740"/>
      <c r="ON226" s="740"/>
      <c r="OO226" s="740"/>
      <c r="OP226" s="740"/>
      <c r="OQ226" s="740"/>
      <c r="OR226" s="740"/>
      <c r="OS226" s="740"/>
      <c r="OT226" s="740"/>
      <c r="OU226" s="740"/>
      <c r="OV226" s="740"/>
      <c r="OW226" s="740"/>
      <c r="OX226" s="740"/>
      <c r="OY226" s="740"/>
      <c r="OZ226" s="740"/>
      <c r="PA226" s="740"/>
      <c r="PB226" s="740"/>
      <c r="PC226" s="740"/>
      <c r="PD226" s="740"/>
      <c r="PE226" s="740"/>
      <c r="PF226" s="740"/>
      <c r="PG226" s="740"/>
      <c r="PH226" s="740"/>
      <c r="PI226" s="740"/>
      <c r="PJ226" s="740"/>
      <c r="PK226" s="740"/>
      <c r="PL226" s="740"/>
      <c r="PM226" s="740"/>
      <c r="PN226" s="740"/>
      <c r="PO226" s="740"/>
      <c r="PP226" s="740"/>
      <c r="PQ226" s="740"/>
      <c r="PR226" s="740"/>
      <c r="PS226" s="740"/>
      <c r="PT226" s="740"/>
      <c r="PU226" s="740"/>
      <c r="PV226" s="740"/>
      <c r="PW226" s="740"/>
      <c r="PX226" s="740"/>
      <c r="PY226" s="740"/>
      <c r="PZ226" s="740"/>
      <c r="QA226" s="740"/>
      <c r="QB226" s="740"/>
      <c r="QC226" s="740"/>
      <c r="QD226" s="740"/>
      <c r="QE226" s="740"/>
      <c r="QF226" s="740"/>
      <c r="QG226" s="740"/>
      <c r="QH226" s="740"/>
      <c r="QI226" s="740"/>
      <c r="QJ226" s="740"/>
      <c r="QK226" s="740"/>
      <c r="QL226" s="740"/>
      <c r="QM226" s="740"/>
      <c r="QN226" s="740"/>
      <c r="QO226" s="740"/>
      <c r="QP226" s="740"/>
      <c r="QQ226" s="740"/>
      <c r="QR226" s="740"/>
      <c r="QS226" s="740"/>
      <c r="QT226" s="740"/>
      <c r="QU226" s="740"/>
      <c r="QV226" s="740"/>
      <c r="QW226" s="740"/>
      <c r="QX226" s="740"/>
      <c r="QY226" s="740"/>
      <c r="QZ226" s="740"/>
      <c r="RA226" s="740"/>
      <c r="RB226" s="740"/>
      <c r="RC226" s="740"/>
      <c r="RD226" s="740"/>
      <c r="RE226" s="740"/>
      <c r="RF226" s="740"/>
      <c r="RG226" s="740"/>
      <c r="RH226" s="740"/>
      <c r="RI226" s="740"/>
      <c r="RJ226" s="740"/>
      <c r="RK226" s="740"/>
      <c r="RL226" s="740"/>
      <c r="RM226" s="740"/>
      <c r="RN226" s="740"/>
      <c r="RO226" s="740"/>
      <c r="RP226" s="740"/>
      <c r="RQ226" s="740"/>
      <c r="RR226" s="740"/>
      <c r="RS226" s="740"/>
      <c r="RT226" s="740"/>
      <c r="RU226" s="740"/>
      <c r="RV226" s="740"/>
      <c r="RW226" s="740"/>
      <c r="RX226" s="740"/>
      <c r="RY226" s="740"/>
      <c r="RZ226" s="740"/>
      <c r="SA226" s="740"/>
      <c r="SB226" s="740"/>
      <c r="SC226" s="740"/>
      <c r="SD226" s="740"/>
      <c r="SE226" s="740"/>
      <c r="SF226" s="740"/>
      <c r="SG226" s="740"/>
      <c r="SH226" s="740"/>
      <c r="SI226" s="740"/>
      <c r="SJ226" s="740"/>
      <c r="SK226" s="740"/>
      <c r="SL226" s="740"/>
      <c r="SM226" s="740"/>
      <c r="SN226" s="740"/>
      <c r="SO226" s="740"/>
      <c r="SP226" s="740"/>
      <c r="SQ226" s="740"/>
      <c r="SR226" s="740"/>
      <c r="SS226" s="740"/>
      <c r="ST226" s="740"/>
      <c r="SU226" s="740"/>
      <c r="SV226" s="740"/>
      <c r="SW226" s="740"/>
      <c r="SX226" s="740"/>
      <c r="SY226" s="740"/>
      <c r="SZ226" s="740"/>
      <c r="TA226" s="740"/>
      <c r="TB226" s="740"/>
      <c r="TC226" s="740"/>
      <c r="TD226" s="740"/>
      <c r="TE226" s="740"/>
      <c r="TF226" s="740"/>
      <c r="TG226" s="740"/>
      <c r="TH226" s="740"/>
      <c r="TI226" s="740"/>
      <c r="TJ226" s="740"/>
      <c r="TK226" s="740"/>
      <c r="TL226" s="740"/>
      <c r="TM226" s="740"/>
      <c r="TN226" s="740"/>
      <c r="TO226" s="740"/>
      <c r="TP226" s="740"/>
      <c r="TQ226" s="740"/>
      <c r="TR226" s="740"/>
      <c r="TS226" s="740"/>
      <c r="TT226" s="740"/>
      <c r="TU226" s="740"/>
      <c r="TV226" s="740"/>
      <c r="TW226" s="740"/>
      <c r="TX226" s="740"/>
      <c r="TY226" s="740"/>
      <c r="TZ226" s="740"/>
      <c r="UA226" s="740"/>
      <c r="UB226" s="740"/>
      <c r="UC226" s="740"/>
      <c r="UD226" s="740"/>
      <c r="UE226" s="740"/>
      <c r="UF226" s="740"/>
      <c r="UG226" s="740"/>
      <c r="UH226" s="740"/>
      <c r="UI226" s="740"/>
      <c r="UJ226" s="740"/>
      <c r="UK226" s="740"/>
      <c r="UL226" s="740"/>
      <c r="UM226" s="740"/>
      <c r="UN226" s="740"/>
      <c r="UO226" s="740"/>
      <c r="UP226" s="740"/>
      <c r="UQ226" s="740"/>
      <c r="UR226" s="740"/>
      <c r="US226" s="740"/>
      <c r="UT226" s="740"/>
      <c r="UU226" s="740"/>
      <c r="UV226" s="740"/>
      <c r="UW226" s="740"/>
      <c r="UX226" s="740"/>
      <c r="UY226" s="740"/>
      <c r="UZ226" s="740"/>
      <c r="VA226" s="740"/>
      <c r="VB226" s="740"/>
      <c r="VC226" s="740"/>
      <c r="VD226" s="740"/>
      <c r="VE226" s="740"/>
      <c r="VF226" s="740"/>
      <c r="VG226" s="740"/>
      <c r="VH226" s="740"/>
      <c r="VI226" s="740"/>
      <c r="VJ226" s="740"/>
      <c r="VK226" s="740"/>
      <c r="VL226" s="740"/>
      <c r="VM226" s="740"/>
      <c r="VN226" s="740"/>
      <c r="VO226" s="740"/>
      <c r="VP226" s="740"/>
      <c r="VQ226" s="740"/>
      <c r="VR226" s="740"/>
      <c r="VS226" s="740"/>
      <c r="VT226" s="740"/>
      <c r="VU226" s="740"/>
      <c r="VV226" s="740"/>
      <c r="VW226" s="740"/>
      <c r="VX226" s="740"/>
      <c r="VY226" s="740"/>
      <c r="VZ226" s="740"/>
      <c r="WA226" s="740"/>
      <c r="WB226" s="740"/>
      <c r="WC226" s="740"/>
      <c r="WD226" s="740"/>
      <c r="WE226" s="740"/>
      <c r="WF226" s="740"/>
      <c r="WG226" s="740"/>
      <c r="WH226" s="740"/>
      <c r="WI226" s="740"/>
      <c r="WJ226" s="740"/>
      <c r="WK226" s="740"/>
      <c r="WL226" s="740"/>
      <c r="WM226" s="740"/>
      <c r="WN226" s="740"/>
      <c r="WO226" s="740"/>
      <c r="WP226" s="740"/>
      <c r="WQ226" s="740"/>
      <c r="WR226" s="740"/>
      <c r="WS226" s="740"/>
      <c r="WT226" s="740"/>
      <c r="WU226" s="740"/>
      <c r="WV226" s="740"/>
      <c r="WW226" s="740"/>
      <c r="WX226" s="740"/>
      <c r="WY226" s="740"/>
      <c r="WZ226" s="740"/>
      <c r="XA226" s="740"/>
      <c r="XB226" s="740"/>
      <c r="XC226" s="740"/>
      <c r="XD226" s="740"/>
      <c r="XE226" s="740"/>
      <c r="XF226" s="740"/>
      <c r="XG226" s="740"/>
      <c r="XH226" s="740"/>
      <c r="XI226" s="740"/>
      <c r="XJ226" s="740"/>
      <c r="XK226" s="740"/>
      <c r="XL226" s="740"/>
      <c r="XM226" s="740"/>
      <c r="XN226" s="740"/>
      <c r="XO226" s="740"/>
      <c r="XP226" s="740"/>
      <c r="XQ226" s="740"/>
      <c r="XR226" s="740"/>
      <c r="XS226" s="740"/>
      <c r="XT226" s="740"/>
      <c r="XU226" s="740"/>
      <c r="XV226" s="740"/>
      <c r="XW226" s="740"/>
      <c r="XX226" s="740"/>
      <c r="XY226" s="740"/>
      <c r="XZ226" s="740"/>
      <c r="YA226" s="740"/>
      <c r="YB226" s="740"/>
      <c r="YC226" s="740"/>
      <c r="YD226" s="740"/>
      <c r="YE226" s="740"/>
      <c r="YF226" s="740"/>
      <c r="YG226" s="740"/>
      <c r="YH226" s="740"/>
      <c r="YI226" s="740"/>
      <c r="YJ226" s="740"/>
      <c r="YK226" s="740"/>
      <c r="YL226" s="740"/>
      <c r="YM226" s="740"/>
      <c r="YN226" s="740"/>
      <c r="YO226" s="740"/>
      <c r="YP226" s="740"/>
      <c r="YQ226" s="740"/>
      <c r="YR226" s="740"/>
      <c r="YS226" s="740"/>
      <c r="YT226" s="740"/>
      <c r="YU226" s="740"/>
      <c r="YV226" s="740"/>
      <c r="YW226" s="740"/>
      <c r="YX226" s="740"/>
      <c r="YY226" s="740"/>
      <c r="YZ226" s="740"/>
      <c r="ZA226" s="740"/>
      <c r="ZB226" s="740"/>
      <c r="ZC226" s="740"/>
      <c r="ZD226" s="740"/>
      <c r="ZE226" s="740"/>
      <c r="ZF226" s="740"/>
      <c r="ZG226" s="740"/>
      <c r="ZH226" s="740"/>
      <c r="ZI226" s="740"/>
      <c r="ZJ226" s="740"/>
      <c r="ZK226" s="740"/>
      <c r="ZL226" s="740"/>
      <c r="ZM226" s="740"/>
      <c r="ZN226" s="740"/>
      <c r="ZO226" s="740"/>
      <c r="ZP226" s="740"/>
      <c r="ZQ226" s="740"/>
      <c r="ZR226" s="740"/>
      <c r="ZS226" s="740"/>
      <c r="ZT226" s="740"/>
      <c r="ZU226" s="740"/>
      <c r="ZV226" s="740"/>
      <c r="ZW226" s="740"/>
      <c r="ZX226" s="740"/>
      <c r="ZY226" s="740"/>
      <c r="ZZ226" s="740"/>
      <c r="AAA226" s="740"/>
      <c r="AAB226" s="740"/>
      <c r="AAC226" s="740"/>
      <c r="AAD226" s="740"/>
      <c r="AAE226" s="740"/>
      <c r="AAF226" s="740"/>
      <c r="AAG226" s="740"/>
      <c r="AAH226" s="740"/>
      <c r="AAI226" s="740"/>
      <c r="AAJ226" s="740"/>
      <c r="AAK226" s="740"/>
      <c r="AAL226" s="740"/>
      <c r="AAM226" s="740"/>
      <c r="AAN226" s="740"/>
      <c r="AAO226" s="740"/>
      <c r="AAP226" s="740"/>
      <c r="AAQ226" s="740"/>
      <c r="AAR226" s="740"/>
      <c r="AAS226" s="740"/>
      <c r="AAT226" s="740"/>
      <c r="AAU226" s="740"/>
      <c r="AAV226" s="740"/>
      <c r="AAW226" s="740"/>
      <c r="AAX226" s="740"/>
      <c r="AAY226" s="740"/>
      <c r="AAZ226" s="740"/>
      <c r="ABA226" s="740"/>
      <c r="ABB226" s="740"/>
      <c r="ABC226" s="740"/>
      <c r="ABD226" s="740"/>
      <c r="ABE226" s="740"/>
      <c r="ABF226" s="740"/>
      <c r="ABG226" s="740"/>
      <c r="ABH226" s="740"/>
      <c r="ABI226" s="740"/>
      <c r="ABJ226" s="740"/>
      <c r="ABK226" s="740"/>
      <c r="ABL226" s="740"/>
      <c r="ABM226" s="740"/>
      <c r="ABN226" s="740"/>
      <c r="ABO226" s="740"/>
      <c r="ABP226" s="740"/>
      <c r="ABQ226" s="740"/>
      <c r="ABR226" s="740"/>
      <c r="ABS226" s="740"/>
      <c r="ABT226" s="740"/>
      <c r="ABU226" s="740"/>
      <c r="ABV226" s="740"/>
      <c r="ABW226" s="740"/>
      <c r="ABX226" s="740"/>
      <c r="ABY226" s="740"/>
      <c r="ABZ226" s="740"/>
      <c r="ACA226" s="740"/>
      <c r="ACB226" s="740"/>
      <c r="ACC226" s="740"/>
      <c r="ACD226" s="740"/>
      <c r="ACE226" s="740"/>
      <c r="ACF226" s="740"/>
      <c r="ACG226" s="740"/>
      <c r="ACH226" s="740"/>
      <c r="ACI226" s="740"/>
      <c r="ACJ226" s="740"/>
      <c r="ACK226" s="740"/>
      <c r="ACL226" s="740"/>
      <c r="ACM226" s="740"/>
      <c r="ACN226" s="740"/>
      <c r="ACO226" s="740"/>
      <c r="ACP226" s="740"/>
      <c r="ACQ226" s="740"/>
      <c r="ACR226" s="740"/>
      <c r="ACS226" s="740"/>
      <c r="ACT226" s="740"/>
      <c r="ACU226" s="740"/>
      <c r="ACV226" s="740"/>
      <c r="ACW226" s="740"/>
      <c r="ACX226" s="740"/>
      <c r="ACY226" s="740"/>
      <c r="ACZ226" s="740"/>
      <c r="ADA226" s="740"/>
      <c r="ADB226" s="740"/>
      <c r="ADC226" s="740"/>
      <c r="ADD226" s="740"/>
      <c r="ADE226" s="740"/>
      <c r="ADF226" s="740"/>
      <c r="ADG226" s="740"/>
      <c r="ADH226" s="740"/>
      <c r="ADI226" s="740"/>
      <c r="ADJ226" s="740"/>
      <c r="ADK226" s="740"/>
      <c r="ADL226" s="740"/>
      <c r="ADM226" s="740"/>
      <c r="ADN226" s="740"/>
      <c r="ADO226" s="740"/>
      <c r="ADP226" s="740"/>
      <c r="ADQ226" s="740"/>
      <c r="ADR226" s="740"/>
      <c r="ADS226" s="740"/>
      <c r="ADT226" s="740"/>
      <c r="ADU226" s="740"/>
      <c r="ADV226" s="740"/>
      <c r="ADW226" s="740"/>
      <c r="ADX226" s="740"/>
      <c r="ADY226" s="740"/>
      <c r="ADZ226" s="740"/>
      <c r="AEA226" s="740"/>
      <c r="AEB226" s="740"/>
      <c r="AEC226" s="740"/>
      <c r="AED226" s="740"/>
      <c r="AEE226" s="740"/>
      <c r="AEF226" s="740"/>
      <c r="AEG226" s="740"/>
      <c r="AEH226" s="740"/>
      <c r="AEI226" s="740"/>
      <c r="AEJ226" s="740"/>
      <c r="AEK226" s="740"/>
      <c r="AEL226" s="740"/>
      <c r="AEM226" s="740"/>
      <c r="AEN226" s="740"/>
      <c r="AEO226" s="740"/>
      <c r="AEP226" s="740"/>
      <c r="AEQ226" s="740"/>
      <c r="AER226" s="740"/>
      <c r="AES226" s="740"/>
      <c r="AET226" s="740"/>
      <c r="AEU226" s="740"/>
      <c r="AEV226" s="740"/>
      <c r="AEW226" s="740"/>
      <c r="AEX226" s="740"/>
      <c r="AEY226" s="740"/>
      <c r="AEZ226" s="740"/>
      <c r="AFA226" s="740"/>
      <c r="AFB226" s="740"/>
      <c r="AFC226" s="740"/>
      <c r="AFD226" s="740"/>
      <c r="AFE226" s="740"/>
      <c r="AFF226" s="740"/>
      <c r="AFG226" s="740"/>
      <c r="AFH226" s="740"/>
      <c r="AFI226" s="740"/>
      <c r="AFJ226" s="740"/>
      <c r="AFK226" s="740"/>
      <c r="AFL226" s="740"/>
      <c r="AFM226" s="740"/>
      <c r="AFN226" s="740"/>
      <c r="AFO226" s="740"/>
      <c r="AFP226" s="740"/>
      <c r="AFQ226" s="740"/>
      <c r="AFR226" s="740"/>
      <c r="AFS226" s="740"/>
      <c r="AFT226" s="740"/>
      <c r="AFU226" s="740"/>
      <c r="AFV226" s="740"/>
      <c r="AFW226" s="740"/>
      <c r="AFX226" s="740"/>
      <c r="AFY226" s="740"/>
      <c r="AFZ226" s="740"/>
      <c r="AGA226" s="740"/>
      <c r="AGB226" s="740"/>
      <c r="AGC226" s="740"/>
      <c r="AGD226" s="740"/>
      <c r="AGE226" s="740"/>
      <c r="AGF226" s="740"/>
      <c r="AGG226" s="740"/>
      <c r="AGH226" s="740"/>
      <c r="AGI226" s="740"/>
      <c r="AGJ226" s="740"/>
      <c r="AGK226" s="740"/>
      <c r="AGL226" s="740"/>
      <c r="AGM226" s="740"/>
      <c r="AGN226" s="740"/>
      <c r="AGO226" s="740"/>
      <c r="AGP226" s="740"/>
      <c r="AGQ226" s="740"/>
      <c r="AGR226" s="740"/>
      <c r="AGS226" s="740"/>
      <c r="AGT226" s="740"/>
      <c r="AGU226" s="740"/>
      <c r="AGV226" s="740"/>
      <c r="AGW226" s="740"/>
      <c r="AGX226" s="740"/>
      <c r="AGY226" s="740"/>
      <c r="AGZ226" s="740"/>
      <c r="AHA226" s="740"/>
      <c r="AHB226" s="740"/>
      <c r="AHC226" s="740"/>
      <c r="AHD226" s="740"/>
      <c r="AHE226" s="740"/>
      <c r="AHF226" s="740"/>
      <c r="AHG226" s="740"/>
      <c r="AHH226" s="740"/>
      <c r="AHI226" s="740"/>
      <c r="AHJ226" s="740"/>
      <c r="AHK226" s="740"/>
      <c r="AHL226" s="740"/>
      <c r="AHM226" s="740"/>
      <c r="AHN226" s="740"/>
      <c r="AHO226" s="740"/>
      <c r="AHP226" s="740"/>
      <c r="AHQ226" s="740"/>
      <c r="AHR226" s="740"/>
      <c r="AHS226" s="740"/>
      <c r="AHT226" s="740"/>
      <c r="AHU226" s="740"/>
      <c r="AHV226" s="740"/>
      <c r="AHW226" s="740"/>
      <c r="AHX226" s="740"/>
      <c r="AHY226" s="740"/>
      <c r="AHZ226" s="740"/>
      <c r="AIA226" s="740"/>
      <c r="AIB226" s="740"/>
      <c r="AIC226" s="740"/>
      <c r="AID226" s="740"/>
      <c r="AIE226" s="740"/>
      <c r="AIF226" s="740"/>
      <c r="AIG226" s="740"/>
      <c r="AIH226" s="740"/>
      <c r="AII226" s="740"/>
      <c r="AIJ226" s="740"/>
      <c r="AIK226" s="740"/>
      <c r="AIL226" s="740"/>
      <c r="AIM226" s="740"/>
      <c r="AIN226" s="740"/>
      <c r="AIO226" s="740"/>
      <c r="AIP226" s="740"/>
      <c r="AIQ226" s="740"/>
      <c r="AIR226" s="740"/>
      <c r="AIS226" s="740"/>
      <c r="AIT226" s="740"/>
      <c r="AIU226" s="740"/>
      <c r="AIV226" s="740"/>
      <c r="AIW226" s="740"/>
      <c r="AIX226" s="740"/>
      <c r="AIY226" s="740"/>
      <c r="AIZ226" s="740"/>
      <c r="AJA226" s="740"/>
      <c r="AJB226" s="740"/>
      <c r="AJC226" s="740"/>
      <c r="AJD226" s="740"/>
      <c r="AJE226" s="740"/>
      <c r="AJF226" s="740"/>
      <c r="AJG226" s="740"/>
      <c r="AJH226" s="740"/>
      <c r="AJI226" s="740"/>
      <c r="AJJ226" s="740"/>
      <c r="AJK226" s="740"/>
      <c r="AJL226" s="740"/>
      <c r="AJM226" s="740"/>
      <c r="AJN226" s="740"/>
      <c r="AJO226" s="740"/>
      <c r="AJP226" s="740"/>
      <c r="AJQ226" s="740"/>
      <c r="AJR226" s="740"/>
      <c r="AJS226" s="740"/>
      <c r="AJT226" s="740"/>
      <c r="AJU226" s="740"/>
      <c r="AJV226" s="740"/>
      <c r="AJW226" s="740"/>
      <c r="AJX226" s="740"/>
      <c r="AJY226" s="740"/>
      <c r="AJZ226" s="740"/>
      <c r="AKA226" s="740"/>
      <c r="AKB226" s="740"/>
      <c r="AKC226" s="740"/>
      <c r="AKD226" s="740"/>
      <c r="AKE226" s="740"/>
      <c r="AKF226" s="740"/>
      <c r="AKG226" s="740"/>
      <c r="AKH226" s="740"/>
      <c r="AKI226" s="740"/>
      <c r="AKJ226" s="740"/>
      <c r="AKK226" s="740"/>
      <c r="AKL226" s="740"/>
      <c r="AKM226" s="740"/>
      <c r="AKN226" s="740"/>
      <c r="AKO226" s="740"/>
      <c r="AKP226" s="740"/>
      <c r="AKQ226" s="740"/>
      <c r="AKR226" s="740"/>
      <c r="AKS226" s="740"/>
      <c r="AKT226" s="740"/>
      <c r="AKU226" s="740"/>
      <c r="AKV226" s="740"/>
      <c r="AKW226" s="740"/>
      <c r="AKX226" s="740"/>
      <c r="AKY226" s="740"/>
      <c r="AKZ226" s="740"/>
      <c r="ALA226" s="740"/>
      <c r="ALB226" s="740"/>
      <c r="ALC226" s="740"/>
      <c r="ALD226" s="740"/>
      <c r="ALE226" s="740"/>
      <c r="ALF226" s="740"/>
      <c r="ALG226" s="740"/>
      <c r="ALH226" s="740"/>
      <c r="ALI226" s="740"/>
      <c r="ALJ226" s="740"/>
      <c r="ALK226" s="740"/>
      <c r="ALL226" s="740"/>
      <c r="ALM226" s="740"/>
      <c r="ALN226" s="740"/>
      <c r="ALO226" s="740"/>
      <c r="ALP226" s="740"/>
      <c r="ALQ226" s="740"/>
      <c r="ALR226" s="740"/>
      <c r="ALS226" s="740"/>
      <c r="ALT226" s="740"/>
      <c r="ALU226" s="740"/>
      <c r="ALV226" s="740"/>
      <c r="ALW226" s="740"/>
      <c r="ALX226" s="740"/>
      <c r="ALY226" s="740"/>
      <c r="ALZ226" s="740"/>
      <c r="AMA226" s="740"/>
      <c r="AMB226" s="740"/>
      <c r="AMC226" s="740"/>
      <c r="AMD226" s="740"/>
      <c r="AME226" s="740"/>
      <c r="AMF226" s="740"/>
      <c r="AMG226" s="740"/>
      <c r="AMH226" s="740"/>
      <c r="AMI226" s="740"/>
      <c r="AMJ226" s="740"/>
      <c r="AMK226" s="740"/>
      <c r="AML226" s="740"/>
      <c r="AMM226" s="740"/>
      <c r="AMN226" s="740"/>
      <c r="AMO226" s="740"/>
      <c r="AMP226" s="740"/>
      <c r="AMQ226" s="740"/>
      <c r="AMR226" s="740"/>
      <c r="AMS226" s="740"/>
      <c r="AMT226" s="740"/>
      <c r="AMU226" s="740"/>
      <c r="AMV226" s="740"/>
      <c r="AMW226" s="740"/>
      <c r="AMX226" s="740"/>
      <c r="AMY226" s="740"/>
      <c r="AMZ226" s="740"/>
      <c r="ANA226" s="740"/>
      <c r="ANB226" s="740"/>
      <c r="ANC226" s="740"/>
      <c r="AND226" s="740"/>
      <c r="ANE226" s="740"/>
      <c r="ANF226" s="740"/>
      <c r="ANG226" s="740"/>
      <c r="ANH226" s="740"/>
      <c r="ANI226" s="740"/>
      <c r="ANJ226" s="740"/>
      <c r="ANK226" s="740"/>
      <c r="ANL226" s="740"/>
      <c r="ANM226" s="740"/>
      <c r="ANN226" s="740"/>
      <c r="ANO226" s="740"/>
      <c r="ANP226" s="740"/>
      <c r="ANQ226" s="740"/>
      <c r="ANR226" s="740"/>
      <c r="ANS226" s="740"/>
      <c r="ANT226" s="740"/>
      <c r="ANU226" s="740"/>
      <c r="ANV226" s="740"/>
      <c r="ANW226" s="740"/>
      <c r="ANX226" s="740"/>
      <c r="ANY226" s="740"/>
      <c r="ANZ226" s="740"/>
      <c r="AOA226" s="740"/>
      <c r="AOB226" s="740"/>
      <c r="AOC226" s="740"/>
      <c r="AOD226" s="740"/>
      <c r="AOE226" s="740"/>
      <c r="AOF226" s="740"/>
      <c r="AOG226" s="740"/>
      <c r="AOH226" s="740"/>
      <c r="AOI226" s="740"/>
      <c r="AOJ226" s="740"/>
      <c r="AOK226" s="740"/>
      <c r="AOL226" s="740"/>
      <c r="AOM226" s="740"/>
      <c r="AON226" s="740"/>
      <c r="AOO226" s="740"/>
      <c r="AOP226" s="740"/>
      <c r="AOQ226" s="740"/>
      <c r="AOR226" s="740"/>
      <c r="AOS226" s="740"/>
      <c r="AOT226" s="740"/>
      <c r="AOU226" s="740"/>
      <c r="AOV226" s="740"/>
      <c r="AOW226" s="740"/>
      <c r="AOX226" s="740"/>
      <c r="AOY226" s="740"/>
      <c r="AOZ226" s="740"/>
      <c r="APA226" s="740"/>
      <c r="APB226" s="740"/>
      <c r="APC226" s="740"/>
      <c r="APD226" s="740"/>
      <c r="APE226" s="740"/>
      <c r="APF226" s="740"/>
      <c r="APG226" s="740"/>
      <c r="APH226" s="740"/>
      <c r="API226" s="740"/>
      <c r="APJ226" s="740"/>
      <c r="APK226" s="740"/>
      <c r="APL226" s="740"/>
      <c r="APM226" s="740"/>
      <c r="APN226" s="740"/>
      <c r="APO226" s="740"/>
      <c r="APP226" s="740"/>
      <c r="APQ226" s="740"/>
      <c r="APR226" s="740"/>
      <c r="APS226" s="740"/>
      <c r="APT226" s="740"/>
      <c r="APU226" s="740"/>
      <c r="APV226" s="740"/>
      <c r="APW226" s="740"/>
      <c r="APX226" s="740"/>
      <c r="APY226" s="740"/>
      <c r="APZ226" s="740"/>
      <c r="AQA226" s="740"/>
      <c r="AQB226" s="740"/>
      <c r="AQC226" s="740"/>
      <c r="AQD226" s="740"/>
      <c r="AQE226" s="740"/>
      <c r="AQF226" s="740"/>
      <c r="AQG226" s="740"/>
      <c r="AQH226" s="740"/>
      <c r="AQI226" s="740"/>
      <c r="AQJ226" s="740"/>
      <c r="AQK226" s="740"/>
      <c r="AQL226" s="740"/>
      <c r="AQM226" s="740"/>
      <c r="AQN226" s="740"/>
      <c r="AQO226" s="740"/>
      <c r="AQP226" s="740"/>
      <c r="AQQ226" s="740"/>
      <c r="AQR226" s="740"/>
      <c r="AQS226" s="740"/>
      <c r="AQT226" s="740"/>
      <c r="AQU226" s="740"/>
      <c r="AQV226" s="740"/>
      <c r="AQW226" s="740"/>
      <c r="AQX226" s="740"/>
      <c r="AQY226" s="740"/>
      <c r="AQZ226" s="740"/>
      <c r="ARA226" s="740"/>
      <c r="ARB226" s="740"/>
      <c r="ARC226" s="740"/>
      <c r="ARD226" s="740"/>
      <c r="ARE226" s="740"/>
      <c r="ARF226" s="740"/>
      <c r="ARG226" s="740"/>
      <c r="ARH226" s="740"/>
      <c r="ARI226" s="740"/>
      <c r="ARJ226" s="740"/>
      <c r="ARK226" s="740"/>
      <c r="ARL226" s="740"/>
      <c r="ARM226" s="740"/>
      <c r="ARN226" s="740"/>
      <c r="ARO226" s="740"/>
      <c r="ARP226" s="740"/>
      <c r="ARQ226" s="740"/>
      <c r="ARR226" s="740"/>
      <c r="ARS226" s="740"/>
      <c r="ART226" s="740"/>
      <c r="ARU226" s="740"/>
      <c r="ARV226" s="740"/>
      <c r="ARW226" s="740"/>
      <c r="ARX226" s="740"/>
      <c r="ARY226" s="740"/>
      <c r="ARZ226" s="740"/>
      <c r="ASA226" s="740"/>
      <c r="ASB226" s="740"/>
      <c r="ASC226" s="740"/>
      <c r="ASD226" s="740"/>
      <c r="ASE226" s="740"/>
      <c r="ASF226" s="740"/>
      <c r="ASG226" s="740"/>
      <c r="ASH226" s="740"/>
      <c r="ASI226" s="740"/>
      <c r="ASJ226" s="740"/>
      <c r="ASK226" s="740"/>
      <c r="ASL226" s="740"/>
      <c r="ASM226" s="740"/>
      <c r="ASN226" s="740"/>
      <c r="ASO226" s="740"/>
      <c r="ASP226" s="740"/>
      <c r="ASQ226" s="740"/>
      <c r="ASR226" s="740"/>
      <c r="ASS226" s="740"/>
      <c r="AST226" s="740"/>
      <c r="ASU226" s="740"/>
      <c r="ASV226" s="740"/>
      <c r="ASW226" s="740"/>
      <c r="ASX226" s="740"/>
      <c r="ASY226" s="740"/>
      <c r="ASZ226" s="740"/>
      <c r="ATA226" s="740"/>
      <c r="ATB226" s="740"/>
      <c r="ATC226" s="740"/>
      <c r="ATD226" s="740"/>
      <c r="ATE226" s="740"/>
      <c r="ATF226" s="740"/>
      <c r="ATG226" s="740"/>
      <c r="ATH226" s="740"/>
      <c r="ATI226" s="740"/>
      <c r="ATJ226" s="740"/>
      <c r="ATK226" s="740"/>
      <c r="ATL226" s="740"/>
      <c r="ATM226" s="740"/>
      <c r="ATN226" s="740"/>
      <c r="ATO226" s="740"/>
      <c r="ATP226" s="740"/>
      <c r="ATQ226" s="740"/>
      <c r="ATR226" s="740"/>
      <c r="ATS226" s="740"/>
      <c r="ATT226" s="740"/>
      <c r="ATU226" s="740"/>
      <c r="ATV226" s="740"/>
      <c r="ATW226" s="740"/>
      <c r="ATX226" s="740"/>
      <c r="ATY226" s="740"/>
      <c r="ATZ226" s="740"/>
      <c r="AUA226" s="740"/>
      <c r="AUB226" s="740"/>
      <c r="AUC226" s="740"/>
      <c r="AUD226" s="740"/>
      <c r="AUE226" s="740"/>
      <c r="AUF226" s="740"/>
      <c r="AUG226" s="740"/>
      <c r="AUH226" s="740"/>
      <c r="AUI226" s="740"/>
      <c r="AUJ226" s="740"/>
      <c r="AUK226" s="740"/>
      <c r="AUL226" s="740"/>
      <c r="AUM226" s="740"/>
      <c r="AUN226" s="740"/>
      <c r="AUO226" s="740"/>
      <c r="AUP226" s="740"/>
      <c r="AUQ226" s="740"/>
      <c r="AUR226" s="740"/>
      <c r="AUS226" s="740"/>
      <c r="AUT226" s="740"/>
      <c r="AUU226" s="740"/>
      <c r="AUV226" s="740"/>
      <c r="AUW226" s="740"/>
      <c r="AUX226" s="740"/>
      <c r="AUY226" s="740"/>
      <c r="AUZ226" s="740"/>
      <c r="AVA226" s="740"/>
      <c r="AVB226" s="740"/>
      <c r="AVC226" s="740"/>
      <c r="AVD226" s="740"/>
      <c r="AVE226" s="740"/>
      <c r="AVF226" s="740"/>
      <c r="AVG226" s="740"/>
      <c r="AVH226" s="740"/>
      <c r="AVI226" s="740"/>
      <c r="AVJ226" s="740"/>
      <c r="AVK226" s="740"/>
      <c r="AVL226" s="740"/>
      <c r="AVM226" s="740"/>
      <c r="AVN226" s="740"/>
      <c r="AVO226" s="740"/>
      <c r="AVP226" s="740"/>
      <c r="AVQ226" s="740"/>
      <c r="AVR226" s="740"/>
      <c r="AVS226" s="740"/>
      <c r="AVT226" s="740"/>
      <c r="AVU226" s="740"/>
      <c r="AVV226" s="740"/>
      <c r="AVW226" s="740"/>
      <c r="AVX226" s="740"/>
      <c r="AVY226" s="740"/>
      <c r="AVZ226" s="740"/>
      <c r="AWA226" s="740"/>
      <c r="AWB226" s="740"/>
      <c r="AWC226" s="740"/>
      <c r="AWD226" s="740"/>
      <c r="AWE226" s="740"/>
      <c r="AWF226" s="740"/>
      <c r="AWG226" s="740"/>
      <c r="AWH226" s="740"/>
      <c r="AWI226" s="740"/>
      <c r="AWJ226" s="740"/>
      <c r="AWK226" s="740"/>
      <c r="AWL226" s="740"/>
      <c r="AWM226" s="740"/>
      <c r="AWN226" s="740"/>
      <c r="AWO226" s="740"/>
      <c r="AWP226" s="740"/>
      <c r="AWQ226" s="740"/>
      <c r="AWR226" s="740"/>
      <c r="AWS226" s="740"/>
      <c r="AWT226" s="740"/>
      <c r="AWU226" s="740"/>
      <c r="AWV226" s="740"/>
      <c r="AWW226" s="740"/>
      <c r="AWX226" s="740"/>
      <c r="AWY226" s="740"/>
      <c r="AWZ226" s="740"/>
      <c r="AXA226" s="740"/>
      <c r="AXB226" s="740"/>
      <c r="AXC226" s="740"/>
      <c r="AXD226" s="740"/>
      <c r="AXE226" s="740"/>
      <c r="AXF226" s="740"/>
      <c r="AXG226" s="740"/>
      <c r="AXH226" s="740"/>
      <c r="AXI226" s="740"/>
      <c r="AXJ226" s="740"/>
    </row>
    <row r="227" spans="1:1310" s="741" customFormat="1" ht="23.25" customHeight="1">
      <c r="A227" s="756"/>
      <c r="B227" s="9016" t="s">
        <v>1571</v>
      </c>
      <c r="C227" s="9016"/>
      <c r="D227" s="9016"/>
      <c r="E227" s="9016"/>
      <c r="F227" s="750"/>
      <c r="G227" s="9016" t="s">
        <v>1572</v>
      </c>
      <c r="H227" s="9016"/>
      <c r="I227" s="9016"/>
      <c r="J227" s="750"/>
      <c r="K227" s="9016" t="s">
        <v>1573</v>
      </c>
      <c r="L227" s="9016"/>
      <c r="M227" s="9016"/>
      <c r="N227" s="750"/>
      <c r="O227" s="9016" t="s">
        <v>1574</v>
      </c>
      <c r="P227" s="9016"/>
      <c r="Q227" s="750"/>
      <c r="R227" s="311"/>
      <c r="S227" s="311"/>
      <c r="T227" s="311"/>
      <c r="U227" s="311"/>
      <c r="V227" s="311"/>
      <c r="W227" s="311"/>
      <c r="X227" s="311"/>
      <c r="Y227" s="311"/>
      <c r="Z227" s="311"/>
      <c r="AA227" s="311"/>
      <c r="AB227" s="311"/>
      <c r="AC227" s="311"/>
      <c r="AD227" s="740"/>
      <c r="AE227" s="740"/>
      <c r="AF227" s="740"/>
      <c r="AG227" s="740"/>
      <c r="AH227" s="740"/>
      <c r="AI227" s="740"/>
      <c r="AJ227" s="740"/>
      <c r="AK227" s="740"/>
      <c r="AL227" s="740"/>
      <c r="AM227" s="740"/>
      <c r="AN227" s="740"/>
      <c r="AO227" s="740"/>
      <c r="AP227" s="740"/>
      <c r="AQ227" s="740"/>
      <c r="AR227" s="740"/>
      <c r="AS227" s="740"/>
      <c r="AT227" s="740"/>
      <c r="AU227" s="740"/>
      <c r="AV227" s="740"/>
      <c r="AW227" s="740"/>
      <c r="AX227" s="740"/>
      <c r="AY227" s="740"/>
      <c r="AZ227" s="740"/>
      <c r="BA227" s="740"/>
      <c r="BB227" s="740"/>
      <c r="BC227" s="740"/>
      <c r="BD227" s="740"/>
      <c r="BE227" s="740"/>
      <c r="BF227" s="740"/>
      <c r="BG227" s="740"/>
      <c r="BH227" s="740"/>
      <c r="BI227" s="740"/>
      <c r="BJ227" s="740"/>
      <c r="BK227" s="740"/>
      <c r="BL227" s="740"/>
      <c r="BM227" s="740"/>
      <c r="BN227" s="740"/>
      <c r="BO227" s="740"/>
      <c r="BP227" s="740"/>
      <c r="BQ227" s="740"/>
      <c r="BR227" s="740"/>
      <c r="BS227" s="740"/>
      <c r="BT227" s="740"/>
      <c r="BU227" s="740"/>
      <c r="BV227" s="740"/>
      <c r="BW227" s="740"/>
      <c r="BX227" s="740"/>
      <c r="BY227" s="740"/>
      <c r="BZ227" s="740"/>
      <c r="CA227" s="740"/>
      <c r="CB227" s="740"/>
      <c r="CC227" s="740"/>
      <c r="CD227" s="740"/>
      <c r="CE227" s="740"/>
      <c r="CF227" s="740"/>
      <c r="CG227" s="740"/>
      <c r="CH227" s="740"/>
      <c r="CI227" s="740"/>
      <c r="CJ227" s="740"/>
      <c r="CK227" s="740"/>
      <c r="CL227" s="740"/>
      <c r="CM227" s="740"/>
      <c r="CN227" s="740"/>
      <c r="CO227" s="740"/>
      <c r="CP227" s="740"/>
      <c r="CQ227" s="740"/>
      <c r="CR227" s="740"/>
      <c r="CS227" s="740"/>
      <c r="CT227" s="740"/>
      <c r="CU227" s="740"/>
      <c r="CV227" s="740"/>
      <c r="CW227" s="740"/>
      <c r="CX227" s="740"/>
      <c r="CY227" s="740"/>
      <c r="CZ227" s="740"/>
      <c r="DA227" s="740"/>
      <c r="DB227" s="740"/>
      <c r="DC227" s="740"/>
      <c r="DD227" s="740"/>
      <c r="DE227" s="740"/>
      <c r="DF227" s="740"/>
      <c r="DG227" s="740"/>
      <c r="DH227" s="740"/>
      <c r="DI227" s="740"/>
      <c r="DJ227" s="740"/>
      <c r="DK227" s="740"/>
      <c r="DL227" s="740"/>
      <c r="DM227" s="740"/>
      <c r="DN227" s="740"/>
      <c r="DO227" s="740"/>
      <c r="DP227" s="740"/>
      <c r="DQ227" s="740"/>
      <c r="DR227" s="740"/>
      <c r="DS227" s="740"/>
      <c r="DT227" s="740"/>
      <c r="DU227" s="740"/>
      <c r="DV227" s="740"/>
      <c r="DW227" s="740"/>
      <c r="DX227" s="740"/>
      <c r="DY227" s="740"/>
      <c r="DZ227" s="740"/>
      <c r="EA227" s="740"/>
      <c r="EB227" s="740"/>
      <c r="EC227" s="740"/>
      <c r="ED227" s="740"/>
      <c r="EE227" s="740"/>
      <c r="EF227" s="740"/>
      <c r="EG227" s="740"/>
      <c r="EH227" s="740"/>
      <c r="EI227" s="740"/>
      <c r="EJ227" s="740"/>
      <c r="EK227" s="740"/>
      <c r="EL227" s="740"/>
      <c r="EM227" s="740"/>
      <c r="EN227" s="740"/>
      <c r="EO227" s="740"/>
      <c r="EP227" s="740"/>
      <c r="EQ227" s="740"/>
      <c r="ER227" s="740"/>
      <c r="ES227" s="740"/>
      <c r="ET227" s="740"/>
      <c r="EU227" s="740"/>
      <c r="EV227" s="740"/>
      <c r="EW227" s="740"/>
      <c r="EX227" s="740"/>
      <c r="EY227" s="740"/>
      <c r="EZ227" s="740"/>
      <c r="FA227" s="740"/>
      <c r="FB227" s="740"/>
      <c r="FC227" s="740"/>
      <c r="FD227" s="740"/>
      <c r="FE227" s="740"/>
      <c r="FF227" s="740"/>
      <c r="FG227" s="740"/>
      <c r="FH227" s="740"/>
      <c r="FI227" s="740"/>
      <c r="FJ227" s="740"/>
      <c r="FK227" s="740"/>
      <c r="FL227" s="740"/>
      <c r="FM227" s="740"/>
      <c r="FN227" s="740"/>
      <c r="FO227" s="740"/>
      <c r="FP227" s="740"/>
      <c r="FQ227" s="740"/>
      <c r="FR227" s="740"/>
      <c r="FS227" s="740"/>
      <c r="FT227" s="740"/>
      <c r="FU227" s="740"/>
      <c r="FV227" s="740"/>
      <c r="FW227" s="740"/>
      <c r="FX227" s="740"/>
      <c r="FY227" s="740"/>
      <c r="FZ227" s="740"/>
      <c r="GA227" s="740"/>
      <c r="GB227" s="740"/>
      <c r="GC227" s="740"/>
      <c r="GD227" s="740"/>
      <c r="GE227" s="740"/>
      <c r="GF227" s="740"/>
      <c r="GG227" s="740"/>
      <c r="GH227" s="740"/>
      <c r="GI227" s="740"/>
      <c r="GJ227" s="740"/>
      <c r="GK227" s="740"/>
      <c r="GL227" s="740"/>
      <c r="GM227" s="740"/>
      <c r="GN227" s="740"/>
      <c r="GO227" s="740"/>
      <c r="GP227" s="740"/>
      <c r="GQ227" s="740"/>
      <c r="GR227" s="740"/>
      <c r="GS227" s="740"/>
      <c r="GT227" s="740"/>
      <c r="GU227" s="740"/>
      <c r="GV227" s="740"/>
      <c r="GW227" s="740"/>
      <c r="GX227" s="740"/>
      <c r="GY227" s="740"/>
      <c r="GZ227" s="740"/>
      <c r="HA227" s="740"/>
      <c r="HB227" s="740"/>
      <c r="HC227" s="740"/>
      <c r="HD227" s="740"/>
      <c r="HE227" s="740"/>
      <c r="HF227" s="740"/>
      <c r="HG227" s="740"/>
      <c r="HH227" s="740"/>
      <c r="HI227" s="740"/>
      <c r="HJ227" s="740"/>
      <c r="HK227" s="740"/>
      <c r="HL227" s="740"/>
      <c r="HM227" s="740"/>
      <c r="HN227" s="740"/>
      <c r="HO227" s="740"/>
      <c r="HP227" s="740"/>
      <c r="HQ227" s="740"/>
      <c r="HR227" s="740"/>
      <c r="HS227" s="740"/>
      <c r="HT227" s="740"/>
      <c r="HU227" s="740"/>
      <c r="HV227" s="740"/>
      <c r="HW227" s="740"/>
      <c r="HX227" s="740"/>
      <c r="HY227" s="740"/>
      <c r="HZ227" s="740"/>
      <c r="IA227" s="740"/>
      <c r="IB227" s="740"/>
      <c r="IC227" s="740"/>
      <c r="ID227" s="740"/>
      <c r="IE227" s="740"/>
      <c r="IF227" s="740"/>
      <c r="IG227" s="740"/>
      <c r="IH227" s="740"/>
      <c r="II227" s="740"/>
      <c r="IJ227" s="740"/>
      <c r="IK227" s="740"/>
      <c r="IL227" s="740"/>
      <c r="IM227" s="740"/>
      <c r="IN227" s="740"/>
      <c r="IO227" s="740"/>
      <c r="IP227" s="740"/>
      <c r="IQ227" s="740"/>
      <c r="IR227" s="740"/>
      <c r="IS227" s="740"/>
      <c r="IT227" s="740"/>
      <c r="IU227" s="740"/>
      <c r="IV227" s="740"/>
      <c r="IW227" s="740"/>
      <c r="IX227" s="740"/>
      <c r="IY227" s="740"/>
      <c r="IZ227" s="740"/>
      <c r="JA227" s="740"/>
      <c r="JB227" s="740"/>
      <c r="JC227" s="740"/>
      <c r="JD227" s="740"/>
      <c r="JE227" s="740"/>
      <c r="JF227" s="740"/>
      <c r="JG227" s="740"/>
      <c r="JH227" s="740"/>
      <c r="JI227" s="740"/>
      <c r="JJ227" s="740"/>
      <c r="JK227" s="740"/>
      <c r="JL227" s="740"/>
      <c r="JM227" s="740"/>
      <c r="JN227" s="740"/>
      <c r="JO227" s="740"/>
      <c r="JP227" s="740"/>
      <c r="JQ227" s="740"/>
      <c r="JR227" s="740"/>
      <c r="JS227" s="740"/>
      <c r="JT227" s="740"/>
      <c r="JU227" s="740"/>
      <c r="JV227" s="740"/>
      <c r="JW227" s="740"/>
      <c r="JX227" s="740"/>
      <c r="JY227" s="740"/>
      <c r="JZ227" s="740"/>
      <c r="KA227" s="740"/>
      <c r="KB227" s="740"/>
      <c r="KC227" s="740"/>
      <c r="KD227" s="740"/>
      <c r="KE227" s="740"/>
      <c r="KF227" s="740"/>
      <c r="KG227" s="740"/>
      <c r="KH227" s="740"/>
      <c r="KI227" s="740"/>
      <c r="KJ227" s="740"/>
      <c r="KK227" s="740"/>
      <c r="KL227" s="740"/>
      <c r="KM227" s="740"/>
      <c r="KN227" s="740"/>
      <c r="KO227" s="740"/>
      <c r="KP227" s="740"/>
      <c r="KQ227" s="740"/>
      <c r="KR227" s="740"/>
      <c r="KS227" s="740"/>
      <c r="KT227" s="740"/>
      <c r="KU227" s="740"/>
      <c r="KV227" s="740"/>
      <c r="KW227" s="740"/>
      <c r="KX227" s="740"/>
      <c r="KY227" s="740"/>
      <c r="KZ227" s="740"/>
      <c r="LA227" s="740"/>
      <c r="LB227" s="740"/>
      <c r="LC227" s="740"/>
      <c r="LD227" s="740"/>
      <c r="LE227" s="740"/>
      <c r="LF227" s="740"/>
      <c r="LG227" s="740"/>
      <c r="LH227" s="740"/>
      <c r="LI227" s="740"/>
      <c r="LJ227" s="740"/>
      <c r="LK227" s="740"/>
      <c r="LL227" s="740"/>
      <c r="LM227" s="740"/>
      <c r="LN227" s="740"/>
      <c r="LO227" s="740"/>
      <c r="LP227" s="740"/>
      <c r="LQ227" s="740"/>
      <c r="LR227" s="740"/>
      <c r="LS227" s="740"/>
      <c r="LT227" s="740"/>
      <c r="LU227" s="740"/>
      <c r="LV227" s="740"/>
      <c r="LW227" s="740"/>
      <c r="LX227" s="740"/>
      <c r="LY227" s="740"/>
      <c r="LZ227" s="740"/>
      <c r="MA227" s="740"/>
      <c r="MB227" s="740"/>
      <c r="MC227" s="740"/>
      <c r="MD227" s="740"/>
      <c r="ME227" s="740"/>
      <c r="MF227" s="740"/>
      <c r="MG227" s="740"/>
      <c r="MH227" s="740"/>
      <c r="MI227" s="740"/>
      <c r="MJ227" s="740"/>
      <c r="MK227" s="740"/>
      <c r="ML227" s="740"/>
      <c r="MM227" s="740"/>
      <c r="MN227" s="740"/>
      <c r="MO227" s="740"/>
      <c r="MP227" s="740"/>
      <c r="MQ227" s="740"/>
      <c r="MR227" s="740"/>
      <c r="MS227" s="740"/>
      <c r="MT227" s="740"/>
      <c r="MU227" s="740"/>
      <c r="MV227" s="740"/>
      <c r="MW227" s="740"/>
      <c r="MX227" s="740"/>
      <c r="MY227" s="740"/>
      <c r="MZ227" s="740"/>
      <c r="NA227" s="740"/>
      <c r="NB227" s="740"/>
      <c r="NC227" s="740"/>
      <c r="ND227" s="740"/>
      <c r="NE227" s="740"/>
      <c r="NF227" s="740"/>
      <c r="NG227" s="740"/>
      <c r="NH227" s="740"/>
      <c r="NI227" s="740"/>
      <c r="NJ227" s="740"/>
      <c r="NK227" s="740"/>
      <c r="NL227" s="740"/>
      <c r="NM227" s="740"/>
      <c r="NN227" s="740"/>
      <c r="NO227" s="740"/>
      <c r="NP227" s="740"/>
      <c r="NQ227" s="740"/>
      <c r="NR227" s="740"/>
      <c r="NS227" s="740"/>
      <c r="NT227" s="740"/>
      <c r="NU227" s="740"/>
      <c r="NV227" s="740"/>
      <c r="NW227" s="740"/>
      <c r="NX227" s="740"/>
      <c r="NY227" s="740"/>
      <c r="NZ227" s="740"/>
      <c r="OA227" s="740"/>
      <c r="OB227" s="740"/>
      <c r="OC227" s="740"/>
      <c r="OD227" s="740"/>
      <c r="OE227" s="740"/>
      <c r="OF227" s="740"/>
      <c r="OG227" s="740"/>
      <c r="OH227" s="740"/>
      <c r="OI227" s="740"/>
      <c r="OJ227" s="740"/>
      <c r="OK227" s="740"/>
      <c r="OL227" s="740"/>
      <c r="OM227" s="740"/>
      <c r="ON227" s="740"/>
      <c r="OO227" s="740"/>
      <c r="OP227" s="740"/>
      <c r="OQ227" s="740"/>
      <c r="OR227" s="740"/>
      <c r="OS227" s="740"/>
      <c r="OT227" s="740"/>
      <c r="OU227" s="740"/>
      <c r="OV227" s="740"/>
      <c r="OW227" s="740"/>
      <c r="OX227" s="740"/>
      <c r="OY227" s="740"/>
      <c r="OZ227" s="740"/>
      <c r="PA227" s="740"/>
      <c r="PB227" s="740"/>
      <c r="PC227" s="740"/>
      <c r="PD227" s="740"/>
      <c r="PE227" s="740"/>
      <c r="PF227" s="740"/>
      <c r="PG227" s="740"/>
      <c r="PH227" s="740"/>
      <c r="PI227" s="740"/>
      <c r="PJ227" s="740"/>
      <c r="PK227" s="740"/>
      <c r="PL227" s="740"/>
      <c r="PM227" s="740"/>
      <c r="PN227" s="740"/>
      <c r="PO227" s="740"/>
      <c r="PP227" s="740"/>
      <c r="PQ227" s="740"/>
      <c r="PR227" s="740"/>
      <c r="PS227" s="740"/>
      <c r="PT227" s="740"/>
      <c r="PU227" s="740"/>
      <c r="PV227" s="740"/>
      <c r="PW227" s="740"/>
      <c r="PX227" s="740"/>
      <c r="PY227" s="740"/>
      <c r="PZ227" s="740"/>
      <c r="QA227" s="740"/>
      <c r="QB227" s="740"/>
      <c r="QC227" s="740"/>
      <c r="QD227" s="740"/>
      <c r="QE227" s="740"/>
      <c r="QF227" s="740"/>
      <c r="QG227" s="740"/>
      <c r="QH227" s="740"/>
      <c r="QI227" s="740"/>
      <c r="QJ227" s="740"/>
      <c r="QK227" s="740"/>
      <c r="QL227" s="740"/>
      <c r="QM227" s="740"/>
      <c r="QN227" s="740"/>
      <c r="QO227" s="740"/>
      <c r="QP227" s="740"/>
      <c r="QQ227" s="740"/>
      <c r="QR227" s="740"/>
      <c r="QS227" s="740"/>
      <c r="QT227" s="740"/>
      <c r="QU227" s="740"/>
      <c r="QV227" s="740"/>
      <c r="QW227" s="740"/>
      <c r="QX227" s="740"/>
      <c r="QY227" s="740"/>
      <c r="QZ227" s="740"/>
      <c r="RA227" s="740"/>
      <c r="RB227" s="740"/>
      <c r="RC227" s="740"/>
      <c r="RD227" s="740"/>
      <c r="RE227" s="740"/>
      <c r="RF227" s="740"/>
      <c r="RG227" s="740"/>
      <c r="RH227" s="740"/>
      <c r="RI227" s="740"/>
      <c r="RJ227" s="740"/>
      <c r="RK227" s="740"/>
      <c r="RL227" s="740"/>
      <c r="RM227" s="740"/>
      <c r="RN227" s="740"/>
      <c r="RO227" s="740"/>
      <c r="RP227" s="740"/>
      <c r="RQ227" s="740"/>
      <c r="RR227" s="740"/>
      <c r="RS227" s="740"/>
      <c r="RT227" s="740"/>
      <c r="RU227" s="740"/>
      <c r="RV227" s="740"/>
      <c r="RW227" s="740"/>
      <c r="RX227" s="740"/>
      <c r="RY227" s="740"/>
      <c r="RZ227" s="740"/>
      <c r="SA227" s="740"/>
      <c r="SB227" s="740"/>
      <c r="SC227" s="740"/>
      <c r="SD227" s="740"/>
      <c r="SE227" s="740"/>
      <c r="SF227" s="740"/>
      <c r="SG227" s="740"/>
      <c r="SH227" s="740"/>
      <c r="SI227" s="740"/>
      <c r="SJ227" s="740"/>
      <c r="SK227" s="740"/>
      <c r="SL227" s="740"/>
      <c r="SM227" s="740"/>
      <c r="SN227" s="740"/>
      <c r="SO227" s="740"/>
      <c r="SP227" s="740"/>
      <c r="SQ227" s="740"/>
      <c r="SR227" s="740"/>
      <c r="SS227" s="740"/>
      <c r="ST227" s="740"/>
      <c r="SU227" s="740"/>
      <c r="SV227" s="740"/>
      <c r="SW227" s="740"/>
      <c r="SX227" s="740"/>
      <c r="SY227" s="740"/>
      <c r="SZ227" s="740"/>
      <c r="TA227" s="740"/>
      <c r="TB227" s="740"/>
      <c r="TC227" s="740"/>
      <c r="TD227" s="740"/>
      <c r="TE227" s="740"/>
      <c r="TF227" s="740"/>
      <c r="TG227" s="740"/>
      <c r="TH227" s="740"/>
      <c r="TI227" s="740"/>
      <c r="TJ227" s="740"/>
      <c r="TK227" s="740"/>
      <c r="TL227" s="740"/>
      <c r="TM227" s="740"/>
      <c r="TN227" s="740"/>
      <c r="TO227" s="740"/>
      <c r="TP227" s="740"/>
      <c r="TQ227" s="740"/>
      <c r="TR227" s="740"/>
      <c r="TS227" s="740"/>
      <c r="TT227" s="740"/>
      <c r="TU227" s="740"/>
      <c r="TV227" s="740"/>
      <c r="TW227" s="740"/>
      <c r="TX227" s="740"/>
      <c r="TY227" s="740"/>
      <c r="TZ227" s="740"/>
      <c r="UA227" s="740"/>
      <c r="UB227" s="740"/>
      <c r="UC227" s="740"/>
      <c r="UD227" s="740"/>
      <c r="UE227" s="740"/>
      <c r="UF227" s="740"/>
      <c r="UG227" s="740"/>
      <c r="UH227" s="740"/>
      <c r="UI227" s="740"/>
      <c r="UJ227" s="740"/>
      <c r="UK227" s="740"/>
      <c r="UL227" s="740"/>
      <c r="UM227" s="740"/>
      <c r="UN227" s="740"/>
      <c r="UO227" s="740"/>
      <c r="UP227" s="740"/>
      <c r="UQ227" s="740"/>
      <c r="UR227" s="740"/>
      <c r="US227" s="740"/>
      <c r="UT227" s="740"/>
      <c r="UU227" s="740"/>
      <c r="UV227" s="740"/>
      <c r="UW227" s="740"/>
      <c r="UX227" s="740"/>
      <c r="UY227" s="740"/>
      <c r="UZ227" s="740"/>
      <c r="VA227" s="740"/>
      <c r="VB227" s="740"/>
      <c r="VC227" s="740"/>
      <c r="VD227" s="740"/>
      <c r="VE227" s="740"/>
      <c r="VF227" s="740"/>
      <c r="VG227" s="740"/>
      <c r="VH227" s="740"/>
      <c r="VI227" s="740"/>
      <c r="VJ227" s="740"/>
      <c r="VK227" s="740"/>
      <c r="VL227" s="740"/>
      <c r="VM227" s="740"/>
      <c r="VN227" s="740"/>
      <c r="VO227" s="740"/>
      <c r="VP227" s="740"/>
      <c r="VQ227" s="740"/>
      <c r="VR227" s="740"/>
      <c r="VS227" s="740"/>
      <c r="VT227" s="740"/>
      <c r="VU227" s="740"/>
      <c r="VV227" s="740"/>
      <c r="VW227" s="740"/>
      <c r="VX227" s="740"/>
      <c r="VY227" s="740"/>
      <c r="VZ227" s="740"/>
      <c r="WA227" s="740"/>
      <c r="WB227" s="740"/>
      <c r="WC227" s="740"/>
      <c r="WD227" s="740"/>
      <c r="WE227" s="740"/>
      <c r="WF227" s="740"/>
      <c r="WG227" s="740"/>
      <c r="WH227" s="740"/>
      <c r="WI227" s="740"/>
      <c r="WJ227" s="740"/>
      <c r="WK227" s="740"/>
      <c r="WL227" s="740"/>
      <c r="WM227" s="740"/>
      <c r="WN227" s="740"/>
      <c r="WO227" s="740"/>
      <c r="WP227" s="740"/>
      <c r="WQ227" s="740"/>
      <c r="WR227" s="740"/>
      <c r="WS227" s="740"/>
      <c r="WT227" s="740"/>
      <c r="WU227" s="740"/>
      <c r="WV227" s="740"/>
      <c r="WW227" s="740"/>
      <c r="WX227" s="740"/>
      <c r="WY227" s="740"/>
      <c r="WZ227" s="740"/>
      <c r="XA227" s="740"/>
      <c r="XB227" s="740"/>
      <c r="XC227" s="740"/>
      <c r="XD227" s="740"/>
      <c r="XE227" s="740"/>
      <c r="XF227" s="740"/>
      <c r="XG227" s="740"/>
      <c r="XH227" s="740"/>
      <c r="XI227" s="740"/>
      <c r="XJ227" s="740"/>
      <c r="XK227" s="740"/>
      <c r="XL227" s="740"/>
      <c r="XM227" s="740"/>
      <c r="XN227" s="740"/>
      <c r="XO227" s="740"/>
      <c r="XP227" s="740"/>
      <c r="XQ227" s="740"/>
      <c r="XR227" s="740"/>
      <c r="XS227" s="740"/>
      <c r="XT227" s="740"/>
      <c r="XU227" s="740"/>
      <c r="XV227" s="740"/>
      <c r="XW227" s="740"/>
      <c r="XX227" s="740"/>
      <c r="XY227" s="740"/>
      <c r="XZ227" s="740"/>
      <c r="YA227" s="740"/>
      <c r="YB227" s="740"/>
      <c r="YC227" s="740"/>
      <c r="YD227" s="740"/>
      <c r="YE227" s="740"/>
      <c r="YF227" s="740"/>
      <c r="YG227" s="740"/>
      <c r="YH227" s="740"/>
      <c r="YI227" s="740"/>
      <c r="YJ227" s="740"/>
      <c r="YK227" s="740"/>
      <c r="YL227" s="740"/>
      <c r="YM227" s="740"/>
      <c r="YN227" s="740"/>
      <c r="YO227" s="740"/>
      <c r="YP227" s="740"/>
      <c r="YQ227" s="740"/>
      <c r="YR227" s="740"/>
      <c r="YS227" s="740"/>
      <c r="YT227" s="740"/>
      <c r="YU227" s="740"/>
      <c r="YV227" s="740"/>
      <c r="YW227" s="740"/>
      <c r="YX227" s="740"/>
      <c r="YY227" s="740"/>
      <c r="YZ227" s="740"/>
      <c r="ZA227" s="740"/>
      <c r="ZB227" s="740"/>
      <c r="ZC227" s="740"/>
      <c r="ZD227" s="740"/>
      <c r="ZE227" s="740"/>
      <c r="ZF227" s="740"/>
      <c r="ZG227" s="740"/>
      <c r="ZH227" s="740"/>
      <c r="ZI227" s="740"/>
      <c r="ZJ227" s="740"/>
      <c r="ZK227" s="740"/>
      <c r="ZL227" s="740"/>
      <c r="ZM227" s="740"/>
      <c r="ZN227" s="740"/>
      <c r="ZO227" s="740"/>
      <c r="ZP227" s="740"/>
      <c r="ZQ227" s="740"/>
      <c r="ZR227" s="740"/>
      <c r="ZS227" s="740"/>
      <c r="ZT227" s="740"/>
      <c r="ZU227" s="740"/>
      <c r="ZV227" s="740"/>
      <c r="ZW227" s="740"/>
      <c r="ZX227" s="740"/>
      <c r="ZY227" s="740"/>
      <c r="ZZ227" s="740"/>
      <c r="AAA227" s="740"/>
      <c r="AAB227" s="740"/>
      <c r="AAC227" s="740"/>
      <c r="AAD227" s="740"/>
      <c r="AAE227" s="740"/>
      <c r="AAF227" s="740"/>
      <c r="AAG227" s="740"/>
      <c r="AAH227" s="740"/>
      <c r="AAI227" s="740"/>
      <c r="AAJ227" s="740"/>
      <c r="AAK227" s="740"/>
      <c r="AAL227" s="740"/>
      <c r="AAM227" s="740"/>
      <c r="AAN227" s="740"/>
      <c r="AAO227" s="740"/>
      <c r="AAP227" s="740"/>
      <c r="AAQ227" s="740"/>
      <c r="AAR227" s="740"/>
      <c r="AAS227" s="740"/>
      <c r="AAT227" s="740"/>
      <c r="AAU227" s="740"/>
      <c r="AAV227" s="740"/>
      <c r="AAW227" s="740"/>
      <c r="AAX227" s="740"/>
      <c r="AAY227" s="740"/>
      <c r="AAZ227" s="740"/>
      <c r="ABA227" s="740"/>
      <c r="ABB227" s="740"/>
      <c r="ABC227" s="740"/>
      <c r="ABD227" s="740"/>
      <c r="ABE227" s="740"/>
      <c r="ABF227" s="740"/>
      <c r="ABG227" s="740"/>
      <c r="ABH227" s="740"/>
      <c r="ABI227" s="740"/>
      <c r="ABJ227" s="740"/>
      <c r="ABK227" s="740"/>
      <c r="ABL227" s="740"/>
      <c r="ABM227" s="740"/>
      <c r="ABN227" s="740"/>
      <c r="ABO227" s="740"/>
      <c r="ABP227" s="740"/>
      <c r="ABQ227" s="740"/>
      <c r="ABR227" s="740"/>
      <c r="ABS227" s="740"/>
      <c r="ABT227" s="740"/>
      <c r="ABU227" s="740"/>
      <c r="ABV227" s="740"/>
      <c r="ABW227" s="740"/>
      <c r="ABX227" s="740"/>
      <c r="ABY227" s="740"/>
      <c r="ABZ227" s="740"/>
      <c r="ACA227" s="740"/>
      <c r="ACB227" s="740"/>
      <c r="ACC227" s="740"/>
      <c r="ACD227" s="740"/>
      <c r="ACE227" s="740"/>
      <c r="ACF227" s="740"/>
      <c r="ACG227" s="740"/>
      <c r="ACH227" s="740"/>
      <c r="ACI227" s="740"/>
      <c r="ACJ227" s="740"/>
      <c r="ACK227" s="740"/>
      <c r="ACL227" s="740"/>
      <c r="ACM227" s="740"/>
      <c r="ACN227" s="740"/>
      <c r="ACO227" s="740"/>
      <c r="ACP227" s="740"/>
      <c r="ACQ227" s="740"/>
      <c r="ACR227" s="740"/>
      <c r="ACS227" s="740"/>
      <c r="ACT227" s="740"/>
      <c r="ACU227" s="740"/>
      <c r="ACV227" s="740"/>
      <c r="ACW227" s="740"/>
      <c r="ACX227" s="740"/>
      <c r="ACY227" s="740"/>
      <c r="ACZ227" s="740"/>
      <c r="ADA227" s="740"/>
      <c r="ADB227" s="740"/>
      <c r="ADC227" s="740"/>
      <c r="ADD227" s="740"/>
      <c r="ADE227" s="740"/>
      <c r="ADF227" s="740"/>
      <c r="ADG227" s="740"/>
      <c r="ADH227" s="740"/>
      <c r="ADI227" s="740"/>
      <c r="ADJ227" s="740"/>
      <c r="ADK227" s="740"/>
      <c r="ADL227" s="740"/>
      <c r="ADM227" s="740"/>
      <c r="ADN227" s="740"/>
      <c r="ADO227" s="740"/>
      <c r="ADP227" s="740"/>
      <c r="ADQ227" s="740"/>
      <c r="ADR227" s="740"/>
      <c r="ADS227" s="740"/>
      <c r="ADT227" s="740"/>
      <c r="ADU227" s="740"/>
      <c r="ADV227" s="740"/>
      <c r="ADW227" s="740"/>
      <c r="ADX227" s="740"/>
      <c r="ADY227" s="740"/>
      <c r="ADZ227" s="740"/>
      <c r="AEA227" s="740"/>
      <c r="AEB227" s="740"/>
      <c r="AEC227" s="740"/>
      <c r="AED227" s="740"/>
      <c r="AEE227" s="740"/>
      <c r="AEF227" s="740"/>
      <c r="AEG227" s="740"/>
      <c r="AEH227" s="740"/>
      <c r="AEI227" s="740"/>
      <c r="AEJ227" s="740"/>
      <c r="AEK227" s="740"/>
      <c r="AEL227" s="740"/>
      <c r="AEM227" s="740"/>
      <c r="AEN227" s="740"/>
      <c r="AEO227" s="740"/>
      <c r="AEP227" s="740"/>
      <c r="AEQ227" s="740"/>
      <c r="AER227" s="740"/>
      <c r="AES227" s="740"/>
      <c r="AET227" s="740"/>
      <c r="AEU227" s="740"/>
      <c r="AEV227" s="740"/>
      <c r="AEW227" s="740"/>
      <c r="AEX227" s="740"/>
      <c r="AEY227" s="740"/>
      <c r="AEZ227" s="740"/>
      <c r="AFA227" s="740"/>
      <c r="AFB227" s="740"/>
      <c r="AFC227" s="740"/>
      <c r="AFD227" s="740"/>
      <c r="AFE227" s="740"/>
      <c r="AFF227" s="740"/>
      <c r="AFG227" s="740"/>
      <c r="AFH227" s="740"/>
      <c r="AFI227" s="740"/>
      <c r="AFJ227" s="740"/>
      <c r="AFK227" s="740"/>
      <c r="AFL227" s="740"/>
      <c r="AFM227" s="740"/>
      <c r="AFN227" s="740"/>
      <c r="AFO227" s="740"/>
      <c r="AFP227" s="740"/>
      <c r="AFQ227" s="740"/>
      <c r="AFR227" s="740"/>
      <c r="AFS227" s="740"/>
      <c r="AFT227" s="740"/>
      <c r="AFU227" s="740"/>
      <c r="AFV227" s="740"/>
      <c r="AFW227" s="740"/>
      <c r="AFX227" s="740"/>
      <c r="AFY227" s="740"/>
      <c r="AFZ227" s="740"/>
      <c r="AGA227" s="740"/>
      <c r="AGB227" s="740"/>
      <c r="AGC227" s="740"/>
      <c r="AGD227" s="740"/>
      <c r="AGE227" s="740"/>
      <c r="AGF227" s="740"/>
      <c r="AGG227" s="740"/>
      <c r="AGH227" s="740"/>
      <c r="AGI227" s="740"/>
      <c r="AGJ227" s="740"/>
      <c r="AGK227" s="740"/>
      <c r="AGL227" s="740"/>
      <c r="AGM227" s="740"/>
      <c r="AGN227" s="740"/>
      <c r="AGO227" s="740"/>
      <c r="AGP227" s="740"/>
      <c r="AGQ227" s="740"/>
      <c r="AGR227" s="740"/>
      <c r="AGS227" s="740"/>
      <c r="AGT227" s="740"/>
      <c r="AGU227" s="740"/>
      <c r="AGV227" s="740"/>
      <c r="AGW227" s="740"/>
      <c r="AGX227" s="740"/>
      <c r="AGY227" s="740"/>
      <c r="AGZ227" s="740"/>
      <c r="AHA227" s="740"/>
      <c r="AHB227" s="740"/>
      <c r="AHC227" s="740"/>
      <c r="AHD227" s="740"/>
      <c r="AHE227" s="740"/>
      <c r="AHF227" s="740"/>
      <c r="AHG227" s="740"/>
      <c r="AHH227" s="740"/>
      <c r="AHI227" s="740"/>
      <c r="AHJ227" s="740"/>
      <c r="AHK227" s="740"/>
      <c r="AHL227" s="740"/>
      <c r="AHM227" s="740"/>
      <c r="AHN227" s="740"/>
      <c r="AHO227" s="740"/>
      <c r="AHP227" s="740"/>
      <c r="AHQ227" s="740"/>
      <c r="AHR227" s="740"/>
      <c r="AHS227" s="740"/>
      <c r="AHT227" s="740"/>
      <c r="AHU227" s="740"/>
      <c r="AHV227" s="740"/>
      <c r="AHW227" s="740"/>
      <c r="AHX227" s="740"/>
      <c r="AHY227" s="740"/>
      <c r="AHZ227" s="740"/>
      <c r="AIA227" s="740"/>
      <c r="AIB227" s="740"/>
      <c r="AIC227" s="740"/>
      <c r="AID227" s="740"/>
      <c r="AIE227" s="740"/>
      <c r="AIF227" s="740"/>
      <c r="AIG227" s="740"/>
      <c r="AIH227" s="740"/>
      <c r="AII227" s="740"/>
      <c r="AIJ227" s="740"/>
      <c r="AIK227" s="740"/>
      <c r="AIL227" s="740"/>
      <c r="AIM227" s="740"/>
      <c r="AIN227" s="740"/>
      <c r="AIO227" s="740"/>
      <c r="AIP227" s="740"/>
      <c r="AIQ227" s="740"/>
      <c r="AIR227" s="740"/>
      <c r="AIS227" s="740"/>
      <c r="AIT227" s="740"/>
      <c r="AIU227" s="740"/>
      <c r="AIV227" s="740"/>
      <c r="AIW227" s="740"/>
      <c r="AIX227" s="740"/>
      <c r="AIY227" s="740"/>
      <c r="AIZ227" s="740"/>
      <c r="AJA227" s="740"/>
      <c r="AJB227" s="740"/>
      <c r="AJC227" s="740"/>
      <c r="AJD227" s="740"/>
      <c r="AJE227" s="740"/>
      <c r="AJF227" s="740"/>
      <c r="AJG227" s="740"/>
      <c r="AJH227" s="740"/>
      <c r="AJI227" s="740"/>
      <c r="AJJ227" s="740"/>
      <c r="AJK227" s="740"/>
      <c r="AJL227" s="740"/>
      <c r="AJM227" s="740"/>
      <c r="AJN227" s="740"/>
      <c r="AJO227" s="740"/>
      <c r="AJP227" s="740"/>
      <c r="AJQ227" s="740"/>
      <c r="AJR227" s="740"/>
      <c r="AJS227" s="740"/>
      <c r="AJT227" s="740"/>
      <c r="AJU227" s="740"/>
      <c r="AJV227" s="740"/>
      <c r="AJW227" s="740"/>
      <c r="AJX227" s="740"/>
      <c r="AJY227" s="740"/>
      <c r="AJZ227" s="740"/>
      <c r="AKA227" s="740"/>
      <c r="AKB227" s="740"/>
      <c r="AKC227" s="740"/>
      <c r="AKD227" s="740"/>
      <c r="AKE227" s="740"/>
      <c r="AKF227" s="740"/>
      <c r="AKG227" s="740"/>
      <c r="AKH227" s="740"/>
      <c r="AKI227" s="740"/>
      <c r="AKJ227" s="740"/>
      <c r="AKK227" s="740"/>
      <c r="AKL227" s="740"/>
      <c r="AKM227" s="740"/>
      <c r="AKN227" s="740"/>
      <c r="AKO227" s="740"/>
      <c r="AKP227" s="740"/>
      <c r="AKQ227" s="740"/>
      <c r="AKR227" s="740"/>
      <c r="AKS227" s="740"/>
      <c r="AKT227" s="740"/>
      <c r="AKU227" s="740"/>
      <c r="AKV227" s="740"/>
      <c r="AKW227" s="740"/>
      <c r="AKX227" s="740"/>
      <c r="AKY227" s="740"/>
      <c r="AKZ227" s="740"/>
      <c r="ALA227" s="740"/>
      <c r="ALB227" s="740"/>
      <c r="ALC227" s="740"/>
      <c r="ALD227" s="740"/>
      <c r="ALE227" s="740"/>
      <c r="ALF227" s="740"/>
      <c r="ALG227" s="740"/>
      <c r="ALH227" s="740"/>
      <c r="ALI227" s="740"/>
      <c r="ALJ227" s="740"/>
      <c r="ALK227" s="740"/>
      <c r="ALL227" s="740"/>
      <c r="ALM227" s="740"/>
      <c r="ALN227" s="740"/>
      <c r="ALO227" s="740"/>
      <c r="ALP227" s="740"/>
      <c r="ALQ227" s="740"/>
      <c r="ALR227" s="740"/>
      <c r="ALS227" s="740"/>
      <c r="ALT227" s="740"/>
      <c r="ALU227" s="740"/>
      <c r="ALV227" s="740"/>
      <c r="ALW227" s="740"/>
      <c r="ALX227" s="740"/>
      <c r="ALY227" s="740"/>
      <c r="ALZ227" s="740"/>
      <c r="AMA227" s="740"/>
      <c r="AMB227" s="740"/>
      <c r="AMC227" s="740"/>
      <c r="AMD227" s="740"/>
      <c r="AME227" s="740"/>
      <c r="AMF227" s="740"/>
      <c r="AMG227" s="740"/>
      <c r="AMH227" s="740"/>
      <c r="AMI227" s="740"/>
      <c r="AMJ227" s="740"/>
      <c r="AMK227" s="740"/>
      <c r="AML227" s="740"/>
      <c r="AMM227" s="740"/>
      <c r="AMN227" s="740"/>
      <c r="AMO227" s="740"/>
      <c r="AMP227" s="740"/>
      <c r="AMQ227" s="740"/>
      <c r="AMR227" s="740"/>
      <c r="AMS227" s="740"/>
      <c r="AMT227" s="740"/>
      <c r="AMU227" s="740"/>
      <c r="AMV227" s="740"/>
      <c r="AMW227" s="740"/>
      <c r="AMX227" s="740"/>
      <c r="AMY227" s="740"/>
      <c r="AMZ227" s="740"/>
      <c r="ANA227" s="740"/>
      <c r="ANB227" s="740"/>
      <c r="ANC227" s="740"/>
      <c r="AND227" s="740"/>
      <c r="ANE227" s="740"/>
      <c r="ANF227" s="740"/>
      <c r="ANG227" s="740"/>
      <c r="ANH227" s="740"/>
      <c r="ANI227" s="740"/>
      <c r="ANJ227" s="740"/>
      <c r="ANK227" s="740"/>
      <c r="ANL227" s="740"/>
      <c r="ANM227" s="740"/>
      <c r="ANN227" s="740"/>
      <c r="ANO227" s="740"/>
      <c r="ANP227" s="740"/>
      <c r="ANQ227" s="740"/>
      <c r="ANR227" s="740"/>
      <c r="ANS227" s="740"/>
      <c r="ANT227" s="740"/>
      <c r="ANU227" s="740"/>
      <c r="ANV227" s="740"/>
      <c r="ANW227" s="740"/>
      <c r="ANX227" s="740"/>
      <c r="ANY227" s="740"/>
      <c r="ANZ227" s="740"/>
      <c r="AOA227" s="740"/>
      <c r="AOB227" s="740"/>
      <c r="AOC227" s="740"/>
      <c r="AOD227" s="740"/>
      <c r="AOE227" s="740"/>
      <c r="AOF227" s="740"/>
      <c r="AOG227" s="740"/>
      <c r="AOH227" s="740"/>
      <c r="AOI227" s="740"/>
      <c r="AOJ227" s="740"/>
      <c r="AOK227" s="740"/>
      <c r="AOL227" s="740"/>
      <c r="AOM227" s="740"/>
      <c r="AON227" s="740"/>
      <c r="AOO227" s="740"/>
      <c r="AOP227" s="740"/>
      <c r="AOQ227" s="740"/>
      <c r="AOR227" s="740"/>
      <c r="AOS227" s="740"/>
      <c r="AOT227" s="740"/>
      <c r="AOU227" s="740"/>
      <c r="AOV227" s="740"/>
      <c r="AOW227" s="740"/>
      <c r="AOX227" s="740"/>
      <c r="AOY227" s="740"/>
      <c r="AOZ227" s="740"/>
      <c r="APA227" s="740"/>
      <c r="APB227" s="740"/>
      <c r="APC227" s="740"/>
      <c r="APD227" s="740"/>
      <c r="APE227" s="740"/>
      <c r="APF227" s="740"/>
      <c r="APG227" s="740"/>
      <c r="APH227" s="740"/>
      <c r="API227" s="740"/>
      <c r="APJ227" s="740"/>
      <c r="APK227" s="740"/>
      <c r="APL227" s="740"/>
      <c r="APM227" s="740"/>
      <c r="APN227" s="740"/>
      <c r="APO227" s="740"/>
      <c r="APP227" s="740"/>
      <c r="APQ227" s="740"/>
      <c r="APR227" s="740"/>
      <c r="APS227" s="740"/>
      <c r="APT227" s="740"/>
      <c r="APU227" s="740"/>
      <c r="APV227" s="740"/>
      <c r="APW227" s="740"/>
      <c r="APX227" s="740"/>
      <c r="APY227" s="740"/>
      <c r="APZ227" s="740"/>
      <c r="AQA227" s="740"/>
      <c r="AQB227" s="740"/>
      <c r="AQC227" s="740"/>
      <c r="AQD227" s="740"/>
      <c r="AQE227" s="740"/>
      <c r="AQF227" s="740"/>
      <c r="AQG227" s="740"/>
      <c r="AQH227" s="740"/>
      <c r="AQI227" s="740"/>
      <c r="AQJ227" s="740"/>
      <c r="AQK227" s="740"/>
      <c r="AQL227" s="740"/>
      <c r="AQM227" s="740"/>
      <c r="AQN227" s="740"/>
      <c r="AQO227" s="740"/>
      <c r="AQP227" s="740"/>
      <c r="AQQ227" s="740"/>
      <c r="AQR227" s="740"/>
      <c r="AQS227" s="740"/>
      <c r="AQT227" s="740"/>
      <c r="AQU227" s="740"/>
      <c r="AQV227" s="740"/>
      <c r="AQW227" s="740"/>
      <c r="AQX227" s="740"/>
      <c r="AQY227" s="740"/>
      <c r="AQZ227" s="740"/>
      <c r="ARA227" s="740"/>
      <c r="ARB227" s="740"/>
      <c r="ARC227" s="740"/>
      <c r="ARD227" s="740"/>
      <c r="ARE227" s="740"/>
      <c r="ARF227" s="740"/>
      <c r="ARG227" s="740"/>
      <c r="ARH227" s="740"/>
      <c r="ARI227" s="740"/>
      <c r="ARJ227" s="740"/>
      <c r="ARK227" s="740"/>
      <c r="ARL227" s="740"/>
      <c r="ARM227" s="740"/>
      <c r="ARN227" s="740"/>
      <c r="ARO227" s="740"/>
      <c r="ARP227" s="740"/>
      <c r="ARQ227" s="740"/>
      <c r="ARR227" s="740"/>
      <c r="ARS227" s="740"/>
      <c r="ART227" s="740"/>
      <c r="ARU227" s="740"/>
      <c r="ARV227" s="740"/>
      <c r="ARW227" s="740"/>
      <c r="ARX227" s="740"/>
      <c r="ARY227" s="740"/>
      <c r="ARZ227" s="740"/>
      <c r="ASA227" s="740"/>
      <c r="ASB227" s="740"/>
      <c r="ASC227" s="740"/>
      <c r="ASD227" s="740"/>
      <c r="ASE227" s="740"/>
      <c r="ASF227" s="740"/>
      <c r="ASG227" s="740"/>
      <c r="ASH227" s="740"/>
      <c r="ASI227" s="740"/>
      <c r="ASJ227" s="740"/>
      <c r="ASK227" s="740"/>
      <c r="ASL227" s="740"/>
      <c r="ASM227" s="740"/>
      <c r="ASN227" s="740"/>
      <c r="ASO227" s="740"/>
      <c r="ASP227" s="740"/>
      <c r="ASQ227" s="740"/>
      <c r="ASR227" s="740"/>
      <c r="ASS227" s="740"/>
      <c r="AST227" s="740"/>
      <c r="ASU227" s="740"/>
      <c r="ASV227" s="740"/>
      <c r="ASW227" s="740"/>
      <c r="ASX227" s="740"/>
      <c r="ASY227" s="740"/>
      <c r="ASZ227" s="740"/>
      <c r="ATA227" s="740"/>
      <c r="ATB227" s="740"/>
      <c r="ATC227" s="740"/>
      <c r="ATD227" s="740"/>
      <c r="ATE227" s="740"/>
      <c r="ATF227" s="740"/>
      <c r="ATG227" s="740"/>
      <c r="ATH227" s="740"/>
      <c r="ATI227" s="740"/>
      <c r="ATJ227" s="740"/>
      <c r="ATK227" s="740"/>
      <c r="ATL227" s="740"/>
      <c r="ATM227" s="740"/>
      <c r="ATN227" s="740"/>
      <c r="ATO227" s="740"/>
      <c r="ATP227" s="740"/>
      <c r="ATQ227" s="740"/>
      <c r="ATR227" s="740"/>
      <c r="ATS227" s="740"/>
      <c r="ATT227" s="740"/>
      <c r="ATU227" s="740"/>
      <c r="ATV227" s="740"/>
      <c r="ATW227" s="740"/>
      <c r="ATX227" s="740"/>
      <c r="ATY227" s="740"/>
      <c r="ATZ227" s="740"/>
      <c r="AUA227" s="740"/>
      <c r="AUB227" s="740"/>
      <c r="AUC227" s="740"/>
      <c r="AUD227" s="740"/>
      <c r="AUE227" s="740"/>
      <c r="AUF227" s="740"/>
      <c r="AUG227" s="740"/>
      <c r="AUH227" s="740"/>
      <c r="AUI227" s="740"/>
      <c r="AUJ227" s="740"/>
      <c r="AUK227" s="740"/>
      <c r="AUL227" s="740"/>
      <c r="AUM227" s="740"/>
      <c r="AUN227" s="740"/>
      <c r="AUO227" s="740"/>
      <c r="AUP227" s="740"/>
      <c r="AUQ227" s="740"/>
      <c r="AUR227" s="740"/>
      <c r="AUS227" s="740"/>
      <c r="AUT227" s="740"/>
      <c r="AUU227" s="740"/>
      <c r="AUV227" s="740"/>
      <c r="AUW227" s="740"/>
      <c r="AUX227" s="740"/>
      <c r="AUY227" s="740"/>
      <c r="AUZ227" s="740"/>
      <c r="AVA227" s="740"/>
      <c r="AVB227" s="740"/>
      <c r="AVC227" s="740"/>
      <c r="AVD227" s="740"/>
      <c r="AVE227" s="740"/>
      <c r="AVF227" s="740"/>
      <c r="AVG227" s="740"/>
      <c r="AVH227" s="740"/>
      <c r="AVI227" s="740"/>
      <c r="AVJ227" s="740"/>
      <c r="AVK227" s="740"/>
      <c r="AVL227" s="740"/>
      <c r="AVM227" s="740"/>
      <c r="AVN227" s="740"/>
      <c r="AVO227" s="740"/>
      <c r="AVP227" s="740"/>
      <c r="AVQ227" s="740"/>
      <c r="AVR227" s="740"/>
      <c r="AVS227" s="740"/>
      <c r="AVT227" s="740"/>
      <c r="AVU227" s="740"/>
      <c r="AVV227" s="740"/>
      <c r="AVW227" s="740"/>
      <c r="AVX227" s="740"/>
      <c r="AVY227" s="740"/>
      <c r="AVZ227" s="740"/>
      <c r="AWA227" s="740"/>
      <c r="AWB227" s="740"/>
      <c r="AWC227" s="740"/>
      <c r="AWD227" s="740"/>
      <c r="AWE227" s="740"/>
      <c r="AWF227" s="740"/>
      <c r="AWG227" s="740"/>
      <c r="AWH227" s="740"/>
      <c r="AWI227" s="740"/>
      <c r="AWJ227" s="740"/>
      <c r="AWK227" s="740"/>
      <c r="AWL227" s="740"/>
      <c r="AWM227" s="740"/>
      <c r="AWN227" s="740"/>
      <c r="AWO227" s="740"/>
      <c r="AWP227" s="740"/>
      <c r="AWQ227" s="740"/>
      <c r="AWR227" s="740"/>
      <c r="AWS227" s="740"/>
      <c r="AWT227" s="740"/>
      <c r="AWU227" s="740"/>
      <c r="AWV227" s="740"/>
      <c r="AWW227" s="740"/>
      <c r="AWX227" s="740"/>
      <c r="AWY227" s="740"/>
      <c r="AWZ227" s="740"/>
      <c r="AXA227" s="740"/>
      <c r="AXB227" s="740"/>
      <c r="AXC227" s="740"/>
      <c r="AXD227" s="740"/>
      <c r="AXE227" s="740"/>
      <c r="AXF227" s="740"/>
      <c r="AXG227" s="740"/>
      <c r="AXH227" s="740"/>
      <c r="AXI227" s="740"/>
      <c r="AXJ227" s="740"/>
    </row>
    <row r="228" spans="1:1310" s="741" customFormat="1" ht="23.25" customHeight="1">
      <c r="A228" s="756"/>
      <c r="B228" s="9016" t="s">
        <v>1575</v>
      </c>
      <c r="C228" s="9016"/>
      <c r="D228" s="9016"/>
      <c r="E228" s="9016"/>
      <c r="F228" s="750"/>
      <c r="G228" s="9016" t="s">
        <v>1576</v>
      </c>
      <c r="H228" s="9016"/>
      <c r="I228" s="9016"/>
      <c r="J228" s="750"/>
      <c r="K228" s="9019" t="s">
        <v>1577</v>
      </c>
      <c r="L228" s="9019"/>
      <c r="M228" s="9019"/>
      <c r="N228" s="750"/>
      <c r="O228" s="9016" t="s">
        <v>1578</v>
      </c>
      <c r="P228" s="9016"/>
      <c r="Q228" s="750"/>
      <c r="R228" s="311"/>
      <c r="S228" s="311"/>
      <c r="T228" s="311"/>
      <c r="U228" s="311"/>
      <c r="V228" s="311"/>
      <c r="W228" s="311"/>
      <c r="X228" s="311"/>
      <c r="Y228" s="311"/>
      <c r="Z228" s="311"/>
      <c r="AA228" s="311"/>
      <c r="AB228" s="311"/>
      <c r="AC228" s="311"/>
      <c r="AD228" s="740"/>
      <c r="AE228" s="740"/>
      <c r="AF228" s="740"/>
      <c r="AG228" s="740"/>
      <c r="AH228" s="740"/>
      <c r="AI228" s="740"/>
      <c r="AJ228" s="740"/>
      <c r="AK228" s="740"/>
      <c r="AL228" s="740"/>
      <c r="AM228" s="740"/>
      <c r="AN228" s="740"/>
      <c r="AO228" s="740"/>
      <c r="AP228" s="740"/>
      <c r="AQ228" s="740"/>
      <c r="AR228" s="740"/>
      <c r="AS228" s="740"/>
      <c r="AT228" s="740"/>
      <c r="AU228" s="740"/>
      <c r="AV228" s="740"/>
      <c r="AW228" s="740"/>
      <c r="AX228" s="740"/>
      <c r="AY228" s="740"/>
      <c r="AZ228" s="740"/>
      <c r="BA228" s="740"/>
      <c r="BB228" s="740"/>
      <c r="BC228" s="740"/>
      <c r="BD228" s="740"/>
      <c r="BE228" s="740"/>
      <c r="BF228" s="740"/>
      <c r="BG228" s="740"/>
      <c r="BH228" s="740"/>
      <c r="BI228" s="740"/>
      <c r="BJ228" s="740"/>
      <c r="BK228" s="740"/>
      <c r="BL228" s="740"/>
      <c r="BM228" s="740"/>
      <c r="BN228" s="740"/>
      <c r="BO228" s="740"/>
      <c r="BP228" s="740"/>
      <c r="BQ228" s="740"/>
      <c r="BR228" s="740"/>
      <c r="BS228" s="740"/>
      <c r="BT228" s="740"/>
      <c r="BU228" s="740"/>
      <c r="BV228" s="740"/>
      <c r="BW228" s="740"/>
      <c r="BX228" s="740"/>
      <c r="BY228" s="740"/>
      <c r="BZ228" s="740"/>
      <c r="CA228" s="740"/>
      <c r="CB228" s="740"/>
      <c r="CC228" s="740"/>
      <c r="CD228" s="740"/>
      <c r="CE228" s="740"/>
      <c r="CF228" s="740"/>
      <c r="CG228" s="740"/>
      <c r="CH228" s="740"/>
      <c r="CI228" s="740"/>
      <c r="CJ228" s="740"/>
      <c r="CK228" s="740"/>
      <c r="CL228" s="740"/>
      <c r="CM228" s="740"/>
      <c r="CN228" s="740"/>
      <c r="CO228" s="740"/>
      <c r="CP228" s="740"/>
      <c r="CQ228" s="740"/>
      <c r="CR228" s="740"/>
      <c r="CS228" s="740"/>
      <c r="CT228" s="740"/>
      <c r="CU228" s="740"/>
      <c r="CV228" s="740"/>
      <c r="CW228" s="740"/>
      <c r="CX228" s="740"/>
      <c r="CY228" s="740"/>
      <c r="CZ228" s="740"/>
      <c r="DA228" s="740"/>
      <c r="DB228" s="740"/>
      <c r="DC228" s="740"/>
      <c r="DD228" s="740"/>
      <c r="DE228" s="740"/>
      <c r="DF228" s="740"/>
      <c r="DG228" s="740"/>
      <c r="DH228" s="740"/>
      <c r="DI228" s="740"/>
      <c r="DJ228" s="740"/>
      <c r="DK228" s="740"/>
      <c r="DL228" s="740"/>
      <c r="DM228" s="740"/>
      <c r="DN228" s="740"/>
      <c r="DO228" s="740"/>
      <c r="DP228" s="740"/>
      <c r="DQ228" s="740"/>
      <c r="DR228" s="740"/>
      <c r="DS228" s="740"/>
      <c r="DT228" s="740"/>
      <c r="DU228" s="740"/>
      <c r="DV228" s="740"/>
      <c r="DW228" s="740"/>
      <c r="DX228" s="740"/>
      <c r="DY228" s="740"/>
      <c r="DZ228" s="740"/>
      <c r="EA228" s="740"/>
      <c r="EB228" s="740"/>
      <c r="EC228" s="740"/>
      <c r="ED228" s="740"/>
      <c r="EE228" s="740"/>
      <c r="EF228" s="740"/>
      <c r="EG228" s="740"/>
      <c r="EH228" s="740"/>
      <c r="EI228" s="740"/>
      <c r="EJ228" s="740"/>
      <c r="EK228" s="740"/>
      <c r="EL228" s="740"/>
      <c r="EM228" s="740"/>
      <c r="EN228" s="740"/>
      <c r="EO228" s="740"/>
      <c r="EP228" s="740"/>
      <c r="EQ228" s="740"/>
      <c r="ER228" s="740"/>
      <c r="ES228" s="740"/>
      <c r="ET228" s="740"/>
      <c r="EU228" s="740"/>
      <c r="EV228" s="740"/>
      <c r="EW228" s="740"/>
      <c r="EX228" s="740"/>
      <c r="EY228" s="740"/>
      <c r="EZ228" s="740"/>
      <c r="FA228" s="740"/>
      <c r="FB228" s="740"/>
      <c r="FC228" s="740"/>
      <c r="FD228" s="740"/>
      <c r="FE228" s="740"/>
      <c r="FF228" s="740"/>
      <c r="FG228" s="740"/>
      <c r="FH228" s="740"/>
      <c r="FI228" s="740"/>
      <c r="FJ228" s="740"/>
      <c r="FK228" s="740"/>
      <c r="FL228" s="740"/>
      <c r="FM228" s="740"/>
      <c r="FN228" s="740"/>
      <c r="FO228" s="740"/>
      <c r="FP228" s="740"/>
      <c r="FQ228" s="740"/>
      <c r="FR228" s="740"/>
      <c r="FS228" s="740"/>
      <c r="FT228" s="740"/>
      <c r="FU228" s="740"/>
      <c r="FV228" s="740"/>
      <c r="FW228" s="740"/>
      <c r="FX228" s="740"/>
      <c r="FY228" s="740"/>
      <c r="FZ228" s="740"/>
      <c r="GA228" s="740"/>
      <c r="GB228" s="740"/>
      <c r="GC228" s="740"/>
      <c r="GD228" s="740"/>
      <c r="GE228" s="740"/>
      <c r="GF228" s="740"/>
      <c r="GG228" s="740"/>
      <c r="GH228" s="740"/>
      <c r="GI228" s="740"/>
      <c r="GJ228" s="740"/>
      <c r="GK228" s="740"/>
      <c r="GL228" s="740"/>
      <c r="GM228" s="740"/>
      <c r="GN228" s="740"/>
      <c r="GO228" s="740"/>
      <c r="GP228" s="740"/>
      <c r="GQ228" s="740"/>
      <c r="GR228" s="740"/>
      <c r="GS228" s="740"/>
      <c r="GT228" s="740"/>
      <c r="GU228" s="740"/>
      <c r="GV228" s="740"/>
      <c r="GW228" s="740"/>
      <c r="GX228" s="740"/>
      <c r="GY228" s="740"/>
      <c r="GZ228" s="740"/>
      <c r="HA228" s="740"/>
      <c r="HB228" s="740"/>
      <c r="HC228" s="740"/>
      <c r="HD228" s="740"/>
      <c r="HE228" s="740"/>
      <c r="HF228" s="740"/>
      <c r="HG228" s="740"/>
      <c r="HH228" s="740"/>
      <c r="HI228" s="740"/>
      <c r="HJ228" s="740"/>
      <c r="HK228" s="740"/>
      <c r="HL228" s="740"/>
      <c r="HM228" s="740"/>
      <c r="HN228" s="740"/>
      <c r="HO228" s="740"/>
      <c r="HP228" s="740"/>
      <c r="HQ228" s="740"/>
      <c r="HR228" s="740"/>
      <c r="HS228" s="740"/>
      <c r="HT228" s="740"/>
      <c r="HU228" s="740"/>
      <c r="HV228" s="740"/>
      <c r="HW228" s="740"/>
      <c r="HX228" s="740"/>
      <c r="HY228" s="740"/>
      <c r="HZ228" s="740"/>
      <c r="IA228" s="740"/>
      <c r="IB228" s="740"/>
      <c r="IC228" s="740"/>
      <c r="ID228" s="740"/>
      <c r="IE228" s="740"/>
      <c r="IF228" s="740"/>
      <c r="IG228" s="740"/>
      <c r="IH228" s="740"/>
      <c r="II228" s="740"/>
      <c r="IJ228" s="740"/>
      <c r="IK228" s="740"/>
      <c r="IL228" s="740"/>
      <c r="IM228" s="740"/>
      <c r="IN228" s="740"/>
      <c r="IO228" s="740"/>
      <c r="IP228" s="740"/>
      <c r="IQ228" s="740"/>
      <c r="IR228" s="740"/>
      <c r="IS228" s="740"/>
      <c r="IT228" s="740"/>
      <c r="IU228" s="740"/>
      <c r="IV228" s="740"/>
      <c r="IW228" s="740"/>
      <c r="IX228" s="740"/>
      <c r="IY228" s="740"/>
      <c r="IZ228" s="740"/>
      <c r="JA228" s="740"/>
      <c r="JB228" s="740"/>
      <c r="JC228" s="740"/>
      <c r="JD228" s="740"/>
      <c r="JE228" s="740"/>
      <c r="JF228" s="740"/>
      <c r="JG228" s="740"/>
      <c r="JH228" s="740"/>
      <c r="JI228" s="740"/>
      <c r="JJ228" s="740"/>
      <c r="JK228" s="740"/>
      <c r="JL228" s="740"/>
      <c r="JM228" s="740"/>
      <c r="JN228" s="740"/>
      <c r="JO228" s="740"/>
      <c r="JP228" s="740"/>
      <c r="JQ228" s="740"/>
      <c r="JR228" s="740"/>
      <c r="JS228" s="740"/>
      <c r="JT228" s="740"/>
      <c r="JU228" s="740"/>
      <c r="JV228" s="740"/>
      <c r="JW228" s="740"/>
      <c r="JX228" s="740"/>
      <c r="JY228" s="740"/>
      <c r="JZ228" s="740"/>
      <c r="KA228" s="740"/>
      <c r="KB228" s="740"/>
      <c r="KC228" s="740"/>
      <c r="KD228" s="740"/>
      <c r="KE228" s="740"/>
      <c r="KF228" s="740"/>
      <c r="KG228" s="740"/>
      <c r="KH228" s="740"/>
      <c r="KI228" s="740"/>
      <c r="KJ228" s="740"/>
      <c r="KK228" s="740"/>
      <c r="KL228" s="740"/>
      <c r="KM228" s="740"/>
      <c r="KN228" s="740"/>
      <c r="KO228" s="740"/>
      <c r="KP228" s="740"/>
      <c r="KQ228" s="740"/>
      <c r="KR228" s="740"/>
      <c r="KS228" s="740"/>
      <c r="KT228" s="740"/>
      <c r="KU228" s="740"/>
      <c r="KV228" s="740"/>
      <c r="KW228" s="740"/>
      <c r="KX228" s="740"/>
      <c r="KY228" s="740"/>
      <c r="KZ228" s="740"/>
      <c r="LA228" s="740"/>
      <c r="LB228" s="740"/>
      <c r="LC228" s="740"/>
      <c r="LD228" s="740"/>
      <c r="LE228" s="740"/>
      <c r="LF228" s="740"/>
      <c r="LG228" s="740"/>
      <c r="LH228" s="740"/>
      <c r="LI228" s="740"/>
      <c r="LJ228" s="740"/>
      <c r="LK228" s="740"/>
      <c r="LL228" s="740"/>
      <c r="LM228" s="740"/>
      <c r="LN228" s="740"/>
      <c r="LO228" s="740"/>
      <c r="LP228" s="740"/>
      <c r="LQ228" s="740"/>
      <c r="LR228" s="740"/>
      <c r="LS228" s="740"/>
      <c r="LT228" s="740"/>
      <c r="LU228" s="740"/>
      <c r="LV228" s="740"/>
      <c r="LW228" s="740"/>
      <c r="LX228" s="740"/>
      <c r="LY228" s="740"/>
      <c r="LZ228" s="740"/>
      <c r="MA228" s="740"/>
      <c r="MB228" s="740"/>
      <c r="MC228" s="740"/>
      <c r="MD228" s="740"/>
      <c r="ME228" s="740"/>
      <c r="MF228" s="740"/>
      <c r="MG228" s="740"/>
      <c r="MH228" s="740"/>
      <c r="MI228" s="740"/>
      <c r="MJ228" s="740"/>
      <c r="MK228" s="740"/>
      <c r="ML228" s="740"/>
      <c r="MM228" s="740"/>
      <c r="MN228" s="740"/>
      <c r="MO228" s="740"/>
      <c r="MP228" s="740"/>
      <c r="MQ228" s="740"/>
      <c r="MR228" s="740"/>
      <c r="MS228" s="740"/>
      <c r="MT228" s="740"/>
      <c r="MU228" s="740"/>
      <c r="MV228" s="740"/>
      <c r="MW228" s="740"/>
      <c r="MX228" s="740"/>
      <c r="MY228" s="740"/>
      <c r="MZ228" s="740"/>
      <c r="NA228" s="740"/>
      <c r="NB228" s="740"/>
      <c r="NC228" s="740"/>
      <c r="ND228" s="740"/>
      <c r="NE228" s="740"/>
      <c r="NF228" s="740"/>
      <c r="NG228" s="740"/>
      <c r="NH228" s="740"/>
      <c r="NI228" s="740"/>
      <c r="NJ228" s="740"/>
      <c r="NK228" s="740"/>
      <c r="NL228" s="740"/>
      <c r="NM228" s="740"/>
      <c r="NN228" s="740"/>
      <c r="NO228" s="740"/>
      <c r="NP228" s="740"/>
      <c r="NQ228" s="740"/>
      <c r="NR228" s="740"/>
      <c r="NS228" s="740"/>
      <c r="NT228" s="740"/>
      <c r="NU228" s="740"/>
      <c r="NV228" s="740"/>
      <c r="NW228" s="740"/>
      <c r="NX228" s="740"/>
      <c r="NY228" s="740"/>
      <c r="NZ228" s="740"/>
      <c r="OA228" s="740"/>
      <c r="OB228" s="740"/>
      <c r="OC228" s="740"/>
      <c r="OD228" s="740"/>
      <c r="OE228" s="740"/>
      <c r="OF228" s="740"/>
      <c r="OG228" s="740"/>
      <c r="OH228" s="740"/>
      <c r="OI228" s="740"/>
      <c r="OJ228" s="740"/>
      <c r="OK228" s="740"/>
      <c r="OL228" s="740"/>
      <c r="OM228" s="740"/>
      <c r="ON228" s="740"/>
      <c r="OO228" s="740"/>
      <c r="OP228" s="740"/>
      <c r="OQ228" s="740"/>
      <c r="OR228" s="740"/>
      <c r="OS228" s="740"/>
      <c r="OT228" s="740"/>
      <c r="OU228" s="740"/>
      <c r="OV228" s="740"/>
      <c r="OW228" s="740"/>
      <c r="OX228" s="740"/>
      <c r="OY228" s="740"/>
      <c r="OZ228" s="740"/>
      <c r="PA228" s="740"/>
      <c r="PB228" s="740"/>
      <c r="PC228" s="740"/>
      <c r="PD228" s="740"/>
      <c r="PE228" s="740"/>
      <c r="PF228" s="740"/>
      <c r="PG228" s="740"/>
      <c r="PH228" s="740"/>
      <c r="PI228" s="740"/>
      <c r="PJ228" s="740"/>
      <c r="PK228" s="740"/>
      <c r="PL228" s="740"/>
      <c r="PM228" s="740"/>
      <c r="PN228" s="740"/>
      <c r="PO228" s="740"/>
      <c r="PP228" s="740"/>
      <c r="PQ228" s="740"/>
      <c r="PR228" s="740"/>
      <c r="PS228" s="740"/>
      <c r="PT228" s="740"/>
      <c r="PU228" s="740"/>
      <c r="PV228" s="740"/>
      <c r="PW228" s="740"/>
      <c r="PX228" s="740"/>
      <c r="PY228" s="740"/>
      <c r="PZ228" s="740"/>
      <c r="QA228" s="740"/>
      <c r="QB228" s="740"/>
      <c r="QC228" s="740"/>
      <c r="QD228" s="740"/>
      <c r="QE228" s="740"/>
      <c r="QF228" s="740"/>
      <c r="QG228" s="740"/>
      <c r="QH228" s="740"/>
      <c r="QI228" s="740"/>
      <c r="QJ228" s="740"/>
      <c r="QK228" s="740"/>
      <c r="QL228" s="740"/>
      <c r="QM228" s="740"/>
      <c r="QN228" s="740"/>
      <c r="QO228" s="740"/>
      <c r="QP228" s="740"/>
      <c r="QQ228" s="740"/>
      <c r="QR228" s="740"/>
      <c r="QS228" s="740"/>
      <c r="QT228" s="740"/>
      <c r="QU228" s="740"/>
      <c r="QV228" s="740"/>
      <c r="QW228" s="740"/>
      <c r="QX228" s="740"/>
      <c r="QY228" s="740"/>
      <c r="QZ228" s="740"/>
      <c r="RA228" s="740"/>
      <c r="RB228" s="740"/>
      <c r="RC228" s="740"/>
      <c r="RD228" s="740"/>
      <c r="RE228" s="740"/>
      <c r="RF228" s="740"/>
      <c r="RG228" s="740"/>
      <c r="RH228" s="740"/>
      <c r="RI228" s="740"/>
      <c r="RJ228" s="740"/>
      <c r="RK228" s="740"/>
      <c r="RL228" s="740"/>
      <c r="RM228" s="740"/>
      <c r="RN228" s="740"/>
      <c r="RO228" s="740"/>
      <c r="RP228" s="740"/>
      <c r="RQ228" s="740"/>
      <c r="RR228" s="740"/>
      <c r="RS228" s="740"/>
      <c r="RT228" s="740"/>
      <c r="RU228" s="740"/>
      <c r="RV228" s="740"/>
      <c r="RW228" s="740"/>
      <c r="RX228" s="740"/>
      <c r="RY228" s="740"/>
      <c r="RZ228" s="740"/>
      <c r="SA228" s="740"/>
      <c r="SB228" s="740"/>
      <c r="SC228" s="740"/>
      <c r="SD228" s="740"/>
      <c r="SE228" s="740"/>
      <c r="SF228" s="740"/>
      <c r="SG228" s="740"/>
      <c r="SH228" s="740"/>
      <c r="SI228" s="740"/>
      <c r="SJ228" s="740"/>
      <c r="SK228" s="740"/>
      <c r="SL228" s="740"/>
      <c r="SM228" s="740"/>
      <c r="SN228" s="740"/>
      <c r="SO228" s="740"/>
      <c r="SP228" s="740"/>
      <c r="SQ228" s="740"/>
      <c r="SR228" s="740"/>
      <c r="SS228" s="740"/>
      <c r="ST228" s="740"/>
      <c r="SU228" s="740"/>
      <c r="SV228" s="740"/>
      <c r="SW228" s="740"/>
      <c r="SX228" s="740"/>
      <c r="SY228" s="740"/>
      <c r="SZ228" s="740"/>
      <c r="TA228" s="740"/>
      <c r="TB228" s="740"/>
      <c r="TC228" s="740"/>
      <c r="TD228" s="740"/>
      <c r="TE228" s="740"/>
      <c r="TF228" s="740"/>
      <c r="TG228" s="740"/>
      <c r="TH228" s="740"/>
      <c r="TI228" s="740"/>
      <c r="TJ228" s="740"/>
      <c r="TK228" s="740"/>
      <c r="TL228" s="740"/>
      <c r="TM228" s="740"/>
      <c r="TN228" s="740"/>
      <c r="TO228" s="740"/>
      <c r="TP228" s="740"/>
      <c r="TQ228" s="740"/>
      <c r="TR228" s="740"/>
      <c r="TS228" s="740"/>
      <c r="TT228" s="740"/>
      <c r="TU228" s="740"/>
      <c r="TV228" s="740"/>
      <c r="TW228" s="740"/>
      <c r="TX228" s="740"/>
      <c r="TY228" s="740"/>
      <c r="TZ228" s="740"/>
      <c r="UA228" s="740"/>
      <c r="UB228" s="740"/>
      <c r="UC228" s="740"/>
      <c r="UD228" s="740"/>
      <c r="UE228" s="740"/>
      <c r="UF228" s="740"/>
      <c r="UG228" s="740"/>
      <c r="UH228" s="740"/>
      <c r="UI228" s="740"/>
      <c r="UJ228" s="740"/>
      <c r="UK228" s="740"/>
      <c r="UL228" s="740"/>
      <c r="UM228" s="740"/>
      <c r="UN228" s="740"/>
      <c r="UO228" s="740"/>
      <c r="UP228" s="740"/>
      <c r="UQ228" s="740"/>
      <c r="UR228" s="740"/>
      <c r="US228" s="740"/>
      <c r="UT228" s="740"/>
      <c r="UU228" s="740"/>
      <c r="UV228" s="740"/>
      <c r="UW228" s="740"/>
      <c r="UX228" s="740"/>
      <c r="UY228" s="740"/>
      <c r="UZ228" s="740"/>
      <c r="VA228" s="740"/>
      <c r="VB228" s="740"/>
      <c r="VC228" s="740"/>
      <c r="VD228" s="740"/>
      <c r="VE228" s="740"/>
      <c r="VF228" s="740"/>
      <c r="VG228" s="740"/>
      <c r="VH228" s="740"/>
      <c r="VI228" s="740"/>
      <c r="VJ228" s="740"/>
      <c r="VK228" s="740"/>
      <c r="VL228" s="740"/>
      <c r="VM228" s="740"/>
      <c r="VN228" s="740"/>
      <c r="VO228" s="740"/>
      <c r="VP228" s="740"/>
      <c r="VQ228" s="740"/>
      <c r="VR228" s="740"/>
      <c r="VS228" s="740"/>
      <c r="VT228" s="740"/>
      <c r="VU228" s="740"/>
      <c r="VV228" s="740"/>
      <c r="VW228" s="740"/>
      <c r="VX228" s="740"/>
      <c r="VY228" s="740"/>
      <c r="VZ228" s="740"/>
      <c r="WA228" s="740"/>
      <c r="WB228" s="740"/>
      <c r="WC228" s="740"/>
      <c r="WD228" s="740"/>
      <c r="WE228" s="740"/>
      <c r="WF228" s="740"/>
      <c r="WG228" s="740"/>
      <c r="WH228" s="740"/>
      <c r="WI228" s="740"/>
      <c r="WJ228" s="740"/>
      <c r="WK228" s="740"/>
      <c r="WL228" s="740"/>
      <c r="WM228" s="740"/>
      <c r="WN228" s="740"/>
      <c r="WO228" s="740"/>
      <c r="WP228" s="740"/>
      <c r="WQ228" s="740"/>
      <c r="WR228" s="740"/>
      <c r="WS228" s="740"/>
      <c r="WT228" s="740"/>
      <c r="WU228" s="740"/>
      <c r="WV228" s="740"/>
      <c r="WW228" s="740"/>
      <c r="WX228" s="740"/>
      <c r="WY228" s="740"/>
      <c r="WZ228" s="740"/>
      <c r="XA228" s="740"/>
      <c r="XB228" s="740"/>
      <c r="XC228" s="740"/>
      <c r="XD228" s="740"/>
      <c r="XE228" s="740"/>
      <c r="XF228" s="740"/>
      <c r="XG228" s="740"/>
      <c r="XH228" s="740"/>
      <c r="XI228" s="740"/>
      <c r="XJ228" s="740"/>
      <c r="XK228" s="740"/>
      <c r="XL228" s="740"/>
      <c r="XM228" s="740"/>
      <c r="XN228" s="740"/>
      <c r="XO228" s="740"/>
      <c r="XP228" s="740"/>
      <c r="XQ228" s="740"/>
      <c r="XR228" s="740"/>
      <c r="XS228" s="740"/>
      <c r="XT228" s="740"/>
      <c r="XU228" s="740"/>
      <c r="XV228" s="740"/>
      <c r="XW228" s="740"/>
      <c r="XX228" s="740"/>
      <c r="XY228" s="740"/>
      <c r="XZ228" s="740"/>
      <c r="YA228" s="740"/>
      <c r="YB228" s="740"/>
      <c r="YC228" s="740"/>
      <c r="YD228" s="740"/>
      <c r="YE228" s="740"/>
      <c r="YF228" s="740"/>
      <c r="YG228" s="740"/>
      <c r="YH228" s="740"/>
      <c r="YI228" s="740"/>
      <c r="YJ228" s="740"/>
      <c r="YK228" s="740"/>
      <c r="YL228" s="740"/>
      <c r="YM228" s="740"/>
      <c r="YN228" s="740"/>
      <c r="YO228" s="740"/>
      <c r="YP228" s="740"/>
      <c r="YQ228" s="740"/>
      <c r="YR228" s="740"/>
      <c r="YS228" s="740"/>
      <c r="YT228" s="740"/>
      <c r="YU228" s="740"/>
      <c r="YV228" s="740"/>
      <c r="YW228" s="740"/>
      <c r="YX228" s="740"/>
      <c r="YY228" s="740"/>
      <c r="YZ228" s="740"/>
      <c r="ZA228" s="740"/>
      <c r="ZB228" s="740"/>
      <c r="ZC228" s="740"/>
      <c r="ZD228" s="740"/>
      <c r="ZE228" s="740"/>
      <c r="ZF228" s="740"/>
      <c r="ZG228" s="740"/>
      <c r="ZH228" s="740"/>
      <c r="ZI228" s="740"/>
      <c r="ZJ228" s="740"/>
      <c r="ZK228" s="740"/>
      <c r="ZL228" s="740"/>
      <c r="ZM228" s="740"/>
      <c r="ZN228" s="740"/>
      <c r="ZO228" s="740"/>
      <c r="ZP228" s="740"/>
      <c r="ZQ228" s="740"/>
      <c r="ZR228" s="740"/>
      <c r="ZS228" s="740"/>
      <c r="ZT228" s="740"/>
      <c r="ZU228" s="740"/>
      <c r="ZV228" s="740"/>
      <c r="ZW228" s="740"/>
      <c r="ZX228" s="740"/>
      <c r="ZY228" s="740"/>
      <c r="ZZ228" s="740"/>
      <c r="AAA228" s="740"/>
      <c r="AAB228" s="740"/>
      <c r="AAC228" s="740"/>
      <c r="AAD228" s="740"/>
      <c r="AAE228" s="740"/>
      <c r="AAF228" s="740"/>
      <c r="AAG228" s="740"/>
      <c r="AAH228" s="740"/>
      <c r="AAI228" s="740"/>
      <c r="AAJ228" s="740"/>
      <c r="AAK228" s="740"/>
      <c r="AAL228" s="740"/>
      <c r="AAM228" s="740"/>
      <c r="AAN228" s="740"/>
      <c r="AAO228" s="740"/>
      <c r="AAP228" s="740"/>
      <c r="AAQ228" s="740"/>
      <c r="AAR228" s="740"/>
      <c r="AAS228" s="740"/>
      <c r="AAT228" s="740"/>
      <c r="AAU228" s="740"/>
      <c r="AAV228" s="740"/>
      <c r="AAW228" s="740"/>
      <c r="AAX228" s="740"/>
      <c r="AAY228" s="740"/>
      <c r="AAZ228" s="740"/>
      <c r="ABA228" s="740"/>
      <c r="ABB228" s="740"/>
      <c r="ABC228" s="740"/>
      <c r="ABD228" s="740"/>
      <c r="ABE228" s="740"/>
      <c r="ABF228" s="740"/>
      <c r="ABG228" s="740"/>
      <c r="ABH228" s="740"/>
      <c r="ABI228" s="740"/>
      <c r="ABJ228" s="740"/>
      <c r="ABK228" s="740"/>
      <c r="ABL228" s="740"/>
      <c r="ABM228" s="740"/>
      <c r="ABN228" s="740"/>
      <c r="ABO228" s="740"/>
      <c r="ABP228" s="740"/>
      <c r="ABQ228" s="740"/>
      <c r="ABR228" s="740"/>
      <c r="ABS228" s="740"/>
      <c r="ABT228" s="740"/>
      <c r="ABU228" s="740"/>
      <c r="ABV228" s="740"/>
      <c r="ABW228" s="740"/>
      <c r="ABX228" s="740"/>
      <c r="ABY228" s="740"/>
      <c r="ABZ228" s="740"/>
      <c r="ACA228" s="740"/>
      <c r="ACB228" s="740"/>
      <c r="ACC228" s="740"/>
      <c r="ACD228" s="740"/>
      <c r="ACE228" s="740"/>
      <c r="ACF228" s="740"/>
      <c r="ACG228" s="740"/>
      <c r="ACH228" s="740"/>
      <c r="ACI228" s="740"/>
      <c r="ACJ228" s="740"/>
      <c r="ACK228" s="740"/>
      <c r="ACL228" s="740"/>
      <c r="ACM228" s="740"/>
      <c r="ACN228" s="740"/>
      <c r="ACO228" s="740"/>
      <c r="ACP228" s="740"/>
      <c r="ACQ228" s="740"/>
      <c r="ACR228" s="740"/>
      <c r="ACS228" s="740"/>
      <c r="ACT228" s="740"/>
      <c r="ACU228" s="740"/>
      <c r="ACV228" s="740"/>
      <c r="ACW228" s="740"/>
      <c r="ACX228" s="740"/>
      <c r="ACY228" s="740"/>
      <c r="ACZ228" s="740"/>
      <c r="ADA228" s="740"/>
      <c r="ADB228" s="740"/>
      <c r="ADC228" s="740"/>
      <c r="ADD228" s="740"/>
      <c r="ADE228" s="740"/>
      <c r="ADF228" s="740"/>
      <c r="ADG228" s="740"/>
      <c r="ADH228" s="740"/>
      <c r="ADI228" s="740"/>
      <c r="ADJ228" s="740"/>
      <c r="ADK228" s="740"/>
      <c r="ADL228" s="740"/>
      <c r="ADM228" s="740"/>
      <c r="ADN228" s="740"/>
      <c r="ADO228" s="740"/>
      <c r="ADP228" s="740"/>
      <c r="ADQ228" s="740"/>
      <c r="ADR228" s="740"/>
      <c r="ADS228" s="740"/>
      <c r="ADT228" s="740"/>
      <c r="ADU228" s="740"/>
      <c r="ADV228" s="740"/>
      <c r="ADW228" s="740"/>
      <c r="ADX228" s="740"/>
      <c r="ADY228" s="740"/>
      <c r="ADZ228" s="740"/>
      <c r="AEA228" s="740"/>
      <c r="AEB228" s="740"/>
      <c r="AEC228" s="740"/>
      <c r="AED228" s="740"/>
      <c r="AEE228" s="740"/>
      <c r="AEF228" s="740"/>
      <c r="AEG228" s="740"/>
      <c r="AEH228" s="740"/>
      <c r="AEI228" s="740"/>
      <c r="AEJ228" s="740"/>
      <c r="AEK228" s="740"/>
      <c r="AEL228" s="740"/>
      <c r="AEM228" s="740"/>
      <c r="AEN228" s="740"/>
      <c r="AEO228" s="740"/>
      <c r="AEP228" s="740"/>
      <c r="AEQ228" s="740"/>
      <c r="AER228" s="740"/>
      <c r="AES228" s="740"/>
      <c r="AET228" s="740"/>
      <c r="AEU228" s="740"/>
      <c r="AEV228" s="740"/>
      <c r="AEW228" s="740"/>
      <c r="AEX228" s="740"/>
      <c r="AEY228" s="740"/>
      <c r="AEZ228" s="740"/>
      <c r="AFA228" s="740"/>
      <c r="AFB228" s="740"/>
      <c r="AFC228" s="740"/>
      <c r="AFD228" s="740"/>
      <c r="AFE228" s="740"/>
      <c r="AFF228" s="740"/>
      <c r="AFG228" s="740"/>
      <c r="AFH228" s="740"/>
      <c r="AFI228" s="740"/>
      <c r="AFJ228" s="740"/>
      <c r="AFK228" s="740"/>
      <c r="AFL228" s="740"/>
      <c r="AFM228" s="740"/>
      <c r="AFN228" s="740"/>
      <c r="AFO228" s="740"/>
      <c r="AFP228" s="740"/>
      <c r="AFQ228" s="740"/>
      <c r="AFR228" s="740"/>
      <c r="AFS228" s="740"/>
      <c r="AFT228" s="740"/>
      <c r="AFU228" s="740"/>
      <c r="AFV228" s="740"/>
      <c r="AFW228" s="740"/>
      <c r="AFX228" s="740"/>
      <c r="AFY228" s="740"/>
      <c r="AFZ228" s="740"/>
      <c r="AGA228" s="740"/>
      <c r="AGB228" s="740"/>
      <c r="AGC228" s="740"/>
      <c r="AGD228" s="740"/>
      <c r="AGE228" s="740"/>
      <c r="AGF228" s="740"/>
      <c r="AGG228" s="740"/>
      <c r="AGH228" s="740"/>
      <c r="AGI228" s="740"/>
      <c r="AGJ228" s="740"/>
      <c r="AGK228" s="740"/>
      <c r="AGL228" s="740"/>
      <c r="AGM228" s="740"/>
      <c r="AGN228" s="740"/>
      <c r="AGO228" s="740"/>
      <c r="AGP228" s="740"/>
      <c r="AGQ228" s="740"/>
      <c r="AGR228" s="740"/>
      <c r="AGS228" s="740"/>
      <c r="AGT228" s="740"/>
      <c r="AGU228" s="740"/>
      <c r="AGV228" s="740"/>
      <c r="AGW228" s="740"/>
      <c r="AGX228" s="740"/>
      <c r="AGY228" s="740"/>
      <c r="AGZ228" s="740"/>
      <c r="AHA228" s="740"/>
      <c r="AHB228" s="740"/>
      <c r="AHC228" s="740"/>
      <c r="AHD228" s="740"/>
      <c r="AHE228" s="740"/>
      <c r="AHF228" s="740"/>
      <c r="AHG228" s="740"/>
      <c r="AHH228" s="740"/>
      <c r="AHI228" s="740"/>
      <c r="AHJ228" s="740"/>
      <c r="AHK228" s="740"/>
      <c r="AHL228" s="740"/>
      <c r="AHM228" s="740"/>
      <c r="AHN228" s="740"/>
      <c r="AHO228" s="740"/>
      <c r="AHP228" s="740"/>
      <c r="AHQ228" s="740"/>
      <c r="AHR228" s="740"/>
      <c r="AHS228" s="740"/>
      <c r="AHT228" s="740"/>
      <c r="AHU228" s="740"/>
      <c r="AHV228" s="740"/>
      <c r="AHW228" s="740"/>
      <c r="AHX228" s="740"/>
      <c r="AHY228" s="740"/>
      <c r="AHZ228" s="740"/>
      <c r="AIA228" s="740"/>
      <c r="AIB228" s="740"/>
      <c r="AIC228" s="740"/>
      <c r="AID228" s="740"/>
      <c r="AIE228" s="740"/>
      <c r="AIF228" s="740"/>
      <c r="AIG228" s="740"/>
      <c r="AIH228" s="740"/>
      <c r="AII228" s="740"/>
      <c r="AIJ228" s="740"/>
      <c r="AIK228" s="740"/>
      <c r="AIL228" s="740"/>
      <c r="AIM228" s="740"/>
      <c r="AIN228" s="740"/>
      <c r="AIO228" s="740"/>
      <c r="AIP228" s="740"/>
      <c r="AIQ228" s="740"/>
      <c r="AIR228" s="740"/>
      <c r="AIS228" s="740"/>
      <c r="AIT228" s="740"/>
      <c r="AIU228" s="740"/>
      <c r="AIV228" s="740"/>
      <c r="AIW228" s="740"/>
      <c r="AIX228" s="740"/>
      <c r="AIY228" s="740"/>
      <c r="AIZ228" s="740"/>
      <c r="AJA228" s="740"/>
      <c r="AJB228" s="740"/>
      <c r="AJC228" s="740"/>
      <c r="AJD228" s="740"/>
      <c r="AJE228" s="740"/>
      <c r="AJF228" s="740"/>
      <c r="AJG228" s="740"/>
      <c r="AJH228" s="740"/>
      <c r="AJI228" s="740"/>
      <c r="AJJ228" s="740"/>
      <c r="AJK228" s="740"/>
      <c r="AJL228" s="740"/>
      <c r="AJM228" s="740"/>
      <c r="AJN228" s="740"/>
      <c r="AJO228" s="740"/>
      <c r="AJP228" s="740"/>
      <c r="AJQ228" s="740"/>
      <c r="AJR228" s="740"/>
      <c r="AJS228" s="740"/>
      <c r="AJT228" s="740"/>
      <c r="AJU228" s="740"/>
      <c r="AJV228" s="740"/>
      <c r="AJW228" s="740"/>
      <c r="AJX228" s="740"/>
      <c r="AJY228" s="740"/>
      <c r="AJZ228" s="740"/>
      <c r="AKA228" s="740"/>
      <c r="AKB228" s="740"/>
      <c r="AKC228" s="740"/>
      <c r="AKD228" s="740"/>
      <c r="AKE228" s="740"/>
      <c r="AKF228" s="740"/>
      <c r="AKG228" s="740"/>
      <c r="AKH228" s="740"/>
      <c r="AKI228" s="740"/>
      <c r="AKJ228" s="740"/>
      <c r="AKK228" s="740"/>
      <c r="AKL228" s="740"/>
      <c r="AKM228" s="740"/>
      <c r="AKN228" s="740"/>
      <c r="AKO228" s="740"/>
      <c r="AKP228" s="740"/>
      <c r="AKQ228" s="740"/>
      <c r="AKR228" s="740"/>
      <c r="AKS228" s="740"/>
      <c r="AKT228" s="740"/>
      <c r="AKU228" s="740"/>
      <c r="AKV228" s="740"/>
      <c r="AKW228" s="740"/>
      <c r="AKX228" s="740"/>
      <c r="AKY228" s="740"/>
      <c r="AKZ228" s="740"/>
      <c r="ALA228" s="740"/>
      <c r="ALB228" s="740"/>
      <c r="ALC228" s="740"/>
      <c r="ALD228" s="740"/>
      <c r="ALE228" s="740"/>
      <c r="ALF228" s="740"/>
      <c r="ALG228" s="740"/>
      <c r="ALH228" s="740"/>
      <c r="ALI228" s="740"/>
      <c r="ALJ228" s="740"/>
      <c r="ALK228" s="740"/>
      <c r="ALL228" s="740"/>
      <c r="ALM228" s="740"/>
      <c r="ALN228" s="740"/>
      <c r="ALO228" s="740"/>
      <c r="ALP228" s="740"/>
      <c r="ALQ228" s="740"/>
      <c r="ALR228" s="740"/>
      <c r="ALS228" s="740"/>
      <c r="ALT228" s="740"/>
      <c r="ALU228" s="740"/>
      <c r="ALV228" s="740"/>
      <c r="ALW228" s="740"/>
      <c r="ALX228" s="740"/>
      <c r="ALY228" s="740"/>
      <c r="ALZ228" s="740"/>
      <c r="AMA228" s="740"/>
      <c r="AMB228" s="740"/>
      <c r="AMC228" s="740"/>
      <c r="AMD228" s="740"/>
      <c r="AME228" s="740"/>
      <c r="AMF228" s="740"/>
      <c r="AMG228" s="740"/>
      <c r="AMH228" s="740"/>
      <c r="AMI228" s="740"/>
      <c r="AMJ228" s="740"/>
      <c r="AMK228" s="740"/>
      <c r="AML228" s="740"/>
      <c r="AMM228" s="740"/>
      <c r="AMN228" s="740"/>
      <c r="AMO228" s="740"/>
      <c r="AMP228" s="740"/>
      <c r="AMQ228" s="740"/>
      <c r="AMR228" s="740"/>
      <c r="AMS228" s="740"/>
      <c r="AMT228" s="740"/>
      <c r="AMU228" s="740"/>
      <c r="AMV228" s="740"/>
      <c r="AMW228" s="740"/>
      <c r="AMX228" s="740"/>
      <c r="AMY228" s="740"/>
      <c r="AMZ228" s="740"/>
      <c r="ANA228" s="740"/>
      <c r="ANB228" s="740"/>
      <c r="ANC228" s="740"/>
      <c r="AND228" s="740"/>
      <c r="ANE228" s="740"/>
      <c r="ANF228" s="740"/>
      <c r="ANG228" s="740"/>
      <c r="ANH228" s="740"/>
      <c r="ANI228" s="740"/>
      <c r="ANJ228" s="740"/>
      <c r="ANK228" s="740"/>
      <c r="ANL228" s="740"/>
      <c r="ANM228" s="740"/>
      <c r="ANN228" s="740"/>
      <c r="ANO228" s="740"/>
      <c r="ANP228" s="740"/>
      <c r="ANQ228" s="740"/>
      <c r="ANR228" s="740"/>
      <c r="ANS228" s="740"/>
      <c r="ANT228" s="740"/>
      <c r="ANU228" s="740"/>
      <c r="ANV228" s="740"/>
      <c r="ANW228" s="740"/>
      <c r="ANX228" s="740"/>
      <c r="ANY228" s="740"/>
      <c r="ANZ228" s="740"/>
      <c r="AOA228" s="740"/>
      <c r="AOB228" s="740"/>
      <c r="AOC228" s="740"/>
      <c r="AOD228" s="740"/>
      <c r="AOE228" s="740"/>
      <c r="AOF228" s="740"/>
      <c r="AOG228" s="740"/>
      <c r="AOH228" s="740"/>
      <c r="AOI228" s="740"/>
      <c r="AOJ228" s="740"/>
      <c r="AOK228" s="740"/>
      <c r="AOL228" s="740"/>
      <c r="AOM228" s="740"/>
      <c r="AON228" s="740"/>
      <c r="AOO228" s="740"/>
      <c r="AOP228" s="740"/>
      <c r="AOQ228" s="740"/>
      <c r="AOR228" s="740"/>
      <c r="AOS228" s="740"/>
      <c r="AOT228" s="740"/>
      <c r="AOU228" s="740"/>
      <c r="AOV228" s="740"/>
      <c r="AOW228" s="740"/>
      <c r="AOX228" s="740"/>
      <c r="AOY228" s="740"/>
      <c r="AOZ228" s="740"/>
      <c r="APA228" s="740"/>
      <c r="APB228" s="740"/>
      <c r="APC228" s="740"/>
      <c r="APD228" s="740"/>
      <c r="APE228" s="740"/>
      <c r="APF228" s="740"/>
      <c r="APG228" s="740"/>
      <c r="APH228" s="740"/>
      <c r="API228" s="740"/>
      <c r="APJ228" s="740"/>
      <c r="APK228" s="740"/>
      <c r="APL228" s="740"/>
      <c r="APM228" s="740"/>
      <c r="APN228" s="740"/>
      <c r="APO228" s="740"/>
      <c r="APP228" s="740"/>
      <c r="APQ228" s="740"/>
      <c r="APR228" s="740"/>
      <c r="APS228" s="740"/>
      <c r="APT228" s="740"/>
      <c r="APU228" s="740"/>
      <c r="APV228" s="740"/>
      <c r="APW228" s="740"/>
      <c r="APX228" s="740"/>
      <c r="APY228" s="740"/>
      <c r="APZ228" s="740"/>
      <c r="AQA228" s="740"/>
      <c r="AQB228" s="740"/>
      <c r="AQC228" s="740"/>
      <c r="AQD228" s="740"/>
      <c r="AQE228" s="740"/>
      <c r="AQF228" s="740"/>
      <c r="AQG228" s="740"/>
      <c r="AQH228" s="740"/>
      <c r="AQI228" s="740"/>
      <c r="AQJ228" s="740"/>
      <c r="AQK228" s="740"/>
      <c r="AQL228" s="740"/>
      <c r="AQM228" s="740"/>
      <c r="AQN228" s="740"/>
      <c r="AQO228" s="740"/>
      <c r="AQP228" s="740"/>
      <c r="AQQ228" s="740"/>
      <c r="AQR228" s="740"/>
      <c r="AQS228" s="740"/>
      <c r="AQT228" s="740"/>
      <c r="AQU228" s="740"/>
      <c r="AQV228" s="740"/>
      <c r="AQW228" s="740"/>
      <c r="AQX228" s="740"/>
      <c r="AQY228" s="740"/>
      <c r="AQZ228" s="740"/>
      <c r="ARA228" s="740"/>
      <c r="ARB228" s="740"/>
      <c r="ARC228" s="740"/>
      <c r="ARD228" s="740"/>
      <c r="ARE228" s="740"/>
      <c r="ARF228" s="740"/>
      <c r="ARG228" s="740"/>
      <c r="ARH228" s="740"/>
      <c r="ARI228" s="740"/>
      <c r="ARJ228" s="740"/>
      <c r="ARK228" s="740"/>
      <c r="ARL228" s="740"/>
      <c r="ARM228" s="740"/>
      <c r="ARN228" s="740"/>
      <c r="ARO228" s="740"/>
      <c r="ARP228" s="740"/>
      <c r="ARQ228" s="740"/>
      <c r="ARR228" s="740"/>
      <c r="ARS228" s="740"/>
      <c r="ART228" s="740"/>
      <c r="ARU228" s="740"/>
      <c r="ARV228" s="740"/>
      <c r="ARW228" s="740"/>
      <c r="ARX228" s="740"/>
      <c r="ARY228" s="740"/>
      <c r="ARZ228" s="740"/>
      <c r="ASA228" s="740"/>
      <c r="ASB228" s="740"/>
      <c r="ASC228" s="740"/>
      <c r="ASD228" s="740"/>
      <c r="ASE228" s="740"/>
      <c r="ASF228" s="740"/>
      <c r="ASG228" s="740"/>
      <c r="ASH228" s="740"/>
      <c r="ASI228" s="740"/>
      <c r="ASJ228" s="740"/>
      <c r="ASK228" s="740"/>
      <c r="ASL228" s="740"/>
      <c r="ASM228" s="740"/>
      <c r="ASN228" s="740"/>
      <c r="ASO228" s="740"/>
      <c r="ASP228" s="740"/>
      <c r="ASQ228" s="740"/>
      <c r="ASR228" s="740"/>
      <c r="ASS228" s="740"/>
      <c r="AST228" s="740"/>
      <c r="ASU228" s="740"/>
      <c r="ASV228" s="740"/>
      <c r="ASW228" s="740"/>
      <c r="ASX228" s="740"/>
      <c r="ASY228" s="740"/>
      <c r="ASZ228" s="740"/>
      <c r="ATA228" s="740"/>
      <c r="ATB228" s="740"/>
      <c r="ATC228" s="740"/>
      <c r="ATD228" s="740"/>
      <c r="ATE228" s="740"/>
      <c r="ATF228" s="740"/>
      <c r="ATG228" s="740"/>
      <c r="ATH228" s="740"/>
      <c r="ATI228" s="740"/>
      <c r="ATJ228" s="740"/>
      <c r="ATK228" s="740"/>
      <c r="ATL228" s="740"/>
      <c r="ATM228" s="740"/>
      <c r="ATN228" s="740"/>
      <c r="ATO228" s="740"/>
      <c r="ATP228" s="740"/>
      <c r="ATQ228" s="740"/>
      <c r="ATR228" s="740"/>
      <c r="ATS228" s="740"/>
      <c r="ATT228" s="740"/>
      <c r="ATU228" s="740"/>
      <c r="ATV228" s="740"/>
      <c r="ATW228" s="740"/>
      <c r="ATX228" s="740"/>
      <c r="ATY228" s="740"/>
      <c r="ATZ228" s="740"/>
      <c r="AUA228" s="740"/>
      <c r="AUB228" s="740"/>
      <c r="AUC228" s="740"/>
      <c r="AUD228" s="740"/>
      <c r="AUE228" s="740"/>
      <c r="AUF228" s="740"/>
      <c r="AUG228" s="740"/>
      <c r="AUH228" s="740"/>
      <c r="AUI228" s="740"/>
      <c r="AUJ228" s="740"/>
      <c r="AUK228" s="740"/>
      <c r="AUL228" s="740"/>
      <c r="AUM228" s="740"/>
      <c r="AUN228" s="740"/>
      <c r="AUO228" s="740"/>
      <c r="AUP228" s="740"/>
      <c r="AUQ228" s="740"/>
      <c r="AUR228" s="740"/>
      <c r="AUS228" s="740"/>
      <c r="AUT228" s="740"/>
      <c r="AUU228" s="740"/>
      <c r="AUV228" s="740"/>
      <c r="AUW228" s="740"/>
      <c r="AUX228" s="740"/>
      <c r="AUY228" s="740"/>
      <c r="AUZ228" s="740"/>
      <c r="AVA228" s="740"/>
      <c r="AVB228" s="740"/>
      <c r="AVC228" s="740"/>
      <c r="AVD228" s="740"/>
      <c r="AVE228" s="740"/>
      <c r="AVF228" s="740"/>
      <c r="AVG228" s="740"/>
      <c r="AVH228" s="740"/>
      <c r="AVI228" s="740"/>
      <c r="AVJ228" s="740"/>
      <c r="AVK228" s="740"/>
      <c r="AVL228" s="740"/>
      <c r="AVM228" s="740"/>
      <c r="AVN228" s="740"/>
      <c r="AVO228" s="740"/>
      <c r="AVP228" s="740"/>
      <c r="AVQ228" s="740"/>
      <c r="AVR228" s="740"/>
      <c r="AVS228" s="740"/>
      <c r="AVT228" s="740"/>
      <c r="AVU228" s="740"/>
      <c r="AVV228" s="740"/>
      <c r="AVW228" s="740"/>
      <c r="AVX228" s="740"/>
      <c r="AVY228" s="740"/>
      <c r="AVZ228" s="740"/>
      <c r="AWA228" s="740"/>
      <c r="AWB228" s="740"/>
      <c r="AWC228" s="740"/>
      <c r="AWD228" s="740"/>
      <c r="AWE228" s="740"/>
      <c r="AWF228" s="740"/>
      <c r="AWG228" s="740"/>
      <c r="AWH228" s="740"/>
      <c r="AWI228" s="740"/>
      <c r="AWJ228" s="740"/>
      <c r="AWK228" s="740"/>
      <c r="AWL228" s="740"/>
      <c r="AWM228" s="740"/>
      <c r="AWN228" s="740"/>
      <c r="AWO228" s="740"/>
      <c r="AWP228" s="740"/>
      <c r="AWQ228" s="740"/>
      <c r="AWR228" s="740"/>
      <c r="AWS228" s="740"/>
      <c r="AWT228" s="740"/>
      <c r="AWU228" s="740"/>
      <c r="AWV228" s="740"/>
      <c r="AWW228" s="740"/>
      <c r="AWX228" s="740"/>
      <c r="AWY228" s="740"/>
      <c r="AWZ228" s="740"/>
      <c r="AXA228" s="740"/>
      <c r="AXB228" s="740"/>
      <c r="AXC228" s="740"/>
      <c r="AXD228" s="740"/>
      <c r="AXE228" s="740"/>
      <c r="AXF228" s="740"/>
      <c r="AXG228" s="740"/>
      <c r="AXH228" s="740"/>
      <c r="AXI228" s="740"/>
      <c r="AXJ228" s="740"/>
    </row>
    <row r="229" spans="1:1310" s="741" customFormat="1" ht="23.25" customHeight="1">
      <c r="A229" s="756"/>
      <c r="B229" s="9016" t="s">
        <v>1579</v>
      </c>
      <c r="C229" s="9016"/>
      <c r="D229" s="9016"/>
      <c r="E229" s="9016"/>
      <c r="F229" s="750"/>
      <c r="G229" s="9016" t="s">
        <v>1580</v>
      </c>
      <c r="H229" s="9016"/>
      <c r="I229" s="9016"/>
      <c r="J229" s="750"/>
      <c r="K229" s="9019"/>
      <c r="L229" s="9019"/>
      <c r="M229" s="9019"/>
      <c r="N229" s="750"/>
      <c r="O229" s="9016" t="s">
        <v>1581</v>
      </c>
      <c r="P229" s="9016"/>
      <c r="Q229" s="750"/>
      <c r="R229" s="311"/>
      <c r="S229" s="311"/>
      <c r="T229" s="311"/>
      <c r="U229" s="311"/>
      <c r="V229" s="311"/>
      <c r="W229" s="311"/>
      <c r="X229" s="311"/>
      <c r="Y229" s="311"/>
      <c r="Z229" s="311"/>
      <c r="AA229" s="311"/>
      <c r="AB229" s="311"/>
      <c r="AC229" s="311"/>
      <c r="AD229" s="740"/>
      <c r="AE229" s="740"/>
      <c r="AF229" s="740"/>
      <c r="AG229" s="740"/>
      <c r="AH229" s="740"/>
      <c r="AI229" s="740"/>
      <c r="AJ229" s="740"/>
      <c r="AK229" s="740"/>
      <c r="AL229" s="740"/>
      <c r="AM229" s="740"/>
      <c r="AN229" s="740"/>
      <c r="AO229" s="740"/>
      <c r="AP229" s="740"/>
      <c r="AQ229" s="740"/>
      <c r="AR229" s="740"/>
      <c r="AS229" s="740"/>
      <c r="AT229" s="740"/>
      <c r="AU229" s="740"/>
      <c r="AV229" s="740"/>
      <c r="AW229" s="740"/>
      <c r="AX229" s="740"/>
      <c r="AY229" s="740"/>
      <c r="AZ229" s="740"/>
      <c r="BA229" s="740"/>
      <c r="BB229" s="740"/>
      <c r="BC229" s="740"/>
      <c r="BD229" s="740"/>
      <c r="BE229" s="740"/>
      <c r="BF229" s="740"/>
      <c r="BG229" s="740"/>
      <c r="BH229" s="740"/>
      <c r="BI229" s="740"/>
      <c r="BJ229" s="740"/>
      <c r="BK229" s="740"/>
      <c r="BL229" s="740"/>
      <c r="BM229" s="740"/>
      <c r="BN229" s="740"/>
      <c r="BO229" s="740"/>
      <c r="BP229" s="740"/>
      <c r="BQ229" s="740"/>
      <c r="BR229" s="740"/>
      <c r="BS229" s="740"/>
      <c r="BT229" s="740"/>
      <c r="BU229" s="740"/>
      <c r="BV229" s="740"/>
      <c r="BW229" s="740"/>
      <c r="BX229" s="740"/>
      <c r="BY229" s="740"/>
      <c r="BZ229" s="740"/>
      <c r="CA229" s="740"/>
      <c r="CB229" s="740"/>
      <c r="CC229" s="740"/>
      <c r="CD229" s="740"/>
      <c r="CE229" s="740"/>
      <c r="CF229" s="740"/>
      <c r="CG229" s="740"/>
      <c r="CH229" s="740"/>
      <c r="CI229" s="740"/>
      <c r="CJ229" s="740"/>
      <c r="CK229" s="740"/>
      <c r="CL229" s="740"/>
      <c r="CM229" s="740"/>
      <c r="CN229" s="740"/>
      <c r="CO229" s="740"/>
      <c r="CP229" s="740"/>
      <c r="CQ229" s="740"/>
      <c r="CR229" s="740"/>
      <c r="CS229" s="740"/>
      <c r="CT229" s="740"/>
      <c r="CU229" s="740"/>
      <c r="CV229" s="740"/>
      <c r="CW229" s="740"/>
      <c r="CX229" s="740"/>
      <c r="CY229" s="740"/>
      <c r="CZ229" s="740"/>
      <c r="DA229" s="740"/>
      <c r="DB229" s="740"/>
      <c r="DC229" s="740"/>
      <c r="DD229" s="740"/>
      <c r="DE229" s="740"/>
      <c r="DF229" s="740"/>
      <c r="DG229" s="740"/>
      <c r="DH229" s="740"/>
      <c r="DI229" s="740"/>
      <c r="DJ229" s="740"/>
      <c r="DK229" s="740"/>
      <c r="DL229" s="740"/>
      <c r="DM229" s="740"/>
      <c r="DN229" s="740"/>
      <c r="DO229" s="740"/>
      <c r="DP229" s="740"/>
      <c r="DQ229" s="740"/>
      <c r="DR229" s="740"/>
      <c r="DS229" s="740"/>
      <c r="DT229" s="740"/>
      <c r="DU229" s="740"/>
      <c r="DV229" s="740"/>
      <c r="DW229" s="740"/>
      <c r="DX229" s="740"/>
      <c r="DY229" s="740"/>
      <c r="DZ229" s="740"/>
      <c r="EA229" s="740"/>
      <c r="EB229" s="740"/>
      <c r="EC229" s="740"/>
      <c r="ED229" s="740"/>
      <c r="EE229" s="740"/>
      <c r="EF229" s="740"/>
      <c r="EG229" s="740"/>
      <c r="EH229" s="740"/>
      <c r="EI229" s="740"/>
      <c r="EJ229" s="740"/>
      <c r="EK229" s="740"/>
      <c r="EL229" s="740"/>
      <c r="EM229" s="740"/>
      <c r="EN229" s="740"/>
      <c r="EO229" s="740"/>
      <c r="EP229" s="740"/>
      <c r="EQ229" s="740"/>
      <c r="ER229" s="740"/>
      <c r="ES229" s="740"/>
      <c r="ET229" s="740"/>
      <c r="EU229" s="740"/>
      <c r="EV229" s="740"/>
      <c r="EW229" s="740"/>
      <c r="EX229" s="740"/>
      <c r="EY229" s="740"/>
      <c r="EZ229" s="740"/>
      <c r="FA229" s="740"/>
      <c r="FB229" s="740"/>
      <c r="FC229" s="740"/>
      <c r="FD229" s="740"/>
      <c r="FE229" s="740"/>
      <c r="FF229" s="740"/>
      <c r="FG229" s="740"/>
      <c r="FH229" s="740"/>
      <c r="FI229" s="740"/>
      <c r="FJ229" s="740"/>
      <c r="FK229" s="740"/>
      <c r="FL229" s="740"/>
      <c r="FM229" s="740"/>
      <c r="FN229" s="740"/>
      <c r="FO229" s="740"/>
      <c r="FP229" s="740"/>
      <c r="FQ229" s="740"/>
      <c r="FR229" s="740"/>
      <c r="FS229" s="740"/>
      <c r="FT229" s="740"/>
      <c r="FU229" s="740"/>
      <c r="FV229" s="740"/>
      <c r="FW229" s="740"/>
      <c r="FX229" s="740"/>
      <c r="FY229" s="740"/>
      <c r="FZ229" s="740"/>
      <c r="GA229" s="740"/>
      <c r="GB229" s="740"/>
      <c r="GC229" s="740"/>
      <c r="GD229" s="740"/>
      <c r="GE229" s="740"/>
      <c r="GF229" s="740"/>
      <c r="GG229" s="740"/>
      <c r="GH229" s="740"/>
      <c r="GI229" s="740"/>
      <c r="GJ229" s="740"/>
      <c r="GK229" s="740"/>
      <c r="GL229" s="740"/>
      <c r="GM229" s="740"/>
      <c r="GN229" s="740"/>
      <c r="GO229" s="740"/>
      <c r="GP229" s="740"/>
      <c r="GQ229" s="740"/>
      <c r="GR229" s="740"/>
      <c r="GS229" s="740"/>
      <c r="GT229" s="740"/>
      <c r="GU229" s="740"/>
      <c r="GV229" s="740"/>
      <c r="GW229" s="740"/>
      <c r="GX229" s="740"/>
      <c r="GY229" s="740"/>
      <c r="GZ229" s="740"/>
      <c r="HA229" s="740"/>
      <c r="HB229" s="740"/>
      <c r="HC229" s="740"/>
      <c r="HD229" s="740"/>
      <c r="HE229" s="740"/>
      <c r="HF229" s="740"/>
      <c r="HG229" s="740"/>
      <c r="HH229" s="740"/>
      <c r="HI229" s="740"/>
      <c r="HJ229" s="740"/>
      <c r="HK229" s="740"/>
      <c r="HL229" s="740"/>
      <c r="HM229" s="740"/>
      <c r="HN229" s="740"/>
      <c r="HO229" s="740"/>
      <c r="HP229" s="740"/>
      <c r="HQ229" s="740"/>
      <c r="HR229" s="740"/>
      <c r="HS229" s="740"/>
      <c r="HT229" s="740"/>
      <c r="HU229" s="740"/>
      <c r="HV229" s="740"/>
      <c r="HW229" s="740"/>
      <c r="HX229" s="740"/>
      <c r="HY229" s="740"/>
      <c r="HZ229" s="740"/>
      <c r="IA229" s="740"/>
      <c r="IB229" s="740"/>
      <c r="IC229" s="740"/>
      <c r="ID229" s="740"/>
      <c r="IE229" s="740"/>
      <c r="IF229" s="740"/>
      <c r="IG229" s="740"/>
      <c r="IH229" s="740"/>
      <c r="II229" s="740"/>
      <c r="IJ229" s="740"/>
      <c r="IK229" s="740"/>
      <c r="IL229" s="740"/>
      <c r="IM229" s="740"/>
      <c r="IN229" s="740"/>
      <c r="IO229" s="740"/>
      <c r="IP229" s="740"/>
      <c r="IQ229" s="740"/>
      <c r="IR229" s="740"/>
      <c r="IS229" s="740"/>
      <c r="IT229" s="740"/>
      <c r="IU229" s="740"/>
      <c r="IV229" s="740"/>
      <c r="IW229" s="740"/>
      <c r="IX229" s="740"/>
      <c r="IY229" s="740"/>
      <c r="IZ229" s="740"/>
      <c r="JA229" s="740"/>
      <c r="JB229" s="740"/>
      <c r="JC229" s="740"/>
      <c r="JD229" s="740"/>
      <c r="JE229" s="740"/>
      <c r="JF229" s="740"/>
      <c r="JG229" s="740"/>
      <c r="JH229" s="740"/>
      <c r="JI229" s="740"/>
      <c r="JJ229" s="740"/>
      <c r="JK229" s="740"/>
      <c r="JL229" s="740"/>
      <c r="JM229" s="740"/>
      <c r="JN229" s="740"/>
      <c r="JO229" s="740"/>
      <c r="JP229" s="740"/>
      <c r="JQ229" s="740"/>
      <c r="JR229" s="740"/>
      <c r="JS229" s="740"/>
      <c r="JT229" s="740"/>
      <c r="JU229" s="740"/>
      <c r="JV229" s="740"/>
      <c r="JW229" s="740"/>
      <c r="JX229" s="740"/>
      <c r="JY229" s="740"/>
      <c r="JZ229" s="740"/>
      <c r="KA229" s="740"/>
      <c r="KB229" s="740"/>
      <c r="KC229" s="740"/>
      <c r="KD229" s="740"/>
      <c r="KE229" s="740"/>
      <c r="KF229" s="740"/>
      <c r="KG229" s="740"/>
      <c r="KH229" s="740"/>
      <c r="KI229" s="740"/>
      <c r="KJ229" s="740"/>
      <c r="KK229" s="740"/>
      <c r="KL229" s="740"/>
      <c r="KM229" s="740"/>
      <c r="KN229" s="740"/>
      <c r="KO229" s="740"/>
      <c r="KP229" s="740"/>
      <c r="KQ229" s="740"/>
      <c r="KR229" s="740"/>
      <c r="KS229" s="740"/>
      <c r="KT229" s="740"/>
      <c r="KU229" s="740"/>
      <c r="KV229" s="740"/>
      <c r="KW229" s="740"/>
      <c r="KX229" s="740"/>
      <c r="KY229" s="740"/>
      <c r="KZ229" s="740"/>
      <c r="LA229" s="740"/>
      <c r="LB229" s="740"/>
      <c r="LC229" s="740"/>
      <c r="LD229" s="740"/>
      <c r="LE229" s="740"/>
      <c r="LF229" s="740"/>
      <c r="LG229" s="740"/>
      <c r="LH229" s="740"/>
      <c r="LI229" s="740"/>
      <c r="LJ229" s="740"/>
      <c r="LK229" s="740"/>
      <c r="LL229" s="740"/>
      <c r="LM229" s="740"/>
      <c r="LN229" s="740"/>
      <c r="LO229" s="740"/>
      <c r="LP229" s="740"/>
      <c r="LQ229" s="740"/>
      <c r="LR229" s="740"/>
      <c r="LS229" s="740"/>
      <c r="LT229" s="740"/>
      <c r="LU229" s="740"/>
      <c r="LV229" s="740"/>
      <c r="LW229" s="740"/>
      <c r="LX229" s="740"/>
      <c r="LY229" s="740"/>
      <c r="LZ229" s="740"/>
      <c r="MA229" s="740"/>
      <c r="MB229" s="740"/>
      <c r="MC229" s="740"/>
      <c r="MD229" s="740"/>
      <c r="ME229" s="740"/>
      <c r="MF229" s="740"/>
      <c r="MG229" s="740"/>
      <c r="MH229" s="740"/>
      <c r="MI229" s="740"/>
      <c r="MJ229" s="740"/>
      <c r="MK229" s="740"/>
      <c r="ML229" s="740"/>
      <c r="MM229" s="740"/>
      <c r="MN229" s="740"/>
      <c r="MO229" s="740"/>
      <c r="MP229" s="740"/>
      <c r="MQ229" s="740"/>
      <c r="MR229" s="740"/>
      <c r="MS229" s="740"/>
      <c r="MT229" s="740"/>
      <c r="MU229" s="740"/>
      <c r="MV229" s="740"/>
      <c r="MW229" s="740"/>
      <c r="MX229" s="740"/>
      <c r="MY229" s="740"/>
      <c r="MZ229" s="740"/>
      <c r="NA229" s="740"/>
      <c r="NB229" s="740"/>
      <c r="NC229" s="740"/>
      <c r="ND229" s="740"/>
      <c r="NE229" s="740"/>
      <c r="NF229" s="740"/>
      <c r="NG229" s="740"/>
      <c r="NH229" s="740"/>
      <c r="NI229" s="740"/>
      <c r="NJ229" s="740"/>
      <c r="NK229" s="740"/>
      <c r="NL229" s="740"/>
      <c r="NM229" s="740"/>
      <c r="NN229" s="740"/>
      <c r="NO229" s="740"/>
      <c r="NP229" s="740"/>
      <c r="NQ229" s="740"/>
      <c r="NR229" s="740"/>
      <c r="NS229" s="740"/>
      <c r="NT229" s="740"/>
      <c r="NU229" s="740"/>
      <c r="NV229" s="740"/>
      <c r="NW229" s="740"/>
      <c r="NX229" s="740"/>
      <c r="NY229" s="740"/>
      <c r="NZ229" s="740"/>
      <c r="OA229" s="740"/>
      <c r="OB229" s="740"/>
      <c r="OC229" s="740"/>
      <c r="OD229" s="740"/>
      <c r="OE229" s="740"/>
      <c r="OF229" s="740"/>
      <c r="OG229" s="740"/>
      <c r="OH229" s="740"/>
      <c r="OI229" s="740"/>
      <c r="OJ229" s="740"/>
      <c r="OK229" s="740"/>
      <c r="OL229" s="740"/>
      <c r="OM229" s="740"/>
      <c r="ON229" s="740"/>
      <c r="OO229" s="740"/>
      <c r="OP229" s="740"/>
      <c r="OQ229" s="740"/>
      <c r="OR229" s="740"/>
      <c r="OS229" s="740"/>
      <c r="OT229" s="740"/>
      <c r="OU229" s="740"/>
      <c r="OV229" s="740"/>
      <c r="OW229" s="740"/>
      <c r="OX229" s="740"/>
      <c r="OY229" s="740"/>
      <c r="OZ229" s="740"/>
      <c r="PA229" s="740"/>
      <c r="PB229" s="740"/>
      <c r="PC229" s="740"/>
      <c r="PD229" s="740"/>
      <c r="PE229" s="740"/>
      <c r="PF229" s="740"/>
      <c r="PG229" s="740"/>
      <c r="PH229" s="740"/>
      <c r="PI229" s="740"/>
      <c r="PJ229" s="740"/>
      <c r="PK229" s="740"/>
      <c r="PL229" s="740"/>
      <c r="PM229" s="740"/>
      <c r="PN229" s="740"/>
      <c r="PO229" s="740"/>
      <c r="PP229" s="740"/>
      <c r="PQ229" s="740"/>
      <c r="PR229" s="740"/>
      <c r="PS229" s="740"/>
      <c r="PT229" s="740"/>
      <c r="PU229" s="740"/>
      <c r="PV229" s="740"/>
      <c r="PW229" s="740"/>
      <c r="PX229" s="740"/>
      <c r="PY229" s="740"/>
      <c r="PZ229" s="740"/>
      <c r="QA229" s="740"/>
      <c r="QB229" s="740"/>
      <c r="QC229" s="740"/>
      <c r="QD229" s="740"/>
      <c r="QE229" s="740"/>
      <c r="QF229" s="740"/>
      <c r="QG229" s="740"/>
      <c r="QH229" s="740"/>
      <c r="QI229" s="740"/>
      <c r="QJ229" s="740"/>
      <c r="QK229" s="740"/>
      <c r="QL229" s="740"/>
      <c r="QM229" s="740"/>
      <c r="QN229" s="740"/>
      <c r="QO229" s="740"/>
      <c r="QP229" s="740"/>
      <c r="QQ229" s="740"/>
      <c r="QR229" s="740"/>
      <c r="QS229" s="740"/>
      <c r="QT229" s="740"/>
      <c r="QU229" s="740"/>
      <c r="QV229" s="740"/>
      <c r="QW229" s="740"/>
      <c r="QX229" s="740"/>
      <c r="QY229" s="740"/>
      <c r="QZ229" s="740"/>
      <c r="RA229" s="740"/>
      <c r="RB229" s="740"/>
      <c r="RC229" s="740"/>
      <c r="RD229" s="740"/>
      <c r="RE229" s="740"/>
      <c r="RF229" s="740"/>
      <c r="RG229" s="740"/>
      <c r="RH229" s="740"/>
      <c r="RI229" s="740"/>
      <c r="RJ229" s="740"/>
      <c r="RK229" s="740"/>
      <c r="RL229" s="740"/>
      <c r="RM229" s="740"/>
      <c r="RN229" s="740"/>
      <c r="RO229" s="740"/>
      <c r="RP229" s="740"/>
      <c r="RQ229" s="740"/>
      <c r="RR229" s="740"/>
      <c r="RS229" s="740"/>
      <c r="RT229" s="740"/>
      <c r="RU229" s="740"/>
      <c r="RV229" s="740"/>
      <c r="RW229" s="740"/>
      <c r="RX229" s="740"/>
      <c r="RY229" s="740"/>
      <c r="RZ229" s="740"/>
      <c r="SA229" s="740"/>
      <c r="SB229" s="740"/>
      <c r="SC229" s="740"/>
      <c r="SD229" s="740"/>
      <c r="SE229" s="740"/>
      <c r="SF229" s="740"/>
      <c r="SG229" s="740"/>
      <c r="SH229" s="740"/>
      <c r="SI229" s="740"/>
      <c r="SJ229" s="740"/>
      <c r="SK229" s="740"/>
      <c r="SL229" s="740"/>
      <c r="SM229" s="740"/>
      <c r="SN229" s="740"/>
      <c r="SO229" s="740"/>
      <c r="SP229" s="740"/>
      <c r="SQ229" s="740"/>
      <c r="SR229" s="740"/>
      <c r="SS229" s="740"/>
      <c r="ST229" s="740"/>
      <c r="SU229" s="740"/>
      <c r="SV229" s="740"/>
      <c r="SW229" s="740"/>
      <c r="SX229" s="740"/>
      <c r="SY229" s="740"/>
      <c r="SZ229" s="740"/>
      <c r="TA229" s="740"/>
      <c r="TB229" s="740"/>
      <c r="TC229" s="740"/>
      <c r="TD229" s="740"/>
      <c r="TE229" s="740"/>
      <c r="TF229" s="740"/>
      <c r="TG229" s="740"/>
      <c r="TH229" s="740"/>
      <c r="TI229" s="740"/>
      <c r="TJ229" s="740"/>
      <c r="TK229" s="740"/>
      <c r="TL229" s="740"/>
      <c r="TM229" s="740"/>
      <c r="TN229" s="740"/>
      <c r="TO229" s="740"/>
      <c r="TP229" s="740"/>
      <c r="TQ229" s="740"/>
      <c r="TR229" s="740"/>
      <c r="TS229" s="740"/>
      <c r="TT229" s="740"/>
      <c r="TU229" s="740"/>
      <c r="TV229" s="740"/>
      <c r="TW229" s="740"/>
      <c r="TX229" s="740"/>
      <c r="TY229" s="740"/>
      <c r="TZ229" s="740"/>
      <c r="UA229" s="740"/>
      <c r="UB229" s="740"/>
      <c r="UC229" s="740"/>
      <c r="UD229" s="740"/>
      <c r="UE229" s="740"/>
      <c r="UF229" s="740"/>
      <c r="UG229" s="740"/>
      <c r="UH229" s="740"/>
      <c r="UI229" s="740"/>
      <c r="UJ229" s="740"/>
      <c r="UK229" s="740"/>
      <c r="UL229" s="740"/>
      <c r="UM229" s="740"/>
      <c r="UN229" s="740"/>
      <c r="UO229" s="740"/>
      <c r="UP229" s="740"/>
      <c r="UQ229" s="740"/>
      <c r="UR229" s="740"/>
      <c r="US229" s="740"/>
      <c r="UT229" s="740"/>
      <c r="UU229" s="740"/>
      <c r="UV229" s="740"/>
      <c r="UW229" s="740"/>
      <c r="UX229" s="740"/>
      <c r="UY229" s="740"/>
      <c r="UZ229" s="740"/>
      <c r="VA229" s="740"/>
      <c r="VB229" s="740"/>
      <c r="VC229" s="740"/>
      <c r="VD229" s="740"/>
      <c r="VE229" s="740"/>
      <c r="VF229" s="740"/>
      <c r="VG229" s="740"/>
      <c r="VH229" s="740"/>
      <c r="VI229" s="740"/>
      <c r="VJ229" s="740"/>
      <c r="VK229" s="740"/>
      <c r="VL229" s="740"/>
      <c r="VM229" s="740"/>
      <c r="VN229" s="740"/>
      <c r="VO229" s="740"/>
      <c r="VP229" s="740"/>
      <c r="VQ229" s="740"/>
      <c r="VR229" s="740"/>
      <c r="VS229" s="740"/>
      <c r="VT229" s="740"/>
      <c r="VU229" s="740"/>
      <c r="VV229" s="740"/>
      <c r="VW229" s="740"/>
      <c r="VX229" s="740"/>
      <c r="VY229" s="740"/>
      <c r="VZ229" s="740"/>
      <c r="WA229" s="740"/>
      <c r="WB229" s="740"/>
      <c r="WC229" s="740"/>
      <c r="WD229" s="740"/>
      <c r="WE229" s="740"/>
      <c r="WF229" s="740"/>
      <c r="WG229" s="740"/>
      <c r="WH229" s="740"/>
      <c r="WI229" s="740"/>
      <c r="WJ229" s="740"/>
      <c r="WK229" s="740"/>
      <c r="WL229" s="740"/>
      <c r="WM229" s="740"/>
      <c r="WN229" s="740"/>
      <c r="WO229" s="740"/>
      <c r="WP229" s="740"/>
      <c r="WQ229" s="740"/>
      <c r="WR229" s="740"/>
      <c r="WS229" s="740"/>
      <c r="WT229" s="740"/>
      <c r="WU229" s="740"/>
      <c r="WV229" s="740"/>
      <c r="WW229" s="740"/>
      <c r="WX229" s="740"/>
      <c r="WY229" s="740"/>
      <c r="WZ229" s="740"/>
      <c r="XA229" s="740"/>
      <c r="XB229" s="740"/>
      <c r="XC229" s="740"/>
      <c r="XD229" s="740"/>
      <c r="XE229" s="740"/>
      <c r="XF229" s="740"/>
      <c r="XG229" s="740"/>
      <c r="XH229" s="740"/>
      <c r="XI229" s="740"/>
      <c r="XJ229" s="740"/>
      <c r="XK229" s="740"/>
      <c r="XL229" s="740"/>
      <c r="XM229" s="740"/>
      <c r="XN229" s="740"/>
      <c r="XO229" s="740"/>
      <c r="XP229" s="740"/>
      <c r="XQ229" s="740"/>
      <c r="XR229" s="740"/>
      <c r="XS229" s="740"/>
      <c r="XT229" s="740"/>
      <c r="XU229" s="740"/>
      <c r="XV229" s="740"/>
      <c r="XW229" s="740"/>
      <c r="XX229" s="740"/>
      <c r="XY229" s="740"/>
      <c r="XZ229" s="740"/>
      <c r="YA229" s="740"/>
      <c r="YB229" s="740"/>
      <c r="YC229" s="740"/>
      <c r="YD229" s="740"/>
      <c r="YE229" s="740"/>
      <c r="YF229" s="740"/>
      <c r="YG229" s="740"/>
      <c r="YH229" s="740"/>
      <c r="YI229" s="740"/>
      <c r="YJ229" s="740"/>
      <c r="YK229" s="740"/>
      <c r="YL229" s="740"/>
      <c r="YM229" s="740"/>
      <c r="YN229" s="740"/>
      <c r="YO229" s="740"/>
      <c r="YP229" s="740"/>
      <c r="YQ229" s="740"/>
      <c r="YR229" s="740"/>
      <c r="YS229" s="740"/>
      <c r="YT229" s="740"/>
      <c r="YU229" s="740"/>
      <c r="YV229" s="740"/>
      <c r="YW229" s="740"/>
      <c r="YX229" s="740"/>
      <c r="YY229" s="740"/>
      <c r="YZ229" s="740"/>
      <c r="ZA229" s="740"/>
      <c r="ZB229" s="740"/>
      <c r="ZC229" s="740"/>
      <c r="ZD229" s="740"/>
      <c r="ZE229" s="740"/>
      <c r="ZF229" s="740"/>
      <c r="ZG229" s="740"/>
      <c r="ZH229" s="740"/>
      <c r="ZI229" s="740"/>
      <c r="ZJ229" s="740"/>
      <c r="ZK229" s="740"/>
      <c r="ZL229" s="740"/>
      <c r="ZM229" s="740"/>
      <c r="ZN229" s="740"/>
      <c r="ZO229" s="740"/>
      <c r="ZP229" s="740"/>
      <c r="ZQ229" s="740"/>
      <c r="ZR229" s="740"/>
      <c r="ZS229" s="740"/>
      <c r="ZT229" s="740"/>
      <c r="ZU229" s="740"/>
      <c r="ZV229" s="740"/>
      <c r="ZW229" s="740"/>
      <c r="ZX229" s="740"/>
      <c r="ZY229" s="740"/>
      <c r="ZZ229" s="740"/>
      <c r="AAA229" s="740"/>
      <c r="AAB229" s="740"/>
      <c r="AAC229" s="740"/>
      <c r="AAD229" s="740"/>
      <c r="AAE229" s="740"/>
      <c r="AAF229" s="740"/>
      <c r="AAG229" s="740"/>
      <c r="AAH229" s="740"/>
      <c r="AAI229" s="740"/>
      <c r="AAJ229" s="740"/>
      <c r="AAK229" s="740"/>
      <c r="AAL229" s="740"/>
      <c r="AAM229" s="740"/>
      <c r="AAN229" s="740"/>
      <c r="AAO229" s="740"/>
      <c r="AAP229" s="740"/>
      <c r="AAQ229" s="740"/>
      <c r="AAR229" s="740"/>
      <c r="AAS229" s="740"/>
      <c r="AAT229" s="740"/>
      <c r="AAU229" s="740"/>
      <c r="AAV229" s="740"/>
      <c r="AAW229" s="740"/>
      <c r="AAX229" s="740"/>
      <c r="AAY229" s="740"/>
      <c r="AAZ229" s="740"/>
      <c r="ABA229" s="740"/>
      <c r="ABB229" s="740"/>
      <c r="ABC229" s="740"/>
      <c r="ABD229" s="740"/>
      <c r="ABE229" s="740"/>
      <c r="ABF229" s="740"/>
      <c r="ABG229" s="740"/>
      <c r="ABH229" s="740"/>
      <c r="ABI229" s="740"/>
      <c r="ABJ229" s="740"/>
      <c r="ABK229" s="740"/>
      <c r="ABL229" s="740"/>
      <c r="ABM229" s="740"/>
      <c r="ABN229" s="740"/>
      <c r="ABO229" s="740"/>
      <c r="ABP229" s="740"/>
      <c r="ABQ229" s="740"/>
      <c r="ABR229" s="740"/>
      <c r="ABS229" s="740"/>
      <c r="ABT229" s="740"/>
      <c r="ABU229" s="740"/>
      <c r="ABV229" s="740"/>
      <c r="ABW229" s="740"/>
      <c r="ABX229" s="740"/>
      <c r="ABY229" s="740"/>
      <c r="ABZ229" s="740"/>
      <c r="ACA229" s="740"/>
      <c r="ACB229" s="740"/>
      <c r="ACC229" s="740"/>
      <c r="ACD229" s="740"/>
      <c r="ACE229" s="740"/>
      <c r="ACF229" s="740"/>
      <c r="ACG229" s="740"/>
      <c r="ACH229" s="740"/>
      <c r="ACI229" s="740"/>
      <c r="ACJ229" s="740"/>
      <c r="ACK229" s="740"/>
      <c r="ACL229" s="740"/>
      <c r="ACM229" s="740"/>
      <c r="ACN229" s="740"/>
      <c r="ACO229" s="740"/>
      <c r="ACP229" s="740"/>
      <c r="ACQ229" s="740"/>
      <c r="ACR229" s="740"/>
      <c r="ACS229" s="740"/>
      <c r="ACT229" s="740"/>
      <c r="ACU229" s="740"/>
      <c r="ACV229" s="740"/>
      <c r="ACW229" s="740"/>
      <c r="ACX229" s="740"/>
      <c r="ACY229" s="740"/>
      <c r="ACZ229" s="740"/>
      <c r="ADA229" s="740"/>
      <c r="ADB229" s="740"/>
      <c r="ADC229" s="740"/>
      <c r="ADD229" s="740"/>
      <c r="ADE229" s="740"/>
      <c r="ADF229" s="740"/>
      <c r="ADG229" s="740"/>
      <c r="ADH229" s="740"/>
      <c r="ADI229" s="740"/>
      <c r="ADJ229" s="740"/>
      <c r="ADK229" s="740"/>
      <c r="ADL229" s="740"/>
      <c r="ADM229" s="740"/>
      <c r="ADN229" s="740"/>
      <c r="ADO229" s="740"/>
      <c r="ADP229" s="740"/>
      <c r="ADQ229" s="740"/>
      <c r="ADR229" s="740"/>
      <c r="ADS229" s="740"/>
      <c r="ADT229" s="740"/>
      <c r="ADU229" s="740"/>
      <c r="ADV229" s="740"/>
      <c r="ADW229" s="740"/>
      <c r="ADX229" s="740"/>
      <c r="ADY229" s="740"/>
      <c r="ADZ229" s="740"/>
      <c r="AEA229" s="740"/>
      <c r="AEB229" s="740"/>
      <c r="AEC229" s="740"/>
      <c r="AED229" s="740"/>
      <c r="AEE229" s="740"/>
      <c r="AEF229" s="740"/>
      <c r="AEG229" s="740"/>
      <c r="AEH229" s="740"/>
      <c r="AEI229" s="740"/>
      <c r="AEJ229" s="740"/>
      <c r="AEK229" s="740"/>
      <c r="AEL229" s="740"/>
      <c r="AEM229" s="740"/>
      <c r="AEN229" s="740"/>
      <c r="AEO229" s="740"/>
      <c r="AEP229" s="740"/>
      <c r="AEQ229" s="740"/>
      <c r="AER229" s="740"/>
      <c r="AES229" s="740"/>
      <c r="AET229" s="740"/>
      <c r="AEU229" s="740"/>
      <c r="AEV229" s="740"/>
      <c r="AEW229" s="740"/>
      <c r="AEX229" s="740"/>
      <c r="AEY229" s="740"/>
      <c r="AEZ229" s="740"/>
      <c r="AFA229" s="740"/>
      <c r="AFB229" s="740"/>
      <c r="AFC229" s="740"/>
      <c r="AFD229" s="740"/>
      <c r="AFE229" s="740"/>
      <c r="AFF229" s="740"/>
      <c r="AFG229" s="740"/>
      <c r="AFH229" s="740"/>
      <c r="AFI229" s="740"/>
      <c r="AFJ229" s="740"/>
      <c r="AFK229" s="740"/>
      <c r="AFL229" s="740"/>
      <c r="AFM229" s="740"/>
      <c r="AFN229" s="740"/>
      <c r="AFO229" s="740"/>
      <c r="AFP229" s="740"/>
      <c r="AFQ229" s="740"/>
      <c r="AFR229" s="740"/>
      <c r="AFS229" s="740"/>
      <c r="AFT229" s="740"/>
      <c r="AFU229" s="740"/>
      <c r="AFV229" s="740"/>
      <c r="AFW229" s="740"/>
      <c r="AFX229" s="740"/>
      <c r="AFY229" s="740"/>
      <c r="AFZ229" s="740"/>
      <c r="AGA229" s="740"/>
      <c r="AGB229" s="740"/>
      <c r="AGC229" s="740"/>
      <c r="AGD229" s="740"/>
      <c r="AGE229" s="740"/>
      <c r="AGF229" s="740"/>
      <c r="AGG229" s="740"/>
      <c r="AGH229" s="740"/>
      <c r="AGI229" s="740"/>
      <c r="AGJ229" s="740"/>
      <c r="AGK229" s="740"/>
      <c r="AGL229" s="740"/>
      <c r="AGM229" s="740"/>
      <c r="AGN229" s="740"/>
      <c r="AGO229" s="740"/>
      <c r="AGP229" s="740"/>
      <c r="AGQ229" s="740"/>
      <c r="AGR229" s="740"/>
      <c r="AGS229" s="740"/>
      <c r="AGT229" s="740"/>
      <c r="AGU229" s="740"/>
      <c r="AGV229" s="740"/>
      <c r="AGW229" s="740"/>
      <c r="AGX229" s="740"/>
      <c r="AGY229" s="740"/>
      <c r="AGZ229" s="740"/>
      <c r="AHA229" s="740"/>
      <c r="AHB229" s="740"/>
      <c r="AHC229" s="740"/>
      <c r="AHD229" s="740"/>
      <c r="AHE229" s="740"/>
      <c r="AHF229" s="740"/>
      <c r="AHG229" s="740"/>
      <c r="AHH229" s="740"/>
      <c r="AHI229" s="740"/>
      <c r="AHJ229" s="740"/>
      <c r="AHK229" s="740"/>
      <c r="AHL229" s="740"/>
      <c r="AHM229" s="740"/>
      <c r="AHN229" s="740"/>
      <c r="AHO229" s="740"/>
      <c r="AHP229" s="740"/>
      <c r="AHQ229" s="740"/>
      <c r="AHR229" s="740"/>
      <c r="AHS229" s="740"/>
      <c r="AHT229" s="740"/>
      <c r="AHU229" s="740"/>
      <c r="AHV229" s="740"/>
      <c r="AHW229" s="740"/>
      <c r="AHX229" s="740"/>
      <c r="AHY229" s="740"/>
      <c r="AHZ229" s="740"/>
      <c r="AIA229" s="740"/>
      <c r="AIB229" s="740"/>
      <c r="AIC229" s="740"/>
      <c r="AID229" s="740"/>
      <c r="AIE229" s="740"/>
      <c r="AIF229" s="740"/>
      <c r="AIG229" s="740"/>
      <c r="AIH229" s="740"/>
      <c r="AII229" s="740"/>
      <c r="AIJ229" s="740"/>
      <c r="AIK229" s="740"/>
      <c r="AIL229" s="740"/>
      <c r="AIM229" s="740"/>
      <c r="AIN229" s="740"/>
      <c r="AIO229" s="740"/>
      <c r="AIP229" s="740"/>
      <c r="AIQ229" s="740"/>
      <c r="AIR229" s="740"/>
      <c r="AIS229" s="740"/>
      <c r="AIT229" s="740"/>
      <c r="AIU229" s="740"/>
      <c r="AIV229" s="740"/>
      <c r="AIW229" s="740"/>
      <c r="AIX229" s="740"/>
      <c r="AIY229" s="740"/>
      <c r="AIZ229" s="740"/>
      <c r="AJA229" s="740"/>
      <c r="AJB229" s="740"/>
      <c r="AJC229" s="740"/>
      <c r="AJD229" s="740"/>
      <c r="AJE229" s="740"/>
      <c r="AJF229" s="740"/>
      <c r="AJG229" s="740"/>
      <c r="AJH229" s="740"/>
      <c r="AJI229" s="740"/>
      <c r="AJJ229" s="740"/>
      <c r="AJK229" s="740"/>
      <c r="AJL229" s="740"/>
      <c r="AJM229" s="740"/>
      <c r="AJN229" s="740"/>
      <c r="AJO229" s="740"/>
      <c r="AJP229" s="740"/>
      <c r="AJQ229" s="740"/>
      <c r="AJR229" s="740"/>
      <c r="AJS229" s="740"/>
      <c r="AJT229" s="740"/>
      <c r="AJU229" s="740"/>
      <c r="AJV229" s="740"/>
      <c r="AJW229" s="740"/>
      <c r="AJX229" s="740"/>
      <c r="AJY229" s="740"/>
      <c r="AJZ229" s="740"/>
      <c r="AKA229" s="740"/>
      <c r="AKB229" s="740"/>
      <c r="AKC229" s="740"/>
      <c r="AKD229" s="740"/>
      <c r="AKE229" s="740"/>
      <c r="AKF229" s="740"/>
      <c r="AKG229" s="740"/>
      <c r="AKH229" s="740"/>
      <c r="AKI229" s="740"/>
      <c r="AKJ229" s="740"/>
      <c r="AKK229" s="740"/>
      <c r="AKL229" s="740"/>
      <c r="AKM229" s="740"/>
      <c r="AKN229" s="740"/>
      <c r="AKO229" s="740"/>
      <c r="AKP229" s="740"/>
      <c r="AKQ229" s="740"/>
      <c r="AKR229" s="740"/>
      <c r="AKS229" s="740"/>
      <c r="AKT229" s="740"/>
      <c r="AKU229" s="740"/>
      <c r="AKV229" s="740"/>
      <c r="AKW229" s="740"/>
      <c r="AKX229" s="740"/>
      <c r="AKY229" s="740"/>
      <c r="AKZ229" s="740"/>
      <c r="ALA229" s="740"/>
      <c r="ALB229" s="740"/>
      <c r="ALC229" s="740"/>
      <c r="ALD229" s="740"/>
      <c r="ALE229" s="740"/>
      <c r="ALF229" s="740"/>
      <c r="ALG229" s="740"/>
      <c r="ALH229" s="740"/>
      <c r="ALI229" s="740"/>
      <c r="ALJ229" s="740"/>
      <c r="ALK229" s="740"/>
      <c r="ALL229" s="740"/>
      <c r="ALM229" s="740"/>
      <c r="ALN229" s="740"/>
      <c r="ALO229" s="740"/>
      <c r="ALP229" s="740"/>
      <c r="ALQ229" s="740"/>
      <c r="ALR229" s="740"/>
      <c r="ALS229" s="740"/>
      <c r="ALT229" s="740"/>
      <c r="ALU229" s="740"/>
      <c r="ALV229" s="740"/>
      <c r="ALW229" s="740"/>
      <c r="ALX229" s="740"/>
      <c r="ALY229" s="740"/>
      <c r="ALZ229" s="740"/>
      <c r="AMA229" s="740"/>
      <c r="AMB229" s="740"/>
      <c r="AMC229" s="740"/>
      <c r="AMD229" s="740"/>
      <c r="AME229" s="740"/>
      <c r="AMF229" s="740"/>
      <c r="AMG229" s="740"/>
      <c r="AMH229" s="740"/>
      <c r="AMI229" s="740"/>
      <c r="AMJ229" s="740"/>
      <c r="AMK229" s="740"/>
      <c r="AML229" s="740"/>
      <c r="AMM229" s="740"/>
      <c r="AMN229" s="740"/>
      <c r="AMO229" s="740"/>
      <c r="AMP229" s="740"/>
      <c r="AMQ229" s="740"/>
      <c r="AMR229" s="740"/>
      <c r="AMS229" s="740"/>
      <c r="AMT229" s="740"/>
      <c r="AMU229" s="740"/>
      <c r="AMV229" s="740"/>
      <c r="AMW229" s="740"/>
      <c r="AMX229" s="740"/>
      <c r="AMY229" s="740"/>
      <c r="AMZ229" s="740"/>
      <c r="ANA229" s="740"/>
      <c r="ANB229" s="740"/>
      <c r="ANC229" s="740"/>
      <c r="AND229" s="740"/>
      <c r="ANE229" s="740"/>
      <c r="ANF229" s="740"/>
      <c r="ANG229" s="740"/>
      <c r="ANH229" s="740"/>
      <c r="ANI229" s="740"/>
      <c r="ANJ229" s="740"/>
      <c r="ANK229" s="740"/>
      <c r="ANL229" s="740"/>
      <c r="ANM229" s="740"/>
      <c r="ANN229" s="740"/>
      <c r="ANO229" s="740"/>
      <c r="ANP229" s="740"/>
      <c r="ANQ229" s="740"/>
      <c r="ANR229" s="740"/>
      <c r="ANS229" s="740"/>
      <c r="ANT229" s="740"/>
      <c r="ANU229" s="740"/>
      <c r="ANV229" s="740"/>
      <c r="ANW229" s="740"/>
      <c r="ANX229" s="740"/>
      <c r="ANY229" s="740"/>
      <c r="ANZ229" s="740"/>
      <c r="AOA229" s="740"/>
      <c r="AOB229" s="740"/>
      <c r="AOC229" s="740"/>
      <c r="AOD229" s="740"/>
      <c r="AOE229" s="740"/>
      <c r="AOF229" s="740"/>
      <c r="AOG229" s="740"/>
      <c r="AOH229" s="740"/>
      <c r="AOI229" s="740"/>
      <c r="AOJ229" s="740"/>
      <c r="AOK229" s="740"/>
      <c r="AOL229" s="740"/>
      <c r="AOM229" s="740"/>
      <c r="AON229" s="740"/>
      <c r="AOO229" s="740"/>
      <c r="AOP229" s="740"/>
      <c r="AOQ229" s="740"/>
      <c r="AOR229" s="740"/>
      <c r="AOS229" s="740"/>
      <c r="AOT229" s="740"/>
      <c r="AOU229" s="740"/>
      <c r="AOV229" s="740"/>
      <c r="AOW229" s="740"/>
      <c r="AOX229" s="740"/>
      <c r="AOY229" s="740"/>
      <c r="AOZ229" s="740"/>
      <c r="APA229" s="740"/>
      <c r="APB229" s="740"/>
      <c r="APC229" s="740"/>
      <c r="APD229" s="740"/>
      <c r="APE229" s="740"/>
      <c r="APF229" s="740"/>
      <c r="APG229" s="740"/>
      <c r="APH229" s="740"/>
      <c r="API229" s="740"/>
      <c r="APJ229" s="740"/>
      <c r="APK229" s="740"/>
      <c r="APL229" s="740"/>
      <c r="APM229" s="740"/>
      <c r="APN229" s="740"/>
      <c r="APO229" s="740"/>
      <c r="APP229" s="740"/>
      <c r="APQ229" s="740"/>
      <c r="APR229" s="740"/>
      <c r="APS229" s="740"/>
      <c r="APT229" s="740"/>
      <c r="APU229" s="740"/>
      <c r="APV229" s="740"/>
      <c r="APW229" s="740"/>
      <c r="APX229" s="740"/>
      <c r="APY229" s="740"/>
      <c r="APZ229" s="740"/>
      <c r="AQA229" s="740"/>
      <c r="AQB229" s="740"/>
      <c r="AQC229" s="740"/>
      <c r="AQD229" s="740"/>
      <c r="AQE229" s="740"/>
      <c r="AQF229" s="740"/>
      <c r="AQG229" s="740"/>
      <c r="AQH229" s="740"/>
      <c r="AQI229" s="740"/>
      <c r="AQJ229" s="740"/>
      <c r="AQK229" s="740"/>
      <c r="AQL229" s="740"/>
      <c r="AQM229" s="740"/>
      <c r="AQN229" s="740"/>
      <c r="AQO229" s="740"/>
      <c r="AQP229" s="740"/>
      <c r="AQQ229" s="740"/>
      <c r="AQR229" s="740"/>
      <c r="AQS229" s="740"/>
      <c r="AQT229" s="740"/>
      <c r="AQU229" s="740"/>
      <c r="AQV229" s="740"/>
      <c r="AQW229" s="740"/>
      <c r="AQX229" s="740"/>
      <c r="AQY229" s="740"/>
      <c r="AQZ229" s="740"/>
      <c r="ARA229" s="740"/>
      <c r="ARB229" s="740"/>
      <c r="ARC229" s="740"/>
      <c r="ARD229" s="740"/>
      <c r="ARE229" s="740"/>
      <c r="ARF229" s="740"/>
      <c r="ARG229" s="740"/>
      <c r="ARH229" s="740"/>
      <c r="ARI229" s="740"/>
      <c r="ARJ229" s="740"/>
      <c r="ARK229" s="740"/>
      <c r="ARL229" s="740"/>
      <c r="ARM229" s="740"/>
      <c r="ARN229" s="740"/>
      <c r="ARO229" s="740"/>
      <c r="ARP229" s="740"/>
      <c r="ARQ229" s="740"/>
      <c r="ARR229" s="740"/>
      <c r="ARS229" s="740"/>
      <c r="ART229" s="740"/>
      <c r="ARU229" s="740"/>
      <c r="ARV229" s="740"/>
      <c r="ARW229" s="740"/>
      <c r="ARX229" s="740"/>
      <c r="ARY229" s="740"/>
      <c r="ARZ229" s="740"/>
      <c r="ASA229" s="740"/>
      <c r="ASB229" s="740"/>
      <c r="ASC229" s="740"/>
      <c r="ASD229" s="740"/>
      <c r="ASE229" s="740"/>
      <c r="ASF229" s="740"/>
      <c r="ASG229" s="740"/>
      <c r="ASH229" s="740"/>
      <c r="ASI229" s="740"/>
      <c r="ASJ229" s="740"/>
      <c r="ASK229" s="740"/>
      <c r="ASL229" s="740"/>
      <c r="ASM229" s="740"/>
      <c r="ASN229" s="740"/>
      <c r="ASO229" s="740"/>
      <c r="ASP229" s="740"/>
      <c r="ASQ229" s="740"/>
      <c r="ASR229" s="740"/>
      <c r="ASS229" s="740"/>
      <c r="AST229" s="740"/>
      <c r="ASU229" s="740"/>
      <c r="ASV229" s="740"/>
      <c r="ASW229" s="740"/>
      <c r="ASX229" s="740"/>
      <c r="ASY229" s="740"/>
      <c r="ASZ229" s="740"/>
      <c r="ATA229" s="740"/>
      <c r="ATB229" s="740"/>
      <c r="ATC229" s="740"/>
      <c r="ATD229" s="740"/>
      <c r="ATE229" s="740"/>
      <c r="ATF229" s="740"/>
      <c r="ATG229" s="740"/>
      <c r="ATH229" s="740"/>
      <c r="ATI229" s="740"/>
      <c r="ATJ229" s="740"/>
      <c r="ATK229" s="740"/>
      <c r="ATL229" s="740"/>
      <c r="ATM229" s="740"/>
      <c r="ATN229" s="740"/>
      <c r="ATO229" s="740"/>
      <c r="ATP229" s="740"/>
      <c r="ATQ229" s="740"/>
      <c r="ATR229" s="740"/>
      <c r="ATS229" s="740"/>
      <c r="ATT229" s="740"/>
      <c r="ATU229" s="740"/>
      <c r="ATV229" s="740"/>
      <c r="ATW229" s="740"/>
      <c r="ATX229" s="740"/>
      <c r="ATY229" s="740"/>
      <c r="ATZ229" s="740"/>
      <c r="AUA229" s="740"/>
      <c r="AUB229" s="740"/>
      <c r="AUC229" s="740"/>
      <c r="AUD229" s="740"/>
      <c r="AUE229" s="740"/>
      <c r="AUF229" s="740"/>
      <c r="AUG229" s="740"/>
      <c r="AUH229" s="740"/>
      <c r="AUI229" s="740"/>
      <c r="AUJ229" s="740"/>
      <c r="AUK229" s="740"/>
      <c r="AUL229" s="740"/>
      <c r="AUM229" s="740"/>
      <c r="AUN229" s="740"/>
      <c r="AUO229" s="740"/>
      <c r="AUP229" s="740"/>
      <c r="AUQ229" s="740"/>
      <c r="AUR229" s="740"/>
      <c r="AUS229" s="740"/>
      <c r="AUT229" s="740"/>
      <c r="AUU229" s="740"/>
      <c r="AUV229" s="740"/>
      <c r="AUW229" s="740"/>
      <c r="AUX229" s="740"/>
      <c r="AUY229" s="740"/>
      <c r="AUZ229" s="740"/>
      <c r="AVA229" s="740"/>
      <c r="AVB229" s="740"/>
      <c r="AVC229" s="740"/>
      <c r="AVD229" s="740"/>
      <c r="AVE229" s="740"/>
      <c r="AVF229" s="740"/>
      <c r="AVG229" s="740"/>
      <c r="AVH229" s="740"/>
      <c r="AVI229" s="740"/>
      <c r="AVJ229" s="740"/>
      <c r="AVK229" s="740"/>
      <c r="AVL229" s="740"/>
      <c r="AVM229" s="740"/>
      <c r="AVN229" s="740"/>
      <c r="AVO229" s="740"/>
      <c r="AVP229" s="740"/>
      <c r="AVQ229" s="740"/>
      <c r="AVR229" s="740"/>
      <c r="AVS229" s="740"/>
      <c r="AVT229" s="740"/>
      <c r="AVU229" s="740"/>
      <c r="AVV229" s="740"/>
      <c r="AVW229" s="740"/>
      <c r="AVX229" s="740"/>
      <c r="AVY229" s="740"/>
      <c r="AVZ229" s="740"/>
      <c r="AWA229" s="740"/>
      <c r="AWB229" s="740"/>
      <c r="AWC229" s="740"/>
      <c r="AWD229" s="740"/>
      <c r="AWE229" s="740"/>
      <c r="AWF229" s="740"/>
      <c r="AWG229" s="740"/>
      <c r="AWH229" s="740"/>
      <c r="AWI229" s="740"/>
      <c r="AWJ229" s="740"/>
      <c r="AWK229" s="740"/>
      <c r="AWL229" s="740"/>
      <c r="AWM229" s="740"/>
      <c r="AWN229" s="740"/>
      <c r="AWO229" s="740"/>
      <c r="AWP229" s="740"/>
      <c r="AWQ229" s="740"/>
      <c r="AWR229" s="740"/>
      <c r="AWS229" s="740"/>
      <c r="AWT229" s="740"/>
      <c r="AWU229" s="740"/>
      <c r="AWV229" s="740"/>
      <c r="AWW229" s="740"/>
      <c r="AWX229" s="740"/>
      <c r="AWY229" s="740"/>
      <c r="AWZ229" s="740"/>
      <c r="AXA229" s="740"/>
      <c r="AXB229" s="740"/>
      <c r="AXC229" s="740"/>
      <c r="AXD229" s="740"/>
      <c r="AXE229" s="740"/>
      <c r="AXF229" s="740"/>
      <c r="AXG229" s="740"/>
      <c r="AXH229" s="740"/>
      <c r="AXI229" s="740"/>
      <c r="AXJ229" s="740"/>
    </row>
    <row r="230" spans="1:1310" s="741" customFormat="1" ht="23.25" customHeight="1">
      <c r="A230" s="756"/>
      <c r="B230" s="9016" t="s">
        <v>1582</v>
      </c>
      <c r="C230" s="9016"/>
      <c r="D230" s="9016"/>
      <c r="E230" s="9016"/>
      <c r="F230" s="750"/>
      <c r="G230" s="9016" t="s">
        <v>1564</v>
      </c>
      <c r="H230" s="9016"/>
      <c r="I230" s="9016"/>
      <c r="J230" s="750"/>
      <c r="K230" s="9016" t="s">
        <v>1583</v>
      </c>
      <c r="L230" s="9016"/>
      <c r="M230" s="9016"/>
      <c r="N230" s="750"/>
      <c r="O230" s="9016" t="s">
        <v>1584</v>
      </c>
      <c r="P230" s="9016"/>
      <c r="Q230" s="750"/>
      <c r="R230" s="311"/>
      <c r="S230" s="311"/>
      <c r="T230" s="311"/>
      <c r="U230" s="311"/>
      <c r="V230" s="311"/>
      <c r="W230" s="311"/>
      <c r="X230" s="311"/>
      <c r="Y230" s="311"/>
      <c r="Z230" s="311"/>
      <c r="AA230" s="311"/>
      <c r="AB230" s="311"/>
      <c r="AC230" s="311"/>
      <c r="AD230" s="740"/>
      <c r="AE230" s="740"/>
      <c r="AF230" s="740"/>
      <c r="AG230" s="740"/>
      <c r="AH230" s="740"/>
      <c r="AI230" s="740"/>
      <c r="AJ230" s="740"/>
      <c r="AK230" s="740"/>
      <c r="AL230" s="740"/>
      <c r="AM230" s="740"/>
      <c r="AN230" s="740"/>
      <c r="AO230" s="740"/>
      <c r="AP230" s="740"/>
      <c r="AQ230" s="740"/>
      <c r="AR230" s="740"/>
      <c r="AS230" s="740"/>
      <c r="AT230" s="740"/>
      <c r="AU230" s="740"/>
      <c r="AV230" s="740"/>
      <c r="AW230" s="740"/>
      <c r="AX230" s="740"/>
      <c r="AY230" s="740"/>
      <c r="AZ230" s="740"/>
      <c r="BA230" s="740"/>
      <c r="BB230" s="740"/>
      <c r="BC230" s="740"/>
      <c r="BD230" s="740"/>
      <c r="BE230" s="740"/>
      <c r="BF230" s="740"/>
      <c r="BG230" s="740"/>
      <c r="BH230" s="740"/>
      <c r="BI230" s="740"/>
      <c r="BJ230" s="740"/>
      <c r="BK230" s="740"/>
      <c r="BL230" s="740"/>
      <c r="BM230" s="740"/>
      <c r="BN230" s="740"/>
      <c r="BO230" s="740"/>
      <c r="BP230" s="740"/>
      <c r="BQ230" s="740"/>
      <c r="BR230" s="740"/>
      <c r="BS230" s="740"/>
      <c r="BT230" s="740"/>
      <c r="BU230" s="740"/>
      <c r="BV230" s="740"/>
      <c r="BW230" s="740"/>
      <c r="BX230" s="740"/>
      <c r="BY230" s="740"/>
      <c r="BZ230" s="740"/>
      <c r="CA230" s="740"/>
      <c r="CB230" s="740"/>
      <c r="CC230" s="740"/>
      <c r="CD230" s="740"/>
      <c r="CE230" s="740"/>
      <c r="CF230" s="740"/>
      <c r="CG230" s="740"/>
      <c r="CH230" s="740"/>
      <c r="CI230" s="740"/>
      <c r="CJ230" s="740"/>
      <c r="CK230" s="740"/>
      <c r="CL230" s="740"/>
      <c r="CM230" s="740"/>
      <c r="CN230" s="740"/>
      <c r="CO230" s="740"/>
      <c r="CP230" s="740"/>
      <c r="CQ230" s="740"/>
      <c r="CR230" s="740"/>
      <c r="CS230" s="740"/>
      <c r="CT230" s="740"/>
      <c r="CU230" s="740"/>
      <c r="CV230" s="740"/>
      <c r="CW230" s="740"/>
      <c r="CX230" s="740"/>
      <c r="CY230" s="740"/>
      <c r="CZ230" s="740"/>
      <c r="DA230" s="740"/>
      <c r="DB230" s="740"/>
      <c r="DC230" s="740"/>
      <c r="DD230" s="740"/>
      <c r="DE230" s="740"/>
      <c r="DF230" s="740"/>
      <c r="DG230" s="740"/>
      <c r="DH230" s="740"/>
      <c r="DI230" s="740"/>
      <c r="DJ230" s="740"/>
      <c r="DK230" s="740"/>
      <c r="DL230" s="740"/>
      <c r="DM230" s="740"/>
      <c r="DN230" s="740"/>
      <c r="DO230" s="740"/>
      <c r="DP230" s="740"/>
      <c r="DQ230" s="740"/>
      <c r="DR230" s="740"/>
      <c r="DS230" s="740"/>
      <c r="DT230" s="740"/>
      <c r="DU230" s="740"/>
      <c r="DV230" s="740"/>
      <c r="DW230" s="740"/>
      <c r="DX230" s="740"/>
      <c r="DY230" s="740"/>
      <c r="DZ230" s="740"/>
      <c r="EA230" s="740"/>
      <c r="EB230" s="740"/>
      <c r="EC230" s="740"/>
      <c r="ED230" s="740"/>
      <c r="EE230" s="740"/>
      <c r="EF230" s="740"/>
      <c r="EG230" s="740"/>
      <c r="EH230" s="740"/>
      <c r="EI230" s="740"/>
      <c r="EJ230" s="740"/>
      <c r="EK230" s="740"/>
      <c r="EL230" s="740"/>
      <c r="EM230" s="740"/>
      <c r="EN230" s="740"/>
      <c r="EO230" s="740"/>
      <c r="EP230" s="740"/>
      <c r="EQ230" s="740"/>
      <c r="ER230" s="740"/>
      <c r="ES230" s="740"/>
      <c r="ET230" s="740"/>
      <c r="EU230" s="740"/>
      <c r="EV230" s="740"/>
      <c r="EW230" s="740"/>
      <c r="EX230" s="740"/>
      <c r="EY230" s="740"/>
      <c r="EZ230" s="740"/>
      <c r="FA230" s="740"/>
      <c r="FB230" s="740"/>
      <c r="FC230" s="740"/>
      <c r="FD230" s="740"/>
      <c r="FE230" s="740"/>
      <c r="FF230" s="740"/>
      <c r="FG230" s="740"/>
      <c r="FH230" s="740"/>
      <c r="FI230" s="740"/>
      <c r="FJ230" s="740"/>
      <c r="FK230" s="740"/>
      <c r="FL230" s="740"/>
      <c r="FM230" s="740"/>
      <c r="FN230" s="740"/>
      <c r="FO230" s="740"/>
      <c r="FP230" s="740"/>
      <c r="FQ230" s="740"/>
      <c r="FR230" s="740"/>
      <c r="FS230" s="740"/>
      <c r="FT230" s="740"/>
      <c r="FU230" s="740"/>
      <c r="FV230" s="740"/>
      <c r="FW230" s="740"/>
      <c r="FX230" s="740"/>
      <c r="FY230" s="740"/>
      <c r="FZ230" s="740"/>
      <c r="GA230" s="740"/>
      <c r="GB230" s="740"/>
      <c r="GC230" s="740"/>
      <c r="GD230" s="740"/>
      <c r="GE230" s="740"/>
      <c r="GF230" s="740"/>
      <c r="GG230" s="740"/>
      <c r="GH230" s="740"/>
      <c r="GI230" s="740"/>
      <c r="GJ230" s="740"/>
      <c r="GK230" s="740"/>
      <c r="GL230" s="740"/>
      <c r="GM230" s="740"/>
      <c r="GN230" s="740"/>
      <c r="GO230" s="740"/>
      <c r="GP230" s="740"/>
      <c r="GQ230" s="740"/>
      <c r="GR230" s="740"/>
      <c r="GS230" s="740"/>
      <c r="GT230" s="740"/>
      <c r="GU230" s="740"/>
      <c r="GV230" s="740"/>
      <c r="GW230" s="740"/>
      <c r="GX230" s="740"/>
      <c r="GY230" s="740"/>
      <c r="GZ230" s="740"/>
      <c r="HA230" s="740"/>
      <c r="HB230" s="740"/>
      <c r="HC230" s="740"/>
      <c r="HD230" s="740"/>
      <c r="HE230" s="740"/>
      <c r="HF230" s="740"/>
      <c r="HG230" s="740"/>
      <c r="HH230" s="740"/>
      <c r="HI230" s="740"/>
      <c r="HJ230" s="740"/>
      <c r="HK230" s="740"/>
      <c r="HL230" s="740"/>
      <c r="HM230" s="740"/>
      <c r="HN230" s="740"/>
      <c r="HO230" s="740"/>
      <c r="HP230" s="740"/>
      <c r="HQ230" s="740"/>
      <c r="HR230" s="740"/>
      <c r="HS230" s="740"/>
      <c r="HT230" s="740"/>
      <c r="HU230" s="740"/>
      <c r="HV230" s="740"/>
      <c r="HW230" s="740"/>
      <c r="HX230" s="740"/>
      <c r="HY230" s="740"/>
      <c r="HZ230" s="740"/>
      <c r="IA230" s="740"/>
      <c r="IB230" s="740"/>
      <c r="IC230" s="740"/>
      <c r="ID230" s="740"/>
      <c r="IE230" s="740"/>
      <c r="IF230" s="740"/>
      <c r="IG230" s="740"/>
      <c r="IH230" s="740"/>
      <c r="II230" s="740"/>
      <c r="IJ230" s="740"/>
      <c r="IK230" s="740"/>
      <c r="IL230" s="740"/>
      <c r="IM230" s="740"/>
      <c r="IN230" s="740"/>
      <c r="IO230" s="740"/>
      <c r="IP230" s="740"/>
      <c r="IQ230" s="740"/>
      <c r="IR230" s="740"/>
      <c r="IS230" s="740"/>
      <c r="IT230" s="740"/>
      <c r="IU230" s="740"/>
      <c r="IV230" s="740"/>
      <c r="IW230" s="740"/>
      <c r="IX230" s="740"/>
      <c r="IY230" s="740"/>
      <c r="IZ230" s="740"/>
      <c r="JA230" s="740"/>
      <c r="JB230" s="740"/>
      <c r="JC230" s="740"/>
      <c r="JD230" s="740"/>
      <c r="JE230" s="740"/>
      <c r="JF230" s="740"/>
      <c r="JG230" s="740"/>
      <c r="JH230" s="740"/>
      <c r="JI230" s="740"/>
      <c r="JJ230" s="740"/>
      <c r="JK230" s="740"/>
      <c r="JL230" s="740"/>
      <c r="JM230" s="740"/>
      <c r="JN230" s="740"/>
      <c r="JO230" s="740"/>
      <c r="JP230" s="740"/>
      <c r="JQ230" s="740"/>
      <c r="JR230" s="740"/>
      <c r="JS230" s="740"/>
      <c r="JT230" s="740"/>
      <c r="JU230" s="740"/>
      <c r="JV230" s="740"/>
      <c r="JW230" s="740"/>
      <c r="JX230" s="740"/>
      <c r="JY230" s="740"/>
      <c r="JZ230" s="740"/>
      <c r="KA230" s="740"/>
      <c r="KB230" s="740"/>
      <c r="KC230" s="740"/>
      <c r="KD230" s="740"/>
      <c r="KE230" s="740"/>
      <c r="KF230" s="740"/>
      <c r="KG230" s="740"/>
      <c r="KH230" s="740"/>
      <c r="KI230" s="740"/>
      <c r="KJ230" s="740"/>
      <c r="KK230" s="740"/>
      <c r="KL230" s="740"/>
      <c r="KM230" s="740"/>
      <c r="KN230" s="740"/>
      <c r="KO230" s="740"/>
      <c r="KP230" s="740"/>
      <c r="KQ230" s="740"/>
      <c r="KR230" s="740"/>
      <c r="KS230" s="740"/>
      <c r="KT230" s="740"/>
      <c r="KU230" s="740"/>
      <c r="KV230" s="740"/>
      <c r="KW230" s="740"/>
      <c r="KX230" s="740"/>
      <c r="KY230" s="740"/>
      <c r="KZ230" s="740"/>
      <c r="LA230" s="740"/>
      <c r="LB230" s="740"/>
      <c r="LC230" s="740"/>
      <c r="LD230" s="740"/>
      <c r="LE230" s="740"/>
      <c r="LF230" s="740"/>
      <c r="LG230" s="740"/>
      <c r="LH230" s="740"/>
      <c r="LI230" s="740"/>
      <c r="LJ230" s="740"/>
      <c r="LK230" s="740"/>
      <c r="LL230" s="740"/>
      <c r="LM230" s="740"/>
      <c r="LN230" s="740"/>
      <c r="LO230" s="740"/>
      <c r="LP230" s="740"/>
      <c r="LQ230" s="740"/>
      <c r="LR230" s="740"/>
      <c r="LS230" s="740"/>
      <c r="LT230" s="740"/>
      <c r="LU230" s="740"/>
      <c r="LV230" s="740"/>
      <c r="LW230" s="740"/>
      <c r="LX230" s="740"/>
      <c r="LY230" s="740"/>
      <c r="LZ230" s="740"/>
      <c r="MA230" s="740"/>
      <c r="MB230" s="740"/>
      <c r="MC230" s="740"/>
      <c r="MD230" s="740"/>
      <c r="ME230" s="740"/>
      <c r="MF230" s="740"/>
      <c r="MG230" s="740"/>
      <c r="MH230" s="740"/>
      <c r="MI230" s="740"/>
      <c r="MJ230" s="740"/>
      <c r="MK230" s="740"/>
      <c r="ML230" s="740"/>
      <c r="MM230" s="740"/>
      <c r="MN230" s="740"/>
      <c r="MO230" s="740"/>
      <c r="MP230" s="740"/>
      <c r="MQ230" s="740"/>
      <c r="MR230" s="740"/>
      <c r="MS230" s="740"/>
      <c r="MT230" s="740"/>
      <c r="MU230" s="740"/>
      <c r="MV230" s="740"/>
      <c r="MW230" s="740"/>
      <c r="MX230" s="740"/>
      <c r="MY230" s="740"/>
      <c r="MZ230" s="740"/>
      <c r="NA230" s="740"/>
      <c r="NB230" s="740"/>
      <c r="NC230" s="740"/>
      <c r="ND230" s="740"/>
      <c r="NE230" s="740"/>
      <c r="NF230" s="740"/>
      <c r="NG230" s="740"/>
      <c r="NH230" s="740"/>
      <c r="NI230" s="740"/>
      <c r="NJ230" s="740"/>
      <c r="NK230" s="740"/>
      <c r="NL230" s="740"/>
      <c r="NM230" s="740"/>
      <c r="NN230" s="740"/>
      <c r="NO230" s="740"/>
      <c r="NP230" s="740"/>
      <c r="NQ230" s="740"/>
      <c r="NR230" s="740"/>
      <c r="NS230" s="740"/>
      <c r="NT230" s="740"/>
      <c r="NU230" s="740"/>
      <c r="NV230" s="740"/>
      <c r="NW230" s="740"/>
      <c r="NX230" s="740"/>
      <c r="NY230" s="740"/>
      <c r="NZ230" s="740"/>
      <c r="OA230" s="740"/>
      <c r="OB230" s="740"/>
      <c r="OC230" s="740"/>
      <c r="OD230" s="740"/>
      <c r="OE230" s="740"/>
      <c r="OF230" s="740"/>
      <c r="OG230" s="740"/>
      <c r="OH230" s="740"/>
      <c r="OI230" s="740"/>
      <c r="OJ230" s="740"/>
      <c r="OK230" s="740"/>
      <c r="OL230" s="740"/>
      <c r="OM230" s="740"/>
      <c r="ON230" s="740"/>
      <c r="OO230" s="740"/>
      <c r="OP230" s="740"/>
      <c r="OQ230" s="740"/>
      <c r="OR230" s="740"/>
      <c r="OS230" s="740"/>
      <c r="OT230" s="740"/>
      <c r="OU230" s="740"/>
      <c r="OV230" s="740"/>
      <c r="OW230" s="740"/>
      <c r="OX230" s="740"/>
      <c r="OY230" s="740"/>
      <c r="OZ230" s="740"/>
      <c r="PA230" s="740"/>
      <c r="PB230" s="740"/>
      <c r="PC230" s="740"/>
      <c r="PD230" s="740"/>
      <c r="PE230" s="740"/>
      <c r="PF230" s="740"/>
      <c r="PG230" s="740"/>
      <c r="PH230" s="740"/>
      <c r="PI230" s="740"/>
      <c r="PJ230" s="740"/>
      <c r="PK230" s="740"/>
      <c r="PL230" s="740"/>
      <c r="PM230" s="740"/>
      <c r="PN230" s="740"/>
      <c r="PO230" s="740"/>
      <c r="PP230" s="740"/>
      <c r="PQ230" s="740"/>
      <c r="PR230" s="740"/>
      <c r="PS230" s="740"/>
      <c r="PT230" s="740"/>
      <c r="PU230" s="740"/>
      <c r="PV230" s="740"/>
      <c r="PW230" s="740"/>
      <c r="PX230" s="740"/>
      <c r="PY230" s="740"/>
      <c r="PZ230" s="740"/>
      <c r="QA230" s="740"/>
      <c r="QB230" s="740"/>
      <c r="QC230" s="740"/>
      <c r="QD230" s="740"/>
      <c r="QE230" s="740"/>
      <c r="QF230" s="740"/>
      <c r="QG230" s="740"/>
      <c r="QH230" s="740"/>
      <c r="QI230" s="740"/>
      <c r="QJ230" s="740"/>
      <c r="QK230" s="740"/>
      <c r="QL230" s="740"/>
      <c r="QM230" s="740"/>
      <c r="QN230" s="740"/>
      <c r="QO230" s="740"/>
      <c r="QP230" s="740"/>
      <c r="QQ230" s="740"/>
      <c r="QR230" s="740"/>
      <c r="QS230" s="740"/>
      <c r="QT230" s="740"/>
      <c r="QU230" s="740"/>
      <c r="QV230" s="740"/>
      <c r="QW230" s="740"/>
      <c r="QX230" s="740"/>
      <c r="QY230" s="740"/>
      <c r="QZ230" s="740"/>
      <c r="RA230" s="740"/>
      <c r="RB230" s="740"/>
      <c r="RC230" s="740"/>
      <c r="RD230" s="740"/>
      <c r="RE230" s="740"/>
      <c r="RF230" s="740"/>
      <c r="RG230" s="740"/>
      <c r="RH230" s="740"/>
      <c r="RI230" s="740"/>
      <c r="RJ230" s="740"/>
      <c r="RK230" s="740"/>
      <c r="RL230" s="740"/>
      <c r="RM230" s="740"/>
      <c r="RN230" s="740"/>
      <c r="RO230" s="740"/>
      <c r="RP230" s="740"/>
      <c r="RQ230" s="740"/>
      <c r="RR230" s="740"/>
      <c r="RS230" s="740"/>
      <c r="RT230" s="740"/>
      <c r="RU230" s="740"/>
      <c r="RV230" s="740"/>
      <c r="RW230" s="740"/>
      <c r="RX230" s="740"/>
      <c r="RY230" s="740"/>
      <c r="RZ230" s="740"/>
      <c r="SA230" s="740"/>
      <c r="SB230" s="740"/>
      <c r="SC230" s="740"/>
      <c r="SD230" s="740"/>
      <c r="SE230" s="740"/>
      <c r="SF230" s="740"/>
      <c r="SG230" s="740"/>
      <c r="SH230" s="740"/>
      <c r="SI230" s="740"/>
      <c r="SJ230" s="740"/>
      <c r="SK230" s="740"/>
      <c r="SL230" s="740"/>
      <c r="SM230" s="740"/>
      <c r="SN230" s="740"/>
      <c r="SO230" s="740"/>
      <c r="SP230" s="740"/>
      <c r="SQ230" s="740"/>
      <c r="SR230" s="740"/>
      <c r="SS230" s="740"/>
      <c r="ST230" s="740"/>
      <c r="SU230" s="740"/>
      <c r="SV230" s="740"/>
      <c r="SW230" s="740"/>
      <c r="SX230" s="740"/>
      <c r="SY230" s="740"/>
      <c r="SZ230" s="740"/>
      <c r="TA230" s="740"/>
      <c r="TB230" s="740"/>
      <c r="TC230" s="740"/>
      <c r="TD230" s="740"/>
      <c r="TE230" s="740"/>
      <c r="TF230" s="740"/>
      <c r="TG230" s="740"/>
      <c r="TH230" s="740"/>
      <c r="TI230" s="740"/>
      <c r="TJ230" s="740"/>
      <c r="TK230" s="740"/>
      <c r="TL230" s="740"/>
      <c r="TM230" s="740"/>
      <c r="TN230" s="740"/>
      <c r="TO230" s="740"/>
      <c r="TP230" s="740"/>
      <c r="TQ230" s="740"/>
      <c r="TR230" s="740"/>
      <c r="TS230" s="740"/>
      <c r="TT230" s="740"/>
      <c r="TU230" s="740"/>
      <c r="TV230" s="740"/>
      <c r="TW230" s="740"/>
      <c r="TX230" s="740"/>
      <c r="TY230" s="740"/>
      <c r="TZ230" s="740"/>
      <c r="UA230" s="740"/>
      <c r="UB230" s="740"/>
      <c r="UC230" s="740"/>
      <c r="UD230" s="740"/>
      <c r="UE230" s="740"/>
      <c r="UF230" s="740"/>
      <c r="UG230" s="740"/>
      <c r="UH230" s="740"/>
      <c r="UI230" s="740"/>
      <c r="UJ230" s="740"/>
      <c r="UK230" s="740"/>
      <c r="UL230" s="740"/>
      <c r="UM230" s="740"/>
      <c r="UN230" s="740"/>
      <c r="UO230" s="740"/>
      <c r="UP230" s="740"/>
      <c r="UQ230" s="740"/>
      <c r="UR230" s="740"/>
      <c r="US230" s="740"/>
      <c r="UT230" s="740"/>
      <c r="UU230" s="740"/>
      <c r="UV230" s="740"/>
      <c r="UW230" s="740"/>
      <c r="UX230" s="740"/>
      <c r="UY230" s="740"/>
      <c r="UZ230" s="740"/>
      <c r="VA230" s="740"/>
      <c r="VB230" s="740"/>
      <c r="VC230" s="740"/>
      <c r="VD230" s="740"/>
      <c r="VE230" s="740"/>
      <c r="VF230" s="740"/>
      <c r="VG230" s="740"/>
      <c r="VH230" s="740"/>
      <c r="VI230" s="740"/>
      <c r="VJ230" s="740"/>
      <c r="VK230" s="740"/>
      <c r="VL230" s="740"/>
      <c r="VM230" s="740"/>
      <c r="VN230" s="740"/>
      <c r="VO230" s="740"/>
      <c r="VP230" s="740"/>
      <c r="VQ230" s="740"/>
      <c r="VR230" s="740"/>
      <c r="VS230" s="740"/>
      <c r="VT230" s="740"/>
      <c r="VU230" s="740"/>
      <c r="VV230" s="740"/>
      <c r="VW230" s="740"/>
      <c r="VX230" s="740"/>
      <c r="VY230" s="740"/>
      <c r="VZ230" s="740"/>
      <c r="WA230" s="740"/>
      <c r="WB230" s="740"/>
      <c r="WC230" s="740"/>
      <c r="WD230" s="740"/>
      <c r="WE230" s="740"/>
      <c r="WF230" s="740"/>
      <c r="WG230" s="740"/>
      <c r="WH230" s="740"/>
      <c r="WI230" s="740"/>
      <c r="WJ230" s="740"/>
      <c r="WK230" s="740"/>
      <c r="WL230" s="740"/>
      <c r="WM230" s="740"/>
      <c r="WN230" s="740"/>
      <c r="WO230" s="740"/>
      <c r="WP230" s="740"/>
      <c r="WQ230" s="740"/>
      <c r="WR230" s="740"/>
      <c r="WS230" s="740"/>
      <c r="WT230" s="740"/>
      <c r="WU230" s="740"/>
      <c r="WV230" s="740"/>
      <c r="WW230" s="740"/>
      <c r="WX230" s="740"/>
      <c r="WY230" s="740"/>
      <c r="WZ230" s="740"/>
      <c r="XA230" s="740"/>
      <c r="XB230" s="740"/>
      <c r="XC230" s="740"/>
      <c r="XD230" s="740"/>
      <c r="XE230" s="740"/>
      <c r="XF230" s="740"/>
      <c r="XG230" s="740"/>
      <c r="XH230" s="740"/>
      <c r="XI230" s="740"/>
      <c r="XJ230" s="740"/>
      <c r="XK230" s="740"/>
      <c r="XL230" s="740"/>
      <c r="XM230" s="740"/>
      <c r="XN230" s="740"/>
      <c r="XO230" s="740"/>
      <c r="XP230" s="740"/>
      <c r="XQ230" s="740"/>
      <c r="XR230" s="740"/>
      <c r="XS230" s="740"/>
      <c r="XT230" s="740"/>
      <c r="XU230" s="740"/>
      <c r="XV230" s="740"/>
      <c r="XW230" s="740"/>
      <c r="XX230" s="740"/>
      <c r="XY230" s="740"/>
      <c r="XZ230" s="740"/>
      <c r="YA230" s="740"/>
      <c r="YB230" s="740"/>
      <c r="YC230" s="740"/>
      <c r="YD230" s="740"/>
      <c r="YE230" s="740"/>
      <c r="YF230" s="740"/>
      <c r="YG230" s="740"/>
      <c r="YH230" s="740"/>
      <c r="YI230" s="740"/>
      <c r="YJ230" s="740"/>
      <c r="YK230" s="740"/>
      <c r="YL230" s="740"/>
      <c r="YM230" s="740"/>
      <c r="YN230" s="740"/>
      <c r="YO230" s="740"/>
      <c r="YP230" s="740"/>
      <c r="YQ230" s="740"/>
      <c r="YR230" s="740"/>
      <c r="YS230" s="740"/>
      <c r="YT230" s="740"/>
      <c r="YU230" s="740"/>
      <c r="YV230" s="740"/>
      <c r="YW230" s="740"/>
      <c r="YX230" s="740"/>
      <c r="YY230" s="740"/>
      <c r="YZ230" s="740"/>
      <c r="ZA230" s="740"/>
      <c r="ZB230" s="740"/>
      <c r="ZC230" s="740"/>
      <c r="ZD230" s="740"/>
      <c r="ZE230" s="740"/>
      <c r="ZF230" s="740"/>
      <c r="ZG230" s="740"/>
      <c r="ZH230" s="740"/>
      <c r="ZI230" s="740"/>
      <c r="ZJ230" s="740"/>
      <c r="ZK230" s="740"/>
      <c r="ZL230" s="740"/>
      <c r="ZM230" s="740"/>
      <c r="ZN230" s="740"/>
      <c r="ZO230" s="740"/>
      <c r="ZP230" s="740"/>
      <c r="ZQ230" s="740"/>
      <c r="ZR230" s="740"/>
      <c r="ZS230" s="740"/>
      <c r="ZT230" s="740"/>
      <c r="ZU230" s="740"/>
      <c r="ZV230" s="740"/>
      <c r="ZW230" s="740"/>
      <c r="ZX230" s="740"/>
      <c r="ZY230" s="740"/>
      <c r="ZZ230" s="740"/>
      <c r="AAA230" s="740"/>
      <c r="AAB230" s="740"/>
      <c r="AAC230" s="740"/>
      <c r="AAD230" s="740"/>
      <c r="AAE230" s="740"/>
      <c r="AAF230" s="740"/>
      <c r="AAG230" s="740"/>
      <c r="AAH230" s="740"/>
      <c r="AAI230" s="740"/>
      <c r="AAJ230" s="740"/>
      <c r="AAK230" s="740"/>
      <c r="AAL230" s="740"/>
      <c r="AAM230" s="740"/>
      <c r="AAN230" s="740"/>
      <c r="AAO230" s="740"/>
      <c r="AAP230" s="740"/>
      <c r="AAQ230" s="740"/>
      <c r="AAR230" s="740"/>
      <c r="AAS230" s="740"/>
      <c r="AAT230" s="740"/>
      <c r="AAU230" s="740"/>
      <c r="AAV230" s="740"/>
      <c r="AAW230" s="740"/>
      <c r="AAX230" s="740"/>
      <c r="AAY230" s="740"/>
      <c r="AAZ230" s="740"/>
      <c r="ABA230" s="740"/>
      <c r="ABB230" s="740"/>
      <c r="ABC230" s="740"/>
      <c r="ABD230" s="740"/>
      <c r="ABE230" s="740"/>
      <c r="ABF230" s="740"/>
      <c r="ABG230" s="740"/>
      <c r="ABH230" s="740"/>
      <c r="ABI230" s="740"/>
      <c r="ABJ230" s="740"/>
      <c r="ABK230" s="740"/>
      <c r="ABL230" s="740"/>
      <c r="ABM230" s="740"/>
      <c r="ABN230" s="740"/>
      <c r="ABO230" s="740"/>
      <c r="ABP230" s="740"/>
      <c r="ABQ230" s="740"/>
      <c r="ABR230" s="740"/>
      <c r="ABS230" s="740"/>
      <c r="ABT230" s="740"/>
      <c r="ABU230" s="740"/>
      <c r="ABV230" s="740"/>
      <c r="ABW230" s="740"/>
      <c r="ABX230" s="740"/>
      <c r="ABY230" s="740"/>
      <c r="ABZ230" s="740"/>
      <c r="ACA230" s="740"/>
      <c r="ACB230" s="740"/>
      <c r="ACC230" s="740"/>
      <c r="ACD230" s="740"/>
      <c r="ACE230" s="740"/>
      <c r="ACF230" s="740"/>
      <c r="ACG230" s="740"/>
      <c r="ACH230" s="740"/>
      <c r="ACI230" s="740"/>
      <c r="ACJ230" s="740"/>
      <c r="ACK230" s="740"/>
      <c r="ACL230" s="740"/>
      <c r="ACM230" s="740"/>
      <c r="ACN230" s="740"/>
      <c r="ACO230" s="740"/>
      <c r="ACP230" s="740"/>
      <c r="ACQ230" s="740"/>
      <c r="ACR230" s="740"/>
      <c r="ACS230" s="740"/>
      <c r="ACT230" s="740"/>
      <c r="ACU230" s="740"/>
      <c r="ACV230" s="740"/>
      <c r="ACW230" s="740"/>
      <c r="ACX230" s="740"/>
      <c r="ACY230" s="740"/>
      <c r="ACZ230" s="740"/>
      <c r="ADA230" s="740"/>
      <c r="ADB230" s="740"/>
      <c r="ADC230" s="740"/>
      <c r="ADD230" s="740"/>
      <c r="ADE230" s="740"/>
      <c r="ADF230" s="740"/>
      <c r="ADG230" s="740"/>
      <c r="ADH230" s="740"/>
      <c r="ADI230" s="740"/>
      <c r="ADJ230" s="740"/>
      <c r="ADK230" s="740"/>
      <c r="ADL230" s="740"/>
      <c r="ADM230" s="740"/>
      <c r="ADN230" s="740"/>
      <c r="ADO230" s="740"/>
      <c r="ADP230" s="740"/>
      <c r="ADQ230" s="740"/>
      <c r="ADR230" s="740"/>
      <c r="ADS230" s="740"/>
      <c r="ADT230" s="740"/>
      <c r="ADU230" s="740"/>
      <c r="ADV230" s="740"/>
      <c r="ADW230" s="740"/>
      <c r="ADX230" s="740"/>
      <c r="ADY230" s="740"/>
      <c r="ADZ230" s="740"/>
      <c r="AEA230" s="740"/>
      <c r="AEB230" s="740"/>
      <c r="AEC230" s="740"/>
      <c r="AED230" s="740"/>
      <c r="AEE230" s="740"/>
      <c r="AEF230" s="740"/>
      <c r="AEG230" s="740"/>
      <c r="AEH230" s="740"/>
      <c r="AEI230" s="740"/>
      <c r="AEJ230" s="740"/>
      <c r="AEK230" s="740"/>
      <c r="AEL230" s="740"/>
      <c r="AEM230" s="740"/>
      <c r="AEN230" s="740"/>
      <c r="AEO230" s="740"/>
      <c r="AEP230" s="740"/>
      <c r="AEQ230" s="740"/>
      <c r="AER230" s="740"/>
      <c r="AES230" s="740"/>
      <c r="AET230" s="740"/>
      <c r="AEU230" s="740"/>
      <c r="AEV230" s="740"/>
      <c r="AEW230" s="740"/>
      <c r="AEX230" s="740"/>
      <c r="AEY230" s="740"/>
      <c r="AEZ230" s="740"/>
      <c r="AFA230" s="740"/>
      <c r="AFB230" s="740"/>
      <c r="AFC230" s="740"/>
      <c r="AFD230" s="740"/>
      <c r="AFE230" s="740"/>
      <c r="AFF230" s="740"/>
      <c r="AFG230" s="740"/>
      <c r="AFH230" s="740"/>
      <c r="AFI230" s="740"/>
      <c r="AFJ230" s="740"/>
      <c r="AFK230" s="740"/>
      <c r="AFL230" s="740"/>
      <c r="AFM230" s="740"/>
      <c r="AFN230" s="740"/>
      <c r="AFO230" s="740"/>
      <c r="AFP230" s="740"/>
      <c r="AFQ230" s="740"/>
      <c r="AFR230" s="740"/>
      <c r="AFS230" s="740"/>
      <c r="AFT230" s="740"/>
      <c r="AFU230" s="740"/>
      <c r="AFV230" s="740"/>
      <c r="AFW230" s="740"/>
      <c r="AFX230" s="740"/>
      <c r="AFY230" s="740"/>
      <c r="AFZ230" s="740"/>
      <c r="AGA230" s="740"/>
      <c r="AGB230" s="740"/>
      <c r="AGC230" s="740"/>
      <c r="AGD230" s="740"/>
      <c r="AGE230" s="740"/>
      <c r="AGF230" s="740"/>
      <c r="AGG230" s="740"/>
      <c r="AGH230" s="740"/>
      <c r="AGI230" s="740"/>
      <c r="AGJ230" s="740"/>
      <c r="AGK230" s="740"/>
      <c r="AGL230" s="740"/>
      <c r="AGM230" s="740"/>
      <c r="AGN230" s="740"/>
      <c r="AGO230" s="740"/>
      <c r="AGP230" s="740"/>
      <c r="AGQ230" s="740"/>
      <c r="AGR230" s="740"/>
      <c r="AGS230" s="740"/>
      <c r="AGT230" s="740"/>
      <c r="AGU230" s="740"/>
      <c r="AGV230" s="740"/>
      <c r="AGW230" s="740"/>
      <c r="AGX230" s="740"/>
      <c r="AGY230" s="740"/>
      <c r="AGZ230" s="740"/>
      <c r="AHA230" s="740"/>
      <c r="AHB230" s="740"/>
      <c r="AHC230" s="740"/>
      <c r="AHD230" s="740"/>
      <c r="AHE230" s="740"/>
      <c r="AHF230" s="740"/>
      <c r="AHG230" s="740"/>
      <c r="AHH230" s="740"/>
      <c r="AHI230" s="740"/>
      <c r="AHJ230" s="740"/>
      <c r="AHK230" s="740"/>
      <c r="AHL230" s="740"/>
      <c r="AHM230" s="740"/>
      <c r="AHN230" s="740"/>
      <c r="AHO230" s="740"/>
      <c r="AHP230" s="740"/>
      <c r="AHQ230" s="740"/>
      <c r="AHR230" s="740"/>
      <c r="AHS230" s="740"/>
      <c r="AHT230" s="740"/>
      <c r="AHU230" s="740"/>
      <c r="AHV230" s="740"/>
      <c r="AHW230" s="740"/>
      <c r="AHX230" s="740"/>
      <c r="AHY230" s="740"/>
      <c r="AHZ230" s="740"/>
      <c r="AIA230" s="740"/>
      <c r="AIB230" s="740"/>
      <c r="AIC230" s="740"/>
      <c r="AID230" s="740"/>
      <c r="AIE230" s="740"/>
      <c r="AIF230" s="740"/>
      <c r="AIG230" s="740"/>
      <c r="AIH230" s="740"/>
      <c r="AII230" s="740"/>
      <c r="AIJ230" s="740"/>
      <c r="AIK230" s="740"/>
      <c r="AIL230" s="740"/>
      <c r="AIM230" s="740"/>
      <c r="AIN230" s="740"/>
      <c r="AIO230" s="740"/>
      <c r="AIP230" s="740"/>
      <c r="AIQ230" s="740"/>
      <c r="AIR230" s="740"/>
      <c r="AIS230" s="740"/>
      <c r="AIT230" s="740"/>
      <c r="AIU230" s="740"/>
      <c r="AIV230" s="740"/>
      <c r="AIW230" s="740"/>
      <c r="AIX230" s="740"/>
      <c r="AIY230" s="740"/>
      <c r="AIZ230" s="740"/>
      <c r="AJA230" s="740"/>
      <c r="AJB230" s="740"/>
      <c r="AJC230" s="740"/>
      <c r="AJD230" s="740"/>
      <c r="AJE230" s="740"/>
      <c r="AJF230" s="740"/>
      <c r="AJG230" s="740"/>
      <c r="AJH230" s="740"/>
      <c r="AJI230" s="740"/>
      <c r="AJJ230" s="740"/>
      <c r="AJK230" s="740"/>
      <c r="AJL230" s="740"/>
      <c r="AJM230" s="740"/>
      <c r="AJN230" s="740"/>
      <c r="AJO230" s="740"/>
      <c r="AJP230" s="740"/>
      <c r="AJQ230" s="740"/>
      <c r="AJR230" s="740"/>
      <c r="AJS230" s="740"/>
      <c r="AJT230" s="740"/>
      <c r="AJU230" s="740"/>
      <c r="AJV230" s="740"/>
      <c r="AJW230" s="740"/>
      <c r="AJX230" s="740"/>
      <c r="AJY230" s="740"/>
      <c r="AJZ230" s="740"/>
      <c r="AKA230" s="740"/>
      <c r="AKB230" s="740"/>
      <c r="AKC230" s="740"/>
      <c r="AKD230" s="740"/>
      <c r="AKE230" s="740"/>
      <c r="AKF230" s="740"/>
      <c r="AKG230" s="740"/>
      <c r="AKH230" s="740"/>
      <c r="AKI230" s="740"/>
      <c r="AKJ230" s="740"/>
      <c r="AKK230" s="740"/>
      <c r="AKL230" s="740"/>
      <c r="AKM230" s="740"/>
      <c r="AKN230" s="740"/>
      <c r="AKO230" s="740"/>
      <c r="AKP230" s="740"/>
      <c r="AKQ230" s="740"/>
      <c r="AKR230" s="740"/>
      <c r="AKS230" s="740"/>
      <c r="AKT230" s="740"/>
      <c r="AKU230" s="740"/>
      <c r="AKV230" s="740"/>
      <c r="AKW230" s="740"/>
      <c r="AKX230" s="740"/>
      <c r="AKY230" s="740"/>
      <c r="AKZ230" s="740"/>
      <c r="ALA230" s="740"/>
      <c r="ALB230" s="740"/>
      <c r="ALC230" s="740"/>
      <c r="ALD230" s="740"/>
      <c r="ALE230" s="740"/>
      <c r="ALF230" s="740"/>
      <c r="ALG230" s="740"/>
      <c r="ALH230" s="740"/>
      <c r="ALI230" s="740"/>
      <c r="ALJ230" s="740"/>
      <c r="ALK230" s="740"/>
      <c r="ALL230" s="740"/>
      <c r="ALM230" s="740"/>
      <c r="ALN230" s="740"/>
      <c r="ALO230" s="740"/>
      <c r="ALP230" s="740"/>
      <c r="ALQ230" s="740"/>
      <c r="ALR230" s="740"/>
      <c r="ALS230" s="740"/>
      <c r="ALT230" s="740"/>
      <c r="ALU230" s="740"/>
      <c r="ALV230" s="740"/>
      <c r="ALW230" s="740"/>
      <c r="ALX230" s="740"/>
      <c r="ALY230" s="740"/>
      <c r="ALZ230" s="740"/>
      <c r="AMA230" s="740"/>
      <c r="AMB230" s="740"/>
      <c r="AMC230" s="740"/>
      <c r="AMD230" s="740"/>
      <c r="AME230" s="740"/>
      <c r="AMF230" s="740"/>
      <c r="AMG230" s="740"/>
      <c r="AMH230" s="740"/>
      <c r="AMI230" s="740"/>
      <c r="AMJ230" s="740"/>
      <c r="AMK230" s="740"/>
      <c r="AML230" s="740"/>
      <c r="AMM230" s="740"/>
      <c r="AMN230" s="740"/>
      <c r="AMO230" s="740"/>
      <c r="AMP230" s="740"/>
      <c r="AMQ230" s="740"/>
      <c r="AMR230" s="740"/>
      <c r="AMS230" s="740"/>
      <c r="AMT230" s="740"/>
      <c r="AMU230" s="740"/>
      <c r="AMV230" s="740"/>
      <c r="AMW230" s="740"/>
      <c r="AMX230" s="740"/>
      <c r="AMY230" s="740"/>
      <c r="AMZ230" s="740"/>
      <c r="ANA230" s="740"/>
      <c r="ANB230" s="740"/>
      <c r="ANC230" s="740"/>
      <c r="AND230" s="740"/>
      <c r="ANE230" s="740"/>
      <c r="ANF230" s="740"/>
      <c r="ANG230" s="740"/>
      <c r="ANH230" s="740"/>
      <c r="ANI230" s="740"/>
      <c r="ANJ230" s="740"/>
      <c r="ANK230" s="740"/>
      <c r="ANL230" s="740"/>
      <c r="ANM230" s="740"/>
      <c r="ANN230" s="740"/>
      <c r="ANO230" s="740"/>
      <c r="ANP230" s="740"/>
      <c r="ANQ230" s="740"/>
      <c r="ANR230" s="740"/>
      <c r="ANS230" s="740"/>
      <c r="ANT230" s="740"/>
      <c r="ANU230" s="740"/>
      <c r="ANV230" s="740"/>
      <c r="ANW230" s="740"/>
      <c r="ANX230" s="740"/>
      <c r="ANY230" s="740"/>
      <c r="ANZ230" s="740"/>
      <c r="AOA230" s="740"/>
      <c r="AOB230" s="740"/>
      <c r="AOC230" s="740"/>
      <c r="AOD230" s="740"/>
      <c r="AOE230" s="740"/>
      <c r="AOF230" s="740"/>
      <c r="AOG230" s="740"/>
      <c r="AOH230" s="740"/>
      <c r="AOI230" s="740"/>
      <c r="AOJ230" s="740"/>
      <c r="AOK230" s="740"/>
      <c r="AOL230" s="740"/>
      <c r="AOM230" s="740"/>
      <c r="AON230" s="740"/>
      <c r="AOO230" s="740"/>
      <c r="AOP230" s="740"/>
      <c r="AOQ230" s="740"/>
      <c r="AOR230" s="740"/>
      <c r="AOS230" s="740"/>
      <c r="AOT230" s="740"/>
      <c r="AOU230" s="740"/>
      <c r="AOV230" s="740"/>
      <c r="AOW230" s="740"/>
      <c r="AOX230" s="740"/>
      <c r="AOY230" s="740"/>
      <c r="AOZ230" s="740"/>
      <c r="APA230" s="740"/>
      <c r="APB230" s="740"/>
      <c r="APC230" s="740"/>
      <c r="APD230" s="740"/>
      <c r="APE230" s="740"/>
      <c r="APF230" s="740"/>
      <c r="APG230" s="740"/>
      <c r="APH230" s="740"/>
      <c r="API230" s="740"/>
      <c r="APJ230" s="740"/>
      <c r="APK230" s="740"/>
      <c r="APL230" s="740"/>
      <c r="APM230" s="740"/>
      <c r="APN230" s="740"/>
      <c r="APO230" s="740"/>
      <c r="APP230" s="740"/>
      <c r="APQ230" s="740"/>
      <c r="APR230" s="740"/>
      <c r="APS230" s="740"/>
      <c r="APT230" s="740"/>
      <c r="APU230" s="740"/>
      <c r="APV230" s="740"/>
      <c r="APW230" s="740"/>
      <c r="APX230" s="740"/>
      <c r="APY230" s="740"/>
      <c r="APZ230" s="740"/>
      <c r="AQA230" s="740"/>
      <c r="AQB230" s="740"/>
      <c r="AQC230" s="740"/>
      <c r="AQD230" s="740"/>
      <c r="AQE230" s="740"/>
      <c r="AQF230" s="740"/>
      <c r="AQG230" s="740"/>
      <c r="AQH230" s="740"/>
      <c r="AQI230" s="740"/>
      <c r="AQJ230" s="740"/>
      <c r="AQK230" s="740"/>
      <c r="AQL230" s="740"/>
      <c r="AQM230" s="740"/>
      <c r="AQN230" s="740"/>
      <c r="AQO230" s="740"/>
      <c r="AQP230" s="740"/>
      <c r="AQQ230" s="740"/>
      <c r="AQR230" s="740"/>
      <c r="AQS230" s="740"/>
      <c r="AQT230" s="740"/>
      <c r="AQU230" s="740"/>
      <c r="AQV230" s="740"/>
      <c r="AQW230" s="740"/>
      <c r="AQX230" s="740"/>
      <c r="AQY230" s="740"/>
      <c r="AQZ230" s="740"/>
      <c r="ARA230" s="740"/>
      <c r="ARB230" s="740"/>
      <c r="ARC230" s="740"/>
      <c r="ARD230" s="740"/>
      <c r="ARE230" s="740"/>
      <c r="ARF230" s="740"/>
      <c r="ARG230" s="740"/>
      <c r="ARH230" s="740"/>
      <c r="ARI230" s="740"/>
      <c r="ARJ230" s="740"/>
      <c r="ARK230" s="740"/>
      <c r="ARL230" s="740"/>
      <c r="ARM230" s="740"/>
      <c r="ARN230" s="740"/>
      <c r="ARO230" s="740"/>
      <c r="ARP230" s="740"/>
      <c r="ARQ230" s="740"/>
      <c r="ARR230" s="740"/>
      <c r="ARS230" s="740"/>
      <c r="ART230" s="740"/>
      <c r="ARU230" s="740"/>
      <c r="ARV230" s="740"/>
      <c r="ARW230" s="740"/>
      <c r="ARX230" s="740"/>
      <c r="ARY230" s="740"/>
      <c r="ARZ230" s="740"/>
      <c r="ASA230" s="740"/>
      <c r="ASB230" s="740"/>
      <c r="ASC230" s="740"/>
      <c r="ASD230" s="740"/>
      <c r="ASE230" s="740"/>
      <c r="ASF230" s="740"/>
      <c r="ASG230" s="740"/>
      <c r="ASH230" s="740"/>
      <c r="ASI230" s="740"/>
      <c r="ASJ230" s="740"/>
      <c r="ASK230" s="740"/>
      <c r="ASL230" s="740"/>
      <c r="ASM230" s="740"/>
      <c r="ASN230" s="740"/>
      <c r="ASO230" s="740"/>
      <c r="ASP230" s="740"/>
      <c r="ASQ230" s="740"/>
      <c r="ASR230" s="740"/>
      <c r="ASS230" s="740"/>
      <c r="AST230" s="740"/>
      <c r="ASU230" s="740"/>
      <c r="ASV230" s="740"/>
      <c r="ASW230" s="740"/>
      <c r="ASX230" s="740"/>
      <c r="ASY230" s="740"/>
      <c r="ASZ230" s="740"/>
      <c r="ATA230" s="740"/>
      <c r="ATB230" s="740"/>
      <c r="ATC230" s="740"/>
      <c r="ATD230" s="740"/>
      <c r="ATE230" s="740"/>
      <c r="ATF230" s="740"/>
      <c r="ATG230" s="740"/>
      <c r="ATH230" s="740"/>
      <c r="ATI230" s="740"/>
      <c r="ATJ230" s="740"/>
      <c r="ATK230" s="740"/>
      <c r="ATL230" s="740"/>
      <c r="ATM230" s="740"/>
      <c r="ATN230" s="740"/>
      <c r="ATO230" s="740"/>
      <c r="ATP230" s="740"/>
      <c r="ATQ230" s="740"/>
      <c r="ATR230" s="740"/>
      <c r="ATS230" s="740"/>
      <c r="ATT230" s="740"/>
      <c r="ATU230" s="740"/>
      <c r="ATV230" s="740"/>
      <c r="ATW230" s="740"/>
      <c r="ATX230" s="740"/>
      <c r="ATY230" s="740"/>
      <c r="ATZ230" s="740"/>
      <c r="AUA230" s="740"/>
      <c r="AUB230" s="740"/>
      <c r="AUC230" s="740"/>
      <c r="AUD230" s="740"/>
      <c r="AUE230" s="740"/>
      <c r="AUF230" s="740"/>
      <c r="AUG230" s="740"/>
      <c r="AUH230" s="740"/>
      <c r="AUI230" s="740"/>
      <c r="AUJ230" s="740"/>
      <c r="AUK230" s="740"/>
      <c r="AUL230" s="740"/>
      <c r="AUM230" s="740"/>
      <c r="AUN230" s="740"/>
      <c r="AUO230" s="740"/>
      <c r="AUP230" s="740"/>
      <c r="AUQ230" s="740"/>
      <c r="AUR230" s="740"/>
      <c r="AUS230" s="740"/>
      <c r="AUT230" s="740"/>
      <c r="AUU230" s="740"/>
      <c r="AUV230" s="740"/>
      <c r="AUW230" s="740"/>
      <c r="AUX230" s="740"/>
      <c r="AUY230" s="740"/>
      <c r="AUZ230" s="740"/>
      <c r="AVA230" s="740"/>
      <c r="AVB230" s="740"/>
      <c r="AVC230" s="740"/>
      <c r="AVD230" s="740"/>
      <c r="AVE230" s="740"/>
      <c r="AVF230" s="740"/>
      <c r="AVG230" s="740"/>
      <c r="AVH230" s="740"/>
      <c r="AVI230" s="740"/>
      <c r="AVJ230" s="740"/>
      <c r="AVK230" s="740"/>
      <c r="AVL230" s="740"/>
      <c r="AVM230" s="740"/>
      <c r="AVN230" s="740"/>
      <c r="AVO230" s="740"/>
      <c r="AVP230" s="740"/>
      <c r="AVQ230" s="740"/>
      <c r="AVR230" s="740"/>
      <c r="AVS230" s="740"/>
      <c r="AVT230" s="740"/>
      <c r="AVU230" s="740"/>
      <c r="AVV230" s="740"/>
      <c r="AVW230" s="740"/>
      <c r="AVX230" s="740"/>
      <c r="AVY230" s="740"/>
      <c r="AVZ230" s="740"/>
      <c r="AWA230" s="740"/>
      <c r="AWB230" s="740"/>
      <c r="AWC230" s="740"/>
      <c r="AWD230" s="740"/>
      <c r="AWE230" s="740"/>
      <c r="AWF230" s="740"/>
      <c r="AWG230" s="740"/>
      <c r="AWH230" s="740"/>
      <c r="AWI230" s="740"/>
      <c r="AWJ230" s="740"/>
      <c r="AWK230" s="740"/>
      <c r="AWL230" s="740"/>
      <c r="AWM230" s="740"/>
      <c r="AWN230" s="740"/>
      <c r="AWO230" s="740"/>
      <c r="AWP230" s="740"/>
      <c r="AWQ230" s="740"/>
      <c r="AWR230" s="740"/>
      <c r="AWS230" s="740"/>
      <c r="AWT230" s="740"/>
      <c r="AWU230" s="740"/>
      <c r="AWV230" s="740"/>
      <c r="AWW230" s="740"/>
      <c r="AWX230" s="740"/>
      <c r="AWY230" s="740"/>
      <c r="AWZ230" s="740"/>
      <c r="AXA230" s="740"/>
      <c r="AXB230" s="740"/>
      <c r="AXC230" s="740"/>
      <c r="AXD230" s="740"/>
      <c r="AXE230" s="740"/>
      <c r="AXF230" s="740"/>
      <c r="AXG230" s="740"/>
      <c r="AXH230" s="740"/>
      <c r="AXI230" s="740"/>
      <c r="AXJ230" s="740"/>
    </row>
    <row r="231" spans="1:1310" s="741" customFormat="1" ht="23.25" customHeight="1">
      <c r="A231" s="756"/>
      <c r="B231" s="9016" t="s">
        <v>1585</v>
      </c>
      <c r="C231" s="9016"/>
      <c r="D231" s="9016"/>
      <c r="E231" s="9016"/>
      <c r="F231" s="750"/>
      <c r="G231" s="9016" t="s">
        <v>1586</v>
      </c>
      <c r="H231" s="9016"/>
      <c r="I231" s="9016"/>
      <c r="J231" s="750"/>
      <c r="K231" s="9016" t="s">
        <v>1587</v>
      </c>
      <c r="L231" s="9016"/>
      <c r="M231" s="9016"/>
      <c r="N231" s="750"/>
      <c r="O231" s="9016" t="s">
        <v>1584</v>
      </c>
      <c r="P231" s="9016"/>
      <c r="Q231" s="750"/>
      <c r="R231" s="311"/>
      <c r="S231" s="311"/>
      <c r="T231" s="311"/>
      <c r="U231" s="311"/>
      <c r="V231" s="311"/>
      <c r="W231" s="311"/>
      <c r="X231" s="311"/>
      <c r="Y231" s="311"/>
      <c r="Z231" s="311"/>
      <c r="AA231" s="311"/>
      <c r="AB231" s="311"/>
      <c r="AC231" s="311"/>
      <c r="AD231" s="740"/>
      <c r="AE231" s="740"/>
      <c r="AF231" s="740"/>
      <c r="AG231" s="740"/>
      <c r="AH231" s="740"/>
      <c r="AI231" s="740"/>
      <c r="AJ231" s="740"/>
      <c r="AK231" s="740"/>
      <c r="AL231" s="740"/>
      <c r="AM231" s="740"/>
      <c r="AN231" s="740"/>
      <c r="AO231" s="740"/>
      <c r="AP231" s="740"/>
      <c r="AQ231" s="740"/>
      <c r="AR231" s="740"/>
      <c r="AS231" s="740"/>
      <c r="AT231" s="740"/>
      <c r="AU231" s="740"/>
      <c r="AV231" s="740"/>
      <c r="AW231" s="740"/>
      <c r="AX231" s="740"/>
      <c r="AY231" s="740"/>
      <c r="AZ231" s="740"/>
      <c r="BA231" s="740"/>
      <c r="BB231" s="740"/>
      <c r="BC231" s="740"/>
      <c r="BD231" s="740"/>
      <c r="BE231" s="740"/>
      <c r="BF231" s="740"/>
      <c r="BG231" s="740"/>
      <c r="BH231" s="740"/>
      <c r="BI231" s="740"/>
      <c r="BJ231" s="740"/>
      <c r="BK231" s="740"/>
      <c r="BL231" s="740"/>
      <c r="BM231" s="740"/>
      <c r="BN231" s="740"/>
      <c r="BO231" s="740"/>
      <c r="BP231" s="740"/>
      <c r="BQ231" s="740"/>
      <c r="BR231" s="740"/>
      <c r="BS231" s="740"/>
      <c r="BT231" s="740"/>
      <c r="BU231" s="740"/>
      <c r="BV231" s="740"/>
      <c r="BW231" s="740"/>
      <c r="BX231" s="740"/>
      <c r="BY231" s="740"/>
      <c r="BZ231" s="740"/>
      <c r="CA231" s="740"/>
      <c r="CB231" s="740"/>
      <c r="CC231" s="740"/>
      <c r="CD231" s="740"/>
      <c r="CE231" s="740"/>
      <c r="CF231" s="740"/>
      <c r="CG231" s="740"/>
      <c r="CH231" s="740"/>
      <c r="CI231" s="740"/>
      <c r="CJ231" s="740"/>
      <c r="CK231" s="740"/>
      <c r="CL231" s="740"/>
      <c r="CM231" s="740"/>
      <c r="CN231" s="740"/>
      <c r="CO231" s="740"/>
      <c r="CP231" s="740"/>
      <c r="CQ231" s="740"/>
      <c r="CR231" s="740"/>
      <c r="CS231" s="740"/>
      <c r="CT231" s="740"/>
      <c r="CU231" s="740"/>
      <c r="CV231" s="740"/>
      <c r="CW231" s="740"/>
      <c r="CX231" s="740"/>
      <c r="CY231" s="740"/>
      <c r="CZ231" s="740"/>
      <c r="DA231" s="740"/>
      <c r="DB231" s="740"/>
      <c r="DC231" s="740"/>
      <c r="DD231" s="740"/>
      <c r="DE231" s="740"/>
      <c r="DF231" s="740"/>
      <c r="DG231" s="740"/>
      <c r="DH231" s="740"/>
      <c r="DI231" s="740"/>
      <c r="DJ231" s="740"/>
      <c r="DK231" s="740"/>
      <c r="DL231" s="740"/>
      <c r="DM231" s="740"/>
      <c r="DN231" s="740"/>
      <c r="DO231" s="740"/>
      <c r="DP231" s="740"/>
      <c r="DQ231" s="740"/>
      <c r="DR231" s="740"/>
      <c r="DS231" s="740"/>
      <c r="DT231" s="740"/>
      <c r="DU231" s="740"/>
      <c r="DV231" s="740"/>
      <c r="DW231" s="740"/>
      <c r="DX231" s="740"/>
      <c r="DY231" s="740"/>
      <c r="DZ231" s="740"/>
      <c r="EA231" s="740"/>
      <c r="EB231" s="740"/>
      <c r="EC231" s="740"/>
      <c r="ED231" s="740"/>
      <c r="EE231" s="740"/>
      <c r="EF231" s="740"/>
      <c r="EG231" s="740"/>
      <c r="EH231" s="740"/>
      <c r="EI231" s="740"/>
      <c r="EJ231" s="740"/>
      <c r="EK231" s="740"/>
      <c r="EL231" s="740"/>
      <c r="EM231" s="740"/>
      <c r="EN231" s="740"/>
      <c r="EO231" s="740"/>
      <c r="EP231" s="740"/>
      <c r="EQ231" s="740"/>
      <c r="ER231" s="740"/>
      <c r="ES231" s="740"/>
      <c r="ET231" s="740"/>
      <c r="EU231" s="740"/>
      <c r="EV231" s="740"/>
      <c r="EW231" s="740"/>
      <c r="EX231" s="740"/>
      <c r="EY231" s="740"/>
      <c r="EZ231" s="740"/>
      <c r="FA231" s="740"/>
      <c r="FB231" s="740"/>
      <c r="FC231" s="740"/>
      <c r="FD231" s="740"/>
      <c r="FE231" s="740"/>
      <c r="FF231" s="740"/>
      <c r="FG231" s="740"/>
      <c r="FH231" s="740"/>
      <c r="FI231" s="740"/>
      <c r="FJ231" s="740"/>
      <c r="FK231" s="740"/>
      <c r="FL231" s="740"/>
      <c r="FM231" s="740"/>
      <c r="FN231" s="740"/>
      <c r="FO231" s="740"/>
      <c r="FP231" s="740"/>
      <c r="FQ231" s="740"/>
      <c r="FR231" s="740"/>
      <c r="FS231" s="740"/>
      <c r="FT231" s="740"/>
      <c r="FU231" s="740"/>
      <c r="FV231" s="740"/>
      <c r="FW231" s="740"/>
      <c r="FX231" s="740"/>
      <c r="FY231" s="740"/>
      <c r="FZ231" s="740"/>
      <c r="GA231" s="740"/>
      <c r="GB231" s="740"/>
      <c r="GC231" s="740"/>
      <c r="GD231" s="740"/>
      <c r="GE231" s="740"/>
      <c r="GF231" s="740"/>
      <c r="GG231" s="740"/>
      <c r="GH231" s="740"/>
      <c r="GI231" s="740"/>
      <c r="GJ231" s="740"/>
      <c r="GK231" s="740"/>
      <c r="GL231" s="740"/>
      <c r="GM231" s="740"/>
      <c r="GN231" s="740"/>
      <c r="GO231" s="740"/>
      <c r="GP231" s="740"/>
      <c r="GQ231" s="740"/>
      <c r="GR231" s="740"/>
      <c r="GS231" s="740"/>
      <c r="GT231" s="740"/>
      <c r="GU231" s="740"/>
      <c r="GV231" s="740"/>
      <c r="GW231" s="740"/>
      <c r="GX231" s="740"/>
      <c r="GY231" s="740"/>
      <c r="GZ231" s="740"/>
      <c r="HA231" s="740"/>
      <c r="HB231" s="740"/>
      <c r="HC231" s="740"/>
      <c r="HD231" s="740"/>
      <c r="HE231" s="740"/>
      <c r="HF231" s="740"/>
      <c r="HG231" s="740"/>
      <c r="HH231" s="740"/>
      <c r="HI231" s="740"/>
      <c r="HJ231" s="740"/>
      <c r="HK231" s="740"/>
      <c r="HL231" s="740"/>
      <c r="HM231" s="740"/>
      <c r="HN231" s="740"/>
      <c r="HO231" s="740"/>
      <c r="HP231" s="740"/>
      <c r="HQ231" s="740"/>
      <c r="HR231" s="740"/>
      <c r="HS231" s="740"/>
      <c r="HT231" s="740"/>
      <c r="HU231" s="740"/>
      <c r="HV231" s="740"/>
      <c r="HW231" s="740"/>
      <c r="HX231" s="740"/>
      <c r="HY231" s="740"/>
      <c r="HZ231" s="740"/>
      <c r="IA231" s="740"/>
      <c r="IB231" s="740"/>
      <c r="IC231" s="740"/>
      <c r="ID231" s="740"/>
      <c r="IE231" s="740"/>
      <c r="IF231" s="740"/>
      <c r="IG231" s="740"/>
      <c r="IH231" s="740"/>
      <c r="II231" s="740"/>
      <c r="IJ231" s="740"/>
      <c r="IK231" s="740"/>
      <c r="IL231" s="740"/>
      <c r="IM231" s="740"/>
      <c r="IN231" s="740"/>
      <c r="IO231" s="740"/>
      <c r="IP231" s="740"/>
      <c r="IQ231" s="740"/>
      <c r="IR231" s="740"/>
      <c r="IS231" s="740"/>
      <c r="IT231" s="740"/>
      <c r="IU231" s="740"/>
      <c r="IV231" s="740"/>
      <c r="IW231" s="740"/>
      <c r="IX231" s="740"/>
      <c r="IY231" s="740"/>
      <c r="IZ231" s="740"/>
      <c r="JA231" s="740"/>
      <c r="JB231" s="740"/>
      <c r="JC231" s="740"/>
      <c r="JD231" s="740"/>
      <c r="JE231" s="740"/>
      <c r="JF231" s="740"/>
      <c r="JG231" s="740"/>
      <c r="JH231" s="740"/>
      <c r="JI231" s="740"/>
      <c r="JJ231" s="740"/>
      <c r="JK231" s="740"/>
      <c r="JL231" s="740"/>
      <c r="JM231" s="740"/>
      <c r="JN231" s="740"/>
      <c r="JO231" s="740"/>
      <c r="JP231" s="740"/>
      <c r="JQ231" s="740"/>
      <c r="JR231" s="740"/>
      <c r="JS231" s="740"/>
      <c r="JT231" s="740"/>
      <c r="JU231" s="740"/>
      <c r="JV231" s="740"/>
      <c r="JW231" s="740"/>
      <c r="JX231" s="740"/>
      <c r="JY231" s="740"/>
      <c r="JZ231" s="740"/>
      <c r="KA231" s="740"/>
      <c r="KB231" s="740"/>
      <c r="KC231" s="740"/>
      <c r="KD231" s="740"/>
      <c r="KE231" s="740"/>
      <c r="KF231" s="740"/>
      <c r="KG231" s="740"/>
      <c r="KH231" s="740"/>
      <c r="KI231" s="740"/>
      <c r="KJ231" s="740"/>
      <c r="KK231" s="740"/>
      <c r="KL231" s="740"/>
      <c r="KM231" s="740"/>
      <c r="KN231" s="740"/>
      <c r="KO231" s="740"/>
      <c r="KP231" s="740"/>
      <c r="KQ231" s="740"/>
      <c r="KR231" s="740"/>
      <c r="KS231" s="740"/>
      <c r="KT231" s="740"/>
      <c r="KU231" s="740"/>
      <c r="KV231" s="740"/>
      <c r="KW231" s="740"/>
      <c r="KX231" s="740"/>
      <c r="KY231" s="740"/>
      <c r="KZ231" s="740"/>
      <c r="LA231" s="740"/>
      <c r="LB231" s="740"/>
      <c r="LC231" s="740"/>
      <c r="LD231" s="740"/>
      <c r="LE231" s="740"/>
      <c r="LF231" s="740"/>
      <c r="LG231" s="740"/>
      <c r="LH231" s="740"/>
      <c r="LI231" s="740"/>
      <c r="LJ231" s="740"/>
      <c r="LK231" s="740"/>
      <c r="LL231" s="740"/>
      <c r="LM231" s="740"/>
      <c r="LN231" s="740"/>
      <c r="LO231" s="740"/>
      <c r="LP231" s="740"/>
      <c r="LQ231" s="740"/>
      <c r="LR231" s="740"/>
      <c r="LS231" s="740"/>
      <c r="LT231" s="740"/>
      <c r="LU231" s="740"/>
      <c r="LV231" s="740"/>
      <c r="LW231" s="740"/>
      <c r="LX231" s="740"/>
      <c r="LY231" s="740"/>
      <c r="LZ231" s="740"/>
      <c r="MA231" s="740"/>
      <c r="MB231" s="740"/>
      <c r="MC231" s="740"/>
      <c r="MD231" s="740"/>
      <c r="ME231" s="740"/>
      <c r="MF231" s="740"/>
      <c r="MG231" s="740"/>
      <c r="MH231" s="740"/>
      <c r="MI231" s="740"/>
      <c r="MJ231" s="740"/>
      <c r="MK231" s="740"/>
      <c r="ML231" s="740"/>
      <c r="MM231" s="740"/>
      <c r="MN231" s="740"/>
      <c r="MO231" s="740"/>
      <c r="MP231" s="740"/>
      <c r="MQ231" s="740"/>
      <c r="MR231" s="740"/>
      <c r="MS231" s="740"/>
      <c r="MT231" s="740"/>
      <c r="MU231" s="740"/>
      <c r="MV231" s="740"/>
      <c r="MW231" s="740"/>
      <c r="MX231" s="740"/>
      <c r="MY231" s="740"/>
      <c r="MZ231" s="740"/>
      <c r="NA231" s="740"/>
      <c r="NB231" s="740"/>
      <c r="NC231" s="740"/>
      <c r="ND231" s="740"/>
      <c r="NE231" s="740"/>
      <c r="NF231" s="740"/>
      <c r="NG231" s="740"/>
      <c r="NH231" s="740"/>
      <c r="NI231" s="740"/>
      <c r="NJ231" s="740"/>
      <c r="NK231" s="740"/>
      <c r="NL231" s="740"/>
      <c r="NM231" s="740"/>
      <c r="NN231" s="740"/>
      <c r="NO231" s="740"/>
      <c r="NP231" s="740"/>
      <c r="NQ231" s="740"/>
      <c r="NR231" s="740"/>
      <c r="NS231" s="740"/>
      <c r="NT231" s="740"/>
      <c r="NU231" s="740"/>
      <c r="NV231" s="740"/>
      <c r="NW231" s="740"/>
      <c r="NX231" s="740"/>
      <c r="NY231" s="740"/>
      <c r="NZ231" s="740"/>
      <c r="OA231" s="740"/>
      <c r="OB231" s="740"/>
      <c r="OC231" s="740"/>
      <c r="OD231" s="740"/>
      <c r="OE231" s="740"/>
      <c r="OF231" s="740"/>
      <c r="OG231" s="740"/>
      <c r="OH231" s="740"/>
      <c r="OI231" s="740"/>
      <c r="OJ231" s="740"/>
      <c r="OK231" s="740"/>
      <c r="OL231" s="740"/>
      <c r="OM231" s="740"/>
      <c r="ON231" s="740"/>
      <c r="OO231" s="740"/>
      <c r="OP231" s="740"/>
      <c r="OQ231" s="740"/>
      <c r="OR231" s="740"/>
      <c r="OS231" s="740"/>
      <c r="OT231" s="740"/>
      <c r="OU231" s="740"/>
      <c r="OV231" s="740"/>
      <c r="OW231" s="740"/>
      <c r="OX231" s="740"/>
      <c r="OY231" s="740"/>
      <c r="OZ231" s="740"/>
      <c r="PA231" s="740"/>
      <c r="PB231" s="740"/>
      <c r="PC231" s="740"/>
      <c r="PD231" s="740"/>
      <c r="PE231" s="740"/>
      <c r="PF231" s="740"/>
      <c r="PG231" s="740"/>
      <c r="PH231" s="740"/>
      <c r="PI231" s="740"/>
      <c r="PJ231" s="740"/>
      <c r="PK231" s="740"/>
      <c r="PL231" s="740"/>
      <c r="PM231" s="740"/>
      <c r="PN231" s="740"/>
      <c r="PO231" s="740"/>
      <c r="PP231" s="740"/>
      <c r="PQ231" s="740"/>
      <c r="PR231" s="740"/>
      <c r="PS231" s="740"/>
      <c r="PT231" s="740"/>
      <c r="PU231" s="740"/>
      <c r="PV231" s="740"/>
      <c r="PW231" s="740"/>
      <c r="PX231" s="740"/>
      <c r="PY231" s="740"/>
      <c r="PZ231" s="740"/>
      <c r="QA231" s="740"/>
      <c r="QB231" s="740"/>
      <c r="QC231" s="740"/>
      <c r="QD231" s="740"/>
      <c r="QE231" s="740"/>
      <c r="QF231" s="740"/>
      <c r="QG231" s="740"/>
      <c r="QH231" s="740"/>
      <c r="QI231" s="740"/>
      <c r="QJ231" s="740"/>
      <c r="QK231" s="740"/>
      <c r="QL231" s="740"/>
      <c r="QM231" s="740"/>
      <c r="QN231" s="740"/>
      <c r="QO231" s="740"/>
      <c r="QP231" s="740"/>
      <c r="QQ231" s="740"/>
      <c r="QR231" s="740"/>
      <c r="QS231" s="740"/>
      <c r="QT231" s="740"/>
      <c r="QU231" s="740"/>
      <c r="QV231" s="740"/>
      <c r="QW231" s="740"/>
      <c r="QX231" s="740"/>
      <c r="QY231" s="740"/>
      <c r="QZ231" s="740"/>
      <c r="RA231" s="740"/>
      <c r="RB231" s="740"/>
      <c r="RC231" s="740"/>
      <c r="RD231" s="740"/>
      <c r="RE231" s="740"/>
      <c r="RF231" s="740"/>
      <c r="RG231" s="740"/>
      <c r="RH231" s="740"/>
      <c r="RI231" s="740"/>
      <c r="RJ231" s="740"/>
      <c r="RK231" s="740"/>
      <c r="RL231" s="740"/>
      <c r="RM231" s="740"/>
      <c r="RN231" s="740"/>
      <c r="RO231" s="740"/>
      <c r="RP231" s="740"/>
      <c r="RQ231" s="740"/>
      <c r="RR231" s="740"/>
      <c r="RS231" s="740"/>
      <c r="RT231" s="740"/>
      <c r="RU231" s="740"/>
      <c r="RV231" s="740"/>
      <c r="RW231" s="740"/>
      <c r="RX231" s="740"/>
      <c r="RY231" s="740"/>
      <c r="RZ231" s="740"/>
      <c r="SA231" s="740"/>
      <c r="SB231" s="740"/>
      <c r="SC231" s="740"/>
      <c r="SD231" s="740"/>
      <c r="SE231" s="740"/>
      <c r="SF231" s="740"/>
      <c r="SG231" s="740"/>
      <c r="SH231" s="740"/>
      <c r="SI231" s="740"/>
      <c r="SJ231" s="740"/>
      <c r="SK231" s="740"/>
      <c r="SL231" s="740"/>
      <c r="SM231" s="740"/>
      <c r="SN231" s="740"/>
      <c r="SO231" s="740"/>
      <c r="SP231" s="740"/>
      <c r="SQ231" s="740"/>
      <c r="SR231" s="740"/>
      <c r="SS231" s="740"/>
      <c r="ST231" s="740"/>
      <c r="SU231" s="740"/>
      <c r="SV231" s="740"/>
      <c r="SW231" s="740"/>
      <c r="SX231" s="740"/>
      <c r="SY231" s="740"/>
      <c r="SZ231" s="740"/>
      <c r="TA231" s="740"/>
      <c r="TB231" s="740"/>
      <c r="TC231" s="740"/>
      <c r="TD231" s="740"/>
      <c r="TE231" s="740"/>
      <c r="TF231" s="740"/>
      <c r="TG231" s="740"/>
      <c r="TH231" s="740"/>
      <c r="TI231" s="740"/>
      <c r="TJ231" s="740"/>
      <c r="TK231" s="740"/>
      <c r="TL231" s="740"/>
      <c r="TM231" s="740"/>
      <c r="TN231" s="740"/>
      <c r="TO231" s="740"/>
      <c r="TP231" s="740"/>
      <c r="TQ231" s="740"/>
      <c r="TR231" s="740"/>
      <c r="TS231" s="740"/>
      <c r="TT231" s="740"/>
      <c r="TU231" s="740"/>
      <c r="TV231" s="740"/>
      <c r="TW231" s="740"/>
      <c r="TX231" s="740"/>
      <c r="TY231" s="740"/>
      <c r="TZ231" s="740"/>
      <c r="UA231" s="740"/>
      <c r="UB231" s="740"/>
      <c r="UC231" s="740"/>
      <c r="UD231" s="740"/>
      <c r="UE231" s="740"/>
      <c r="UF231" s="740"/>
      <c r="UG231" s="740"/>
      <c r="UH231" s="740"/>
      <c r="UI231" s="740"/>
      <c r="UJ231" s="740"/>
      <c r="UK231" s="740"/>
      <c r="UL231" s="740"/>
      <c r="UM231" s="740"/>
      <c r="UN231" s="740"/>
      <c r="UO231" s="740"/>
      <c r="UP231" s="740"/>
      <c r="UQ231" s="740"/>
      <c r="UR231" s="740"/>
      <c r="US231" s="740"/>
      <c r="UT231" s="740"/>
      <c r="UU231" s="740"/>
      <c r="UV231" s="740"/>
      <c r="UW231" s="740"/>
      <c r="UX231" s="740"/>
      <c r="UY231" s="740"/>
      <c r="UZ231" s="740"/>
      <c r="VA231" s="740"/>
      <c r="VB231" s="740"/>
      <c r="VC231" s="740"/>
      <c r="VD231" s="740"/>
      <c r="VE231" s="740"/>
      <c r="VF231" s="740"/>
      <c r="VG231" s="740"/>
      <c r="VH231" s="740"/>
      <c r="VI231" s="740"/>
      <c r="VJ231" s="740"/>
      <c r="VK231" s="740"/>
      <c r="VL231" s="740"/>
      <c r="VM231" s="740"/>
      <c r="VN231" s="740"/>
      <c r="VO231" s="740"/>
      <c r="VP231" s="740"/>
      <c r="VQ231" s="740"/>
      <c r="VR231" s="740"/>
      <c r="VS231" s="740"/>
      <c r="VT231" s="740"/>
      <c r="VU231" s="740"/>
      <c r="VV231" s="740"/>
      <c r="VW231" s="740"/>
      <c r="VX231" s="740"/>
      <c r="VY231" s="740"/>
      <c r="VZ231" s="740"/>
      <c r="WA231" s="740"/>
      <c r="WB231" s="740"/>
      <c r="WC231" s="740"/>
      <c r="WD231" s="740"/>
      <c r="WE231" s="740"/>
      <c r="WF231" s="740"/>
      <c r="WG231" s="740"/>
      <c r="WH231" s="740"/>
      <c r="WI231" s="740"/>
      <c r="WJ231" s="740"/>
      <c r="WK231" s="740"/>
      <c r="WL231" s="740"/>
      <c r="WM231" s="740"/>
      <c r="WN231" s="740"/>
      <c r="WO231" s="740"/>
      <c r="WP231" s="740"/>
      <c r="WQ231" s="740"/>
      <c r="WR231" s="740"/>
      <c r="WS231" s="740"/>
      <c r="WT231" s="740"/>
      <c r="WU231" s="740"/>
      <c r="WV231" s="740"/>
      <c r="WW231" s="740"/>
      <c r="WX231" s="740"/>
      <c r="WY231" s="740"/>
      <c r="WZ231" s="740"/>
      <c r="XA231" s="740"/>
      <c r="XB231" s="740"/>
      <c r="XC231" s="740"/>
      <c r="XD231" s="740"/>
      <c r="XE231" s="740"/>
      <c r="XF231" s="740"/>
      <c r="XG231" s="740"/>
      <c r="XH231" s="740"/>
      <c r="XI231" s="740"/>
      <c r="XJ231" s="740"/>
      <c r="XK231" s="740"/>
      <c r="XL231" s="740"/>
      <c r="XM231" s="740"/>
      <c r="XN231" s="740"/>
      <c r="XO231" s="740"/>
      <c r="XP231" s="740"/>
      <c r="XQ231" s="740"/>
      <c r="XR231" s="740"/>
      <c r="XS231" s="740"/>
      <c r="XT231" s="740"/>
      <c r="XU231" s="740"/>
      <c r="XV231" s="740"/>
      <c r="XW231" s="740"/>
      <c r="XX231" s="740"/>
      <c r="XY231" s="740"/>
      <c r="XZ231" s="740"/>
      <c r="YA231" s="740"/>
      <c r="YB231" s="740"/>
      <c r="YC231" s="740"/>
      <c r="YD231" s="740"/>
      <c r="YE231" s="740"/>
      <c r="YF231" s="740"/>
      <c r="YG231" s="740"/>
      <c r="YH231" s="740"/>
      <c r="YI231" s="740"/>
      <c r="YJ231" s="740"/>
      <c r="YK231" s="740"/>
      <c r="YL231" s="740"/>
      <c r="YM231" s="740"/>
      <c r="YN231" s="740"/>
      <c r="YO231" s="740"/>
      <c r="YP231" s="740"/>
      <c r="YQ231" s="740"/>
      <c r="YR231" s="740"/>
      <c r="YS231" s="740"/>
      <c r="YT231" s="740"/>
      <c r="YU231" s="740"/>
      <c r="YV231" s="740"/>
      <c r="YW231" s="740"/>
      <c r="YX231" s="740"/>
      <c r="YY231" s="740"/>
      <c r="YZ231" s="740"/>
      <c r="ZA231" s="740"/>
      <c r="ZB231" s="740"/>
      <c r="ZC231" s="740"/>
      <c r="ZD231" s="740"/>
      <c r="ZE231" s="740"/>
      <c r="ZF231" s="740"/>
      <c r="ZG231" s="740"/>
      <c r="ZH231" s="740"/>
      <c r="ZI231" s="740"/>
      <c r="ZJ231" s="740"/>
      <c r="ZK231" s="740"/>
      <c r="ZL231" s="740"/>
      <c r="ZM231" s="740"/>
      <c r="ZN231" s="740"/>
      <c r="ZO231" s="740"/>
      <c r="ZP231" s="740"/>
      <c r="ZQ231" s="740"/>
      <c r="ZR231" s="740"/>
      <c r="ZS231" s="740"/>
      <c r="ZT231" s="740"/>
      <c r="ZU231" s="740"/>
      <c r="ZV231" s="740"/>
      <c r="ZW231" s="740"/>
      <c r="ZX231" s="740"/>
      <c r="ZY231" s="740"/>
      <c r="ZZ231" s="740"/>
      <c r="AAA231" s="740"/>
      <c r="AAB231" s="740"/>
      <c r="AAC231" s="740"/>
      <c r="AAD231" s="740"/>
      <c r="AAE231" s="740"/>
      <c r="AAF231" s="740"/>
      <c r="AAG231" s="740"/>
      <c r="AAH231" s="740"/>
      <c r="AAI231" s="740"/>
      <c r="AAJ231" s="740"/>
      <c r="AAK231" s="740"/>
      <c r="AAL231" s="740"/>
      <c r="AAM231" s="740"/>
      <c r="AAN231" s="740"/>
      <c r="AAO231" s="740"/>
      <c r="AAP231" s="740"/>
      <c r="AAQ231" s="740"/>
      <c r="AAR231" s="740"/>
      <c r="AAS231" s="740"/>
      <c r="AAT231" s="740"/>
      <c r="AAU231" s="740"/>
      <c r="AAV231" s="740"/>
      <c r="AAW231" s="740"/>
      <c r="AAX231" s="740"/>
      <c r="AAY231" s="740"/>
      <c r="AAZ231" s="740"/>
      <c r="ABA231" s="740"/>
      <c r="ABB231" s="740"/>
      <c r="ABC231" s="740"/>
      <c r="ABD231" s="740"/>
      <c r="ABE231" s="740"/>
      <c r="ABF231" s="740"/>
      <c r="ABG231" s="740"/>
      <c r="ABH231" s="740"/>
      <c r="ABI231" s="740"/>
      <c r="ABJ231" s="740"/>
      <c r="ABK231" s="740"/>
      <c r="ABL231" s="740"/>
      <c r="ABM231" s="740"/>
      <c r="ABN231" s="740"/>
      <c r="ABO231" s="740"/>
      <c r="ABP231" s="740"/>
      <c r="ABQ231" s="740"/>
      <c r="ABR231" s="740"/>
      <c r="ABS231" s="740"/>
      <c r="ABT231" s="740"/>
      <c r="ABU231" s="740"/>
      <c r="ABV231" s="740"/>
      <c r="ABW231" s="740"/>
      <c r="ABX231" s="740"/>
      <c r="ABY231" s="740"/>
      <c r="ABZ231" s="740"/>
      <c r="ACA231" s="740"/>
      <c r="ACB231" s="740"/>
      <c r="ACC231" s="740"/>
      <c r="ACD231" s="740"/>
      <c r="ACE231" s="740"/>
      <c r="ACF231" s="740"/>
      <c r="ACG231" s="740"/>
      <c r="ACH231" s="740"/>
      <c r="ACI231" s="740"/>
      <c r="ACJ231" s="740"/>
      <c r="ACK231" s="740"/>
      <c r="ACL231" s="740"/>
      <c r="ACM231" s="740"/>
      <c r="ACN231" s="740"/>
      <c r="ACO231" s="740"/>
      <c r="ACP231" s="740"/>
      <c r="ACQ231" s="740"/>
      <c r="ACR231" s="740"/>
      <c r="ACS231" s="740"/>
      <c r="ACT231" s="740"/>
      <c r="ACU231" s="740"/>
      <c r="ACV231" s="740"/>
      <c r="ACW231" s="740"/>
      <c r="ACX231" s="740"/>
      <c r="ACY231" s="740"/>
      <c r="ACZ231" s="740"/>
      <c r="ADA231" s="740"/>
      <c r="ADB231" s="740"/>
      <c r="ADC231" s="740"/>
      <c r="ADD231" s="740"/>
      <c r="ADE231" s="740"/>
      <c r="ADF231" s="740"/>
      <c r="ADG231" s="740"/>
      <c r="ADH231" s="740"/>
      <c r="ADI231" s="740"/>
      <c r="ADJ231" s="740"/>
      <c r="ADK231" s="740"/>
      <c r="ADL231" s="740"/>
      <c r="ADM231" s="740"/>
      <c r="ADN231" s="740"/>
      <c r="ADO231" s="740"/>
      <c r="ADP231" s="740"/>
      <c r="ADQ231" s="740"/>
      <c r="ADR231" s="740"/>
      <c r="ADS231" s="740"/>
      <c r="ADT231" s="740"/>
      <c r="ADU231" s="740"/>
      <c r="ADV231" s="740"/>
      <c r="ADW231" s="740"/>
      <c r="ADX231" s="740"/>
      <c r="ADY231" s="740"/>
      <c r="ADZ231" s="740"/>
      <c r="AEA231" s="740"/>
      <c r="AEB231" s="740"/>
      <c r="AEC231" s="740"/>
      <c r="AED231" s="740"/>
      <c r="AEE231" s="740"/>
      <c r="AEF231" s="740"/>
      <c r="AEG231" s="740"/>
      <c r="AEH231" s="740"/>
      <c r="AEI231" s="740"/>
      <c r="AEJ231" s="740"/>
      <c r="AEK231" s="740"/>
      <c r="AEL231" s="740"/>
      <c r="AEM231" s="740"/>
      <c r="AEN231" s="740"/>
      <c r="AEO231" s="740"/>
      <c r="AEP231" s="740"/>
      <c r="AEQ231" s="740"/>
      <c r="AER231" s="740"/>
      <c r="AES231" s="740"/>
      <c r="AET231" s="740"/>
      <c r="AEU231" s="740"/>
      <c r="AEV231" s="740"/>
      <c r="AEW231" s="740"/>
      <c r="AEX231" s="740"/>
      <c r="AEY231" s="740"/>
      <c r="AEZ231" s="740"/>
      <c r="AFA231" s="740"/>
      <c r="AFB231" s="740"/>
      <c r="AFC231" s="740"/>
      <c r="AFD231" s="740"/>
      <c r="AFE231" s="740"/>
      <c r="AFF231" s="740"/>
      <c r="AFG231" s="740"/>
      <c r="AFH231" s="740"/>
      <c r="AFI231" s="740"/>
      <c r="AFJ231" s="740"/>
      <c r="AFK231" s="740"/>
      <c r="AFL231" s="740"/>
      <c r="AFM231" s="740"/>
      <c r="AFN231" s="740"/>
      <c r="AFO231" s="740"/>
      <c r="AFP231" s="740"/>
      <c r="AFQ231" s="740"/>
      <c r="AFR231" s="740"/>
      <c r="AFS231" s="740"/>
      <c r="AFT231" s="740"/>
      <c r="AFU231" s="740"/>
      <c r="AFV231" s="740"/>
      <c r="AFW231" s="740"/>
      <c r="AFX231" s="740"/>
      <c r="AFY231" s="740"/>
      <c r="AFZ231" s="740"/>
      <c r="AGA231" s="740"/>
      <c r="AGB231" s="740"/>
      <c r="AGC231" s="740"/>
      <c r="AGD231" s="740"/>
      <c r="AGE231" s="740"/>
      <c r="AGF231" s="740"/>
      <c r="AGG231" s="740"/>
      <c r="AGH231" s="740"/>
      <c r="AGI231" s="740"/>
      <c r="AGJ231" s="740"/>
      <c r="AGK231" s="740"/>
      <c r="AGL231" s="740"/>
      <c r="AGM231" s="740"/>
      <c r="AGN231" s="740"/>
      <c r="AGO231" s="740"/>
      <c r="AGP231" s="740"/>
      <c r="AGQ231" s="740"/>
      <c r="AGR231" s="740"/>
      <c r="AGS231" s="740"/>
      <c r="AGT231" s="740"/>
      <c r="AGU231" s="740"/>
      <c r="AGV231" s="740"/>
      <c r="AGW231" s="740"/>
      <c r="AGX231" s="740"/>
      <c r="AGY231" s="740"/>
      <c r="AGZ231" s="740"/>
      <c r="AHA231" s="740"/>
      <c r="AHB231" s="740"/>
      <c r="AHC231" s="740"/>
      <c r="AHD231" s="740"/>
      <c r="AHE231" s="740"/>
      <c r="AHF231" s="740"/>
      <c r="AHG231" s="740"/>
      <c r="AHH231" s="740"/>
      <c r="AHI231" s="740"/>
      <c r="AHJ231" s="740"/>
      <c r="AHK231" s="740"/>
      <c r="AHL231" s="740"/>
      <c r="AHM231" s="740"/>
      <c r="AHN231" s="740"/>
      <c r="AHO231" s="740"/>
      <c r="AHP231" s="740"/>
      <c r="AHQ231" s="740"/>
      <c r="AHR231" s="740"/>
      <c r="AHS231" s="740"/>
      <c r="AHT231" s="740"/>
      <c r="AHU231" s="740"/>
      <c r="AHV231" s="740"/>
      <c r="AHW231" s="740"/>
      <c r="AHX231" s="740"/>
      <c r="AHY231" s="740"/>
      <c r="AHZ231" s="740"/>
      <c r="AIA231" s="740"/>
      <c r="AIB231" s="740"/>
      <c r="AIC231" s="740"/>
      <c r="AID231" s="740"/>
      <c r="AIE231" s="740"/>
      <c r="AIF231" s="740"/>
      <c r="AIG231" s="740"/>
      <c r="AIH231" s="740"/>
      <c r="AII231" s="740"/>
      <c r="AIJ231" s="740"/>
      <c r="AIK231" s="740"/>
      <c r="AIL231" s="740"/>
      <c r="AIM231" s="740"/>
      <c r="AIN231" s="740"/>
      <c r="AIO231" s="740"/>
      <c r="AIP231" s="740"/>
      <c r="AIQ231" s="740"/>
      <c r="AIR231" s="740"/>
      <c r="AIS231" s="740"/>
      <c r="AIT231" s="740"/>
      <c r="AIU231" s="740"/>
      <c r="AIV231" s="740"/>
      <c r="AIW231" s="740"/>
      <c r="AIX231" s="740"/>
      <c r="AIY231" s="740"/>
      <c r="AIZ231" s="740"/>
      <c r="AJA231" s="740"/>
      <c r="AJB231" s="740"/>
      <c r="AJC231" s="740"/>
      <c r="AJD231" s="740"/>
      <c r="AJE231" s="740"/>
      <c r="AJF231" s="740"/>
      <c r="AJG231" s="740"/>
      <c r="AJH231" s="740"/>
      <c r="AJI231" s="740"/>
      <c r="AJJ231" s="740"/>
      <c r="AJK231" s="740"/>
      <c r="AJL231" s="740"/>
      <c r="AJM231" s="740"/>
      <c r="AJN231" s="740"/>
      <c r="AJO231" s="740"/>
      <c r="AJP231" s="740"/>
      <c r="AJQ231" s="740"/>
      <c r="AJR231" s="740"/>
      <c r="AJS231" s="740"/>
      <c r="AJT231" s="740"/>
      <c r="AJU231" s="740"/>
      <c r="AJV231" s="740"/>
      <c r="AJW231" s="740"/>
      <c r="AJX231" s="740"/>
      <c r="AJY231" s="740"/>
      <c r="AJZ231" s="740"/>
      <c r="AKA231" s="740"/>
      <c r="AKB231" s="740"/>
      <c r="AKC231" s="740"/>
      <c r="AKD231" s="740"/>
      <c r="AKE231" s="740"/>
      <c r="AKF231" s="740"/>
      <c r="AKG231" s="740"/>
      <c r="AKH231" s="740"/>
      <c r="AKI231" s="740"/>
      <c r="AKJ231" s="740"/>
      <c r="AKK231" s="740"/>
      <c r="AKL231" s="740"/>
      <c r="AKM231" s="740"/>
      <c r="AKN231" s="740"/>
      <c r="AKO231" s="740"/>
      <c r="AKP231" s="740"/>
      <c r="AKQ231" s="740"/>
      <c r="AKR231" s="740"/>
      <c r="AKS231" s="740"/>
      <c r="AKT231" s="740"/>
      <c r="AKU231" s="740"/>
      <c r="AKV231" s="740"/>
      <c r="AKW231" s="740"/>
      <c r="AKX231" s="740"/>
      <c r="AKY231" s="740"/>
      <c r="AKZ231" s="740"/>
      <c r="ALA231" s="740"/>
      <c r="ALB231" s="740"/>
      <c r="ALC231" s="740"/>
      <c r="ALD231" s="740"/>
      <c r="ALE231" s="740"/>
      <c r="ALF231" s="740"/>
      <c r="ALG231" s="740"/>
      <c r="ALH231" s="740"/>
      <c r="ALI231" s="740"/>
      <c r="ALJ231" s="740"/>
      <c r="ALK231" s="740"/>
      <c r="ALL231" s="740"/>
      <c r="ALM231" s="740"/>
      <c r="ALN231" s="740"/>
      <c r="ALO231" s="740"/>
      <c r="ALP231" s="740"/>
      <c r="ALQ231" s="740"/>
      <c r="ALR231" s="740"/>
      <c r="ALS231" s="740"/>
      <c r="ALT231" s="740"/>
      <c r="ALU231" s="740"/>
      <c r="ALV231" s="740"/>
      <c r="ALW231" s="740"/>
      <c r="ALX231" s="740"/>
      <c r="ALY231" s="740"/>
      <c r="ALZ231" s="740"/>
      <c r="AMA231" s="740"/>
      <c r="AMB231" s="740"/>
      <c r="AMC231" s="740"/>
      <c r="AMD231" s="740"/>
      <c r="AME231" s="740"/>
      <c r="AMF231" s="740"/>
      <c r="AMG231" s="740"/>
      <c r="AMH231" s="740"/>
      <c r="AMI231" s="740"/>
      <c r="AMJ231" s="740"/>
      <c r="AMK231" s="740"/>
      <c r="AML231" s="740"/>
      <c r="AMM231" s="740"/>
      <c r="AMN231" s="740"/>
      <c r="AMO231" s="740"/>
      <c r="AMP231" s="740"/>
      <c r="AMQ231" s="740"/>
      <c r="AMR231" s="740"/>
      <c r="AMS231" s="740"/>
      <c r="AMT231" s="740"/>
      <c r="AMU231" s="740"/>
      <c r="AMV231" s="740"/>
      <c r="AMW231" s="740"/>
      <c r="AMX231" s="740"/>
      <c r="AMY231" s="740"/>
      <c r="AMZ231" s="740"/>
      <c r="ANA231" s="740"/>
      <c r="ANB231" s="740"/>
      <c r="ANC231" s="740"/>
      <c r="AND231" s="740"/>
      <c r="ANE231" s="740"/>
      <c r="ANF231" s="740"/>
      <c r="ANG231" s="740"/>
      <c r="ANH231" s="740"/>
      <c r="ANI231" s="740"/>
      <c r="ANJ231" s="740"/>
      <c r="ANK231" s="740"/>
      <c r="ANL231" s="740"/>
      <c r="ANM231" s="740"/>
      <c r="ANN231" s="740"/>
      <c r="ANO231" s="740"/>
      <c r="ANP231" s="740"/>
      <c r="ANQ231" s="740"/>
      <c r="ANR231" s="740"/>
      <c r="ANS231" s="740"/>
      <c r="ANT231" s="740"/>
      <c r="ANU231" s="740"/>
      <c r="ANV231" s="740"/>
      <c r="ANW231" s="740"/>
      <c r="ANX231" s="740"/>
      <c r="ANY231" s="740"/>
      <c r="ANZ231" s="740"/>
      <c r="AOA231" s="740"/>
      <c r="AOB231" s="740"/>
      <c r="AOC231" s="740"/>
      <c r="AOD231" s="740"/>
      <c r="AOE231" s="740"/>
      <c r="AOF231" s="740"/>
      <c r="AOG231" s="740"/>
      <c r="AOH231" s="740"/>
      <c r="AOI231" s="740"/>
      <c r="AOJ231" s="740"/>
      <c r="AOK231" s="740"/>
      <c r="AOL231" s="740"/>
      <c r="AOM231" s="740"/>
      <c r="AON231" s="740"/>
      <c r="AOO231" s="740"/>
      <c r="AOP231" s="740"/>
      <c r="AOQ231" s="740"/>
      <c r="AOR231" s="740"/>
      <c r="AOS231" s="740"/>
      <c r="AOT231" s="740"/>
      <c r="AOU231" s="740"/>
      <c r="AOV231" s="740"/>
      <c r="AOW231" s="740"/>
      <c r="AOX231" s="740"/>
      <c r="AOY231" s="740"/>
      <c r="AOZ231" s="740"/>
      <c r="APA231" s="740"/>
      <c r="APB231" s="740"/>
      <c r="APC231" s="740"/>
      <c r="APD231" s="740"/>
      <c r="APE231" s="740"/>
      <c r="APF231" s="740"/>
      <c r="APG231" s="740"/>
      <c r="APH231" s="740"/>
      <c r="API231" s="740"/>
      <c r="APJ231" s="740"/>
      <c r="APK231" s="740"/>
      <c r="APL231" s="740"/>
      <c r="APM231" s="740"/>
      <c r="APN231" s="740"/>
      <c r="APO231" s="740"/>
      <c r="APP231" s="740"/>
      <c r="APQ231" s="740"/>
      <c r="APR231" s="740"/>
      <c r="APS231" s="740"/>
      <c r="APT231" s="740"/>
      <c r="APU231" s="740"/>
      <c r="APV231" s="740"/>
      <c r="APW231" s="740"/>
      <c r="APX231" s="740"/>
      <c r="APY231" s="740"/>
      <c r="APZ231" s="740"/>
      <c r="AQA231" s="740"/>
      <c r="AQB231" s="740"/>
      <c r="AQC231" s="740"/>
      <c r="AQD231" s="740"/>
      <c r="AQE231" s="740"/>
      <c r="AQF231" s="740"/>
      <c r="AQG231" s="740"/>
      <c r="AQH231" s="740"/>
      <c r="AQI231" s="740"/>
      <c r="AQJ231" s="740"/>
      <c r="AQK231" s="740"/>
      <c r="AQL231" s="740"/>
      <c r="AQM231" s="740"/>
      <c r="AQN231" s="740"/>
      <c r="AQO231" s="740"/>
      <c r="AQP231" s="740"/>
      <c r="AQQ231" s="740"/>
      <c r="AQR231" s="740"/>
      <c r="AQS231" s="740"/>
      <c r="AQT231" s="740"/>
      <c r="AQU231" s="740"/>
      <c r="AQV231" s="740"/>
      <c r="AQW231" s="740"/>
      <c r="AQX231" s="740"/>
      <c r="AQY231" s="740"/>
      <c r="AQZ231" s="740"/>
      <c r="ARA231" s="740"/>
      <c r="ARB231" s="740"/>
      <c r="ARC231" s="740"/>
      <c r="ARD231" s="740"/>
      <c r="ARE231" s="740"/>
      <c r="ARF231" s="740"/>
      <c r="ARG231" s="740"/>
      <c r="ARH231" s="740"/>
      <c r="ARI231" s="740"/>
      <c r="ARJ231" s="740"/>
      <c r="ARK231" s="740"/>
      <c r="ARL231" s="740"/>
      <c r="ARM231" s="740"/>
      <c r="ARN231" s="740"/>
      <c r="ARO231" s="740"/>
      <c r="ARP231" s="740"/>
      <c r="ARQ231" s="740"/>
      <c r="ARR231" s="740"/>
      <c r="ARS231" s="740"/>
      <c r="ART231" s="740"/>
      <c r="ARU231" s="740"/>
      <c r="ARV231" s="740"/>
      <c r="ARW231" s="740"/>
      <c r="ARX231" s="740"/>
      <c r="ARY231" s="740"/>
      <c r="ARZ231" s="740"/>
      <c r="ASA231" s="740"/>
      <c r="ASB231" s="740"/>
      <c r="ASC231" s="740"/>
      <c r="ASD231" s="740"/>
      <c r="ASE231" s="740"/>
      <c r="ASF231" s="740"/>
      <c r="ASG231" s="740"/>
      <c r="ASH231" s="740"/>
      <c r="ASI231" s="740"/>
      <c r="ASJ231" s="740"/>
      <c r="ASK231" s="740"/>
      <c r="ASL231" s="740"/>
      <c r="ASM231" s="740"/>
      <c r="ASN231" s="740"/>
      <c r="ASO231" s="740"/>
      <c r="ASP231" s="740"/>
      <c r="ASQ231" s="740"/>
      <c r="ASR231" s="740"/>
      <c r="ASS231" s="740"/>
      <c r="AST231" s="740"/>
      <c r="ASU231" s="740"/>
      <c r="ASV231" s="740"/>
      <c r="ASW231" s="740"/>
      <c r="ASX231" s="740"/>
      <c r="ASY231" s="740"/>
      <c r="ASZ231" s="740"/>
      <c r="ATA231" s="740"/>
      <c r="ATB231" s="740"/>
      <c r="ATC231" s="740"/>
      <c r="ATD231" s="740"/>
      <c r="ATE231" s="740"/>
      <c r="ATF231" s="740"/>
      <c r="ATG231" s="740"/>
      <c r="ATH231" s="740"/>
      <c r="ATI231" s="740"/>
      <c r="ATJ231" s="740"/>
      <c r="ATK231" s="740"/>
      <c r="ATL231" s="740"/>
      <c r="ATM231" s="740"/>
      <c r="ATN231" s="740"/>
      <c r="ATO231" s="740"/>
      <c r="ATP231" s="740"/>
      <c r="ATQ231" s="740"/>
      <c r="ATR231" s="740"/>
      <c r="ATS231" s="740"/>
      <c r="ATT231" s="740"/>
      <c r="ATU231" s="740"/>
      <c r="ATV231" s="740"/>
      <c r="ATW231" s="740"/>
      <c r="ATX231" s="740"/>
      <c r="ATY231" s="740"/>
      <c r="ATZ231" s="740"/>
      <c r="AUA231" s="740"/>
      <c r="AUB231" s="740"/>
      <c r="AUC231" s="740"/>
      <c r="AUD231" s="740"/>
      <c r="AUE231" s="740"/>
      <c r="AUF231" s="740"/>
      <c r="AUG231" s="740"/>
      <c r="AUH231" s="740"/>
      <c r="AUI231" s="740"/>
      <c r="AUJ231" s="740"/>
      <c r="AUK231" s="740"/>
      <c r="AUL231" s="740"/>
      <c r="AUM231" s="740"/>
      <c r="AUN231" s="740"/>
      <c r="AUO231" s="740"/>
      <c r="AUP231" s="740"/>
      <c r="AUQ231" s="740"/>
      <c r="AUR231" s="740"/>
      <c r="AUS231" s="740"/>
      <c r="AUT231" s="740"/>
      <c r="AUU231" s="740"/>
      <c r="AUV231" s="740"/>
      <c r="AUW231" s="740"/>
      <c r="AUX231" s="740"/>
      <c r="AUY231" s="740"/>
      <c r="AUZ231" s="740"/>
      <c r="AVA231" s="740"/>
      <c r="AVB231" s="740"/>
      <c r="AVC231" s="740"/>
      <c r="AVD231" s="740"/>
      <c r="AVE231" s="740"/>
      <c r="AVF231" s="740"/>
      <c r="AVG231" s="740"/>
      <c r="AVH231" s="740"/>
      <c r="AVI231" s="740"/>
      <c r="AVJ231" s="740"/>
      <c r="AVK231" s="740"/>
      <c r="AVL231" s="740"/>
      <c r="AVM231" s="740"/>
      <c r="AVN231" s="740"/>
      <c r="AVO231" s="740"/>
      <c r="AVP231" s="740"/>
      <c r="AVQ231" s="740"/>
      <c r="AVR231" s="740"/>
      <c r="AVS231" s="740"/>
      <c r="AVT231" s="740"/>
      <c r="AVU231" s="740"/>
      <c r="AVV231" s="740"/>
      <c r="AVW231" s="740"/>
      <c r="AVX231" s="740"/>
      <c r="AVY231" s="740"/>
      <c r="AVZ231" s="740"/>
      <c r="AWA231" s="740"/>
      <c r="AWB231" s="740"/>
      <c r="AWC231" s="740"/>
      <c r="AWD231" s="740"/>
      <c r="AWE231" s="740"/>
      <c r="AWF231" s="740"/>
      <c r="AWG231" s="740"/>
      <c r="AWH231" s="740"/>
      <c r="AWI231" s="740"/>
      <c r="AWJ231" s="740"/>
      <c r="AWK231" s="740"/>
      <c r="AWL231" s="740"/>
      <c r="AWM231" s="740"/>
      <c r="AWN231" s="740"/>
      <c r="AWO231" s="740"/>
      <c r="AWP231" s="740"/>
      <c r="AWQ231" s="740"/>
      <c r="AWR231" s="740"/>
      <c r="AWS231" s="740"/>
      <c r="AWT231" s="740"/>
      <c r="AWU231" s="740"/>
      <c r="AWV231" s="740"/>
      <c r="AWW231" s="740"/>
      <c r="AWX231" s="740"/>
      <c r="AWY231" s="740"/>
      <c r="AWZ231" s="740"/>
      <c r="AXA231" s="740"/>
      <c r="AXB231" s="740"/>
      <c r="AXC231" s="740"/>
      <c r="AXD231" s="740"/>
      <c r="AXE231" s="740"/>
      <c r="AXF231" s="740"/>
      <c r="AXG231" s="740"/>
      <c r="AXH231" s="740"/>
      <c r="AXI231" s="740"/>
      <c r="AXJ231" s="740"/>
    </row>
    <row r="232" spans="1:1310" s="741" customFormat="1" ht="23.25" customHeight="1">
      <c r="A232" s="756"/>
      <c r="B232" s="9016" t="s">
        <v>1588</v>
      </c>
      <c r="C232" s="9016"/>
      <c r="D232" s="9016"/>
      <c r="E232" s="9016"/>
      <c r="F232" s="750"/>
      <c r="G232" s="9016" t="s">
        <v>1589</v>
      </c>
      <c r="H232" s="9016"/>
      <c r="I232" s="9016"/>
      <c r="J232" s="750"/>
      <c r="K232" s="9016" t="s">
        <v>1590</v>
      </c>
      <c r="L232" s="9016"/>
      <c r="M232" s="9016"/>
      <c r="N232" s="750"/>
      <c r="O232" s="9016" t="s">
        <v>1591</v>
      </c>
      <c r="P232" s="9016"/>
      <c r="Q232" s="750"/>
      <c r="R232" s="311"/>
      <c r="S232" s="311"/>
      <c r="T232" s="311"/>
      <c r="U232" s="311"/>
      <c r="V232" s="311"/>
      <c r="W232" s="311"/>
      <c r="X232" s="311"/>
      <c r="Y232" s="311"/>
      <c r="Z232" s="311"/>
      <c r="AA232" s="311"/>
      <c r="AB232" s="311"/>
      <c r="AC232" s="311"/>
      <c r="AD232" s="740"/>
      <c r="AE232" s="740"/>
      <c r="AF232" s="740"/>
      <c r="AG232" s="740"/>
      <c r="AH232" s="740"/>
      <c r="AI232" s="740"/>
      <c r="AJ232" s="740"/>
      <c r="AK232" s="740"/>
      <c r="AL232" s="740"/>
      <c r="AM232" s="740"/>
      <c r="AN232" s="740"/>
      <c r="AO232" s="740"/>
      <c r="AP232" s="740"/>
      <c r="AQ232" s="740"/>
      <c r="AR232" s="740"/>
      <c r="AS232" s="740"/>
      <c r="AT232" s="740"/>
      <c r="AU232" s="740"/>
      <c r="AV232" s="740"/>
      <c r="AW232" s="740"/>
      <c r="AX232" s="740"/>
      <c r="AY232" s="740"/>
      <c r="AZ232" s="740"/>
      <c r="BA232" s="740"/>
      <c r="BB232" s="740"/>
      <c r="BC232" s="740"/>
      <c r="BD232" s="740"/>
      <c r="BE232" s="740"/>
      <c r="BF232" s="740"/>
      <c r="BG232" s="740"/>
      <c r="BH232" s="740"/>
      <c r="BI232" s="740"/>
      <c r="BJ232" s="740"/>
      <c r="BK232" s="740"/>
      <c r="BL232" s="740"/>
      <c r="BM232" s="740"/>
      <c r="BN232" s="740"/>
      <c r="BO232" s="740"/>
      <c r="BP232" s="740"/>
      <c r="BQ232" s="740"/>
      <c r="BR232" s="740"/>
      <c r="BS232" s="740"/>
      <c r="BT232" s="740"/>
      <c r="BU232" s="740"/>
      <c r="BV232" s="740"/>
      <c r="BW232" s="740"/>
      <c r="BX232" s="740"/>
      <c r="BY232" s="740"/>
      <c r="BZ232" s="740"/>
      <c r="CA232" s="740"/>
      <c r="CB232" s="740"/>
      <c r="CC232" s="740"/>
      <c r="CD232" s="740"/>
      <c r="CE232" s="740"/>
      <c r="CF232" s="740"/>
      <c r="CG232" s="740"/>
      <c r="CH232" s="740"/>
      <c r="CI232" s="740"/>
      <c r="CJ232" s="740"/>
      <c r="CK232" s="740"/>
      <c r="CL232" s="740"/>
      <c r="CM232" s="740"/>
      <c r="CN232" s="740"/>
      <c r="CO232" s="740"/>
      <c r="CP232" s="740"/>
      <c r="CQ232" s="740"/>
      <c r="CR232" s="740"/>
      <c r="CS232" s="740"/>
      <c r="CT232" s="740"/>
      <c r="CU232" s="740"/>
      <c r="CV232" s="740"/>
      <c r="CW232" s="740"/>
      <c r="CX232" s="740"/>
      <c r="CY232" s="740"/>
      <c r="CZ232" s="740"/>
      <c r="DA232" s="740"/>
      <c r="DB232" s="740"/>
      <c r="DC232" s="740"/>
      <c r="DD232" s="740"/>
      <c r="DE232" s="740"/>
      <c r="DF232" s="740"/>
      <c r="DG232" s="740"/>
      <c r="DH232" s="740"/>
      <c r="DI232" s="740"/>
      <c r="DJ232" s="740"/>
      <c r="DK232" s="740"/>
      <c r="DL232" s="740"/>
      <c r="DM232" s="740"/>
      <c r="DN232" s="740"/>
      <c r="DO232" s="740"/>
      <c r="DP232" s="740"/>
      <c r="DQ232" s="740"/>
      <c r="DR232" s="740"/>
      <c r="DS232" s="740"/>
      <c r="DT232" s="740"/>
      <c r="DU232" s="740"/>
      <c r="DV232" s="740"/>
      <c r="DW232" s="740"/>
      <c r="DX232" s="740"/>
      <c r="DY232" s="740"/>
      <c r="DZ232" s="740"/>
      <c r="EA232" s="740"/>
      <c r="EB232" s="740"/>
      <c r="EC232" s="740"/>
      <c r="ED232" s="740"/>
      <c r="EE232" s="740"/>
      <c r="EF232" s="740"/>
      <c r="EG232" s="740"/>
      <c r="EH232" s="740"/>
      <c r="EI232" s="740"/>
      <c r="EJ232" s="740"/>
      <c r="EK232" s="740"/>
      <c r="EL232" s="740"/>
      <c r="EM232" s="740"/>
      <c r="EN232" s="740"/>
      <c r="EO232" s="740"/>
      <c r="EP232" s="740"/>
      <c r="EQ232" s="740"/>
      <c r="ER232" s="740"/>
      <c r="ES232" s="740"/>
      <c r="ET232" s="740"/>
      <c r="EU232" s="740"/>
      <c r="EV232" s="740"/>
      <c r="EW232" s="740"/>
      <c r="EX232" s="740"/>
      <c r="EY232" s="740"/>
      <c r="EZ232" s="740"/>
      <c r="FA232" s="740"/>
      <c r="FB232" s="740"/>
      <c r="FC232" s="740"/>
      <c r="FD232" s="740"/>
      <c r="FE232" s="740"/>
      <c r="FF232" s="740"/>
      <c r="FG232" s="740"/>
      <c r="FH232" s="740"/>
      <c r="FI232" s="740"/>
      <c r="FJ232" s="740"/>
      <c r="FK232" s="740"/>
      <c r="FL232" s="740"/>
      <c r="FM232" s="740"/>
      <c r="FN232" s="740"/>
      <c r="FO232" s="740"/>
      <c r="FP232" s="740"/>
      <c r="FQ232" s="740"/>
      <c r="FR232" s="740"/>
      <c r="FS232" s="740"/>
      <c r="FT232" s="740"/>
      <c r="FU232" s="740"/>
      <c r="FV232" s="740"/>
      <c r="FW232" s="740"/>
      <c r="FX232" s="740"/>
      <c r="FY232" s="740"/>
      <c r="FZ232" s="740"/>
      <c r="GA232" s="740"/>
      <c r="GB232" s="740"/>
      <c r="GC232" s="740"/>
      <c r="GD232" s="740"/>
      <c r="GE232" s="740"/>
      <c r="GF232" s="740"/>
      <c r="GG232" s="740"/>
      <c r="GH232" s="740"/>
      <c r="GI232" s="740"/>
      <c r="GJ232" s="740"/>
      <c r="GK232" s="740"/>
      <c r="GL232" s="740"/>
      <c r="GM232" s="740"/>
      <c r="GN232" s="740"/>
      <c r="GO232" s="740"/>
      <c r="GP232" s="740"/>
      <c r="GQ232" s="740"/>
      <c r="GR232" s="740"/>
      <c r="GS232" s="740"/>
      <c r="GT232" s="740"/>
      <c r="GU232" s="740"/>
      <c r="GV232" s="740"/>
      <c r="GW232" s="740"/>
      <c r="GX232" s="740"/>
      <c r="GY232" s="740"/>
      <c r="GZ232" s="740"/>
      <c r="HA232" s="740"/>
      <c r="HB232" s="740"/>
      <c r="HC232" s="740"/>
      <c r="HD232" s="740"/>
      <c r="HE232" s="740"/>
      <c r="HF232" s="740"/>
      <c r="HG232" s="740"/>
      <c r="HH232" s="740"/>
      <c r="HI232" s="740"/>
      <c r="HJ232" s="740"/>
      <c r="HK232" s="740"/>
      <c r="HL232" s="740"/>
      <c r="HM232" s="740"/>
      <c r="HN232" s="740"/>
      <c r="HO232" s="740"/>
      <c r="HP232" s="740"/>
      <c r="HQ232" s="740"/>
      <c r="HR232" s="740"/>
      <c r="HS232" s="740"/>
      <c r="HT232" s="740"/>
      <c r="HU232" s="740"/>
      <c r="HV232" s="740"/>
      <c r="HW232" s="740"/>
      <c r="HX232" s="740"/>
      <c r="HY232" s="740"/>
      <c r="HZ232" s="740"/>
      <c r="IA232" s="740"/>
      <c r="IB232" s="740"/>
      <c r="IC232" s="740"/>
      <c r="ID232" s="740"/>
      <c r="IE232" s="740"/>
      <c r="IF232" s="740"/>
      <c r="IG232" s="740"/>
      <c r="IH232" s="740"/>
      <c r="II232" s="740"/>
      <c r="IJ232" s="740"/>
      <c r="IK232" s="740"/>
      <c r="IL232" s="740"/>
      <c r="IM232" s="740"/>
      <c r="IN232" s="740"/>
      <c r="IO232" s="740"/>
      <c r="IP232" s="740"/>
      <c r="IQ232" s="740"/>
      <c r="IR232" s="740"/>
      <c r="IS232" s="740"/>
      <c r="IT232" s="740"/>
      <c r="IU232" s="740"/>
      <c r="IV232" s="740"/>
      <c r="IW232" s="740"/>
      <c r="IX232" s="740"/>
      <c r="IY232" s="740"/>
      <c r="IZ232" s="740"/>
      <c r="JA232" s="740"/>
      <c r="JB232" s="740"/>
      <c r="JC232" s="740"/>
      <c r="JD232" s="740"/>
      <c r="JE232" s="740"/>
      <c r="JF232" s="740"/>
      <c r="JG232" s="740"/>
      <c r="JH232" s="740"/>
      <c r="JI232" s="740"/>
      <c r="JJ232" s="740"/>
      <c r="JK232" s="740"/>
      <c r="JL232" s="740"/>
      <c r="JM232" s="740"/>
      <c r="JN232" s="740"/>
      <c r="JO232" s="740"/>
      <c r="JP232" s="740"/>
      <c r="JQ232" s="740"/>
      <c r="JR232" s="740"/>
      <c r="JS232" s="740"/>
      <c r="JT232" s="740"/>
      <c r="JU232" s="740"/>
      <c r="JV232" s="740"/>
      <c r="JW232" s="740"/>
      <c r="JX232" s="740"/>
      <c r="JY232" s="740"/>
      <c r="JZ232" s="740"/>
      <c r="KA232" s="740"/>
      <c r="KB232" s="740"/>
      <c r="KC232" s="740"/>
      <c r="KD232" s="740"/>
      <c r="KE232" s="740"/>
      <c r="KF232" s="740"/>
      <c r="KG232" s="740"/>
      <c r="KH232" s="740"/>
      <c r="KI232" s="740"/>
      <c r="KJ232" s="740"/>
      <c r="KK232" s="740"/>
      <c r="KL232" s="740"/>
      <c r="KM232" s="740"/>
      <c r="KN232" s="740"/>
      <c r="KO232" s="740"/>
      <c r="KP232" s="740"/>
      <c r="KQ232" s="740"/>
      <c r="KR232" s="740"/>
      <c r="KS232" s="740"/>
      <c r="KT232" s="740"/>
      <c r="KU232" s="740"/>
      <c r="KV232" s="740"/>
      <c r="KW232" s="740"/>
      <c r="KX232" s="740"/>
      <c r="KY232" s="740"/>
      <c r="KZ232" s="740"/>
      <c r="LA232" s="740"/>
      <c r="LB232" s="740"/>
      <c r="LC232" s="740"/>
      <c r="LD232" s="740"/>
      <c r="LE232" s="740"/>
      <c r="LF232" s="740"/>
      <c r="LG232" s="740"/>
      <c r="LH232" s="740"/>
      <c r="LI232" s="740"/>
      <c r="LJ232" s="740"/>
      <c r="LK232" s="740"/>
      <c r="LL232" s="740"/>
      <c r="LM232" s="740"/>
      <c r="LN232" s="740"/>
      <c r="LO232" s="740"/>
      <c r="LP232" s="740"/>
      <c r="LQ232" s="740"/>
      <c r="LR232" s="740"/>
      <c r="LS232" s="740"/>
      <c r="LT232" s="740"/>
      <c r="LU232" s="740"/>
      <c r="LV232" s="740"/>
      <c r="LW232" s="740"/>
      <c r="LX232" s="740"/>
      <c r="LY232" s="740"/>
      <c r="LZ232" s="740"/>
      <c r="MA232" s="740"/>
      <c r="MB232" s="740"/>
      <c r="MC232" s="740"/>
      <c r="MD232" s="740"/>
      <c r="ME232" s="740"/>
      <c r="MF232" s="740"/>
      <c r="MG232" s="740"/>
      <c r="MH232" s="740"/>
      <c r="MI232" s="740"/>
      <c r="MJ232" s="740"/>
      <c r="MK232" s="740"/>
      <c r="ML232" s="740"/>
      <c r="MM232" s="740"/>
      <c r="MN232" s="740"/>
      <c r="MO232" s="740"/>
      <c r="MP232" s="740"/>
      <c r="MQ232" s="740"/>
      <c r="MR232" s="740"/>
      <c r="MS232" s="740"/>
      <c r="MT232" s="740"/>
      <c r="MU232" s="740"/>
      <c r="MV232" s="740"/>
      <c r="MW232" s="740"/>
      <c r="MX232" s="740"/>
      <c r="MY232" s="740"/>
      <c r="MZ232" s="740"/>
      <c r="NA232" s="740"/>
      <c r="NB232" s="740"/>
      <c r="NC232" s="740"/>
      <c r="ND232" s="740"/>
      <c r="NE232" s="740"/>
      <c r="NF232" s="740"/>
      <c r="NG232" s="740"/>
      <c r="NH232" s="740"/>
      <c r="NI232" s="740"/>
      <c r="NJ232" s="740"/>
      <c r="NK232" s="740"/>
      <c r="NL232" s="740"/>
      <c r="NM232" s="740"/>
      <c r="NN232" s="740"/>
      <c r="NO232" s="740"/>
      <c r="NP232" s="740"/>
      <c r="NQ232" s="740"/>
      <c r="NR232" s="740"/>
      <c r="NS232" s="740"/>
      <c r="NT232" s="740"/>
      <c r="NU232" s="740"/>
      <c r="NV232" s="740"/>
      <c r="NW232" s="740"/>
      <c r="NX232" s="740"/>
      <c r="NY232" s="740"/>
      <c r="NZ232" s="740"/>
      <c r="OA232" s="740"/>
      <c r="OB232" s="740"/>
      <c r="OC232" s="740"/>
      <c r="OD232" s="740"/>
      <c r="OE232" s="740"/>
      <c r="OF232" s="740"/>
      <c r="OG232" s="740"/>
      <c r="OH232" s="740"/>
      <c r="OI232" s="740"/>
      <c r="OJ232" s="740"/>
      <c r="OK232" s="740"/>
      <c r="OL232" s="740"/>
      <c r="OM232" s="740"/>
      <c r="ON232" s="740"/>
      <c r="OO232" s="740"/>
      <c r="OP232" s="740"/>
      <c r="OQ232" s="740"/>
      <c r="OR232" s="740"/>
      <c r="OS232" s="740"/>
      <c r="OT232" s="740"/>
      <c r="OU232" s="740"/>
      <c r="OV232" s="740"/>
      <c r="OW232" s="740"/>
      <c r="OX232" s="740"/>
      <c r="OY232" s="740"/>
      <c r="OZ232" s="740"/>
      <c r="PA232" s="740"/>
      <c r="PB232" s="740"/>
      <c r="PC232" s="740"/>
      <c r="PD232" s="740"/>
      <c r="PE232" s="740"/>
      <c r="PF232" s="740"/>
      <c r="PG232" s="740"/>
      <c r="PH232" s="740"/>
      <c r="PI232" s="740"/>
      <c r="PJ232" s="740"/>
      <c r="PK232" s="740"/>
      <c r="PL232" s="740"/>
      <c r="PM232" s="740"/>
      <c r="PN232" s="740"/>
      <c r="PO232" s="740"/>
      <c r="PP232" s="740"/>
      <c r="PQ232" s="740"/>
      <c r="PR232" s="740"/>
      <c r="PS232" s="740"/>
      <c r="PT232" s="740"/>
      <c r="PU232" s="740"/>
      <c r="PV232" s="740"/>
      <c r="PW232" s="740"/>
      <c r="PX232" s="740"/>
      <c r="PY232" s="740"/>
      <c r="PZ232" s="740"/>
      <c r="QA232" s="740"/>
      <c r="QB232" s="740"/>
      <c r="QC232" s="740"/>
      <c r="QD232" s="740"/>
      <c r="QE232" s="740"/>
      <c r="QF232" s="740"/>
      <c r="QG232" s="740"/>
      <c r="QH232" s="740"/>
      <c r="QI232" s="740"/>
      <c r="QJ232" s="740"/>
      <c r="QK232" s="740"/>
      <c r="QL232" s="740"/>
      <c r="QM232" s="740"/>
      <c r="QN232" s="740"/>
      <c r="QO232" s="740"/>
      <c r="QP232" s="740"/>
      <c r="QQ232" s="740"/>
      <c r="QR232" s="740"/>
      <c r="QS232" s="740"/>
      <c r="QT232" s="740"/>
      <c r="QU232" s="740"/>
      <c r="QV232" s="740"/>
      <c r="QW232" s="740"/>
      <c r="QX232" s="740"/>
      <c r="QY232" s="740"/>
      <c r="QZ232" s="740"/>
      <c r="RA232" s="740"/>
      <c r="RB232" s="740"/>
      <c r="RC232" s="740"/>
      <c r="RD232" s="740"/>
      <c r="RE232" s="740"/>
      <c r="RF232" s="740"/>
      <c r="RG232" s="740"/>
      <c r="RH232" s="740"/>
      <c r="RI232" s="740"/>
      <c r="RJ232" s="740"/>
      <c r="RK232" s="740"/>
      <c r="RL232" s="740"/>
      <c r="RM232" s="740"/>
      <c r="RN232" s="740"/>
      <c r="RO232" s="740"/>
      <c r="RP232" s="740"/>
      <c r="RQ232" s="740"/>
      <c r="RR232" s="740"/>
      <c r="RS232" s="740"/>
      <c r="RT232" s="740"/>
      <c r="RU232" s="740"/>
      <c r="RV232" s="740"/>
      <c r="RW232" s="740"/>
      <c r="RX232" s="740"/>
      <c r="RY232" s="740"/>
      <c r="RZ232" s="740"/>
      <c r="SA232" s="740"/>
      <c r="SB232" s="740"/>
      <c r="SC232" s="740"/>
      <c r="SD232" s="740"/>
      <c r="SE232" s="740"/>
      <c r="SF232" s="740"/>
      <c r="SG232" s="740"/>
      <c r="SH232" s="740"/>
      <c r="SI232" s="740"/>
      <c r="SJ232" s="740"/>
      <c r="SK232" s="740"/>
      <c r="SL232" s="740"/>
      <c r="SM232" s="740"/>
      <c r="SN232" s="740"/>
      <c r="SO232" s="740"/>
      <c r="SP232" s="740"/>
      <c r="SQ232" s="740"/>
      <c r="SR232" s="740"/>
      <c r="SS232" s="740"/>
      <c r="ST232" s="740"/>
      <c r="SU232" s="740"/>
      <c r="SV232" s="740"/>
      <c r="SW232" s="740"/>
      <c r="SX232" s="740"/>
      <c r="SY232" s="740"/>
      <c r="SZ232" s="740"/>
      <c r="TA232" s="740"/>
      <c r="TB232" s="740"/>
      <c r="TC232" s="740"/>
      <c r="TD232" s="740"/>
      <c r="TE232" s="740"/>
      <c r="TF232" s="740"/>
      <c r="TG232" s="740"/>
      <c r="TH232" s="740"/>
      <c r="TI232" s="740"/>
      <c r="TJ232" s="740"/>
      <c r="TK232" s="740"/>
      <c r="TL232" s="740"/>
      <c r="TM232" s="740"/>
      <c r="TN232" s="740"/>
      <c r="TO232" s="740"/>
      <c r="TP232" s="740"/>
      <c r="TQ232" s="740"/>
      <c r="TR232" s="740"/>
      <c r="TS232" s="740"/>
      <c r="TT232" s="740"/>
      <c r="TU232" s="740"/>
      <c r="TV232" s="740"/>
      <c r="TW232" s="740"/>
      <c r="TX232" s="740"/>
      <c r="TY232" s="740"/>
      <c r="TZ232" s="740"/>
      <c r="UA232" s="740"/>
      <c r="UB232" s="740"/>
      <c r="UC232" s="740"/>
      <c r="UD232" s="740"/>
      <c r="UE232" s="740"/>
      <c r="UF232" s="740"/>
      <c r="UG232" s="740"/>
      <c r="UH232" s="740"/>
      <c r="UI232" s="740"/>
      <c r="UJ232" s="740"/>
      <c r="UK232" s="740"/>
      <c r="UL232" s="740"/>
      <c r="UM232" s="740"/>
      <c r="UN232" s="740"/>
      <c r="UO232" s="740"/>
      <c r="UP232" s="740"/>
      <c r="UQ232" s="740"/>
      <c r="UR232" s="740"/>
      <c r="US232" s="740"/>
      <c r="UT232" s="740"/>
      <c r="UU232" s="740"/>
      <c r="UV232" s="740"/>
      <c r="UW232" s="740"/>
      <c r="UX232" s="740"/>
      <c r="UY232" s="740"/>
      <c r="UZ232" s="740"/>
      <c r="VA232" s="740"/>
      <c r="VB232" s="740"/>
      <c r="VC232" s="740"/>
      <c r="VD232" s="740"/>
      <c r="VE232" s="740"/>
      <c r="VF232" s="740"/>
      <c r="VG232" s="740"/>
      <c r="VH232" s="740"/>
      <c r="VI232" s="740"/>
      <c r="VJ232" s="740"/>
      <c r="VK232" s="740"/>
      <c r="VL232" s="740"/>
      <c r="VM232" s="740"/>
      <c r="VN232" s="740"/>
      <c r="VO232" s="740"/>
      <c r="VP232" s="740"/>
      <c r="VQ232" s="740"/>
      <c r="VR232" s="740"/>
      <c r="VS232" s="740"/>
      <c r="VT232" s="740"/>
      <c r="VU232" s="740"/>
      <c r="VV232" s="740"/>
      <c r="VW232" s="740"/>
      <c r="VX232" s="740"/>
      <c r="VY232" s="740"/>
      <c r="VZ232" s="740"/>
      <c r="WA232" s="740"/>
      <c r="WB232" s="740"/>
      <c r="WC232" s="740"/>
      <c r="WD232" s="740"/>
      <c r="WE232" s="740"/>
      <c r="WF232" s="740"/>
      <c r="WG232" s="740"/>
      <c r="WH232" s="740"/>
      <c r="WI232" s="740"/>
      <c r="WJ232" s="740"/>
      <c r="WK232" s="740"/>
      <c r="WL232" s="740"/>
      <c r="WM232" s="740"/>
      <c r="WN232" s="740"/>
      <c r="WO232" s="740"/>
      <c r="WP232" s="740"/>
      <c r="WQ232" s="740"/>
      <c r="WR232" s="740"/>
      <c r="WS232" s="740"/>
      <c r="WT232" s="740"/>
      <c r="WU232" s="740"/>
      <c r="WV232" s="740"/>
      <c r="WW232" s="740"/>
      <c r="WX232" s="740"/>
      <c r="WY232" s="740"/>
      <c r="WZ232" s="740"/>
      <c r="XA232" s="740"/>
      <c r="XB232" s="740"/>
      <c r="XC232" s="740"/>
      <c r="XD232" s="740"/>
      <c r="XE232" s="740"/>
      <c r="XF232" s="740"/>
      <c r="XG232" s="740"/>
      <c r="XH232" s="740"/>
      <c r="XI232" s="740"/>
      <c r="XJ232" s="740"/>
      <c r="XK232" s="740"/>
      <c r="XL232" s="740"/>
      <c r="XM232" s="740"/>
      <c r="XN232" s="740"/>
      <c r="XO232" s="740"/>
      <c r="XP232" s="740"/>
      <c r="XQ232" s="740"/>
      <c r="XR232" s="740"/>
      <c r="XS232" s="740"/>
      <c r="XT232" s="740"/>
      <c r="XU232" s="740"/>
      <c r="XV232" s="740"/>
      <c r="XW232" s="740"/>
      <c r="XX232" s="740"/>
      <c r="XY232" s="740"/>
      <c r="XZ232" s="740"/>
      <c r="YA232" s="740"/>
      <c r="YB232" s="740"/>
      <c r="YC232" s="740"/>
      <c r="YD232" s="740"/>
      <c r="YE232" s="740"/>
      <c r="YF232" s="740"/>
      <c r="YG232" s="740"/>
      <c r="YH232" s="740"/>
      <c r="YI232" s="740"/>
      <c r="YJ232" s="740"/>
      <c r="YK232" s="740"/>
      <c r="YL232" s="740"/>
      <c r="YM232" s="740"/>
      <c r="YN232" s="740"/>
      <c r="YO232" s="740"/>
      <c r="YP232" s="740"/>
      <c r="YQ232" s="740"/>
      <c r="YR232" s="740"/>
      <c r="YS232" s="740"/>
      <c r="YT232" s="740"/>
      <c r="YU232" s="740"/>
      <c r="YV232" s="740"/>
      <c r="YW232" s="740"/>
      <c r="YX232" s="740"/>
      <c r="YY232" s="740"/>
      <c r="YZ232" s="740"/>
      <c r="ZA232" s="740"/>
      <c r="ZB232" s="740"/>
      <c r="ZC232" s="740"/>
      <c r="ZD232" s="740"/>
      <c r="ZE232" s="740"/>
      <c r="ZF232" s="740"/>
      <c r="ZG232" s="740"/>
      <c r="ZH232" s="740"/>
      <c r="ZI232" s="740"/>
      <c r="ZJ232" s="740"/>
      <c r="ZK232" s="740"/>
      <c r="ZL232" s="740"/>
      <c r="ZM232" s="740"/>
      <c r="ZN232" s="740"/>
      <c r="ZO232" s="740"/>
      <c r="ZP232" s="740"/>
      <c r="ZQ232" s="740"/>
      <c r="ZR232" s="740"/>
      <c r="ZS232" s="740"/>
      <c r="ZT232" s="740"/>
      <c r="ZU232" s="740"/>
      <c r="ZV232" s="740"/>
      <c r="ZW232" s="740"/>
      <c r="ZX232" s="740"/>
      <c r="ZY232" s="740"/>
      <c r="ZZ232" s="740"/>
      <c r="AAA232" s="740"/>
      <c r="AAB232" s="740"/>
      <c r="AAC232" s="740"/>
      <c r="AAD232" s="740"/>
      <c r="AAE232" s="740"/>
      <c r="AAF232" s="740"/>
      <c r="AAG232" s="740"/>
      <c r="AAH232" s="740"/>
      <c r="AAI232" s="740"/>
      <c r="AAJ232" s="740"/>
      <c r="AAK232" s="740"/>
      <c r="AAL232" s="740"/>
      <c r="AAM232" s="740"/>
      <c r="AAN232" s="740"/>
      <c r="AAO232" s="740"/>
      <c r="AAP232" s="740"/>
      <c r="AAQ232" s="740"/>
      <c r="AAR232" s="740"/>
      <c r="AAS232" s="740"/>
      <c r="AAT232" s="740"/>
      <c r="AAU232" s="740"/>
      <c r="AAV232" s="740"/>
      <c r="AAW232" s="740"/>
      <c r="AAX232" s="740"/>
      <c r="AAY232" s="740"/>
      <c r="AAZ232" s="740"/>
      <c r="ABA232" s="740"/>
      <c r="ABB232" s="740"/>
      <c r="ABC232" s="740"/>
      <c r="ABD232" s="740"/>
      <c r="ABE232" s="740"/>
      <c r="ABF232" s="740"/>
      <c r="ABG232" s="740"/>
      <c r="ABH232" s="740"/>
      <c r="ABI232" s="740"/>
      <c r="ABJ232" s="740"/>
      <c r="ABK232" s="740"/>
      <c r="ABL232" s="740"/>
      <c r="ABM232" s="740"/>
      <c r="ABN232" s="740"/>
      <c r="ABO232" s="740"/>
      <c r="ABP232" s="740"/>
      <c r="ABQ232" s="740"/>
      <c r="ABR232" s="740"/>
      <c r="ABS232" s="740"/>
      <c r="ABT232" s="740"/>
      <c r="ABU232" s="740"/>
      <c r="ABV232" s="740"/>
      <c r="ABW232" s="740"/>
      <c r="ABX232" s="740"/>
      <c r="ABY232" s="740"/>
      <c r="ABZ232" s="740"/>
      <c r="ACA232" s="740"/>
      <c r="ACB232" s="740"/>
      <c r="ACC232" s="740"/>
      <c r="ACD232" s="740"/>
      <c r="ACE232" s="740"/>
      <c r="ACF232" s="740"/>
      <c r="ACG232" s="740"/>
      <c r="ACH232" s="740"/>
      <c r="ACI232" s="740"/>
      <c r="ACJ232" s="740"/>
      <c r="ACK232" s="740"/>
      <c r="ACL232" s="740"/>
      <c r="ACM232" s="740"/>
      <c r="ACN232" s="740"/>
      <c r="ACO232" s="740"/>
      <c r="ACP232" s="740"/>
      <c r="ACQ232" s="740"/>
      <c r="ACR232" s="740"/>
      <c r="ACS232" s="740"/>
      <c r="ACT232" s="740"/>
      <c r="ACU232" s="740"/>
      <c r="ACV232" s="740"/>
      <c r="ACW232" s="740"/>
      <c r="ACX232" s="740"/>
      <c r="ACY232" s="740"/>
      <c r="ACZ232" s="740"/>
      <c r="ADA232" s="740"/>
      <c r="ADB232" s="740"/>
      <c r="ADC232" s="740"/>
      <c r="ADD232" s="740"/>
      <c r="ADE232" s="740"/>
      <c r="ADF232" s="740"/>
      <c r="ADG232" s="740"/>
      <c r="ADH232" s="740"/>
      <c r="ADI232" s="740"/>
      <c r="ADJ232" s="740"/>
      <c r="ADK232" s="740"/>
      <c r="ADL232" s="740"/>
      <c r="ADM232" s="740"/>
      <c r="ADN232" s="740"/>
      <c r="ADO232" s="740"/>
      <c r="ADP232" s="740"/>
      <c r="ADQ232" s="740"/>
      <c r="ADR232" s="740"/>
      <c r="ADS232" s="740"/>
      <c r="ADT232" s="740"/>
      <c r="ADU232" s="740"/>
      <c r="ADV232" s="740"/>
      <c r="ADW232" s="740"/>
      <c r="ADX232" s="740"/>
      <c r="ADY232" s="740"/>
      <c r="ADZ232" s="740"/>
      <c r="AEA232" s="740"/>
      <c r="AEB232" s="740"/>
      <c r="AEC232" s="740"/>
      <c r="AED232" s="740"/>
      <c r="AEE232" s="740"/>
      <c r="AEF232" s="740"/>
      <c r="AEG232" s="740"/>
      <c r="AEH232" s="740"/>
      <c r="AEI232" s="740"/>
      <c r="AEJ232" s="740"/>
      <c r="AEK232" s="740"/>
      <c r="AEL232" s="740"/>
      <c r="AEM232" s="740"/>
      <c r="AEN232" s="740"/>
      <c r="AEO232" s="740"/>
      <c r="AEP232" s="740"/>
      <c r="AEQ232" s="740"/>
      <c r="AER232" s="740"/>
      <c r="AES232" s="740"/>
      <c r="AET232" s="740"/>
      <c r="AEU232" s="740"/>
      <c r="AEV232" s="740"/>
      <c r="AEW232" s="740"/>
      <c r="AEX232" s="740"/>
      <c r="AEY232" s="740"/>
      <c r="AEZ232" s="740"/>
      <c r="AFA232" s="740"/>
      <c r="AFB232" s="740"/>
      <c r="AFC232" s="740"/>
      <c r="AFD232" s="740"/>
      <c r="AFE232" s="740"/>
      <c r="AFF232" s="740"/>
      <c r="AFG232" s="740"/>
      <c r="AFH232" s="740"/>
      <c r="AFI232" s="740"/>
      <c r="AFJ232" s="740"/>
      <c r="AFK232" s="740"/>
      <c r="AFL232" s="740"/>
      <c r="AFM232" s="740"/>
      <c r="AFN232" s="740"/>
      <c r="AFO232" s="740"/>
      <c r="AFP232" s="740"/>
      <c r="AFQ232" s="740"/>
      <c r="AFR232" s="740"/>
      <c r="AFS232" s="740"/>
      <c r="AFT232" s="740"/>
      <c r="AFU232" s="740"/>
      <c r="AFV232" s="740"/>
      <c r="AFW232" s="740"/>
      <c r="AFX232" s="740"/>
      <c r="AFY232" s="740"/>
      <c r="AFZ232" s="740"/>
      <c r="AGA232" s="740"/>
      <c r="AGB232" s="740"/>
      <c r="AGC232" s="740"/>
      <c r="AGD232" s="740"/>
      <c r="AGE232" s="740"/>
      <c r="AGF232" s="740"/>
      <c r="AGG232" s="740"/>
      <c r="AGH232" s="740"/>
      <c r="AGI232" s="740"/>
      <c r="AGJ232" s="740"/>
      <c r="AGK232" s="740"/>
      <c r="AGL232" s="740"/>
      <c r="AGM232" s="740"/>
      <c r="AGN232" s="740"/>
      <c r="AGO232" s="740"/>
      <c r="AGP232" s="740"/>
      <c r="AGQ232" s="740"/>
      <c r="AGR232" s="740"/>
      <c r="AGS232" s="740"/>
      <c r="AGT232" s="740"/>
      <c r="AGU232" s="740"/>
      <c r="AGV232" s="740"/>
      <c r="AGW232" s="740"/>
      <c r="AGX232" s="740"/>
      <c r="AGY232" s="740"/>
      <c r="AGZ232" s="740"/>
      <c r="AHA232" s="740"/>
      <c r="AHB232" s="740"/>
      <c r="AHC232" s="740"/>
      <c r="AHD232" s="740"/>
      <c r="AHE232" s="740"/>
      <c r="AHF232" s="740"/>
      <c r="AHG232" s="740"/>
      <c r="AHH232" s="740"/>
      <c r="AHI232" s="740"/>
      <c r="AHJ232" s="740"/>
      <c r="AHK232" s="740"/>
      <c r="AHL232" s="740"/>
      <c r="AHM232" s="740"/>
      <c r="AHN232" s="740"/>
      <c r="AHO232" s="740"/>
      <c r="AHP232" s="740"/>
      <c r="AHQ232" s="740"/>
      <c r="AHR232" s="740"/>
      <c r="AHS232" s="740"/>
      <c r="AHT232" s="740"/>
      <c r="AHU232" s="740"/>
      <c r="AHV232" s="740"/>
      <c r="AHW232" s="740"/>
      <c r="AHX232" s="740"/>
      <c r="AHY232" s="740"/>
      <c r="AHZ232" s="740"/>
      <c r="AIA232" s="740"/>
      <c r="AIB232" s="740"/>
      <c r="AIC232" s="740"/>
      <c r="AID232" s="740"/>
      <c r="AIE232" s="740"/>
      <c r="AIF232" s="740"/>
      <c r="AIG232" s="740"/>
      <c r="AIH232" s="740"/>
      <c r="AII232" s="740"/>
      <c r="AIJ232" s="740"/>
      <c r="AIK232" s="740"/>
      <c r="AIL232" s="740"/>
      <c r="AIM232" s="740"/>
      <c r="AIN232" s="740"/>
      <c r="AIO232" s="740"/>
      <c r="AIP232" s="740"/>
      <c r="AIQ232" s="740"/>
      <c r="AIR232" s="740"/>
      <c r="AIS232" s="740"/>
      <c r="AIT232" s="740"/>
      <c r="AIU232" s="740"/>
      <c r="AIV232" s="740"/>
      <c r="AIW232" s="740"/>
      <c r="AIX232" s="740"/>
      <c r="AIY232" s="740"/>
      <c r="AIZ232" s="740"/>
      <c r="AJA232" s="740"/>
      <c r="AJB232" s="740"/>
      <c r="AJC232" s="740"/>
      <c r="AJD232" s="740"/>
      <c r="AJE232" s="740"/>
      <c r="AJF232" s="740"/>
      <c r="AJG232" s="740"/>
      <c r="AJH232" s="740"/>
      <c r="AJI232" s="740"/>
      <c r="AJJ232" s="740"/>
      <c r="AJK232" s="740"/>
      <c r="AJL232" s="740"/>
      <c r="AJM232" s="740"/>
      <c r="AJN232" s="740"/>
      <c r="AJO232" s="740"/>
      <c r="AJP232" s="740"/>
      <c r="AJQ232" s="740"/>
      <c r="AJR232" s="740"/>
      <c r="AJS232" s="740"/>
      <c r="AJT232" s="740"/>
      <c r="AJU232" s="740"/>
      <c r="AJV232" s="740"/>
      <c r="AJW232" s="740"/>
      <c r="AJX232" s="740"/>
      <c r="AJY232" s="740"/>
      <c r="AJZ232" s="740"/>
      <c r="AKA232" s="740"/>
      <c r="AKB232" s="740"/>
      <c r="AKC232" s="740"/>
      <c r="AKD232" s="740"/>
      <c r="AKE232" s="740"/>
      <c r="AKF232" s="740"/>
      <c r="AKG232" s="740"/>
      <c r="AKH232" s="740"/>
      <c r="AKI232" s="740"/>
      <c r="AKJ232" s="740"/>
      <c r="AKK232" s="740"/>
      <c r="AKL232" s="740"/>
      <c r="AKM232" s="740"/>
      <c r="AKN232" s="740"/>
      <c r="AKO232" s="740"/>
      <c r="AKP232" s="740"/>
      <c r="AKQ232" s="740"/>
      <c r="AKR232" s="740"/>
      <c r="AKS232" s="740"/>
      <c r="AKT232" s="740"/>
      <c r="AKU232" s="740"/>
      <c r="AKV232" s="740"/>
      <c r="AKW232" s="740"/>
      <c r="AKX232" s="740"/>
      <c r="AKY232" s="740"/>
      <c r="AKZ232" s="740"/>
      <c r="ALA232" s="740"/>
      <c r="ALB232" s="740"/>
      <c r="ALC232" s="740"/>
      <c r="ALD232" s="740"/>
      <c r="ALE232" s="740"/>
      <c r="ALF232" s="740"/>
      <c r="ALG232" s="740"/>
      <c r="ALH232" s="740"/>
      <c r="ALI232" s="740"/>
      <c r="ALJ232" s="740"/>
      <c r="ALK232" s="740"/>
      <c r="ALL232" s="740"/>
      <c r="ALM232" s="740"/>
      <c r="ALN232" s="740"/>
      <c r="ALO232" s="740"/>
      <c r="ALP232" s="740"/>
      <c r="ALQ232" s="740"/>
      <c r="ALR232" s="740"/>
      <c r="ALS232" s="740"/>
      <c r="ALT232" s="740"/>
      <c r="ALU232" s="740"/>
      <c r="ALV232" s="740"/>
      <c r="ALW232" s="740"/>
      <c r="ALX232" s="740"/>
      <c r="ALY232" s="740"/>
      <c r="ALZ232" s="740"/>
      <c r="AMA232" s="740"/>
      <c r="AMB232" s="740"/>
      <c r="AMC232" s="740"/>
      <c r="AMD232" s="740"/>
      <c r="AME232" s="740"/>
      <c r="AMF232" s="740"/>
      <c r="AMG232" s="740"/>
      <c r="AMH232" s="740"/>
      <c r="AMI232" s="740"/>
      <c r="AMJ232" s="740"/>
      <c r="AMK232" s="740"/>
      <c r="AML232" s="740"/>
      <c r="AMM232" s="740"/>
      <c r="AMN232" s="740"/>
      <c r="AMO232" s="740"/>
      <c r="AMP232" s="740"/>
      <c r="AMQ232" s="740"/>
      <c r="AMR232" s="740"/>
      <c r="AMS232" s="740"/>
      <c r="AMT232" s="740"/>
      <c r="AMU232" s="740"/>
      <c r="AMV232" s="740"/>
      <c r="AMW232" s="740"/>
      <c r="AMX232" s="740"/>
      <c r="AMY232" s="740"/>
      <c r="AMZ232" s="740"/>
      <c r="ANA232" s="740"/>
      <c r="ANB232" s="740"/>
      <c r="ANC232" s="740"/>
      <c r="AND232" s="740"/>
      <c r="ANE232" s="740"/>
      <c r="ANF232" s="740"/>
      <c r="ANG232" s="740"/>
      <c r="ANH232" s="740"/>
      <c r="ANI232" s="740"/>
      <c r="ANJ232" s="740"/>
      <c r="ANK232" s="740"/>
      <c r="ANL232" s="740"/>
      <c r="ANM232" s="740"/>
      <c r="ANN232" s="740"/>
      <c r="ANO232" s="740"/>
      <c r="ANP232" s="740"/>
      <c r="ANQ232" s="740"/>
      <c r="ANR232" s="740"/>
      <c r="ANS232" s="740"/>
      <c r="ANT232" s="740"/>
      <c r="ANU232" s="740"/>
      <c r="ANV232" s="740"/>
      <c r="ANW232" s="740"/>
      <c r="ANX232" s="740"/>
      <c r="ANY232" s="740"/>
      <c r="ANZ232" s="740"/>
      <c r="AOA232" s="740"/>
      <c r="AOB232" s="740"/>
      <c r="AOC232" s="740"/>
      <c r="AOD232" s="740"/>
      <c r="AOE232" s="740"/>
      <c r="AOF232" s="740"/>
      <c r="AOG232" s="740"/>
      <c r="AOH232" s="740"/>
      <c r="AOI232" s="740"/>
      <c r="AOJ232" s="740"/>
      <c r="AOK232" s="740"/>
      <c r="AOL232" s="740"/>
      <c r="AOM232" s="740"/>
      <c r="AON232" s="740"/>
      <c r="AOO232" s="740"/>
      <c r="AOP232" s="740"/>
      <c r="AOQ232" s="740"/>
      <c r="AOR232" s="740"/>
      <c r="AOS232" s="740"/>
      <c r="AOT232" s="740"/>
      <c r="AOU232" s="740"/>
      <c r="AOV232" s="740"/>
      <c r="AOW232" s="740"/>
      <c r="AOX232" s="740"/>
      <c r="AOY232" s="740"/>
      <c r="AOZ232" s="740"/>
      <c r="APA232" s="740"/>
      <c r="APB232" s="740"/>
      <c r="APC232" s="740"/>
      <c r="APD232" s="740"/>
      <c r="APE232" s="740"/>
      <c r="APF232" s="740"/>
      <c r="APG232" s="740"/>
      <c r="APH232" s="740"/>
      <c r="API232" s="740"/>
      <c r="APJ232" s="740"/>
      <c r="APK232" s="740"/>
      <c r="APL232" s="740"/>
      <c r="APM232" s="740"/>
      <c r="APN232" s="740"/>
      <c r="APO232" s="740"/>
      <c r="APP232" s="740"/>
      <c r="APQ232" s="740"/>
      <c r="APR232" s="740"/>
      <c r="APS232" s="740"/>
      <c r="APT232" s="740"/>
      <c r="APU232" s="740"/>
      <c r="APV232" s="740"/>
      <c r="APW232" s="740"/>
      <c r="APX232" s="740"/>
      <c r="APY232" s="740"/>
      <c r="APZ232" s="740"/>
      <c r="AQA232" s="740"/>
      <c r="AQB232" s="740"/>
      <c r="AQC232" s="740"/>
      <c r="AQD232" s="740"/>
      <c r="AQE232" s="740"/>
      <c r="AQF232" s="740"/>
      <c r="AQG232" s="740"/>
      <c r="AQH232" s="740"/>
      <c r="AQI232" s="740"/>
      <c r="AQJ232" s="740"/>
      <c r="AQK232" s="740"/>
      <c r="AQL232" s="740"/>
      <c r="AQM232" s="740"/>
      <c r="AQN232" s="740"/>
      <c r="AQO232" s="740"/>
      <c r="AQP232" s="740"/>
      <c r="AQQ232" s="740"/>
      <c r="AQR232" s="740"/>
      <c r="AQS232" s="740"/>
      <c r="AQT232" s="740"/>
      <c r="AQU232" s="740"/>
      <c r="AQV232" s="740"/>
      <c r="AQW232" s="740"/>
      <c r="AQX232" s="740"/>
      <c r="AQY232" s="740"/>
      <c r="AQZ232" s="740"/>
      <c r="ARA232" s="740"/>
      <c r="ARB232" s="740"/>
      <c r="ARC232" s="740"/>
      <c r="ARD232" s="740"/>
      <c r="ARE232" s="740"/>
      <c r="ARF232" s="740"/>
      <c r="ARG232" s="740"/>
      <c r="ARH232" s="740"/>
      <c r="ARI232" s="740"/>
      <c r="ARJ232" s="740"/>
      <c r="ARK232" s="740"/>
      <c r="ARL232" s="740"/>
      <c r="ARM232" s="740"/>
      <c r="ARN232" s="740"/>
      <c r="ARO232" s="740"/>
      <c r="ARP232" s="740"/>
      <c r="ARQ232" s="740"/>
      <c r="ARR232" s="740"/>
      <c r="ARS232" s="740"/>
      <c r="ART232" s="740"/>
      <c r="ARU232" s="740"/>
      <c r="ARV232" s="740"/>
      <c r="ARW232" s="740"/>
      <c r="ARX232" s="740"/>
      <c r="ARY232" s="740"/>
      <c r="ARZ232" s="740"/>
      <c r="ASA232" s="740"/>
      <c r="ASB232" s="740"/>
      <c r="ASC232" s="740"/>
      <c r="ASD232" s="740"/>
      <c r="ASE232" s="740"/>
      <c r="ASF232" s="740"/>
      <c r="ASG232" s="740"/>
      <c r="ASH232" s="740"/>
      <c r="ASI232" s="740"/>
      <c r="ASJ232" s="740"/>
      <c r="ASK232" s="740"/>
      <c r="ASL232" s="740"/>
      <c r="ASM232" s="740"/>
      <c r="ASN232" s="740"/>
      <c r="ASO232" s="740"/>
      <c r="ASP232" s="740"/>
      <c r="ASQ232" s="740"/>
      <c r="ASR232" s="740"/>
      <c r="ASS232" s="740"/>
      <c r="AST232" s="740"/>
      <c r="ASU232" s="740"/>
      <c r="ASV232" s="740"/>
      <c r="ASW232" s="740"/>
      <c r="ASX232" s="740"/>
      <c r="ASY232" s="740"/>
      <c r="ASZ232" s="740"/>
      <c r="ATA232" s="740"/>
      <c r="ATB232" s="740"/>
      <c r="ATC232" s="740"/>
      <c r="ATD232" s="740"/>
      <c r="ATE232" s="740"/>
      <c r="ATF232" s="740"/>
      <c r="ATG232" s="740"/>
      <c r="ATH232" s="740"/>
      <c r="ATI232" s="740"/>
      <c r="ATJ232" s="740"/>
      <c r="ATK232" s="740"/>
      <c r="ATL232" s="740"/>
      <c r="ATM232" s="740"/>
      <c r="ATN232" s="740"/>
      <c r="ATO232" s="740"/>
      <c r="ATP232" s="740"/>
      <c r="ATQ232" s="740"/>
      <c r="ATR232" s="740"/>
      <c r="ATS232" s="740"/>
      <c r="ATT232" s="740"/>
      <c r="ATU232" s="740"/>
      <c r="ATV232" s="740"/>
      <c r="ATW232" s="740"/>
      <c r="ATX232" s="740"/>
      <c r="ATY232" s="740"/>
      <c r="ATZ232" s="740"/>
      <c r="AUA232" s="740"/>
      <c r="AUB232" s="740"/>
      <c r="AUC232" s="740"/>
      <c r="AUD232" s="740"/>
      <c r="AUE232" s="740"/>
      <c r="AUF232" s="740"/>
      <c r="AUG232" s="740"/>
      <c r="AUH232" s="740"/>
      <c r="AUI232" s="740"/>
      <c r="AUJ232" s="740"/>
      <c r="AUK232" s="740"/>
      <c r="AUL232" s="740"/>
      <c r="AUM232" s="740"/>
      <c r="AUN232" s="740"/>
      <c r="AUO232" s="740"/>
      <c r="AUP232" s="740"/>
      <c r="AUQ232" s="740"/>
      <c r="AUR232" s="740"/>
      <c r="AUS232" s="740"/>
      <c r="AUT232" s="740"/>
      <c r="AUU232" s="740"/>
      <c r="AUV232" s="740"/>
      <c r="AUW232" s="740"/>
      <c r="AUX232" s="740"/>
      <c r="AUY232" s="740"/>
      <c r="AUZ232" s="740"/>
      <c r="AVA232" s="740"/>
      <c r="AVB232" s="740"/>
      <c r="AVC232" s="740"/>
      <c r="AVD232" s="740"/>
      <c r="AVE232" s="740"/>
      <c r="AVF232" s="740"/>
      <c r="AVG232" s="740"/>
      <c r="AVH232" s="740"/>
      <c r="AVI232" s="740"/>
      <c r="AVJ232" s="740"/>
      <c r="AVK232" s="740"/>
      <c r="AVL232" s="740"/>
      <c r="AVM232" s="740"/>
      <c r="AVN232" s="740"/>
      <c r="AVO232" s="740"/>
      <c r="AVP232" s="740"/>
      <c r="AVQ232" s="740"/>
      <c r="AVR232" s="740"/>
      <c r="AVS232" s="740"/>
      <c r="AVT232" s="740"/>
      <c r="AVU232" s="740"/>
      <c r="AVV232" s="740"/>
      <c r="AVW232" s="740"/>
      <c r="AVX232" s="740"/>
      <c r="AVY232" s="740"/>
      <c r="AVZ232" s="740"/>
      <c r="AWA232" s="740"/>
      <c r="AWB232" s="740"/>
      <c r="AWC232" s="740"/>
      <c r="AWD232" s="740"/>
      <c r="AWE232" s="740"/>
      <c r="AWF232" s="740"/>
      <c r="AWG232" s="740"/>
      <c r="AWH232" s="740"/>
      <c r="AWI232" s="740"/>
      <c r="AWJ232" s="740"/>
      <c r="AWK232" s="740"/>
      <c r="AWL232" s="740"/>
      <c r="AWM232" s="740"/>
      <c r="AWN232" s="740"/>
      <c r="AWO232" s="740"/>
      <c r="AWP232" s="740"/>
      <c r="AWQ232" s="740"/>
      <c r="AWR232" s="740"/>
      <c r="AWS232" s="740"/>
      <c r="AWT232" s="740"/>
      <c r="AWU232" s="740"/>
      <c r="AWV232" s="740"/>
      <c r="AWW232" s="740"/>
      <c r="AWX232" s="740"/>
      <c r="AWY232" s="740"/>
      <c r="AWZ232" s="740"/>
      <c r="AXA232" s="740"/>
      <c r="AXB232" s="740"/>
      <c r="AXC232" s="740"/>
      <c r="AXD232" s="740"/>
      <c r="AXE232" s="740"/>
      <c r="AXF232" s="740"/>
      <c r="AXG232" s="740"/>
      <c r="AXH232" s="740"/>
      <c r="AXI232" s="740"/>
      <c r="AXJ232" s="740"/>
    </row>
    <row r="233" spans="1:1310" s="741" customFormat="1" ht="23.25" customHeight="1">
      <c r="A233" s="756"/>
      <c r="B233" s="9016" t="s">
        <v>1592</v>
      </c>
      <c r="C233" s="9016"/>
      <c r="D233" s="9016"/>
      <c r="E233" s="9016"/>
      <c r="F233" s="750"/>
      <c r="G233" s="9016" t="s">
        <v>1593</v>
      </c>
      <c r="H233" s="9016"/>
      <c r="I233" s="9016"/>
      <c r="J233" s="750"/>
      <c r="K233" s="9016" t="s">
        <v>1594</v>
      </c>
      <c r="L233" s="9016"/>
      <c r="M233" s="9016"/>
      <c r="N233" s="750"/>
      <c r="O233" s="9016" t="s">
        <v>1595</v>
      </c>
      <c r="P233" s="9016"/>
      <c r="Q233" s="750"/>
      <c r="R233" s="311"/>
      <c r="S233" s="311"/>
      <c r="T233" s="311"/>
      <c r="U233" s="311"/>
      <c r="V233" s="311"/>
      <c r="W233" s="311"/>
      <c r="X233" s="311"/>
      <c r="Y233" s="311"/>
      <c r="Z233" s="311"/>
      <c r="AA233" s="311"/>
      <c r="AB233" s="311"/>
      <c r="AC233" s="311"/>
      <c r="AD233" s="740"/>
      <c r="AE233" s="740"/>
      <c r="AF233" s="740"/>
      <c r="AG233" s="740"/>
      <c r="AH233" s="740"/>
      <c r="AI233" s="740"/>
      <c r="AJ233" s="740"/>
      <c r="AK233" s="740"/>
      <c r="AL233" s="740"/>
      <c r="AM233" s="740"/>
      <c r="AN233" s="740"/>
      <c r="AO233" s="740"/>
      <c r="AP233" s="740"/>
      <c r="AQ233" s="740"/>
      <c r="AR233" s="740"/>
      <c r="AS233" s="740"/>
      <c r="AT233" s="740"/>
      <c r="AU233" s="740"/>
      <c r="AV233" s="740"/>
      <c r="AW233" s="740"/>
      <c r="AX233" s="740"/>
      <c r="AY233" s="740"/>
      <c r="AZ233" s="740"/>
      <c r="BA233" s="740"/>
      <c r="BB233" s="740"/>
      <c r="BC233" s="740"/>
      <c r="BD233" s="740"/>
      <c r="BE233" s="740"/>
      <c r="BF233" s="740"/>
      <c r="BG233" s="740"/>
      <c r="BH233" s="740"/>
      <c r="BI233" s="740"/>
      <c r="BJ233" s="740"/>
      <c r="BK233" s="740"/>
      <c r="BL233" s="740"/>
      <c r="BM233" s="740"/>
      <c r="BN233" s="740"/>
      <c r="BO233" s="740"/>
      <c r="BP233" s="740"/>
      <c r="BQ233" s="740"/>
      <c r="BR233" s="740"/>
      <c r="BS233" s="740"/>
      <c r="BT233" s="740"/>
      <c r="BU233" s="740"/>
      <c r="BV233" s="740"/>
      <c r="BW233" s="740"/>
      <c r="BX233" s="740"/>
      <c r="BY233" s="740"/>
      <c r="BZ233" s="740"/>
      <c r="CA233" s="740"/>
      <c r="CB233" s="740"/>
      <c r="CC233" s="740"/>
      <c r="CD233" s="740"/>
      <c r="CE233" s="740"/>
      <c r="CF233" s="740"/>
      <c r="CG233" s="740"/>
      <c r="CH233" s="740"/>
      <c r="CI233" s="740"/>
      <c r="CJ233" s="740"/>
      <c r="CK233" s="740"/>
      <c r="CL233" s="740"/>
      <c r="CM233" s="740"/>
      <c r="CN233" s="740"/>
      <c r="CO233" s="740"/>
      <c r="CP233" s="740"/>
      <c r="CQ233" s="740"/>
      <c r="CR233" s="740"/>
      <c r="CS233" s="740"/>
      <c r="CT233" s="740"/>
      <c r="CU233" s="740"/>
      <c r="CV233" s="740"/>
      <c r="CW233" s="740"/>
      <c r="CX233" s="740"/>
      <c r="CY233" s="740"/>
      <c r="CZ233" s="740"/>
      <c r="DA233" s="740"/>
      <c r="DB233" s="740"/>
      <c r="DC233" s="740"/>
      <c r="DD233" s="740"/>
      <c r="DE233" s="740"/>
      <c r="DF233" s="740"/>
      <c r="DG233" s="740"/>
      <c r="DH233" s="740"/>
      <c r="DI233" s="740"/>
      <c r="DJ233" s="740"/>
      <c r="DK233" s="740"/>
      <c r="DL233" s="740"/>
      <c r="DM233" s="740"/>
      <c r="DN233" s="740"/>
      <c r="DO233" s="740"/>
      <c r="DP233" s="740"/>
      <c r="DQ233" s="740"/>
      <c r="DR233" s="740"/>
      <c r="DS233" s="740"/>
      <c r="DT233" s="740"/>
      <c r="DU233" s="740"/>
      <c r="DV233" s="740"/>
      <c r="DW233" s="740"/>
      <c r="DX233" s="740"/>
      <c r="DY233" s="740"/>
      <c r="DZ233" s="740"/>
      <c r="EA233" s="740"/>
      <c r="EB233" s="740"/>
      <c r="EC233" s="740"/>
      <c r="ED233" s="740"/>
      <c r="EE233" s="740"/>
      <c r="EF233" s="740"/>
      <c r="EG233" s="740"/>
      <c r="EH233" s="740"/>
      <c r="EI233" s="740"/>
      <c r="EJ233" s="740"/>
      <c r="EK233" s="740"/>
      <c r="EL233" s="740"/>
      <c r="EM233" s="740"/>
      <c r="EN233" s="740"/>
      <c r="EO233" s="740"/>
      <c r="EP233" s="740"/>
      <c r="EQ233" s="740"/>
      <c r="ER233" s="740"/>
      <c r="ES233" s="740"/>
      <c r="ET233" s="740"/>
      <c r="EU233" s="740"/>
      <c r="EV233" s="740"/>
      <c r="EW233" s="740"/>
      <c r="EX233" s="740"/>
      <c r="EY233" s="740"/>
      <c r="EZ233" s="740"/>
      <c r="FA233" s="740"/>
      <c r="FB233" s="740"/>
      <c r="FC233" s="740"/>
      <c r="FD233" s="740"/>
      <c r="FE233" s="740"/>
      <c r="FF233" s="740"/>
      <c r="FG233" s="740"/>
      <c r="FH233" s="740"/>
      <c r="FI233" s="740"/>
      <c r="FJ233" s="740"/>
      <c r="FK233" s="740"/>
      <c r="FL233" s="740"/>
      <c r="FM233" s="740"/>
      <c r="FN233" s="740"/>
      <c r="FO233" s="740"/>
      <c r="FP233" s="740"/>
      <c r="FQ233" s="740"/>
      <c r="FR233" s="740"/>
      <c r="FS233" s="740"/>
      <c r="FT233" s="740"/>
      <c r="FU233" s="740"/>
      <c r="FV233" s="740"/>
      <c r="FW233" s="740"/>
      <c r="FX233" s="740"/>
      <c r="FY233" s="740"/>
      <c r="FZ233" s="740"/>
      <c r="GA233" s="740"/>
      <c r="GB233" s="740"/>
      <c r="GC233" s="740"/>
      <c r="GD233" s="740"/>
      <c r="GE233" s="740"/>
      <c r="GF233" s="740"/>
      <c r="GG233" s="740"/>
      <c r="GH233" s="740"/>
      <c r="GI233" s="740"/>
      <c r="GJ233" s="740"/>
      <c r="GK233" s="740"/>
      <c r="GL233" s="740"/>
      <c r="GM233" s="740"/>
      <c r="GN233" s="740"/>
      <c r="GO233" s="740"/>
      <c r="GP233" s="740"/>
      <c r="GQ233" s="740"/>
      <c r="GR233" s="740"/>
      <c r="GS233" s="740"/>
      <c r="GT233" s="740"/>
      <c r="GU233" s="740"/>
      <c r="GV233" s="740"/>
      <c r="GW233" s="740"/>
      <c r="GX233" s="740"/>
      <c r="GY233" s="740"/>
      <c r="GZ233" s="740"/>
      <c r="HA233" s="740"/>
      <c r="HB233" s="740"/>
      <c r="HC233" s="740"/>
      <c r="HD233" s="740"/>
      <c r="HE233" s="740"/>
      <c r="HF233" s="740"/>
      <c r="HG233" s="740"/>
      <c r="HH233" s="740"/>
      <c r="HI233" s="740"/>
      <c r="HJ233" s="740"/>
      <c r="HK233" s="740"/>
      <c r="HL233" s="740"/>
      <c r="HM233" s="740"/>
      <c r="HN233" s="740"/>
      <c r="HO233" s="740"/>
      <c r="HP233" s="740"/>
      <c r="HQ233" s="740"/>
      <c r="HR233" s="740"/>
      <c r="HS233" s="740"/>
      <c r="HT233" s="740"/>
      <c r="HU233" s="740"/>
      <c r="HV233" s="740"/>
      <c r="HW233" s="740"/>
      <c r="HX233" s="740"/>
      <c r="HY233" s="740"/>
      <c r="HZ233" s="740"/>
      <c r="IA233" s="740"/>
      <c r="IB233" s="740"/>
      <c r="IC233" s="740"/>
      <c r="ID233" s="740"/>
      <c r="IE233" s="740"/>
      <c r="IF233" s="740"/>
      <c r="IG233" s="740"/>
      <c r="IH233" s="740"/>
      <c r="II233" s="740"/>
      <c r="IJ233" s="740"/>
      <c r="IK233" s="740"/>
      <c r="IL233" s="740"/>
      <c r="IM233" s="740"/>
      <c r="IN233" s="740"/>
      <c r="IO233" s="740"/>
      <c r="IP233" s="740"/>
      <c r="IQ233" s="740"/>
      <c r="IR233" s="740"/>
      <c r="IS233" s="740"/>
      <c r="IT233" s="740"/>
      <c r="IU233" s="740"/>
      <c r="IV233" s="740"/>
      <c r="IW233" s="740"/>
      <c r="IX233" s="740"/>
      <c r="IY233" s="740"/>
      <c r="IZ233" s="740"/>
      <c r="JA233" s="740"/>
      <c r="JB233" s="740"/>
      <c r="JC233" s="740"/>
      <c r="JD233" s="740"/>
      <c r="JE233" s="740"/>
      <c r="JF233" s="740"/>
      <c r="JG233" s="740"/>
      <c r="JH233" s="740"/>
      <c r="JI233" s="740"/>
      <c r="JJ233" s="740"/>
      <c r="JK233" s="740"/>
      <c r="JL233" s="740"/>
      <c r="JM233" s="740"/>
      <c r="JN233" s="740"/>
      <c r="JO233" s="740"/>
      <c r="JP233" s="740"/>
      <c r="JQ233" s="740"/>
      <c r="JR233" s="740"/>
      <c r="JS233" s="740"/>
      <c r="JT233" s="740"/>
      <c r="JU233" s="740"/>
      <c r="JV233" s="740"/>
      <c r="JW233" s="740"/>
      <c r="JX233" s="740"/>
      <c r="JY233" s="740"/>
      <c r="JZ233" s="740"/>
      <c r="KA233" s="740"/>
      <c r="KB233" s="740"/>
      <c r="KC233" s="740"/>
      <c r="KD233" s="740"/>
      <c r="KE233" s="740"/>
      <c r="KF233" s="740"/>
      <c r="KG233" s="740"/>
      <c r="KH233" s="740"/>
      <c r="KI233" s="740"/>
      <c r="KJ233" s="740"/>
      <c r="KK233" s="740"/>
      <c r="KL233" s="740"/>
      <c r="KM233" s="740"/>
      <c r="KN233" s="740"/>
      <c r="KO233" s="740"/>
      <c r="KP233" s="740"/>
      <c r="KQ233" s="740"/>
      <c r="KR233" s="740"/>
      <c r="KS233" s="740"/>
      <c r="KT233" s="740"/>
      <c r="KU233" s="740"/>
      <c r="KV233" s="740"/>
      <c r="KW233" s="740"/>
      <c r="KX233" s="740"/>
      <c r="KY233" s="740"/>
      <c r="KZ233" s="740"/>
      <c r="LA233" s="740"/>
      <c r="LB233" s="740"/>
      <c r="LC233" s="740"/>
      <c r="LD233" s="740"/>
      <c r="LE233" s="740"/>
      <c r="LF233" s="740"/>
      <c r="LG233" s="740"/>
      <c r="LH233" s="740"/>
      <c r="LI233" s="740"/>
      <c r="LJ233" s="740"/>
      <c r="LK233" s="740"/>
      <c r="LL233" s="740"/>
      <c r="LM233" s="740"/>
      <c r="LN233" s="740"/>
      <c r="LO233" s="740"/>
      <c r="LP233" s="740"/>
      <c r="LQ233" s="740"/>
      <c r="LR233" s="740"/>
      <c r="LS233" s="740"/>
      <c r="LT233" s="740"/>
      <c r="LU233" s="740"/>
      <c r="LV233" s="740"/>
      <c r="LW233" s="740"/>
      <c r="LX233" s="740"/>
      <c r="LY233" s="740"/>
      <c r="LZ233" s="740"/>
      <c r="MA233" s="740"/>
      <c r="MB233" s="740"/>
      <c r="MC233" s="740"/>
      <c r="MD233" s="740"/>
      <c r="ME233" s="740"/>
      <c r="MF233" s="740"/>
      <c r="MG233" s="740"/>
      <c r="MH233" s="740"/>
      <c r="MI233" s="740"/>
      <c r="MJ233" s="740"/>
      <c r="MK233" s="740"/>
      <c r="ML233" s="740"/>
      <c r="MM233" s="740"/>
      <c r="MN233" s="740"/>
      <c r="MO233" s="740"/>
      <c r="MP233" s="740"/>
      <c r="MQ233" s="740"/>
      <c r="MR233" s="740"/>
      <c r="MS233" s="740"/>
      <c r="MT233" s="740"/>
      <c r="MU233" s="740"/>
      <c r="MV233" s="740"/>
      <c r="MW233" s="740"/>
      <c r="MX233" s="740"/>
      <c r="MY233" s="740"/>
      <c r="MZ233" s="740"/>
      <c r="NA233" s="740"/>
      <c r="NB233" s="740"/>
      <c r="NC233" s="740"/>
      <c r="ND233" s="740"/>
      <c r="NE233" s="740"/>
      <c r="NF233" s="740"/>
      <c r="NG233" s="740"/>
      <c r="NH233" s="740"/>
      <c r="NI233" s="740"/>
      <c r="NJ233" s="740"/>
      <c r="NK233" s="740"/>
      <c r="NL233" s="740"/>
      <c r="NM233" s="740"/>
      <c r="NN233" s="740"/>
      <c r="NO233" s="740"/>
      <c r="NP233" s="740"/>
      <c r="NQ233" s="740"/>
      <c r="NR233" s="740"/>
      <c r="NS233" s="740"/>
      <c r="NT233" s="740"/>
      <c r="NU233" s="740"/>
      <c r="NV233" s="740"/>
      <c r="NW233" s="740"/>
      <c r="NX233" s="740"/>
      <c r="NY233" s="740"/>
      <c r="NZ233" s="740"/>
      <c r="OA233" s="740"/>
      <c r="OB233" s="740"/>
      <c r="OC233" s="740"/>
      <c r="OD233" s="740"/>
      <c r="OE233" s="740"/>
      <c r="OF233" s="740"/>
      <c r="OG233" s="740"/>
      <c r="OH233" s="740"/>
      <c r="OI233" s="740"/>
      <c r="OJ233" s="740"/>
      <c r="OK233" s="740"/>
      <c r="OL233" s="740"/>
      <c r="OM233" s="740"/>
      <c r="ON233" s="740"/>
      <c r="OO233" s="740"/>
      <c r="OP233" s="740"/>
      <c r="OQ233" s="740"/>
      <c r="OR233" s="740"/>
      <c r="OS233" s="740"/>
      <c r="OT233" s="740"/>
      <c r="OU233" s="740"/>
      <c r="OV233" s="740"/>
      <c r="OW233" s="740"/>
      <c r="OX233" s="740"/>
      <c r="OY233" s="740"/>
      <c r="OZ233" s="740"/>
      <c r="PA233" s="740"/>
      <c r="PB233" s="740"/>
      <c r="PC233" s="740"/>
      <c r="PD233" s="740"/>
      <c r="PE233" s="740"/>
      <c r="PF233" s="740"/>
      <c r="PG233" s="740"/>
      <c r="PH233" s="740"/>
      <c r="PI233" s="740"/>
      <c r="PJ233" s="740"/>
      <c r="PK233" s="740"/>
      <c r="PL233" s="740"/>
      <c r="PM233" s="740"/>
      <c r="PN233" s="740"/>
      <c r="PO233" s="740"/>
      <c r="PP233" s="740"/>
      <c r="PQ233" s="740"/>
      <c r="PR233" s="740"/>
      <c r="PS233" s="740"/>
      <c r="PT233" s="740"/>
      <c r="PU233" s="740"/>
      <c r="PV233" s="740"/>
      <c r="PW233" s="740"/>
      <c r="PX233" s="740"/>
      <c r="PY233" s="740"/>
      <c r="PZ233" s="740"/>
      <c r="QA233" s="740"/>
      <c r="QB233" s="740"/>
      <c r="QC233" s="740"/>
      <c r="QD233" s="740"/>
      <c r="QE233" s="740"/>
      <c r="QF233" s="740"/>
      <c r="QG233" s="740"/>
      <c r="QH233" s="740"/>
      <c r="QI233" s="740"/>
      <c r="QJ233" s="740"/>
      <c r="QK233" s="740"/>
      <c r="QL233" s="740"/>
      <c r="QM233" s="740"/>
      <c r="QN233" s="740"/>
      <c r="QO233" s="740"/>
      <c r="QP233" s="740"/>
      <c r="QQ233" s="740"/>
      <c r="QR233" s="740"/>
      <c r="QS233" s="740"/>
      <c r="QT233" s="740"/>
      <c r="QU233" s="740"/>
      <c r="QV233" s="740"/>
      <c r="QW233" s="740"/>
      <c r="QX233" s="740"/>
      <c r="QY233" s="740"/>
      <c r="QZ233" s="740"/>
      <c r="RA233" s="740"/>
      <c r="RB233" s="740"/>
      <c r="RC233" s="740"/>
      <c r="RD233" s="740"/>
      <c r="RE233" s="740"/>
      <c r="RF233" s="740"/>
      <c r="RG233" s="740"/>
      <c r="RH233" s="740"/>
      <c r="RI233" s="740"/>
      <c r="RJ233" s="740"/>
      <c r="RK233" s="740"/>
      <c r="RL233" s="740"/>
      <c r="RM233" s="740"/>
      <c r="RN233" s="740"/>
      <c r="RO233" s="740"/>
      <c r="RP233" s="740"/>
      <c r="RQ233" s="740"/>
      <c r="RR233" s="740"/>
      <c r="RS233" s="740"/>
      <c r="RT233" s="740"/>
      <c r="RU233" s="740"/>
      <c r="RV233" s="740"/>
      <c r="RW233" s="740"/>
      <c r="RX233" s="740"/>
      <c r="RY233" s="740"/>
      <c r="RZ233" s="740"/>
      <c r="SA233" s="740"/>
      <c r="SB233" s="740"/>
      <c r="SC233" s="740"/>
      <c r="SD233" s="740"/>
      <c r="SE233" s="740"/>
      <c r="SF233" s="740"/>
      <c r="SG233" s="740"/>
      <c r="SH233" s="740"/>
      <c r="SI233" s="740"/>
      <c r="SJ233" s="740"/>
      <c r="SK233" s="740"/>
      <c r="SL233" s="740"/>
      <c r="SM233" s="740"/>
      <c r="SN233" s="740"/>
      <c r="SO233" s="740"/>
      <c r="SP233" s="740"/>
      <c r="SQ233" s="740"/>
      <c r="SR233" s="740"/>
      <c r="SS233" s="740"/>
      <c r="ST233" s="740"/>
      <c r="SU233" s="740"/>
      <c r="SV233" s="740"/>
      <c r="SW233" s="740"/>
      <c r="SX233" s="740"/>
      <c r="SY233" s="740"/>
      <c r="SZ233" s="740"/>
      <c r="TA233" s="740"/>
      <c r="TB233" s="740"/>
      <c r="TC233" s="740"/>
      <c r="TD233" s="740"/>
      <c r="TE233" s="740"/>
      <c r="TF233" s="740"/>
      <c r="TG233" s="740"/>
      <c r="TH233" s="740"/>
      <c r="TI233" s="740"/>
      <c r="TJ233" s="740"/>
      <c r="TK233" s="740"/>
      <c r="TL233" s="740"/>
      <c r="TM233" s="740"/>
      <c r="TN233" s="740"/>
      <c r="TO233" s="740"/>
      <c r="TP233" s="740"/>
      <c r="TQ233" s="740"/>
      <c r="TR233" s="740"/>
      <c r="TS233" s="740"/>
      <c r="TT233" s="740"/>
      <c r="TU233" s="740"/>
      <c r="TV233" s="740"/>
      <c r="TW233" s="740"/>
      <c r="TX233" s="740"/>
      <c r="TY233" s="740"/>
      <c r="TZ233" s="740"/>
      <c r="UA233" s="740"/>
      <c r="UB233" s="740"/>
      <c r="UC233" s="740"/>
      <c r="UD233" s="740"/>
      <c r="UE233" s="740"/>
      <c r="UF233" s="740"/>
      <c r="UG233" s="740"/>
      <c r="UH233" s="740"/>
      <c r="UI233" s="740"/>
      <c r="UJ233" s="740"/>
      <c r="UK233" s="740"/>
      <c r="UL233" s="740"/>
      <c r="UM233" s="740"/>
      <c r="UN233" s="740"/>
      <c r="UO233" s="740"/>
      <c r="UP233" s="740"/>
      <c r="UQ233" s="740"/>
      <c r="UR233" s="740"/>
      <c r="US233" s="740"/>
      <c r="UT233" s="740"/>
      <c r="UU233" s="740"/>
      <c r="UV233" s="740"/>
      <c r="UW233" s="740"/>
      <c r="UX233" s="740"/>
      <c r="UY233" s="740"/>
      <c r="UZ233" s="740"/>
      <c r="VA233" s="740"/>
      <c r="VB233" s="740"/>
      <c r="VC233" s="740"/>
      <c r="VD233" s="740"/>
      <c r="VE233" s="740"/>
      <c r="VF233" s="740"/>
      <c r="VG233" s="740"/>
      <c r="VH233" s="740"/>
      <c r="VI233" s="740"/>
      <c r="VJ233" s="740"/>
      <c r="VK233" s="740"/>
      <c r="VL233" s="740"/>
      <c r="VM233" s="740"/>
      <c r="VN233" s="740"/>
      <c r="VO233" s="740"/>
      <c r="VP233" s="740"/>
      <c r="VQ233" s="740"/>
      <c r="VR233" s="740"/>
      <c r="VS233" s="740"/>
      <c r="VT233" s="740"/>
      <c r="VU233" s="740"/>
      <c r="VV233" s="740"/>
      <c r="VW233" s="740"/>
      <c r="VX233" s="740"/>
      <c r="VY233" s="740"/>
      <c r="VZ233" s="740"/>
      <c r="WA233" s="740"/>
      <c r="WB233" s="740"/>
      <c r="WC233" s="740"/>
      <c r="WD233" s="740"/>
      <c r="WE233" s="740"/>
      <c r="WF233" s="740"/>
      <c r="WG233" s="740"/>
      <c r="WH233" s="740"/>
      <c r="WI233" s="740"/>
      <c r="WJ233" s="740"/>
      <c r="WK233" s="740"/>
      <c r="WL233" s="740"/>
      <c r="WM233" s="740"/>
      <c r="WN233" s="740"/>
      <c r="WO233" s="740"/>
      <c r="WP233" s="740"/>
      <c r="WQ233" s="740"/>
      <c r="WR233" s="740"/>
      <c r="WS233" s="740"/>
      <c r="WT233" s="740"/>
      <c r="WU233" s="740"/>
      <c r="WV233" s="740"/>
      <c r="WW233" s="740"/>
      <c r="WX233" s="740"/>
      <c r="WY233" s="740"/>
      <c r="WZ233" s="740"/>
      <c r="XA233" s="740"/>
      <c r="XB233" s="740"/>
      <c r="XC233" s="740"/>
      <c r="XD233" s="740"/>
      <c r="XE233" s="740"/>
      <c r="XF233" s="740"/>
      <c r="XG233" s="740"/>
      <c r="XH233" s="740"/>
      <c r="XI233" s="740"/>
      <c r="XJ233" s="740"/>
      <c r="XK233" s="740"/>
      <c r="XL233" s="740"/>
      <c r="XM233" s="740"/>
      <c r="XN233" s="740"/>
      <c r="XO233" s="740"/>
      <c r="XP233" s="740"/>
      <c r="XQ233" s="740"/>
      <c r="XR233" s="740"/>
      <c r="XS233" s="740"/>
      <c r="XT233" s="740"/>
      <c r="XU233" s="740"/>
      <c r="XV233" s="740"/>
      <c r="XW233" s="740"/>
      <c r="XX233" s="740"/>
      <c r="XY233" s="740"/>
      <c r="XZ233" s="740"/>
      <c r="YA233" s="740"/>
      <c r="YB233" s="740"/>
      <c r="YC233" s="740"/>
      <c r="YD233" s="740"/>
      <c r="YE233" s="740"/>
      <c r="YF233" s="740"/>
      <c r="YG233" s="740"/>
      <c r="YH233" s="740"/>
      <c r="YI233" s="740"/>
      <c r="YJ233" s="740"/>
      <c r="YK233" s="740"/>
      <c r="YL233" s="740"/>
      <c r="YM233" s="740"/>
      <c r="YN233" s="740"/>
      <c r="YO233" s="740"/>
      <c r="YP233" s="740"/>
      <c r="YQ233" s="740"/>
      <c r="YR233" s="740"/>
      <c r="YS233" s="740"/>
      <c r="YT233" s="740"/>
      <c r="YU233" s="740"/>
      <c r="YV233" s="740"/>
      <c r="YW233" s="740"/>
      <c r="YX233" s="740"/>
      <c r="YY233" s="740"/>
      <c r="YZ233" s="740"/>
      <c r="ZA233" s="740"/>
      <c r="ZB233" s="740"/>
      <c r="ZC233" s="740"/>
      <c r="ZD233" s="740"/>
      <c r="ZE233" s="740"/>
      <c r="ZF233" s="740"/>
      <c r="ZG233" s="740"/>
      <c r="ZH233" s="740"/>
      <c r="ZI233" s="740"/>
      <c r="ZJ233" s="740"/>
      <c r="ZK233" s="740"/>
      <c r="ZL233" s="740"/>
      <c r="ZM233" s="740"/>
      <c r="ZN233" s="740"/>
      <c r="ZO233" s="740"/>
      <c r="ZP233" s="740"/>
      <c r="ZQ233" s="740"/>
      <c r="ZR233" s="740"/>
      <c r="ZS233" s="740"/>
      <c r="ZT233" s="740"/>
      <c r="ZU233" s="740"/>
      <c r="ZV233" s="740"/>
      <c r="ZW233" s="740"/>
      <c r="ZX233" s="740"/>
      <c r="ZY233" s="740"/>
      <c r="ZZ233" s="740"/>
      <c r="AAA233" s="740"/>
      <c r="AAB233" s="740"/>
      <c r="AAC233" s="740"/>
      <c r="AAD233" s="740"/>
      <c r="AAE233" s="740"/>
      <c r="AAF233" s="740"/>
      <c r="AAG233" s="740"/>
      <c r="AAH233" s="740"/>
      <c r="AAI233" s="740"/>
      <c r="AAJ233" s="740"/>
      <c r="AAK233" s="740"/>
      <c r="AAL233" s="740"/>
      <c r="AAM233" s="740"/>
      <c r="AAN233" s="740"/>
      <c r="AAO233" s="740"/>
      <c r="AAP233" s="740"/>
      <c r="AAQ233" s="740"/>
      <c r="AAR233" s="740"/>
      <c r="AAS233" s="740"/>
      <c r="AAT233" s="740"/>
      <c r="AAU233" s="740"/>
      <c r="AAV233" s="740"/>
      <c r="AAW233" s="740"/>
      <c r="AAX233" s="740"/>
      <c r="AAY233" s="740"/>
      <c r="AAZ233" s="740"/>
      <c r="ABA233" s="740"/>
      <c r="ABB233" s="740"/>
      <c r="ABC233" s="740"/>
      <c r="ABD233" s="740"/>
      <c r="ABE233" s="740"/>
      <c r="ABF233" s="740"/>
      <c r="ABG233" s="740"/>
      <c r="ABH233" s="740"/>
      <c r="ABI233" s="740"/>
      <c r="ABJ233" s="740"/>
      <c r="ABK233" s="740"/>
      <c r="ABL233" s="740"/>
      <c r="ABM233" s="740"/>
      <c r="ABN233" s="740"/>
      <c r="ABO233" s="740"/>
      <c r="ABP233" s="740"/>
      <c r="ABQ233" s="740"/>
      <c r="ABR233" s="740"/>
      <c r="ABS233" s="740"/>
      <c r="ABT233" s="740"/>
      <c r="ABU233" s="740"/>
      <c r="ABV233" s="740"/>
      <c r="ABW233" s="740"/>
      <c r="ABX233" s="740"/>
      <c r="ABY233" s="740"/>
      <c r="ABZ233" s="740"/>
      <c r="ACA233" s="740"/>
      <c r="ACB233" s="740"/>
      <c r="ACC233" s="740"/>
      <c r="ACD233" s="740"/>
      <c r="ACE233" s="740"/>
      <c r="ACF233" s="740"/>
      <c r="ACG233" s="740"/>
      <c r="ACH233" s="740"/>
      <c r="ACI233" s="740"/>
      <c r="ACJ233" s="740"/>
      <c r="ACK233" s="740"/>
      <c r="ACL233" s="740"/>
      <c r="ACM233" s="740"/>
      <c r="ACN233" s="740"/>
      <c r="ACO233" s="740"/>
      <c r="ACP233" s="740"/>
      <c r="ACQ233" s="740"/>
      <c r="ACR233" s="740"/>
      <c r="ACS233" s="740"/>
      <c r="ACT233" s="740"/>
      <c r="ACU233" s="740"/>
      <c r="ACV233" s="740"/>
      <c r="ACW233" s="740"/>
      <c r="ACX233" s="740"/>
      <c r="ACY233" s="740"/>
      <c r="ACZ233" s="740"/>
      <c r="ADA233" s="740"/>
      <c r="ADB233" s="740"/>
      <c r="ADC233" s="740"/>
      <c r="ADD233" s="740"/>
      <c r="ADE233" s="740"/>
      <c r="ADF233" s="740"/>
      <c r="ADG233" s="740"/>
      <c r="ADH233" s="740"/>
      <c r="ADI233" s="740"/>
      <c r="ADJ233" s="740"/>
      <c r="ADK233" s="740"/>
      <c r="ADL233" s="740"/>
      <c r="ADM233" s="740"/>
      <c r="ADN233" s="740"/>
      <c r="ADO233" s="740"/>
      <c r="ADP233" s="740"/>
      <c r="ADQ233" s="740"/>
      <c r="ADR233" s="740"/>
      <c r="ADS233" s="740"/>
      <c r="ADT233" s="740"/>
      <c r="ADU233" s="740"/>
      <c r="ADV233" s="740"/>
      <c r="ADW233" s="740"/>
      <c r="ADX233" s="740"/>
      <c r="ADY233" s="740"/>
      <c r="ADZ233" s="740"/>
      <c r="AEA233" s="740"/>
      <c r="AEB233" s="740"/>
      <c r="AEC233" s="740"/>
      <c r="AED233" s="740"/>
      <c r="AEE233" s="740"/>
      <c r="AEF233" s="740"/>
      <c r="AEG233" s="740"/>
      <c r="AEH233" s="740"/>
      <c r="AEI233" s="740"/>
      <c r="AEJ233" s="740"/>
      <c r="AEK233" s="740"/>
      <c r="AEL233" s="740"/>
      <c r="AEM233" s="740"/>
      <c r="AEN233" s="740"/>
      <c r="AEO233" s="740"/>
      <c r="AEP233" s="740"/>
      <c r="AEQ233" s="740"/>
      <c r="AER233" s="740"/>
      <c r="AES233" s="740"/>
      <c r="AET233" s="740"/>
      <c r="AEU233" s="740"/>
      <c r="AEV233" s="740"/>
      <c r="AEW233" s="740"/>
      <c r="AEX233" s="740"/>
      <c r="AEY233" s="740"/>
      <c r="AEZ233" s="740"/>
      <c r="AFA233" s="740"/>
      <c r="AFB233" s="740"/>
      <c r="AFC233" s="740"/>
      <c r="AFD233" s="740"/>
      <c r="AFE233" s="740"/>
      <c r="AFF233" s="740"/>
      <c r="AFG233" s="740"/>
      <c r="AFH233" s="740"/>
      <c r="AFI233" s="740"/>
      <c r="AFJ233" s="740"/>
      <c r="AFK233" s="740"/>
      <c r="AFL233" s="740"/>
      <c r="AFM233" s="740"/>
      <c r="AFN233" s="740"/>
      <c r="AFO233" s="740"/>
      <c r="AFP233" s="740"/>
      <c r="AFQ233" s="740"/>
      <c r="AFR233" s="740"/>
      <c r="AFS233" s="740"/>
      <c r="AFT233" s="740"/>
      <c r="AFU233" s="740"/>
      <c r="AFV233" s="740"/>
      <c r="AFW233" s="740"/>
      <c r="AFX233" s="740"/>
      <c r="AFY233" s="740"/>
      <c r="AFZ233" s="740"/>
      <c r="AGA233" s="740"/>
      <c r="AGB233" s="740"/>
      <c r="AGC233" s="740"/>
      <c r="AGD233" s="740"/>
      <c r="AGE233" s="740"/>
      <c r="AGF233" s="740"/>
      <c r="AGG233" s="740"/>
      <c r="AGH233" s="740"/>
      <c r="AGI233" s="740"/>
      <c r="AGJ233" s="740"/>
      <c r="AGK233" s="740"/>
      <c r="AGL233" s="740"/>
      <c r="AGM233" s="740"/>
      <c r="AGN233" s="740"/>
      <c r="AGO233" s="740"/>
      <c r="AGP233" s="740"/>
      <c r="AGQ233" s="740"/>
      <c r="AGR233" s="740"/>
      <c r="AGS233" s="740"/>
      <c r="AGT233" s="740"/>
      <c r="AGU233" s="740"/>
      <c r="AGV233" s="740"/>
      <c r="AGW233" s="740"/>
      <c r="AGX233" s="740"/>
      <c r="AGY233" s="740"/>
      <c r="AGZ233" s="740"/>
      <c r="AHA233" s="740"/>
      <c r="AHB233" s="740"/>
      <c r="AHC233" s="740"/>
      <c r="AHD233" s="740"/>
      <c r="AHE233" s="740"/>
      <c r="AHF233" s="740"/>
      <c r="AHG233" s="740"/>
      <c r="AHH233" s="740"/>
      <c r="AHI233" s="740"/>
      <c r="AHJ233" s="740"/>
      <c r="AHK233" s="740"/>
      <c r="AHL233" s="740"/>
      <c r="AHM233" s="740"/>
      <c r="AHN233" s="740"/>
      <c r="AHO233" s="740"/>
      <c r="AHP233" s="740"/>
      <c r="AHQ233" s="740"/>
      <c r="AHR233" s="740"/>
      <c r="AHS233" s="740"/>
      <c r="AHT233" s="740"/>
      <c r="AHU233" s="740"/>
      <c r="AHV233" s="740"/>
      <c r="AHW233" s="740"/>
      <c r="AHX233" s="740"/>
      <c r="AHY233" s="740"/>
      <c r="AHZ233" s="740"/>
      <c r="AIA233" s="740"/>
      <c r="AIB233" s="740"/>
      <c r="AIC233" s="740"/>
      <c r="AID233" s="740"/>
      <c r="AIE233" s="740"/>
      <c r="AIF233" s="740"/>
      <c r="AIG233" s="740"/>
      <c r="AIH233" s="740"/>
      <c r="AII233" s="740"/>
      <c r="AIJ233" s="740"/>
      <c r="AIK233" s="740"/>
      <c r="AIL233" s="740"/>
      <c r="AIM233" s="740"/>
      <c r="AIN233" s="740"/>
      <c r="AIO233" s="740"/>
      <c r="AIP233" s="740"/>
      <c r="AIQ233" s="740"/>
      <c r="AIR233" s="740"/>
      <c r="AIS233" s="740"/>
      <c r="AIT233" s="740"/>
      <c r="AIU233" s="740"/>
      <c r="AIV233" s="740"/>
      <c r="AIW233" s="740"/>
      <c r="AIX233" s="740"/>
      <c r="AIY233" s="740"/>
      <c r="AIZ233" s="740"/>
      <c r="AJA233" s="740"/>
      <c r="AJB233" s="740"/>
      <c r="AJC233" s="740"/>
      <c r="AJD233" s="740"/>
      <c r="AJE233" s="740"/>
      <c r="AJF233" s="740"/>
      <c r="AJG233" s="740"/>
      <c r="AJH233" s="740"/>
      <c r="AJI233" s="740"/>
      <c r="AJJ233" s="740"/>
      <c r="AJK233" s="740"/>
      <c r="AJL233" s="740"/>
      <c r="AJM233" s="740"/>
      <c r="AJN233" s="740"/>
      <c r="AJO233" s="740"/>
      <c r="AJP233" s="740"/>
      <c r="AJQ233" s="740"/>
      <c r="AJR233" s="740"/>
      <c r="AJS233" s="740"/>
      <c r="AJT233" s="740"/>
      <c r="AJU233" s="740"/>
      <c r="AJV233" s="740"/>
      <c r="AJW233" s="740"/>
      <c r="AJX233" s="740"/>
      <c r="AJY233" s="740"/>
      <c r="AJZ233" s="740"/>
      <c r="AKA233" s="740"/>
      <c r="AKB233" s="740"/>
      <c r="AKC233" s="740"/>
      <c r="AKD233" s="740"/>
      <c r="AKE233" s="740"/>
      <c r="AKF233" s="740"/>
      <c r="AKG233" s="740"/>
      <c r="AKH233" s="740"/>
      <c r="AKI233" s="740"/>
      <c r="AKJ233" s="740"/>
      <c r="AKK233" s="740"/>
      <c r="AKL233" s="740"/>
      <c r="AKM233" s="740"/>
      <c r="AKN233" s="740"/>
      <c r="AKO233" s="740"/>
      <c r="AKP233" s="740"/>
      <c r="AKQ233" s="740"/>
      <c r="AKR233" s="740"/>
      <c r="AKS233" s="740"/>
      <c r="AKT233" s="740"/>
      <c r="AKU233" s="740"/>
      <c r="AKV233" s="740"/>
      <c r="AKW233" s="740"/>
      <c r="AKX233" s="740"/>
      <c r="AKY233" s="740"/>
      <c r="AKZ233" s="740"/>
      <c r="ALA233" s="740"/>
      <c r="ALB233" s="740"/>
      <c r="ALC233" s="740"/>
      <c r="ALD233" s="740"/>
      <c r="ALE233" s="740"/>
      <c r="ALF233" s="740"/>
      <c r="ALG233" s="740"/>
      <c r="ALH233" s="740"/>
      <c r="ALI233" s="740"/>
      <c r="ALJ233" s="740"/>
      <c r="ALK233" s="740"/>
      <c r="ALL233" s="740"/>
      <c r="ALM233" s="740"/>
      <c r="ALN233" s="740"/>
      <c r="ALO233" s="740"/>
      <c r="ALP233" s="740"/>
      <c r="ALQ233" s="740"/>
      <c r="ALR233" s="740"/>
      <c r="ALS233" s="740"/>
      <c r="ALT233" s="740"/>
      <c r="ALU233" s="740"/>
      <c r="ALV233" s="740"/>
      <c r="ALW233" s="740"/>
      <c r="ALX233" s="740"/>
      <c r="ALY233" s="740"/>
      <c r="ALZ233" s="740"/>
      <c r="AMA233" s="740"/>
      <c r="AMB233" s="740"/>
      <c r="AMC233" s="740"/>
      <c r="AMD233" s="740"/>
      <c r="AME233" s="740"/>
      <c r="AMF233" s="740"/>
      <c r="AMG233" s="740"/>
      <c r="AMH233" s="740"/>
      <c r="AMI233" s="740"/>
      <c r="AMJ233" s="740"/>
      <c r="AMK233" s="740"/>
      <c r="AML233" s="740"/>
      <c r="AMM233" s="740"/>
      <c r="AMN233" s="740"/>
      <c r="AMO233" s="740"/>
      <c r="AMP233" s="740"/>
      <c r="AMQ233" s="740"/>
      <c r="AMR233" s="740"/>
      <c r="AMS233" s="740"/>
      <c r="AMT233" s="740"/>
      <c r="AMU233" s="740"/>
      <c r="AMV233" s="740"/>
      <c r="AMW233" s="740"/>
      <c r="AMX233" s="740"/>
      <c r="AMY233" s="740"/>
      <c r="AMZ233" s="740"/>
      <c r="ANA233" s="740"/>
      <c r="ANB233" s="740"/>
      <c r="ANC233" s="740"/>
      <c r="AND233" s="740"/>
      <c r="ANE233" s="740"/>
      <c r="ANF233" s="740"/>
      <c r="ANG233" s="740"/>
      <c r="ANH233" s="740"/>
      <c r="ANI233" s="740"/>
      <c r="ANJ233" s="740"/>
      <c r="ANK233" s="740"/>
      <c r="ANL233" s="740"/>
      <c r="ANM233" s="740"/>
      <c r="ANN233" s="740"/>
      <c r="ANO233" s="740"/>
      <c r="ANP233" s="740"/>
      <c r="ANQ233" s="740"/>
      <c r="ANR233" s="740"/>
      <c r="ANS233" s="740"/>
      <c r="ANT233" s="740"/>
      <c r="ANU233" s="740"/>
      <c r="ANV233" s="740"/>
      <c r="ANW233" s="740"/>
      <c r="ANX233" s="740"/>
      <c r="ANY233" s="740"/>
      <c r="ANZ233" s="740"/>
      <c r="AOA233" s="740"/>
      <c r="AOB233" s="740"/>
      <c r="AOC233" s="740"/>
      <c r="AOD233" s="740"/>
      <c r="AOE233" s="740"/>
      <c r="AOF233" s="740"/>
      <c r="AOG233" s="740"/>
      <c r="AOH233" s="740"/>
      <c r="AOI233" s="740"/>
      <c r="AOJ233" s="740"/>
      <c r="AOK233" s="740"/>
      <c r="AOL233" s="740"/>
      <c r="AOM233" s="740"/>
      <c r="AON233" s="740"/>
      <c r="AOO233" s="740"/>
      <c r="AOP233" s="740"/>
      <c r="AOQ233" s="740"/>
      <c r="AOR233" s="740"/>
      <c r="AOS233" s="740"/>
      <c r="AOT233" s="740"/>
      <c r="AOU233" s="740"/>
      <c r="AOV233" s="740"/>
      <c r="AOW233" s="740"/>
      <c r="AOX233" s="740"/>
      <c r="AOY233" s="740"/>
      <c r="AOZ233" s="740"/>
      <c r="APA233" s="740"/>
      <c r="APB233" s="740"/>
      <c r="APC233" s="740"/>
      <c r="APD233" s="740"/>
      <c r="APE233" s="740"/>
      <c r="APF233" s="740"/>
      <c r="APG233" s="740"/>
      <c r="APH233" s="740"/>
      <c r="API233" s="740"/>
      <c r="APJ233" s="740"/>
      <c r="APK233" s="740"/>
      <c r="APL233" s="740"/>
      <c r="APM233" s="740"/>
      <c r="APN233" s="740"/>
      <c r="APO233" s="740"/>
      <c r="APP233" s="740"/>
      <c r="APQ233" s="740"/>
      <c r="APR233" s="740"/>
      <c r="APS233" s="740"/>
      <c r="APT233" s="740"/>
      <c r="APU233" s="740"/>
      <c r="APV233" s="740"/>
      <c r="APW233" s="740"/>
      <c r="APX233" s="740"/>
      <c r="APY233" s="740"/>
      <c r="APZ233" s="740"/>
      <c r="AQA233" s="740"/>
      <c r="AQB233" s="740"/>
      <c r="AQC233" s="740"/>
      <c r="AQD233" s="740"/>
      <c r="AQE233" s="740"/>
      <c r="AQF233" s="740"/>
      <c r="AQG233" s="740"/>
      <c r="AQH233" s="740"/>
      <c r="AQI233" s="740"/>
      <c r="AQJ233" s="740"/>
      <c r="AQK233" s="740"/>
      <c r="AQL233" s="740"/>
      <c r="AQM233" s="740"/>
      <c r="AQN233" s="740"/>
      <c r="AQO233" s="740"/>
      <c r="AQP233" s="740"/>
      <c r="AQQ233" s="740"/>
      <c r="AQR233" s="740"/>
      <c r="AQS233" s="740"/>
      <c r="AQT233" s="740"/>
      <c r="AQU233" s="740"/>
      <c r="AQV233" s="740"/>
      <c r="AQW233" s="740"/>
      <c r="AQX233" s="740"/>
      <c r="AQY233" s="740"/>
      <c r="AQZ233" s="740"/>
      <c r="ARA233" s="740"/>
      <c r="ARB233" s="740"/>
      <c r="ARC233" s="740"/>
      <c r="ARD233" s="740"/>
      <c r="ARE233" s="740"/>
      <c r="ARF233" s="740"/>
      <c r="ARG233" s="740"/>
      <c r="ARH233" s="740"/>
      <c r="ARI233" s="740"/>
      <c r="ARJ233" s="740"/>
      <c r="ARK233" s="740"/>
      <c r="ARL233" s="740"/>
      <c r="ARM233" s="740"/>
      <c r="ARN233" s="740"/>
      <c r="ARO233" s="740"/>
      <c r="ARP233" s="740"/>
      <c r="ARQ233" s="740"/>
      <c r="ARR233" s="740"/>
      <c r="ARS233" s="740"/>
      <c r="ART233" s="740"/>
      <c r="ARU233" s="740"/>
      <c r="ARV233" s="740"/>
      <c r="ARW233" s="740"/>
      <c r="ARX233" s="740"/>
      <c r="ARY233" s="740"/>
      <c r="ARZ233" s="740"/>
      <c r="ASA233" s="740"/>
      <c r="ASB233" s="740"/>
      <c r="ASC233" s="740"/>
      <c r="ASD233" s="740"/>
      <c r="ASE233" s="740"/>
      <c r="ASF233" s="740"/>
      <c r="ASG233" s="740"/>
      <c r="ASH233" s="740"/>
      <c r="ASI233" s="740"/>
      <c r="ASJ233" s="740"/>
      <c r="ASK233" s="740"/>
      <c r="ASL233" s="740"/>
      <c r="ASM233" s="740"/>
      <c r="ASN233" s="740"/>
      <c r="ASO233" s="740"/>
      <c r="ASP233" s="740"/>
      <c r="ASQ233" s="740"/>
      <c r="ASR233" s="740"/>
      <c r="ASS233" s="740"/>
      <c r="AST233" s="740"/>
      <c r="ASU233" s="740"/>
      <c r="ASV233" s="740"/>
      <c r="ASW233" s="740"/>
      <c r="ASX233" s="740"/>
      <c r="ASY233" s="740"/>
      <c r="ASZ233" s="740"/>
      <c r="ATA233" s="740"/>
      <c r="ATB233" s="740"/>
      <c r="ATC233" s="740"/>
      <c r="ATD233" s="740"/>
      <c r="ATE233" s="740"/>
      <c r="ATF233" s="740"/>
      <c r="ATG233" s="740"/>
      <c r="ATH233" s="740"/>
      <c r="ATI233" s="740"/>
      <c r="ATJ233" s="740"/>
      <c r="ATK233" s="740"/>
      <c r="ATL233" s="740"/>
      <c r="ATM233" s="740"/>
      <c r="ATN233" s="740"/>
      <c r="ATO233" s="740"/>
      <c r="ATP233" s="740"/>
      <c r="ATQ233" s="740"/>
      <c r="ATR233" s="740"/>
      <c r="ATS233" s="740"/>
      <c r="ATT233" s="740"/>
      <c r="ATU233" s="740"/>
      <c r="ATV233" s="740"/>
      <c r="ATW233" s="740"/>
      <c r="ATX233" s="740"/>
      <c r="ATY233" s="740"/>
      <c r="ATZ233" s="740"/>
      <c r="AUA233" s="740"/>
      <c r="AUB233" s="740"/>
      <c r="AUC233" s="740"/>
      <c r="AUD233" s="740"/>
      <c r="AUE233" s="740"/>
      <c r="AUF233" s="740"/>
      <c r="AUG233" s="740"/>
      <c r="AUH233" s="740"/>
      <c r="AUI233" s="740"/>
      <c r="AUJ233" s="740"/>
      <c r="AUK233" s="740"/>
      <c r="AUL233" s="740"/>
      <c r="AUM233" s="740"/>
      <c r="AUN233" s="740"/>
      <c r="AUO233" s="740"/>
      <c r="AUP233" s="740"/>
      <c r="AUQ233" s="740"/>
      <c r="AUR233" s="740"/>
      <c r="AUS233" s="740"/>
      <c r="AUT233" s="740"/>
      <c r="AUU233" s="740"/>
      <c r="AUV233" s="740"/>
      <c r="AUW233" s="740"/>
      <c r="AUX233" s="740"/>
      <c r="AUY233" s="740"/>
      <c r="AUZ233" s="740"/>
      <c r="AVA233" s="740"/>
      <c r="AVB233" s="740"/>
      <c r="AVC233" s="740"/>
      <c r="AVD233" s="740"/>
      <c r="AVE233" s="740"/>
      <c r="AVF233" s="740"/>
      <c r="AVG233" s="740"/>
      <c r="AVH233" s="740"/>
      <c r="AVI233" s="740"/>
      <c r="AVJ233" s="740"/>
      <c r="AVK233" s="740"/>
      <c r="AVL233" s="740"/>
      <c r="AVM233" s="740"/>
      <c r="AVN233" s="740"/>
      <c r="AVO233" s="740"/>
      <c r="AVP233" s="740"/>
      <c r="AVQ233" s="740"/>
      <c r="AVR233" s="740"/>
      <c r="AVS233" s="740"/>
      <c r="AVT233" s="740"/>
      <c r="AVU233" s="740"/>
      <c r="AVV233" s="740"/>
      <c r="AVW233" s="740"/>
      <c r="AVX233" s="740"/>
      <c r="AVY233" s="740"/>
      <c r="AVZ233" s="740"/>
      <c r="AWA233" s="740"/>
      <c r="AWB233" s="740"/>
      <c r="AWC233" s="740"/>
      <c r="AWD233" s="740"/>
      <c r="AWE233" s="740"/>
      <c r="AWF233" s="740"/>
      <c r="AWG233" s="740"/>
      <c r="AWH233" s="740"/>
      <c r="AWI233" s="740"/>
      <c r="AWJ233" s="740"/>
      <c r="AWK233" s="740"/>
      <c r="AWL233" s="740"/>
      <c r="AWM233" s="740"/>
      <c r="AWN233" s="740"/>
      <c r="AWO233" s="740"/>
      <c r="AWP233" s="740"/>
      <c r="AWQ233" s="740"/>
      <c r="AWR233" s="740"/>
      <c r="AWS233" s="740"/>
      <c r="AWT233" s="740"/>
      <c r="AWU233" s="740"/>
      <c r="AWV233" s="740"/>
      <c r="AWW233" s="740"/>
      <c r="AWX233" s="740"/>
      <c r="AWY233" s="740"/>
      <c r="AWZ233" s="740"/>
      <c r="AXA233" s="740"/>
      <c r="AXB233" s="740"/>
      <c r="AXC233" s="740"/>
      <c r="AXD233" s="740"/>
      <c r="AXE233" s="740"/>
      <c r="AXF233" s="740"/>
      <c r="AXG233" s="740"/>
      <c r="AXH233" s="740"/>
      <c r="AXI233" s="740"/>
      <c r="AXJ233" s="740"/>
    </row>
    <row r="234" spans="1:1310" s="741" customFormat="1" ht="23.25" customHeight="1">
      <c r="A234" s="756"/>
      <c r="B234" s="9016" t="s">
        <v>1596</v>
      </c>
      <c r="C234" s="9016"/>
      <c r="D234" s="9016"/>
      <c r="E234" s="9016"/>
      <c r="F234" s="750"/>
      <c r="G234" s="9016" t="s">
        <v>1597</v>
      </c>
      <c r="H234" s="9016"/>
      <c r="I234" s="9016"/>
      <c r="J234" s="750"/>
      <c r="K234" s="9017" t="s">
        <v>1598</v>
      </c>
      <c r="L234" s="9017"/>
      <c r="M234" s="9017"/>
      <c r="N234" s="750"/>
      <c r="O234" s="9016" t="s">
        <v>1599</v>
      </c>
      <c r="P234" s="9016"/>
      <c r="Q234" s="750"/>
      <c r="R234" s="311"/>
      <c r="S234" s="311"/>
      <c r="T234" s="311"/>
      <c r="U234" s="311"/>
      <c r="V234" s="311"/>
      <c r="W234" s="311"/>
      <c r="X234" s="311"/>
      <c r="Y234" s="311"/>
      <c r="Z234" s="311"/>
      <c r="AA234" s="311"/>
      <c r="AB234" s="311"/>
      <c r="AC234" s="311"/>
      <c r="AD234" s="740"/>
      <c r="AE234" s="740"/>
      <c r="AF234" s="740"/>
      <c r="AG234" s="740"/>
      <c r="AH234" s="740"/>
      <c r="AI234" s="740"/>
      <c r="AJ234" s="740"/>
      <c r="AK234" s="740"/>
      <c r="AL234" s="740"/>
      <c r="AM234" s="740"/>
      <c r="AN234" s="740"/>
      <c r="AO234" s="740"/>
      <c r="AP234" s="740"/>
      <c r="AQ234" s="740"/>
      <c r="AR234" s="740"/>
      <c r="AS234" s="740"/>
      <c r="AT234" s="740"/>
      <c r="AU234" s="740"/>
      <c r="AV234" s="740"/>
      <c r="AW234" s="740"/>
      <c r="AX234" s="740"/>
      <c r="AY234" s="740"/>
      <c r="AZ234" s="740"/>
      <c r="BA234" s="740"/>
      <c r="BB234" s="740"/>
      <c r="BC234" s="740"/>
      <c r="BD234" s="740"/>
      <c r="BE234" s="740"/>
      <c r="BF234" s="740"/>
      <c r="BG234" s="740"/>
      <c r="BH234" s="740"/>
      <c r="BI234" s="740"/>
      <c r="BJ234" s="740"/>
      <c r="BK234" s="740"/>
      <c r="BL234" s="740"/>
      <c r="BM234" s="740"/>
      <c r="BN234" s="740"/>
      <c r="BO234" s="740"/>
      <c r="BP234" s="740"/>
      <c r="BQ234" s="740"/>
      <c r="BR234" s="740"/>
      <c r="BS234" s="740"/>
      <c r="BT234" s="740"/>
      <c r="BU234" s="740"/>
      <c r="BV234" s="740"/>
      <c r="BW234" s="740"/>
      <c r="BX234" s="740"/>
      <c r="BY234" s="740"/>
      <c r="BZ234" s="740"/>
      <c r="CA234" s="740"/>
      <c r="CB234" s="740"/>
      <c r="CC234" s="740"/>
      <c r="CD234" s="740"/>
      <c r="CE234" s="740"/>
      <c r="CF234" s="740"/>
      <c r="CG234" s="740"/>
      <c r="CH234" s="740"/>
      <c r="CI234" s="740"/>
      <c r="CJ234" s="740"/>
      <c r="CK234" s="740"/>
      <c r="CL234" s="740"/>
      <c r="CM234" s="740"/>
      <c r="CN234" s="740"/>
      <c r="CO234" s="740"/>
      <c r="CP234" s="740"/>
      <c r="CQ234" s="740"/>
      <c r="CR234" s="740"/>
      <c r="CS234" s="740"/>
      <c r="CT234" s="740"/>
      <c r="CU234" s="740"/>
      <c r="CV234" s="740"/>
      <c r="CW234" s="740"/>
      <c r="CX234" s="740"/>
      <c r="CY234" s="740"/>
      <c r="CZ234" s="740"/>
      <c r="DA234" s="740"/>
      <c r="DB234" s="740"/>
      <c r="DC234" s="740"/>
      <c r="DD234" s="740"/>
      <c r="DE234" s="740"/>
      <c r="DF234" s="740"/>
      <c r="DG234" s="740"/>
      <c r="DH234" s="740"/>
      <c r="DI234" s="740"/>
      <c r="DJ234" s="740"/>
      <c r="DK234" s="740"/>
      <c r="DL234" s="740"/>
      <c r="DM234" s="740"/>
      <c r="DN234" s="740"/>
      <c r="DO234" s="740"/>
      <c r="DP234" s="740"/>
      <c r="DQ234" s="740"/>
      <c r="DR234" s="740"/>
      <c r="DS234" s="740"/>
      <c r="DT234" s="740"/>
      <c r="DU234" s="740"/>
      <c r="DV234" s="740"/>
      <c r="DW234" s="740"/>
      <c r="DX234" s="740"/>
      <c r="DY234" s="740"/>
      <c r="DZ234" s="740"/>
      <c r="EA234" s="740"/>
      <c r="EB234" s="740"/>
      <c r="EC234" s="740"/>
      <c r="ED234" s="740"/>
      <c r="EE234" s="740"/>
      <c r="EF234" s="740"/>
      <c r="EG234" s="740"/>
      <c r="EH234" s="740"/>
      <c r="EI234" s="740"/>
      <c r="EJ234" s="740"/>
      <c r="EK234" s="740"/>
      <c r="EL234" s="740"/>
      <c r="EM234" s="740"/>
      <c r="EN234" s="740"/>
      <c r="EO234" s="740"/>
      <c r="EP234" s="740"/>
      <c r="EQ234" s="740"/>
      <c r="ER234" s="740"/>
      <c r="ES234" s="740"/>
      <c r="ET234" s="740"/>
      <c r="EU234" s="740"/>
      <c r="EV234" s="740"/>
      <c r="EW234" s="740"/>
      <c r="EX234" s="740"/>
      <c r="EY234" s="740"/>
      <c r="EZ234" s="740"/>
      <c r="FA234" s="740"/>
      <c r="FB234" s="740"/>
      <c r="FC234" s="740"/>
      <c r="FD234" s="740"/>
      <c r="FE234" s="740"/>
      <c r="FF234" s="740"/>
      <c r="FG234" s="740"/>
      <c r="FH234" s="740"/>
      <c r="FI234" s="740"/>
      <c r="FJ234" s="740"/>
      <c r="FK234" s="740"/>
      <c r="FL234" s="740"/>
      <c r="FM234" s="740"/>
      <c r="FN234" s="740"/>
      <c r="FO234" s="740"/>
      <c r="FP234" s="740"/>
      <c r="FQ234" s="740"/>
      <c r="FR234" s="740"/>
      <c r="FS234" s="740"/>
      <c r="FT234" s="740"/>
      <c r="FU234" s="740"/>
      <c r="FV234" s="740"/>
      <c r="FW234" s="740"/>
      <c r="FX234" s="740"/>
      <c r="FY234" s="740"/>
      <c r="FZ234" s="740"/>
      <c r="GA234" s="740"/>
      <c r="GB234" s="740"/>
      <c r="GC234" s="740"/>
      <c r="GD234" s="740"/>
      <c r="GE234" s="740"/>
      <c r="GF234" s="740"/>
      <c r="GG234" s="740"/>
      <c r="GH234" s="740"/>
      <c r="GI234" s="740"/>
      <c r="GJ234" s="740"/>
      <c r="GK234" s="740"/>
      <c r="GL234" s="740"/>
      <c r="GM234" s="740"/>
      <c r="GN234" s="740"/>
      <c r="GO234" s="740"/>
      <c r="GP234" s="740"/>
      <c r="GQ234" s="740"/>
      <c r="GR234" s="740"/>
      <c r="GS234" s="740"/>
      <c r="GT234" s="740"/>
      <c r="GU234" s="740"/>
      <c r="GV234" s="740"/>
      <c r="GW234" s="740"/>
      <c r="GX234" s="740"/>
      <c r="GY234" s="740"/>
      <c r="GZ234" s="740"/>
      <c r="HA234" s="740"/>
      <c r="HB234" s="740"/>
      <c r="HC234" s="740"/>
      <c r="HD234" s="740"/>
      <c r="HE234" s="740"/>
      <c r="HF234" s="740"/>
      <c r="HG234" s="740"/>
      <c r="HH234" s="740"/>
      <c r="HI234" s="740"/>
      <c r="HJ234" s="740"/>
      <c r="HK234" s="740"/>
      <c r="HL234" s="740"/>
      <c r="HM234" s="740"/>
      <c r="HN234" s="740"/>
      <c r="HO234" s="740"/>
      <c r="HP234" s="740"/>
      <c r="HQ234" s="740"/>
      <c r="HR234" s="740"/>
      <c r="HS234" s="740"/>
      <c r="HT234" s="740"/>
      <c r="HU234" s="740"/>
      <c r="HV234" s="740"/>
      <c r="HW234" s="740"/>
      <c r="HX234" s="740"/>
      <c r="HY234" s="740"/>
      <c r="HZ234" s="740"/>
      <c r="IA234" s="740"/>
      <c r="IB234" s="740"/>
      <c r="IC234" s="740"/>
      <c r="ID234" s="740"/>
      <c r="IE234" s="740"/>
      <c r="IF234" s="740"/>
      <c r="IG234" s="740"/>
      <c r="IH234" s="740"/>
      <c r="II234" s="740"/>
      <c r="IJ234" s="740"/>
      <c r="IK234" s="740"/>
      <c r="IL234" s="740"/>
      <c r="IM234" s="740"/>
      <c r="IN234" s="740"/>
      <c r="IO234" s="740"/>
      <c r="IP234" s="740"/>
      <c r="IQ234" s="740"/>
      <c r="IR234" s="740"/>
      <c r="IS234" s="740"/>
      <c r="IT234" s="740"/>
      <c r="IU234" s="740"/>
      <c r="IV234" s="740"/>
      <c r="IW234" s="740"/>
      <c r="IX234" s="740"/>
      <c r="IY234" s="740"/>
      <c r="IZ234" s="740"/>
      <c r="JA234" s="740"/>
      <c r="JB234" s="740"/>
      <c r="JC234" s="740"/>
      <c r="JD234" s="740"/>
      <c r="JE234" s="740"/>
      <c r="JF234" s="740"/>
      <c r="JG234" s="740"/>
      <c r="JH234" s="740"/>
      <c r="JI234" s="740"/>
      <c r="JJ234" s="740"/>
      <c r="JK234" s="740"/>
      <c r="JL234" s="740"/>
      <c r="JM234" s="740"/>
      <c r="JN234" s="740"/>
      <c r="JO234" s="740"/>
      <c r="JP234" s="740"/>
      <c r="JQ234" s="740"/>
      <c r="JR234" s="740"/>
      <c r="JS234" s="740"/>
      <c r="JT234" s="740"/>
      <c r="JU234" s="740"/>
      <c r="JV234" s="740"/>
      <c r="JW234" s="740"/>
      <c r="JX234" s="740"/>
      <c r="JY234" s="740"/>
      <c r="JZ234" s="740"/>
      <c r="KA234" s="740"/>
      <c r="KB234" s="740"/>
      <c r="KC234" s="740"/>
      <c r="KD234" s="740"/>
      <c r="KE234" s="740"/>
      <c r="KF234" s="740"/>
      <c r="KG234" s="740"/>
      <c r="KH234" s="740"/>
      <c r="KI234" s="740"/>
      <c r="KJ234" s="740"/>
      <c r="KK234" s="740"/>
      <c r="KL234" s="740"/>
      <c r="KM234" s="740"/>
      <c r="KN234" s="740"/>
      <c r="KO234" s="740"/>
      <c r="KP234" s="740"/>
      <c r="KQ234" s="740"/>
      <c r="KR234" s="740"/>
      <c r="KS234" s="740"/>
      <c r="KT234" s="740"/>
      <c r="KU234" s="740"/>
      <c r="KV234" s="740"/>
      <c r="KW234" s="740"/>
      <c r="KX234" s="740"/>
      <c r="KY234" s="740"/>
      <c r="KZ234" s="740"/>
      <c r="LA234" s="740"/>
      <c r="LB234" s="740"/>
      <c r="LC234" s="740"/>
      <c r="LD234" s="740"/>
      <c r="LE234" s="740"/>
      <c r="LF234" s="740"/>
      <c r="LG234" s="740"/>
      <c r="LH234" s="740"/>
      <c r="LI234" s="740"/>
      <c r="LJ234" s="740"/>
      <c r="LK234" s="740"/>
      <c r="LL234" s="740"/>
      <c r="LM234" s="740"/>
      <c r="LN234" s="740"/>
      <c r="LO234" s="740"/>
      <c r="LP234" s="740"/>
      <c r="LQ234" s="740"/>
      <c r="LR234" s="740"/>
      <c r="LS234" s="740"/>
      <c r="LT234" s="740"/>
      <c r="LU234" s="740"/>
      <c r="LV234" s="740"/>
      <c r="LW234" s="740"/>
      <c r="LX234" s="740"/>
      <c r="LY234" s="740"/>
      <c r="LZ234" s="740"/>
      <c r="MA234" s="740"/>
      <c r="MB234" s="740"/>
      <c r="MC234" s="740"/>
      <c r="MD234" s="740"/>
      <c r="ME234" s="740"/>
      <c r="MF234" s="740"/>
      <c r="MG234" s="740"/>
      <c r="MH234" s="740"/>
      <c r="MI234" s="740"/>
      <c r="MJ234" s="740"/>
      <c r="MK234" s="740"/>
      <c r="ML234" s="740"/>
      <c r="MM234" s="740"/>
      <c r="MN234" s="740"/>
      <c r="MO234" s="740"/>
      <c r="MP234" s="740"/>
      <c r="MQ234" s="740"/>
      <c r="MR234" s="740"/>
      <c r="MS234" s="740"/>
      <c r="MT234" s="740"/>
      <c r="MU234" s="740"/>
      <c r="MV234" s="740"/>
      <c r="MW234" s="740"/>
      <c r="MX234" s="740"/>
      <c r="MY234" s="740"/>
      <c r="MZ234" s="740"/>
      <c r="NA234" s="740"/>
      <c r="NB234" s="740"/>
      <c r="NC234" s="740"/>
      <c r="ND234" s="740"/>
      <c r="NE234" s="740"/>
      <c r="NF234" s="740"/>
      <c r="NG234" s="740"/>
      <c r="NH234" s="740"/>
      <c r="NI234" s="740"/>
      <c r="NJ234" s="740"/>
      <c r="NK234" s="740"/>
      <c r="NL234" s="740"/>
      <c r="NM234" s="740"/>
      <c r="NN234" s="740"/>
      <c r="NO234" s="740"/>
      <c r="NP234" s="740"/>
      <c r="NQ234" s="740"/>
      <c r="NR234" s="740"/>
      <c r="NS234" s="740"/>
      <c r="NT234" s="740"/>
      <c r="NU234" s="740"/>
      <c r="NV234" s="740"/>
      <c r="NW234" s="740"/>
      <c r="NX234" s="740"/>
      <c r="NY234" s="740"/>
      <c r="NZ234" s="740"/>
      <c r="OA234" s="740"/>
      <c r="OB234" s="740"/>
      <c r="OC234" s="740"/>
      <c r="OD234" s="740"/>
      <c r="OE234" s="740"/>
      <c r="OF234" s="740"/>
      <c r="OG234" s="740"/>
      <c r="OH234" s="740"/>
      <c r="OI234" s="740"/>
      <c r="OJ234" s="740"/>
      <c r="OK234" s="740"/>
      <c r="OL234" s="740"/>
      <c r="OM234" s="740"/>
      <c r="ON234" s="740"/>
      <c r="OO234" s="740"/>
      <c r="OP234" s="740"/>
      <c r="OQ234" s="740"/>
      <c r="OR234" s="740"/>
      <c r="OS234" s="740"/>
      <c r="OT234" s="740"/>
      <c r="OU234" s="740"/>
      <c r="OV234" s="740"/>
      <c r="OW234" s="740"/>
      <c r="OX234" s="740"/>
      <c r="OY234" s="740"/>
      <c r="OZ234" s="740"/>
      <c r="PA234" s="740"/>
      <c r="PB234" s="740"/>
      <c r="PC234" s="740"/>
      <c r="PD234" s="740"/>
      <c r="PE234" s="740"/>
      <c r="PF234" s="740"/>
      <c r="PG234" s="740"/>
      <c r="PH234" s="740"/>
      <c r="PI234" s="740"/>
      <c r="PJ234" s="740"/>
      <c r="PK234" s="740"/>
      <c r="PL234" s="740"/>
      <c r="PM234" s="740"/>
      <c r="PN234" s="740"/>
      <c r="PO234" s="740"/>
      <c r="PP234" s="740"/>
      <c r="PQ234" s="740"/>
      <c r="PR234" s="740"/>
      <c r="PS234" s="740"/>
      <c r="PT234" s="740"/>
      <c r="PU234" s="740"/>
      <c r="PV234" s="740"/>
      <c r="PW234" s="740"/>
      <c r="PX234" s="740"/>
      <c r="PY234" s="740"/>
      <c r="PZ234" s="740"/>
      <c r="QA234" s="740"/>
      <c r="QB234" s="740"/>
      <c r="QC234" s="740"/>
      <c r="QD234" s="740"/>
      <c r="QE234" s="740"/>
      <c r="QF234" s="740"/>
      <c r="QG234" s="740"/>
      <c r="QH234" s="740"/>
      <c r="QI234" s="740"/>
      <c r="QJ234" s="740"/>
      <c r="QK234" s="740"/>
      <c r="QL234" s="740"/>
      <c r="QM234" s="740"/>
      <c r="QN234" s="740"/>
      <c r="QO234" s="740"/>
      <c r="QP234" s="740"/>
      <c r="QQ234" s="740"/>
      <c r="QR234" s="740"/>
      <c r="QS234" s="740"/>
      <c r="QT234" s="740"/>
      <c r="QU234" s="740"/>
      <c r="QV234" s="740"/>
      <c r="QW234" s="740"/>
      <c r="QX234" s="740"/>
      <c r="QY234" s="740"/>
      <c r="QZ234" s="740"/>
      <c r="RA234" s="740"/>
      <c r="RB234" s="740"/>
      <c r="RC234" s="740"/>
      <c r="RD234" s="740"/>
      <c r="RE234" s="740"/>
      <c r="RF234" s="740"/>
      <c r="RG234" s="740"/>
      <c r="RH234" s="740"/>
      <c r="RI234" s="740"/>
      <c r="RJ234" s="740"/>
      <c r="RK234" s="740"/>
      <c r="RL234" s="740"/>
      <c r="RM234" s="740"/>
      <c r="RN234" s="740"/>
      <c r="RO234" s="740"/>
      <c r="RP234" s="740"/>
      <c r="RQ234" s="740"/>
      <c r="RR234" s="740"/>
      <c r="RS234" s="740"/>
      <c r="RT234" s="740"/>
      <c r="RU234" s="740"/>
      <c r="RV234" s="740"/>
      <c r="RW234" s="740"/>
      <c r="RX234" s="740"/>
      <c r="RY234" s="740"/>
      <c r="RZ234" s="740"/>
      <c r="SA234" s="740"/>
      <c r="SB234" s="740"/>
      <c r="SC234" s="740"/>
      <c r="SD234" s="740"/>
      <c r="SE234" s="740"/>
      <c r="SF234" s="740"/>
      <c r="SG234" s="740"/>
      <c r="SH234" s="740"/>
      <c r="SI234" s="740"/>
      <c r="SJ234" s="740"/>
      <c r="SK234" s="740"/>
      <c r="SL234" s="740"/>
      <c r="SM234" s="740"/>
      <c r="SN234" s="740"/>
      <c r="SO234" s="740"/>
      <c r="SP234" s="740"/>
      <c r="SQ234" s="740"/>
      <c r="SR234" s="740"/>
      <c r="SS234" s="740"/>
      <c r="ST234" s="740"/>
      <c r="SU234" s="740"/>
      <c r="SV234" s="740"/>
      <c r="SW234" s="740"/>
      <c r="SX234" s="740"/>
      <c r="SY234" s="740"/>
      <c r="SZ234" s="740"/>
      <c r="TA234" s="740"/>
      <c r="TB234" s="740"/>
      <c r="TC234" s="740"/>
      <c r="TD234" s="740"/>
      <c r="TE234" s="740"/>
      <c r="TF234" s="740"/>
      <c r="TG234" s="740"/>
      <c r="TH234" s="740"/>
      <c r="TI234" s="740"/>
      <c r="TJ234" s="740"/>
      <c r="TK234" s="740"/>
      <c r="TL234" s="740"/>
      <c r="TM234" s="740"/>
      <c r="TN234" s="740"/>
      <c r="TO234" s="740"/>
      <c r="TP234" s="740"/>
      <c r="TQ234" s="740"/>
      <c r="TR234" s="740"/>
      <c r="TS234" s="740"/>
      <c r="TT234" s="740"/>
      <c r="TU234" s="740"/>
      <c r="TV234" s="740"/>
      <c r="TW234" s="740"/>
      <c r="TX234" s="740"/>
      <c r="TY234" s="740"/>
      <c r="TZ234" s="740"/>
      <c r="UA234" s="740"/>
      <c r="UB234" s="740"/>
      <c r="UC234" s="740"/>
      <c r="UD234" s="740"/>
      <c r="UE234" s="740"/>
      <c r="UF234" s="740"/>
      <c r="UG234" s="740"/>
      <c r="UH234" s="740"/>
      <c r="UI234" s="740"/>
      <c r="UJ234" s="740"/>
      <c r="UK234" s="740"/>
      <c r="UL234" s="740"/>
      <c r="UM234" s="740"/>
      <c r="UN234" s="740"/>
      <c r="UO234" s="740"/>
      <c r="UP234" s="740"/>
      <c r="UQ234" s="740"/>
      <c r="UR234" s="740"/>
      <c r="US234" s="740"/>
      <c r="UT234" s="740"/>
      <c r="UU234" s="740"/>
      <c r="UV234" s="740"/>
      <c r="UW234" s="740"/>
      <c r="UX234" s="740"/>
      <c r="UY234" s="740"/>
      <c r="UZ234" s="740"/>
      <c r="VA234" s="740"/>
      <c r="VB234" s="740"/>
      <c r="VC234" s="740"/>
      <c r="VD234" s="740"/>
      <c r="VE234" s="740"/>
      <c r="VF234" s="740"/>
      <c r="VG234" s="740"/>
      <c r="VH234" s="740"/>
      <c r="VI234" s="740"/>
      <c r="VJ234" s="740"/>
      <c r="VK234" s="740"/>
      <c r="VL234" s="740"/>
      <c r="VM234" s="740"/>
      <c r="VN234" s="740"/>
      <c r="VO234" s="740"/>
      <c r="VP234" s="740"/>
      <c r="VQ234" s="740"/>
      <c r="VR234" s="740"/>
      <c r="VS234" s="740"/>
      <c r="VT234" s="740"/>
      <c r="VU234" s="740"/>
      <c r="VV234" s="740"/>
      <c r="VW234" s="740"/>
      <c r="VX234" s="740"/>
      <c r="VY234" s="740"/>
      <c r="VZ234" s="740"/>
      <c r="WA234" s="740"/>
      <c r="WB234" s="740"/>
      <c r="WC234" s="740"/>
      <c r="WD234" s="740"/>
      <c r="WE234" s="740"/>
      <c r="WF234" s="740"/>
      <c r="WG234" s="740"/>
      <c r="WH234" s="740"/>
      <c r="WI234" s="740"/>
      <c r="WJ234" s="740"/>
      <c r="WK234" s="740"/>
      <c r="WL234" s="740"/>
      <c r="WM234" s="740"/>
      <c r="WN234" s="740"/>
      <c r="WO234" s="740"/>
      <c r="WP234" s="740"/>
      <c r="WQ234" s="740"/>
      <c r="WR234" s="740"/>
      <c r="WS234" s="740"/>
      <c r="WT234" s="740"/>
      <c r="WU234" s="740"/>
      <c r="WV234" s="740"/>
      <c r="WW234" s="740"/>
      <c r="WX234" s="740"/>
      <c r="WY234" s="740"/>
      <c r="WZ234" s="740"/>
      <c r="XA234" s="740"/>
      <c r="XB234" s="740"/>
      <c r="XC234" s="740"/>
      <c r="XD234" s="740"/>
      <c r="XE234" s="740"/>
      <c r="XF234" s="740"/>
      <c r="XG234" s="740"/>
      <c r="XH234" s="740"/>
      <c r="XI234" s="740"/>
      <c r="XJ234" s="740"/>
      <c r="XK234" s="740"/>
      <c r="XL234" s="740"/>
      <c r="XM234" s="740"/>
      <c r="XN234" s="740"/>
      <c r="XO234" s="740"/>
      <c r="XP234" s="740"/>
      <c r="XQ234" s="740"/>
      <c r="XR234" s="740"/>
      <c r="XS234" s="740"/>
      <c r="XT234" s="740"/>
      <c r="XU234" s="740"/>
      <c r="XV234" s="740"/>
      <c r="XW234" s="740"/>
      <c r="XX234" s="740"/>
      <c r="XY234" s="740"/>
      <c r="XZ234" s="740"/>
      <c r="YA234" s="740"/>
      <c r="YB234" s="740"/>
      <c r="YC234" s="740"/>
      <c r="YD234" s="740"/>
      <c r="YE234" s="740"/>
      <c r="YF234" s="740"/>
      <c r="YG234" s="740"/>
      <c r="YH234" s="740"/>
      <c r="YI234" s="740"/>
      <c r="YJ234" s="740"/>
      <c r="YK234" s="740"/>
      <c r="YL234" s="740"/>
      <c r="YM234" s="740"/>
      <c r="YN234" s="740"/>
      <c r="YO234" s="740"/>
      <c r="YP234" s="740"/>
      <c r="YQ234" s="740"/>
      <c r="YR234" s="740"/>
      <c r="YS234" s="740"/>
      <c r="YT234" s="740"/>
      <c r="YU234" s="740"/>
      <c r="YV234" s="740"/>
      <c r="YW234" s="740"/>
      <c r="YX234" s="740"/>
      <c r="YY234" s="740"/>
      <c r="YZ234" s="740"/>
      <c r="ZA234" s="740"/>
      <c r="ZB234" s="740"/>
      <c r="ZC234" s="740"/>
      <c r="ZD234" s="740"/>
      <c r="ZE234" s="740"/>
      <c r="ZF234" s="740"/>
      <c r="ZG234" s="740"/>
      <c r="ZH234" s="740"/>
      <c r="ZI234" s="740"/>
      <c r="ZJ234" s="740"/>
      <c r="ZK234" s="740"/>
      <c r="ZL234" s="740"/>
      <c r="ZM234" s="740"/>
      <c r="ZN234" s="740"/>
      <c r="ZO234" s="740"/>
      <c r="ZP234" s="740"/>
      <c r="ZQ234" s="740"/>
      <c r="ZR234" s="740"/>
      <c r="ZS234" s="740"/>
      <c r="ZT234" s="740"/>
      <c r="ZU234" s="740"/>
      <c r="ZV234" s="740"/>
      <c r="ZW234" s="740"/>
      <c r="ZX234" s="740"/>
      <c r="ZY234" s="740"/>
      <c r="ZZ234" s="740"/>
      <c r="AAA234" s="740"/>
      <c r="AAB234" s="740"/>
      <c r="AAC234" s="740"/>
      <c r="AAD234" s="740"/>
      <c r="AAE234" s="740"/>
      <c r="AAF234" s="740"/>
      <c r="AAG234" s="740"/>
      <c r="AAH234" s="740"/>
      <c r="AAI234" s="740"/>
      <c r="AAJ234" s="740"/>
      <c r="AAK234" s="740"/>
      <c r="AAL234" s="740"/>
      <c r="AAM234" s="740"/>
      <c r="AAN234" s="740"/>
      <c r="AAO234" s="740"/>
      <c r="AAP234" s="740"/>
      <c r="AAQ234" s="740"/>
      <c r="AAR234" s="740"/>
      <c r="AAS234" s="740"/>
      <c r="AAT234" s="740"/>
      <c r="AAU234" s="740"/>
      <c r="AAV234" s="740"/>
      <c r="AAW234" s="740"/>
      <c r="AAX234" s="740"/>
      <c r="AAY234" s="740"/>
      <c r="AAZ234" s="740"/>
      <c r="ABA234" s="740"/>
      <c r="ABB234" s="740"/>
      <c r="ABC234" s="740"/>
      <c r="ABD234" s="740"/>
      <c r="ABE234" s="740"/>
      <c r="ABF234" s="740"/>
      <c r="ABG234" s="740"/>
      <c r="ABH234" s="740"/>
      <c r="ABI234" s="740"/>
      <c r="ABJ234" s="740"/>
      <c r="ABK234" s="740"/>
      <c r="ABL234" s="740"/>
      <c r="ABM234" s="740"/>
      <c r="ABN234" s="740"/>
      <c r="ABO234" s="740"/>
      <c r="ABP234" s="740"/>
      <c r="ABQ234" s="740"/>
      <c r="ABR234" s="740"/>
      <c r="ABS234" s="740"/>
      <c r="ABT234" s="740"/>
      <c r="ABU234" s="740"/>
      <c r="ABV234" s="740"/>
      <c r="ABW234" s="740"/>
      <c r="ABX234" s="740"/>
      <c r="ABY234" s="740"/>
      <c r="ABZ234" s="740"/>
      <c r="ACA234" s="740"/>
      <c r="ACB234" s="740"/>
      <c r="ACC234" s="740"/>
      <c r="ACD234" s="740"/>
      <c r="ACE234" s="740"/>
      <c r="ACF234" s="740"/>
      <c r="ACG234" s="740"/>
      <c r="ACH234" s="740"/>
      <c r="ACI234" s="740"/>
      <c r="ACJ234" s="740"/>
      <c r="ACK234" s="740"/>
      <c r="ACL234" s="740"/>
      <c r="ACM234" s="740"/>
      <c r="ACN234" s="740"/>
      <c r="ACO234" s="740"/>
      <c r="ACP234" s="740"/>
      <c r="ACQ234" s="740"/>
      <c r="ACR234" s="740"/>
      <c r="ACS234" s="740"/>
      <c r="ACT234" s="740"/>
      <c r="ACU234" s="740"/>
      <c r="ACV234" s="740"/>
      <c r="ACW234" s="740"/>
      <c r="ACX234" s="740"/>
      <c r="ACY234" s="740"/>
      <c r="ACZ234" s="740"/>
      <c r="ADA234" s="740"/>
      <c r="ADB234" s="740"/>
      <c r="ADC234" s="740"/>
      <c r="ADD234" s="740"/>
      <c r="ADE234" s="740"/>
      <c r="ADF234" s="740"/>
      <c r="ADG234" s="740"/>
      <c r="ADH234" s="740"/>
      <c r="ADI234" s="740"/>
      <c r="ADJ234" s="740"/>
      <c r="ADK234" s="740"/>
      <c r="ADL234" s="740"/>
      <c r="ADM234" s="740"/>
      <c r="ADN234" s="740"/>
      <c r="ADO234" s="740"/>
      <c r="ADP234" s="740"/>
      <c r="ADQ234" s="740"/>
      <c r="ADR234" s="740"/>
      <c r="ADS234" s="740"/>
      <c r="ADT234" s="740"/>
      <c r="ADU234" s="740"/>
      <c r="ADV234" s="740"/>
      <c r="ADW234" s="740"/>
      <c r="ADX234" s="740"/>
      <c r="ADY234" s="740"/>
      <c r="ADZ234" s="740"/>
      <c r="AEA234" s="740"/>
      <c r="AEB234" s="740"/>
      <c r="AEC234" s="740"/>
      <c r="AED234" s="740"/>
      <c r="AEE234" s="740"/>
      <c r="AEF234" s="740"/>
      <c r="AEG234" s="740"/>
      <c r="AEH234" s="740"/>
      <c r="AEI234" s="740"/>
      <c r="AEJ234" s="740"/>
      <c r="AEK234" s="740"/>
      <c r="AEL234" s="740"/>
      <c r="AEM234" s="740"/>
      <c r="AEN234" s="740"/>
      <c r="AEO234" s="740"/>
      <c r="AEP234" s="740"/>
      <c r="AEQ234" s="740"/>
      <c r="AER234" s="740"/>
      <c r="AES234" s="740"/>
      <c r="AET234" s="740"/>
      <c r="AEU234" s="740"/>
      <c r="AEV234" s="740"/>
      <c r="AEW234" s="740"/>
      <c r="AEX234" s="740"/>
      <c r="AEY234" s="740"/>
      <c r="AEZ234" s="740"/>
      <c r="AFA234" s="740"/>
      <c r="AFB234" s="740"/>
      <c r="AFC234" s="740"/>
      <c r="AFD234" s="740"/>
      <c r="AFE234" s="740"/>
      <c r="AFF234" s="740"/>
      <c r="AFG234" s="740"/>
      <c r="AFH234" s="740"/>
      <c r="AFI234" s="740"/>
      <c r="AFJ234" s="740"/>
      <c r="AFK234" s="740"/>
      <c r="AFL234" s="740"/>
      <c r="AFM234" s="740"/>
      <c r="AFN234" s="740"/>
      <c r="AFO234" s="740"/>
      <c r="AFP234" s="740"/>
      <c r="AFQ234" s="740"/>
      <c r="AFR234" s="740"/>
      <c r="AFS234" s="740"/>
      <c r="AFT234" s="740"/>
      <c r="AFU234" s="740"/>
      <c r="AFV234" s="740"/>
      <c r="AFW234" s="740"/>
      <c r="AFX234" s="740"/>
      <c r="AFY234" s="740"/>
      <c r="AFZ234" s="740"/>
      <c r="AGA234" s="740"/>
      <c r="AGB234" s="740"/>
      <c r="AGC234" s="740"/>
      <c r="AGD234" s="740"/>
      <c r="AGE234" s="740"/>
      <c r="AGF234" s="740"/>
      <c r="AGG234" s="740"/>
      <c r="AGH234" s="740"/>
      <c r="AGI234" s="740"/>
      <c r="AGJ234" s="740"/>
      <c r="AGK234" s="740"/>
      <c r="AGL234" s="740"/>
      <c r="AGM234" s="740"/>
      <c r="AGN234" s="740"/>
      <c r="AGO234" s="740"/>
      <c r="AGP234" s="740"/>
      <c r="AGQ234" s="740"/>
      <c r="AGR234" s="740"/>
      <c r="AGS234" s="740"/>
      <c r="AGT234" s="740"/>
      <c r="AGU234" s="740"/>
      <c r="AGV234" s="740"/>
      <c r="AGW234" s="740"/>
      <c r="AGX234" s="740"/>
      <c r="AGY234" s="740"/>
      <c r="AGZ234" s="740"/>
      <c r="AHA234" s="740"/>
      <c r="AHB234" s="740"/>
      <c r="AHC234" s="740"/>
      <c r="AHD234" s="740"/>
      <c r="AHE234" s="740"/>
      <c r="AHF234" s="740"/>
      <c r="AHG234" s="740"/>
      <c r="AHH234" s="740"/>
      <c r="AHI234" s="740"/>
      <c r="AHJ234" s="740"/>
      <c r="AHK234" s="740"/>
      <c r="AHL234" s="740"/>
      <c r="AHM234" s="740"/>
      <c r="AHN234" s="740"/>
      <c r="AHO234" s="740"/>
      <c r="AHP234" s="740"/>
      <c r="AHQ234" s="740"/>
      <c r="AHR234" s="740"/>
      <c r="AHS234" s="740"/>
      <c r="AHT234" s="740"/>
      <c r="AHU234" s="740"/>
      <c r="AHV234" s="740"/>
      <c r="AHW234" s="740"/>
      <c r="AHX234" s="740"/>
      <c r="AHY234" s="740"/>
      <c r="AHZ234" s="740"/>
      <c r="AIA234" s="740"/>
      <c r="AIB234" s="740"/>
      <c r="AIC234" s="740"/>
      <c r="AID234" s="740"/>
      <c r="AIE234" s="740"/>
      <c r="AIF234" s="740"/>
      <c r="AIG234" s="740"/>
      <c r="AIH234" s="740"/>
      <c r="AII234" s="740"/>
      <c r="AIJ234" s="740"/>
      <c r="AIK234" s="740"/>
      <c r="AIL234" s="740"/>
      <c r="AIM234" s="740"/>
      <c r="AIN234" s="740"/>
      <c r="AIO234" s="740"/>
      <c r="AIP234" s="740"/>
      <c r="AIQ234" s="740"/>
      <c r="AIR234" s="740"/>
      <c r="AIS234" s="740"/>
      <c r="AIT234" s="740"/>
      <c r="AIU234" s="740"/>
      <c r="AIV234" s="740"/>
      <c r="AIW234" s="740"/>
      <c r="AIX234" s="740"/>
      <c r="AIY234" s="740"/>
      <c r="AIZ234" s="740"/>
      <c r="AJA234" s="740"/>
      <c r="AJB234" s="740"/>
      <c r="AJC234" s="740"/>
      <c r="AJD234" s="740"/>
      <c r="AJE234" s="740"/>
      <c r="AJF234" s="740"/>
      <c r="AJG234" s="740"/>
      <c r="AJH234" s="740"/>
      <c r="AJI234" s="740"/>
      <c r="AJJ234" s="740"/>
      <c r="AJK234" s="740"/>
      <c r="AJL234" s="740"/>
      <c r="AJM234" s="740"/>
      <c r="AJN234" s="740"/>
      <c r="AJO234" s="740"/>
      <c r="AJP234" s="740"/>
      <c r="AJQ234" s="740"/>
      <c r="AJR234" s="740"/>
      <c r="AJS234" s="740"/>
      <c r="AJT234" s="740"/>
      <c r="AJU234" s="740"/>
      <c r="AJV234" s="740"/>
      <c r="AJW234" s="740"/>
      <c r="AJX234" s="740"/>
      <c r="AJY234" s="740"/>
      <c r="AJZ234" s="740"/>
      <c r="AKA234" s="740"/>
      <c r="AKB234" s="740"/>
      <c r="AKC234" s="740"/>
      <c r="AKD234" s="740"/>
      <c r="AKE234" s="740"/>
      <c r="AKF234" s="740"/>
      <c r="AKG234" s="740"/>
      <c r="AKH234" s="740"/>
      <c r="AKI234" s="740"/>
      <c r="AKJ234" s="740"/>
      <c r="AKK234" s="740"/>
      <c r="AKL234" s="740"/>
      <c r="AKM234" s="740"/>
      <c r="AKN234" s="740"/>
      <c r="AKO234" s="740"/>
      <c r="AKP234" s="740"/>
      <c r="AKQ234" s="740"/>
      <c r="AKR234" s="740"/>
      <c r="AKS234" s="740"/>
      <c r="AKT234" s="740"/>
      <c r="AKU234" s="740"/>
      <c r="AKV234" s="740"/>
      <c r="AKW234" s="740"/>
      <c r="AKX234" s="740"/>
      <c r="AKY234" s="740"/>
      <c r="AKZ234" s="740"/>
      <c r="ALA234" s="740"/>
      <c r="ALB234" s="740"/>
      <c r="ALC234" s="740"/>
      <c r="ALD234" s="740"/>
      <c r="ALE234" s="740"/>
      <c r="ALF234" s="740"/>
      <c r="ALG234" s="740"/>
      <c r="ALH234" s="740"/>
      <c r="ALI234" s="740"/>
      <c r="ALJ234" s="740"/>
      <c r="ALK234" s="740"/>
      <c r="ALL234" s="740"/>
      <c r="ALM234" s="740"/>
      <c r="ALN234" s="740"/>
      <c r="ALO234" s="740"/>
      <c r="ALP234" s="740"/>
      <c r="ALQ234" s="740"/>
      <c r="ALR234" s="740"/>
      <c r="ALS234" s="740"/>
      <c r="ALT234" s="740"/>
      <c r="ALU234" s="740"/>
      <c r="ALV234" s="740"/>
      <c r="ALW234" s="740"/>
      <c r="ALX234" s="740"/>
      <c r="ALY234" s="740"/>
      <c r="ALZ234" s="740"/>
      <c r="AMA234" s="740"/>
      <c r="AMB234" s="740"/>
      <c r="AMC234" s="740"/>
      <c r="AMD234" s="740"/>
      <c r="AME234" s="740"/>
      <c r="AMF234" s="740"/>
      <c r="AMG234" s="740"/>
      <c r="AMH234" s="740"/>
      <c r="AMI234" s="740"/>
      <c r="AMJ234" s="740"/>
      <c r="AMK234" s="740"/>
      <c r="AML234" s="740"/>
      <c r="AMM234" s="740"/>
      <c r="AMN234" s="740"/>
      <c r="AMO234" s="740"/>
      <c r="AMP234" s="740"/>
      <c r="AMQ234" s="740"/>
      <c r="AMR234" s="740"/>
      <c r="AMS234" s="740"/>
      <c r="AMT234" s="740"/>
      <c r="AMU234" s="740"/>
      <c r="AMV234" s="740"/>
      <c r="AMW234" s="740"/>
      <c r="AMX234" s="740"/>
      <c r="AMY234" s="740"/>
      <c r="AMZ234" s="740"/>
      <c r="ANA234" s="740"/>
      <c r="ANB234" s="740"/>
      <c r="ANC234" s="740"/>
      <c r="AND234" s="740"/>
      <c r="ANE234" s="740"/>
      <c r="ANF234" s="740"/>
      <c r="ANG234" s="740"/>
      <c r="ANH234" s="740"/>
      <c r="ANI234" s="740"/>
      <c r="ANJ234" s="740"/>
      <c r="ANK234" s="740"/>
      <c r="ANL234" s="740"/>
      <c r="ANM234" s="740"/>
      <c r="ANN234" s="740"/>
      <c r="ANO234" s="740"/>
      <c r="ANP234" s="740"/>
      <c r="ANQ234" s="740"/>
      <c r="ANR234" s="740"/>
      <c r="ANS234" s="740"/>
      <c r="ANT234" s="740"/>
      <c r="ANU234" s="740"/>
      <c r="ANV234" s="740"/>
      <c r="ANW234" s="740"/>
      <c r="ANX234" s="740"/>
      <c r="ANY234" s="740"/>
      <c r="ANZ234" s="740"/>
      <c r="AOA234" s="740"/>
      <c r="AOB234" s="740"/>
      <c r="AOC234" s="740"/>
      <c r="AOD234" s="740"/>
      <c r="AOE234" s="740"/>
      <c r="AOF234" s="740"/>
      <c r="AOG234" s="740"/>
      <c r="AOH234" s="740"/>
      <c r="AOI234" s="740"/>
      <c r="AOJ234" s="740"/>
      <c r="AOK234" s="740"/>
      <c r="AOL234" s="740"/>
      <c r="AOM234" s="740"/>
      <c r="AON234" s="740"/>
      <c r="AOO234" s="740"/>
      <c r="AOP234" s="740"/>
      <c r="AOQ234" s="740"/>
      <c r="AOR234" s="740"/>
      <c r="AOS234" s="740"/>
      <c r="AOT234" s="740"/>
      <c r="AOU234" s="740"/>
      <c r="AOV234" s="740"/>
      <c r="AOW234" s="740"/>
      <c r="AOX234" s="740"/>
      <c r="AOY234" s="740"/>
      <c r="AOZ234" s="740"/>
      <c r="APA234" s="740"/>
      <c r="APB234" s="740"/>
      <c r="APC234" s="740"/>
      <c r="APD234" s="740"/>
      <c r="APE234" s="740"/>
      <c r="APF234" s="740"/>
      <c r="APG234" s="740"/>
      <c r="APH234" s="740"/>
      <c r="API234" s="740"/>
      <c r="APJ234" s="740"/>
      <c r="APK234" s="740"/>
      <c r="APL234" s="740"/>
      <c r="APM234" s="740"/>
      <c r="APN234" s="740"/>
      <c r="APO234" s="740"/>
      <c r="APP234" s="740"/>
      <c r="APQ234" s="740"/>
      <c r="APR234" s="740"/>
      <c r="APS234" s="740"/>
      <c r="APT234" s="740"/>
      <c r="APU234" s="740"/>
      <c r="APV234" s="740"/>
      <c r="APW234" s="740"/>
      <c r="APX234" s="740"/>
      <c r="APY234" s="740"/>
      <c r="APZ234" s="740"/>
      <c r="AQA234" s="740"/>
      <c r="AQB234" s="740"/>
      <c r="AQC234" s="740"/>
      <c r="AQD234" s="740"/>
      <c r="AQE234" s="740"/>
      <c r="AQF234" s="740"/>
      <c r="AQG234" s="740"/>
      <c r="AQH234" s="740"/>
      <c r="AQI234" s="740"/>
      <c r="AQJ234" s="740"/>
      <c r="AQK234" s="740"/>
      <c r="AQL234" s="740"/>
      <c r="AQM234" s="740"/>
      <c r="AQN234" s="740"/>
      <c r="AQO234" s="740"/>
      <c r="AQP234" s="740"/>
      <c r="AQQ234" s="740"/>
      <c r="AQR234" s="740"/>
      <c r="AQS234" s="740"/>
      <c r="AQT234" s="740"/>
      <c r="AQU234" s="740"/>
      <c r="AQV234" s="740"/>
      <c r="AQW234" s="740"/>
      <c r="AQX234" s="740"/>
      <c r="AQY234" s="740"/>
      <c r="AQZ234" s="740"/>
      <c r="ARA234" s="740"/>
      <c r="ARB234" s="740"/>
      <c r="ARC234" s="740"/>
      <c r="ARD234" s="740"/>
      <c r="ARE234" s="740"/>
      <c r="ARF234" s="740"/>
      <c r="ARG234" s="740"/>
      <c r="ARH234" s="740"/>
      <c r="ARI234" s="740"/>
      <c r="ARJ234" s="740"/>
      <c r="ARK234" s="740"/>
      <c r="ARL234" s="740"/>
      <c r="ARM234" s="740"/>
      <c r="ARN234" s="740"/>
      <c r="ARO234" s="740"/>
      <c r="ARP234" s="740"/>
      <c r="ARQ234" s="740"/>
      <c r="ARR234" s="740"/>
      <c r="ARS234" s="740"/>
      <c r="ART234" s="740"/>
      <c r="ARU234" s="740"/>
      <c r="ARV234" s="740"/>
      <c r="ARW234" s="740"/>
      <c r="ARX234" s="740"/>
      <c r="ARY234" s="740"/>
      <c r="ARZ234" s="740"/>
      <c r="ASA234" s="740"/>
      <c r="ASB234" s="740"/>
      <c r="ASC234" s="740"/>
      <c r="ASD234" s="740"/>
      <c r="ASE234" s="740"/>
      <c r="ASF234" s="740"/>
      <c r="ASG234" s="740"/>
      <c r="ASH234" s="740"/>
      <c r="ASI234" s="740"/>
      <c r="ASJ234" s="740"/>
      <c r="ASK234" s="740"/>
      <c r="ASL234" s="740"/>
      <c r="ASM234" s="740"/>
      <c r="ASN234" s="740"/>
      <c r="ASO234" s="740"/>
      <c r="ASP234" s="740"/>
      <c r="ASQ234" s="740"/>
      <c r="ASR234" s="740"/>
      <c r="ASS234" s="740"/>
      <c r="AST234" s="740"/>
      <c r="ASU234" s="740"/>
      <c r="ASV234" s="740"/>
      <c r="ASW234" s="740"/>
      <c r="ASX234" s="740"/>
      <c r="ASY234" s="740"/>
      <c r="ASZ234" s="740"/>
      <c r="ATA234" s="740"/>
      <c r="ATB234" s="740"/>
      <c r="ATC234" s="740"/>
      <c r="ATD234" s="740"/>
      <c r="ATE234" s="740"/>
      <c r="ATF234" s="740"/>
      <c r="ATG234" s="740"/>
      <c r="ATH234" s="740"/>
      <c r="ATI234" s="740"/>
      <c r="ATJ234" s="740"/>
      <c r="ATK234" s="740"/>
      <c r="ATL234" s="740"/>
      <c r="ATM234" s="740"/>
      <c r="ATN234" s="740"/>
      <c r="ATO234" s="740"/>
      <c r="ATP234" s="740"/>
      <c r="ATQ234" s="740"/>
      <c r="ATR234" s="740"/>
      <c r="ATS234" s="740"/>
      <c r="ATT234" s="740"/>
      <c r="ATU234" s="740"/>
      <c r="ATV234" s="740"/>
      <c r="ATW234" s="740"/>
      <c r="ATX234" s="740"/>
      <c r="ATY234" s="740"/>
      <c r="ATZ234" s="740"/>
      <c r="AUA234" s="740"/>
      <c r="AUB234" s="740"/>
      <c r="AUC234" s="740"/>
      <c r="AUD234" s="740"/>
      <c r="AUE234" s="740"/>
      <c r="AUF234" s="740"/>
      <c r="AUG234" s="740"/>
      <c r="AUH234" s="740"/>
      <c r="AUI234" s="740"/>
      <c r="AUJ234" s="740"/>
      <c r="AUK234" s="740"/>
      <c r="AUL234" s="740"/>
      <c r="AUM234" s="740"/>
      <c r="AUN234" s="740"/>
      <c r="AUO234" s="740"/>
      <c r="AUP234" s="740"/>
      <c r="AUQ234" s="740"/>
      <c r="AUR234" s="740"/>
      <c r="AUS234" s="740"/>
      <c r="AUT234" s="740"/>
      <c r="AUU234" s="740"/>
      <c r="AUV234" s="740"/>
      <c r="AUW234" s="740"/>
      <c r="AUX234" s="740"/>
      <c r="AUY234" s="740"/>
      <c r="AUZ234" s="740"/>
      <c r="AVA234" s="740"/>
      <c r="AVB234" s="740"/>
      <c r="AVC234" s="740"/>
      <c r="AVD234" s="740"/>
      <c r="AVE234" s="740"/>
      <c r="AVF234" s="740"/>
      <c r="AVG234" s="740"/>
      <c r="AVH234" s="740"/>
      <c r="AVI234" s="740"/>
      <c r="AVJ234" s="740"/>
      <c r="AVK234" s="740"/>
      <c r="AVL234" s="740"/>
      <c r="AVM234" s="740"/>
      <c r="AVN234" s="740"/>
      <c r="AVO234" s="740"/>
      <c r="AVP234" s="740"/>
      <c r="AVQ234" s="740"/>
      <c r="AVR234" s="740"/>
      <c r="AVS234" s="740"/>
      <c r="AVT234" s="740"/>
      <c r="AVU234" s="740"/>
      <c r="AVV234" s="740"/>
      <c r="AVW234" s="740"/>
      <c r="AVX234" s="740"/>
      <c r="AVY234" s="740"/>
      <c r="AVZ234" s="740"/>
      <c r="AWA234" s="740"/>
      <c r="AWB234" s="740"/>
      <c r="AWC234" s="740"/>
      <c r="AWD234" s="740"/>
      <c r="AWE234" s="740"/>
      <c r="AWF234" s="740"/>
      <c r="AWG234" s="740"/>
      <c r="AWH234" s="740"/>
      <c r="AWI234" s="740"/>
      <c r="AWJ234" s="740"/>
      <c r="AWK234" s="740"/>
      <c r="AWL234" s="740"/>
      <c r="AWM234" s="740"/>
      <c r="AWN234" s="740"/>
      <c r="AWO234" s="740"/>
      <c r="AWP234" s="740"/>
      <c r="AWQ234" s="740"/>
      <c r="AWR234" s="740"/>
      <c r="AWS234" s="740"/>
      <c r="AWT234" s="740"/>
      <c r="AWU234" s="740"/>
      <c r="AWV234" s="740"/>
      <c r="AWW234" s="740"/>
      <c r="AWX234" s="740"/>
      <c r="AWY234" s="740"/>
      <c r="AWZ234" s="740"/>
      <c r="AXA234" s="740"/>
      <c r="AXB234" s="740"/>
      <c r="AXC234" s="740"/>
      <c r="AXD234" s="740"/>
      <c r="AXE234" s="740"/>
      <c r="AXF234" s="740"/>
      <c r="AXG234" s="740"/>
      <c r="AXH234" s="740"/>
      <c r="AXI234" s="740"/>
      <c r="AXJ234" s="740"/>
    </row>
    <row r="235" spans="1:1310" s="741" customFormat="1" ht="23.25" customHeight="1">
      <c r="A235" s="756"/>
      <c r="B235" s="742"/>
      <c r="C235" s="742"/>
      <c r="D235" s="742"/>
      <c r="E235" s="742"/>
      <c r="F235" s="750"/>
      <c r="G235" s="743"/>
      <c r="H235" s="743"/>
      <c r="I235" s="743"/>
      <c r="J235" s="751"/>
      <c r="K235" s="743"/>
      <c r="L235" s="743"/>
      <c r="M235" s="743"/>
      <c r="N235" s="751"/>
      <c r="O235" s="9016" t="s">
        <v>1600</v>
      </c>
      <c r="P235" s="9016"/>
      <c r="Q235" s="751"/>
      <c r="R235" s="311"/>
      <c r="S235" s="311"/>
      <c r="T235" s="311"/>
      <c r="U235" s="311"/>
      <c r="V235" s="311"/>
      <c r="W235" s="311"/>
      <c r="X235" s="311"/>
      <c r="Y235" s="311"/>
      <c r="Z235" s="311"/>
      <c r="AA235" s="311"/>
      <c r="AB235" s="311"/>
      <c r="AC235" s="311"/>
      <c r="AD235" s="740"/>
      <c r="AE235" s="740"/>
      <c r="AF235" s="740"/>
      <c r="AG235" s="740"/>
      <c r="AH235" s="740"/>
      <c r="AI235" s="740"/>
      <c r="AJ235" s="740"/>
      <c r="AK235" s="740"/>
      <c r="AL235" s="740"/>
      <c r="AM235" s="740"/>
      <c r="AN235" s="740"/>
      <c r="AO235" s="740"/>
      <c r="AP235" s="740"/>
      <c r="AQ235" s="740"/>
      <c r="AR235" s="740"/>
      <c r="AS235" s="740"/>
      <c r="AT235" s="740"/>
      <c r="AU235" s="740"/>
      <c r="AV235" s="740"/>
      <c r="AW235" s="740"/>
      <c r="AX235" s="740"/>
      <c r="AY235" s="740"/>
      <c r="AZ235" s="740"/>
      <c r="BA235" s="740"/>
      <c r="BB235" s="740"/>
      <c r="BC235" s="740"/>
      <c r="BD235" s="740"/>
      <c r="BE235" s="740"/>
      <c r="BF235" s="740"/>
      <c r="BG235" s="740"/>
      <c r="BH235" s="740"/>
      <c r="BI235" s="740"/>
      <c r="BJ235" s="740"/>
      <c r="BK235" s="740"/>
      <c r="BL235" s="740"/>
      <c r="BM235" s="740"/>
      <c r="BN235" s="740"/>
      <c r="BO235" s="740"/>
      <c r="BP235" s="740"/>
      <c r="BQ235" s="740"/>
      <c r="BR235" s="740"/>
      <c r="BS235" s="740"/>
      <c r="BT235" s="740"/>
      <c r="BU235" s="740"/>
      <c r="BV235" s="740"/>
      <c r="BW235" s="740"/>
      <c r="BX235" s="740"/>
      <c r="BY235" s="740"/>
      <c r="BZ235" s="740"/>
      <c r="CA235" s="740"/>
      <c r="CB235" s="740"/>
      <c r="CC235" s="740"/>
      <c r="CD235" s="740"/>
      <c r="CE235" s="740"/>
      <c r="CF235" s="740"/>
      <c r="CG235" s="740"/>
      <c r="CH235" s="740"/>
      <c r="CI235" s="740"/>
      <c r="CJ235" s="740"/>
      <c r="CK235" s="740"/>
      <c r="CL235" s="740"/>
      <c r="CM235" s="740"/>
      <c r="CN235" s="740"/>
      <c r="CO235" s="740"/>
      <c r="CP235" s="740"/>
      <c r="CQ235" s="740"/>
      <c r="CR235" s="740"/>
      <c r="CS235" s="740"/>
      <c r="CT235" s="740"/>
      <c r="CU235" s="740"/>
      <c r="CV235" s="740"/>
      <c r="CW235" s="740"/>
      <c r="CX235" s="740"/>
      <c r="CY235" s="740"/>
      <c r="CZ235" s="740"/>
      <c r="DA235" s="740"/>
      <c r="DB235" s="740"/>
      <c r="DC235" s="740"/>
      <c r="DD235" s="740"/>
      <c r="DE235" s="740"/>
      <c r="DF235" s="740"/>
      <c r="DG235" s="740"/>
      <c r="DH235" s="740"/>
      <c r="DI235" s="740"/>
      <c r="DJ235" s="740"/>
      <c r="DK235" s="740"/>
      <c r="DL235" s="740"/>
      <c r="DM235" s="740"/>
      <c r="DN235" s="740"/>
      <c r="DO235" s="740"/>
      <c r="DP235" s="740"/>
      <c r="DQ235" s="740"/>
      <c r="DR235" s="740"/>
      <c r="DS235" s="740"/>
      <c r="DT235" s="740"/>
      <c r="DU235" s="740"/>
      <c r="DV235" s="740"/>
      <c r="DW235" s="740"/>
      <c r="DX235" s="740"/>
      <c r="DY235" s="740"/>
      <c r="DZ235" s="740"/>
      <c r="EA235" s="740"/>
      <c r="EB235" s="740"/>
      <c r="EC235" s="740"/>
      <c r="ED235" s="740"/>
      <c r="EE235" s="740"/>
      <c r="EF235" s="740"/>
      <c r="EG235" s="740"/>
      <c r="EH235" s="740"/>
      <c r="EI235" s="740"/>
      <c r="EJ235" s="740"/>
      <c r="EK235" s="740"/>
      <c r="EL235" s="740"/>
      <c r="EM235" s="740"/>
      <c r="EN235" s="740"/>
      <c r="EO235" s="740"/>
      <c r="EP235" s="740"/>
      <c r="EQ235" s="740"/>
      <c r="ER235" s="740"/>
      <c r="ES235" s="740"/>
      <c r="ET235" s="740"/>
      <c r="EU235" s="740"/>
      <c r="EV235" s="740"/>
      <c r="EW235" s="740"/>
      <c r="EX235" s="740"/>
      <c r="EY235" s="740"/>
      <c r="EZ235" s="740"/>
      <c r="FA235" s="740"/>
      <c r="FB235" s="740"/>
      <c r="FC235" s="740"/>
      <c r="FD235" s="740"/>
      <c r="FE235" s="740"/>
      <c r="FF235" s="740"/>
      <c r="FG235" s="740"/>
      <c r="FH235" s="740"/>
      <c r="FI235" s="740"/>
      <c r="FJ235" s="740"/>
      <c r="FK235" s="740"/>
      <c r="FL235" s="740"/>
      <c r="FM235" s="740"/>
      <c r="FN235" s="740"/>
      <c r="FO235" s="740"/>
      <c r="FP235" s="740"/>
      <c r="FQ235" s="740"/>
      <c r="FR235" s="740"/>
      <c r="FS235" s="740"/>
      <c r="FT235" s="740"/>
      <c r="FU235" s="740"/>
      <c r="FV235" s="740"/>
      <c r="FW235" s="740"/>
      <c r="FX235" s="740"/>
      <c r="FY235" s="740"/>
      <c r="FZ235" s="740"/>
      <c r="GA235" s="740"/>
      <c r="GB235" s="740"/>
      <c r="GC235" s="740"/>
      <c r="GD235" s="740"/>
      <c r="GE235" s="740"/>
      <c r="GF235" s="740"/>
      <c r="GG235" s="740"/>
      <c r="GH235" s="740"/>
      <c r="GI235" s="740"/>
      <c r="GJ235" s="740"/>
      <c r="GK235" s="740"/>
      <c r="GL235" s="740"/>
      <c r="GM235" s="740"/>
      <c r="GN235" s="740"/>
      <c r="GO235" s="740"/>
      <c r="GP235" s="740"/>
      <c r="GQ235" s="740"/>
      <c r="GR235" s="740"/>
      <c r="GS235" s="740"/>
      <c r="GT235" s="740"/>
      <c r="GU235" s="740"/>
      <c r="GV235" s="740"/>
      <c r="GW235" s="740"/>
      <c r="GX235" s="740"/>
      <c r="GY235" s="740"/>
      <c r="GZ235" s="740"/>
      <c r="HA235" s="740"/>
      <c r="HB235" s="740"/>
      <c r="HC235" s="740"/>
      <c r="HD235" s="740"/>
      <c r="HE235" s="740"/>
      <c r="HF235" s="740"/>
      <c r="HG235" s="740"/>
      <c r="HH235" s="740"/>
      <c r="HI235" s="740"/>
      <c r="HJ235" s="740"/>
      <c r="HK235" s="740"/>
      <c r="HL235" s="740"/>
      <c r="HM235" s="740"/>
      <c r="HN235" s="740"/>
      <c r="HO235" s="740"/>
      <c r="HP235" s="740"/>
      <c r="HQ235" s="740"/>
      <c r="HR235" s="740"/>
      <c r="HS235" s="740"/>
      <c r="HT235" s="740"/>
      <c r="HU235" s="740"/>
      <c r="HV235" s="740"/>
      <c r="HW235" s="740"/>
      <c r="HX235" s="740"/>
      <c r="HY235" s="740"/>
      <c r="HZ235" s="740"/>
      <c r="IA235" s="740"/>
      <c r="IB235" s="740"/>
      <c r="IC235" s="740"/>
      <c r="ID235" s="740"/>
      <c r="IE235" s="740"/>
      <c r="IF235" s="740"/>
      <c r="IG235" s="740"/>
      <c r="IH235" s="740"/>
      <c r="II235" s="740"/>
      <c r="IJ235" s="740"/>
      <c r="IK235" s="740"/>
      <c r="IL235" s="740"/>
      <c r="IM235" s="740"/>
      <c r="IN235" s="740"/>
      <c r="IO235" s="740"/>
      <c r="IP235" s="740"/>
      <c r="IQ235" s="740"/>
      <c r="IR235" s="740"/>
      <c r="IS235" s="740"/>
      <c r="IT235" s="740"/>
      <c r="IU235" s="740"/>
      <c r="IV235" s="740"/>
      <c r="IW235" s="740"/>
      <c r="IX235" s="740"/>
      <c r="IY235" s="740"/>
      <c r="IZ235" s="740"/>
      <c r="JA235" s="740"/>
      <c r="JB235" s="740"/>
      <c r="JC235" s="740"/>
      <c r="JD235" s="740"/>
      <c r="JE235" s="740"/>
      <c r="JF235" s="740"/>
      <c r="JG235" s="740"/>
      <c r="JH235" s="740"/>
      <c r="JI235" s="740"/>
      <c r="JJ235" s="740"/>
      <c r="JK235" s="740"/>
      <c r="JL235" s="740"/>
      <c r="JM235" s="740"/>
      <c r="JN235" s="740"/>
      <c r="JO235" s="740"/>
      <c r="JP235" s="740"/>
      <c r="JQ235" s="740"/>
      <c r="JR235" s="740"/>
      <c r="JS235" s="740"/>
      <c r="JT235" s="740"/>
      <c r="JU235" s="740"/>
      <c r="JV235" s="740"/>
      <c r="JW235" s="740"/>
      <c r="JX235" s="740"/>
      <c r="JY235" s="740"/>
      <c r="JZ235" s="740"/>
      <c r="KA235" s="740"/>
      <c r="KB235" s="740"/>
      <c r="KC235" s="740"/>
      <c r="KD235" s="740"/>
      <c r="KE235" s="740"/>
      <c r="KF235" s="740"/>
      <c r="KG235" s="740"/>
      <c r="KH235" s="740"/>
      <c r="KI235" s="740"/>
      <c r="KJ235" s="740"/>
      <c r="KK235" s="740"/>
      <c r="KL235" s="740"/>
      <c r="KM235" s="740"/>
      <c r="KN235" s="740"/>
      <c r="KO235" s="740"/>
      <c r="KP235" s="740"/>
      <c r="KQ235" s="740"/>
      <c r="KR235" s="740"/>
      <c r="KS235" s="740"/>
      <c r="KT235" s="740"/>
      <c r="KU235" s="740"/>
      <c r="KV235" s="740"/>
      <c r="KW235" s="740"/>
      <c r="KX235" s="740"/>
      <c r="KY235" s="740"/>
      <c r="KZ235" s="740"/>
      <c r="LA235" s="740"/>
      <c r="LB235" s="740"/>
      <c r="LC235" s="740"/>
      <c r="LD235" s="740"/>
      <c r="LE235" s="740"/>
      <c r="LF235" s="740"/>
      <c r="LG235" s="740"/>
      <c r="LH235" s="740"/>
      <c r="LI235" s="740"/>
      <c r="LJ235" s="740"/>
      <c r="LK235" s="740"/>
      <c r="LL235" s="740"/>
      <c r="LM235" s="740"/>
      <c r="LN235" s="740"/>
      <c r="LO235" s="740"/>
      <c r="LP235" s="740"/>
      <c r="LQ235" s="740"/>
      <c r="LR235" s="740"/>
      <c r="LS235" s="740"/>
      <c r="LT235" s="740"/>
      <c r="LU235" s="740"/>
      <c r="LV235" s="740"/>
      <c r="LW235" s="740"/>
      <c r="LX235" s="740"/>
      <c r="LY235" s="740"/>
      <c r="LZ235" s="740"/>
      <c r="MA235" s="740"/>
      <c r="MB235" s="740"/>
      <c r="MC235" s="740"/>
      <c r="MD235" s="740"/>
      <c r="ME235" s="740"/>
      <c r="MF235" s="740"/>
      <c r="MG235" s="740"/>
      <c r="MH235" s="740"/>
      <c r="MI235" s="740"/>
      <c r="MJ235" s="740"/>
      <c r="MK235" s="740"/>
      <c r="ML235" s="740"/>
      <c r="MM235" s="740"/>
      <c r="MN235" s="740"/>
      <c r="MO235" s="740"/>
      <c r="MP235" s="740"/>
      <c r="MQ235" s="740"/>
      <c r="MR235" s="740"/>
      <c r="MS235" s="740"/>
      <c r="MT235" s="740"/>
      <c r="MU235" s="740"/>
      <c r="MV235" s="740"/>
      <c r="MW235" s="740"/>
      <c r="MX235" s="740"/>
      <c r="MY235" s="740"/>
      <c r="MZ235" s="740"/>
      <c r="NA235" s="740"/>
      <c r="NB235" s="740"/>
      <c r="NC235" s="740"/>
      <c r="ND235" s="740"/>
      <c r="NE235" s="740"/>
      <c r="NF235" s="740"/>
      <c r="NG235" s="740"/>
      <c r="NH235" s="740"/>
      <c r="NI235" s="740"/>
      <c r="NJ235" s="740"/>
      <c r="NK235" s="740"/>
      <c r="NL235" s="740"/>
      <c r="NM235" s="740"/>
      <c r="NN235" s="740"/>
      <c r="NO235" s="740"/>
      <c r="NP235" s="740"/>
      <c r="NQ235" s="740"/>
      <c r="NR235" s="740"/>
      <c r="NS235" s="740"/>
      <c r="NT235" s="740"/>
      <c r="NU235" s="740"/>
      <c r="NV235" s="740"/>
      <c r="NW235" s="740"/>
      <c r="NX235" s="740"/>
      <c r="NY235" s="740"/>
      <c r="NZ235" s="740"/>
      <c r="OA235" s="740"/>
      <c r="OB235" s="740"/>
      <c r="OC235" s="740"/>
      <c r="OD235" s="740"/>
      <c r="OE235" s="740"/>
      <c r="OF235" s="740"/>
      <c r="OG235" s="740"/>
      <c r="OH235" s="740"/>
      <c r="OI235" s="740"/>
      <c r="OJ235" s="740"/>
      <c r="OK235" s="740"/>
      <c r="OL235" s="740"/>
      <c r="OM235" s="740"/>
      <c r="ON235" s="740"/>
      <c r="OO235" s="740"/>
      <c r="OP235" s="740"/>
      <c r="OQ235" s="740"/>
      <c r="OR235" s="740"/>
      <c r="OS235" s="740"/>
      <c r="OT235" s="740"/>
      <c r="OU235" s="740"/>
      <c r="OV235" s="740"/>
      <c r="OW235" s="740"/>
      <c r="OX235" s="740"/>
      <c r="OY235" s="740"/>
      <c r="OZ235" s="740"/>
      <c r="PA235" s="740"/>
      <c r="PB235" s="740"/>
      <c r="PC235" s="740"/>
      <c r="PD235" s="740"/>
      <c r="PE235" s="740"/>
      <c r="PF235" s="740"/>
      <c r="PG235" s="740"/>
      <c r="PH235" s="740"/>
      <c r="PI235" s="740"/>
      <c r="PJ235" s="740"/>
      <c r="PK235" s="740"/>
      <c r="PL235" s="740"/>
      <c r="PM235" s="740"/>
      <c r="PN235" s="740"/>
      <c r="PO235" s="740"/>
      <c r="PP235" s="740"/>
      <c r="PQ235" s="740"/>
      <c r="PR235" s="740"/>
      <c r="PS235" s="740"/>
      <c r="PT235" s="740"/>
      <c r="PU235" s="740"/>
      <c r="PV235" s="740"/>
      <c r="PW235" s="740"/>
      <c r="PX235" s="740"/>
      <c r="PY235" s="740"/>
      <c r="PZ235" s="740"/>
      <c r="QA235" s="740"/>
      <c r="QB235" s="740"/>
      <c r="QC235" s="740"/>
      <c r="QD235" s="740"/>
      <c r="QE235" s="740"/>
      <c r="QF235" s="740"/>
      <c r="QG235" s="740"/>
      <c r="QH235" s="740"/>
      <c r="QI235" s="740"/>
      <c r="QJ235" s="740"/>
      <c r="QK235" s="740"/>
      <c r="QL235" s="740"/>
      <c r="QM235" s="740"/>
      <c r="QN235" s="740"/>
      <c r="QO235" s="740"/>
      <c r="QP235" s="740"/>
      <c r="QQ235" s="740"/>
      <c r="QR235" s="740"/>
      <c r="QS235" s="740"/>
      <c r="QT235" s="740"/>
      <c r="QU235" s="740"/>
      <c r="QV235" s="740"/>
      <c r="QW235" s="740"/>
      <c r="QX235" s="740"/>
      <c r="QY235" s="740"/>
      <c r="QZ235" s="740"/>
      <c r="RA235" s="740"/>
      <c r="RB235" s="740"/>
      <c r="RC235" s="740"/>
      <c r="RD235" s="740"/>
      <c r="RE235" s="740"/>
      <c r="RF235" s="740"/>
      <c r="RG235" s="740"/>
      <c r="RH235" s="740"/>
      <c r="RI235" s="740"/>
      <c r="RJ235" s="740"/>
      <c r="RK235" s="740"/>
      <c r="RL235" s="740"/>
      <c r="RM235" s="740"/>
      <c r="RN235" s="740"/>
      <c r="RO235" s="740"/>
      <c r="RP235" s="740"/>
      <c r="RQ235" s="740"/>
      <c r="RR235" s="740"/>
      <c r="RS235" s="740"/>
      <c r="RT235" s="740"/>
      <c r="RU235" s="740"/>
      <c r="RV235" s="740"/>
      <c r="RW235" s="740"/>
      <c r="RX235" s="740"/>
      <c r="RY235" s="740"/>
      <c r="RZ235" s="740"/>
      <c r="SA235" s="740"/>
      <c r="SB235" s="740"/>
      <c r="SC235" s="740"/>
      <c r="SD235" s="740"/>
      <c r="SE235" s="740"/>
      <c r="SF235" s="740"/>
      <c r="SG235" s="740"/>
      <c r="SH235" s="740"/>
      <c r="SI235" s="740"/>
      <c r="SJ235" s="740"/>
      <c r="SK235" s="740"/>
      <c r="SL235" s="740"/>
      <c r="SM235" s="740"/>
      <c r="SN235" s="740"/>
      <c r="SO235" s="740"/>
      <c r="SP235" s="740"/>
      <c r="SQ235" s="740"/>
      <c r="SR235" s="740"/>
      <c r="SS235" s="740"/>
      <c r="ST235" s="740"/>
      <c r="SU235" s="740"/>
      <c r="SV235" s="740"/>
      <c r="SW235" s="740"/>
      <c r="SX235" s="740"/>
      <c r="SY235" s="740"/>
      <c r="SZ235" s="740"/>
      <c r="TA235" s="740"/>
      <c r="TB235" s="740"/>
      <c r="TC235" s="740"/>
      <c r="TD235" s="740"/>
      <c r="TE235" s="740"/>
      <c r="TF235" s="740"/>
      <c r="TG235" s="740"/>
      <c r="TH235" s="740"/>
      <c r="TI235" s="740"/>
      <c r="TJ235" s="740"/>
      <c r="TK235" s="740"/>
      <c r="TL235" s="740"/>
      <c r="TM235" s="740"/>
      <c r="TN235" s="740"/>
      <c r="TO235" s="740"/>
      <c r="TP235" s="740"/>
      <c r="TQ235" s="740"/>
      <c r="TR235" s="740"/>
      <c r="TS235" s="740"/>
      <c r="TT235" s="740"/>
      <c r="TU235" s="740"/>
      <c r="TV235" s="740"/>
      <c r="TW235" s="740"/>
      <c r="TX235" s="740"/>
      <c r="TY235" s="740"/>
      <c r="TZ235" s="740"/>
      <c r="UA235" s="740"/>
      <c r="UB235" s="740"/>
      <c r="UC235" s="740"/>
      <c r="UD235" s="740"/>
      <c r="UE235" s="740"/>
      <c r="UF235" s="740"/>
      <c r="UG235" s="740"/>
      <c r="UH235" s="740"/>
      <c r="UI235" s="740"/>
      <c r="UJ235" s="740"/>
      <c r="UK235" s="740"/>
      <c r="UL235" s="740"/>
      <c r="UM235" s="740"/>
      <c r="UN235" s="740"/>
      <c r="UO235" s="740"/>
      <c r="UP235" s="740"/>
      <c r="UQ235" s="740"/>
      <c r="UR235" s="740"/>
      <c r="US235" s="740"/>
      <c r="UT235" s="740"/>
      <c r="UU235" s="740"/>
      <c r="UV235" s="740"/>
      <c r="UW235" s="740"/>
      <c r="UX235" s="740"/>
      <c r="UY235" s="740"/>
      <c r="UZ235" s="740"/>
      <c r="VA235" s="740"/>
      <c r="VB235" s="740"/>
      <c r="VC235" s="740"/>
      <c r="VD235" s="740"/>
      <c r="VE235" s="740"/>
      <c r="VF235" s="740"/>
      <c r="VG235" s="740"/>
      <c r="VH235" s="740"/>
      <c r="VI235" s="740"/>
      <c r="VJ235" s="740"/>
      <c r="VK235" s="740"/>
      <c r="VL235" s="740"/>
      <c r="VM235" s="740"/>
      <c r="VN235" s="740"/>
      <c r="VO235" s="740"/>
      <c r="VP235" s="740"/>
      <c r="VQ235" s="740"/>
      <c r="VR235" s="740"/>
      <c r="VS235" s="740"/>
      <c r="VT235" s="740"/>
      <c r="VU235" s="740"/>
      <c r="VV235" s="740"/>
      <c r="VW235" s="740"/>
      <c r="VX235" s="740"/>
      <c r="VY235" s="740"/>
      <c r="VZ235" s="740"/>
      <c r="WA235" s="740"/>
      <c r="WB235" s="740"/>
      <c r="WC235" s="740"/>
      <c r="WD235" s="740"/>
      <c r="WE235" s="740"/>
      <c r="WF235" s="740"/>
      <c r="WG235" s="740"/>
      <c r="WH235" s="740"/>
      <c r="WI235" s="740"/>
      <c r="WJ235" s="740"/>
      <c r="WK235" s="740"/>
      <c r="WL235" s="740"/>
      <c r="WM235" s="740"/>
      <c r="WN235" s="740"/>
      <c r="WO235" s="740"/>
      <c r="WP235" s="740"/>
      <c r="WQ235" s="740"/>
      <c r="WR235" s="740"/>
      <c r="WS235" s="740"/>
      <c r="WT235" s="740"/>
      <c r="WU235" s="740"/>
      <c r="WV235" s="740"/>
      <c r="WW235" s="740"/>
      <c r="WX235" s="740"/>
      <c r="WY235" s="740"/>
      <c r="WZ235" s="740"/>
      <c r="XA235" s="740"/>
      <c r="XB235" s="740"/>
      <c r="XC235" s="740"/>
      <c r="XD235" s="740"/>
      <c r="XE235" s="740"/>
      <c r="XF235" s="740"/>
      <c r="XG235" s="740"/>
      <c r="XH235" s="740"/>
      <c r="XI235" s="740"/>
      <c r="XJ235" s="740"/>
      <c r="XK235" s="740"/>
      <c r="XL235" s="740"/>
      <c r="XM235" s="740"/>
      <c r="XN235" s="740"/>
      <c r="XO235" s="740"/>
      <c r="XP235" s="740"/>
      <c r="XQ235" s="740"/>
      <c r="XR235" s="740"/>
      <c r="XS235" s="740"/>
      <c r="XT235" s="740"/>
      <c r="XU235" s="740"/>
      <c r="XV235" s="740"/>
      <c r="XW235" s="740"/>
      <c r="XX235" s="740"/>
      <c r="XY235" s="740"/>
      <c r="XZ235" s="740"/>
      <c r="YA235" s="740"/>
      <c r="YB235" s="740"/>
      <c r="YC235" s="740"/>
      <c r="YD235" s="740"/>
      <c r="YE235" s="740"/>
      <c r="YF235" s="740"/>
      <c r="YG235" s="740"/>
      <c r="YH235" s="740"/>
      <c r="YI235" s="740"/>
      <c r="YJ235" s="740"/>
      <c r="YK235" s="740"/>
      <c r="YL235" s="740"/>
      <c r="YM235" s="740"/>
      <c r="YN235" s="740"/>
      <c r="YO235" s="740"/>
      <c r="YP235" s="740"/>
      <c r="YQ235" s="740"/>
      <c r="YR235" s="740"/>
      <c r="YS235" s="740"/>
      <c r="YT235" s="740"/>
      <c r="YU235" s="740"/>
      <c r="YV235" s="740"/>
      <c r="YW235" s="740"/>
      <c r="YX235" s="740"/>
      <c r="YY235" s="740"/>
      <c r="YZ235" s="740"/>
      <c r="ZA235" s="740"/>
      <c r="ZB235" s="740"/>
      <c r="ZC235" s="740"/>
      <c r="ZD235" s="740"/>
      <c r="ZE235" s="740"/>
      <c r="ZF235" s="740"/>
      <c r="ZG235" s="740"/>
      <c r="ZH235" s="740"/>
      <c r="ZI235" s="740"/>
      <c r="ZJ235" s="740"/>
      <c r="ZK235" s="740"/>
      <c r="ZL235" s="740"/>
      <c r="ZM235" s="740"/>
      <c r="ZN235" s="740"/>
      <c r="ZO235" s="740"/>
      <c r="ZP235" s="740"/>
      <c r="ZQ235" s="740"/>
      <c r="ZR235" s="740"/>
      <c r="ZS235" s="740"/>
      <c r="ZT235" s="740"/>
      <c r="ZU235" s="740"/>
      <c r="ZV235" s="740"/>
      <c r="ZW235" s="740"/>
      <c r="ZX235" s="740"/>
      <c r="ZY235" s="740"/>
      <c r="ZZ235" s="740"/>
      <c r="AAA235" s="740"/>
      <c r="AAB235" s="740"/>
      <c r="AAC235" s="740"/>
      <c r="AAD235" s="740"/>
      <c r="AAE235" s="740"/>
      <c r="AAF235" s="740"/>
      <c r="AAG235" s="740"/>
      <c r="AAH235" s="740"/>
      <c r="AAI235" s="740"/>
      <c r="AAJ235" s="740"/>
      <c r="AAK235" s="740"/>
      <c r="AAL235" s="740"/>
      <c r="AAM235" s="740"/>
      <c r="AAN235" s="740"/>
      <c r="AAO235" s="740"/>
      <c r="AAP235" s="740"/>
      <c r="AAQ235" s="740"/>
      <c r="AAR235" s="740"/>
      <c r="AAS235" s="740"/>
      <c r="AAT235" s="740"/>
      <c r="AAU235" s="740"/>
      <c r="AAV235" s="740"/>
      <c r="AAW235" s="740"/>
      <c r="AAX235" s="740"/>
      <c r="AAY235" s="740"/>
      <c r="AAZ235" s="740"/>
      <c r="ABA235" s="740"/>
      <c r="ABB235" s="740"/>
      <c r="ABC235" s="740"/>
      <c r="ABD235" s="740"/>
      <c r="ABE235" s="740"/>
      <c r="ABF235" s="740"/>
      <c r="ABG235" s="740"/>
      <c r="ABH235" s="740"/>
      <c r="ABI235" s="740"/>
      <c r="ABJ235" s="740"/>
      <c r="ABK235" s="740"/>
      <c r="ABL235" s="740"/>
      <c r="ABM235" s="740"/>
      <c r="ABN235" s="740"/>
      <c r="ABO235" s="740"/>
      <c r="ABP235" s="740"/>
      <c r="ABQ235" s="740"/>
      <c r="ABR235" s="740"/>
      <c r="ABS235" s="740"/>
      <c r="ABT235" s="740"/>
      <c r="ABU235" s="740"/>
      <c r="ABV235" s="740"/>
      <c r="ABW235" s="740"/>
      <c r="ABX235" s="740"/>
      <c r="ABY235" s="740"/>
      <c r="ABZ235" s="740"/>
      <c r="ACA235" s="740"/>
      <c r="ACB235" s="740"/>
      <c r="ACC235" s="740"/>
      <c r="ACD235" s="740"/>
      <c r="ACE235" s="740"/>
      <c r="ACF235" s="740"/>
      <c r="ACG235" s="740"/>
      <c r="ACH235" s="740"/>
      <c r="ACI235" s="740"/>
      <c r="ACJ235" s="740"/>
      <c r="ACK235" s="740"/>
      <c r="ACL235" s="740"/>
      <c r="ACM235" s="740"/>
      <c r="ACN235" s="740"/>
      <c r="ACO235" s="740"/>
      <c r="ACP235" s="740"/>
      <c r="ACQ235" s="740"/>
      <c r="ACR235" s="740"/>
      <c r="ACS235" s="740"/>
      <c r="ACT235" s="740"/>
      <c r="ACU235" s="740"/>
      <c r="ACV235" s="740"/>
      <c r="ACW235" s="740"/>
      <c r="ACX235" s="740"/>
      <c r="ACY235" s="740"/>
      <c r="ACZ235" s="740"/>
      <c r="ADA235" s="740"/>
      <c r="ADB235" s="740"/>
      <c r="ADC235" s="740"/>
      <c r="ADD235" s="740"/>
      <c r="ADE235" s="740"/>
      <c r="ADF235" s="740"/>
      <c r="ADG235" s="740"/>
      <c r="ADH235" s="740"/>
      <c r="ADI235" s="740"/>
      <c r="ADJ235" s="740"/>
      <c r="ADK235" s="740"/>
      <c r="ADL235" s="740"/>
      <c r="ADM235" s="740"/>
      <c r="ADN235" s="740"/>
      <c r="ADO235" s="740"/>
      <c r="ADP235" s="740"/>
      <c r="ADQ235" s="740"/>
      <c r="ADR235" s="740"/>
      <c r="ADS235" s="740"/>
      <c r="ADT235" s="740"/>
      <c r="ADU235" s="740"/>
      <c r="ADV235" s="740"/>
      <c r="ADW235" s="740"/>
      <c r="ADX235" s="740"/>
      <c r="ADY235" s="740"/>
      <c r="ADZ235" s="740"/>
      <c r="AEA235" s="740"/>
      <c r="AEB235" s="740"/>
      <c r="AEC235" s="740"/>
      <c r="AED235" s="740"/>
      <c r="AEE235" s="740"/>
      <c r="AEF235" s="740"/>
      <c r="AEG235" s="740"/>
      <c r="AEH235" s="740"/>
      <c r="AEI235" s="740"/>
      <c r="AEJ235" s="740"/>
      <c r="AEK235" s="740"/>
      <c r="AEL235" s="740"/>
      <c r="AEM235" s="740"/>
      <c r="AEN235" s="740"/>
      <c r="AEO235" s="740"/>
      <c r="AEP235" s="740"/>
      <c r="AEQ235" s="740"/>
      <c r="AER235" s="740"/>
      <c r="AES235" s="740"/>
      <c r="AET235" s="740"/>
      <c r="AEU235" s="740"/>
      <c r="AEV235" s="740"/>
      <c r="AEW235" s="740"/>
      <c r="AEX235" s="740"/>
      <c r="AEY235" s="740"/>
      <c r="AEZ235" s="740"/>
      <c r="AFA235" s="740"/>
      <c r="AFB235" s="740"/>
      <c r="AFC235" s="740"/>
      <c r="AFD235" s="740"/>
      <c r="AFE235" s="740"/>
      <c r="AFF235" s="740"/>
      <c r="AFG235" s="740"/>
      <c r="AFH235" s="740"/>
      <c r="AFI235" s="740"/>
      <c r="AFJ235" s="740"/>
      <c r="AFK235" s="740"/>
      <c r="AFL235" s="740"/>
      <c r="AFM235" s="740"/>
      <c r="AFN235" s="740"/>
      <c r="AFO235" s="740"/>
      <c r="AFP235" s="740"/>
      <c r="AFQ235" s="740"/>
      <c r="AFR235" s="740"/>
      <c r="AFS235" s="740"/>
      <c r="AFT235" s="740"/>
      <c r="AFU235" s="740"/>
      <c r="AFV235" s="740"/>
      <c r="AFW235" s="740"/>
      <c r="AFX235" s="740"/>
      <c r="AFY235" s="740"/>
      <c r="AFZ235" s="740"/>
      <c r="AGA235" s="740"/>
      <c r="AGB235" s="740"/>
      <c r="AGC235" s="740"/>
      <c r="AGD235" s="740"/>
      <c r="AGE235" s="740"/>
      <c r="AGF235" s="740"/>
      <c r="AGG235" s="740"/>
      <c r="AGH235" s="740"/>
      <c r="AGI235" s="740"/>
      <c r="AGJ235" s="740"/>
      <c r="AGK235" s="740"/>
      <c r="AGL235" s="740"/>
      <c r="AGM235" s="740"/>
      <c r="AGN235" s="740"/>
      <c r="AGO235" s="740"/>
      <c r="AGP235" s="740"/>
      <c r="AGQ235" s="740"/>
      <c r="AGR235" s="740"/>
      <c r="AGS235" s="740"/>
      <c r="AGT235" s="740"/>
      <c r="AGU235" s="740"/>
      <c r="AGV235" s="740"/>
      <c r="AGW235" s="740"/>
      <c r="AGX235" s="740"/>
      <c r="AGY235" s="740"/>
      <c r="AGZ235" s="740"/>
      <c r="AHA235" s="740"/>
      <c r="AHB235" s="740"/>
      <c r="AHC235" s="740"/>
      <c r="AHD235" s="740"/>
      <c r="AHE235" s="740"/>
      <c r="AHF235" s="740"/>
      <c r="AHG235" s="740"/>
      <c r="AHH235" s="740"/>
      <c r="AHI235" s="740"/>
      <c r="AHJ235" s="740"/>
      <c r="AHK235" s="740"/>
      <c r="AHL235" s="740"/>
      <c r="AHM235" s="740"/>
      <c r="AHN235" s="740"/>
      <c r="AHO235" s="740"/>
      <c r="AHP235" s="740"/>
      <c r="AHQ235" s="740"/>
      <c r="AHR235" s="740"/>
      <c r="AHS235" s="740"/>
      <c r="AHT235" s="740"/>
      <c r="AHU235" s="740"/>
      <c r="AHV235" s="740"/>
      <c r="AHW235" s="740"/>
      <c r="AHX235" s="740"/>
      <c r="AHY235" s="740"/>
      <c r="AHZ235" s="740"/>
      <c r="AIA235" s="740"/>
      <c r="AIB235" s="740"/>
      <c r="AIC235" s="740"/>
      <c r="AID235" s="740"/>
      <c r="AIE235" s="740"/>
      <c r="AIF235" s="740"/>
      <c r="AIG235" s="740"/>
      <c r="AIH235" s="740"/>
      <c r="AII235" s="740"/>
      <c r="AIJ235" s="740"/>
      <c r="AIK235" s="740"/>
      <c r="AIL235" s="740"/>
      <c r="AIM235" s="740"/>
      <c r="AIN235" s="740"/>
      <c r="AIO235" s="740"/>
      <c r="AIP235" s="740"/>
      <c r="AIQ235" s="740"/>
      <c r="AIR235" s="740"/>
      <c r="AIS235" s="740"/>
      <c r="AIT235" s="740"/>
      <c r="AIU235" s="740"/>
      <c r="AIV235" s="740"/>
      <c r="AIW235" s="740"/>
      <c r="AIX235" s="740"/>
      <c r="AIY235" s="740"/>
      <c r="AIZ235" s="740"/>
      <c r="AJA235" s="740"/>
      <c r="AJB235" s="740"/>
      <c r="AJC235" s="740"/>
      <c r="AJD235" s="740"/>
      <c r="AJE235" s="740"/>
      <c r="AJF235" s="740"/>
      <c r="AJG235" s="740"/>
      <c r="AJH235" s="740"/>
      <c r="AJI235" s="740"/>
      <c r="AJJ235" s="740"/>
      <c r="AJK235" s="740"/>
      <c r="AJL235" s="740"/>
      <c r="AJM235" s="740"/>
      <c r="AJN235" s="740"/>
      <c r="AJO235" s="740"/>
      <c r="AJP235" s="740"/>
      <c r="AJQ235" s="740"/>
      <c r="AJR235" s="740"/>
      <c r="AJS235" s="740"/>
      <c r="AJT235" s="740"/>
      <c r="AJU235" s="740"/>
      <c r="AJV235" s="740"/>
      <c r="AJW235" s="740"/>
      <c r="AJX235" s="740"/>
      <c r="AJY235" s="740"/>
      <c r="AJZ235" s="740"/>
      <c r="AKA235" s="740"/>
      <c r="AKB235" s="740"/>
      <c r="AKC235" s="740"/>
      <c r="AKD235" s="740"/>
      <c r="AKE235" s="740"/>
      <c r="AKF235" s="740"/>
      <c r="AKG235" s="740"/>
      <c r="AKH235" s="740"/>
      <c r="AKI235" s="740"/>
      <c r="AKJ235" s="740"/>
      <c r="AKK235" s="740"/>
      <c r="AKL235" s="740"/>
      <c r="AKM235" s="740"/>
      <c r="AKN235" s="740"/>
      <c r="AKO235" s="740"/>
      <c r="AKP235" s="740"/>
      <c r="AKQ235" s="740"/>
      <c r="AKR235" s="740"/>
      <c r="AKS235" s="740"/>
      <c r="AKT235" s="740"/>
      <c r="AKU235" s="740"/>
      <c r="AKV235" s="740"/>
      <c r="AKW235" s="740"/>
      <c r="AKX235" s="740"/>
      <c r="AKY235" s="740"/>
      <c r="AKZ235" s="740"/>
      <c r="ALA235" s="740"/>
      <c r="ALB235" s="740"/>
      <c r="ALC235" s="740"/>
      <c r="ALD235" s="740"/>
      <c r="ALE235" s="740"/>
      <c r="ALF235" s="740"/>
      <c r="ALG235" s="740"/>
      <c r="ALH235" s="740"/>
      <c r="ALI235" s="740"/>
      <c r="ALJ235" s="740"/>
      <c r="ALK235" s="740"/>
      <c r="ALL235" s="740"/>
      <c r="ALM235" s="740"/>
      <c r="ALN235" s="740"/>
      <c r="ALO235" s="740"/>
      <c r="ALP235" s="740"/>
      <c r="ALQ235" s="740"/>
      <c r="ALR235" s="740"/>
      <c r="ALS235" s="740"/>
      <c r="ALT235" s="740"/>
      <c r="ALU235" s="740"/>
      <c r="ALV235" s="740"/>
      <c r="ALW235" s="740"/>
      <c r="ALX235" s="740"/>
      <c r="ALY235" s="740"/>
      <c r="ALZ235" s="740"/>
      <c r="AMA235" s="740"/>
      <c r="AMB235" s="740"/>
      <c r="AMC235" s="740"/>
      <c r="AMD235" s="740"/>
      <c r="AME235" s="740"/>
      <c r="AMF235" s="740"/>
      <c r="AMG235" s="740"/>
      <c r="AMH235" s="740"/>
      <c r="AMI235" s="740"/>
      <c r="AMJ235" s="740"/>
      <c r="AMK235" s="740"/>
      <c r="AML235" s="740"/>
      <c r="AMM235" s="740"/>
      <c r="AMN235" s="740"/>
      <c r="AMO235" s="740"/>
      <c r="AMP235" s="740"/>
      <c r="AMQ235" s="740"/>
      <c r="AMR235" s="740"/>
      <c r="AMS235" s="740"/>
      <c r="AMT235" s="740"/>
      <c r="AMU235" s="740"/>
      <c r="AMV235" s="740"/>
      <c r="AMW235" s="740"/>
      <c r="AMX235" s="740"/>
      <c r="AMY235" s="740"/>
      <c r="AMZ235" s="740"/>
      <c r="ANA235" s="740"/>
      <c r="ANB235" s="740"/>
      <c r="ANC235" s="740"/>
      <c r="AND235" s="740"/>
      <c r="ANE235" s="740"/>
      <c r="ANF235" s="740"/>
      <c r="ANG235" s="740"/>
      <c r="ANH235" s="740"/>
      <c r="ANI235" s="740"/>
      <c r="ANJ235" s="740"/>
      <c r="ANK235" s="740"/>
      <c r="ANL235" s="740"/>
      <c r="ANM235" s="740"/>
      <c r="ANN235" s="740"/>
      <c r="ANO235" s="740"/>
      <c r="ANP235" s="740"/>
      <c r="ANQ235" s="740"/>
      <c r="ANR235" s="740"/>
      <c r="ANS235" s="740"/>
      <c r="ANT235" s="740"/>
      <c r="ANU235" s="740"/>
      <c r="ANV235" s="740"/>
      <c r="ANW235" s="740"/>
      <c r="ANX235" s="740"/>
      <c r="ANY235" s="740"/>
      <c r="ANZ235" s="740"/>
      <c r="AOA235" s="740"/>
      <c r="AOB235" s="740"/>
      <c r="AOC235" s="740"/>
      <c r="AOD235" s="740"/>
      <c r="AOE235" s="740"/>
      <c r="AOF235" s="740"/>
      <c r="AOG235" s="740"/>
      <c r="AOH235" s="740"/>
      <c r="AOI235" s="740"/>
      <c r="AOJ235" s="740"/>
      <c r="AOK235" s="740"/>
      <c r="AOL235" s="740"/>
      <c r="AOM235" s="740"/>
      <c r="AON235" s="740"/>
      <c r="AOO235" s="740"/>
      <c r="AOP235" s="740"/>
      <c r="AOQ235" s="740"/>
      <c r="AOR235" s="740"/>
      <c r="AOS235" s="740"/>
      <c r="AOT235" s="740"/>
      <c r="AOU235" s="740"/>
      <c r="AOV235" s="740"/>
      <c r="AOW235" s="740"/>
      <c r="AOX235" s="740"/>
      <c r="AOY235" s="740"/>
      <c r="AOZ235" s="740"/>
      <c r="APA235" s="740"/>
      <c r="APB235" s="740"/>
      <c r="APC235" s="740"/>
      <c r="APD235" s="740"/>
      <c r="APE235" s="740"/>
      <c r="APF235" s="740"/>
      <c r="APG235" s="740"/>
      <c r="APH235" s="740"/>
      <c r="API235" s="740"/>
      <c r="APJ235" s="740"/>
      <c r="APK235" s="740"/>
      <c r="APL235" s="740"/>
      <c r="APM235" s="740"/>
      <c r="APN235" s="740"/>
      <c r="APO235" s="740"/>
      <c r="APP235" s="740"/>
      <c r="APQ235" s="740"/>
      <c r="APR235" s="740"/>
      <c r="APS235" s="740"/>
      <c r="APT235" s="740"/>
      <c r="APU235" s="740"/>
      <c r="APV235" s="740"/>
      <c r="APW235" s="740"/>
      <c r="APX235" s="740"/>
      <c r="APY235" s="740"/>
      <c r="APZ235" s="740"/>
      <c r="AQA235" s="740"/>
      <c r="AQB235" s="740"/>
      <c r="AQC235" s="740"/>
      <c r="AQD235" s="740"/>
      <c r="AQE235" s="740"/>
      <c r="AQF235" s="740"/>
      <c r="AQG235" s="740"/>
      <c r="AQH235" s="740"/>
      <c r="AQI235" s="740"/>
      <c r="AQJ235" s="740"/>
      <c r="AQK235" s="740"/>
      <c r="AQL235" s="740"/>
      <c r="AQM235" s="740"/>
      <c r="AQN235" s="740"/>
      <c r="AQO235" s="740"/>
      <c r="AQP235" s="740"/>
      <c r="AQQ235" s="740"/>
      <c r="AQR235" s="740"/>
      <c r="AQS235" s="740"/>
      <c r="AQT235" s="740"/>
      <c r="AQU235" s="740"/>
      <c r="AQV235" s="740"/>
      <c r="AQW235" s="740"/>
      <c r="AQX235" s="740"/>
      <c r="AQY235" s="740"/>
      <c r="AQZ235" s="740"/>
      <c r="ARA235" s="740"/>
      <c r="ARB235" s="740"/>
      <c r="ARC235" s="740"/>
      <c r="ARD235" s="740"/>
      <c r="ARE235" s="740"/>
      <c r="ARF235" s="740"/>
      <c r="ARG235" s="740"/>
      <c r="ARH235" s="740"/>
      <c r="ARI235" s="740"/>
      <c r="ARJ235" s="740"/>
      <c r="ARK235" s="740"/>
      <c r="ARL235" s="740"/>
      <c r="ARM235" s="740"/>
      <c r="ARN235" s="740"/>
      <c r="ARO235" s="740"/>
      <c r="ARP235" s="740"/>
      <c r="ARQ235" s="740"/>
      <c r="ARR235" s="740"/>
      <c r="ARS235" s="740"/>
      <c r="ART235" s="740"/>
      <c r="ARU235" s="740"/>
      <c r="ARV235" s="740"/>
      <c r="ARW235" s="740"/>
      <c r="ARX235" s="740"/>
      <c r="ARY235" s="740"/>
      <c r="ARZ235" s="740"/>
      <c r="ASA235" s="740"/>
      <c r="ASB235" s="740"/>
      <c r="ASC235" s="740"/>
      <c r="ASD235" s="740"/>
      <c r="ASE235" s="740"/>
      <c r="ASF235" s="740"/>
      <c r="ASG235" s="740"/>
      <c r="ASH235" s="740"/>
      <c r="ASI235" s="740"/>
      <c r="ASJ235" s="740"/>
      <c r="ASK235" s="740"/>
      <c r="ASL235" s="740"/>
      <c r="ASM235" s="740"/>
      <c r="ASN235" s="740"/>
      <c r="ASO235" s="740"/>
      <c r="ASP235" s="740"/>
      <c r="ASQ235" s="740"/>
      <c r="ASR235" s="740"/>
      <c r="ASS235" s="740"/>
      <c r="AST235" s="740"/>
      <c r="ASU235" s="740"/>
      <c r="ASV235" s="740"/>
      <c r="ASW235" s="740"/>
      <c r="ASX235" s="740"/>
      <c r="ASY235" s="740"/>
      <c r="ASZ235" s="740"/>
      <c r="ATA235" s="740"/>
      <c r="ATB235" s="740"/>
      <c r="ATC235" s="740"/>
      <c r="ATD235" s="740"/>
      <c r="ATE235" s="740"/>
      <c r="ATF235" s="740"/>
      <c r="ATG235" s="740"/>
      <c r="ATH235" s="740"/>
      <c r="ATI235" s="740"/>
      <c r="ATJ235" s="740"/>
      <c r="ATK235" s="740"/>
      <c r="ATL235" s="740"/>
      <c r="ATM235" s="740"/>
      <c r="ATN235" s="740"/>
      <c r="ATO235" s="740"/>
      <c r="ATP235" s="740"/>
      <c r="ATQ235" s="740"/>
      <c r="ATR235" s="740"/>
      <c r="ATS235" s="740"/>
      <c r="ATT235" s="740"/>
      <c r="ATU235" s="740"/>
      <c r="ATV235" s="740"/>
      <c r="ATW235" s="740"/>
      <c r="ATX235" s="740"/>
      <c r="ATY235" s="740"/>
      <c r="ATZ235" s="740"/>
      <c r="AUA235" s="740"/>
      <c r="AUB235" s="740"/>
      <c r="AUC235" s="740"/>
      <c r="AUD235" s="740"/>
      <c r="AUE235" s="740"/>
      <c r="AUF235" s="740"/>
      <c r="AUG235" s="740"/>
      <c r="AUH235" s="740"/>
      <c r="AUI235" s="740"/>
      <c r="AUJ235" s="740"/>
      <c r="AUK235" s="740"/>
      <c r="AUL235" s="740"/>
      <c r="AUM235" s="740"/>
      <c r="AUN235" s="740"/>
      <c r="AUO235" s="740"/>
      <c r="AUP235" s="740"/>
      <c r="AUQ235" s="740"/>
      <c r="AUR235" s="740"/>
      <c r="AUS235" s="740"/>
      <c r="AUT235" s="740"/>
      <c r="AUU235" s="740"/>
      <c r="AUV235" s="740"/>
      <c r="AUW235" s="740"/>
      <c r="AUX235" s="740"/>
      <c r="AUY235" s="740"/>
      <c r="AUZ235" s="740"/>
      <c r="AVA235" s="740"/>
      <c r="AVB235" s="740"/>
      <c r="AVC235" s="740"/>
      <c r="AVD235" s="740"/>
      <c r="AVE235" s="740"/>
      <c r="AVF235" s="740"/>
      <c r="AVG235" s="740"/>
      <c r="AVH235" s="740"/>
      <c r="AVI235" s="740"/>
      <c r="AVJ235" s="740"/>
      <c r="AVK235" s="740"/>
      <c r="AVL235" s="740"/>
      <c r="AVM235" s="740"/>
      <c r="AVN235" s="740"/>
      <c r="AVO235" s="740"/>
      <c r="AVP235" s="740"/>
      <c r="AVQ235" s="740"/>
      <c r="AVR235" s="740"/>
      <c r="AVS235" s="740"/>
      <c r="AVT235" s="740"/>
      <c r="AVU235" s="740"/>
      <c r="AVV235" s="740"/>
      <c r="AVW235" s="740"/>
      <c r="AVX235" s="740"/>
      <c r="AVY235" s="740"/>
      <c r="AVZ235" s="740"/>
      <c r="AWA235" s="740"/>
      <c r="AWB235" s="740"/>
      <c r="AWC235" s="740"/>
      <c r="AWD235" s="740"/>
      <c r="AWE235" s="740"/>
      <c r="AWF235" s="740"/>
      <c r="AWG235" s="740"/>
      <c r="AWH235" s="740"/>
      <c r="AWI235" s="740"/>
      <c r="AWJ235" s="740"/>
      <c r="AWK235" s="740"/>
      <c r="AWL235" s="740"/>
      <c r="AWM235" s="740"/>
      <c r="AWN235" s="740"/>
      <c r="AWO235" s="740"/>
      <c r="AWP235" s="740"/>
      <c r="AWQ235" s="740"/>
      <c r="AWR235" s="740"/>
      <c r="AWS235" s="740"/>
      <c r="AWT235" s="740"/>
      <c r="AWU235" s="740"/>
      <c r="AWV235" s="740"/>
      <c r="AWW235" s="740"/>
      <c r="AWX235" s="740"/>
      <c r="AWY235" s="740"/>
      <c r="AWZ235" s="740"/>
      <c r="AXA235" s="740"/>
      <c r="AXB235" s="740"/>
      <c r="AXC235" s="740"/>
      <c r="AXD235" s="740"/>
      <c r="AXE235" s="740"/>
      <c r="AXF235" s="740"/>
      <c r="AXG235" s="740"/>
      <c r="AXH235" s="740"/>
      <c r="AXI235" s="740"/>
      <c r="AXJ235" s="740"/>
    </row>
    <row r="236" spans="1:1310" s="741" customFormat="1" ht="23.25" customHeight="1">
      <c r="A236" s="756"/>
      <c r="B236" s="753"/>
      <c r="C236" s="754"/>
      <c r="D236" s="754"/>
      <c r="E236" s="754"/>
      <c r="F236" s="755"/>
      <c r="G236" s="754"/>
      <c r="H236" s="754"/>
      <c r="I236" s="754"/>
      <c r="J236" s="752"/>
      <c r="K236" s="754"/>
      <c r="L236" s="754"/>
      <c r="M236" s="754"/>
      <c r="N236" s="754"/>
      <c r="O236" s="754"/>
      <c r="P236" s="754"/>
      <c r="Q236" s="754"/>
      <c r="R236" s="311"/>
      <c r="S236" s="311"/>
      <c r="T236" s="311"/>
      <c r="U236" s="311"/>
      <c r="V236" s="311"/>
      <c r="W236" s="311"/>
      <c r="X236" s="311"/>
      <c r="Y236" s="311"/>
      <c r="Z236" s="311"/>
      <c r="AA236" s="311"/>
      <c r="AB236" s="311"/>
      <c r="AC236" s="311"/>
      <c r="AD236" s="740"/>
      <c r="AE236" s="740"/>
      <c r="AF236" s="740"/>
      <c r="AG236" s="740"/>
      <c r="AH236" s="740"/>
      <c r="AI236" s="740"/>
      <c r="AJ236" s="740"/>
      <c r="AK236" s="740"/>
      <c r="AL236" s="740"/>
      <c r="AM236" s="740"/>
      <c r="AN236" s="740"/>
      <c r="AO236" s="740"/>
      <c r="AP236" s="740"/>
      <c r="AQ236" s="740"/>
      <c r="AR236" s="740"/>
      <c r="AS236" s="740"/>
      <c r="AT236" s="740"/>
      <c r="AU236" s="740"/>
      <c r="AV236" s="740"/>
      <c r="AW236" s="740"/>
      <c r="AX236" s="740"/>
      <c r="AY236" s="740"/>
      <c r="AZ236" s="740"/>
      <c r="BA236" s="740"/>
      <c r="BB236" s="740"/>
      <c r="BC236" s="740"/>
      <c r="BD236" s="740"/>
      <c r="BE236" s="740"/>
      <c r="BF236" s="740"/>
      <c r="BG236" s="740"/>
      <c r="BH236" s="740"/>
      <c r="BI236" s="740"/>
      <c r="BJ236" s="740"/>
      <c r="BK236" s="740"/>
      <c r="BL236" s="740"/>
      <c r="BM236" s="740"/>
      <c r="BN236" s="740"/>
      <c r="BO236" s="740"/>
      <c r="BP236" s="740"/>
      <c r="BQ236" s="740"/>
      <c r="BR236" s="740"/>
      <c r="BS236" s="740"/>
      <c r="BT236" s="740"/>
      <c r="BU236" s="740"/>
      <c r="BV236" s="740"/>
      <c r="BW236" s="740"/>
      <c r="BX236" s="740"/>
      <c r="BY236" s="740"/>
      <c r="BZ236" s="740"/>
      <c r="CA236" s="740"/>
      <c r="CB236" s="740"/>
      <c r="CC236" s="740"/>
      <c r="CD236" s="740"/>
      <c r="CE236" s="740"/>
      <c r="CF236" s="740"/>
      <c r="CG236" s="740"/>
      <c r="CH236" s="740"/>
      <c r="CI236" s="740"/>
      <c r="CJ236" s="740"/>
      <c r="CK236" s="740"/>
      <c r="CL236" s="740"/>
      <c r="CM236" s="740"/>
      <c r="CN236" s="740"/>
      <c r="CO236" s="740"/>
      <c r="CP236" s="740"/>
      <c r="CQ236" s="740"/>
      <c r="CR236" s="740"/>
      <c r="CS236" s="740"/>
      <c r="CT236" s="740"/>
      <c r="CU236" s="740"/>
      <c r="CV236" s="740"/>
      <c r="CW236" s="740"/>
      <c r="CX236" s="740"/>
      <c r="CY236" s="740"/>
      <c r="CZ236" s="740"/>
      <c r="DA236" s="740"/>
      <c r="DB236" s="740"/>
      <c r="DC236" s="740"/>
      <c r="DD236" s="740"/>
      <c r="DE236" s="740"/>
      <c r="DF236" s="740"/>
      <c r="DG236" s="740"/>
      <c r="DH236" s="740"/>
      <c r="DI236" s="740"/>
      <c r="DJ236" s="740"/>
      <c r="DK236" s="740"/>
      <c r="DL236" s="740"/>
      <c r="DM236" s="740"/>
      <c r="DN236" s="740"/>
      <c r="DO236" s="740"/>
      <c r="DP236" s="740"/>
      <c r="DQ236" s="740"/>
      <c r="DR236" s="740"/>
      <c r="DS236" s="740"/>
      <c r="DT236" s="740"/>
      <c r="DU236" s="740"/>
      <c r="DV236" s="740"/>
      <c r="DW236" s="740"/>
      <c r="DX236" s="740"/>
      <c r="DY236" s="740"/>
      <c r="DZ236" s="740"/>
      <c r="EA236" s="740"/>
      <c r="EB236" s="740"/>
      <c r="EC236" s="740"/>
      <c r="ED236" s="740"/>
      <c r="EE236" s="740"/>
      <c r="EF236" s="740"/>
      <c r="EG236" s="740"/>
      <c r="EH236" s="740"/>
      <c r="EI236" s="740"/>
      <c r="EJ236" s="740"/>
      <c r="EK236" s="740"/>
      <c r="EL236" s="740"/>
      <c r="EM236" s="740"/>
      <c r="EN236" s="740"/>
      <c r="EO236" s="740"/>
      <c r="EP236" s="740"/>
      <c r="EQ236" s="740"/>
      <c r="ER236" s="740"/>
      <c r="ES236" s="740"/>
      <c r="ET236" s="740"/>
      <c r="EU236" s="740"/>
      <c r="EV236" s="740"/>
      <c r="EW236" s="740"/>
      <c r="EX236" s="740"/>
      <c r="EY236" s="740"/>
      <c r="EZ236" s="740"/>
      <c r="FA236" s="740"/>
      <c r="FB236" s="740"/>
      <c r="FC236" s="740"/>
      <c r="FD236" s="740"/>
      <c r="FE236" s="740"/>
      <c r="FF236" s="740"/>
      <c r="FG236" s="740"/>
      <c r="FH236" s="740"/>
      <c r="FI236" s="740"/>
      <c r="FJ236" s="740"/>
      <c r="FK236" s="740"/>
      <c r="FL236" s="740"/>
      <c r="FM236" s="740"/>
      <c r="FN236" s="740"/>
      <c r="FO236" s="740"/>
      <c r="FP236" s="740"/>
      <c r="FQ236" s="740"/>
      <c r="FR236" s="740"/>
      <c r="FS236" s="740"/>
      <c r="FT236" s="740"/>
      <c r="FU236" s="740"/>
      <c r="FV236" s="740"/>
      <c r="FW236" s="740"/>
      <c r="FX236" s="740"/>
      <c r="FY236" s="740"/>
      <c r="FZ236" s="740"/>
      <c r="GA236" s="740"/>
      <c r="GB236" s="740"/>
      <c r="GC236" s="740"/>
      <c r="GD236" s="740"/>
      <c r="GE236" s="740"/>
      <c r="GF236" s="740"/>
      <c r="GG236" s="740"/>
      <c r="GH236" s="740"/>
      <c r="GI236" s="740"/>
      <c r="GJ236" s="740"/>
      <c r="GK236" s="740"/>
      <c r="GL236" s="740"/>
      <c r="GM236" s="740"/>
      <c r="GN236" s="740"/>
      <c r="GO236" s="740"/>
      <c r="GP236" s="740"/>
      <c r="GQ236" s="740"/>
      <c r="GR236" s="740"/>
      <c r="GS236" s="740"/>
      <c r="GT236" s="740"/>
      <c r="GU236" s="740"/>
      <c r="GV236" s="740"/>
      <c r="GW236" s="740"/>
      <c r="GX236" s="740"/>
      <c r="GY236" s="740"/>
      <c r="GZ236" s="740"/>
      <c r="HA236" s="740"/>
      <c r="HB236" s="740"/>
      <c r="HC236" s="740"/>
      <c r="HD236" s="740"/>
      <c r="HE236" s="740"/>
      <c r="HF236" s="740"/>
      <c r="HG236" s="740"/>
      <c r="HH236" s="740"/>
      <c r="HI236" s="740"/>
      <c r="HJ236" s="740"/>
      <c r="HK236" s="740"/>
      <c r="HL236" s="740"/>
      <c r="HM236" s="740"/>
      <c r="HN236" s="740"/>
      <c r="HO236" s="740"/>
      <c r="HP236" s="740"/>
      <c r="HQ236" s="740"/>
      <c r="HR236" s="740"/>
      <c r="HS236" s="740"/>
      <c r="HT236" s="740"/>
      <c r="HU236" s="740"/>
      <c r="HV236" s="740"/>
      <c r="HW236" s="740"/>
      <c r="HX236" s="740"/>
      <c r="HY236" s="740"/>
      <c r="HZ236" s="740"/>
      <c r="IA236" s="740"/>
      <c r="IB236" s="740"/>
      <c r="IC236" s="740"/>
      <c r="ID236" s="740"/>
      <c r="IE236" s="740"/>
      <c r="IF236" s="740"/>
      <c r="IG236" s="740"/>
      <c r="IH236" s="740"/>
      <c r="II236" s="740"/>
      <c r="IJ236" s="740"/>
      <c r="IK236" s="740"/>
      <c r="IL236" s="740"/>
      <c r="IM236" s="740"/>
      <c r="IN236" s="740"/>
      <c r="IO236" s="740"/>
      <c r="IP236" s="740"/>
      <c r="IQ236" s="740"/>
      <c r="IR236" s="740"/>
      <c r="IS236" s="740"/>
      <c r="IT236" s="740"/>
      <c r="IU236" s="740"/>
      <c r="IV236" s="740"/>
      <c r="IW236" s="740"/>
      <c r="IX236" s="740"/>
      <c r="IY236" s="740"/>
      <c r="IZ236" s="740"/>
      <c r="JA236" s="740"/>
      <c r="JB236" s="740"/>
      <c r="JC236" s="740"/>
      <c r="JD236" s="740"/>
      <c r="JE236" s="740"/>
      <c r="JF236" s="740"/>
      <c r="JG236" s="740"/>
      <c r="JH236" s="740"/>
      <c r="JI236" s="740"/>
      <c r="JJ236" s="740"/>
      <c r="JK236" s="740"/>
      <c r="JL236" s="740"/>
      <c r="JM236" s="740"/>
      <c r="JN236" s="740"/>
      <c r="JO236" s="740"/>
      <c r="JP236" s="740"/>
      <c r="JQ236" s="740"/>
      <c r="JR236" s="740"/>
      <c r="JS236" s="740"/>
      <c r="JT236" s="740"/>
      <c r="JU236" s="740"/>
      <c r="JV236" s="740"/>
      <c r="JW236" s="740"/>
      <c r="JX236" s="740"/>
      <c r="JY236" s="740"/>
      <c r="JZ236" s="740"/>
      <c r="KA236" s="740"/>
      <c r="KB236" s="740"/>
      <c r="KC236" s="740"/>
      <c r="KD236" s="740"/>
      <c r="KE236" s="740"/>
      <c r="KF236" s="740"/>
      <c r="KG236" s="740"/>
      <c r="KH236" s="740"/>
      <c r="KI236" s="740"/>
      <c r="KJ236" s="740"/>
      <c r="KK236" s="740"/>
      <c r="KL236" s="740"/>
      <c r="KM236" s="740"/>
      <c r="KN236" s="740"/>
      <c r="KO236" s="740"/>
      <c r="KP236" s="740"/>
      <c r="KQ236" s="740"/>
      <c r="KR236" s="740"/>
      <c r="KS236" s="740"/>
      <c r="KT236" s="740"/>
      <c r="KU236" s="740"/>
      <c r="KV236" s="740"/>
      <c r="KW236" s="740"/>
      <c r="KX236" s="740"/>
      <c r="KY236" s="740"/>
      <c r="KZ236" s="740"/>
      <c r="LA236" s="740"/>
      <c r="LB236" s="740"/>
      <c r="LC236" s="740"/>
      <c r="LD236" s="740"/>
      <c r="LE236" s="740"/>
      <c r="LF236" s="740"/>
      <c r="LG236" s="740"/>
      <c r="LH236" s="740"/>
      <c r="LI236" s="740"/>
      <c r="LJ236" s="740"/>
      <c r="LK236" s="740"/>
      <c r="LL236" s="740"/>
      <c r="LM236" s="740"/>
      <c r="LN236" s="740"/>
      <c r="LO236" s="740"/>
      <c r="LP236" s="740"/>
      <c r="LQ236" s="740"/>
      <c r="LR236" s="740"/>
      <c r="LS236" s="740"/>
      <c r="LT236" s="740"/>
      <c r="LU236" s="740"/>
      <c r="LV236" s="740"/>
      <c r="LW236" s="740"/>
      <c r="LX236" s="740"/>
      <c r="LY236" s="740"/>
      <c r="LZ236" s="740"/>
      <c r="MA236" s="740"/>
      <c r="MB236" s="740"/>
      <c r="MC236" s="740"/>
      <c r="MD236" s="740"/>
      <c r="ME236" s="740"/>
      <c r="MF236" s="740"/>
      <c r="MG236" s="740"/>
      <c r="MH236" s="740"/>
      <c r="MI236" s="740"/>
      <c r="MJ236" s="740"/>
      <c r="MK236" s="740"/>
      <c r="ML236" s="740"/>
      <c r="MM236" s="740"/>
      <c r="MN236" s="740"/>
      <c r="MO236" s="740"/>
      <c r="MP236" s="740"/>
      <c r="MQ236" s="740"/>
      <c r="MR236" s="740"/>
      <c r="MS236" s="740"/>
      <c r="MT236" s="740"/>
      <c r="MU236" s="740"/>
      <c r="MV236" s="740"/>
      <c r="MW236" s="740"/>
      <c r="MX236" s="740"/>
      <c r="MY236" s="740"/>
      <c r="MZ236" s="740"/>
      <c r="NA236" s="740"/>
      <c r="NB236" s="740"/>
      <c r="NC236" s="740"/>
      <c r="ND236" s="740"/>
      <c r="NE236" s="740"/>
      <c r="NF236" s="740"/>
      <c r="NG236" s="740"/>
      <c r="NH236" s="740"/>
      <c r="NI236" s="740"/>
      <c r="NJ236" s="740"/>
      <c r="NK236" s="740"/>
      <c r="NL236" s="740"/>
      <c r="NM236" s="740"/>
      <c r="NN236" s="740"/>
      <c r="NO236" s="740"/>
      <c r="NP236" s="740"/>
      <c r="NQ236" s="740"/>
      <c r="NR236" s="740"/>
      <c r="NS236" s="740"/>
      <c r="NT236" s="740"/>
      <c r="NU236" s="740"/>
      <c r="NV236" s="740"/>
      <c r="NW236" s="740"/>
      <c r="NX236" s="740"/>
      <c r="NY236" s="740"/>
      <c r="NZ236" s="740"/>
      <c r="OA236" s="740"/>
      <c r="OB236" s="740"/>
      <c r="OC236" s="740"/>
      <c r="OD236" s="740"/>
      <c r="OE236" s="740"/>
      <c r="OF236" s="740"/>
      <c r="OG236" s="740"/>
      <c r="OH236" s="740"/>
      <c r="OI236" s="740"/>
      <c r="OJ236" s="740"/>
      <c r="OK236" s="740"/>
      <c r="OL236" s="740"/>
      <c r="OM236" s="740"/>
      <c r="ON236" s="740"/>
      <c r="OO236" s="740"/>
      <c r="OP236" s="740"/>
      <c r="OQ236" s="740"/>
      <c r="OR236" s="740"/>
      <c r="OS236" s="740"/>
      <c r="OT236" s="740"/>
      <c r="OU236" s="740"/>
      <c r="OV236" s="740"/>
      <c r="OW236" s="740"/>
      <c r="OX236" s="740"/>
      <c r="OY236" s="740"/>
      <c r="OZ236" s="740"/>
      <c r="PA236" s="740"/>
      <c r="PB236" s="740"/>
      <c r="PC236" s="740"/>
      <c r="PD236" s="740"/>
      <c r="PE236" s="740"/>
      <c r="PF236" s="740"/>
      <c r="PG236" s="740"/>
      <c r="PH236" s="740"/>
      <c r="PI236" s="740"/>
      <c r="PJ236" s="740"/>
      <c r="PK236" s="740"/>
      <c r="PL236" s="740"/>
      <c r="PM236" s="740"/>
      <c r="PN236" s="740"/>
      <c r="PO236" s="740"/>
      <c r="PP236" s="740"/>
      <c r="PQ236" s="740"/>
      <c r="PR236" s="740"/>
      <c r="PS236" s="740"/>
      <c r="PT236" s="740"/>
      <c r="PU236" s="740"/>
      <c r="PV236" s="740"/>
      <c r="PW236" s="740"/>
      <c r="PX236" s="740"/>
      <c r="PY236" s="740"/>
      <c r="PZ236" s="740"/>
      <c r="QA236" s="740"/>
      <c r="QB236" s="740"/>
      <c r="QC236" s="740"/>
      <c r="QD236" s="740"/>
      <c r="QE236" s="740"/>
      <c r="QF236" s="740"/>
      <c r="QG236" s="740"/>
      <c r="QH236" s="740"/>
      <c r="QI236" s="740"/>
      <c r="QJ236" s="740"/>
      <c r="QK236" s="740"/>
      <c r="QL236" s="740"/>
      <c r="QM236" s="740"/>
      <c r="QN236" s="740"/>
      <c r="QO236" s="740"/>
      <c r="QP236" s="740"/>
      <c r="QQ236" s="740"/>
      <c r="QR236" s="740"/>
      <c r="QS236" s="740"/>
      <c r="QT236" s="740"/>
      <c r="QU236" s="740"/>
      <c r="QV236" s="740"/>
      <c r="QW236" s="740"/>
      <c r="QX236" s="740"/>
      <c r="QY236" s="740"/>
      <c r="QZ236" s="740"/>
      <c r="RA236" s="740"/>
      <c r="RB236" s="740"/>
      <c r="RC236" s="740"/>
      <c r="RD236" s="740"/>
      <c r="RE236" s="740"/>
      <c r="RF236" s="740"/>
      <c r="RG236" s="740"/>
      <c r="RH236" s="740"/>
      <c r="RI236" s="740"/>
      <c r="RJ236" s="740"/>
      <c r="RK236" s="740"/>
      <c r="RL236" s="740"/>
      <c r="RM236" s="740"/>
      <c r="RN236" s="740"/>
      <c r="RO236" s="740"/>
      <c r="RP236" s="740"/>
      <c r="RQ236" s="740"/>
      <c r="RR236" s="740"/>
      <c r="RS236" s="740"/>
      <c r="RT236" s="740"/>
      <c r="RU236" s="740"/>
      <c r="RV236" s="740"/>
      <c r="RW236" s="740"/>
      <c r="RX236" s="740"/>
      <c r="RY236" s="740"/>
      <c r="RZ236" s="740"/>
      <c r="SA236" s="740"/>
      <c r="SB236" s="740"/>
      <c r="SC236" s="740"/>
      <c r="SD236" s="740"/>
      <c r="SE236" s="740"/>
      <c r="SF236" s="740"/>
      <c r="SG236" s="740"/>
      <c r="SH236" s="740"/>
      <c r="SI236" s="740"/>
      <c r="SJ236" s="740"/>
      <c r="SK236" s="740"/>
      <c r="SL236" s="740"/>
      <c r="SM236" s="740"/>
      <c r="SN236" s="740"/>
      <c r="SO236" s="740"/>
      <c r="SP236" s="740"/>
      <c r="SQ236" s="740"/>
      <c r="SR236" s="740"/>
      <c r="SS236" s="740"/>
      <c r="ST236" s="740"/>
      <c r="SU236" s="740"/>
      <c r="SV236" s="740"/>
      <c r="SW236" s="740"/>
      <c r="SX236" s="740"/>
      <c r="SY236" s="740"/>
      <c r="SZ236" s="740"/>
      <c r="TA236" s="740"/>
      <c r="TB236" s="740"/>
      <c r="TC236" s="740"/>
      <c r="TD236" s="740"/>
      <c r="TE236" s="740"/>
      <c r="TF236" s="740"/>
      <c r="TG236" s="740"/>
      <c r="TH236" s="740"/>
      <c r="TI236" s="740"/>
      <c r="TJ236" s="740"/>
      <c r="TK236" s="740"/>
      <c r="TL236" s="740"/>
      <c r="TM236" s="740"/>
      <c r="TN236" s="740"/>
      <c r="TO236" s="740"/>
      <c r="TP236" s="740"/>
      <c r="TQ236" s="740"/>
      <c r="TR236" s="740"/>
      <c r="TS236" s="740"/>
      <c r="TT236" s="740"/>
      <c r="TU236" s="740"/>
      <c r="TV236" s="740"/>
      <c r="TW236" s="740"/>
      <c r="TX236" s="740"/>
      <c r="TY236" s="740"/>
      <c r="TZ236" s="740"/>
      <c r="UA236" s="740"/>
      <c r="UB236" s="740"/>
      <c r="UC236" s="740"/>
      <c r="UD236" s="740"/>
      <c r="UE236" s="740"/>
      <c r="UF236" s="740"/>
      <c r="UG236" s="740"/>
      <c r="UH236" s="740"/>
      <c r="UI236" s="740"/>
      <c r="UJ236" s="740"/>
      <c r="UK236" s="740"/>
      <c r="UL236" s="740"/>
      <c r="UM236" s="740"/>
      <c r="UN236" s="740"/>
      <c r="UO236" s="740"/>
      <c r="UP236" s="740"/>
      <c r="UQ236" s="740"/>
      <c r="UR236" s="740"/>
      <c r="US236" s="740"/>
      <c r="UT236" s="740"/>
      <c r="UU236" s="740"/>
      <c r="UV236" s="740"/>
      <c r="UW236" s="740"/>
      <c r="UX236" s="740"/>
      <c r="UY236" s="740"/>
      <c r="UZ236" s="740"/>
      <c r="VA236" s="740"/>
      <c r="VB236" s="740"/>
      <c r="VC236" s="740"/>
      <c r="VD236" s="740"/>
      <c r="VE236" s="740"/>
      <c r="VF236" s="740"/>
      <c r="VG236" s="740"/>
      <c r="VH236" s="740"/>
      <c r="VI236" s="740"/>
      <c r="VJ236" s="740"/>
      <c r="VK236" s="740"/>
      <c r="VL236" s="740"/>
      <c r="VM236" s="740"/>
      <c r="VN236" s="740"/>
      <c r="VO236" s="740"/>
      <c r="VP236" s="740"/>
      <c r="VQ236" s="740"/>
      <c r="VR236" s="740"/>
      <c r="VS236" s="740"/>
      <c r="VT236" s="740"/>
      <c r="VU236" s="740"/>
      <c r="VV236" s="740"/>
      <c r="VW236" s="740"/>
      <c r="VX236" s="740"/>
      <c r="VY236" s="740"/>
      <c r="VZ236" s="740"/>
      <c r="WA236" s="740"/>
      <c r="WB236" s="740"/>
      <c r="WC236" s="740"/>
      <c r="WD236" s="740"/>
      <c r="WE236" s="740"/>
      <c r="WF236" s="740"/>
      <c r="WG236" s="740"/>
      <c r="WH236" s="740"/>
      <c r="WI236" s="740"/>
      <c r="WJ236" s="740"/>
      <c r="WK236" s="740"/>
      <c r="WL236" s="740"/>
      <c r="WM236" s="740"/>
      <c r="WN236" s="740"/>
      <c r="WO236" s="740"/>
      <c r="WP236" s="740"/>
      <c r="WQ236" s="740"/>
      <c r="WR236" s="740"/>
      <c r="WS236" s="740"/>
      <c r="WT236" s="740"/>
      <c r="WU236" s="740"/>
      <c r="WV236" s="740"/>
      <c r="WW236" s="740"/>
      <c r="WX236" s="740"/>
      <c r="WY236" s="740"/>
      <c r="WZ236" s="740"/>
      <c r="XA236" s="740"/>
      <c r="XB236" s="740"/>
      <c r="XC236" s="740"/>
      <c r="XD236" s="740"/>
      <c r="XE236" s="740"/>
      <c r="XF236" s="740"/>
      <c r="XG236" s="740"/>
      <c r="XH236" s="740"/>
      <c r="XI236" s="740"/>
      <c r="XJ236" s="740"/>
      <c r="XK236" s="740"/>
      <c r="XL236" s="740"/>
      <c r="XM236" s="740"/>
      <c r="XN236" s="740"/>
      <c r="XO236" s="740"/>
      <c r="XP236" s="740"/>
      <c r="XQ236" s="740"/>
      <c r="XR236" s="740"/>
      <c r="XS236" s="740"/>
      <c r="XT236" s="740"/>
      <c r="XU236" s="740"/>
      <c r="XV236" s="740"/>
      <c r="XW236" s="740"/>
      <c r="XX236" s="740"/>
      <c r="XY236" s="740"/>
      <c r="XZ236" s="740"/>
      <c r="YA236" s="740"/>
      <c r="YB236" s="740"/>
      <c r="YC236" s="740"/>
      <c r="YD236" s="740"/>
      <c r="YE236" s="740"/>
      <c r="YF236" s="740"/>
      <c r="YG236" s="740"/>
      <c r="YH236" s="740"/>
      <c r="YI236" s="740"/>
      <c r="YJ236" s="740"/>
      <c r="YK236" s="740"/>
      <c r="YL236" s="740"/>
      <c r="YM236" s="740"/>
      <c r="YN236" s="740"/>
      <c r="YO236" s="740"/>
      <c r="YP236" s="740"/>
      <c r="YQ236" s="740"/>
      <c r="YR236" s="740"/>
      <c r="YS236" s="740"/>
      <c r="YT236" s="740"/>
      <c r="YU236" s="740"/>
      <c r="YV236" s="740"/>
      <c r="YW236" s="740"/>
      <c r="YX236" s="740"/>
      <c r="YY236" s="740"/>
      <c r="YZ236" s="740"/>
      <c r="ZA236" s="740"/>
      <c r="ZB236" s="740"/>
      <c r="ZC236" s="740"/>
      <c r="ZD236" s="740"/>
      <c r="ZE236" s="740"/>
      <c r="ZF236" s="740"/>
      <c r="ZG236" s="740"/>
      <c r="ZH236" s="740"/>
      <c r="ZI236" s="740"/>
      <c r="ZJ236" s="740"/>
      <c r="ZK236" s="740"/>
      <c r="ZL236" s="740"/>
      <c r="ZM236" s="740"/>
      <c r="ZN236" s="740"/>
      <c r="ZO236" s="740"/>
      <c r="ZP236" s="740"/>
      <c r="ZQ236" s="740"/>
      <c r="ZR236" s="740"/>
      <c r="ZS236" s="740"/>
      <c r="ZT236" s="740"/>
      <c r="ZU236" s="740"/>
      <c r="ZV236" s="740"/>
      <c r="ZW236" s="740"/>
      <c r="ZX236" s="740"/>
      <c r="ZY236" s="740"/>
      <c r="ZZ236" s="740"/>
      <c r="AAA236" s="740"/>
      <c r="AAB236" s="740"/>
      <c r="AAC236" s="740"/>
      <c r="AAD236" s="740"/>
      <c r="AAE236" s="740"/>
      <c r="AAF236" s="740"/>
      <c r="AAG236" s="740"/>
      <c r="AAH236" s="740"/>
      <c r="AAI236" s="740"/>
      <c r="AAJ236" s="740"/>
      <c r="AAK236" s="740"/>
      <c r="AAL236" s="740"/>
      <c r="AAM236" s="740"/>
      <c r="AAN236" s="740"/>
      <c r="AAO236" s="740"/>
      <c r="AAP236" s="740"/>
      <c r="AAQ236" s="740"/>
      <c r="AAR236" s="740"/>
      <c r="AAS236" s="740"/>
      <c r="AAT236" s="740"/>
      <c r="AAU236" s="740"/>
      <c r="AAV236" s="740"/>
      <c r="AAW236" s="740"/>
      <c r="AAX236" s="740"/>
      <c r="AAY236" s="740"/>
      <c r="AAZ236" s="740"/>
      <c r="ABA236" s="740"/>
      <c r="ABB236" s="740"/>
      <c r="ABC236" s="740"/>
      <c r="ABD236" s="740"/>
      <c r="ABE236" s="740"/>
      <c r="ABF236" s="740"/>
      <c r="ABG236" s="740"/>
      <c r="ABH236" s="740"/>
      <c r="ABI236" s="740"/>
      <c r="ABJ236" s="740"/>
      <c r="ABK236" s="740"/>
      <c r="ABL236" s="740"/>
      <c r="ABM236" s="740"/>
      <c r="ABN236" s="740"/>
      <c r="ABO236" s="740"/>
      <c r="ABP236" s="740"/>
      <c r="ABQ236" s="740"/>
      <c r="ABR236" s="740"/>
      <c r="ABS236" s="740"/>
      <c r="ABT236" s="740"/>
      <c r="ABU236" s="740"/>
      <c r="ABV236" s="740"/>
      <c r="ABW236" s="740"/>
      <c r="ABX236" s="740"/>
      <c r="ABY236" s="740"/>
      <c r="ABZ236" s="740"/>
      <c r="ACA236" s="740"/>
      <c r="ACB236" s="740"/>
      <c r="ACC236" s="740"/>
      <c r="ACD236" s="740"/>
      <c r="ACE236" s="740"/>
      <c r="ACF236" s="740"/>
      <c r="ACG236" s="740"/>
      <c r="ACH236" s="740"/>
      <c r="ACI236" s="740"/>
      <c r="ACJ236" s="740"/>
      <c r="ACK236" s="740"/>
      <c r="ACL236" s="740"/>
      <c r="ACM236" s="740"/>
      <c r="ACN236" s="740"/>
      <c r="ACO236" s="740"/>
      <c r="ACP236" s="740"/>
      <c r="ACQ236" s="740"/>
      <c r="ACR236" s="740"/>
      <c r="ACS236" s="740"/>
      <c r="ACT236" s="740"/>
      <c r="ACU236" s="740"/>
      <c r="ACV236" s="740"/>
      <c r="ACW236" s="740"/>
      <c r="ACX236" s="740"/>
      <c r="ACY236" s="740"/>
      <c r="ACZ236" s="740"/>
      <c r="ADA236" s="740"/>
      <c r="ADB236" s="740"/>
      <c r="ADC236" s="740"/>
      <c r="ADD236" s="740"/>
      <c r="ADE236" s="740"/>
      <c r="ADF236" s="740"/>
      <c r="ADG236" s="740"/>
      <c r="ADH236" s="740"/>
      <c r="ADI236" s="740"/>
      <c r="ADJ236" s="740"/>
      <c r="ADK236" s="740"/>
      <c r="ADL236" s="740"/>
      <c r="ADM236" s="740"/>
      <c r="ADN236" s="740"/>
      <c r="ADO236" s="740"/>
      <c r="ADP236" s="740"/>
      <c r="ADQ236" s="740"/>
      <c r="ADR236" s="740"/>
      <c r="ADS236" s="740"/>
      <c r="ADT236" s="740"/>
      <c r="ADU236" s="740"/>
      <c r="ADV236" s="740"/>
      <c r="ADW236" s="740"/>
      <c r="ADX236" s="740"/>
      <c r="ADY236" s="740"/>
      <c r="ADZ236" s="740"/>
      <c r="AEA236" s="740"/>
      <c r="AEB236" s="740"/>
      <c r="AEC236" s="740"/>
      <c r="AED236" s="740"/>
      <c r="AEE236" s="740"/>
      <c r="AEF236" s="740"/>
      <c r="AEG236" s="740"/>
      <c r="AEH236" s="740"/>
      <c r="AEI236" s="740"/>
      <c r="AEJ236" s="740"/>
      <c r="AEK236" s="740"/>
      <c r="AEL236" s="740"/>
      <c r="AEM236" s="740"/>
      <c r="AEN236" s="740"/>
      <c r="AEO236" s="740"/>
      <c r="AEP236" s="740"/>
      <c r="AEQ236" s="740"/>
      <c r="AER236" s="740"/>
      <c r="AES236" s="740"/>
      <c r="AET236" s="740"/>
      <c r="AEU236" s="740"/>
      <c r="AEV236" s="740"/>
      <c r="AEW236" s="740"/>
      <c r="AEX236" s="740"/>
      <c r="AEY236" s="740"/>
      <c r="AEZ236" s="740"/>
      <c r="AFA236" s="740"/>
      <c r="AFB236" s="740"/>
      <c r="AFC236" s="740"/>
      <c r="AFD236" s="740"/>
      <c r="AFE236" s="740"/>
      <c r="AFF236" s="740"/>
      <c r="AFG236" s="740"/>
      <c r="AFH236" s="740"/>
      <c r="AFI236" s="740"/>
      <c r="AFJ236" s="740"/>
      <c r="AFK236" s="740"/>
      <c r="AFL236" s="740"/>
      <c r="AFM236" s="740"/>
      <c r="AFN236" s="740"/>
      <c r="AFO236" s="740"/>
      <c r="AFP236" s="740"/>
      <c r="AFQ236" s="740"/>
      <c r="AFR236" s="740"/>
      <c r="AFS236" s="740"/>
      <c r="AFT236" s="740"/>
      <c r="AFU236" s="740"/>
      <c r="AFV236" s="740"/>
      <c r="AFW236" s="740"/>
      <c r="AFX236" s="740"/>
      <c r="AFY236" s="740"/>
      <c r="AFZ236" s="740"/>
      <c r="AGA236" s="740"/>
      <c r="AGB236" s="740"/>
      <c r="AGC236" s="740"/>
      <c r="AGD236" s="740"/>
      <c r="AGE236" s="740"/>
      <c r="AGF236" s="740"/>
      <c r="AGG236" s="740"/>
      <c r="AGH236" s="740"/>
      <c r="AGI236" s="740"/>
      <c r="AGJ236" s="740"/>
      <c r="AGK236" s="740"/>
      <c r="AGL236" s="740"/>
      <c r="AGM236" s="740"/>
      <c r="AGN236" s="740"/>
      <c r="AGO236" s="740"/>
      <c r="AGP236" s="740"/>
      <c r="AGQ236" s="740"/>
      <c r="AGR236" s="740"/>
      <c r="AGS236" s="740"/>
      <c r="AGT236" s="740"/>
      <c r="AGU236" s="740"/>
      <c r="AGV236" s="740"/>
      <c r="AGW236" s="740"/>
      <c r="AGX236" s="740"/>
      <c r="AGY236" s="740"/>
      <c r="AGZ236" s="740"/>
      <c r="AHA236" s="740"/>
      <c r="AHB236" s="740"/>
      <c r="AHC236" s="740"/>
      <c r="AHD236" s="740"/>
      <c r="AHE236" s="740"/>
      <c r="AHF236" s="740"/>
      <c r="AHG236" s="740"/>
      <c r="AHH236" s="740"/>
      <c r="AHI236" s="740"/>
      <c r="AHJ236" s="740"/>
      <c r="AHK236" s="740"/>
      <c r="AHL236" s="740"/>
      <c r="AHM236" s="740"/>
      <c r="AHN236" s="740"/>
      <c r="AHO236" s="740"/>
      <c r="AHP236" s="740"/>
      <c r="AHQ236" s="740"/>
      <c r="AHR236" s="740"/>
      <c r="AHS236" s="740"/>
      <c r="AHT236" s="740"/>
      <c r="AHU236" s="740"/>
      <c r="AHV236" s="740"/>
      <c r="AHW236" s="740"/>
      <c r="AHX236" s="740"/>
      <c r="AHY236" s="740"/>
      <c r="AHZ236" s="740"/>
      <c r="AIA236" s="740"/>
      <c r="AIB236" s="740"/>
      <c r="AIC236" s="740"/>
      <c r="AID236" s="740"/>
      <c r="AIE236" s="740"/>
      <c r="AIF236" s="740"/>
      <c r="AIG236" s="740"/>
      <c r="AIH236" s="740"/>
      <c r="AII236" s="740"/>
      <c r="AIJ236" s="740"/>
      <c r="AIK236" s="740"/>
      <c r="AIL236" s="740"/>
      <c r="AIM236" s="740"/>
      <c r="AIN236" s="740"/>
      <c r="AIO236" s="740"/>
      <c r="AIP236" s="740"/>
      <c r="AIQ236" s="740"/>
      <c r="AIR236" s="740"/>
      <c r="AIS236" s="740"/>
      <c r="AIT236" s="740"/>
      <c r="AIU236" s="740"/>
      <c r="AIV236" s="740"/>
      <c r="AIW236" s="740"/>
      <c r="AIX236" s="740"/>
      <c r="AIY236" s="740"/>
      <c r="AIZ236" s="740"/>
      <c r="AJA236" s="740"/>
      <c r="AJB236" s="740"/>
      <c r="AJC236" s="740"/>
      <c r="AJD236" s="740"/>
      <c r="AJE236" s="740"/>
      <c r="AJF236" s="740"/>
      <c r="AJG236" s="740"/>
      <c r="AJH236" s="740"/>
      <c r="AJI236" s="740"/>
      <c r="AJJ236" s="740"/>
      <c r="AJK236" s="740"/>
      <c r="AJL236" s="740"/>
      <c r="AJM236" s="740"/>
      <c r="AJN236" s="740"/>
      <c r="AJO236" s="740"/>
      <c r="AJP236" s="740"/>
      <c r="AJQ236" s="740"/>
      <c r="AJR236" s="740"/>
      <c r="AJS236" s="740"/>
      <c r="AJT236" s="740"/>
      <c r="AJU236" s="740"/>
      <c r="AJV236" s="740"/>
      <c r="AJW236" s="740"/>
      <c r="AJX236" s="740"/>
      <c r="AJY236" s="740"/>
      <c r="AJZ236" s="740"/>
      <c r="AKA236" s="740"/>
      <c r="AKB236" s="740"/>
      <c r="AKC236" s="740"/>
      <c r="AKD236" s="740"/>
      <c r="AKE236" s="740"/>
      <c r="AKF236" s="740"/>
      <c r="AKG236" s="740"/>
      <c r="AKH236" s="740"/>
      <c r="AKI236" s="740"/>
      <c r="AKJ236" s="740"/>
      <c r="AKK236" s="740"/>
      <c r="AKL236" s="740"/>
      <c r="AKM236" s="740"/>
      <c r="AKN236" s="740"/>
      <c r="AKO236" s="740"/>
      <c r="AKP236" s="740"/>
      <c r="AKQ236" s="740"/>
      <c r="AKR236" s="740"/>
      <c r="AKS236" s="740"/>
      <c r="AKT236" s="740"/>
      <c r="AKU236" s="740"/>
      <c r="AKV236" s="740"/>
      <c r="AKW236" s="740"/>
      <c r="AKX236" s="740"/>
      <c r="AKY236" s="740"/>
      <c r="AKZ236" s="740"/>
      <c r="ALA236" s="740"/>
      <c r="ALB236" s="740"/>
      <c r="ALC236" s="740"/>
      <c r="ALD236" s="740"/>
      <c r="ALE236" s="740"/>
      <c r="ALF236" s="740"/>
      <c r="ALG236" s="740"/>
      <c r="ALH236" s="740"/>
      <c r="ALI236" s="740"/>
      <c r="ALJ236" s="740"/>
      <c r="ALK236" s="740"/>
      <c r="ALL236" s="740"/>
      <c r="ALM236" s="740"/>
      <c r="ALN236" s="740"/>
      <c r="ALO236" s="740"/>
      <c r="ALP236" s="740"/>
      <c r="ALQ236" s="740"/>
      <c r="ALR236" s="740"/>
      <c r="ALS236" s="740"/>
      <c r="ALT236" s="740"/>
      <c r="ALU236" s="740"/>
      <c r="ALV236" s="740"/>
      <c r="ALW236" s="740"/>
      <c r="ALX236" s="740"/>
      <c r="ALY236" s="740"/>
      <c r="ALZ236" s="740"/>
      <c r="AMA236" s="740"/>
      <c r="AMB236" s="740"/>
      <c r="AMC236" s="740"/>
      <c r="AMD236" s="740"/>
      <c r="AME236" s="740"/>
      <c r="AMF236" s="740"/>
      <c r="AMG236" s="740"/>
      <c r="AMH236" s="740"/>
      <c r="AMI236" s="740"/>
      <c r="AMJ236" s="740"/>
      <c r="AMK236" s="740"/>
      <c r="AML236" s="740"/>
      <c r="AMM236" s="740"/>
      <c r="AMN236" s="740"/>
      <c r="AMO236" s="740"/>
      <c r="AMP236" s="740"/>
      <c r="AMQ236" s="740"/>
      <c r="AMR236" s="740"/>
      <c r="AMS236" s="740"/>
      <c r="AMT236" s="740"/>
      <c r="AMU236" s="740"/>
      <c r="AMV236" s="740"/>
      <c r="AMW236" s="740"/>
      <c r="AMX236" s="740"/>
      <c r="AMY236" s="740"/>
      <c r="AMZ236" s="740"/>
      <c r="ANA236" s="740"/>
      <c r="ANB236" s="740"/>
      <c r="ANC236" s="740"/>
      <c r="AND236" s="740"/>
      <c r="ANE236" s="740"/>
      <c r="ANF236" s="740"/>
      <c r="ANG236" s="740"/>
      <c r="ANH236" s="740"/>
      <c r="ANI236" s="740"/>
      <c r="ANJ236" s="740"/>
      <c r="ANK236" s="740"/>
      <c r="ANL236" s="740"/>
      <c r="ANM236" s="740"/>
      <c r="ANN236" s="740"/>
      <c r="ANO236" s="740"/>
      <c r="ANP236" s="740"/>
      <c r="ANQ236" s="740"/>
      <c r="ANR236" s="740"/>
      <c r="ANS236" s="740"/>
      <c r="ANT236" s="740"/>
      <c r="ANU236" s="740"/>
      <c r="ANV236" s="740"/>
      <c r="ANW236" s="740"/>
      <c r="ANX236" s="740"/>
      <c r="ANY236" s="740"/>
      <c r="ANZ236" s="740"/>
      <c r="AOA236" s="740"/>
      <c r="AOB236" s="740"/>
      <c r="AOC236" s="740"/>
      <c r="AOD236" s="740"/>
      <c r="AOE236" s="740"/>
      <c r="AOF236" s="740"/>
      <c r="AOG236" s="740"/>
      <c r="AOH236" s="740"/>
      <c r="AOI236" s="740"/>
      <c r="AOJ236" s="740"/>
      <c r="AOK236" s="740"/>
      <c r="AOL236" s="740"/>
      <c r="AOM236" s="740"/>
      <c r="AON236" s="740"/>
      <c r="AOO236" s="740"/>
      <c r="AOP236" s="740"/>
      <c r="AOQ236" s="740"/>
      <c r="AOR236" s="740"/>
      <c r="AOS236" s="740"/>
      <c r="AOT236" s="740"/>
      <c r="AOU236" s="740"/>
      <c r="AOV236" s="740"/>
      <c r="AOW236" s="740"/>
      <c r="AOX236" s="740"/>
      <c r="AOY236" s="740"/>
      <c r="AOZ236" s="740"/>
      <c r="APA236" s="740"/>
      <c r="APB236" s="740"/>
      <c r="APC236" s="740"/>
      <c r="APD236" s="740"/>
      <c r="APE236" s="740"/>
      <c r="APF236" s="740"/>
      <c r="APG236" s="740"/>
      <c r="APH236" s="740"/>
      <c r="API236" s="740"/>
      <c r="APJ236" s="740"/>
      <c r="APK236" s="740"/>
      <c r="APL236" s="740"/>
      <c r="APM236" s="740"/>
      <c r="APN236" s="740"/>
      <c r="APO236" s="740"/>
      <c r="APP236" s="740"/>
      <c r="APQ236" s="740"/>
      <c r="APR236" s="740"/>
      <c r="APS236" s="740"/>
      <c r="APT236" s="740"/>
      <c r="APU236" s="740"/>
      <c r="APV236" s="740"/>
      <c r="APW236" s="740"/>
      <c r="APX236" s="740"/>
      <c r="APY236" s="740"/>
      <c r="APZ236" s="740"/>
      <c r="AQA236" s="740"/>
      <c r="AQB236" s="740"/>
      <c r="AQC236" s="740"/>
      <c r="AQD236" s="740"/>
      <c r="AQE236" s="740"/>
      <c r="AQF236" s="740"/>
      <c r="AQG236" s="740"/>
      <c r="AQH236" s="740"/>
      <c r="AQI236" s="740"/>
      <c r="AQJ236" s="740"/>
      <c r="AQK236" s="740"/>
      <c r="AQL236" s="740"/>
      <c r="AQM236" s="740"/>
      <c r="AQN236" s="740"/>
      <c r="AQO236" s="740"/>
      <c r="AQP236" s="740"/>
      <c r="AQQ236" s="740"/>
      <c r="AQR236" s="740"/>
      <c r="AQS236" s="740"/>
      <c r="AQT236" s="740"/>
      <c r="AQU236" s="740"/>
      <c r="AQV236" s="740"/>
      <c r="AQW236" s="740"/>
      <c r="AQX236" s="740"/>
      <c r="AQY236" s="740"/>
      <c r="AQZ236" s="740"/>
      <c r="ARA236" s="740"/>
      <c r="ARB236" s="740"/>
      <c r="ARC236" s="740"/>
      <c r="ARD236" s="740"/>
      <c r="ARE236" s="740"/>
      <c r="ARF236" s="740"/>
      <c r="ARG236" s="740"/>
      <c r="ARH236" s="740"/>
      <c r="ARI236" s="740"/>
      <c r="ARJ236" s="740"/>
      <c r="ARK236" s="740"/>
      <c r="ARL236" s="740"/>
      <c r="ARM236" s="740"/>
      <c r="ARN236" s="740"/>
      <c r="ARO236" s="740"/>
      <c r="ARP236" s="740"/>
      <c r="ARQ236" s="740"/>
      <c r="ARR236" s="740"/>
      <c r="ARS236" s="740"/>
      <c r="ART236" s="740"/>
      <c r="ARU236" s="740"/>
      <c r="ARV236" s="740"/>
      <c r="ARW236" s="740"/>
      <c r="ARX236" s="740"/>
      <c r="ARY236" s="740"/>
      <c r="ARZ236" s="740"/>
      <c r="ASA236" s="740"/>
      <c r="ASB236" s="740"/>
      <c r="ASC236" s="740"/>
      <c r="ASD236" s="740"/>
      <c r="ASE236" s="740"/>
      <c r="ASF236" s="740"/>
      <c r="ASG236" s="740"/>
      <c r="ASH236" s="740"/>
      <c r="ASI236" s="740"/>
      <c r="ASJ236" s="740"/>
      <c r="ASK236" s="740"/>
      <c r="ASL236" s="740"/>
      <c r="ASM236" s="740"/>
      <c r="ASN236" s="740"/>
      <c r="ASO236" s="740"/>
      <c r="ASP236" s="740"/>
      <c r="ASQ236" s="740"/>
      <c r="ASR236" s="740"/>
      <c r="ASS236" s="740"/>
      <c r="AST236" s="740"/>
      <c r="ASU236" s="740"/>
      <c r="ASV236" s="740"/>
      <c r="ASW236" s="740"/>
      <c r="ASX236" s="740"/>
      <c r="ASY236" s="740"/>
      <c r="ASZ236" s="740"/>
      <c r="ATA236" s="740"/>
      <c r="ATB236" s="740"/>
      <c r="ATC236" s="740"/>
      <c r="ATD236" s="740"/>
      <c r="ATE236" s="740"/>
      <c r="ATF236" s="740"/>
      <c r="ATG236" s="740"/>
      <c r="ATH236" s="740"/>
      <c r="ATI236" s="740"/>
      <c r="ATJ236" s="740"/>
      <c r="ATK236" s="740"/>
      <c r="ATL236" s="740"/>
      <c r="ATM236" s="740"/>
      <c r="ATN236" s="740"/>
      <c r="ATO236" s="740"/>
      <c r="ATP236" s="740"/>
      <c r="ATQ236" s="740"/>
      <c r="ATR236" s="740"/>
      <c r="ATS236" s="740"/>
      <c r="ATT236" s="740"/>
      <c r="ATU236" s="740"/>
      <c r="ATV236" s="740"/>
      <c r="ATW236" s="740"/>
      <c r="ATX236" s="740"/>
      <c r="ATY236" s="740"/>
      <c r="ATZ236" s="740"/>
      <c r="AUA236" s="740"/>
      <c r="AUB236" s="740"/>
      <c r="AUC236" s="740"/>
      <c r="AUD236" s="740"/>
      <c r="AUE236" s="740"/>
      <c r="AUF236" s="740"/>
      <c r="AUG236" s="740"/>
      <c r="AUH236" s="740"/>
      <c r="AUI236" s="740"/>
      <c r="AUJ236" s="740"/>
      <c r="AUK236" s="740"/>
      <c r="AUL236" s="740"/>
      <c r="AUM236" s="740"/>
      <c r="AUN236" s="740"/>
      <c r="AUO236" s="740"/>
      <c r="AUP236" s="740"/>
      <c r="AUQ236" s="740"/>
      <c r="AUR236" s="740"/>
      <c r="AUS236" s="740"/>
      <c r="AUT236" s="740"/>
      <c r="AUU236" s="740"/>
      <c r="AUV236" s="740"/>
      <c r="AUW236" s="740"/>
      <c r="AUX236" s="740"/>
      <c r="AUY236" s="740"/>
      <c r="AUZ236" s="740"/>
      <c r="AVA236" s="740"/>
      <c r="AVB236" s="740"/>
      <c r="AVC236" s="740"/>
      <c r="AVD236" s="740"/>
      <c r="AVE236" s="740"/>
      <c r="AVF236" s="740"/>
      <c r="AVG236" s="740"/>
      <c r="AVH236" s="740"/>
      <c r="AVI236" s="740"/>
      <c r="AVJ236" s="740"/>
      <c r="AVK236" s="740"/>
      <c r="AVL236" s="740"/>
      <c r="AVM236" s="740"/>
      <c r="AVN236" s="740"/>
      <c r="AVO236" s="740"/>
      <c r="AVP236" s="740"/>
      <c r="AVQ236" s="740"/>
      <c r="AVR236" s="740"/>
      <c r="AVS236" s="740"/>
      <c r="AVT236" s="740"/>
      <c r="AVU236" s="740"/>
      <c r="AVV236" s="740"/>
      <c r="AVW236" s="740"/>
      <c r="AVX236" s="740"/>
      <c r="AVY236" s="740"/>
      <c r="AVZ236" s="740"/>
      <c r="AWA236" s="740"/>
      <c r="AWB236" s="740"/>
      <c r="AWC236" s="740"/>
      <c r="AWD236" s="740"/>
      <c r="AWE236" s="740"/>
      <c r="AWF236" s="740"/>
      <c r="AWG236" s="740"/>
      <c r="AWH236" s="740"/>
      <c r="AWI236" s="740"/>
      <c r="AWJ236" s="740"/>
      <c r="AWK236" s="740"/>
      <c r="AWL236" s="740"/>
      <c r="AWM236" s="740"/>
      <c r="AWN236" s="740"/>
      <c r="AWO236" s="740"/>
      <c r="AWP236" s="740"/>
      <c r="AWQ236" s="740"/>
      <c r="AWR236" s="740"/>
      <c r="AWS236" s="740"/>
      <c r="AWT236" s="740"/>
      <c r="AWU236" s="740"/>
      <c r="AWV236" s="740"/>
      <c r="AWW236" s="740"/>
      <c r="AWX236" s="740"/>
      <c r="AWY236" s="740"/>
      <c r="AWZ236" s="740"/>
      <c r="AXA236" s="740"/>
      <c r="AXB236" s="740"/>
      <c r="AXC236" s="740"/>
      <c r="AXD236" s="740"/>
      <c r="AXE236" s="740"/>
      <c r="AXF236" s="740"/>
      <c r="AXG236" s="740"/>
      <c r="AXH236" s="740"/>
      <c r="AXI236" s="740"/>
      <c r="AXJ236" s="740"/>
    </row>
    <row r="237" spans="1:1310" s="741" customFormat="1" ht="120.75" customHeight="1">
      <c r="A237" s="756"/>
      <c r="B237" s="757"/>
      <c r="C237" s="757"/>
      <c r="D237" s="757"/>
      <c r="E237" s="757"/>
      <c r="F237" s="748"/>
      <c r="G237" s="9018" t="s">
        <v>1601</v>
      </c>
      <c r="H237" s="9018"/>
      <c r="I237" s="9018"/>
      <c r="J237" s="742"/>
      <c r="K237" s="758"/>
      <c r="L237" s="757"/>
      <c r="M237" s="757"/>
      <c r="N237" s="757"/>
      <c r="O237" s="757"/>
      <c r="P237" s="757"/>
      <c r="Q237" s="757"/>
      <c r="R237" s="311"/>
      <c r="S237" s="311"/>
      <c r="T237" s="311"/>
      <c r="U237" s="311"/>
      <c r="V237" s="311"/>
      <c r="W237" s="311"/>
      <c r="X237" s="311"/>
      <c r="Y237" s="311"/>
      <c r="Z237" s="311"/>
      <c r="AA237" s="311"/>
      <c r="AB237" s="311"/>
      <c r="AC237" s="311"/>
      <c r="AD237" s="740"/>
      <c r="AE237" s="740"/>
      <c r="AF237" s="740"/>
      <c r="AG237" s="740"/>
      <c r="AH237" s="740"/>
      <c r="AI237" s="740"/>
      <c r="AJ237" s="740"/>
      <c r="AK237" s="740"/>
      <c r="AL237" s="740"/>
      <c r="AM237" s="740"/>
      <c r="AN237" s="740"/>
      <c r="AO237" s="740"/>
      <c r="AP237" s="740"/>
      <c r="AQ237" s="740"/>
      <c r="AR237" s="740"/>
      <c r="AS237" s="740"/>
      <c r="AT237" s="740"/>
      <c r="AU237" s="740"/>
      <c r="AV237" s="740"/>
      <c r="AW237" s="740"/>
      <c r="AX237" s="740"/>
      <c r="AY237" s="740"/>
      <c r="AZ237" s="740"/>
      <c r="BA237" s="740"/>
      <c r="BB237" s="740"/>
      <c r="BC237" s="740"/>
      <c r="BD237" s="740"/>
      <c r="BE237" s="740"/>
      <c r="BF237" s="740"/>
      <c r="BG237" s="740"/>
      <c r="BH237" s="740"/>
      <c r="BI237" s="740"/>
      <c r="BJ237" s="740"/>
      <c r="BK237" s="740"/>
      <c r="BL237" s="740"/>
      <c r="BM237" s="740"/>
      <c r="BN237" s="740"/>
      <c r="BO237" s="740"/>
      <c r="BP237" s="740"/>
      <c r="BQ237" s="740"/>
      <c r="BR237" s="740"/>
      <c r="BS237" s="740"/>
      <c r="BT237" s="740"/>
      <c r="BU237" s="740"/>
      <c r="BV237" s="740"/>
      <c r="BW237" s="740"/>
      <c r="BX237" s="740"/>
      <c r="BY237" s="740"/>
      <c r="BZ237" s="740"/>
      <c r="CA237" s="740"/>
      <c r="CB237" s="740"/>
      <c r="CC237" s="740"/>
      <c r="CD237" s="740"/>
      <c r="CE237" s="740"/>
      <c r="CF237" s="740"/>
      <c r="CG237" s="740"/>
      <c r="CH237" s="740"/>
      <c r="CI237" s="740"/>
      <c r="CJ237" s="740"/>
      <c r="CK237" s="740"/>
      <c r="CL237" s="740"/>
      <c r="CM237" s="740"/>
      <c r="CN237" s="740"/>
      <c r="CO237" s="740"/>
      <c r="CP237" s="740"/>
      <c r="CQ237" s="740"/>
      <c r="CR237" s="740"/>
      <c r="CS237" s="740"/>
      <c r="CT237" s="740"/>
      <c r="CU237" s="740"/>
      <c r="CV237" s="740"/>
      <c r="CW237" s="740"/>
      <c r="CX237" s="740"/>
      <c r="CY237" s="740"/>
      <c r="CZ237" s="740"/>
      <c r="DA237" s="740"/>
      <c r="DB237" s="740"/>
      <c r="DC237" s="740"/>
      <c r="DD237" s="740"/>
      <c r="DE237" s="740"/>
      <c r="DF237" s="740"/>
      <c r="DG237" s="740"/>
      <c r="DH237" s="740"/>
      <c r="DI237" s="740"/>
      <c r="DJ237" s="740"/>
      <c r="DK237" s="740"/>
      <c r="DL237" s="740"/>
      <c r="DM237" s="740"/>
      <c r="DN237" s="740"/>
      <c r="DO237" s="740"/>
      <c r="DP237" s="740"/>
      <c r="DQ237" s="740"/>
      <c r="DR237" s="740"/>
      <c r="DS237" s="740"/>
      <c r="DT237" s="740"/>
      <c r="DU237" s="740"/>
      <c r="DV237" s="740"/>
      <c r="DW237" s="740"/>
      <c r="DX237" s="740"/>
      <c r="DY237" s="740"/>
      <c r="DZ237" s="740"/>
      <c r="EA237" s="740"/>
      <c r="EB237" s="740"/>
      <c r="EC237" s="740"/>
      <c r="ED237" s="740"/>
      <c r="EE237" s="740"/>
      <c r="EF237" s="740"/>
      <c r="EG237" s="740"/>
      <c r="EH237" s="740"/>
      <c r="EI237" s="740"/>
      <c r="EJ237" s="740"/>
      <c r="EK237" s="740"/>
      <c r="EL237" s="740"/>
      <c r="EM237" s="740"/>
      <c r="EN237" s="740"/>
      <c r="EO237" s="740"/>
      <c r="EP237" s="740"/>
      <c r="EQ237" s="740"/>
      <c r="ER237" s="740"/>
      <c r="ES237" s="740"/>
      <c r="ET237" s="740"/>
      <c r="EU237" s="740"/>
      <c r="EV237" s="740"/>
      <c r="EW237" s="740"/>
      <c r="EX237" s="740"/>
      <c r="EY237" s="740"/>
      <c r="EZ237" s="740"/>
      <c r="FA237" s="740"/>
      <c r="FB237" s="740"/>
      <c r="FC237" s="740"/>
      <c r="FD237" s="740"/>
      <c r="FE237" s="740"/>
      <c r="FF237" s="740"/>
      <c r="FG237" s="740"/>
      <c r="FH237" s="740"/>
      <c r="FI237" s="740"/>
      <c r="FJ237" s="740"/>
      <c r="FK237" s="740"/>
      <c r="FL237" s="740"/>
      <c r="FM237" s="740"/>
      <c r="FN237" s="740"/>
      <c r="FO237" s="740"/>
      <c r="FP237" s="740"/>
      <c r="FQ237" s="740"/>
      <c r="FR237" s="740"/>
      <c r="FS237" s="740"/>
      <c r="FT237" s="740"/>
      <c r="FU237" s="740"/>
      <c r="FV237" s="740"/>
      <c r="FW237" s="740"/>
      <c r="FX237" s="740"/>
      <c r="FY237" s="740"/>
      <c r="FZ237" s="740"/>
      <c r="GA237" s="740"/>
      <c r="GB237" s="740"/>
      <c r="GC237" s="740"/>
      <c r="GD237" s="740"/>
      <c r="GE237" s="740"/>
      <c r="GF237" s="740"/>
      <c r="GG237" s="740"/>
      <c r="GH237" s="740"/>
      <c r="GI237" s="740"/>
      <c r="GJ237" s="740"/>
      <c r="GK237" s="740"/>
      <c r="GL237" s="740"/>
      <c r="GM237" s="740"/>
      <c r="GN237" s="740"/>
      <c r="GO237" s="740"/>
      <c r="GP237" s="740"/>
      <c r="GQ237" s="740"/>
      <c r="GR237" s="740"/>
      <c r="GS237" s="740"/>
      <c r="GT237" s="740"/>
      <c r="GU237" s="740"/>
      <c r="GV237" s="740"/>
      <c r="GW237" s="740"/>
      <c r="GX237" s="740"/>
      <c r="GY237" s="740"/>
      <c r="GZ237" s="740"/>
      <c r="HA237" s="740"/>
      <c r="HB237" s="740"/>
      <c r="HC237" s="740"/>
      <c r="HD237" s="740"/>
      <c r="HE237" s="740"/>
      <c r="HF237" s="740"/>
      <c r="HG237" s="740"/>
      <c r="HH237" s="740"/>
      <c r="HI237" s="740"/>
      <c r="HJ237" s="740"/>
      <c r="HK237" s="740"/>
      <c r="HL237" s="740"/>
      <c r="HM237" s="740"/>
      <c r="HN237" s="740"/>
      <c r="HO237" s="740"/>
      <c r="HP237" s="740"/>
      <c r="HQ237" s="740"/>
      <c r="HR237" s="740"/>
      <c r="HS237" s="740"/>
      <c r="HT237" s="740"/>
      <c r="HU237" s="740"/>
      <c r="HV237" s="740"/>
      <c r="HW237" s="740"/>
      <c r="HX237" s="740"/>
      <c r="HY237" s="740"/>
      <c r="HZ237" s="740"/>
      <c r="IA237" s="740"/>
      <c r="IB237" s="740"/>
      <c r="IC237" s="740"/>
      <c r="ID237" s="740"/>
      <c r="IE237" s="740"/>
      <c r="IF237" s="740"/>
      <c r="IG237" s="740"/>
      <c r="IH237" s="740"/>
      <c r="II237" s="740"/>
      <c r="IJ237" s="740"/>
      <c r="IK237" s="740"/>
      <c r="IL237" s="740"/>
      <c r="IM237" s="740"/>
      <c r="IN237" s="740"/>
      <c r="IO237" s="740"/>
      <c r="IP237" s="740"/>
      <c r="IQ237" s="740"/>
      <c r="IR237" s="740"/>
      <c r="IS237" s="740"/>
      <c r="IT237" s="740"/>
      <c r="IU237" s="740"/>
      <c r="IV237" s="740"/>
      <c r="IW237" s="740"/>
      <c r="IX237" s="740"/>
      <c r="IY237" s="740"/>
      <c r="IZ237" s="740"/>
      <c r="JA237" s="740"/>
      <c r="JB237" s="740"/>
      <c r="JC237" s="740"/>
      <c r="JD237" s="740"/>
      <c r="JE237" s="740"/>
      <c r="JF237" s="740"/>
      <c r="JG237" s="740"/>
      <c r="JH237" s="740"/>
      <c r="JI237" s="740"/>
      <c r="JJ237" s="740"/>
      <c r="JK237" s="740"/>
      <c r="JL237" s="740"/>
      <c r="JM237" s="740"/>
      <c r="JN237" s="740"/>
      <c r="JO237" s="740"/>
      <c r="JP237" s="740"/>
      <c r="JQ237" s="740"/>
      <c r="JR237" s="740"/>
      <c r="JS237" s="740"/>
      <c r="JT237" s="740"/>
      <c r="JU237" s="740"/>
      <c r="JV237" s="740"/>
      <c r="JW237" s="740"/>
      <c r="JX237" s="740"/>
      <c r="JY237" s="740"/>
      <c r="JZ237" s="740"/>
      <c r="KA237" s="740"/>
      <c r="KB237" s="740"/>
      <c r="KC237" s="740"/>
      <c r="KD237" s="740"/>
      <c r="KE237" s="740"/>
      <c r="KF237" s="740"/>
      <c r="KG237" s="740"/>
      <c r="KH237" s="740"/>
      <c r="KI237" s="740"/>
      <c r="KJ237" s="740"/>
      <c r="KK237" s="740"/>
      <c r="KL237" s="740"/>
      <c r="KM237" s="740"/>
      <c r="KN237" s="740"/>
      <c r="KO237" s="740"/>
      <c r="KP237" s="740"/>
      <c r="KQ237" s="740"/>
      <c r="KR237" s="740"/>
      <c r="KS237" s="740"/>
      <c r="KT237" s="740"/>
      <c r="KU237" s="740"/>
      <c r="KV237" s="740"/>
      <c r="KW237" s="740"/>
      <c r="KX237" s="740"/>
      <c r="KY237" s="740"/>
      <c r="KZ237" s="740"/>
      <c r="LA237" s="740"/>
      <c r="LB237" s="740"/>
      <c r="LC237" s="740"/>
      <c r="LD237" s="740"/>
      <c r="LE237" s="740"/>
      <c r="LF237" s="740"/>
      <c r="LG237" s="740"/>
      <c r="LH237" s="740"/>
      <c r="LI237" s="740"/>
      <c r="LJ237" s="740"/>
      <c r="LK237" s="740"/>
      <c r="LL237" s="740"/>
      <c r="LM237" s="740"/>
      <c r="LN237" s="740"/>
      <c r="LO237" s="740"/>
      <c r="LP237" s="740"/>
      <c r="LQ237" s="740"/>
      <c r="LR237" s="740"/>
      <c r="LS237" s="740"/>
      <c r="LT237" s="740"/>
      <c r="LU237" s="740"/>
      <c r="LV237" s="740"/>
      <c r="LW237" s="740"/>
      <c r="LX237" s="740"/>
      <c r="LY237" s="740"/>
      <c r="LZ237" s="740"/>
      <c r="MA237" s="740"/>
      <c r="MB237" s="740"/>
      <c r="MC237" s="740"/>
      <c r="MD237" s="740"/>
      <c r="ME237" s="740"/>
      <c r="MF237" s="740"/>
      <c r="MG237" s="740"/>
      <c r="MH237" s="740"/>
      <c r="MI237" s="740"/>
      <c r="MJ237" s="740"/>
      <c r="MK237" s="740"/>
      <c r="ML237" s="740"/>
      <c r="MM237" s="740"/>
      <c r="MN237" s="740"/>
      <c r="MO237" s="740"/>
      <c r="MP237" s="740"/>
      <c r="MQ237" s="740"/>
      <c r="MR237" s="740"/>
      <c r="MS237" s="740"/>
      <c r="MT237" s="740"/>
      <c r="MU237" s="740"/>
      <c r="MV237" s="740"/>
      <c r="MW237" s="740"/>
      <c r="MX237" s="740"/>
      <c r="MY237" s="740"/>
      <c r="MZ237" s="740"/>
      <c r="NA237" s="740"/>
      <c r="NB237" s="740"/>
      <c r="NC237" s="740"/>
      <c r="ND237" s="740"/>
      <c r="NE237" s="740"/>
      <c r="NF237" s="740"/>
      <c r="NG237" s="740"/>
      <c r="NH237" s="740"/>
      <c r="NI237" s="740"/>
      <c r="NJ237" s="740"/>
      <c r="NK237" s="740"/>
      <c r="NL237" s="740"/>
      <c r="NM237" s="740"/>
      <c r="NN237" s="740"/>
      <c r="NO237" s="740"/>
      <c r="NP237" s="740"/>
      <c r="NQ237" s="740"/>
      <c r="NR237" s="740"/>
      <c r="NS237" s="740"/>
      <c r="NT237" s="740"/>
      <c r="NU237" s="740"/>
      <c r="NV237" s="740"/>
      <c r="NW237" s="740"/>
      <c r="NX237" s="740"/>
      <c r="NY237" s="740"/>
      <c r="NZ237" s="740"/>
      <c r="OA237" s="740"/>
      <c r="OB237" s="740"/>
      <c r="OC237" s="740"/>
      <c r="OD237" s="740"/>
      <c r="OE237" s="740"/>
      <c r="OF237" s="740"/>
      <c r="OG237" s="740"/>
      <c r="OH237" s="740"/>
      <c r="OI237" s="740"/>
      <c r="OJ237" s="740"/>
      <c r="OK237" s="740"/>
      <c r="OL237" s="740"/>
      <c r="OM237" s="740"/>
      <c r="ON237" s="740"/>
      <c r="OO237" s="740"/>
      <c r="OP237" s="740"/>
      <c r="OQ237" s="740"/>
      <c r="OR237" s="740"/>
      <c r="OS237" s="740"/>
      <c r="OT237" s="740"/>
      <c r="OU237" s="740"/>
      <c r="OV237" s="740"/>
      <c r="OW237" s="740"/>
      <c r="OX237" s="740"/>
      <c r="OY237" s="740"/>
      <c r="OZ237" s="740"/>
      <c r="PA237" s="740"/>
      <c r="PB237" s="740"/>
      <c r="PC237" s="740"/>
      <c r="PD237" s="740"/>
      <c r="PE237" s="740"/>
      <c r="PF237" s="740"/>
      <c r="PG237" s="740"/>
      <c r="PH237" s="740"/>
      <c r="PI237" s="740"/>
      <c r="PJ237" s="740"/>
      <c r="PK237" s="740"/>
      <c r="PL237" s="740"/>
      <c r="PM237" s="740"/>
      <c r="PN237" s="740"/>
      <c r="PO237" s="740"/>
      <c r="PP237" s="740"/>
      <c r="PQ237" s="740"/>
      <c r="PR237" s="740"/>
      <c r="PS237" s="740"/>
      <c r="PT237" s="740"/>
      <c r="PU237" s="740"/>
      <c r="PV237" s="740"/>
      <c r="PW237" s="740"/>
      <c r="PX237" s="740"/>
      <c r="PY237" s="740"/>
      <c r="PZ237" s="740"/>
      <c r="QA237" s="740"/>
      <c r="QB237" s="740"/>
      <c r="QC237" s="740"/>
      <c r="QD237" s="740"/>
      <c r="QE237" s="740"/>
      <c r="QF237" s="740"/>
      <c r="QG237" s="740"/>
      <c r="QH237" s="740"/>
      <c r="QI237" s="740"/>
      <c r="QJ237" s="740"/>
      <c r="QK237" s="740"/>
      <c r="QL237" s="740"/>
      <c r="QM237" s="740"/>
      <c r="QN237" s="740"/>
      <c r="QO237" s="740"/>
      <c r="QP237" s="740"/>
      <c r="QQ237" s="740"/>
      <c r="QR237" s="740"/>
      <c r="QS237" s="740"/>
      <c r="QT237" s="740"/>
      <c r="QU237" s="740"/>
      <c r="QV237" s="740"/>
      <c r="QW237" s="740"/>
      <c r="QX237" s="740"/>
      <c r="QY237" s="740"/>
      <c r="QZ237" s="740"/>
      <c r="RA237" s="740"/>
      <c r="RB237" s="740"/>
      <c r="RC237" s="740"/>
      <c r="RD237" s="740"/>
      <c r="RE237" s="740"/>
      <c r="RF237" s="740"/>
      <c r="RG237" s="740"/>
      <c r="RH237" s="740"/>
      <c r="RI237" s="740"/>
      <c r="RJ237" s="740"/>
      <c r="RK237" s="740"/>
      <c r="RL237" s="740"/>
      <c r="RM237" s="740"/>
      <c r="RN237" s="740"/>
      <c r="RO237" s="740"/>
      <c r="RP237" s="740"/>
      <c r="RQ237" s="740"/>
      <c r="RR237" s="740"/>
      <c r="RS237" s="740"/>
      <c r="RT237" s="740"/>
      <c r="RU237" s="740"/>
      <c r="RV237" s="740"/>
      <c r="RW237" s="740"/>
      <c r="RX237" s="740"/>
      <c r="RY237" s="740"/>
      <c r="RZ237" s="740"/>
      <c r="SA237" s="740"/>
      <c r="SB237" s="740"/>
      <c r="SC237" s="740"/>
      <c r="SD237" s="740"/>
      <c r="SE237" s="740"/>
      <c r="SF237" s="740"/>
      <c r="SG237" s="740"/>
      <c r="SH237" s="740"/>
      <c r="SI237" s="740"/>
      <c r="SJ237" s="740"/>
      <c r="SK237" s="740"/>
      <c r="SL237" s="740"/>
      <c r="SM237" s="740"/>
      <c r="SN237" s="740"/>
      <c r="SO237" s="740"/>
      <c r="SP237" s="740"/>
      <c r="SQ237" s="740"/>
      <c r="SR237" s="740"/>
      <c r="SS237" s="740"/>
      <c r="ST237" s="740"/>
      <c r="SU237" s="740"/>
      <c r="SV237" s="740"/>
      <c r="SW237" s="740"/>
      <c r="SX237" s="740"/>
      <c r="SY237" s="740"/>
      <c r="SZ237" s="740"/>
      <c r="TA237" s="740"/>
      <c r="TB237" s="740"/>
      <c r="TC237" s="740"/>
      <c r="TD237" s="740"/>
      <c r="TE237" s="740"/>
      <c r="TF237" s="740"/>
      <c r="TG237" s="740"/>
      <c r="TH237" s="740"/>
      <c r="TI237" s="740"/>
      <c r="TJ237" s="740"/>
      <c r="TK237" s="740"/>
      <c r="TL237" s="740"/>
      <c r="TM237" s="740"/>
      <c r="TN237" s="740"/>
      <c r="TO237" s="740"/>
      <c r="TP237" s="740"/>
      <c r="TQ237" s="740"/>
      <c r="TR237" s="740"/>
      <c r="TS237" s="740"/>
      <c r="TT237" s="740"/>
      <c r="TU237" s="740"/>
      <c r="TV237" s="740"/>
      <c r="TW237" s="740"/>
      <c r="TX237" s="740"/>
      <c r="TY237" s="740"/>
      <c r="TZ237" s="740"/>
      <c r="UA237" s="740"/>
      <c r="UB237" s="740"/>
      <c r="UC237" s="740"/>
      <c r="UD237" s="740"/>
      <c r="UE237" s="740"/>
      <c r="UF237" s="740"/>
      <c r="UG237" s="740"/>
      <c r="UH237" s="740"/>
      <c r="UI237" s="740"/>
      <c r="UJ237" s="740"/>
      <c r="UK237" s="740"/>
      <c r="UL237" s="740"/>
      <c r="UM237" s="740"/>
      <c r="UN237" s="740"/>
      <c r="UO237" s="740"/>
      <c r="UP237" s="740"/>
      <c r="UQ237" s="740"/>
      <c r="UR237" s="740"/>
      <c r="US237" s="740"/>
      <c r="UT237" s="740"/>
      <c r="UU237" s="740"/>
      <c r="UV237" s="740"/>
      <c r="UW237" s="740"/>
      <c r="UX237" s="740"/>
      <c r="UY237" s="740"/>
      <c r="UZ237" s="740"/>
      <c r="VA237" s="740"/>
      <c r="VB237" s="740"/>
      <c r="VC237" s="740"/>
      <c r="VD237" s="740"/>
      <c r="VE237" s="740"/>
      <c r="VF237" s="740"/>
      <c r="VG237" s="740"/>
      <c r="VH237" s="740"/>
      <c r="VI237" s="740"/>
      <c r="VJ237" s="740"/>
      <c r="VK237" s="740"/>
      <c r="VL237" s="740"/>
      <c r="VM237" s="740"/>
      <c r="VN237" s="740"/>
      <c r="VO237" s="740"/>
      <c r="VP237" s="740"/>
      <c r="VQ237" s="740"/>
      <c r="VR237" s="740"/>
      <c r="VS237" s="740"/>
      <c r="VT237" s="740"/>
      <c r="VU237" s="740"/>
      <c r="VV237" s="740"/>
      <c r="VW237" s="740"/>
      <c r="VX237" s="740"/>
      <c r="VY237" s="740"/>
      <c r="VZ237" s="740"/>
      <c r="WA237" s="740"/>
      <c r="WB237" s="740"/>
      <c r="WC237" s="740"/>
      <c r="WD237" s="740"/>
      <c r="WE237" s="740"/>
      <c r="WF237" s="740"/>
      <c r="WG237" s="740"/>
      <c r="WH237" s="740"/>
      <c r="WI237" s="740"/>
      <c r="WJ237" s="740"/>
      <c r="WK237" s="740"/>
      <c r="WL237" s="740"/>
      <c r="WM237" s="740"/>
      <c r="WN237" s="740"/>
      <c r="WO237" s="740"/>
      <c r="WP237" s="740"/>
      <c r="WQ237" s="740"/>
      <c r="WR237" s="740"/>
      <c r="WS237" s="740"/>
      <c r="WT237" s="740"/>
      <c r="WU237" s="740"/>
      <c r="WV237" s="740"/>
      <c r="WW237" s="740"/>
      <c r="WX237" s="740"/>
      <c r="WY237" s="740"/>
      <c r="WZ237" s="740"/>
      <c r="XA237" s="740"/>
      <c r="XB237" s="740"/>
      <c r="XC237" s="740"/>
      <c r="XD237" s="740"/>
      <c r="XE237" s="740"/>
      <c r="XF237" s="740"/>
      <c r="XG237" s="740"/>
      <c r="XH237" s="740"/>
      <c r="XI237" s="740"/>
      <c r="XJ237" s="740"/>
      <c r="XK237" s="740"/>
      <c r="XL237" s="740"/>
      <c r="XM237" s="740"/>
      <c r="XN237" s="740"/>
      <c r="XO237" s="740"/>
      <c r="XP237" s="740"/>
      <c r="XQ237" s="740"/>
      <c r="XR237" s="740"/>
      <c r="XS237" s="740"/>
      <c r="XT237" s="740"/>
      <c r="XU237" s="740"/>
      <c r="XV237" s="740"/>
      <c r="XW237" s="740"/>
      <c r="XX237" s="740"/>
      <c r="XY237" s="740"/>
      <c r="XZ237" s="740"/>
      <c r="YA237" s="740"/>
      <c r="YB237" s="740"/>
      <c r="YC237" s="740"/>
      <c r="YD237" s="740"/>
      <c r="YE237" s="740"/>
      <c r="YF237" s="740"/>
      <c r="YG237" s="740"/>
      <c r="YH237" s="740"/>
      <c r="YI237" s="740"/>
      <c r="YJ237" s="740"/>
      <c r="YK237" s="740"/>
      <c r="YL237" s="740"/>
      <c r="YM237" s="740"/>
      <c r="YN237" s="740"/>
      <c r="YO237" s="740"/>
      <c r="YP237" s="740"/>
      <c r="YQ237" s="740"/>
      <c r="YR237" s="740"/>
      <c r="YS237" s="740"/>
      <c r="YT237" s="740"/>
      <c r="YU237" s="740"/>
      <c r="YV237" s="740"/>
      <c r="YW237" s="740"/>
      <c r="YX237" s="740"/>
      <c r="YY237" s="740"/>
      <c r="YZ237" s="740"/>
      <c r="ZA237" s="740"/>
      <c r="ZB237" s="740"/>
      <c r="ZC237" s="740"/>
      <c r="ZD237" s="740"/>
      <c r="ZE237" s="740"/>
      <c r="ZF237" s="740"/>
      <c r="ZG237" s="740"/>
      <c r="ZH237" s="740"/>
      <c r="ZI237" s="740"/>
      <c r="ZJ237" s="740"/>
      <c r="ZK237" s="740"/>
      <c r="ZL237" s="740"/>
      <c r="ZM237" s="740"/>
      <c r="ZN237" s="740"/>
      <c r="ZO237" s="740"/>
      <c r="ZP237" s="740"/>
      <c r="ZQ237" s="740"/>
      <c r="ZR237" s="740"/>
      <c r="ZS237" s="740"/>
      <c r="ZT237" s="740"/>
      <c r="ZU237" s="740"/>
      <c r="ZV237" s="740"/>
      <c r="ZW237" s="740"/>
      <c r="ZX237" s="740"/>
      <c r="ZY237" s="740"/>
      <c r="ZZ237" s="740"/>
      <c r="AAA237" s="740"/>
      <c r="AAB237" s="740"/>
      <c r="AAC237" s="740"/>
      <c r="AAD237" s="740"/>
      <c r="AAE237" s="740"/>
      <c r="AAF237" s="740"/>
      <c r="AAG237" s="740"/>
      <c r="AAH237" s="740"/>
      <c r="AAI237" s="740"/>
      <c r="AAJ237" s="740"/>
      <c r="AAK237" s="740"/>
      <c r="AAL237" s="740"/>
      <c r="AAM237" s="740"/>
      <c r="AAN237" s="740"/>
      <c r="AAO237" s="740"/>
      <c r="AAP237" s="740"/>
      <c r="AAQ237" s="740"/>
      <c r="AAR237" s="740"/>
      <c r="AAS237" s="740"/>
      <c r="AAT237" s="740"/>
      <c r="AAU237" s="740"/>
      <c r="AAV237" s="740"/>
      <c r="AAW237" s="740"/>
      <c r="AAX237" s="740"/>
      <c r="AAY237" s="740"/>
      <c r="AAZ237" s="740"/>
      <c r="ABA237" s="740"/>
      <c r="ABB237" s="740"/>
      <c r="ABC237" s="740"/>
      <c r="ABD237" s="740"/>
      <c r="ABE237" s="740"/>
      <c r="ABF237" s="740"/>
      <c r="ABG237" s="740"/>
      <c r="ABH237" s="740"/>
      <c r="ABI237" s="740"/>
      <c r="ABJ237" s="740"/>
      <c r="ABK237" s="740"/>
      <c r="ABL237" s="740"/>
      <c r="ABM237" s="740"/>
      <c r="ABN237" s="740"/>
      <c r="ABO237" s="740"/>
      <c r="ABP237" s="740"/>
      <c r="ABQ237" s="740"/>
      <c r="ABR237" s="740"/>
      <c r="ABS237" s="740"/>
      <c r="ABT237" s="740"/>
      <c r="ABU237" s="740"/>
      <c r="ABV237" s="740"/>
      <c r="ABW237" s="740"/>
      <c r="ABX237" s="740"/>
      <c r="ABY237" s="740"/>
      <c r="ABZ237" s="740"/>
      <c r="ACA237" s="740"/>
      <c r="ACB237" s="740"/>
      <c r="ACC237" s="740"/>
      <c r="ACD237" s="740"/>
      <c r="ACE237" s="740"/>
      <c r="ACF237" s="740"/>
      <c r="ACG237" s="740"/>
      <c r="ACH237" s="740"/>
      <c r="ACI237" s="740"/>
      <c r="ACJ237" s="740"/>
      <c r="ACK237" s="740"/>
      <c r="ACL237" s="740"/>
      <c r="ACM237" s="740"/>
      <c r="ACN237" s="740"/>
      <c r="ACO237" s="740"/>
      <c r="ACP237" s="740"/>
      <c r="ACQ237" s="740"/>
      <c r="ACR237" s="740"/>
      <c r="ACS237" s="740"/>
      <c r="ACT237" s="740"/>
      <c r="ACU237" s="740"/>
      <c r="ACV237" s="740"/>
      <c r="ACW237" s="740"/>
      <c r="ACX237" s="740"/>
      <c r="ACY237" s="740"/>
      <c r="ACZ237" s="740"/>
      <c r="ADA237" s="740"/>
      <c r="ADB237" s="740"/>
      <c r="ADC237" s="740"/>
      <c r="ADD237" s="740"/>
      <c r="ADE237" s="740"/>
      <c r="ADF237" s="740"/>
      <c r="ADG237" s="740"/>
      <c r="ADH237" s="740"/>
      <c r="ADI237" s="740"/>
      <c r="ADJ237" s="740"/>
      <c r="ADK237" s="740"/>
      <c r="ADL237" s="740"/>
      <c r="ADM237" s="740"/>
      <c r="ADN237" s="740"/>
      <c r="ADO237" s="740"/>
      <c r="ADP237" s="740"/>
      <c r="ADQ237" s="740"/>
      <c r="ADR237" s="740"/>
      <c r="ADS237" s="740"/>
      <c r="ADT237" s="740"/>
      <c r="ADU237" s="740"/>
      <c r="ADV237" s="740"/>
      <c r="ADW237" s="740"/>
      <c r="ADX237" s="740"/>
      <c r="ADY237" s="740"/>
      <c r="ADZ237" s="740"/>
      <c r="AEA237" s="740"/>
      <c r="AEB237" s="740"/>
      <c r="AEC237" s="740"/>
      <c r="AED237" s="740"/>
      <c r="AEE237" s="740"/>
      <c r="AEF237" s="740"/>
      <c r="AEG237" s="740"/>
      <c r="AEH237" s="740"/>
      <c r="AEI237" s="740"/>
      <c r="AEJ237" s="740"/>
      <c r="AEK237" s="740"/>
      <c r="AEL237" s="740"/>
      <c r="AEM237" s="740"/>
      <c r="AEN237" s="740"/>
      <c r="AEO237" s="740"/>
      <c r="AEP237" s="740"/>
      <c r="AEQ237" s="740"/>
      <c r="AER237" s="740"/>
      <c r="AES237" s="740"/>
      <c r="AET237" s="740"/>
      <c r="AEU237" s="740"/>
      <c r="AEV237" s="740"/>
      <c r="AEW237" s="740"/>
      <c r="AEX237" s="740"/>
      <c r="AEY237" s="740"/>
      <c r="AEZ237" s="740"/>
      <c r="AFA237" s="740"/>
      <c r="AFB237" s="740"/>
      <c r="AFC237" s="740"/>
      <c r="AFD237" s="740"/>
      <c r="AFE237" s="740"/>
      <c r="AFF237" s="740"/>
      <c r="AFG237" s="740"/>
      <c r="AFH237" s="740"/>
      <c r="AFI237" s="740"/>
      <c r="AFJ237" s="740"/>
      <c r="AFK237" s="740"/>
      <c r="AFL237" s="740"/>
      <c r="AFM237" s="740"/>
      <c r="AFN237" s="740"/>
      <c r="AFO237" s="740"/>
      <c r="AFP237" s="740"/>
      <c r="AFQ237" s="740"/>
      <c r="AFR237" s="740"/>
      <c r="AFS237" s="740"/>
      <c r="AFT237" s="740"/>
      <c r="AFU237" s="740"/>
      <c r="AFV237" s="740"/>
      <c r="AFW237" s="740"/>
      <c r="AFX237" s="740"/>
      <c r="AFY237" s="740"/>
      <c r="AFZ237" s="740"/>
      <c r="AGA237" s="740"/>
      <c r="AGB237" s="740"/>
      <c r="AGC237" s="740"/>
      <c r="AGD237" s="740"/>
      <c r="AGE237" s="740"/>
      <c r="AGF237" s="740"/>
      <c r="AGG237" s="740"/>
      <c r="AGH237" s="740"/>
      <c r="AGI237" s="740"/>
      <c r="AGJ237" s="740"/>
      <c r="AGK237" s="740"/>
      <c r="AGL237" s="740"/>
      <c r="AGM237" s="740"/>
      <c r="AGN237" s="740"/>
      <c r="AGO237" s="740"/>
      <c r="AGP237" s="740"/>
      <c r="AGQ237" s="740"/>
      <c r="AGR237" s="740"/>
      <c r="AGS237" s="740"/>
      <c r="AGT237" s="740"/>
      <c r="AGU237" s="740"/>
      <c r="AGV237" s="740"/>
      <c r="AGW237" s="740"/>
      <c r="AGX237" s="740"/>
      <c r="AGY237" s="740"/>
      <c r="AGZ237" s="740"/>
      <c r="AHA237" s="740"/>
      <c r="AHB237" s="740"/>
      <c r="AHC237" s="740"/>
      <c r="AHD237" s="740"/>
      <c r="AHE237" s="740"/>
      <c r="AHF237" s="740"/>
      <c r="AHG237" s="740"/>
      <c r="AHH237" s="740"/>
      <c r="AHI237" s="740"/>
      <c r="AHJ237" s="740"/>
      <c r="AHK237" s="740"/>
      <c r="AHL237" s="740"/>
      <c r="AHM237" s="740"/>
      <c r="AHN237" s="740"/>
      <c r="AHO237" s="740"/>
      <c r="AHP237" s="740"/>
      <c r="AHQ237" s="740"/>
      <c r="AHR237" s="740"/>
      <c r="AHS237" s="740"/>
      <c r="AHT237" s="740"/>
      <c r="AHU237" s="740"/>
      <c r="AHV237" s="740"/>
      <c r="AHW237" s="740"/>
      <c r="AHX237" s="740"/>
      <c r="AHY237" s="740"/>
      <c r="AHZ237" s="740"/>
      <c r="AIA237" s="740"/>
      <c r="AIB237" s="740"/>
      <c r="AIC237" s="740"/>
      <c r="AID237" s="740"/>
      <c r="AIE237" s="740"/>
      <c r="AIF237" s="740"/>
      <c r="AIG237" s="740"/>
      <c r="AIH237" s="740"/>
      <c r="AII237" s="740"/>
      <c r="AIJ237" s="740"/>
      <c r="AIK237" s="740"/>
      <c r="AIL237" s="740"/>
      <c r="AIM237" s="740"/>
      <c r="AIN237" s="740"/>
      <c r="AIO237" s="740"/>
      <c r="AIP237" s="740"/>
      <c r="AIQ237" s="740"/>
      <c r="AIR237" s="740"/>
      <c r="AIS237" s="740"/>
      <c r="AIT237" s="740"/>
      <c r="AIU237" s="740"/>
      <c r="AIV237" s="740"/>
      <c r="AIW237" s="740"/>
      <c r="AIX237" s="740"/>
      <c r="AIY237" s="740"/>
      <c r="AIZ237" s="740"/>
      <c r="AJA237" s="740"/>
      <c r="AJB237" s="740"/>
      <c r="AJC237" s="740"/>
      <c r="AJD237" s="740"/>
      <c r="AJE237" s="740"/>
      <c r="AJF237" s="740"/>
      <c r="AJG237" s="740"/>
      <c r="AJH237" s="740"/>
      <c r="AJI237" s="740"/>
      <c r="AJJ237" s="740"/>
      <c r="AJK237" s="740"/>
      <c r="AJL237" s="740"/>
      <c r="AJM237" s="740"/>
      <c r="AJN237" s="740"/>
      <c r="AJO237" s="740"/>
      <c r="AJP237" s="740"/>
      <c r="AJQ237" s="740"/>
      <c r="AJR237" s="740"/>
      <c r="AJS237" s="740"/>
      <c r="AJT237" s="740"/>
      <c r="AJU237" s="740"/>
      <c r="AJV237" s="740"/>
      <c r="AJW237" s="740"/>
      <c r="AJX237" s="740"/>
      <c r="AJY237" s="740"/>
      <c r="AJZ237" s="740"/>
      <c r="AKA237" s="740"/>
      <c r="AKB237" s="740"/>
      <c r="AKC237" s="740"/>
      <c r="AKD237" s="740"/>
      <c r="AKE237" s="740"/>
      <c r="AKF237" s="740"/>
      <c r="AKG237" s="740"/>
      <c r="AKH237" s="740"/>
      <c r="AKI237" s="740"/>
      <c r="AKJ237" s="740"/>
      <c r="AKK237" s="740"/>
      <c r="AKL237" s="740"/>
      <c r="AKM237" s="740"/>
      <c r="AKN237" s="740"/>
      <c r="AKO237" s="740"/>
      <c r="AKP237" s="740"/>
      <c r="AKQ237" s="740"/>
      <c r="AKR237" s="740"/>
      <c r="AKS237" s="740"/>
      <c r="AKT237" s="740"/>
      <c r="AKU237" s="740"/>
      <c r="AKV237" s="740"/>
      <c r="AKW237" s="740"/>
      <c r="AKX237" s="740"/>
      <c r="AKY237" s="740"/>
      <c r="AKZ237" s="740"/>
      <c r="ALA237" s="740"/>
      <c r="ALB237" s="740"/>
      <c r="ALC237" s="740"/>
      <c r="ALD237" s="740"/>
      <c r="ALE237" s="740"/>
      <c r="ALF237" s="740"/>
      <c r="ALG237" s="740"/>
      <c r="ALH237" s="740"/>
      <c r="ALI237" s="740"/>
      <c r="ALJ237" s="740"/>
      <c r="ALK237" s="740"/>
      <c r="ALL237" s="740"/>
      <c r="ALM237" s="740"/>
      <c r="ALN237" s="740"/>
      <c r="ALO237" s="740"/>
      <c r="ALP237" s="740"/>
      <c r="ALQ237" s="740"/>
      <c r="ALR237" s="740"/>
      <c r="ALS237" s="740"/>
      <c r="ALT237" s="740"/>
      <c r="ALU237" s="740"/>
      <c r="ALV237" s="740"/>
      <c r="ALW237" s="740"/>
      <c r="ALX237" s="740"/>
      <c r="ALY237" s="740"/>
      <c r="ALZ237" s="740"/>
      <c r="AMA237" s="740"/>
      <c r="AMB237" s="740"/>
      <c r="AMC237" s="740"/>
      <c r="AMD237" s="740"/>
      <c r="AME237" s="740"/>
      <c r="AMF237" s="740"/>
      <c r="AMG237" s="740"/>
      <c r="AMH237" s="740"/>
      <c r="AMI237" s="740"/>
      <c r="AMJ237" s="740"/>
      <c r="AMK237" s="740"/>
      <c r="AML237" s="740"/>
      <c r="AMM237" s="740"/>
      <c r="AMN237" s="740"/>
      <c r="AMO237" s="740"/>
      <c r="AMP237" s="740"/>
      <c r="AMQ237" s="740"/>
      <c r="AMR237" s="740"/>
      <c r="AMS237" s="740"/>
      <c r="AMT237" s="740"/>
      <c r="AMU237" s="740"/>
      <c r="AMV237" s="740"/>
      <c r="AMW237" s="740"/>
      <c r="AMX237" s="740"/>
      <c r="AMY237" s="740"/>
      <c r="AMZ237" s="740"/>
      <c r="ANA237" s="740"/>
      <c r="ANB237" s="740"/>
      <c r="ANC237" s="740"/>
      <c r="AND237" s="740"/>
      <c r="ANE237" s="740"/>
      <c r="ANF237" s="740"/>
      <c r="ANG237" s="740"/>
      <c r="ANH237" s="740"/>
      <c r="ANI237" s="740"/>
      <c r="ANJ237" s="740"/>
      <c r="ANK237" s="740"/>
      <c r="ANL237" s="740"/>
      <c r="ANM237" s="740"/>
      <c r="ANN237" s="740"/>
      <c r="ANO237" s="740"/>
      <c r="ANP237" s="740"/>
      <c r="ANQ237" s="740"/>
      <c r="ANR237" s="740"/>
      <c r="ANS237" s="740"/>
      <c r="ANT237" s="740"/>
      <c r="ANU237" s="740"/>
      <c r="ANV237" s="740"/>
      <c r="ANW237" s="740"/>
      <c r="ANX237" s="740"/>
      <c r="ANY237" s="740"/>
      <c r="ANZ237" s="740"/>
      <c r="AOA237" s="740"/>
      <c r="AOB237" s="740"/>
      <c r="AOC237" s="740"/>
      <c r="AOD237" s="740"/>
      <c r="AOE237" s="740"/>
      <c r="AOF237" s="740"/>
      <c r="AOG237" s="740"/>
      <c r="AOH237" s="740"/>
      <c r="AOI237" s="740"/>
      <c r="AOJ237" s="740"/>
      <c r="AOK237" s="740"/>
      <c r="AOL237" s="740"/>
      <c r="AOM237" s="740"/>
      <c r="AON237" s="740"/>
      <c r="AOO237" s="740"/>
      <c r="AOP237" s="740"/>
      <c r="AOQ237" s="740"/>
      <c r="AOR237" s="740"/>
      <c r="AOS237" s="740"/>
      <c r="AOT237" s="740"/>
      <c r="AOU237" s="740"/>
      <c r="AOV237" s="740"/>
      <c r="AOW237" s="740"/>
      <c r="AOX237" s="740"/>
      <c r="AOY237" s="740"/>
      <c r="AOZ237" s="740"/>
      <c r="APA237" s="740"/>
      <c r="APB237" s="740"/>
      <c r="APC237" s="740"/>
      <c r="APD237" s="740"/>
      <c r="APE237" s="740"/>
      <c r="APF237" s="740"/>
      <c r="APG237" s="740"/>
      <c r="APH237" s="740"/>
      <c r="API237" s="740"/>
      <c r="APJ237" s="740"/>
      <c r="APK237" s="740"/>
      <c r="APL237" s="740"/>
      <c r="APM237" s="740"/>
      <c r="APN237" s="740"/>
      <c r="APO237" s="740"/>
      <c r="APP237" s="740"/>
      <c r="APQ237" s="740"/>
      <c r="APR237" s="740"/>
      <c r="APS237" s="740"/>
      <c r="APT237" s="740"/>
      <c r="APU237" s="740"/>
      <c r="APV237" s="740"/>
      <c r="APW237" s="740"/>
      <c r="APX237" s="740"/>
      <c r="APY237" s="740"/>
      <c r="APZ237" s="740"/>
      <c r="AQA237" s="740"/>
      <c r="AQB237" s="740"/>
      <c r="AQC237" s="740"/>
      <c r="AQD237" s="740"/>
      <c r="AQE237" s="740"/>
      <c r="AQF237" s="740"/>
      <c r="AQG237" s="740"/>
      <c r="AQH237" s="740"/>
      <c r="AQI237" s="740"/>
      <c r="AQJ237" s="740"/>
      <c r="AQK237" s="740"/>
      <c r="AQL237" s="740"/>
      <c r="AQM237" s="740"/>
      <c r="AQN237" s="740"/>
      <c r="AQO237" s="740"/>
      <c r="AQP237" s="740"/>
      <c r="AQQ237" s="740"/>
      <c r="AQR237" s="740"/>
      <c r="AQS237" s="740"/>
      <c r="AQT237" s="740"/>
      <c r="AQU237" s="740"/>
      <c r="AQV237" s="740"/>
      <c r="AQW237" s="740"/>
      <c r="AQX237" s="740"/>
      <c r="AQY237" s="740"/>
      <c r="AQZ237" s="740"/>
      <c r="ARA237" s="740"/>
      <c r="ARB237" s="740"/>
      <c r="ARC237" s="740"/>
      <c r="ARD237" s="740"/>
      <c r="ARE237" s="740"/>
      <c r="ARF237" s="740"/>
      <c r="ARG237" s="740"/>
      <c r="ARH237" s="740"/>
      <c r="ARI237" s="740"/>
      <c r="ARJ237" s="740"/>
      <c r="ARK237" s="740"/>
      <c r="ARL237" s="740"/>
      <c r="ARM237" s="740"/>
      <c r="ARN237" s="740"/>
      <c r="ARO237" s="740"/>
      <c r="ARP237" s="740"/>
      <c r="ARQ237" s="740"/>
      <c r="ARR237" s="740"/>
      <c r="ARS237" s="740"/>
      <c r="ART237" s="740"/>
      <c r="ARU237" s="740"/>
      <c r="ARV237" s="740"/>
      <c r="ARW237" s="740"/>
      <c r="ARX237" s="740"/>
      <c r="ARY237" s="740"/>
      <c r="ARZ237" s="740"/>
      <c r="ASA237" s="740"/>
      <c r="ASB237" s="740"/>
      <c r="ASC237" s="740"/>
      <c r="ASD237" s="740"/>
      <c r="ASE237" s="740"/>
      <c r="ASF237" s="740"/>
      <c r="ASG237" s="740"/>
      <c r="ASH237" s="740"/>
      <c r="ASI237" s="740"/>
      <c r="ASJ237" s="740"/>
      <c r="ASK237" s="740"/>
      <c r="ASL237" s="740"/>
      <c r="ASM237" s="740"/>
      <c r="ASN237" s="740"/>
      <c r="ASO237" s="740"/>
      <c r="ASP237" s="740"/>
      <c r="ASQ237" s="740"/>
      <c r="ASR237" s="740"/>
      <c r="ASS237" s="740"/>
      <c r="AST237" s="740"/>
      <c r="ASU237" s="740"/>
      <c r="ASV237" s="740"/>
      <c r="ASW237" s="740"/>
      <c r="ASX237" s="740"/>
      <c r="ASY237" s="740"/>
      <c r="ASZ237" s="740"/>
      <c r="ATA237" s="740"/>
      <c r="ATB237" s="740"/>
      <c r="ATC237" s="740"/>
      <c r="ATD237" s="740"/>
      <c r="ATE237" s="740"/>
      <c r="ATF237" s="740"/>
      <c r="ATG237" s="740"/>
      <c r="ATH237" s="740"/>
      <c r="ATI237" s="740"/>
      <c r="ATJ237" s="740"/>
      <c r="ATK237" s="740"/>
      <c r="ATL237" s="740"/>
      <c r="ATM237" s="740"/>
      <c r="ATN237" s="740"/>
      <c r="ATO237" s="740"/>
      <c r="ATP237" s="740"/>
      <c r="ATQ237" s="740"/>
      <c r="ATR237" s="740"/>
      <c r="ATS237" s="740"/>
      <c r="ATT237" s="740"/>
      <c r="ATU237" s="740"/>
      <c r="ATV237" s="740"/>
      <c r="ATW237" s="740"/>
      <c r="ATX237" s="740"/>
      <c r="ATY237" s="740"/>
      <c r="ATZ237" s="740"/>
      <c r="AUA237" s="740"/>
      <c r="AUB237" s="740"/>
      <c r="AUC237" s="740"/>
      <c r="AUD237" s="740"/>
      <c r="AUE237" s="740"/>
      <c r="AUF237" s="740"/>
      <c r="AUG237" s="740"/>
      <c r="AUH237" s="740"/>
      <c r="AUI237" s="740"/>
      <c r="AUJ237" s="740"/>
      <c r="AUK237" s="740"/>
      <c r="AUL237" s="740"/>
      <c r="AUM237" s="740"/>
      <c r="AUN237" s="740"/>
      <c r="AUO237" s="740"/>
      <c r="AUP237" s="740"/>
      <c r="AUQ237" s="740"/>
      <c r="AUR237" s="740"/>
      <c r="AUS237" s="740"/>
      <c r="AUT237" s="740"/>
      <c r="AUU237" s="740"/>
      <c r="AUV237" s="740"/>
      <c r="AUW237" s="740"/>
      <c r="AUX237" s="740"/>
      <c r="AUY237" s="740"/>
      <c r="AUZ237" s="740"/>
      <c r="AVA237" s="740"/>
      <c r="AVB237" s="740"/>
      <c r="AVC237" s="740"/>
      <c r="AVD237" s="740"/>
      <c r="AVE237" s="740"/>
      <c r="AVF237" s="740"/>
      <c r="AVG237" s="740"/>
      <c r="AVH237" s="740"/>
      <c r="AVI237" s="740"/>
      <c r="AVJ237" s="740"/>
      <c r="AVK237" s="740"/>
      <c r="AVL237" s="740"/>
      <c r="AVM237" s="740"/>
      <c r="AVN237" s="740"/>
      <c r="AVO237" s="740"/>
      <c r="AVP237" s="740"/>
      <c r="AVQ237" s="740"/>
      <c r="AVR237" s="740"/>
      <c r="AVS237" s="740"/>
      <c r="AVT237" s="740"/>
      <c r="AVU237" s="740"/>
      <c r="AVV237" s="740"/>
      <c r="AVW237" s="740"/>
      <c r="AVX237" s="740"/>
      <c r="AVY237" s="740"/>
      <c r="AVZ237" s="740"/>
      <c r="AWA237" s="740"/>
      <c r="AWB237" s="740"/>
      <c r="AWC237" s="740"/>
      <c r="AWD237" s="740"/>
      <c r="AWE237" s="740"/>
      <c r="AWF237" s="740"/>
      <c r="AWG237" s="740"/>
      <c r="AWH237" s="740"/>
      <c r="AWI237" s="740"/>
      <c r="AWJ237" s="740"/>
      <c r="AWK237" s="740"/>
      <c r="AWL237" s="740"/>
      <c r="AWM237" s="740"/>
      <c r="AWN237" s="740"/>
      <c r="AWO237" s="740"/>
      <c r="AWP237" s="740"/>
      <c r="AWQ237" s="740"/>
      <c r="AWR237" s="740"/>
      <c r="AWS237" s="740"/>
      <c r="AWT237" s="740"/>
      <c r="AWU237" s="740"/>
      <c r="AWV237" s="740"/>
      <c r="AWW237" s="740"/>
      <c r="AWX237" s="740"/>
      <c r="AWY237" s="740"/>
      <c r="AWZ237" s="740"/>
      <c r="AXA237" s="740"/>
      <c r="AXB237" s="740"/>
      <c r="AXC237" s="740"/>
      <c r="AXD237" s="740"/>
      <c r="AXE237" s="740"/>
      <c r="AXF237" s="740"/>
      <c r="AXG237" s="740"/>
      <c r="AXH237" s="740"/>
      <c r="AXI237" s="740"/>
      <c r="AXJ237" s="740"/>
    </row>
    <row r="238" spans="1:1310" s="741" customFormat="1" ht="56.25" customHeight="1">
      <c r="A238" s="756"/>
      <c r="B238" s="9008" t="s">
        <v>1602</v>
      </c>
      <c r="C238" s="9008"/>
      <c r="D238" s="9008"/>
      <c r="E238" s="9008"/>
      <c r="F238" s="750"/>
      <c r="G238" s="9009" t="s">
        <v>1602</v>
      </c>
      <c r="H238" s="9009"/>
      <c r="I238" s="9009"/>
      <c r="J238" s="751"/>
      <c r="K238" s="9010" t="s">
        <v>1603</v>
      </c>
      <c r="L238" s="9010"/>
      <c r="M238" s="9010"/>
      <c r="N238" s="751"/>
      <c r="O238" s="9011" t="s">
        <v>1604</v>
      </c>
      <c r="P238" s="9011"/>
      <c r="Q238" s="9011"/>
      <c r="R238" s="311"/>
      <c r="S238" s="311"/>
      <c r="T238" s="311"/>
      <c r="U238" s="311"/>
      <c r="V238" s="311"/>
      <c r="W238" s="311"/>
      <c r="X238" s="311"/>
      <c r="Y238" s="311"/>
      <c r="Z238" s="311"/>
      <c r="AA238" s="311"/>
      <c r="AB238" s="311"/>
      <c r="AC238" s="311"/>
      <c r="AD238" s="740"/>
      <c r="AE238" s="740"/>
      <c r="AF238" s="740"/>
      <c r="AG238" s="740"/>
      <c r="AH238" s="740"/>
      <c r="AI238" s="740"/>
      <c r="AJ238" s="740"/>
      <c r="AK238" s="740"/>
      <c r="AL238" s="740"/>
      <c r="AM238" s="740"/>
      <c r="AN238" s="740"/>
      <c r="AO238" s="740"/>
      <c r="AP238" s="740"/>
      <c r="AQ238" s="740"/>
      <c r="AR238" s="740"/>
      <c r="AS238" s="740"/>
      <c r="AT238" s="740"/>
      <c r="AU238" s="740"/>
      <c r="AV238" s="740"/>
      <c r="AW238" s="740"/>
      <c r="AX238" s="740"/>
      <c r="AY238" s="740"/>
      <c r="AZ238" s="740"/>
      <c r="BA238" s="740"/>
      <c r="BB238" s="740"/>
      <c r="BC238" s="740"/>
      <c r="BD238" s="740"/>
      <c r="BE238" s="740"/>
      <c r="BF238" s="740"/>
      <c r="BG238" s="740"/>
      <c r="BH238" s="740"/>
      <c r="BI238" s="740"/>
      <c r="BJ238" s="740"/>
      <c r="BK238" s="740"/>
      <c r="BL238" s="740"/>
      <c r="BM238" s="740"/>
      <c r="BN238" s="740"/>
      <c r="BO238" s="740"/>
      <c r="BP238" s="740"/>
      <c r="BQ238" s="740"/>
      <c r="BR238" s="740"/>
      <c r="BS238" s="740"/>
      <c r="BT238" s="740"/>
      <c r="BU238" s="740"/>
      <c r="BV238" s="740"/>
      <c r="BW238" s="740"/>
      <c r="BX238" s="740"/>
      <c r="BY238" s="740"/>
      <c r="BZ238" s="740"/>
      <c r="CA238" s="740"/>
      <c r="CB238" s="740"/>
      <c r="CC238" s="740"/>
      <c r="CD238" s="740"/>
      <c r="CE238" s="740"/>
      <c r="CF238" s="740"/>
      <c r="CG238" s="740"/>
      <c r="CH238" s="740"/>
      <c r="CI238" s="740"/>
      <c r="CJ238" s="740"/>
      <c r="CK238" s="740"/>
      <c r="CL238" s="740"/>
      <c r="CM238" s="740"/>
      <c r="CN238" s="740"/>
      <c r="CO238" s="740"/>
      <c r="CP238" s="740"/>
      <c r="CQ238" s="740"/>
      <c r="CR238" s="740"/>
      <c r="CS238" s="740"/>
      <c r="CT238" s="740"/>
      <c r="CU238" s="740"/>
      <c r="CV238" s="740"/>
      <c r="CW238" s="740"/>
      <c r="CX238" s="740"/>
      <c r="CY238" s="740"/>
      <c r="CZ238" s="740"/>
      <c r="DA238" s="740"/>
      <c r="DB238" s="740"/>
      <c r="DC238" s="740"/>
      <c r="DD238" s="740"/>
      <c r="DE238" s="740"/>
      <c r="DF238" s="740"/>
      <c r="DG238" s="740"/>
      <c r="DH238" s="740"/>
      <c r="DI238" s="740"/>
      <c r="DJ238" s="740"/>
      <c r="DK238" s="740"/>
      <c r="DL238" s="740"/>
      <c r="DM238" s="740"/>
      <c r="DN238" s="740"/>
      <c r="DO238" s="740"/>
      <c r="DP238" s="740"/>
      <c r="DQ238" s="740"/>
      <c r="DR238" s="740"/>
      <c r="DS238" s="740"/>
      <c r="DT238" s="740"/>
      <c r="DU238" s="740"/>
      <c r="DV238" s="740"/>
      <c r="DW238" s="740"/>
      <c r="DX238" s="740"/>
      <c r="DY238" s="740"/>
      <c r="DZ238" s="740"/>
      <c r="EA238" s="740"/>
      <c r="EB238" s="740"/>
      <c r="EC238" s="740"/>
      <c r="ED238" s="740"/>
      <c r="EE238" s="740"/>
      <c r="EF238" s="740"/>
      <c r="EG238" s="740"/>
      <c r="EH238" s="740"/>
      <c r="EI238" s="740"/>
      <c r="EJ238" s="740"/>
      <c r="EK238" s="740"/>
      <c r="EL238" s="740"/>
      <c r="EM238" s="740"/>
      <c r="EN238" s="740"/>
      <c r="EO238" s="740"/>
      <c r="EP238" s="740"/>
      <c r="EQ238" s="740"/>
      <c r="ER238" s="740"/>
      <c r="ES238" s="740"/>
      <c r="ET238" s="740"/>
      <c r="EU238" s="740"/>
      <c r="EV238" s="740"/>
      <c r="EW238" s="740"/>
      <c r="EX238" s="740"/>
      <c r="EY238" s="740"/>
      <c r="EZ238" s="740"/>
      <c r="FA238" s="740"/>
      <c r="FB238" s="740"/>
      <c r="FC238" s="740"/>
      <c r="FD238" s="740"/>
      <c r="FE238" s="740"/>
      <c r="FF238" s="740"/>
      <c r="FG238" s="740"/>
      <c r="FH238" s="740"/>
      <c r="FI238" s="740"/>
      <c r="FJ238" s="740"/>
      <c r="FK238" s="740"/>
      <c r="FL238" s="740"/>
      <c r="FM238" s="740"/>
      <c r="FN238" s="740"/>
      <c r="FO238" s="740"/>
      <c r="FP238" s="740"/>
      <c r="FQ238" s="740"/>
      <c r="FR238" s="740"/>
      <c r="FS238" s="740"/>
      <c r="FT238" s="740"/>
      <c r="FU238" s="740"/>
      <c r="FV238" s="740"/>
      <c r="FW238" s="740"/>
      <c r="FX238" s="740"/>
      <c r="FY238" s="740"/>
      <c r="FZ238" s="740"/>
      <c r="GA238" s="740"/>
      <c r="GB238" s="740"/>
      <c r="GC238" s="740"/>
      <c r="GD238" s="740"/>
      <c r="GE238" s="740"/>
      <c r="GF238" s="740"/>
      <c r="GG238" s="740"/>
      <c r="GH238" s="740"/>
      <c r="GI238" s="740"/>
      <c r="GJ238" s="740"/>
      <c r="GK238" s="740"/>
      <c r="GL238" s="740"/>
      <c r="GM238" s="740"/>
      <c r="GN238" s="740"/>
      <c r="GO238" s="740"/>
      <c r="GP238" s="740"/>
      <c r="GQ238" s="740"/>
      <c r="GR238" s="740"/>
      <c r="GS238" s="740"/>
      <c r="GT238" s="740"/>
      <c r="GU238" s="740"/>
      <c r="GV238" s="740"/>
      <c r="GW238" s="740"/>
      <c r="GX238" s="740"/>
      <c r="GY238" s="740"/>
      <c r="GZ238" s="740"/>
      <c r="HA238" s="740"/>
      <c r="HB238" s="740"/>
      <c r="HC238" s="740"/>
      <c r="HD238" s="740"/>
      <c r="HE238" s="740"/>
      <c r="HF238" s="740"/>
      <c r="HG238" s="740"/>
      <c r="HH238" s="740"/>
      <c r="HI238" s="740"/>
      <c r="HJ238" s="740"/>
      <c r="HK238" s="740"/>
      <c r="HL238" s="740"/>
      <c r="HM238" s="740"/>
      <c r="HN238" s="740"/>
      <c r="HO238" s="740"/>
      <c r="HP238" s="740"/>
      <c r="HQ238" s="740"/>
      <c r="HR238" s="740"/>
      <c r="HS238" s="740"/>
      <c r="HT238" s="740"/>
      <c r="HU238" s="740"/>
      <c r="HV238" s="740"/>
      <c r="HW238" s="740"/>
      <c r="HX238" s="740"/>
      <c r="HY238" s="740"/>
      <c r="HZ238" s="740"/>
      <c r="IA238" s="740"/>
      <c r="IB238" s="740"/>
      <c r="IC238" s="740"/>
      <c r="ID238" s="740"/>
      <c r="IE238" s="740"/>
      <c r="IF238" s="740"/>
      <c r="IG238" s="740"/>
      <c r="IH238" s="740"/>
      <c r="II238" s="740"/>
      <c r="IJ238" s="740"/>
      <c r="IK238" s="740"/>
      <c r="IL238" s="740"/>
      <c r="IM238" s="740"/>
      <c r="IN238" s="740"/>
      <c r="IO238" s="740"/>
      <c r="IP238" s="740"/>
      <c r="IQ238" s="740"/>
      <c r="IR238" s="740"/>
      <c r="IS238" s="740"/>
      <c r="IT238" s="740"/>
      <c r="IU238" s="740"/>
      <c r="IV238" s="740"/>
      <c r="IW238" s="740"/>
      <c r="IX238" s="740"/>
      <c r="IY238" s="740"/>
      <c r="IZ238" s="740"/>
      <c r="JA238" s="740"/>
      <c r="JB238" s="740"/>
      <c r="JC238" s="740"/>
      <c r="JD238" s="740"/>
      <c r="JE238" s="740"/>
      <c r="JF238" s="740"/>
      <c r="JG238" s="740"/>
      <c r="JH238" s="740"/>
      <c r="JI238" s="740"/>
      <c r="JJ238" s="740"/>
      <c r="JK238" s="740"/>
      <c r="JL238" s="740"/>
      <c r="JM238" s="740"/>
      <c r="JN238" s="740"/>
      <c r="JO238" s="740"/>
      <c r="JP238" s="740"/>
      <c r="JQ238" s="740"/>
      <c r="JR238" s="740"/>
      <c r="JS238" s="740"/>
      <c r="JT238" s="740"/>
      <c r="JU238" s="740"/>
      <c r="JV238" s="740"/>
      <c r="JW238" s="740"/>
      <c r="JX238" s="740"/>
      <c r="JY238" s="740"/>
      <c r="JZ238" s="740"/>
      <c r="KA238" s="740"/>
      <c r="KB238" s="740"/>
      <c r="KC238" s="740"/>
      <c r="KD238" s="740"/>
      <c r="KE238" s="740"/>
      <c r="KF238" s="740"/>
      <c r="KG238" s="740"/>
      <c r="KH238" s="740"/>
      <c r="KI238" s="740"/>
      <c r="KJ238" s="740"/>
      <c r="KK238" s="740"/>
      <c r="KL238" s="740"/>
      <c r="KM238" s="740"/>
      <c r="KN238" s="740"/>
      <c r="KO238" s="740"/>
      <c r="KP238" s="740"/>
      <c r="KQ238" s="740"/>
      <c r="KR238" s="740"/>
      <c r="KS238" s="740"/>
      <c r="KT238" s="740"/>
      <c r="KU238" s="740"/>
      <c r="KV238" s="740"/>
      <c r="KW238" s="740"/>
      <c r="KX238" s="740"/>
      <c r="KY238" s="740"/>
      <c r="KZ238" s="740"/>
      <c r="LA238" s="740"/>
      <c r="LB238" s="740"/>
      <c r="LC238" s="740"/>
      <c r="LD238" s="740"/>
      <c r="LE238" s="740"/>
      <c r="LF238" s="740"/>
      <c r="LG238" s="740"/>
      <c r="LH238" s="740"/>
      <c r="LI238" s="740"/>
      <c r="LJ238" s="740"/>
      <c r="LK238" s="740"/>
      <c r="LL238" s="740"/>
      <c r="LM238" s="740"/>
      <c r="LN238" s="740"/>
      <c r="LO238" s="740"/>
      <c r="LP238" s="740"/>
      <c r="LQ238" s="740"/>
      <c r="LR238" s="740"/>
      <c r="LS238" s="740"/>
      <c r="LT238" s="740"/>
      <c r="LU238" s="740"/>
      <c r="LV238" s="740"/>
      <c r="LW238" s="740"/>
      <c r="LX238" s="740"/>
      <c r="LY238" s="740"/>
      <c r="LZ238" s="740"/>
      <c r="MA238" s="740"/>
      <c r="MB238" s="740"/>
      <c r="MC238" s="740"/>
      <c r="MD238" s="740"/>
      <c r="ME238" s="740"/>
      <c r="MF238" s="740"/>
      <c r="MG238" s="740"/>
      <c r="MH238" s="740"/>
      <c r="MI238" s="740"/>
      <c r="MJ238" s="740"/>
      <c r="MK238" s="740"/>
      <c r="ML238" s="740"/>
      <c r="MM238" s="740"/>
      <c r="MN238" s="740"/>
      <c r="MO238" s="740"/>
      <c r="MP238" s="740"/>
      <c r="MQ238" s="740"/>
      <c r="MR238" s="740"/>
      <c r="MS238" s="740"/>
      <c r="MT238" s="740"/>
      <c r="MU238" s="740"/>
      <c r="MV238" s="740"/>
      <c r="MW238" s="740"/>
      <c r="MX238" s="740"/>
      <c r="MY238" s="740"/>
      <c r="MZ238" s="740"/>
      <c r="NA238" s="740"/>
      <c r="NB238" s="740"/>
      <c r="NC238" s="740"/>
      <c r="ND238" s="740"/>
      <c r="NE238" s="740"/>
      <c r="NF238" s="740"/>
      <c r="NG238" s="740"/>
      <c r="NH238" s="740"/>
      <c r="NI238" s="740"/>
      <c r="NJ238" s="740"/>
      <c r="NK238" s="740"/>
      <c r="NL238" s="740"/>
      <c r="NM238" s="740"/>
      <c r="NN238" s="740"/>
      <c r="NO238" s="740"/>
      <c r="NP238" s="740"/>
      <c r="NQ238" s="740"/>
      <c r="NR238" s="740"/>
      <c r="NS238" s="740"/>
      <c r="NT238" s="740"/>
      <c r="NU238" s="740"/>
      <c r="NV238" s="740"/>
      <c r="NW238" s="740"/>
      <c r="NX238" s="740"/>
      <c r="NY238" s="740"/>
      <c r="NZ238" s="740"/>
      <c r="OA238" s="740"/>
      <c r="OB238" s="740"/>
      <c r="OC238" s="740"/>
      <c r="OD238" s="740"/>
      <c r="OE238" s="740"/>
      <c r="OF238" s="740"/>
      <c r="OG238" s="740"/>
      <c r="OH238" s="740"/>
      <c r="OI238" s="740"/>
      <c r="OJ238" s="740"/>
      <c r="OK238" s="740"/>
      <c r="OL238" s="740"/>
      <c r="OM238" s="740"/>
      <c r="ON238" s="740"/>
      <c r="OO238" s="740"/>
      <c r="OP238" s="740"/>
      <c r="OQ238" s="740"/>
      <c r="OR238" s="740"/>
      <c r="OS238" s="740"/>
      <c r="OT238" s="740"/>
      <c r="OU238" s="740"/>
      <c r="OV238" s="740"/>
      <c r="OW238" s="740"/>
      <c r="OX238" s="740"/>
      <c r="OY238" s="740"/>
      <c r="OZ238" s="740"/>
      <c r="PA238" s="740"/>
      <c r="PB238" s="740"/>
      <c r="PC238" s="740"/>
      <c r="PD238" s="740"/>
      <c r="PE238" s="740"/>
      <c r="PF238" s="740"/>
      <c r="PG238" s="740"/>
      <c r="PH238" s="740"/>
      <c r="PI238" s="740"/>
      <c r="PJ238" s="740"/>
      <c r="PK238" s="740"/>
      <c r="PL238" s="740"/>
      <c r="PM238" s="740"/>
      <c r="PN238" s="740"/>
      <c r="PO238" s="740"/>
      <c r="PP238" s="740"/>
      <c r="PQ238" s="740"/>
      <c r="PR238" s="740"/>
      <c r="PS238" s="740"/>
      <c r="PT238" s="740"/>
      <c r="PU238" s="740"/>
      <c r="PV238" s="740"/>
      <c r="PW238" s="740"/>
      <c r="PX238" s="740"/>
      <c r="PY238" s="740"/>
      <c r="PZ238" s="740"/>
      <c r="QA238" s="740"/>
      <c r="QB238" s="740"/>
      <c r="QC238" s="740"/>
      <c r="QD238" s="740"/>
      <c r="QE238" s="740"/>
      <c r="QF238" s="740"/>
      <c r="QG238" s="740"/>
      <c r="QH238" s="740"/>
      <c r="QI238" s="740"/>
      <c r="QJ238" s="740"/>
      <c r="QK238" s="740"/>
      <c r="QL238" s="740"/>
      <c r="QM238" s="740"/>
      <c r="QN238" s="740"/>
      <c r="QO238" s="740"/>
      <c r="QP238" s="740"/>
      <c r="QQ238" s="740"/>
      <c r="QR238" s="740"/>
      <c r="QS238" s="740"/>
      <c r="QT238" s="740"/>
      <c r="QU238" s="740"/>
      <c r="QV238" s="740"/>
      <c r="QW238" s="740"/>
      <c r="QX238" s="740"/>
      <c r="QY238" s="740"/>
      <c r="QZ238" s="740"/>
      <c r="RA238" s="740"/>
      <c r="RB238" s="740"/>
      <c r="RC238" s="740"/>
      <c r="RD238" s="740"/>
      <c r="RE238" s="740"/>
      <c r="RF238" s="740"/>
      <c r="RG238" s="740"/>
      <c r="RH238" s="740"/>
      <c r="RI238" s="740"/>
      <c r="RJ238" s="740"/>
      <c r="RK238" s="740"/>
      <c r="RL238" s="740"/>
      <c r="RM238" s="740"/>
      <c r="RN238" s="740"/>
      <c r="RO238" s="740"/>
      <c r="RP238" s="740"/>
      <c r="RQ238" s="740"/>
      <c r="RR238" s="740"/>
      <c r="RS238" s="740"/>
      <c r="RT238" s="740"/>
      <c r="RU238" s="740"/>
      <c r="RV238" s="740"/>
      <c r="RW238" s="740"/>
      <c r="RX238" s="740"/>
      <c r="RY238" s="740"/>
      <c r="RZ238" s="740"/>
      <c r="SA238" s="740"/>
      <c r="SB238" s="740"/>
      <c r="SC238" s="740"/>
      <c r="SD238" s="740"/>
      <c r="SE238" s="740"/>
      <c r="SF238" s="740"/>
      <c r="SG238" s="740"/>
      <c r="SH238" s="740"/>
      <c r="SI238" s="740"/>
      <c r="SJ238" s="740"/>
      <c r="SK238" s="740"/>
      <c r="SL238" s="740"/>
      <c r="SM238" s="740"/>
      <c r="SN238" s="740"/>
      <c r="SO238" s="740"/>
      <c r="SP238" s="740"/>
      <c r="SQ238" s="740"/>
      <c r="SR238" s="740"/>
      <c r="SS238" s="740"/>
      <c r="ST238" s="740"/>
      <c r="SU238" s="740"/>
      <c r="SV238" s="740"/>
      <c r="SW238" s="740"/>
      <c r="SX238" s="740"/>
      <c r="SY238" s="740"/>
      <c r="SZ238" s="740"/>
      <c r="TA238" s="740"/>
      <c r="TB238" s="740"/>
      <c r="TC238" s="740"/>
      <c r="TD238" s="740"/>
      <c r="TE238" s="740"/>
      <c r="TF238" s="740"/>
      <c r="TG238" s="740"/>
      <c r="TH238" s="740"/>
      <c r="TI238" s="740"/>
      <c r="TJ238" s="740"/>
      <c r="TK238" s="740"/>
      <c r="TL238" s="740"/>
      <c r="TM238" s="740"/>
      <c r="TN238" s="740"/>
      <c r="TO238" s="740"/>
      <c r="TP238" s="740"/>
      <c r="TQ238" s="740"/>
      <c r="TR238" s="740"/>
      <c r="TS238" s="740"/>
      <c r="TT238" s="740"/>
      <c r="TU238" s="740"/>
      <c r="TV238" s="740"/>
      <c r="TW238" s="740"/>
      <c r="TX238" s="740"/>
      <c r="TY238" s="740"/>
      <c r="TZ238" s="740"/>
      <c r="UA238" s="740"/>
      <c r="UB238" s="740"/>
      <c r="UC238" s="740"/>
      <c r="UD238" s="740"/>
      <c r="UE238" s="740"/>
      <c r="UF238" s="740"/>
      <c r="UG238" s="740"/>
      <c r="UH238" s="740"/>
      <c r="UI238" s="740"/>
      <c r="UJ238" s="740"/>
      <c r="UK238" s="740"/>
      <c r="UL238" s="740"/>
      <c r="UM238" s="740"/>
      <c r="UN238" s="740"/>
      <c r="UO238" s="740"/>
      <c r="UP238" s="740"/>
      <c r="UQ238" s="740"/>
      <c r="UR238" s="740"/>
      <c r="US238" s="740"/>
      <c r="UT238" s="740"/>
      <c r="UU238" s="740"/>
      <c r="UV238" s="740"/>
      <c r="UW238" s="740"/>
      <c r="UX238" s="740"/>
      <c r="UY238" s="740"/>
      <c r="UZ238" s="740"/>
      <c r="VA238" s="740"/>
      <c r="VB238" s="740"/>
      <c r="VC238" s="740"/>
      <c r="VD238" s="740"/>
      <c r="VE238" s="740"/>
      <c r="VF238" s="740"/>
      <c r="VG238" s="740"/>
      <c r="VH238" s="740"/>
      <c r="VI238" s="740"/>
      <c r="VJ238" s="740"/>
      <c r="VK238" s="740"/>
      <c r="VL238" s="740"/>
      <c r="VM238" s="740"/>
      <c r="VN238" s="740"/>
      <c r="VO238" s="740"/>
      <c r="VP238" s="740"/>
      <c r="VQ238" s="740"/>
      <c r="VR238" s="740"/>
      <c r="VS238" s="740"/>
      <c r="VT238" s="740"/>
      <c r="VU238" s="740"/>
      <c r="VV238" s="740"/>
      <c r="VW238" s="740"/>
      <c r="VX238" s="740"/>
      <c r="VY238" s="740"/>
      <c r="VZ238" s="740"/>
      <c r="WA238" s="740"/>
      <c r="WB238" s="740"/>
      <c r="WC238" s="740"/>
      <c r="WD238" s="740"/>
      <c r="WE238" s="740"/>
      <c r="WF238" s="740"/>
      <c r="WG238" s="740"/>
      <c r="WH238" s="740"/>
      <c r="WI238" s="740"/>
      <c r="WJ238" s="740"/>
      <c r="WK238" s="740"/>
      <c r="WL238" s="740"/>
      <c r="WM238" s="740"/>
      <c r="WN238" s="740"/>
      <c r="WO238" s="740"/>
      <c r="WP238" s="740"/>
      <c r="WQ238" s="740"/>
      <c r="WR238" s="740"/>
      <c r="WS238" s="740"/>
      <c r="WT238" s="740"/>
      <c r="WU238" s="740"/>
      <c r="WV238" s="740"/>
      <c r="WW238" s="740"/>
      <c r="WX238" s="740"/>
      <c r="WY238" s="740"/>
      <c r="WZ238" s="740"/>
      <c r="XA238" s="740"/>
      <c r="XB238" s="740"/>
      <c r="XC238" s="740"/>
      <c r="XD238" s="740"/>
      <c r="XE238" s="740"/>
      <c r="XF238" s="740"/>
      <c r="XG238" s="740"/>
      <c r="XH238" s="740"/>
      <c r="XI238" s="740"/>
      <c r="XJ238" s="740"/>
      <c r="XK238" s="740"/>
      <c r="XL238" s="740"/>
      <c r="XM238" s="740"/>
      <c r="XN238" s="740"/>
      <c r="XO238" s="740"/>
      <c r="XP238" s="740"/>
      <c r="XQ238" s="740"/>
      <c r="XR238" s="740"/>
      <c r="XS238" s="740"/>
      <c r="XT238" s="740"/>
      <c r="XU238" s="740"/>
      <c r="XV238" s="740"/>
      <c r="XW238" s="740"/>
      <c r="XX238" s="740"/>
      <c r="XY238" s="740"/>
      <c r="XZ238" s="740"/>
      <c r="YA238" s="740"/>
      <c r="YB238" s="740"/>
      <c r="YC238" s="740"/>
      <c r="YD238" s="740"/>
      <c r="YE238" s="740"/>
      <c r="YF238" s="740"/>
      <c r="YG238" s="740"/>
      <c r="YH238" s="740"/>
      <c r="YI238" s="740"/>
      <c r="YJ238" s="740"/>
      <c r="YK238" s="740"/>
      <c r="YL238" s="740"/>
      <c r="YM238" s="740"/>
      <c r="YN238" s="740"/>
      <c r="YO238" s="740"/>
      <c r="YP238" s="740"/>
      <c r="YQ238" s="740"/>
      <c r="YR238" s="740"/>
      <c r="YS238" s="740"/>
      <c r="YT238" s="740"/>
      <c r="YU238" s="740"/>
      <c r="YV238" s="740"/>
      <c r="YW238" s="740"/>
      <c r="YX238" s="740"/>
      <c r="YY238" s="740"/>
      <c r="YZ238" s="740"/>
      <c r="ZA238" s="740"/>
      <c r="ZB238" s="740"/>
      <c r="ZC238" s="740"/>
      <c r="ZD238" s="740"/>
      <c r="ZE238" s="740"/>
      <c r="ZF238" s="740"/>
      <c r="ZG238" s="740"/>
      <c r="ZH238" s="740"/>
      <c r="ZI238" s="740"/>
      <c r="ZJ238" s="740"/>
      <c r="ZK238" s="740"/>
      <c r="ZL238" s="740"/>
      <c r="ZM238" s="740"/>
      <c r="ZN238" s="740"/>
      <c r="ZO238" s="740"/>
      <c r="ZP238" s="740"/>
      <c r="ZQ238" s="740"/>
      <c r="ZR238" s="740"/>
      <c r="ZS238" s="740"/>
      <c r="ZT238" s="740"/>
      <c r="ZU238" s="740"/>
      <c r="ZV238" s="740"/>
      <c r="ZW238" s="740"/>
      <c r="ZX238" s="740"/>
      <c r="ZY238" s="740"/>
      <c r="ZZ238" s="740"/>
      <c r="AAA238" s="740"/>
      <c r="AAB238" s="740"/>
      <c r="AAC238" s="740"/>
      <c r="AAD238" s="740"/>
      <c r="AAE238" s="740"/>
      <c r="AAF238" s="740"/>
      <c r="AAG238" s="740"/>
      <c r="AAH238" s="740"/>
      <c r="AAI238" s="740"/>
      <c r="AAJ238" s="740"/>
      <c r="AAK238" s="740"/>
      <c r="AAL238" s="740"/>
      <c r="AAM238" s="740"/>
      <c r="AAN238" s="740"/>
      <c r="AAO238" s="740"/>
      <c r="AAP238" s="740"/>
      <c r="AAQ238" s="740"/>
      <c r="AAR238" s="740"/>
      <c r="AAS238" s="740"/>
      <c r="AAT238" s="740"/>
      <c r="AAU238" s="740"/>
      <c r="AAV238" s="740"/>
      <c r="AAW238" s="740"/>
      <c r="AAX238" s="740"/>
      <c r="AAY238" s="740"/>
      <c r="AAZ238" s="740"/>
      <c r="ABA238" s="740"/>
      <c r="ABB238" s="740"/>
      <c r="ABC238" s="740"/>
      <c r="ABD238" s="740"/>
      <c r="ABE238" s="740"/>
      <c r="ABF238" s="740"/>
      <c r="ABG238" s="740"/>
      <c r="ABH238" s="740"/>
      <c r="ABI238" s="740"/>
      <c r="ABJ238" s="740"/>
      <c r="ABK238" s="740"/>
      <c r="ABL238" s="740"/>
      <c r="ABM238" s="740"/>
      <c r="ABN238" s="740"/>
      <c r="ABO238" s="740"/>
      <c r="ABP238" s="740"/>
      <c r="ABQ238" s="740"/>
      <c r="ABR238" s="740"/>
      <c r="ABS238" s="740"/>
      <c r="ABT238" s="740"/>
      <c r="ABU238" s="740"/>
      <c r="ABV238" s="740"/>
      <c r="ABW238" s="740"/>
      <c r="ABX238" s="740"/>
      <c r="ABY238" s="740"/>
      <c r="ABZ238" s="740"/>
      <c r="ACA238" s="740"/>
      <c r="ACB238" s="740"/>
      <c r="ACC238" s="740"/>
      <c r="ACD238" s="740"/>
      <c r="ACE238" s="740"/>
      <c r="ACF238" s="740"/>
      <c r="ACG238" s="740"/>
      <c r="ACH238" s="740"/>
      <c r="ACI238" s="740"/>
      <c r="ACJ238" s="740"/>
      <c r="ACK238" s="740"/>
      <c r="ACL238" s="740"/>
      <c r="ACM238" s="740"/>
      <c r="ACN238" s="740"/>
      <c r="ACO238" s="740"/>
      <c r="ACP238" s="740"/>
      <c r="ACQ238" s="740"/>
      <c r="ACR238" s="740"/>
      <c r="ACS238" s="740"/>
      <c r="ACT238" s="740"/>
      <c r="ACU238" s="740"/>
      <c r="ACV238" s="740"/>
      <c r="ACW238" s="740"/>
      <c r="ACX238" s="740"/>
      <c r="ACY238" s="740"/>
      <c r="ACZ238" s="740"/>
      <c r="ADA238" s="740"/>
      <c r="ADB238" s="740"/>
      <c r="ADC238" s="740"/>
      <c r="ADD238" s="740"/>
      <c r="ADE238" s="740"/>
      <c r="ADF238" s="740"/>
      <c r="ADG238" s="740"/>
      <c r="ADH238" s="740"/>
      <c r="ADI238" s="740"/>
      <c r="ADJ238" s="740"/>
      <c r="ADK238" s="740"/>
      <c r="ADL238" s="740"/>
      <c r="ADM238" s="740"/>
      <c r="ADN238" s="740"/>
      <c r="ADO238" s="740"/>
      <c r="ADP238" s="740"/>
      <c r="ADQ238" s="740"/>
      <c r="ADR238" s="740"/>
      <c r="ADS238" s="740"/>
      <c r="ADT238" s="740"/>
      <c r="ADU238" s="740"/>
      <c r="ADV238" s="740"/>
      <c r="ADW238" s="740"/>
      <c r="ADX238" s="740"/>
      <c r="ADY238" s="740"/>
      <c r="ADZ238" s="740"/>
      <c r="AEA238" s="740"/>
      <c r="AEB238" s="740"/>
      <c r="AEC238" s="740"/>
      <c r="AED238" s="740"/>
      <c r="AEE238" s="740"/>
      <c r="AEF238" s="740"/>
      <c r="AEG238" s="740"/>
      <c r="AEH238" s="740"/>
      <c r="AEI238" s="740"/>
      <c r="AEJ238" s="740"/>
      <c r="AEK238" s="740"/>
      <c r="AEL238" s="740"/>
      <c r="AEM238" s="740"/>
      <c r="AEN238" s="740"/>
      <c r="AEO238" s="740"/>
      <c r="AEP238" s="740"/>
      <c r="AEQ238" s="740"/>
      <c r="AER238" s="740"/>
      <c r="AES238" s="740"/>
      <c r="AET238" s="740"/>
      <c r="AEU238" s="740"/>
      <c r="AEV238" s="740"/>
      <c r="AEW238" s="740"/>
      <c r="AEX238" s="740"/>
      <c r="AEY238" s="740"/>
      <c r="AEZ238" s="740"/>
      <c r="AFA238" s="740"/>
      <c r="AFB238" s="740"/>
      <c r="AFC238" s="740"/>
      <c r="AFD238" s="740"/>
      <c r="AFE238" s="740"/>
      <c r="AFF238" s="740"/>
      <c r="AFG238" s="740"/>
      <c r="AFH238" s="740"/>
      <c r="AFI238" s="740"/>
      <c r="AFJ238" s="740"/>
      <c r="AFK238" s="740"/>
      <c r="AFL238" s="740"/>
      <c r="AFM238" s="740"/>
      <c r="AFN238" s="740"/>
      <c r="AFO238" s="740"/>
      <c r="AFP238" s="740"/>
      <c r="AFQ238" s="740"/>
      <c r="AFR238" s="740"/>
      <c r="AFS238" s="740"/>
      <c r="AFT238" s="740"/>
      <c r="AFU238" s="740"/>
      <c r="AFV238" s="740"/>
      <c r="AFW238" s="740"/>
      <c r="AFX238" s="740"/>
      <c r="AFY238" s="740"/>
      <c r="AFZ238" s="740"/>
      <c r="AGA238" s="740"/>
      <c r="AGB238" s="740"/>
      <c r="AGC238" s="740"/>
      <c r="AGD238" s="740"/>
      <c r="AGE238" s="740"/>
      <c r="AGF238" s="740"/>
      <c r="AGG238" s="740"/>
      <c r="AGH238" s="740"/>
      <c r="AGI238" s="740"/>
      <c r="AGJ238" s="740"/>
      <c r="AGK238" s="740"/>
      <c r="AGL238" s="740"/>
      <c r="AGM238" s="740"/>
      <c r="AGN238" s="740"/>
      <c r="AGO238" s="740"/>
      <c r="AGP238" s="740"/>
      <c r="AGQ238" s="740"/>
      <c r="AGR238" s="740"/>
      <c r="AGS238" s="740"/>
      <c r="AGT238" s="740"/>
      <c r="AGU238" s="740"/>
      <c r="AGV238" s="740"/>
      <c r="AGW238" s="740"/>
      <c r="AGX238" s="740"/>
      <c r="AGY238" s="740"/>
      <c r="AGZ238" s="740"/>
      <c r="AHA238" s="740"/>
      <c r="AHB238" s="740"/>
      <c r="AHC238" s="740"/>
      <c r="AHD238" s="740"/>
      <c r="AHE238" s="740"/>
      <c r="AHF238" s="740"/>
      <c r="AHG238" s="740"/>
      <c r="AHH238" s="740"/>
      <c r="AHI238" s="740"/>
      <c r="AHJ238" s="740"/>
      <c r="AHK238" s="740"/>
      <c r="AHL238" s="740"/>
      <c r="AHM238" s="740"/>
      <c r="AHN238" s="740"/>
      <c r="AHO238" s="740"/>
      <c r="AHP238" s="740"/>
      <c r="AHQ238" s="740"/>
      <c r="AHR238" s="740"/>
      <c r="AHS238" s="740"/>
      <c r="AHT238" s="740"/>
      <c r="AHU238" s="740"/>
      <c r="AHV238" s="740"/>
      <c r="AHW238" s="740"/>
      <c r="AHX238" s="740"/>
      <c r="AHY238" s="740"/>
      <c r="AHZ238" s="740"/>
      <c r="AIA238" s="740"/>
      <c r="AIB238" s="740"/>
      <c r="AIC238" s="740"/>
      <c r="AID238" s="740"/>
      <c r="AIE238" s="740"/>
      <c r="AIF238" s="740"/>
      <c r="AIG238" s="740"/>
      <c r="AIH238" s="740"/>
      <c r="AII238" s="740"/>
      <c r="AIJ238" s="740"/>
      <c r="AIK238" s="740"/>
      <c r="AIL238" s="740"/>
      <c r="AIM238" s="740"/>
      <c r="AIN238" s="740"/>
      <c r="AIO238" s="740"/>
      <c r="AIP238" s="740"/>
      <c r="AIQ238" s="740"/>
      <c r="AIR238" s="740"/>
      <c r="AIS238" s="740"/>
      <c r="AIT238" s="740"/>
      <c r="AIU238" s="740"/>
      <c r="AIV238" s="740"/>
      <c r="AIW238" s="740"/>
      <c r="AIX238" s="740"/>
      <c r="AIY238" s="740"/>
      <c r="AIZ238" s="740"/>
      <c r="AJA238" s="740"/>
      <c r="AJB238" s="740"/>
      <c r="AJC238" s="740"/>
      <c r="AJD238" s="740"/>
      <c r="AJE238" s="740"/>
      <c r="AJF238" s="740"/>
      <c r="AJG238" s="740"/>
      <c r="AJH238" s="740"/>
      <c r="AJI238" s="740"/>
      <c r="AJJ238" s="740"/>
      <c r="AJK238" s="740"/>
      <c r="AJL238" s="740"/>
      <c r="AJM238" s="740"/>
      <c r="AJN238" s="740"/>
      <c r="AJO238" s="740"/>
      <c r="AJP238" s="740"/>
      <c r="AJQ238" s="740"/>
      <c r="AJR238" s="740"/>
      <c r="AJS238" s="740"/>
      <c r="AJT238" s="740"/>
      <c r="AJU238" s="740"/>
      <c r="AJV238" s="740"/>
      <c r="AJW238" s="740"/>
      <c r="AJX238" s="740"/>
      <c r="AJY238" s="740"/>
      <c r="AJZ238" s="740"/>
      <c r="AKA238" s="740"/>
      <c r="AKB238" s="740"/>
      <c r="AKC238" s="740"/>
      <c r="AKD238" s="740"/>
      <c r="AKE238" s="740"/>
      <c r="AKF238" s="740"/>
      <c r="AKG238" s="740"/>
      <c r="AKH238" s="740"/>
      <c r="AKI238" s="740"/>
      <c r="AKJ238" s="740"/>
      <c r="AKK238" s="740"/>
      <c r="AKL238" s="740"/>
      <c r="AKM238" s="740"/>
      <c r="AKN238" s="740"/>
      <c r="AKO238" s="740"/>
      <c r="AKP238" s="740"/>
      <c r="AKQ238" s="740"/>
      <c r="AKR238" s="740"/>
      <c r="AKS238" s="740"/>
      <c r="AKT238" s="740"/>
      <c r="AKU238" s="740"/>
      <c r="AKV238" s="740"/>
      <c r="AKW238" s="740"/>
      <c r="AKX238" s="740"/>
      <c r="AKY238" s="740"/>
      <c r="AKZ238" s="740"/>
      <c r="ALA238" s="740"/>
      <c r="ALB238" s="740"/>
      <c r="ALC238" s="740"/>
      <c r="ALD238" s="740"/>
      <c r="ALE238" s="740"/>
      <c r="ALF238" s="740"/>
      <c r="ALG238" s="740"/>
      <c r="ALH238" s="740"/>
      <c r="ALI238" s="740"/>
      <c r="ALJ238" s="740"/>
      <c r="ALK238" s="740"/>
      <c r="ALL238" s="740"/>
      <c r="ALM238" s="740"/>
      <c r="ALN238" s="740"/>
      <c r="ALO238" s="740"/>
      <c r="ALP238" s="740"/>
      <c r="ALQ238" s="740"/>
      <c r="ALR238" s="740"/>
      <c r="ALS238" s="740"/>
      <c r="ALT238" s="740"/>
      <c r="ALU238" s="740"/>
      <c r="ALV238" s="740"/>
      <c r="ALW238" s="740"/>
      <c r="ALX238" s="740"/>
      <c r="ALY238" s="740"/>
      <c r="ALZ238" s="740"/>
      <c r="AMA238" s="740"/>
      <c r="AMB238" s="740"/>
      <c r="AMC238" s="740"/>
      <c r="AMD238" s="740"/>
      <c r="AME238" s="740"/>
      <c r="AMF238" s="740"/>
      <c r="AMG238" s="740"/>
      <c r="AMH238" s="740"/>
      <c r="AMI238" s="740"/>
      <c r="AMJ238" s="740"/>
      <c r="AMK238" s="740"/>
      <c r="AML238" s="740"/>
      <c r="AMM238" s="740"/>
      <c r="AMN238" s="740"/>
      <c r="AMO238" s="740"/>
      <c r="AMP238" s="740"/>
      <c r="AMQ238" s="740"/>
      <c r="AMR238" s="740"/>
      <c r="AMS238" s="740"/>
      <c r="AMT238" s="740"/>
      <c r="AMU238" s="740"/>
      <c r="AMV238" s="740"/>
      <c r="AMW238" s="740"/>
      <c r="AMX238" s="740"/>
      <c r="AMY238" s="740"/>
      <c r="AMZ238" s="740"/>
      <c r="ANA238" s="740"/>
      <c r="ANB238" s="740"/>
      <c r="ANC238" s="740"/>
      <c r="AND238" s="740"/>
      <c r="ANE238" s="740"/>
      <c r="ANF238" s="740"/>
      <c r="ANG238" s="740"/>
      <c r="ANH238" s="740"/>
      <c r="ANI238" s="740"/>
      <c r="ANJ238" s="740"/>
      <c r="ANK238" s="740"/>
      <c r="ANL238" s="740"/>
      <c r="ANM238" s="740"/>
      <c r="ANN238" s="740"/>
      <c r="ANO238" s="740"/>
      <c r="ANP238" s="740"/>
      <c r="ANQ238" s="740"/>
      <c r="ANR238" s="740"/>
      <c r="ANS238" s="740"/>
      <c r="ANT238" s="740"/>
      <c r="ANU238" s="740"/>
      <c r="ANV238" s="740"/>
      <c r="ANW238" s="740"/>
      <c r="ANX238" s="740"/>
      <c r="ANY238" s="740"/>
      <c r="ANZ238" s="740"/>
      <c r="AOA238" s="740"/>
      <c r="AOB238" s="740"/>
      <c r="AOC238" s="740"/>
      <c r="AOD238" s="740"/>
      <c r="AOE238" s="740"/>
      <c r="AOF238" s="740"/>
      <c r="AOG238" s="740"/>
      <c r="AOH238" s="740"/>
      <c r="AOI238" s="740"/>
      <c r="AOJ238" s="740"/>
      <c r="AOK238" s="740"/>
      <c r="AOL238" s="740"/>
      <c r="AOM238" s="740"/>
      <c r="AON238" s="740"/>
      <c r="AOO238" s="740"/>
      <c r="AOP238" s="740"/>
      <c r="AOQ238" s="740"/>
      <c r="AOR238" s="740"/>
      <c r="AOS238" s="740"/>
      <c r="AOT238" s="740"/>
      <c r="AOU238" s="740"/>
      <c r="AOV238" s="740"/>
      <c r="AOW238" s="740"/>
      <c r="AOX238" s="740"/>
      <c r="AOY238" s="740"/>
      <c r="AOZ238" s="740"/>
      <c r="APA238" s="740"/>
      <c r="APB238" s="740"/>
      <c r="APC238" s="740"/>
      <c r="APD238" s="740"/>
      <c r="APE238" s="740"/>
      <c r="APF238" s="740"/>
      <c r="APG238" s="740"/>
      <c r="APH238" s="740"/>
      <c r="API238" s="740"/>
      <c r="APJ238" s="740"/>
      <c r="APK238" s="740"/>
      <c r="APL238" s="740"/>
      <c r="APM238" s="740"/>
      <c r="APN238" s="740"/>
      <c r="APO238" s="740"/>
      <c r="APP238" s="740"/>
      <c r="APQ238" s="740"/>
      <c r="APR238" s="740"/>
      <c r="APS238" s="740"/>
      <c r="APT238" s="740"/>
      <c r="APU238" s="740"/>
      <c r="APV238" s="740"/>
      <c r="APW238" s="740"/>
      <c r="APX238" s="740"/>
      <c r="APY238" s="740"/>
      <c r="APZ238" s="740"/>
      <c r="AQA238" s="740"/>
      <c r="AQB238" s="740"/>
      <c r="AQC238" s="740"/>
      <c r="AQD238" s="740"/>
      <c r="AQE238" s="740"/>
      <c r="AQF238" s="740"/>
      <c r="AQG238" s="740"/>
      <c r="AQH238" s="740"/>
      <c r="AQI238" s="740"/>
      <c r="AQJ238" s="740"/>
      <c r="AQK238" s="740"/>
      <c r="AQL238" s="740"/>
      <c r="AQM238" s="740"/>
      <c r="AQN238" s="740"/>
      <c r="AQO238" s="740"/>
      <c r="AQP238" s="740"/>
      <c r="AQQ238" s="740"/>
      <c r="AQR238" s="740"/>
      <c r="AQS238" s="740"/>
      <c r="AQT238" s="740"/>
      <c r="AQU238" s="740"/>
      <c r="AQV238" s="740"/>
      <c r="AQW238" s="740"/>
      <c r="AQX238" s="740"/>
      <c r="AQY238" s="740"/>
      <c r="AQZ238" s="740"/>
      <c r="ARA238" s="740"/>
      <c r="ARB238" s="740"/>
      <c r="ARC238" s="740"/>
      <c r="ARD238" s="740"/>
      <c r="ARE238" s="740"/>
      <c r="ARF238" s="740"/>
      <c r="ARG238" s="740"/>
      <c r="ARH238" s="740"/>
      <c r="ARI238" s="740"/>
      <c r="ARJ238" s="740"/>
      <c r="ARK238" s="740"/>
      <c r="ARL238" s="740"/>
      <c r="ARM238" s="740"/>
      <c r="ARN238" s="740"/>
      <c r="ARO238" s="740"/>
      <c r="ARP238" s="740"/>
      <c r="ARQ238" s="740"/>
      <c r="ARR238" s="740"/>
      <c r="ARS238" s="740"/>
      <c r="ART238" s="740"/>
      <c r="ARU238" s="740"/>
      <c r="ARV238" s="740"/>
      <c r="ARW238" s="740"/>
      <c r="ARX238" s="740"/>
      <c r="ARY238" s="740"/>
      <c r="ARZ238" s="740"/>
      <c r="ASA238" s="740"/>
      <c r="ASB238" s="740"/>
      <c r="ASC238" s="740"/>
      <c r="ASD238" s="740"/>
      <c r="ASE238" s="740"/>
      <c r="ASF238" s="740"/>
      <c r="ASG238" s="740"/>
      <c r="ASH238" s="740"/>
      <c r="ASI238" s="740"/>
      <c r="ASJ238" s="740"/>
      <c r="ASK238" s="740"/>
      <c r="ASL238" s="740"/>
      <c r="ASM238" s="740"/>
      <c r="ASN238" s="740"/>
      <c r="ASO238" s="740"/>
      <c r="ASP238" s="740"/>
      <c r="ASQ238" s="740"/>
      <c r="ASR238" s="740"/>
      <c r="ASS238" s="740"/>
      <c r="AST238" s="740"/>
      <c r="ASU238" s="740"/>
      <c r="ASV238" s="740"/>
      <c r="ASW238" s="740"/>
      <c r="ASX238" s="740"/>
      <c r="ASY238" s="740"/>
      <c r="ASZ238" s="740"/>
      <c r="ATA238" s="740"/>
      <c r="ATB238" s="740"/>
      <c r="ATC238" s="740"/>
      <c r="ATD238" s="740"/>
      <c r="ATE238" s="740"/>
      <c r="ATF238" s="740"/>
      <c r="ATG238" s="740"/>
      <c r="ATH238" s="740"/>
      <c r="ATI238" s="740"/>
      <c r="ATJ238" s="740"/>
      <c r="ATK238" s="740"/>
      <c r="ATL238" s="740"/>
      <c r="ATM238" s="740"/>
      <c r="ATN238" s="740"/>
      <c r="ATO238" s="740"/>
      <c r="ATP238" s="740"/>
      <c r="ATQ238" s="740"/>
      <c r="ATR238" s="740"/>
      <c r="ATS238" s="740"/>
      <c r="ATT238" s="740"/>
      <c r="ATU238" s="740"/>
      <c r="ATV238" s="740"/>
      <c r="ATW238" s="740"/>
      <c r="ATX238" s="740"/>
      <c r="ATY238" s="740"/>
      <c r="ATZ238" s="740"/>
      <c r="AUA238" s="740"/>
      <c r="AUB238" s="740"/>
      <c r="AUC238" s="740"/>
      <c r="AUD238" s="740"/>
      <c r="AUE238" s="740"/>
      <c r="AUF238" s="740"/>
      <c r="AUG238" s="740"/>
      <c r="AUH238" s="740"/>
      <c r="AUI238" s="740"/>
      <c r="AUJ238" s="740"/>
      <c r="AUK238" s="740"/>
      <c r="AUL238" s="740"/>
      <c r="AUM238" s="740"/>
      <c r="AUN238" s="740"/>
      <c r="AUO238" s="740"/>
      <c r="AUP238" s="740"/>
      <c r="AUQ238" s="740"/>
      <c r="AUR238" s="740"/>
      <c r="AUS238" s="740"/>
      <c r="AUT238" s="740"/>
      <c r="AUU238" s="740"/>
      <c r="AUV238" s="740"/>
      <c r="AUW238" s="740"/>
      <c r="AUX238" s="740"/>
      <c r="AUY238" s="740"/>
      <c r="AUZ238" s="740"/>
      <c r="AVA238" s="740"/>
      <c r="AVB238" s="740"/>
      <c r="AVC238" s="740"/>
      <c r="AVD238" s="740"/>
      <c r="AVE238" s="740"/>
      <c r="AVF238" s="740"/>
      <c r="AVG238" s="740"/>
      <c r="AVH238" s="740"/>
      <c r="AVI238" s="740"/>
      <c r="AVJ238" s="740"/>
      <c r="AVK238" s="740"/>
      <c r="AVL238" s="740"/>
      <c r="AVM238" s="740"/>
      <c r="AVN238" s="740"/>
      <c r="AVO238" s="740"/>
      <c r="AVP238" s="740"/>
      <c r="AVQ238" s="740"/>
      <c r="AVR238" s="740"/>
      <c r="AVS238" s="740"/>
      <c r="AVT238" s="740"/>
      <c r="AVU238" s="740"/>
      <c r="AVV238" s="740"/>
      <c r="AVW238" s="740"/>
      <c r="AVX238" s="740"/>
      <c r="AVY238" s="740"/>
      <c r="AVZ238" s="740"/>
      <c r="AWA238" s="740"/>
      <c r="AWB238" s="740"/>
      <c r="AWC238" s="740"/>
      <c r="AWD238" s="740"/>
      <c r="AWE238" s="740"/>
      <c r="AWF238" s="740"/>
      <c r="AWG238" s="740"/>
      <c r="AWH238" s="740"/>
      <c r="AWI238" s="740"/>
      <c r="AWJ238" s="740"/>
      <c r="AWK238" s="740"/>
      <c r="AWL238" s="740"/>
      <c r="AWM238" s="740"/>
      <c r="AWN238" s="740"/>
      <c r="AWO238" s="740"/>
      <c r="AWP238" s="740"/>
      <c r="AWQ238" s="740"/>
      <c r="AWR238" s="740"/>
      <c r="AWS238" s="740"/>
      <c r="AWT238" s="740"/>
      <c r="AWU238" s="740"/>
      <c r="AWV238" s="740"/>
      <c r="AWW238" s="740"/>
      <c r="AWX238" s="740"/>
      <c r="AWY238" s="740"/>
      <c r="AWZ238" s="740"/>
      <c r="AXA238" s="740"/>
      <c r="AXB238" s="740"/>
      <c r="AXC238" s="740"/>
      <c r="AXD238" s="740"/>
      <c r="AXE238" s="740"/>
      <c r="AXF238" s="740"/>
      <c r="AXG238" s="740"/>
      <c r="AXH238" s="740"/>
      <c r="AXI238" s="740"/>
      <c r="AXJ238" s="740"/>
    </row>
    <row r="239" spans="1:1310" s="741" customFormat="1" ht="23.25" customHeight="1">
      <c r="A239" s="756"/>
      <c r="B239" s="760"/>
      <c r="C239" s="760"/>
      <c r="D239" s="760"/>
      <c r="E239" s="760"/>
      <c r="F239" s="760"/>
      <c r="G239" s="760"/>
      <c r="H239" s="760"/>
      <c r="I239" s="760"/>
      <c r="J239" s="760"/>
      <c r="K239" s="760"/>
      <c r="L239" s="760"/>
      <c r="M239" s="760"/>
      <c r="N239" s="760"/>
      <c r="O239" s="760"/>
      <c r="P239" s="760"/>
      <c r="Q239" s="760"/>
      <c r="R239" s="311"/>
      <c r="S239" s="311"/>
      <c r="T239" s="311"/>
      <c r="U239" s="311"/>
      <c r="V239" s="311"/>
      <c r="W239" s="311"/>
      <c r="X239" s="311"/>
      <c r="Y239" s="311"/>
      <c r="Z239" s="311"/>
      <c r="AA239" s="311"/>
      <c r="AB239" s="311"/>
      <c r="AC239" s="311"/>
      <c r="AD239" s="740"/>
      <c r="AE239" s="740"/>
      <c r="AF239" s="740"/>
      <c r="AG239" s="740"/>
      <c r="AH239" s="740"/>
      <c r="AI239" s="740"/>
      <c r="AJ239" s="740"/>
      <c r="AK239" s="740"/>
      <c r="AL239" s="740"/>
      <c r="AM239" s="740"/>
      <c r="AN239" s="740"/>
      <c r="AO239" s="740"/>
      <c r="AP239" s="740"/>
      <c r="AQ239" s="740"/>
      <c r="AR239" s="740"/>
      <c r="AS239" s="740"/>
      <c r="AT239" s="740"/>
      <c r="AU239" s="740"/>
      <c r="AV239" s="740"/>
      <c r="AW239" s="740"/>
      <c r="AX239" s="740"/>
      <c r="AY239" s="740"/>
      <c r="AZ239" s="740"/>
      <c r="BA239" s="740"/>
      <c r="BB239" s="740"/>
      <c r="BC239" s="740"/>
      <c r="BD239" s="740"/>
      <c r="BE239" s="740"/>
      <c r="BF239" s="740"/>
      <c r="BG239" s="740"/>
      <c r="BH239" s="740"/>
      <c r="BI239" s="740"/>
      <c r="BJ239" s="740"/>
      <c r="BK239" s="740"/>
      <c r="BL239" s="740"/>
      <c r="BM239" s="740"/>
      <c r="BN239" s="740"/>
      <c r="BO239" s="740"/>
      <c r="BP239" s="740"/>
      <c r="BQ239" s="740"/>
      <c r="BR239" s="740"/>
      <c r="BS239" s="740"/>
      <c r="BT239" s="740"/>
      <c r="BU239" s="740"/>
      <c r="BV239" s="740"/>
      <c r="BW239" s="740"/>
      <c r="BX239" s="740"/>
      <c r="BY239" s="740"/>
      <c r="BZ239" s="740"/>
      <c r="CA239" s="740"/>
      <c r="CB239" s="740"/>
      <c r="CC239" s="740"/>
      <c r="CD239" s="740"/>
      <c r="CE239" s="740"/>
      <c r="CF239" s="740"/>
      <c r="CG239" s="740"/>
      <c r="CH239" s="740"/>
      <c r="CI239" s="740"/>
      <c r="CJ239" s="740"/>
      <c r="CK239" s="740"/>
      <c r="CL239" s="740"/>
      <c r="CM239" s="740"/>
      <c r="CN239" s="740"/>
      <c r="CO239" s="740"/>
      <c r="CP239" s="740"/>
      <c r="CQ239" s="740"/>
      <c r="CR239" s="740"/>
      <c r="CS239" s="740"/>
      <c r="CT239" s="740"/>
      <c r="CU239" s="740"/>
      <c r="CV239" s="740"/>
      <c r="CW239" s="740"/>
      <c r="CX239" s="740"/>
      <c r="CY239" s="740"/>
      <c r="CZ239" s="740"/>
      <c r="DA239" s="740"/>
      <c r="DB239" s="740"/>
      <c r="DC239" s="740"/>
      <c r="DD239" s="740"/>
      <c r="DE239" s="740"/>
      <c r="DF239" s="740"/>
      <c r="DG239" s="740"/>
      <c r="DH239" s="740"/>
      <c r="DI239" s="740"/>
      <c r="DJ239" s="740"/>
      <c r="DK239" s="740"/>
      <c r="DL239" s="740"/>
      <c r="DM239" s="740"/>
      <c r="DN239" s="740"/>
      <c r="DO239" s="740"/>
      <c r="DP239" s="740"/>
      <c r="DQ239" s="740"/>
      <c r="DR239" s="740"/>
      <c r="DS239" s="740"/>
      <c r="DT239" s="740"/>
      <c r="DU239" s="740"/>
      <c r="DV239" s="740"/>
      <c r="DW239" s="740"/>
      <c r="DX239" s="740"/>
      <c r="DY239" s="740"/>
      <c r="DZ239" s="740"/>
      <c r="EA239" s="740"/>
      <c r="EB239" s="740"/>
      <c r="EC239" s="740"/>
      <c r="ED239" s="740"/>
      <c r="EE239" s="740"/>
      <c r="EF239" s="740"/>
      <c r="EG239" s="740"/>
      <c r="EH239" s="740"/>
      <c r="EI239" s="740"/>
      <c r="EJ239" s="740"/>
      <c r="EK239" s="740"/>
      <c r="EL239" s="740"/>
      <c r="EM239" s="740"/>
      <c r="EN239" s="740"/>
      <c r="EO239" s="740"/>
      <c r="EP239" s="740"/>
      <c r="EQ239" s="740"/>
      <c r="ER239" s="740"/>
      <c r="ES239" s="740"/>
      <c r="ET239" s="740"/>
      <c r="EU239" s="740"/>
      <c r="EV239" s="740"/>
      <c r="EW239" s="740"/>
      <c r="EX239" s="740"/>
      <c r="EY239" s="740"/>
      <c r="EZ239" s="740"/>
      <c r="FA239" s="740"/>
      <c r="FB239" s="740"/>
      <c r="FC239" s="740"/>
      <c r="FD239" s="740"/>
      <c r="FE239" s="740"/>
      <c r="FF239" s="740"/>
      <c r="FG239" s="740"/>
      <c r="FH239" s="740"/>
      <c r="FI239" s="740"/>
      <c r="FJ239" s="740"/>
      <c r="FK239" s="740"/>
      <c r="FL239" s="740"/>
      <c r="FM239" s="740"/>
      <c r="FN239" s="740"/>
      <c r="FO239" s="740"/>
      <c r="FP239" s="740"/>
      <c r="FQ239" s="740"/>
      <c r="FR239" s="740"/>
      <c r="FS239" s="740"/>
      <c r="FT239" s="740"/>
      <c r="FU239" s="740"/>
      <c r="FV239" s="740"/>
      <c r="FW239" s="740"/>
      <c r="FX239" s="740"/>
      <c r="FY239" s="740"/>
      <c r="FZ239" s="740"/>
      <c r="GA239" s="740"/>
      <c r="GB239" s="740"/>
      <c r="GC239" s="740"/>
      <c r="GD239" s="740"/>
      <c r="GE239" s="740"/>
      <c r="GF239" s="740"/>
      <c r="GG239" s="740"/>
      <c r="GH239" s="740"/>
      <c r="GI239" s="740"/>
      <c r="GJ239" s="740"/>
      <c r="GK239" s="740"/>
      <c r="GL239" s="740"/>
      <c r="GM239" s="740"/>
      <c r="GN239" s="740"/>
      <c r="GO239" s="740"/>
      <c r="GP239" s="740"/>
      <c r="GQ239" s="740"/>
      <c r="GR239" s="740"/>
      <c r="GS239" s="740"/>
      <c r="GT239" s="740"/>
      <c r="GU239" s="740"/>
      <c r="GV239" s="740"/>
      <c r="GW239" s="740"/>
      <c r="GX239" s="740"/>
      <c r="GY239" s="740"/>
      <c r="GZ239" s="740"/>
      <c r="HA239" s="740"/>
      <c r="HB239" s="740"/>
      <c r="HC239" s="740"/>
      <c r="HD239" s="740"/>
      <c r="HE239" s="740"/>
      <c r="HF239" s="740"/>
      <c r="HG239" s="740"/>
      <c r="HH239" s="740"/>
      <c r="HI239" s="740"/>
      <c r="HJ239" s="740"/>
      <c r="HK239" s="740"/>
      <c r="HL239" s="740"/>
      <c r="HM239" s="740"/>
      <c r="HN239" s="740"/>
      <c r="HO239" s="740"/>
      <c r="HP239" s="740"/>
      <c r="HQ239" s="740"/>
      <c r="HR239" s="740"/>
      <c r="HS239" s="740"/>
      <c r="HT239" s="740"/>
      <c r="HU239" s="740"/>
      <c r="HV239" s="740"/>
      <c r="HW239" s="740"/>
      <c r="HX239" s="740"/>
      <c r="HY239" s="740"/>
      <c r="HZ239" s="740"/>
      <c r="IA239" s="740"/>
      <c r="IB239" s="740"/>
      <c r="IC239" s="740"/>
      <c r="ID239" s="740"/>
      <c r="IE239" s="740"/>
      <c r="IF239" s="740"/>
      <c r="IG239" s="740"/>
      <c r="IH239" s="740"/>
      <c r="II239" s="740"/>
      <c r="IJ239" s="740"/>
      <c r="IK239" s="740"/>
      <c r="IL239" s="740"/>
      <c r="IM239" s="740"/>
      <c r="IN239" s="740"/>
      <c r="IO239" s="740"/>
      <c r="IP239" s="740"/>
      <c r="IQ239" s="740"/>
      <c r="IR239" s="740"/>
      <c r="IS239" s="740"/>
      <c r="IT239" s="740"/>
      <c r="IU239" s="740"/>
      <c r="IV239" s="740"/>
      <c r="IW239" s="740"/>
      <c r="IX239" s="740"/>
      <c r="IY239" s="740"/>
      <c r="IZ239" s="740"/>
      <c r="JA239" s="740"/>
      <c r="JB239" s="740"/>
      <c r="JC239" s="740"/>
      <c r="JD239" s="740"/>
      <c r="JE239" s="740"/>
      <c r="JF239" s="740"/>
      <c r="JG239" s="740"/>
      <c r="JH239" s="740"/>
      <c r="JI239" s="740"/>
      <c r="JJ239" s="740"/>
      <c r="JK239" s="740"/>
      <c r="JL239" s="740"/>
      <c r="JM239" s="740"/>
      <c r="JN239" s="740"/>
      <c r="JO239" s="740"/>
      <c r="JP239" s="740"/>
      <c r="JQ239" s="740"/>
      <c r="JR239" s="740"/>
      <c r="JS239" s="740"/>
      <c r="JT239" s="740"/>
      <c r="JU239" s="740"/>
      <c r="JV239" s="740"/>
      <c r="JW239" s="740"/>
      <c r="JX239" s="740"/>
      <c r="JY239" s="740"/>
      <c r="JZ239" s="740"/>
      <c r="KA239" s="740"/>
      <c r="KB239" s="740"/>
      <c r="KC239" s="740"/>
      <c r="KD239" s="740"/>
      <c r="KE239" s="740"/>
      <c r="KF239" s="740"/>
      <c r="KG239" s="740"/>
      <c r="KH239" s="740"/>
      <c r="KI239" s="740"/>
      <c r="KJ239" s="740"/>
      <c r="KK239" s="740"/>
      <c r="KL239" s="740"/>
      <c r="KM239" s="740"/>
      <c r="KN239" s="740"/>
      <c r="KO239" s="740"/>
      <c r="KP239" s="740"/>
      <c r="KQ239" s="740"/>
      <c r="KR239" s="740"/>
      <c r="KS239" s="740"/>
      <c r="KT239" s="740"/>
      <c r="KU239" s="740"/>
      <c r="KV239" s="740"/>
      <c r="KW239" s="740"/>
      <c r="KX239" s="740"/>
      <c r="KY239" s="740"/>
      <c r="KZ239" s="740"/>
      <c r="LA239" s="740"/>
      <c r="LB239" s="740"/>
      <c r="LC239" s="740"/>
      <c r="LD239" s="740"/>
      <c r="LE239" s="740"/>
      <c r="LF239" s="740"/>
      <c r="LG239" s="740"/>
      <c r="LH239" s="740"/>
      <c r="LI239" s="740"/>
      <c r="LJ239" s="740"/>
      <c r="LK239" s="740"/>
      <c r="LL239" s="740"/>
      <c r="LM239" s="740"/>
      <c r="LN239" s="740"/>
      <c r="LO239" s="740"/>
      <c r="LP239" s="740"/>
      <c r="LQ239" s="740"/>
      <c r="LR239" s="740"/>
      <c r="LS239" s="740"/>
      <c r="LT239" s="740"/>
      <c r="LU239" s="740"/>
      <c r="LV239" s="740"/>
      <c r="LW239" s="740"/>
      <c r="LX239" s="740"/>
      <c r="LY239" s="740"/>
      <c r="LZ239" s="740"/>
      <c r="MA239" s="740"/>
      <c r="MB239" s="740"/>
      <c r="MC239" s="740"/>
      <c r="MD239" s="740"/>
      <c r="ME239" s="740"/>
      <c r="MF239" s="740"/>
      <c r="MG239" s="740"/>
      <c r="MH239" s="740"/>
      <c r="MI239" s="740"/>
      <c r="MJ239" s="740"/>
      <c r="MK239" s="740"/>
      <c r="ML239" s="740"/>
      <c r="MM239" s="740"/>
      <c r="MN239" s="740"/>
      <c r="MO239" s="740"/>
      <c r="MP239" s="740"/>
      <c r="MQ239" s="740"/>
      <c r="MR239" s="740"/>
      <c r="MS239" s="740"/>
      <c r="MT239" s="740"/>
      <c r="MU239" s="740"/>
      <c r="MV239" s="740"/>
      <c r="MW239" s="740"/>
      <c r="MX239" s="740"/>
      <c r="MY239" s="740"/>
      <c r="MZ239" s="740"/>
      <c r="NA239" s="740"/>
      <c r="NB239" s="740"/>
      <c r="NC239" s="740"/>
      <c r="ND239" s="740"/>
      <c r="NE239" s="740"/>
      <c r="NF239" s="740"/>
      <c r="NG239" s="740"/>
      <c r="NH239" s="740"/>
      <c r="NI239" s="740"/>
      <c r="NJ239" s="740"/>
      <c r="NK239" s="740"/>
      <c r="NL239" s="740"/>
      <c r="NM239" s="740"/>
      <c r="NN239" s="740"/>
      <c r="NO239" s="740"/>
      <c r="NP239" s="740"/>
      <c r="NQ239" s="740"/>
      <c r="NR239" s="740"/>
      <c r="NS239" s="740"/>
      <c r="NT239" s="740"/>
      <c r="NU239" s="740"/>
      <c r="NV239" s="740"/>
      <c r="NW239" s="740"/>
      <c r="NX239" s="740"/>
      <c r="NY239" s="740"/>
      <c r="NZ239" s="740"/>
      <c r="OA239" s="740"/>
      <c r="OB239" s="740"/>
      <c r="OC239" s="740"/>
      <c r="OD239" s="740"/>
      <c r="OE239" s="740"/>
      <c r="OF239" s="740"/>
      <c r="OG239" s="740"/>
      <c r="OH239" s="740"/>
      <c r="OI239" s="740"/>
      <c r="OJ239" s="740"/>
      <c r="OK239" s="740"/>
      <c r="OL239" s="740"/>
      <c r="OM239" s="740"/>
      <c r="ON239" s="740"/>
      <c r="OO239" s="740"/>
      <c r="OP239" s="740"/>
      <c r="OQ239" s="740"/>
      <c r="OR239" s="740"/>
      <c r="OS239" s="740"/>
      <c r="OT239" s="740"/>
      <c r="OU239" s="740"/>
      <c r="OV239" s="740"/>
      <c r="OW239" s="740"/>
      <c r="OX239" s="740"/>
      <c r="OY239" s="740"/>
      <c r="OZ239" s="740"/>
      <c r="PA239" s="740"/>
      <c r="PB239" s="740"/>
      <c r="PC239" s="740"/>
      <c r="PD239" s="740"/>
      <c r="PE239" s="740"/>
      <c r="PF239" s="740"/>
      <c r="PG239" s="740"/>
      <c r="PH239" s="740"/>
      <c r="PI239" s="740"/>
      <c r="PJ239" s="740"/>
      <c r="PK239" s="740"/>
      <c r="PL239" s="740"/>
      <c r="PM239" s="740"/>
      <c r="PN239" s="740"/>
      <c r="PO239" s="740"/>
      <c r="PP239" s="740"/>
      <c r="PQ239" s="740"/>
      <c r="PR239" s="740"/>
      <c r="PS239" s="740"/>
      <c r="PT239" s="740"/>
      <c r="PU239" s="740"/>
      <c r="PV239" s="740"/>
      <c r="PW239" s="740"/>
      <c r="PX239" s="740"/>
      <c r="PY239" s="740"/>
      <c r="PZ239" s="740"/>
      <c r="QA239" s="740"/>
      <c r="QB239" s="740"/>
      <c r="QC239" s="740"/>
      <c r="QD239" s="740"/>
      <c r="QE239" s="740"/>
      <c r="QF239" s="740"/>
      <c r="QG239" s="740"/>
      <c r="QH239" s="740"/>
      <c r="QI239" s="740"/>
      <c r="QJ239" s="740"/>
      <c r="QK239" s="740"/>
      <c r="QL239" s="740"/>
      <c r="QM239" s="740"/>
      <c r="QN239" s="740"/>
      <c r="QO239" s="740"/>
      <c r="QP239" s="740"/>
      <c r="QQ239" s="740"/>
      <c r="QR239" s="740"/>
      <c r="QS239" s="740"/>
      <c r="QT239" s="740"/>
      <c r="QU239" s="740"/>
      <c r="QV239" s="740"/>
      <c r="QW239" s="740"/>
      <c r="QX239" s="740"/>
      <c r="QY239" s="740"/>
      <c r="QZ239" s="740"/>
      <c r="RA239" s="740"/>
      <c r="RB239" s="740"/>
      <c r="RC239" s="740"/>
      <c r="RD239" s="740"/>
      <c r="RE239" s="740"/>
      <c r="RF239" s="740"/>
      <c r="RG239" s="740"/>
      <c r="RH239" s="740"/>
      <c r="RI239" s="740"/>
      <c r="RJ239" s="740"/>
      <c r="RK239" s="740"/>
      <c r="RL239" s="740"/>
      <c r="RM239" s="740"/>
      <c r="RN239" s="740"/>
      <c r="RO239" s="740"/>
      <c r="RP239" s="740"/>
      <c r="RQ239" s="740"/>
      <c r="RR239" s="740"/>
      <c r="RS239" s="740"/>
      <c r="RT239" s="740"/>
      <c r="RU239" s="740"/>
      <c r="RV239" s="740"/>
      <c r="RW239" s="740"/>
      <c r="RX239" s="740"/>
      <c r="RY239" s="740"/>
      <c r="RZ239" s="740"/>
      <c r="SA239" s="740"/>
      <c r="SB239" s="740"/>
      <c r="SC239" s="740"/>
      <c r="SD239" s="740"/>
      <c r="SE239" s="740"/>
      <c r="SF239" s="740"/>
      <c r="SG239" s="740"/>
      <c r="SH239" s="740"/>
      <c r="SI239" s="740"/>
      <c r="SJ239" s="740"/>
      <c r="SK239" s="740"/>
      <c r="SL239" s="740"/>
      <c r="SM239" s="740"/>
      <c r="SN239" s="740"/>
      <c r="SO239" s="740"/>
      <c r="SP239" s="740"/>
      <c r="SQ239" s="740"/>
      <c r="SR239" s="740"/>
      <c r="SS239" s="740"/>
      <c r="ST239" s="740"/>
      <c r="SU239" s="740"/>
      <c r="SV239" s="740"/>
      <c r="SW239" s="740"/>
      <c r="SX239" s="740"/>
      <c r="SY239" s="740"/>
      <c r="SZ239" s="740"/>
      <c r="TA239" s="740"/>
      <c r="TB239" s="740"/>
      <c r="TC239" s="740"/>
      <c r="TD239" s="740"/>
      <c r="TE239" s="740"/>
      <c r="TF239" s="740"/>
      <c r="TG239" s="740"/>
      <c r="TH239" s="740"/>
      <c r="TI239" s="740"/>
      <c r="TJ239" s="740"/>
      <c r="TK239" s="740"/>
      <c r="TL239" s="740"/>
      <c r="TM239" s="740"/>
      <c r="TN239" s="740"/>
      <c r="TO239" s="740"/>
      <c r="TP239" s="740"/>
      <c r="TQ239" s="740"/>
      <c r="TR239" s="740"/>
      <c r="TS239" s="740"/>
      <c r="TT239" s="740"/>
      <c r="TU239" s="740"/>
      <c r="TV239" s="740"/>
      <c r="TW239" s="740"/>
      <c r="TX239" s="740"/>
      <c r="TY239" s="740"/>
      <c r="TZ239" s="740"/>
      <c r="UA239" s="740"/>
      <c r="UB239" s="740"/>
      <c r="UC239" s="740"/>
      <c r="UD239" s="740"/>
      <c r="UE239" s="740"/>
      <c r="UF239" s="740"/>
      <c r="UG239" s="740"/>
      <c r="UH239" s="740"/>
      <c r="UI239" s="740"/>
      <c r="UJ239" s="740"/>
      <c r="UK239" s="740"/>
      <c r="UL239" s="740"/>
      <c r="UM239" s="740"/>
      <c r="UN239" s="740"/>
      <c r="UO239" s="740"/>
      <c r="UP239" s="740"/>
      <c r="UQ239" s="740"/>
      <c r="UR239" s="740"/>
      <c r="US239" s="740"/>
      <c r="UT239" s="740"/>
      <c r="UU239" s="740"/>
      <c r="UV239" s="740"/>
      <c r="UW239" s="740"/>
      <c r="UX239" s="740"/>
      <c r="UY239" s="740"/>
      <c r="UZ239" s="740"/>
      <c r="VA239" s="740"/>
      <c r="VB239" s="740"/>
      <c r="VC239" s="740"/>
      <c r="VD239" s="740"/>
      <c r="VE239" s="740"/>
      <c r="VF239" s="740"/>
      <c r="VG239" s="740"/>
      <c r="VH239" s="740"/>
      <c r="VI239" s="740"/>
      <c r="VJ239" s="740"/>
      <c r="VK239" s="740"/>
      <c r="VL239" s="740"/>
      <c r="VM239" s="740"/>
      <c r="VN239" s="740"/>
      <c r="VO239" s="740"/>
      <c r="VP239" s="740"/>
      <c r="VQ239" s="740"/>
      <c r="VR239" s="740"/>
      <c r="VS239" s="740"/>
      <c r="VT239" s="740"/>
      <c r="VU239" s="740"/>
      <c r="VV239" s="740"/>
      <c r="VW239" s="740"/>
      <c r="VX239" s="740"/>
      <c r="VY239" s="740"/>
      <c r="VZ239" s="740"/>
      <c r="WA239" s="740"/>
      <c r="WB239" s="740"/>
      <c r="WC239" s="740"/>
      <c r="WD239" s="740"/>
      <c r="WE239" s="740"/>
      <c r="WF239" s="740"/>
      <c r="WG239" s="740"/>
      <c r="WH239" s="740"/>
      <c r="WI239" s="740"/>
      <c r="WJ239" s="740"/>
      <c r="WK239" s="740"/>
      <c r="WL239" s="740"/>
      <c r="WM239" s="740"/>
      <c r="WN239" s="740"/>
      <c r="WO239" s="740"/>
      <c r="WP239" s="740"/>
      <c r="WQ239" s="740"/>
      <c r="WR239" s="740"/>
      <c r="WS239" s="740"/>
      <c r="WT239" s="740"/>
      <c r="WU239" s="740"/>
      <c r="WV239" s="740"/>
      <c r="WW239" s="740"/>
      <c r="WX239" s="740"/>
      <c r="WY239" s="740"/>
      <c r="WZ239" s="740"/>
      <c r="XA239" s="740"/>
      <c r="XB239" s="740"/>
      <c r="XC239" s="740"/>
      <c r="XD239" s="740"/>
      <c r="XE239" s="740"/>
      <c r="XF239" s="740"/>
      <c r="XG239" s="740"/>
      <c r="XH239" s="740"/>
      <c r="XI239" s="740"/>
      <c r="XJ239" s="740"/>
      <c r="XK239" s="740"/>
      <c r="XL239" s="740"/>
      <c r="XM239" s="740"/>
      <c r="XN239" s="740"/>
      <c r="XO239" s="740"/>
      <c r="XP239" s="740"/>
      <c r="XQ239" s="740"/>
      <c r="XR239" s="740"/>
      <c r="XS239" s="740"/>
      <c r="XT239" s="740"/>
      <c r="XU239" s="740"/>
      <c r="XV239" s="740"/>
      <c r="XW239" s="740"/>
      <c r="XX239" s="740"/>
      <c r="XY239" s="740"/>
      <c r="XZ239" s="740"/>
      <c r="YA239" s="740"/>
      <c r="YB239" s="740"/>
      <c r="YC239" s="740"/>
      <c r="YD239" s="740"/>
      <c r="YE239" s="740"/>
      <c r="YF239" s="740"/>
      <c r="YG239" s="740"/>
      <c r="YH239" s="740"/>
      <c r="YI239" s="740"/>
      <c r="YJ239" s="740"/>
      <c r="YK239" s="740"/>
      <c r="YL239" s="740"/>
      <c r="YM239" s="740"/>
      <c r="YN239" s="740"/>
      <c r="YO239" s="740"/>
      <c r="YP239" s="740"/>
      <c r="YQ239" s="740"/>
      <c r="YR239" s="740"/>
      <c r="YS239" s="740"/>
      <c r="YT239" s="740"/>
      <c r="YU239" s="740"/>
      <c r="YV239" s="740"/>
      <c r="YW239" s="740"/>
      <c r="YX239" s="740"/>
      <c r="YY239" s="740"/>
      <c r="YZ239" s="740"/>
      <c r="ZA239" s="740"/>
      <c r="ZB239" s="740"/>
      <c r="ZC239" s="740"/>
      <c r="ZD239" s="740"/>
      <c r="ZE239" s="740"/>
      <c r="ZF239" s="740"/>
      <c r="ZG239" s="740"/>
      <c r="ZH239" s="740"/>
      <c r="ZI239" s="740"/>
      <c r="ZJ239" s="740"/>
      <c r="ZK239" s="740"/>
      <c r="ZL239" s="740"/>
      <c r="ZM239" s="740"/>
      <c r="ZN239" s="740"/>
      <c r="ZO239" s="740"/>
      <c r="ZP239" s="740"/>
      <c r="ZQ239" s="740"/>
      <c r="ZR239" s="740"/>
      <c r="ZS239" s="740"/>
      <c r="ZT239" s="740"/>
      <c r="ZU239" s="740"/>
      <c r="ZV239" s="740"/>
      <c r="ZW239" s="740"/>
      <c r="ZX239" s="740"/>
      <c r="ZY239" s="740"/>
      <c r="ZZ239" s="740"/>
      <c r="AAA239" s="740"/>
      <c r="AAB239" s="740"/>
      <c r="AAC239" s="740"/>
      <c r="AAD239" s="740"/>
      <c r="AAE239" s="740"/>
      <c r="AAF239" s="740"/>
      <c r="AAG239" s="740"/>
      <c r="AAH239" s="740"/>
      <c r="AAI239" s="740"/>
      <c r="AAJ239" s="740"/>
      <c r="AAK239" s="740"/>
      <c r="AAL239" s="740"/>
      <c r="AAM239" s="740"/>
      <c r="AAN239" s="740"/>
      <c r="AAO239" s="740"/>
      <c r="AAP239" s="740"/>
      <c r="AAQ239" s="740"/>
      <c r="AAR239" s="740"/>
      <c r="AAS239" s="740"/>
      <c r="AAT239" s="740"/>
      <c r="AAU239" s="740"/>
      <c r="AAV239" s="740"/>
      <c r="AAW239" s="740"/>
      <c r="AAX239" s="740"/>
      <c r="AAY239" s="740"/>
      <c r="AAZ239" s="740"/>
      <c r="ABA239" s="740"/>
      <c r="ABB239" s="740"/>
      <c r="ABC239" s="740"/>
      <c r="ABD239" s="740"/>
      <c r="ABE239" s="740"/>
      <c r="ABF239" s="740"/>
      <c r="ABG239" s="740"/>
      <c r="ABH239" s="740"/>
      <c r="ABI239" s="740"/>
      <c r="ABJ239" s="740"/>
      <c r="ABK239" s="740"/>
      <c r="ABL239" s="740"/>
      <c r="ABM239" s="740"/>
      <c r="ABN239" s="740"/>
      <c r="ABO239" s="740"/>
      <c r="ABP239" s="740"/>
      <c r="ABQ239" s="740"/>
      <c r="ABR239" s="740"/>
      <c r="ABS239" s="740"/>
      <c r="ABT239" s="740"/>
      <c r="ABU239" s="740"/>
      <c r="ABV239" s="740"/>
      <c r="ABW239" s="740"/>
      <c r="ABX239" s="740"/>
      <c r="ABY239" s="740"/>
      <c r="ABZ239" s="740"/>
      <c r="ACA239" s="740"/>
      <c r="ACB239" s="740"/>
      <c r="ACC239" s="740"/>
      <c r="ACD239" s="740"/>
      <c r="ACE239" s="740"/>
      <c r="ACF239" s="740"/>
      <c r="ACG239" s="740"/>
      <c r="ACH239" s="740"/>
      <c r="ACI239" s="740"/>
      <c r="ACJ239" s="740"/>
      <c r="ACK239" s="740"/>
      <c r="ACL239" s="740"/>
      <c r="ACM239" s="740"/>
      <c r="ACN239" s="740"/>
      <c r="ACO239" s="740"/>
      <c r="ACP239" s="740"/>
      <c r="ACQ239" s="740"/>
      <c r="ACR239" s="740"/>
      <c r="ACS239" s="740"/>
      <c r="ACT239" s="740"/>
      <c r="ACU239" s="740"/>
      <c r="ACV239" s="740"/>
      <c r="ACW239" s="740"/>
      <c r="ACX239" s="740"/>
      <c r="ACY239" s="740"/>
      <c r="ACZ239" s="740"/>
      <c r="ADA239" s="740"/>
      <c r="ADB239" s="740"/>
      <c r="ADC239" s="740"/>
      <c r="ADD239" s="740"/>
      <c r="ADE239" s="740"/>
      <c r="ADF239" s="740"/>
      <c r="ADG239" s="740"/>
      <c r="ADH239" s="740"/>
      <c r="ADI239" s="740"/>
      <c r="ADJ239" s="740"/>
      <c r="ADK239" s="740"/>
      <c r="ADL239" s="740"/>
      <c r="ADM239" s="740"/>
      <c r="ADN239" s="740"/>
      <c r="ADO239" s="740"/>
      <c r="ADP239" s="740"/>
      <c r="ADQ239" s="740"/>
      <c r="ADR239" s="740"/>
      <c r="ADS239" s="740"/>
      <c r="ADT239" s="740"/>
      <c r="ADU239" s="740"/>
      <c r="ADV239" s="740"/>
      <c r="ADW239" s="740"/>
      <c r="ADX239" s="740"/>
      <c r="ADY239" s="740"/>
      <c r="ADZ239" s="740"/>
      <c r="AEA239" s="740"/>
      <c r="AEB239" s="740"/>
      <c r="AEC239" s="740"/>
      <c r="AED239" s="740"/>
      <c r="AEE239" s="740"/>
      <c r="AEF239" s="740"/>
      <c r="AEG239" s="740"/>
      <c r="AEH239" s="740"/>
      <c r="AEI239" s="740"/>
      <c r="AEJ239" s="740"/>
      <c r="AEK239" s="740"/>
      <c r="AEL239" s="740"/>
      <c r="AEM239" s="740"/>
      <c r="AEN239" s="740"/>
      <c r="AEO239" s="740"/>
      <c r="AEP239" s="740"/>
      <c r="AEQ239" s="740"/>
      <c r="AER239" s="740"/>
      <c r="AES239" s="740"/>
      <c r="AET239" s="740"/>
      <c r="AEU239" s="740"/>
      <c r="AEV239" s="740"/>
      <c r="AEW239" s="740"/>
      <c r="AEX239" s="740"/>
      <c r="AEY239" s="740"/>
      <c r="AEZ239" s="740"/>
      <c r="AFA239" s="740"/>
      <c r="AFB239" s="740"/>
      <c r="AFC239" s="740"/>
      <c r="AFD239" s="740"/>
      <c r="AFE239" s="740"/>
      <c r="AFF239" s="740"/>
      <c r="AFG239" s="740"/>
      <c r="AFH239" s="740"/>
      <c r="AFI239" s="740"/>
      <c r="AFJ239" s="740"/>
      <c r="AFK239" s="740"/>
      <c r="AFL239" s="740"/>
      <c r="AFM239" s="740"/>
      <c r="AFN239" s="740"/>
      <c r="AFO239" s="740"/>
      <c r="AFP239" s="740"/>
      <c r="AFQ239" s="740"/>
      <c r="AFR239" s="740"/>
      <c r="AFS239" s="740"/>
      <c r="AFT239" s="740"/>
      <c r="AFU239" s="740"/>
      <c r="AFV239" s="740"/>
      <c r="AFW239" s="740"/>
      <c r="AFX239" s="740"/>
      <c r="AFY239" s="740"/>
      <c r="AFZ239" s="740"/>
      <c r="AGA239" s="740"/>
      <c r="AGB239" s="740"/>
      <c r="AGC239" s="740"/>
      <c r="AGD239" s="740"/>
      <c r="AGE239" s="740"/>
      <c r="AGF239" s="740"/>
      <c r="AGG239" s="740"/>
      <c r="AGH239" s="740"/>
      <c r="AGI239" s="740"/>
      <c r="AGJ239" s="740"/>
      <c r="AGK239" s="740"/>
      <c r="AGL239" s="740"/>
      <c r="AGM239" s="740"/>
      <c r="AGN239" s="740"/>
      <c r="AGO239" s="740"/>
      <c r="AGP239" s="740"/>
      <c r="AGQ239" s="740"/>
      <c r="AGR239" s="740"/>
      <c r="AGS239" s="740"/>
      <c r="AGT239" s="740"/>
      <c r="AGU239" s="740"/>
      <c r="AGV239" s="740"/>
      <c r="AGW239" s="740"/>
      <c r="AGX239" s="740"/>
      <c r="AGY239" s="740"/>
      <c r="AGZ239" s="740"/>
      <c r="AHA239" s="740"/>
      <c r="AHB239" s="740"/>
      <c r="AHC239" s="740"/>
      <c r="AHD239" s="740"/>
      <c r="AHE239" s="740"/>
      <c r="AHF239" s="740"/>
      <c r="AHG239" s="740"/>
      <c r="AHH239" s="740"/>
      <c r="AHI239" s="740"/>
      <c r="AHJ239" s="740"/>
      <c r="AHK239" s="740"/>
      <c r="AHL239" s="740"/>
      <c r="AHM239" s="740"/>
      <c r="AHN239" s="740"/>
      <c r="AHO239" s="740"/>
      <c r="AHP239" s="740"/>
      <c r="AHQ239" s="740"/>
      <c r="AHR239" s="740"/>
      <c r="AHS239" s="740"/>
      <c r="AHT239" s="740"/>
      <c r="AHU239" s="740"/>
      <c r="AHV239" s="740"/>
      <c r="AHW239" s="740"/>
      <c r="AHX239" s="740"/>
      <c r="AHY239" s="740"/>
      <c r="AHZ239" s="740"/>
      <c r="AIA239" s="740"/>
      <c r="AIB239" s="740"/>
      <c r="AIC239" s="740"/>
      <c r="AID239" s="740"/>
      <c r="AIE239" s="740"/>
      <c r="AIF239" s="740"/>
      <c r="AIG239" s="740"/>
      <c r="AIH239" s="740"/>
      <c r="AII239" s="740"/>
      <c r="AIJ239" s="740"/>
      <c r="AIK239" s="740"/>
      <c r="AIL239" s="740"/>
      <c r="AIM239" s="740"/>
      <c r="AIN239" s="740"/>
      <c r="AIO239" s="740"/>
      <c r="AIP239" s="740"/>
      <c r="AIQ239" s="740"/>
      <c r="AIR239" s="740"/>
      <c r="AIS239" s="740"/>
      <c r="AIT239" s="740"/>
      <c r="AIU239" s="740"/>
      <c r="AIV239" s="740"/>
      <c r="AIW239" s="740"/>
      <c r="AIX239" s="740"/>
      <c r="AIY239" s="740"/>
      <c r="AIZ239" s="740"/>
      <c r="AJA239" s="740"/>
      <c r="AJB239" s="740"/>
      <c r="AJC239" s="740"/>
      <c r="AJD239" s="740"/>
      <c r="AJE239" s="740"/>
      <c r="AJF239" s="740"/>
      <c r="AJG239" s="740"/>
      <c r="AJH239" s="740"/>
      <c r="AJI239" s="740"/>
      <c r="AJJ239" s="740"/>
      <c r="AJK239" s="740"/>
      <c r="AJL239" s="740"/>
      <c r="AJM239" s="740"/>
      <c r="AJN239" s="740"/>
      <c r="AJO239" s="740"/>
      <c r="AJP239" s="740"/>
      <c r="AJQ239" s="740"/>
      <c r="AJR239" s="740"/>
      <c r="AJS239" s="740"/>
      <c r="AJT239" s="740"/>
      <c r="AJU239" s="740"/>
      <c r="AJV239" s="740"/>
      <c r="AJW239" s="740"/>
      <c r="AJX239" s="740"/>
      <c r="AJY239" s="740"/>
      <c r="AJZ239" s="740"/>
      <c r="AKA239" s="740"/>
      <c r="AKB239" s="740"/>
      <c r="AKC239" s="740"/>
      <c r="AKD239" s="740"/>
      <c r="AKE239" s="740"/>
      <c r="AKF239" s="740"/>
      <c r="AKG239" s="740"/>
      <c r="AKH239" s="740"/>
      <c r="AKI239" s="740"/>
      <c r="AKJ239" s="740"/>
      <c r="AKK239" s="740"/>
      <c r="AKL239" s="740"/>
      <c r="AKM239" s="740"/>
      <c r="AKN239" s="740"/>
      <c r="AKO239" s="740"/>
      <c r="AKP239" s="740"/>
      <c r="AKQ239" s="740"/>
      <c r="AKR239" s="740"/>
      <c r="AKS239" s="740"/>
      <c r="AKT239" s="740"/>
      <c r="AKU239" s="740"/>
      <c r="AKV239" s="740"/>
      <c r="AKW239" s="740"/>
      <c r="AKX239" s="740"/>
      <c r="AKY239" s="740"/>
      <c r="AKZ239" s="740"/>
      <c r="ALA239" s="740"/>
      <c r="ALB239" s="740"/>
      <c r="ALC239" s="740"/>
      <c r="ALD239" s="740"/>
      <c r="ALE239" s="740"/>
      <c r="ALF239" s="740"/>
      <c r="ALG239" s="740"/>
      <c r="ALH239" s="740"/>
      <c r="ALI239" s="740"/>
      <c r="ALJ239" s="740"/>
      <c r="ALK239" s="740"/>
      <c r="ALL239" s="740"/>
      <c r="ALM239" s="740"/>
      <c r="ALN239" s="740"/>
      <c r="ALO239" s="740"/>
      <c r="ALP239" s="740"/>
      <c r="ALQ239" s="740"/>
      <c r="ALR239" s="740"/>
      <c r="ALS239" s="740"/>
      <c r="ALT239" s="740"/>
      <c r="ALU239" s="740"/>
      <c r="ALV239" s="740"/>
      <c r="ALW239" s="740"/>
      <c r="ALX239" s="740"/>
      <c r="ALY239" s="740"/>
      <c r="ALZ239" s="740"/>
      <c r="AMA239" s="740"/>
      <c r="AMB239" s="740"/>
      <c r="AMC239" s="740"/>
      <c r="AMD239" s="740"/>
      <c r="AME239" s="740"/>
      <c r="AMF239" s="740"/>
      <c r="AMG239" s="740"/>
      <c r="AMH239" s="740"/>
      <c r="AMI239" s="740"/>
      <c r="AMJ239" s="740"/>
      <c r="AMK239" s="740"/>
      <c r="AML239" s="740"/>
      <c r="AMM239" s="740"/>
      <c r="AMN239" s="740"/>
      <c r="AMO239" s="740"/>
      <c r="AMP239" s="740"/>
      <c r="AMQ239" s="740"/>
      <c r="AMR239" s="740"/>
      <c r="AMS239" s="740"/>
      <c r="AMT239" s="740"/>
      <c r="AMU239" s="740"/>
      <c r="AMV239" s="740"/>
      <c r="AMW239" s="740"/>
      <c r="AMX239" s="740"/>
      <c r="AMY239" s="740"/>
      <c r="AMZ239" s="740"/>
      <c r="ANA239" s="740"/>
      <c r="ANB239" s="740"/>
      <c r="ANC239" s="740"/>
      <c r="AND239" s="740"/>
      <c r="ANE239" s="740"/>
      <c r="ANF239" s="740"/>
      <c r="ANG239" s="740"/>
      <c r="ANH239" s="740"/>
      <c r="ANI239" s="740"/>
      <c r="ANJ239" s="740"/>
      <c r="ANK239" s="740"/>
      <c r="ANL239" s="740"/>
      <c r="ANM239" s="740"/>
      <c r="ANN239" s="740"/>
      <c r="ANO239" s="740"/>
      <c r="ANP239" s="740"/>
      <c r="ANQ239" s="740"/>
      <c r="ANR239" s="740"/>
      <c r="ANS239" s="740"/>
      <c r="ANT239" s="740"/>
      <c r="ANU239" s="740"/>
      <c r="ANV239" s="740"/>
      <c r="ANW239" s="740"/>
      <c r="ANX239" s="740"/>
      <c r="ANY239" s="740"/>
      <c r="ANZ239" s="740"/>
      <c r="AOA239" s="740"/>
      <c r="AOB239" s="740"/>
      <c r="AOC239" s="740"/>
      <c r="AOD239" s="740"/>
      <c r="AOE239" s="740"/>
      <c r="AOF239" s="740"/>
      <c r="AOG239" s="740"/>
      <c r="AOH239" s="740"/>
      <c r="AOI239" s="740"/>
      <c r="AOJ239" s="740"/>
      <c r="AOK239" s="740"/>
      <c r="AOL239" s="740"/>
      <c r="AOM239" s="740"/>
      <c r="AON239" s="740"/>
      <c r="AOO239" s="740"/>
      <c r="AOP239" s="740"/>
      <c r="AOQ239" s="740"/>
      <c r="AOR239" s="740"/>
      <c r="AOS239" s="740"/>
      <c r="AOT239" s="740"/>
      <c r="AOU239" s="740"/>
      <c r="AOV239" s="740"/>
      <c r="AOW239" s="740"/>
      <c r="AOX239" s="740"/>
      <c r="AOY239" s="740"/>
      <c r="AOZ239" s="740"/>
      <c r="APA239" s="740"/>
      <c r="APB239" s="740"/>
      <c r="APC239" s="740"/>
      <c r="APD239" s="740"/>
      <c r="APE239" s="740"/>
      <c r="APF239" s="740"/>
      <c r="APG239" s="740"/>
      <c r="APH239" s="740"/>
      <c r="API239" s="740"/>
      <c r="APJ239" s="740"/>
      <c r="APK239" s="740"/>
      <c r="APL239" s="740"/>
      <c r="APM239" s="740"/>
      <c r="APN239" s="740"/>
      <c r="APO239" s="740"/>
      <c r="APP239" s="740"/>
      <c r="APQ239" s="740"/>
      <c r="APR239" s="740"/>
      <c r="APS239" s="740"/>
      <c r="APT239" s="740"/>
      <c r="APU239" s="740"/>
      <c r="APV239" s="740"/>
      <c r="APW239" s="740"/>
      <c r="APX239" s="740"/>
      <c r="APY239" s="740"/>
      <c r="APZ239" s="740"/>
      <c r="AQA239" s="740"/>
      <c r="AQB239" s="740"/>
      <c r="AQC239" s="740"/>
      <c r="AQD239" s="740"/>
      <c r="AQE239" s="740"/>
      <c r="AQF239" s="740"/>
      <c r="AQG239" s="740"/>
      <c r="AQH239" s="740"/>
      <c r="AQI239" s="740"/>
      <c r="AQJ239" s="740"/>
      <c r="AQK239" s="740"/>
      <c r="AQL239" s="740"/>
      <c r="AQM239" s="740"/>
      <c r="AQN239" s="740"/>
      <c r="AQO239" s="740"/>
      <c r="AQP239" s="740"/>
      <c r="AQQ239" s="740"/>
      <c r="AQR239" s="740"/>
      <c r="AQS239" s="740"/>
      <c r="AQT239" s="740"/>
      <c r="AQU239" s="740"/>
      <c r="AQV239" s="740"/>
      <c r="AQW239" s="740"/>
      <c r="AQX239" s="740"/>
      <c r="AQY239" s="740"/>
      <c r="AQZ239" s="740"/>
      <c r="ARA239" s="740"/>
      <c r="ARB239" s="740"/>
      <c r="ARC239" s="740"/>
      <c r="ARD239" s="740"/>
      <c r="ARE239" s="740"/>
      <c r="ARF239" s="740"/>
      <c r="ARG239" s="740"/>
      <c r="ARH239" s="740"/>
      <c r="ARI239" s="740"/>
      <c r="ARJ239" s="740"/>
      <c r="ARK239" s="740"/>
      <c r="ARL239" s="740"/>
      <c r="ARM239" s="740"/>
      <c r="ARN239" s="740"/>
      <c r="ARO239" s="740"/>
      <c r="ARP239" s="740"/>
      <c r="ARQ239" s="740"/>
      <c r="ARR239" s="740"/>
      <c r="ARS239" s="740"/>
      <c r="ART239" s="740"/>
      <c r="ARU239" s="740"/>
      <c r="ARV239" s="740"/>
      <c r="ARW239" s="740"/>
      <c r="ARX239" s="740"/>
      <c r="ARY239" s="740"/>
      <c r="ARZ239" s="740"/>
      <c r="ASA239" s="740"/>
      <c r="ASB239" s="740"/>
      <c r="ASC239" s="740"/>
      <c r="ASD239" s="740"/>
      <c r="ASE239" s="740"/>
      <c r="ASF239" s="740"/>
      <c r="ASG239" s="740"/>
      <c r="ASH239" s="740"/>
      <c r="ASI239" s="740"/>
      <c r="ASJ239" s="740"/>
      <c r="ASK239" s="740"/>
      <c r="ASL239" s="740"/>
      <c r="ASM239" s="740"/>
      <c r="ASN239" s="740"/>
      <c r="ASO239" s="740"/>
      <c r="ASP239" s="740"/>
      <c r="ASQ239" s="740"/>
      <c r="ASR239" s="740"/>
      <c r="ASS239" s="740"/>
      <c r="AST239" s="740"/>
      <c r="ASU239" s="740"/>
      <c r="ASV239" s="740"/>
      <c r="ASW239" s="740"/>
      <c r="ASX239" s="740"/>
      <c r="ASY239" s="740"/>
      <c r="ASZ239" s="740"/>
      <c r="ATA239" s="740"/>
      <c r="ATB239" s="740"/>
      <c r="ATC239" s="740"/>
      <c r="ATD239" s="740"/>
      <c r="ATE239" s="740"/>
      <c r="ATF239" s="740"/>
      <c r="ATG239" s="740"/>
      <c r="ATH239" s="740"/>
      <c r="ATI239" s="740"/>
      <c r="ATJ239" s="740"/>
      <c r="ATK239" s="740"/>
      <c r="ATL239" s="740"/>
      <c r="ATM239" s="740"/>
      <c r="ATN239" s="740"/>
      <c r="ATO239" s="740"/>
      <c r="ATP239" s="740"/>
      <c r="ATQ239" s="740"/>
      <c r="ATR239" s="740"/>
      <c r="ATS239" s="740"/>
      <c r="ATT239" s="740"/>
      <c r="ATU239" s="740"/>
      <c r="ATV239" s="740"/>
      <c r="ATW239" s="740"/>
      <c r="ATX239" s="740"/>
      <c r="ATY239" s="740"/>
      <c r="ATZ239" s="740"/>
      <c r="AUA239" s="740"/>
      <c r="AUB239" s="740"/>
      <c r="AUC239" s="740"/>
      <c r="AUD239" s="740"/>
      <c r="AUE239" s="740"/>
      <c r="AUF239" s="740"/>
      <c r="AUG239" s="740"/>
      <c r="AUH239" s="740"/>
      <c r="AUI239" s="740"/>
      <c r="AUJ239" s="740"/>
      <c r="AUK239" s="740"/>
      <c r="AUL239" s="740"/>
      <c r="AUM239" s="740"/>
      <c r="AUN239" s="740"/>
      <c r="AUO239" s="740"/>
      <c r="AUP239" s="740"/>
      <c r="AUQ239" s="740"/>
      <c r="AUR239" s="740"/>
      <c r="AUS239" s="740"/>
      <c r="AUT239" s="740"/>
      <c r="AUU239" s="740"/>
      <c r="AUV239" s="740"/>
      <c r="AUW239" s="740"/>
      <c r="AUX239" s="740"/>
      <c r="AUY239" s="740"/>
      <c r="AUZ239" s="740"/>
      <c r="AVA239" s="740"/>
      <c r="AVB239" s="740"/>
      <c r="AVC239" s="740"/>
      <c r="AVD239" s="740"/>
      <c r="AVE239" s="740"/>
      <c r="AVF239" s="740"/>
      <c r="AVG239" s="740"/>
      <c r="AVH239" s="740"/>
      <c r="AVI239" s="740"/>
      <c r="AVJ239" s="740"/>
      <c r="AVK239" s="740"/>
      <c r="AVL239" s="740"/>
      <c r="AVM239" s="740"/>
      <c r="AVN239" s="740"/>
      <c r="AVO239" s="740"/>
      <c r="AVP239" s="740"/>
      <c r="AVQ239" s="740"/>
      <c r="AVR239" s="740"/>
      <c r="AVS239" s="740"/>
      <c r="AVT239" s="740"/>
      <c r="AVU239" s="740"/>
      <c r="AVV239" s="740"/>
      <c r="AVW239" s="740"/>
      <c r="AVX239" s="740"/>
      <c r="AVY239" s="740"/>
      <c r="AVZ239" s="740"/>
      <c r="AWA239" s="740"/>
      <c r="AWB239" s="740"/>
      <c r="AWC239" s="740"/>
      <c r="AWD239" s="740"/>
      <c r="AWE239" s="740"/>
      <c r="AWF239" s="740"/>
      <c r="AWG239" s="740"/>
      <c r="AWH239" s="740"/>
      <c r="AWI239" s="740"/>
      <c r="AWJ239" s="740"/>
      <c r="AWK239" s="740"/>
      <c r="AWL239" s="740"/>
      <c r="AWM239" s="740"/>
      <c r="AWN239" s="740"/>
      <c r="AWO239" s="740"/>
      <c r="AWP239" s="740"/>
      <c r="AWQ239" s="740"/>
      <c r="AWR239" s="740"/>
      <c r="AWS239" s="740"/>
      <c r="AWT239" s="740"/>
      <c r="AWU239" s="740"/>
      <c r="AWV239" s="740"/>
      <c r="AWW239" s="740"/>
      <c r="AWX239" s="740"/>
      <c r="AWY239" s="740"/>
      <c r="AWZ239" s="740"/>
      <c r="AXA239" s="740"/>
      <c r="AXB239" s="740"/>
      <c r="AXC239" s="740"/>
      <c r="AXD239" s="740"/>
      <c r="AXE239" s="740"/>
      <c r="AXF239" s="740"/>
      <c r="AXG239" s="740"/>
      <c r="AXH239" s="740"/>
      <c r="AXI239" s="740"/>
      <c r="AXJ239" s="740"/>
    </row>
    <row r="240" spans="1:1310" ht="20.100000000000001" customHeight="1">
      <c r="A240" s="756"/>
      <c r="B240" s="1"/>
      <c r="C240" s="1"/>
      <c r="D240" s="1"/>
      <c r="E240" s="462"/>
      <c r="F240" s="462"/>
      <c r="G240" s="1"/>
      <c r="H240" s="1"/>
      <c r="I240" s="1"/>
      <c r="J240" s="1"/>
      <c r="K240" s="1"/>
      <c r="L240" s="15"/>
      <c r="M240" s="15"/>
      <c r="N240" s="15"/>
      <c r="O240" s="15"/>
      <c r="P240" s="15"/>
      <c r="Q240" s="15"/>
    </row>
    <row r="241" spans="1:1310" ht="20.100000000000001" customHeight="1">
      <c r="A241" s="756"/>
      <c r="B241" s="9012" t="s">
        <v>1609</v>
      </c>
      <c r="C241" s="9012"/>
      <c r="D241" s="9012"/>
      <c r="E241" s="744" t="s">
        <v>1605</v>
      </c>
      <c r="F241" s="745"/>
      <c r="G241" s="744" t="s">
        <v>1606</v>
      </c>
      <c r="H241" s="746"/>
      <c r="I241" s="1"/>
      <c r="J241" s="744" t="s">
        <v>1607</v>
      </c>
      <c r="K241" s="746"/>
      <c r="L241" s="15"/>
      <c r="M241" s="747" t="s">
        <v>1608</v>
      </c>
      <c r="Q241" s="15"/>
    </row>
    <row r="242" spans="1:1310" ht="20.100000000000001" customHeight="1">
      <c r="A242" s="756"/>
      <c r="B242" s="1"/>
      <c r="C242" s="1"/>
      <c r="D242" s="1"/>
      <c r="E242" s="462"/>
      <c r="F242" s="462"/>
      <c r="G242" s="1"/>
      <c r="H242" s="1"/>
      <c r="I242" s="1"/>
      <c r="J242" s="1"/>
      <c r="K242" s="1"/>
      <c r="L242" s="15"/>
      <c r="M242" s="15"/>
      <c r="N242" s="15"/>
      <c r="O242" s="15"/>
      <c r="P242" s="15"/>
      <c r="Q242" s="15"/>
    </row>
    <row r="243" spans="1:1310" s="741" customFormat="1" ht="23.25" customHeight="1">
      <c r="A243" s="756"/>
      <c r="B243" s="760"/>
      <c r="C243" s="760"/>
      <c r="D243" s="760"/>
      <c r="E243" s="760"/>
      <c r="F243" s="760"/>
      <c r="G243" s="760"/>
      <c r="H243" s="760"/>
      <c r="I243" s="760"/>
      <c r="J243" s="760"/>
      <c r="K243" s="760"/>
      <c r="L243" s="760"/>
      <c r="M243" s="760"/>
      <c r="N243" s="760"/>
      <c r="O243" s="760"/>
      <c r="P243" s="760"/>
      <c r="Q243" s="760"/>
      <c r="R243" s="311"/>
      <c r="S243" s="311"/>
      <c r="T243" s="311"/>
      <c r="U243" s="311"/>
      <c r="V243" s="311"/>
      <c r="W243" s="311"/>
      <c r="X243" s="311"/>
      <c r="Y243" s="311"/>
      <c r="Z243" s="311"/>
      <c r="AA243" s="311"/>
      <c r="AB243" s="311"/>
      <c r="AC243" s="311"/>
      <c r="AD243" s="740"/>
      <c r="AE243" s="740"/>
      <c r="AF243" s="740"/>
      <c r="AG243" s="740"/>
      <c r="AH243" s="740"/>
      <c r="AI243" s="740"/>
      <c r="AJ243" s="740"/>
      <c r="AK243" s="740"/>
      <c r="AL243" s="740"/>
      <c r="AM243" s="740"/>
      <c r="AN243" s="740"/>
      <c r="AO243" s="740"/>
      <c r="AP243" s="740"/>
      <c r="AQ243" s="740"/>
      <c r="AR243" s="740"/>
      <c r="AS243" s="740"/>
      <c r="AT243" s="740"/>
      <c r="AU243" s="740"/>
      <c r="AV243" s="740"/>
      <c r="AW243" s="740"/>
      <c r="AX243" s="740"/>
      <c r="AY243" s="740"/>
      <c r="AZ243" s="740"/>
      <c r="BA243" s="740"/>
      <c r="BB243" s="740"/>
      <c r="BC243" s="740"/>
      <c r="BD243" s="740"/>
      <c r="BE243" s="740"/>
      <c r="BF243" s="740"/>
      <c r="BG243" s="740"/>
      <c r="BH243" s="740"/>
      <c r="BI243" s="740"/>
      <c r="BJ243" s="740"/>
      <c r="BK243" s="740"/>
      <c r="BL243" s="740"/>
      <c r="BM243" s="740"/>
      <c r="BN243" s="740"/>
      <c r="BO243" s="740"/>
      <c r="BP243" s="740"/>
      <c r="BQ243" s="740"/>
      <c r="BR243" s="740"/>
      <c r="BS243" s="740"/>
      <c r="BT243" s="740"/>
      <c r="BU243" s="740"/>
      <c r="BV243" s="740"/>
      <c r="BW243" s="740"/>
      <c r="BX243" s="740"/>
      <c r="BY243" s="740"/>
      <c r="BZ243" s="740"/>
      <c r="CA243" s="740"/>
      <c r="CB243" s="740"/>
      <c r="CC243" s="740"/>
      <c r="CD243" s="740"/>
      <c r="CE243" s="740"/>
      <c r="CF243" s="740"/>
      <c r="CG243" s="740"/>
      <c r="CH243" s="740"/>
      <c r="CI243" s="740"/>
      <c r="CJ243" s="740"/>
      <c r="CK243" s="740"/>
      <c r="CL243" s="740"/>
      <c r="CM243" s="740"/>
      <c r="CN243" s="740"/>
      <c r="CO243" s="740"/>
      <c r="CP243" s="740"/>
      <c r="CQ243" s="740"/>
      <c r="CR243" s="740"/>
      <c r="CS243" s="740"/>
      <c r="CT243" s="740"/>
      <c r="CU243" s="740"/>
      <c r="CV243" s="740"/>
      <c r="CW243" s="740"/>
      <c r="CX243" s="740"/>
      <c r="CY243" s="740"/>
      <c r="CZ243" s="740"/>
      <c r="DA243" s="740"/>
      <c r="DB243" s="740"/>
      <c r="DC243" s="740"/>
      <c r="DD243" s="740"/>
      <c r="DE243" s="740"/>
      <c r="DF243" s="740"/>
      <c r="DG243" s="740"/>
      <c r="DH243" s="740"/>
      <c r="DI243" s="740"/>
      <c r="DJ243" s="740"/>
      <c r="DK243" s="740"/>
      <c r="DL243" s="740"/>
      <c r="DM243" s="740"/>
      <c r="DN243" s="740"/>
      <c r="DO243" s="740"/>
      <c r="DP243" s="740"/>
      <c r="DQ243" s="740"/>
      <c r="DR243" s="740"/>
      <c r="DS243" s="740"/>
      <c r="DT243" s="740"/>
      <c r="DU243" s="740"/>
      <c r="DV243" s="740"/>
      <c r="DW243" s="740"/>
      <c r="DX243" s="740"/>
      <c r="DY243" s="740"/>
      <c r="DZ243" s="740"/>
      <c r="EA243" s="740"/>
      <c r="EB243" s="740"/>
      <c r="EC243" s="740"/>
      <c r="ED243" s="740"/>
      <c r="EE243" s="740"/>
      <c r="EF243" s="740"/>
      <c r="EG243" s="740"/>
      <c r="EH243" s="740"/>
      <c r="EI243" s="740"/>
      <c r="EJ243" s="740"/>
      <c r="EK243" s="740"/>
      <c r="EL243" s="740"/>
      <c r="EM243" s="740"/>
      <c r="EN243" s="740"/>
      <c r="EO243" s="740"/>
      <c r="EP243" s="740"/>
      <c r="EQ243" s="740"/>
      <c r="ER243" s="740"/>
      <c r="ES243" s="740"/>
      <c r="ET243" s="740"/>
      <c r="EU243" s="740"/>
      <c r="EV243" s="740"/>
      <c r="EW243" s="740"/>
      <c r="EX243" s="740"/>
      <c r="EY243" s="740"/>
      <c r="EZ243" s="740"/>
      <c r="FA243" s="740"/>
      <c r="FB243" s="740"/>
      <c r="FC243" s="740"/>
      <c r="FD243" s="740"/>
      <c r="FE243" s="740"/>
      <c r="FF243" s="740"/>
      <c r="FG243" s="740"/>
      <c r="FH243" s="740"/>
      <c r="FI243" s="740"/>
      <c r="FJ243" s="740"/>
      <c r="FK243" s="740"/>
      <c r="FL243" s="740"/>
      <c r="FM243" s="740"/>
      <c r="FN243" s="740"/>
      <c r="FO243" s="740"/>
      <c r="FP243" s="740"/>
      <c r="FQ243" s="740"/>
      <c r="FR243" s="740"/>
      <c r="FS243" s="740"/>
      <c r="FT243" s="740"/>
      <c r="FU243" s="740"/>
      <c r="FV243" s="740"/>
      <c r="FW243" s="740"/>
      <c r="FX243" s="740"/>
      <c r="FY243" s="740"/>
      <c r="FZ243" s="740"/>
      <c r="GA243" s="740"/>
      <c r="GB243" s="740"/>
      <c r="GC243" s="740"/>
      <c r="GD243" s="740"/>
      <c r="GE243" s="740"/>
      <c r="GF243" s="740"/>
      <c r="GG243" s="740"/>
      <c r="GH243" s="740"/>
      <c r="GI243" s="740"/>
      <c r="GJ243" s="740"/>
      <c r="GK243" s="740"/>
      <c r="GL243" s="740"/>
      <c r="GM243" s="740"/>
      <c r="GN243" s="740"/>
      <c r="GO243" s="740"/>
      <c r="GP243" s="740"/>
      <c r="GQ243" s="740"/>
      <c r="GR243" s="740"/>
      <c r="GS243" s="740"/>
      <c r="GT243" s="740"/>
      <c r="GU243" s="740"/>
      <c r="GV243" s="740"/>
      <c r="GW243" s="740"/>
      <c r="GX243" s="740"/>
      <c r="GY243" s="740"/>
      <c r="GZ243" s="740"/>
      <c r="HA243" s="740"/>
      <c r="HB243" s="740"/>
      <c r="HC243" s="740"/>
      <c r="HD243" s="740"/>
      <c r="HE243" s="740"/>
      <c r="HF243" s="740"/>
      <c r="HG243" s="740"/>
      <c r="HH243" s="740"/>
      <c r="HI243" s="740"/>
      <c r="HJ243" s="740"/>
      <c r="HK243" s="740"/>
      <c r="HL243" s="740"/>
      <c r="HM243" s="740"/>
      <c r="HN243" s="740"/>
      <c r="HO243" s="740"/>
      <c r="HP243" s="740"/>
      <c r="HQ243" s="740"/>
      <c r="HR243" s="740"/>
      <c r="HS243" s="740"/>
      <c r="HT243" s="740"/>
      <c r="HU243" s="740"/>
      <c r="HV243" s="740"/>
      <c r="HW243" s="740"/>
      <c r="HX243" s="740"/>
      <c r="HY243" s="740"/>
      <c r="HZ243" s="740"/>
      <c r="IA243" s="740"/>
      <c r="IB243" s="740"/>
      <c r="IC243" s="740"/>
      <c r="ID243" s="740"/>
      <c r="IE243" s="740"/>
      <c r="IF243" s="740"/>
      <c r="IG243" s="740"/>
      <c r="IH243" s="740"/>
      <c r="II243" s="740"/>
      <c r="IJ243" s="740"/>
      <c r="IK243" s="740"/>
      <c r="IL243" s="740"/>
      <c r="IM243" s="740"/>
      <c r="IN243" s="740"/>
      <c r="IO243" s="740"/>
      <c r="IP243" s="740"/>
      <c r="IQ243" s="740"/>
      <c r="IR243" s="740"/>
      <c r="IS243" s="740"/>
      <c r="IT243" s="740"/>
      <c r="IU243" s="740"/>
      <c r="IV243" s="740"/>
      <c r="IW243" s="740"/>
      <c r="IX243" s="740"/>
      <c r="IY243" s="740"/>
      <c r="IZ243" s="740"/>
      <c r="JA243" s="740"/>
      <c r="JB243" s="740"/>
      <c r="JC243" s="740"/>
      <c r="JD243" s="740"/>
      <c r="JE243" s="740"/>
      <c r="JF243" s="740"/>
      <c r="JG243" s="740"/>
      <c r="JH243" s="740"/>
      <c r="JI243" s="740"/>
      <c r="JJ243" s="740"/>
      <c r="JK243" s="740"/>
      <c r="JL243" s="740"/>
      <c r="JM243" s="740"/>
      <c r="JN243" s="740"/>
      <c r="JO243" s="740"/>
      <c r="JP243" s="740"/>
      <c r="JQ243" s="740"/>
      <c r="JR243" s="740"/>
      <c r="JS243" s="740"/>
      <c r="JT243" s="740"/>
      <c r="JU243" s="740"/>
      <c r="JV243" s="740"/>
      <c r="JW243" s="740"/>
      <c r="JX243" s="740"/>
      <c r="JY243" s="740"/>
      <c r="JZ243" s="740"/>
      <c r="KA243" s="740"/>
      <c r="KB243" s="740"/>
      <c r="KC243" s="740"/>
      <c r="KD243" s="740"/>
      <c r="KE243" s="740"/>
      <c r="KF243" s="740"/>
      <c r="KG243" s="740"/>
      <c r="KH243" s="740"/>
      <c r="KI243" s="740"/>
      <c r="KJ243" s="740"/>
      <c r="KK243" s="740"/>
      <c r="KL243" s="740"/>
      <c r="KM243" s="740"/>
      <c r="KN243" s="740"/>
      <c r="KO243" s="740"/>
      <c r="KP243" s="740"/>
      <c r="KQ243" s="740"/>
      <c r="KR243" s="740"/>
      <c r="KS243" s="740"/>
      <c r="KT243" s="740"/>
      <c r="KU243" s="740"/>
      <c r="KV243" s="740"/>
      <c r="KW243" s="740"/>
      <c r="KX243" s="740"/>
      <c r="KY243" s="740"/>
      <c r="KZ243" s="740"/>
      <c r="LA243" s="740"/>
      <c r="LB243" s="740"/>
      <c r="LC243" s="740"/>
      <c r="LD243" s="740"/>
      <c r="LE243" s="740"/>
      <c r="LF243" s="740"/>
      <c r="LG243" s="740"/>
      <c r="LH243" s="740"/>
      <c r="LI243" s="740"/>
      <c r="LJ243" s="740"/>
      <c r="LK243" s="740"/>
      <c r="LL243" s="740"/>
      <c r="LM243" s="740"/>
      <c r="LN243" s="740"/>
      <c r="LO243" s="740"/>
      <c r="LP243" s="740"/>
      <c r="LQ243" s="740"/>
      <c r="LR243" s="740"/>
      <c r="LS243" s="740"/>
      <c r="LT243" s="740"/>
      <c r="LU243" s="740"/>
      <c r="LV243" s="740"/>
      <c r="LW243" s="740"/>
      <c r="LX243" s="740"/>
      <c r="LY243" s="740"/>
      <c r="LZ243" s="740"/>
      <c r="MA243" s="740"/>
      <c r="MB243" s="740"/>
      <c r="MC243" s="740"/>
      <c r="MD243" s="740"/>
      <c r="ME243" s="740"/>
      <c r="MF243" s="740"/>
      <c r="MG243" s="740"/>
      <c r="MH243" s="740"/>
      <c r="MI243" s="740"/>
      <c r="MJ243" s="740"/>
      <c r="MK243" s="740"/>
      <c r="ML243" s="740"/>
      <c r="MM243" s="740"/>
      <c r="MN243" s="740"/>
      <c r="MO243" s="740"/>
      <c r="MP243" s="740"/>
      <c r="MQ243" s="740"/>
      <c r="MR243" s="740"/>
      <c r="MS243" s="740"/>
      <c r="MT243" s="740"/>
      <c r="MU243" s="740"/>
      <c r="MV243" s="740"/>
      <c r="MW243" s="740"/>
      <c r="MX243" s="740"/>
      <c r="MY243" s="740"/>
      <c r="MZ243" s="740"/>
      <c r="NA243" s="740"/>
      <c r="NB243" s="740"/>
      <c r="NC243" s="740"/>
      <c r="ND243" s="740"/>
      <c r="NE243" s="740"/>
      <c r="NF243" s="740"/>
      <c r="NG243" s="740"/>
      <c r="NH243" s="740"/>
      <c r="NI243" s="740"/>
      <c r="NJ243" s="740"/>
      <c r="NK243" s="740"/>
      <c r="NL243" s="740"/>
      <c r="NM243" s="740"/>
      <c r="NN243" s="740"/>
      <c r="NO243" s="740"/>
      <c r="NP243" s="740"/>
      <c r="NQ243" s="740"/>
      <c r="NR243" s="740"/>
      <c r="NS243" s="740"/>
      <c r="NT243" s="740"/>
      <c r="NU243" s="740"/>
      <c r="NV243" s="740"/>
      <c r="NW243" s="740"/>
      <c r="NX243" s="740"/>
      <c r="NY243" s="740"/>
      <c r="NZ243" s="740"/>
      <c r="OA243" s="740"/>
      <c r="OB243" s="740"/>
      <c r="OC243" s="740"/>
      <c r="OD243" s="740"/>
      <c r="OE243" s="740"/>
      <c r="OF243" s="740"/>
      <c r="OG243" s="740"/>
      <c r="OH243" s="740"/>
      <c r="OI243" s="740"/>
      <c r="OJ243" s="740"/>
      <c r="OK243" s="740"/>
      <c r="OL243" s="740"/>
      <c r="OM243" s="740"/>
      <c r="ON243" s="740"/>
      <c r="OO243" s="740"/>
      <c r="OP243" s="740"/>
      <c r="OQ243" s="740"/>
      <c r="OR243" s="740"/>
      <c r="OS243" s="740"/>
      <c r="OT243" s="740"/>
      <c r="OU243" s="740"/>
      <c r="OV243" s="740"/>
      <c r="OW243" s="740"/>
      <c r="OX243" s="740"/>
      <c r="OY243" s="740"/>
      <c r="OZ243" s="740"/>
      <c r="PA243" s="740"/>
      <c r="PB243" s="740"/>
      <c r="PC243" s="740"/>
      <c r="PD243" s="740"/>
      <c r="PE243" s="740"/>
      <c r="PF243" s="740"/>
      <c r="PG243" s="740"/>
      <c r="PH243" s="740"/>
      <c r="PI243" s="740"/>
      <c r="PJ243" s="740"/>
      <c r="PK243" s="740"/>
      <c r="PL243" s="740"/>
      <c r="PM243" s="740"/>
      <c r="PN243" s="740"/>
      <c r="PO243" s="740"/>
      <c r="PP243" s="740"/>
      <c r="PQ243" s="740"/>
      <c r="PR243" s="740"/>
      <c r="PS243" s="740"/>
      <c r="PT243" s="740"/>
      <c r="PU243" s="740"/>
      <c r="PV243" s="740"/>
      <c r="PW243" s="740"/>
      <c r="PX243" s="740"/>
      <c r="PY243" s="740"/>
      <c r="PZ243" s="740"/>
      <c r="QA243" s="740"/>
      <c r="QB243" s="740"/>
      <c r="QC243" s="740"/>
      <c r="QD243" s="740"/>
      <c r="QE243" s="740"/>
      <c r="QF243" s="740"/>
      <c r="QG243" s="740"/>
      <c r="QH243" s="740"/>
      <c r="QI243" s="740"/>
      <c r="QJ243" s="740"/>
      <c r="QK243" s="740"/>
      <c r="QL243" s="740"/>
      <c r="QM243" s="740"/>
      <c r="QN243" s="740"/>
      <c r="QO243" s="740"/>
      <c r="QP243" s="740"/>
      <c r="QQ243" s="740"/>
      <c r="QR243" s="740"/>
      <c r="QS243" s="740"/>
      <c r="QT243" s="740"/>
      <c r="QU243" s="740"/>
      <c r="QV243" s="740"/>
      <c r="QW243" s="740"/>
      <c r="QX243" s="740"/>
      <c r="QY243" s="740"/>
      <c r="QZ243" s="740"/>
      <c r="RA243" s="740"/>
      <c r="RB243" s="740"/>
      <c r="RC243" s="740"/>
      <c r="RD243" s="740"/>
      <c r="RE243" s="740"/>
      <c r="RF243" s="740"/>
      <c r="RG243" s="740"/>
      <c r="RH243" s="740"/>
      <c r="RI243" s="740"/>
      <c r="RJ243" s="740"/>
      <c r="RK243" s="740"/>
      <c r="RL243" s="740"/>
      <c r="RM243" s="740"/>
      <c r="RN243" s="740"/>
      <c r="RO243" s="740"/>
      <c r="RP243" s="740"/>
      <c r="RQ243" s="740"/>
      <c r="RR243" s="740"/>
      <c r="RS243" s="740"/>
      <c r="RT243" s="740"/>
      <c r="RU243" s="740"/>
      <c r="RV243" s="740"/>
      <c r="RW243" s="740"/>
      <c r="RX243" s="740"/>
      <c r="RY243" s="740"/>
      <c r="RZ243" s="740"/>
      <c r="SA243" s="740"/>
      <c r="SB243" s="740"/>
      <c r="SC243" s="740"/>
      <c r="SD243" s="740"/>
      <c r="SE243" s="740"/>
      <c r="SF243" s="740"/>
      <c r="SG243" s="740"/>
      <c r="SH243" s="740"/>
      <c r="SI243" s="740"/>
      <c r="SJ243" s="740"/>
      <c r="SK243" s="740"/>
      <c r="SL243" s="740"/>
      <c r="SM243" s="740"/>
      <c r="SN243" s="740"/>
      <c r="SO243" s="740"/>
      <c r="SP243" s="740"/>
      <c r="SQ243" s="740"/>
      <c r="SR243" s="740"/>
      <c r="SS243" s="740"/>
      <c r="ST243" s="740"/>
      <c r="SU243" s="740"/>
      <c r="SV243" s="740"/>
      <c r="SW243" s="740"/>
      <c r="SX243" s="740"/>
      <c r="SY243" s="740"/>
      <c r="SZ243" s="740"/>
      <c r="TA243" s="740"/>
      <c r="TB243" s="740"/>
      <c r="TC243" s="740"/>
      <c r="TD243" s="740"/>
      <c r="TE243" s="740"/>
      <c r="TF243" s="740"/>
      <c r="TG243" s="740"/>
      <c r="TH243" s="740"/>
      <c r="TI243" s="740"/>
      <c r="TJ243" s="740"/>
      <c r="TK243" s="740"/>
      <c r="TL243" s="740"/>
      <c r="TM243" s="740"/>
      <c r="TN243" s="740"/>
      <c r="TO243" s="740"/>
      <c r="TP243" s="740"/>
      <c r="TQ243" s="740"/>
      <c r="TR243" s="740"/>
      <c r="TS243" s="740"/>
      <c r="TT243" s="740"/>
      <c r="TU243" s="740"/>
      <c r="TV243" s="740"/>
      <c r="TW243" s="740"/>
      <c r="TX243" s="740"/>
      <c r="TY243" s="740"/>
      <c r="TZ243" s="740"/>
      <c r="UA243" s="740"/>
      <c r="UB243" s="740"/>
      <c r="UC243" s="740"/>
      <c r="UD243" s="740"/>
      <c r="UE243" s="740"/>
      <c r="UF243" s="740"/>
      <c r="UG243" s="740"/>
      <c r="UH243" s="740"/>
      <c r="UI243" s="740"/>
      <c r="UJ243" s="740"/>
      <c r="UK243" s="740"/>
      <c r="UL243" s="740"/>
      <c r="UM243" s="740"/>
      <c r="UN243" s="740"/>
      <c r="UO243" s="740"/>
      <c r="UP243" s="740"/>
      <c r="UQ243" s="740"/>
      <c r="UR243" s="740"/>
      <c r="US243" s="740"/>
      <c r="UT243" s="740"/>
      <c r="UU243" s="740"/>
      <c r="UV243" s="740"/>
      <c r="UW243" s="740"/>
      <c r="UX243" s="740"/>
      <c r="UY243" s="740"/>
      <c r="UZ243" s="740"/>
      <c r="VA243" s="740"/>
      <c r="VB243" s="740"/>
      <c r="VC243" s="740"/>
      <c r="VD243" s="740"/>
      <c r="VE243" s="740"/>
      <c r="VF243" s="740"/>
      <c r="VG243" s="740"/>
      <c r="VH243" s="740"/>
      <c r="VI243" s="740"/>
      <c r="VJ243" s="740"/>
      <c r="VK243" s="740"/>
      <c r="VL243" s="740"/>
      <c r="VM243" s="740"/>
      <c r="VN243" s="740"/>
      <c r="VO243" s="740"/>
      <c r="VP243" s="740"/>
      <c r="VQ243" s="740"/>
      <c r="VR243" s="740"/>
      <c r="VS243" s="740"/>
      <c r="VT243" s="740"/>
      <c r="VU243" s="740"/>
      <c r="VV243" s="740"/>
      <c r="VW243" s="740"/>
      <c r="VX243" s="740"/>
      <c r="VY243" s="740"/>
      <c r="VZ243" s="740"/>
      <c r="WA243" s="740"/>
      <c r="WB243" s="740"/>
      <c r="WC243" s="740"/>
      <c r="WD243" s="740"/>
      <c r="WE243" s="740"/>
      <c r="WF243" s="740"/>
      <c r="WG243" s="740"/>
      <c r="WH243" s="740"/>
      <c r="WI243" s="740"/>
      <c r="WJ243" s="740"/>
      <c r="WK243" s="740"/>
      <c r="WL243" s="740"/>
      <c r="WM243" s="740"/>
      <c r="WN243" s="740"/>
      <c r="WO243" s="740"/>
      <c r="WP243" s="740"/>
      <c r="WQ243" s="740"/>
      <c r="WR243" s="740"/>
      <c r="WS243" s="740"/>
      <c r="WT243" s="740"/>
      <c r="WU243" s="740"/>
      <c r="WV243" s="740"/>
      <c r="WW243" s="740"/>
      <c r="WX243" s="740"/>
      <c r="WY243" s="740"/>
      <c r="WZ243" s="740"/>
      <c r="XA243" s="740"/>
      <c r="XB243" s="740"/>
      <c r="XC243" s="740"/>
      <c r="XD243" s="740"/>
      <c r="XE243" s="740"/>
      <c r="XF243" s="740"/>
      <c r="XG243" s="740"/>
      <c r="XH243" s="740"/>
      <c r="XI243" s="740"/>
      <c r="XJ243" s="740"/>
      <c r="XK243" s="740"/>
      <c r="XL243" s="740"/>
      <c r="XM243" s="740"/>
      <c r="XN243" s="740"/>
      <c r="XO243" s="740"/>
      <c r="XP243" s="740"/>
      <c r="XQ243" s="740"/>
      <c r="XR243" s="740"/>
      <c r="XS243" s="740"/>
      <c r="XT243" s="740"/>
      <c r="XU243" s="740"/>
      <c r="XV243" s="740"/>
      <c r="XW243" s="740"/>
      <c r="XX243" s="740"/>
      <c r="XY243" s="740"/>
      <c r="XZ243" s="740"/>
      <c r="YA243" s="740"/>
      <c r="YB243" s="740"/>
      <c r="YC243" s="740"/>
      <c r="YD243" s="740"/>
      <c r="YE243" s="740"/>
      <c r="YF243" s="740"/>
      <c r="YG243" s="740"/>
      <c r="YH243" s="740"/>
      <c r="YI243" s="740"/>
      <c r="YJ243" s="740"/>
      <c r="YK243" s="740"/>
      <c r="YL243" s="740"/>
      <c r="YM243" s="740"/>
      <c r="YN243" s="740"/>
      <c r="YO243" s="740"/>
      <c r="YP243" s="740"/>
      <c r="YQ243" s="740"/>
      <c r="YR243" s="740"/>
      <c r="YS243" s="740"/>
      <c r="YT243" s="740"/>
      <c r="YU243" s="740"/>
      <c r="YV243" s="740"/>
      <c r="YW243" s="740"/>
      <c r="YX243" s="740"/>
      <c r="YY243" s="740"/>
      <c r="YZ243" s="740"/>
      <c r="ZA243" s="740"/>
      <c r="ZB243" s="740"/>
      <c r="ZC243" s="740"/>
      <c r="ZD243" s="740"/>
      <c r="ZE243" s="740"/>
      <c r="ZF243" s="740"/>
      <c r="ZG243" s="740"/>
      <c r="ZH243" s="740"/>
      <c r="ZI243" s="740"/>
      <c r="ZJ243" s="740"/>
      <c r="ZK243" s="740"/>
      <c r="ZL243" s="740"/>
      <c r="ZM243" s="740"/>
      <c r="ZN243" s="740"/>
      <c r="ZO243" s="740"/>
      <c r="ZP243" s="740"/>
      <c r="ZQ243" s="740"/>
      <c r="ZR243" s="740"/>
      <c r="ZS243" s="740"/>
      <c r="ZT243" s="740"/>
      <c r="ZU243" s="740"/>
      <c r="ZV243" s="740"/>
      <c r="ZW243" s="740"/>
      <c r="ZX243" s="740"/>
      <c r="ZY243" s="740"/>
      <c r="ZZ243" s="740"/>
      <c r="AAA243" s="740"/>
      <c r="AAB243" s="740"/>
      <c r="AAC243" s="740"/>
      <c r="AAD243" s="740"/>
      <c r="AAE243" s="740"/>
      <c r="AAF243" s="740"/>
      <c r="AAG243" s="740"/>
      <c r="AAH243" s="740"/>
      <c r="AAI243" s="740"/>
      <c r="AAJ243" s="740"/>
      <c r="AAK243" s="740"/>
      <c r="AAL243" s="740"/>
      <c r="AAM243" s="740"/>
      <c r="AAN243" s="740"/>
      <c r="AAO243" s="740"/>
      <c r="AAP243" s="740"/>
      <c r="AAQ243" s="740"/>
      <c r="AAR243" s="740"/>
      <c r="AAS243" s="740"/>
      <c r="AAT243" s="740"/>
      <c r="AAU243" s="740"/>
      <c r="AAV243" s="740"/>
      <c r="AAW243" s="740"/>
      <c r="AAX243" s="740"/>
      <c r="AAY243" s="740"/>
      <c r="AAZ243" s="740"/>
      <c r="ABA243" s="740"/>
      <c r="ABB243" s="740"/>
      <c r="ABC243" s="740"/>
      <c r="ABD243" s="740"/>
      <c r="ABE243" s="740"/>
      <c r="ABF243" s="740"/>
      <c r="ABG243" s="740"/>
      <c r="ABH243" s="740"/>
      <c r="ABI243" s="740"/>
      <c r="ABJ243" s="740"/>
      <c r="ABK243" s="740"/>
      <c r="ABL243" s="740"/>
      <c r="ABM243" s="740"/>
      <c r="ABN243" s="740"/>
      <c r="ABO243" s="740"/>
      <c r="ABP243" s="740"/>
      <c r="ABQ243" s="740"/>
      <c r="ABR243" s="740"/>
      <c r="ABS243" s="740"/>
      <c r="ABT243" s="740"/>
      <c r="ABU243" s="740"/>
      <c r="ABV243" s="740"/>
      <c r="ABW243" s="740"/>
      <c r="ABX243" s="740"/>
      <c r="ABY243" s="740"/>
      <c r="ABZ243" s="740"/>
      <c r="ACA243" s="740"/>
      <c r="ACB243" s="740"/>
      <c r="ACC243" s="740"/>
      <c r="ACD243" s="740"/>
      <c r="ACE243" s="740"/>
      <c r="ACF243" s="740"/>
      <c r="ACG243" s="740"/>
      <c r="ACH243" s="740"/>
      <c r="ACI243" s="740"/>
      <c r="ACJ243" s="740"/>
      <c r="ACK243" s="740"/>
      <c r="ACL243" s="740"/>
      <c r="ACM243" s="740"/>
      <c r="ACN243" s="740"/>
      <c r="ACO243" s="740"/>
      <c r="ACP243" s="740"/>
      <c r="ACQ243" s="740"/>
      <c r="ACR243" s="740"/>
      <c r="ACS243" s="740"/>
      <c r="ACT243" s="740"/>
      <c r="ACU243" s="740"/>
      <c r="ACV243" s="740"/>
      <c r="ACW243" s="740"/>
      <c r="ACX243" s="740"/>
      <c r="ACY243" s="740"/>
      <c r="ACZ243" s="740"/>
      <c r="ADA243" s="740"/>
      <c r="ADB243" s="740"/>
      <c r="ADC243" s="740"/>
      <c r="ADD243" s="740"/>
      <c r="ADE243" s="740"/>
      <c r="ADF243" s="740"/>
      <c r="ADG243" s="740"/>
      <c r="ADH243" s="740"/>
      <c r="ADI243" s="740"/>
      <c r="ADJ243" s="740"/>
      <c r="ADK243" s="740"/>
      <c r="ADL243" s="740"/>
      <c r="ADM243" s="740"/>
      <c r="ADN243" s="740"/>
      <c r="ADO243" s="740"/>
      <c r="ADP243" s="740"/>
      <c r="ADQ243" s="740"/>
      <c r="ADR243" s="740"/>
      <c r="ADS243" s="740"/>
      <c r="ADT243" s="740"/>
      <c r="ADU243" s="740"/>
      <c r="ADV243" s="740"/>
      <c r="ADW243" s="740"/>
      <c r="ADX243" s="740"/>
      <c r="ADY243" s="740"/>
      <c r="ADZ243" s="740"/>
      <c r="AEA243" s="740"/>
      <c r="AEB243" s="740"/>
      <c r="AEC243" s="740"/>
      <c r="AED243" s="740"/>
      <c r="AEE243" s="740"/>
      <c r="AEF243" s="740"/>
      <c r="AEG243" s="740"/>
      <c r="AEH243" s="740"/>
      <c r="AEI243" s="740"/>
      <c r="AEJ243" s="740"/>
      <c r="AEK243" s="740"/>
      <c r="AEL243" s="740"/>
      <c r="AEM243" s="740"/>
      <c r="AEN243" s="740"/>
      <c r="AEO243" s="740"/>
      <c r="AEP243" s="740"/>
      <c r="AEQ243" s="740"/>
      <c r="AER243" s="740"/>
      <c r="AES243" s="740"/>
      <c r="AET243" s="740"/>
      <c r="AEU243" s="740"/>
      <c r="AEV243" s="740"/>
      <c r="AEW243" s="740"/>
      <c r="AEX243" s="740"/>
      <c r="AEY243" s="740"/>
      <c r="AEZ243" s="740"/>
      <c r="AFA243" s="740"/>
      <c r="AFB243" s="740"/>
      <c r="AFC243" s="740"/>
      <c r="AFD243" s="740"/>
      <c r="AFE243" s="740"/>
      <c r="AFF243" s="740"/>
      <c r="AFG243" s="740"/>
      <c r="AFH243" s="740"/>
      <c r="AFI243" s="740"/>
      <c r="AFJ243" s="740"/>
      <c r="AFK243" s="740"/>
      <c r="AFL243" s="740"/>
      <c r="AFM243" s="740"/>
      <c r="AFN243" s="740"/>
      <c r="AFO243" s="740"/>
      <c r="AFP243" s="740"/>
      <c r="AFQ243" s="740"/>
      <c r="AFR243" s="740"/>
      <c r="AFS243" s="740"/>
      <c r="AFT243" s="740"/>
      <c r="AFU243" s="740"/>
      <c r="AFV243" s="740"/>
      <c r="AFW243" s="740"/>
      <c r="AFX243" s="740"/>
      <c r="AFY243" s="740"/>
      <c r="AFZ243" s="740"/>
      <c r="AGA243" s="740"/>
      <c r="AGB243" s="740"/>
      <c r="AGC243" s="740"/>
      <c r="AGD243" s="740"/>
      <c r="AGE243" s="740"/>
      <c r="AGF243" s="740"/>
      <c r="AGG243" s="740"/>
      <c r="AGH243" s="740"/>
      <c r="AGI243" s="740"/>
      <c r="AGJ243" s="740"/>
      <c r="AGK243" s="740"/>
      <c r="AGL243" s="740"/>
      <c r="AGM243" s="740"/>
      <c r="AGN243" s="740"/>
      <c r="AGO243" s="740"/>
      <c r="AGP243" s="740"/>
      <c r="AGQ243" s="740"/>
      <c r="AGR243" s="740"/>
      <c r="AGS243" s="740"/>
      <c r="AGT243" s="740"/>
      <c r="AGU243" s="740"/>
      <c r="AGV243" s="740"/>
      <c r="AGW243" s="740"/>
      <c r="AGX243" s="740"/>
      <c r="AGY243" s="740"/>
      <c r="AGZ243" s="740"/>
      <c r="AHA243" s="740"/>
      <c r="AHB243" s="740"/>
      <c r="AHC243" s="740"/>
      <c r="AHD243" s="740"/>
      <c r="AHE243" s="740"/>
      <c r="AHF243" s="740"/>
      <c r="AHG243" s="740"/>
      <c r="AHH243" s="740"/>
      <c r="AHI243" s="740"/>
      <c r="AHJ243" s="740"/>
      <c r="AHK243" s="740"/>
      <c r="AHL243" s="740"/>
      <c r="AHM243" s="740"/>
      <c r="AHN243" s="740"/>
      <c r="AHO243" s="740"/>
      <c r="AHP243" s="740"/>
      <c r="AHQ243" s="740"/>
      <c r="AHR243" s="740"/>
      <c r="AHS243" s="740"/>
      <c r="AHT243" s="740"/>
      <c r="AHU243" s="740"/>
      <c r="AHV243" s="740"/>
      <c r="AHW243" s="740"/>
      <c r="AHX243" s="740"/>
      <c r="AHY243" s="740"/>
      <c r="AHZ243" s="740"/>
      <c r="AIA243" s="740"/>
      <c r="AIB243" s="740"/>
      <c r="AIC243" s="740"/>
      <c r="AID243" s="740"/>
      <c r="AIE243" s="740"/>
      <c r="AIF243" s="740"/>
      <c r="AIG243" s="740"/>
      <c r="AIH243" s="740"/>
      <c r="AII243" s="740"/>
      <c r="AIJ243" s="740"/>
      <c r="AIK243" s="740"/>
      <c r="AIL243" s="740"/>
      <c r="AIM243" s="740"/>
      <c r="AIN243" s="740"/>
      <c r="AIO243" s="740"/>
      <c r="AIP243" s="740"/>
      <c r="AIQ243" s="740"/>
      <c r="AIR243" s="740"/>
      <c r="AIS243" s="740"/>
      <c r="AIT243" s="740"/>
      <c r="AIU243" s="740"/>
      <c r="AIV243" s="740"/>
      <c r="AIW243" s="740"/>
      <c r="AIX243" s="740"/>
      <c r="AIY243" s="740"/>
      <c r="AIZ243" s="740"/>
      <c r="AJA243" s="740"/>
      <c r="AJB243" s="740"/>
      <c r="AJC243" s="740"/>
      <c r="AJD243" s="740"/>
      <c r="AJE243" s="740"/>
      <c r="AJF243" s="740"/>
      <c r="AJG243" s="740"/>
      <c r="AJH243" s="740"/>
      <c r="AJI243" s="740"/>
      <c r="AJJ243" s="740"/>
      <c r="AJK243" s="740"/>
      <c r="AJL243" s="740"/>
      <c r="AJM243" s="740"/>
      <c r="AJN243" s="740"/>
      <c r="AJO243" s="740"/>
      <c r="AJP243" s="740"/>
      <c r="AJQ243" s="740"/>
      <c r="AJR243" s="740"/>
      <c r="AJS243" s="740"/>
      <c r="AJT243" s="740"/>
      <c r="AJU243" s="740"/>
      <c r="AJV243" s="740"/>
      <c r="AJW243" s="740"/>
      <c r="AJX243" s="740"/>
      <c r="AJY243" s="740"/>
      <c r="AJZ243" s="740"/>
      <c r="AKA243" s="740"/>
      <c r="AKB243" s="740"/>
      <c r="AKC243" s="740"/>
      <c r="AKD243" s="740"/>
      <c r="AKE243" s="740"/>
      <c r="AKF243" s="740"/>
      <c r="AKG243" s="740"/>
      <c r="AKH243" s="740"/>
      <c r="AKI243" s="740"/>
      <c r="AKJ243" s="740"/>
      <c r="AKK243" s="740"/>
      <c r="AKL243" s="740"/>
      <c r="AKM243" s="740"/>
      <c r="AKN243" s="740"/>
      <c r="AKO243" s="740"/>
      <c r="AKP243" s="740"/>
      <c r="AKQ243" s="740"/>
      <c r="AKR243" s="740"/>
      <c r="AKS243" s="740"/>
      <c r="AKT243" s="740"/>
      <c r="AKU243" s="740"/>
      <c r="AKV243" s="740"/>
      <c r="AKW243" s="740"/>
      <c r="AKX243" s="740"/>
      <c r="AKY243" s="740"/>
      <c r="AKZ243" s="740"/>
      <c r="ALA243" s="740"/>
      <c r="ALB243" s="740"/>
      <c r="ALC243" s="740"/>
      <c r="ALD243" s="740"/>
      <c r="ALE243" s="740"/>
      <c r="ALF243" s="740"/>
      <c r="ALG243" s="740"/>
      <c r="ALH243" s="740"/>
      <c r="ALI243" s="740"/>
      <c r="ALJ243" s="740"/>
      <c r="ALK243" s="740"/>
      <c r="ALL243" s="740"/>
      <c r="ALM243" s="740"/>
      <c r="ALN243" s="740"/>
      <c r="ALO243" s="740"/>
      <c r="ALP243" s="740"/>
      <c r="ALQ243" s="740"/>
      <c r="ALR243" s="740"/>
      <c r="ALS243" s="740"/>
      <c r="ALT243" s="740"/>
      <c r="ALU243" s="740"/>
      <c r="ALV243" s="740"/>
      <c r="ALW243" s="740"/>
      <c r="ALX243" s="740"/>
      <c r="ALY243" s="740"/>
      <c r="ALZ243" s="740"/>
      <c r="AMA243" s="740"/>
      <c r="AMB243" s="740"/>
      <c r="AMC243" s="740"/>
      <c r="AMD243" s="740"/>
      <c r="AME243" s="740"/>
      <c r="AMF243" s="740"/>
      <c r="AMG243" s="740"/>
      <c r="AMH243" s="740"/>
      <c r="AMI243" s="740"/>
      <c r="AMJ243" s="740"/>
      <c r="AMK243" s="740"/>
      <c r="AML243" s="740"/>
      <c r="AMM243" s="740"/>
      <c r="AMN243" s="740"/>
      <c r="AMO243" s="740"/>
      <c r="AMP243" s="740"/>
      <c r="AMQ243" s="740"/>
      <c r="AMR243" s="740"/>
      <c r="AMS243" s="740"/>
      <c r="AMT243" s="740"/>
      <c r="AMU243" s="740"/>
      <c r="AMV243" s="740"/>
      <c r="AMW243" s="740"/>
      <c r="AMX243" s="740"/>
      <c r="AMY243" s="740"/>
      <c r="AMZ243" s="740"/>
      <c r="ANA243" s="740"/>
      <c r="ANB243" s="740"/>
      <c r="ANC243" s="740"/>
      <c r="AND243" s="740"/>
      <c r="ANE243" s="740"/>
      <c r="ANF243" s="740"/>
      <c r="ANG243" s="740"/>
      <c r="ANH243" s="740"/>
      <c r="ANI243" s="740"/>
      <c r="ANJ243" s="740"/>
      <c r="ANK243" s="740"/>
      <c r="ANL243" s="740"/>
      <c r="ANM243" s="740"/>
      <c r="ANN243" s="740"/>
      <c r="ANO243" s="740"/>
      <c r="ANP243" s="740"/>
      <c r="ANQ243" s="740"/>
      <c r="ANR243" s="740"/>
      <c r="ANS243" s="740"/>
      <c r="ANT243" s="740"/>
      <c r="ANU243" s="740"/>
      <c r="ANV243" s="740"/>
      <c r="ANW243" s="740"/>
      <c r="ANX243" s="740"/>
      <c r="ANY243" s="740"/>
      <c r="ANZ243" s="740"/>
      <c r="AOA243" s="740"/>
      <c r="AOB243" s="740"/>
      <c r="AOC243" s="740"/>
      <c r="AOD243" s="740"/>
      <c r="AOE243" s="740"/>
      <c r="AOF243" s="740"/>
      <c r="AOG243" s="740"/>
      <c r="AOH243" s="740"/>
      <c r="AOI243" s="740"/>
      <c r="AOJ243" s="740"/>
      <c r="AOK243" s="740"/>
      <c r="AOL243" s="740"/>
      <c r="AOM243" s="740"/>
      <c r="AON243" s="740"/>
      <c r="AOO243" s="740"/>
      <c r="AOP243" s="740"/>
      <c r="AOQ243" s="740"/>
      <c r="AOR243" s="740"/>
      <c r="AOS243" s="740"/>
      <c r="AOT243" s="740"/>
      <c r="AOU243" s="740"/>
      <c r="AOV243" s="740"/>
      <c r="AOW243" s="740"/>
      <c r="AOX243" s="740"/>
      <c r="AOY243" s="740"/>
      <c r="AOZ243" s="740"/>
      <c r="APA243" s="740"/>
      <c r="APB243" s="740"/>
      <c r="APC243" s="740"/>
      <c r="APD243" s="740"/>
      <c r="APE243" s="740"/>
      <c r="APF243" s="740"/>
      <c r="APG243" s="740"/>
      <c r="APH243" s="740"/>
      <c r="API243" s="740"/>
      <c r="APJ243" s="740"/>
      <c r="APK243" s="740"/>
      <c r="APL243" s="740"/>
      <c r="APM243" s="740"/>
      <c r="APN243" s="740"/>
      <c r="APO243" s="740"/>
      <c r="APP243" s="740"/>
      <c r="APQ243" s="740"/>
      <c r="APR243" s="740"/>
      <c r="APS243" s="740"/>
      <c r="APT243" s="740"/>
      <c r="APU243" s="740"/>
      <c r="APV243" s="740"/>
      <c r="APW243" s="740"/>
      <c r="APX243" s="740"/>
      <c r="APY243" s="740"/>
      <c r="APZ243" s="740"/>
      <c r="AQA243" s="740"/>
      <c r="AQB243" s="740"/>
      <c r="AQC243" s="740"/>
      <c r="AQD243" s="740"/>
      <c r="AQE243" s="740"/>
      <c r="AQF243" s="740"/>
      <c r="AQG243" s="740"/>
      <c r="AQH243" s="740"/>
      <c r="AQI243" s="740"/>
      <c r="AQJ243" s="740"/>
      <c r="AQK243" s="740"/>
      <c r="AQL243" s="740"/>
      <c r="AQM243" s="740"/>
      <c r="AQN243" s="740"/>
      <c r="AQO243" s="740"/>
      <c r="AQP243" s="740"/>
      <c r="AQQ243" s="740"/>
      <c r="AQR243" s="740"/>
      <c r="AQS243" s="740"/>
      <c r="AQT243" s="740"/>
      <c r="AQU243" s="740"/>
      <c r="AQV243" s="740"/>
      <c r="AQW243" s="740"/>
      <c r="AQX243" s="740"/>
      <c r="AQY243" s="740"/>
      <c r="AQZ243" s="740"/>
      <c r="ARA243" s="740"/>
      <c r="ARB243" s="740"/>
      <c r="ARC243" s="740"/>
      <c r="ARD243" s="740"/>
      <c r="ARE243" s="740"/>
      <c r="ARF243" s="740"/>
      <c r="ARG243" s="740"/>
      <c r="ARH243" s="740"/>
      <c r="ARI243" s="740"/>
      <c r="ARJ243" s="740"/>
      <c r="ARK243" s="740"/>
      <c r="ARL243" s="740"/>
      <c r="ARM243" s="740"/>
      <c r="ARN243" s="740"/>
      <c r="ARO243" s="740"/>
      <c r="ARP243" s="740"/>
      <c r="ARQ243" s="740"/>
      <c r="ARR243" s="740"/>
      <c r="ARS243" s="740"/>
      <c r="ART243" s="740"/>
      <c r="ARU243" s="740"/>
      <c r="ARV243" s="740"/>
      <c r="ARW243" s="740"/>
      <c r="ARX243" s="740"/>
      <c r="ARY243" s="740"/>
      <c r="ARZ243" s="740"/>
      <c r="ASA243" s="740"/>
      <c r="ASB243" s="740"/>
      <c r="ASC243" s="740"/>
      <c r="ASD243" s="740"/>
      <c r="ASE243" s="740"/>
      <c r="ASF243" s="740"/>
      <c r="ASG243" s="740"/>
      <c r="ASH243" s="740"/>
      <c r="ASI243" s="740"/>
      <c r="ASJ243" s="740"/>
      <c r="ASK243" s="740"/>
      <c r="ASL243" s="740"/>
      <c r="ASM243" s="740"/>
      <c r="ASN243" s="740"/>
      <c r="ASO243" s="740"/>
      <c r="ASP243" s="740"/>
      <c r="ASQ243" s="740"/>
      <c r="ASR243" s="740"/>
      <c r="ASS243" s="740"/>
      <c r="AST243" s="740"/>
      <c r="ASU243" s="740"/>
      <c r="ASV243" s="740"/>
      <c r="ASW243" s="740"/>
      <c r="ASX243" s="740"/>
      <c r="ASY243" s="740"/>
      <c r="ASZ243" s="740"/>
      <c r="ATA243" s="740"/>
      <c r="ATB243" s="740"/>
      <c r="ATC243" s="740"/>
      <c r="ATD243" s="740"/>
      <c r="ATE243" s="740"/>
      <c r="ATF243" s="740"/>
      <c r="ATG243" s="740"/>
      <c r="ATH243" s="740"/>
      <c r="ATI243" s="740"/>
      <c r="ATJ243" s="740"/>
      <c r="ATK243" s="740"/>
      <c r="ATL243" s="740"/>
      <c r="ATM243" s="740"/>
      <c r="ATN243" s="740"/>
      <c r="ATO243" s="740"/>
      <c r="ATP243" s="740"/>
      <c r="ATQ243" s="740"/>
      <c r="ATR243" s="740"/>
      <c r="ATS243" s="740"/>
      <c r="ATT243" s="740"/>
      <c r="ATU243" s="740"/>
      <c r="ATV243" s="740"/>
      <c r="ATW243" s="740"/>
      <c r="ATX243" s="740"/>
      <c r="ATY243" s="740"/>
      <c r="ATZ243" s="740"/>
      <c r="AUA243" s="740"/>
      <c r="AUB243" s="740"/>
      <c r="AUC243" s="740"/>
      <c r="AUD243" s="740"/>
      <c r="AUE243" s="740"/>
      <c r="AUF243" s="740"/>
      <c r="AUG243" s="740"/>
      <c r="AUH243" s="740"/>
      <c r="AUI243" s="740"/>
      <c r="AUJ243" s="740"/>
      <c r="AUK243" s="740"/>
      <c r="AUL243" s="740"/>
      <c r="AUM243" s="740"/>
      <c r="AUN243" s="740"/>
      <c r="AUO243" s="740"/>
      <c r="AUP243" s="740"/>
      <c r="AUQ243" s="740"/>
      <c r="AUR243" s="740"/>
      <c r="AUS243" s="740"/>
      <c r="AUT243" s="740"/>
      <c r="AUU243" s="740"/>
      <c r="AUV243" s="740"/>
      <c r="AUW243" s="740"/>
      <c r="AUX243" s="740"/>
      <c r="AUY243" s="740"/>
      <c r="AUZ243" s="740"/>
      <c r="AVA243" s="740"/>
      <c r="AVB243" s="740"/>
      <c r="AVC243" s="740"/>
      <c r="AVD243" s="740"/>
      <c r="AVE243" s="740"/>
      <c r="AVF243" s="740"/>
      <c r="AVG243" s="740"/>
      <c r="AVH243" s="740"/>
      <c r="AVI243" s="740"/>
      <c r="AVJ243" s="740"/>
      <c r="AVK243" s="740"/>
      <c r="AVL243" s="740"/>
      <c r="AVM243" s="740"/>
      <c r="AVN243" s="740"/>
      <c r="AVO243" s="740"/>
      <c r="AVP243" s="740"/>
      <c r="AVQ243" s="740"/>
      <c r="AVR243" s="740"/>
      <c r="AVS243" s="740"/>
      <c r="AVT243" s="740"/>
      <c r="AVU243" s="740"/>
      <c r="AVV243" s="740"/>
      <c r="AVW243" s="740"/>
      <c r="AVX243" s="740"/>
      <c r="AVY243" s="740"/>
      <c r="AVZ243" s="740"/>
      <c r="AWA243" s="740"/>
      <c r="AWB243" s="740"/>
      <c r="AWC243" s="740"/>
      <c r="AWD243" s="740"/>
      <c r="AWE243" s="740"/>
      <c r="AWF243" s="740"/>
      <c r="AWG243" s="740"/>
      <c r="AWH243" s="740"/>
      <c r="AWI243" s="740"/>
      <c r="AWJ243" s="740"/>
      <c r="AWK243" s="740"/>
      <c r="AWL243" s="740"/>
      <c r="AWM243" s="740"/>
      <c r="AWN243" s="740"/>
      <c r="AWO243" s="740"/>
      <c r="AWP243" s="740"/>
      <c r="AWQ243" s="740"/>
      <c r="AWR243" s="740"/>
      <c r="AWS243" s="740"/>
      <c r="AWT243" s="740"/>
      <c r="AWU243" s="740"/>
      <c r="AWV243" s="740"/>
      <c r="AWW243" s="740"/>
      <c r="AWX243" s="740"/>
      <c r="AWY243" s="740"/>
      <c r="AWZ243" s="740"/>
      <c r="AXA243" s="740"/>
      <c r="AXB243" s="740"/>
      <c r="AXC243" s="740"/>
      <c r="AXD243" s="740"/>
      <c r="AXE243" s="740"/>
      <c r="AXF243" s="740"/>
      <c r="AXG243" s="740"/>
      <c r="AXH243" s="740"/>
      <c r="AXI243" s="740"/>
      <c r="AXJ243" s="740"/>
    </row>
    <row r="244" spans="1:1310" ht="20.100000000000001" customHeight="1" thickBot="1">
      <c r="B244" s="1"/>
      <c r="C244" s="1"/>
      <c r="D244" s="1"/>
      <c r="E244" s="462"/>
      <c r="F244" s="462"/>
      <c r="G244" s="1"/>
      <c r="H244" s="1"/>
      <c r="I244" s="1"/>
      <c r="J244" s="1"/>
      <c r="K244" s="1"/>
      <c r="L244" s="15"/>
      <c r="M244" s="15"/>
      <c r="N244" s="15"/>
      <c r="O244" s="15"/>
      <c r="P244" s="15"/>
      <c r="Q244" s="15"/>
    </row>
    <row r="245" spans="1:1310" ht="20.100000000000001" customHeight="1">
      <c r="A245" s="655" t="s">
        <v>67</v>
      </c>
      <c r="B245" s="10113" t="s">
        <v>1610</v>
      </c>
      <c r="C245" s="10114"/>
      <c r="D245" s="10114"/>
      <c r="E245" s="10114"/>
      <c r="F245" s="10114"/>
      <c r="G245" s="10115"/>
      <c r="H245" s="1"/>
      <c r="I245" s="9013" t="s">
        <v>1627</v>
      </c>
      <c r="J245" s="9014"/>
      <c r="K245" s="9014"/>
      <c r="L245" s="9014"/>
      <c r="M245" s="9014"/>
      <c r="N245" s="9014"/>
      <c r="O245" s="9015"/>
      <c r="P245" s="15"/>
      <c r="Q245" s="15"/>
    </row>
    <row r="246" spans="1:1310" ht="20.100000000000001" customHeight="1">
      <c r="A246" s="10133" t="s">
        <v>1610</v>
      </c>
      <c r="B246" s="10116"/>
      <c r="C246" s="10117"/>
      <c r="D246" s="10117"/>
      <c r="E246" s="10117"/>
      <c r="F246" s="10117"/>
      <c r="G246" s="10118"/>
      <c r="H246" s="1"/>
      <c r="I246" s="792" t="s">
        <v>1628</v>
      </c>
      <c r="J246" s="34"/>
      <c r="K246" s="34"/>
      <c r="L246" s="793" t="s">
        <v>1629</v>
      </c>
      <c r="M246" s="34"/>
      <c r="N246" s="34"/>
      <c r="O246" s="765"/>
      <c r="P246" s="15"/>
      <c r="Q246" s="15"/>
    </row>
    <row r="247" spans="1:1310" ht="20.100000000000001" customHeight="1">
      <c r="A247" s="10133"/>
      <c r="B247" s="761"/>
      <c r="C247" s="311"/>
      <c r="D247" s="762"/>
      <c r="E247" s="311"/>
      <c r="F247" s="762"/>
      <c r="G247" s="763"/>
      <c r="H247" s="1"/>
      <c r="I247" s="792" t="s">
        <v>1630</v>
      </c>
      <c r="J247" s="34"/>
      <c r="K247" s="34"/>
      <c r="L247" s="793" t="s">
        <v>1631</v>
      </c>
      <c r="M247" s="34"/>
      <c r="N247" s="34"/>
      <c r="O247" s="765"/>
      <c r="P247" s="15"/>
      <c r="Q247" s="15"/>
    </row>
    <row r="248" spans="1:1310" ht="20.100000000000001" customHeight="1">
      <c r="A248" s="10133"/>
      <c r="B248" s="764" t="s">
        <v>66</v>
      </c>
      <c r="C248" s="398" t="s">
        <v>1611</v>
      </c>
      <c r="D248" s="34"/>
      <c r="E248" s="34"/>
      <c r="F248" s="34"/>
      <c r="G248" s="765"/>
      <c r="H248" s="1"/>
      <c r="I248" s="792" t="s">
        <v>1632</v>
      </c>
      <c r="J248" s="34"/>
      <c r="K248" s="34"/>
      <c r="L248" s="1"/>
      <c r="M248" s="34"/>
      <c r="N248" s="34"/>
      <c r="O248" s="765"/>
      <c r="P248" s="15"/>
      <c r="Q248" s="15"/>
    </row>
    <row r="249" spans="1:1310" ht="20.100000000000001" customHeight="1">
      <c r="A249" s="10133"/>
      <c r="B249" s="766" t="s">
        <v>81</v>
      </c>
      <c r="C249" s="398" t="s">
        <v>1612</v>
      </c>
      <c r="D249" s="34"/>
      <c r="E249" s="34"/>
      <c r="F249" s="34"/>
      <c r="G249" s="765"/>
      <c r="H249" s="1"/>
      <c r="I249" s="792" t="s">
        <v>1633</v>
      </c>
      <c r="J249" s="34"/>
      <c r="K249" s="34"/>
      <c r="L249" s="793" t="s">
        <v>1634</v>
      </c>
      <c r="M249" s="34"/>
      <c r="N249" s="34"/>
      <c r="O249" s="765"/>
      <c r="P249" s="15"/>
      <c r="Q249" s="15"/>
    </row>
    <row r="250" spans="1:1310" ht="20.100000000000001" customHeight="1">
      <c r="A250" s="10133"/>
      <c r="B250" s="767" t="s">
        <v>84</v>
      </c>
      <c r="C250" s="398" t="s">
        <v>1613</v>
      </c>
      <c r="D250" s="34"/>
      <c r="E250" s="34"/>
      <c r="F250" s="34"/>
      <c r="G250" s="765"/>
      <c r="H250" s="1"/>
      <c r="I250" s="792" t="s">
        <v>1635</v>
      </c>
      <c r="J250" s="34"/>
      <c r="K250" s="34"/>
      <c r="L250" s="793" t="s">
        <v>1636</v>
      </c>
      <c r="M250" s="34"/>
      <c r="N250" s="34"/>
      <c r="O250" s="765"/>
      <c r="P250" s="15"/>
      <c r="Q250" s="15"/>
    </row>
    <row r="251" spans="1:1310" ht="20.100000000000001" customHeight="1" thickBot="1">
      <c r="A251" s="10133"/>
      <c r="B251" s="446"/>
      <c r="C251" s="34"/>
      <c r="D251" s="34"/>
      <c r="E251" s="34"/>
      <c r="F251" s="34"/>
      <c r="G251" s="765"/>
      <c r="H251" s="1"/>
      <c r="I251" s="792"/>
      <c r="J251" s="34"/>
      <c r="K251" s="34"/>
      <c r="L251" s="793" t="s">
        <v>1637</v>
      </c>
      <c r="M251" s="34"/>
      <c r="N251" s="34"/>
      <c r="O251" s="765"/>
      <c r="P251" s="15"/>
      <c r="Q251" s="15"/>
    </row>
    <row r="252" spans="1:1310" ht="20.100000000000001" customHeight="1">
      <c r="A252" s="10133"/>
      <c r="B252" s="768"/>
      <c r="C252" s="769"/>
      <c r="D252" s="770"/>
      <c r="E252" s="769"/>
      <c r="F252" s="770"/>
      <c r="G252" s="771"/>
      <c r="H252" s="1"/>
      <c r="I252" s="446"/>
      <c r="J252" s="34"/>
      <c r="K252" s="34"/>
      <c r="L252" s="34"/>
      <c r="M252" s="34"/>
      <c r="N252" s="34"/>
      <c r="O252" s="765"/>
      <c r="P252" s="15"/>
      <c r="Q252" s="15"/>
    </row>
    <row r="253" spans="1:1310" ht="20.100000000000001" customHeight="1">
      <c r="A253" s="10133"/>
      <c r="B253" s="8969" t="s">
        <v>1614</v>
      </c>
      <c r="C253" s="8970"/>
      <c r="D253" s="8970"/>
      <c r="E253" s="8970"/>
      <c r="F253" s="8970"/>
      <c r="G253" s="10134"/>
      <c r="H253" s="1"/>
      <c r="I253" s="792" t="s">
        <v>1638</v>
      </c>
      <c r="J253" s="34"/>
      <c r="K253" s="34"/>
      <c r="L253" s="419" t="s">
        <v>1640</v>
      </c>
      <c r="M253" s="34"/>
      <c r="N253" s="34"/>
      <c r="O253" s="765"/>
      <c r="P253" s="15"/>
      <c r="Q253" s="15"/>
    </row>
    <row r="254" spans="1:1310" ht="20.100000000000001" customHeight="1">
      <c r="A254" s="10133"/>
      <c r="B254" s="772"/>
      <c r="C254" s="34"/>
      <c r="D254" s="773"/>
      <c r="E254" s="34"/>
      <c r="F254" s="773"/>
      <c r="G254" s="774"/>
      <c r="H254" s="1"/>
      <c r="I254" s="792" t="s">
        <v>1639</v>
      </c>
      <c r="J254" s="34"/>
      <c r="K254" s="34"/>
      <c r="L254" s="794">
        <v>0</v>
      </c>
      <c r="M254" s="795">
        <v>0</v>
      </c>
      <c r="N254" s="796">
        <v>0</v>
      </c>
      <c r="O254" s="797">
        <v>0</v>
      </c>
      <c r="P254" s="15"/>
      <c r="Q254" s="15"/>
    </row>
    <row r="255" spans="1:1310" ht="20.100000000000001" customHeight="1" thickBot="1">
      <c r="A255" s="10133"/>
      <c r="B255" s="764" t="s">
        <v>66</v>
      </c>
      <c r="C255" s="398" t="s">
        <v>1615</v>
      </c>
      <c r="D255" s="34"/>
      <c r="E255" s="34"/>
      <c r="F255" s="34"/>
      <c r="G255" s="765"/>
      <c r="H255" s="1"/>
      <c r="I255" s="452"/>
      <c r="J255" s="453"/>
      <c r="K255" s="453"/>
      <c r="L255" s="453"/>
      <c r="M255" s="453"/>
      <c r="N255" s="453"/>
      <c r="O255" s="454"/>
      <c r="P255" s="15"/>
      <c r="Q255" s="15"/>
    </row>
    <row r="256" spans="1:1310" ht="20.100000000000001" customHeight="1" thickBot="1">
      <c r="A256" s="10133"/>
      <c r="B256" s="766" t="s">
        <v>81</v>
      </c>
      <c r="C256" s="398" t="s">
        <v>1616</v>
      </c>
      <c r="D256" s="34"/>
      <c r="E256" s="34"/>
      <c r="F256" s="34"/>
      <c r="G256" s="765"/>
      <c r="H256" s="1"/>
      <c r="I256" s="311"/>
      <c r="J256" s="311"/>
      <c r="K256" s="311"/>
      <c r="L256" s="311"/>
      <c r="M256" s="311"/>
      <c r="N256" s="311"/>
      <c r="O256" s="311"/>
      <c r="P256" s="15"/>
      <c r="Q256" s="15"/>
    </row>
    <row r="257" spans="1:17" ht="20.100000000000001" customHeight="1">
      <c r="A257" s="10133"/>
      <c r="B257" s="767" t="s">
        <v>84</v>
      </c>
      <c r="C257" s="398" t="s">
        <v>1617</v>
      </c>
      <c r="D257" s="34"/>
      <c r="E257" s="34"/>
      <c r="F257" s="34"/>
      <c r="G257" s="765"/>
      <c r="H257" s="1"/>
      <c r="I257" s="8972" t="s">
        <v>1645</v>
      </c>
      <c r="J257" s="8973"/>
      <c r="K257" s="8973"/>
      <c r="L257" s="8973"/>
      <c r="M257" s="8973"/>
      <c r="N257" s="8973"/>
      <c r="O257" s="8974"/>
      <c r="P257" s="15"/>
      <c r="Q257" s="15"/>
    </row>
    <row r="258" spans="1:17" ht="20.100000000000001" customHeight="1">
      <c r="A258" s="10133"/>
      <c r="B258" s="446"/>
      <c r="C258" s="34"/>
      <c r="D258" s="34"/>
      <c r="E258" s="34"/>
      <c r="F258" s="34"/>
      <c r="G258" s="765"/>
      <c r="H258" s="1"/>
      <c r="I258" s="10135" t="s">
        <v>1646</v>
      </c>
      <c r="J258" s="10136">
        <v>8.35</v>
      </c>
      <c r="K258" s="10137" t="s">
        <v>1647</v>
      </c>
      <c r="L258" s="10137"/>
      <c r="M258" s="10136">
        <v>0.25</v>
      </c>
      <c r="N258" s="10138">
        <f>IF(ISBLANK(M259),I262,M259)</f>
        <v>33.4</v>
      </c>
      <c r="O258" s="10139" t="s">
        <v>261</v>
      </c>
      <c r="P258" s="15"/>
      <c r="Q258" s="15"/>
    </row>
    <row r="259" spans="1:17" ht="20.100000000000001" customHeight="1">
      <c r="A259" s="10133"/>
      <c r="B259" s="775" t="s">
        <v>1618</v>
      </c>
      <c r="C259" s="776"/>
      <c r="D259" s="777"/>
      <c r="E259" s="776"/>
      <c r="F259" s="10140">
        <f>3.14*(11*11)</f>
        <v>379.94</v>
      </c>
      <c r="G259" s="10141"/>
      <c r="H259" s="1"/>
      <c r="I259" s="10135"/>
      <c r="J259" s="10136"/>
      <c r="K259" s="10137"/>
      <c r="L259" s="10137"/>
      <c r="M259" s="10136"/>
      <c r="N259" s="10138"/>
      <c r="O259" s="10139"/>
      <c r="P259" s="15"/>
      <c r="Q259" s="15"/>
    </row>
    <row r="260" spans="1:17" ht="20.100000000000001" customHeight="1">
      <c r="A260" s="10133"/>
      <c r="B260" s="778" t="s">
        <v>1619</v>
      </c>
      <c r="C260" s="779"/>
      <c r="D260" s="780"/>
      <c r="E260" s="779"/>
      <c r="F260" s="10154" t="s">
        <v>1620</v>
      </c>
      <c r="G260" s="10155"/>
      <c r="H260" s="1"/>
      <c r="I260" s="10135"/>
      <c r="J260" s="10136"/>
      <c r="K260" s="10156" t="s">
        <v>1648</v>
      </c>
      <c r="L260" s="10156"/>
      <c r="M260" s="10157">
        <v>70</v>
      </c>
      <c r="N260" s="10158">
        <f>J258/M260</f>
        <v>0.11928571428571429</v>
      </c>
      <c r="O260" s="10139" t="s">
        <v>1649</v>
      </c>
      <c r="P260" s="15"/>
      <c r="Q260" s="15"/>
    </row>
    <row r="261" spans="1:17" ht="20.100000000000001" customHeight="1">
      <c r="A261" s="10133"/>
      <c r="B261" s="791" t="s">
        <v>1621</v>
      </c>
      <c r="C261" s="781" t="s">
        <v>1622</v>
      </c>
      <c r="E261" s="781" t="s">
        <v>1623</v>
      </c>
      <c r="F261" s="782" t="s">
        <v>1624</v>
      </c>
      <c r="G261" s="279"/>
      <c r="H261" s="1"/>
      <c r="I261" s="10135"/>
      <c r="J261" s="10136"/>
      <c r="K261" s="10156"/>
      <c r="L261" s="10156"/>
      <c r="M261" s="10157"/>
      <c r="N261" s="10158"/>
      <c r="O261" s="10139"/>
      <c r="P261" s="15"/>
      <c r="Q261" s="15"/>
    </row>
    <row r="262" spans="1:17" ht="20.100000000000001" customHeight="1">
      <c r="A262" s="10133"/>
      <c r="B262" s="8988">
        <v>1</v>
      </c>
      <c r="C262" s="8990">
        <v>22</v>
      </c>
      <c r="D262" s="1"/>
      <c r="E262" s="8954">
        <f>C262/2</f>
        <v>11</v>
      </c>
      <c r="F262" s="8959">
        <f>PI()*(E262^2)</f>
        <v>380.13271108436498</v>
      </c>
      <c r="G262" s="2"/>
      <c r="H262" s="1"/>
      <c r="I262" s="800">
        <f>IF(ISBLANK(M258),0,J258/M258)</f>
        <v>33.4</v>
      </c>
      <c r="J262" s="322"/>
      <c r="K262" s="322"/>
      <c r="L262" s="322"/>
      <c r="M262" s="322"/>
      <c r="N262" s="322"/>
      <c r="O262" s="801"/>
      <c r="P262" s="15"/>
      <c r="Q262" s="15"/>
    </row>
    <row r="263" spans="1:17" ht="20.100000000000001" customHeight="1" thickBot="1">
      <c r="A263" s="10133"/>
      <c r="B263" s="8988"/>
      <c r="C263" s="8990"/>
      <c r="D263" s="1"/>
      <c r="E263" s="8954"/>
      <c r="F263" s="8959"/>
      <c r="G263" s="2"/>
      <c r="H263" s="1"/>
      <c r="I263" s="10130" t="s">
        <v>1650</v>
      </c>
      <c r="J263" s="10131"/>
      <c r="K263" s="10131"/>
      <c r="L263" s="10131"/>
      <c r="M263" s="10131"/>
      <c r="N263" s="10131"/>
      <c r="O263" s="10132"/>
      <c r="P263" s="15"/>
      <c r="Q263" s="15"/>
    </row>
    <row r="264" spans="1:17" ht="20.100000000000001" customHeight="1">
      <c r="A264" s="10133"/>
      <c r="B264" s="783"/>
      <c r="C264" s="785"/>
      <c r="D264" s="1"/>
      <c r="E264" s="412"/>
      <c r="F264" s="786"/>
      <c r="G264" s="2"/>
      <c r="H264" s="1"/>
      <c r="I264" s="10142" t="s">
        <v>8</v>
      </c>
      <c r="J264" s="10143"/>
      <c r="K264" s="10143"/>
      <c r="L264" s="10143"/>
      <c r="M264" s="10143"/>
      <c r="N264" s="10143"/>
      <c r="O264" s="10144"/>
      <c r="P264" s="15"/>
      <c r="Q264" s="15"/>
    </row>
    <row r="265" spans="1:17" ht="20.100000000000001" customHeight="1" thickBot="1">
      <c r="A265" s="10133"/>
      <c r="B265" s="8988">
        <v>1</v>
      </c>
      <c r="C265" s="8990">
        <v>22</v>
      </c>
      <c r="D265" s="1"/>
      <c r="E265" s="8954">
        <f>C265/2</f>
        <v>11</v>
      </c>
      <c r="F265" s="8959">
        <f>PI()*(E265^2)</f>
        <v>380.13271108436498</v>
      </c>
      <c r="G265" s="2"/>
      <c r="H265" s="1"/>
      <c r="I265" s="10145"/>
      <c r="J265" s="10146"/>
      <c r="K265" s="10146"/>
      <c r="L265" s="10146"/>
      <c r="M265" s="10146"/>
      <c r="N265" s="10146"/>
      <c r="O265" s="10147"/>
      <c r="P265" s="15"/>
      <c r="Q265" s="15"/>
    </row>
    <row r="266" spans="1:17" ht="20.100000000000001" customHeight="1" thickBot="1">
      <c r="A266" s="10133"/>
      <c r="B266" s="8989"/>
      <c r="C266" s="8991"/>
      <c r="D266" s="1"/>
      <c r="E266" s="8992"/>
      <c r="F266" s="8993"/>
      <c r="G266" s="2"/>
      <c r="H266" s="1"/>
      <c r="P266" s="15"/>
      <c r="Q266" s="15"/>
    </row>
    <row r="267" spans="1:17" ht="20.100000000000001" customHeight="1">
      <c r="A267" s="10133"/>
      <c r="B267" s="8994" t="s">
        <v>1625</v>
      </c>
      <c r="C267" s="8995"/>
      <c r="D267" s="8995"/>
      <c r="E267" s="8995"/>
      <c r="F267" s="8995"/>
      <c r="G267" s="8996"/>
      <c r="H267" s="1"/>
      <c r="I267" s="10148" t="s">
        <v>1651</v>
      </c>
      <c r="J267" s="10149"/>
      <c r="K267" s="10149"/>
      <c r="L267" s="10149"/>
      <c r="M267" s="10149"/>
      <c r="N267" s="10150"/>
      <c r="O267" s="15"/>
      <c r="P267" s="15"/>
      <c r="Q267" s="15"/>
    </row>
    <row r="268" spans="1:17" ht="20.100000000000001" customHeight="1">
      <c r="A268" s="10133"/>
      <c r="B268" s="787" t="s">
        <v>1626</v>
      </c>
      <c r="C268" s="311"/>
      <c r="D268" s="788"/>
      <c r="E268" s="311"/>
      <c r="F268" s="789"/>
      <c r="G268" s="790"/>
      <c r="H268" s="1"/>
      <c r="I268" s="10151"/>
      <c r="J268" s="10152"/>
      <c r="K268" s="10152"/>
      <c r="L268" s="10152"/>
      <c r="M268" s="10152"/>
      <c r="N268" s="10153"/>
      <c r="O268" s="15"/>
      <c r="P268" s="15"/>
      <c r="Q268" s="15"/>
    </row>
    <row r="269" spans="1:17" ht="20.100000000000001" customHeight="1">
      <c r="A269" s="10133"/>
      <c r="B269" s="8856" t="s">
        <v>8</v>
      </c>
      <c r="C269" s="8857"/>
      <c r="D269" s="8857"/>
      <c r="E269" s="8857"/>
      <c r="F269" s="8857"/>
      <c r="G269" s="10077"/>
      <c r="H269" s="1"/>
      <c r="I269" s="10122" t="s">
        <v>1652</v>
      </c>
      <c r="J269" s="10123"/>
      <c r="K269" s="10123"/>
      <c r="L269" s="10123"/>
      <c r="M269" s="10123"/>
      <c r="N269" s="10124"/>
      <c r="O269" s="15"/>
      <c r="P269" s="15"/>
      <c r="Q269" s="15"/>
    </row>
    <row r="270" spans="1:17" ht="20.100000000000001" customHeight="1" thickBot="1">
      <c r="A270" s="10133"/>
      <c r="B270" s="10023"/>
      <c r="C270" s="8675"/>
      <c r="D270" s="8675"/>
      <c r="E270" s="8675"/>
      <c r="F270" s="8675"/>
      <c r="G270" s="8676"/>
      <c r="H270" s="1"/>
      <c r="I270" s="10122"/>
      <c r="J270" s="10123"/>
      <c r="K270" s="10123"/>
      <c r="L270" s="10123"/>
      <c r="M270" s="10123"/>
      <c r="N270" s="10124"/>
      <c r="O270" s="15"/>
      <c r="P270" s="15"/>
      <c r="Q270" s="15"/>
    </row>
    <row r="271" spans="1:17" ht="20.100000000000001" customHeight="1" thickBot="1">
      <c r="B271" s="1"/>
      <c r="C271" s="1"/>
      <c r="D271" s="1"/>
      <c r="E271" s="462"/>
      <c r="F271" s="462"/>
      <c r="G271" s="1"/>
      <c r="H271" s="1"/>
      <c r="I271" s="10102" t="s">
        <v>1621</v>
      </c>
      <c r="J271" s="10072" t="s">
        <v>1622</v>
      </c>
      <c r="K271" s="10072" t="s">
        <v>1623</v>
      </c>
      <c r="L271" s="8963" t="s">
        <v>1653</v>
      </c>
      <c r="M271" s="8964" t="s">
        <v>463</v>
      </c>
      <c r="N271" s="10100" t="s">
        <v>1654</v>
      </c>
      <c r="O271" s="15"/>
      <c r="P271" s="15"/>
      <c r="Q271" s="15"/>
    </row>
    <row r="272" spans="1:17" ht="20.100000000000001" customHeight="1">
      <c r="A272" s="655" t="s">
        <v>67</v>
      </c>
      <c r="B272" s="8965" t="s">
        <v>1641</v>
      </c>
      <c r="C272" s="8966"/>
      <c r="D272" s="8966"/>
      <c r="E272" s="8966"/>
      <c r="F272" s="8966"/>
      <c r="G272" s="8967"/>
      <c r="H272" s="1"/>
      <c r="I272" s="10102"/>
      <c r="J272" s="10072"/>
      <c r="K272" s="10072"/>
      <c r="L272" s="8963"/>
      <c r="M272" s="8964"/>
      <c r="N272" s="10100"/>
      <c r="O272" s="15"/>
      <c r="P272" s="15"/>
      <c r="Q272" s="15"/>
    </row>
    <row r="273" spans="1:17" ht="20.100000000000001" customHeight="1">
      <c r="A273" s="10126" t="s">
        <v>1641</v>
      </c>
      <c r="B273" s="8946" t="s">
        <v>1642</v>
      </c>
      <c r="C273" s="8947"/>
      <c r="D273" s="8947"/>
      <c r="E273" s="8947"/>
      <c r="F273" s="8947"/>
      <c r="G273" s="10121"/>
      <c r="H273" s="1"/>
      <c r="I273" s="8913">
        <v>1</v>
      </c>
      <c r="J273" s="8893">
        <v>22</v>
      </c>
      <c r="K273" s="8954">
        <f>J273/2</f>
        <v>11</v>
      </c>
      <c r="L273" s="10127">
        <v>0.15</v>
      </c>
      <c r="M273" s="8944">
        <f>(PI()*(K273^2)*I273)</f>
        <v>380.13271108436498</v>
      </c>
      <c r="N273" s="10120">
        <f>N277</f>
        <v>1.5783961298369786</v>
      </c>
      <c r="O273" s="15"/>
      <c r="P273" s="15"/>
      <c r="Q273" s="15"/>
    </row>
    <row r="274" spans="1:17" ht="20.100000000000001" customHeight="1">
      <c r="A274" s="10126"/>
      <c r="B274" s="8946"/>
      <c r="C274" s="8947"/>
      <c r="D274" s="8947"/>
      <c r="E274" s="8947"/>
      <c r="F274" s="8947"/>
      <c r="G274" s="10121"/>
      <c r="H274" s="1"/>
      <c r="I274" s="8913"/>
      <c r="J274" s="8893"/>
      <c r="K274" s="8954"/>
      <c r="L274" s="10127"/>
      <c r="M274" s="8944"/>
      <c r="N274" s="10120"/>
      <c r="O274" s="15"/>
      <c r="P274" s="15"/>
      <c r="Q274" s="15"/>
    </row>
    <row r="275" spans="1:17" ht="20.100000000000001" customHeight="1">
      <c r="A275" s="10126"/>
      <c r="B275" s="8946" t="s">
        <v>1643</v>
      </c>
      <c r="C275" s="8947"/>
      <c r="D275" s="8947"/>
      <c r="E275" s="8947"/>
      <c r="F275" s="8947"/>
      <c r="G275" s="10121"/>
      <c r="H275" s="1"/>
      <c r="I275" s="10122" t="s">
        <v>1655</v>
      </c>
      <c r="J275" s="10123"/>
      <c r="K275" s="10123"/>
      <c r="L275" s="10123"/>
      <c r="M275" s="10123"/>
      <c r="N275" s="10124"/>
      <c r="O275" s="15"/>
      <c r="P275" s="15"/>
      <c r="Q275" s="15"/>
    </row>
    <row r="276" spans="1:17" ht="20.100000000000001" customHeight="1">
      <c r="A276" s="10126"/>
      <c r="B276" s="8946"/>
      <c r="C276" s="8947"/>
      <c r="D276" s="8947"/>
      <c r="E276" s="8947"/>
      <c r="F276" s="8947"/>
      <c r="G276" s="10121"/>
      <c r="H276" s="1"/>
      <c r="I276" s="10122"/>
      <c r="J276" s="10123"/>
      <c r="K276" s="10123"/>
      <c r="L276" s="10123"/>
      <c r="M276" s="10123"/>
      <c r="N276" s="10124"/>
      <c r="O276" s="15"/>
      <c r="P276" s="15"/>
      <c r="Q276" s="15"/>
    </row>
    <row r="277" spans="1:17" ht="20.100000000000001" customHeight="1">
      <c r="A277" s="10126"/>
      <c r="B277" s="8946"/>
      <c r="C277" s="8947"/>
      <c r="D277" s="8947"/>
      <c r="E277" s="8947"/>
      <c r="F277" s="8947"/>
      <c r="G277" s="10121"/>
      <c r="H277" s="1"/>
      <c r="I277" s="8913">
        <v>1</v>
      </c>
      <c r="J277" s="8893">
        <v>30</v>
      </c>
      <c r="K277" s="8893">
        <v>20</v>
      </c>
      <c r="L277" s="10125">
        <f>(L273*N273)*I273</f>
        <v>0.2367594194755468</v>
      </c>
      <c r="M277" s="8944">
        <f>(J277*K277)*I277</f>
        <v>600</v>
      </c>
      <c r="N277" s="10120">
        <f>M277/M273</f>
        <v>1.5783961298369786</v>
      </c>
      <c r="O277" s="15"/>
      <c r="P277" s="15"/>
      <c r="Q277" s="15"/>
    </row>
    <row r="278" spans="1:17" ht="20.100000000000001" customHeight="1">
      <c r="A278" s="10126"/>
      <c r="B278" s="798"/>
      <c r="C278" s="799"/>
      <c r="D278" s="799"/>
      <c r="E278" s="799"/>
      <c r="F278" s="799"/>
      <c r="G278" s="2"/>
      <c r="H278" s="1"/>
      <c r="I278" s="8913"/>
      <c r="J278" s="8893"/>
      <c r="K278" s="8893"/>
      <c r="L278" s="10125"/>
      <c r="M278" s="8944"/>
      <c r="N278" s="10120"/>
      <c r="O278" s="15"/>
      <c r="P278" s="15"/>
      <c r="Q278" s="15"/>
    </row>
    <row r="279" spans="1:17" ht="20.100000000000001" customHeight="1">
      <c r="A279" s="10126"/>
      <c r="B279" s="798"/>
      <c r="C279" s="799"/>
      <c r="D279" s="799"/>
      <c r="E279" s="799"/>
      <c r="F279" s="799"/>
      <c r="G279" s="2"/>
      <c r="H279" s="1"/>
      <c r="I279" s="10128" t="s">
        <v>1656</v>
      </c>
      <c r="J279" s="10129" t="s">
        <v>1657</v>
      </c>
      <c r="K279" s="10129" t="s">
        <v>1658</v>
      </c>
      <c r="L279" s="8958" t="s">
        <v>1653</v>
      </c>
      <c r="M279" s="10109" t="s">
        <v>463</v>
      </c>
      <c r="N279" s="10110" t="s">
        <v>1654</v>
      </c>
      <c r="O279" s="15"/>
      <c r="P279" s="15"/>
      <c r="Q279" s="15"/>
    </row>
    <row r="280" spans="1:17" ht="20.100000000000001" customHeight="1">
      <c r="A280" s="10126"/>
      <c r="B280" s="798"/>
      <c r="C280" s="799"/>
      <c r="D280" s="799"/>
      <c r="E280" s="799"/>
      <c r="F280" s="799"/>
      <c r="G280" s="2"/>
      <c r="H280" s="1"/>
      <c r="I280" s="10128"/>
      <c r="J280" s="10129"/>
      <c r="K280" s="10129"/>
      <c r="L280" s="8958"/>
      <c r="M280" s="10109"/>
      <c r="N280" s="10110"/>
      <c r="O280" s="15"/>
      <c r="P280" s="15"/>
      <c r="Q280" s="15"/>
    </row>
    <row r="281" spans="1:17" ht="20.100000000000001" customHeight="1" thickBot="1">
      <c r="A281" s="10126"/>
      <c r="B281" s="798"/>
      <c r="C281" s="799"/>
      <c r="D281" s="799"/>
      <c r="E281" s="799"/>
      <c r="F281" s="799"/>
      <c r="G281" s="2"/>
      <c r="H281" s="1"/>
      <c r="I281" s="807" t="s">
        <v>1659</v>
      </c>
      <c r="J281" s="804"/>
      <c r="K281" s="804"/>
      <c r="L281" s="804"/>
      <c r="M281" s="804"/>
      <c r="N281" s="805"/>
      <c r="O281" s="15"/>
      <c r="P281" s="15"/>
      <c r="Q281" s="15"/>
    </row>
    <row r="282" spans="1:17" ht="20.100000000000001" customHeight="1">
      <c r="A282" s="10126"/>
      <c r="B282" s="798"/>
      <c r="C282" s="799"/>
      <c r="D282" s="799"/>
      <c r="E282" s="799"/>
      <c r="F282" s="799"/>
      <c r="G282" s="2"/>
      <c r="H282" s="1"/>
      <c r="I282" s="808" t="s">
        <v>1660</v>
      </c>
      <c r="J282" s="809" t="s">
        <v>1661</v>
      </c>
      <c r="K282" s="802"/>
      <c r="L282" s="802"/>
      <c r="M282" s="802"/>
      <c r="N282" s="803"/>
      <c r="O282" s="15"/>
      <c r="P282" s="15"/>
      <c r="Q282" s="15"/>
    </row>
    <row r="283" spans="1:17" ht="20.100000000000001" customHeight="1">
      <c r="A283" s="10126"/>
      <c r="B283" s="798"/>
      <c r="C283" s="799"/>
      <c r="D283" s="799"/>
      <c r="E283" s="799"/>
      <c r="F283" s="799"/>
      <c r="G283" s="2"/>
      <c r="H283" s="1"/>
      <c r="I283" s="8927" t="s">
        <v>8</v>
      </c>
      <c r="J283" s="8928"/>
      <c r="K283" s="8928"/>
      <c r="L283" s="8928"/>
      <c r="M283" s="8928"/>
      <c r="N283" s="10111"/>
      <c r="O283" s="15"/>
      <c r="P283" s="15"/>
      <c r="Q283" s="15"/>
    </row>
    <row r="284" spans="1:17" ht="20.100000000000001" customHeight="1" thickBot="1">
      <c r="A284" s="10126"/>
      <c r="B284" s="798"/>
      <c r="C284" s="799"/>
      <c r="D284" s="799"/>
      <c r="E284" s="799"/>
      <c r="F284" s="799"/>
      <c r="G284" s="2"/>
      <c r="H284" s="1"/>
      <c r="I284" s="10112"/>
      <c r="J284" s="8931"/>
      <c r="K284" s="8931"/>
      <c r="L284" s="8931"/>
      <c r="M284" s="8931"/>
      <c r="N284" s="8932"/>
      <c r="O284" s="15"/>
      <c r="P284" s="15"/>
      <c r="Q284" s="15"/>
    </row>
    <row r="285" spans="1:17" ht="20.100000000000001" customHeight="1" thickBot="1">
      <c r="A285" s="10126"/>
      <c r="B285" s="798"/>
      <c r="C285" s="799"/>
      <c r="D285" s="799"/>
      <c r="E285" s="799"/>
      <c r="F285" s="799"/>
      <c r="G285" s="2"/>
      <c r="H285" s="1"/>
      <c r="I285" s="15"/>
      <c r="J285" s="15"/>
      <c r="K285" s="15"/>
      <c r="L285" s="15"/>
      <c r="M285" s="15"/>
      <c r="N285" s="15"/>
      <c r="O285" s="15"/>
      <c r="P285" s="15"/>
      <c r="Q285" s="15"/>
    </row>
    <row r="286" spans="1:17" ht="20.100000000000001" customHeight="1">
      <c r="A286" s="10126"/>
      <c r="B286" s="798"/>
      <c r="C286" s="799"/>
      <c r="D286" s="799"/>
      <c r="E286" s="799"/>
      <c r="F286" s="799"/>
      <c r="G286" s="2"/>
      <c r="H286" s="1"/>
      <c r="I286" s="10113" t="s">
        <v>1662</v>
      </c>
      <c r="J286" s="10114"/>
      <c r="K286" s="10114"/>
      <c r="L286" s="10114"/>
      <c r="M286" s="10115"/>
      <c r="O286" s="15"/>
      <c r="P286" s="15"/>
      <c r="Q286" s="15"/>
    </row>
    <row r="287" spans="1:17" ht="20.100000000000001" customHeight="1">
      <c r="A287" s="10126"/>
      <c r="B287" s="798"/>
      <c r="C287" s="799"/>
      <c r="D287" s="799"/>
      <c r="E287" s="799"/>
      <c r="F287" s="799"/>
      <c r="G287" s="2"/>
      <c r="H287" s="1"/>
      <c r="I287" s="10116"/>
      <c r="J287" s="10117"/>
      <c r="K287" s="10117"/>
      <c r="L287" s="10117"/>
      <c r="M287" s="10118"/>
    </row>
    <row r="288" spans="1:17" ht="20.100000000000001" customHeight="1">
      <c r="A288" s="10126"/>
      <c r="B288" s="798"/>
      <c r="C288" s="799"/>
      <c r="D288" s="799"/>
      <c r="E288" s="799"/>
      <c r="F288" s="799"/>
      <c r="G288" s="2"/>
      <c r="H288" s="1"/>
      <c r="I288" s="10116"/>
      <c r="J288" s="10117"/>
      <c r="K288" s="10117"/>
      <c r="L288" s="10117"/>
      <c r="M288" s="10118"/>
    </row>
    <row r="289" spans="1:14" ht="20.100000000000001" customHeight="1">
      <c r="A289" s="10126"/>
      <c r="B289" s="8939" t="s">
        <v>1644</v>
      </c>
      <c r="C289" s="8940"/>
      <c r="D289" s="8940"/>
      <c r="E289" s="8940"/>
      <c r="F289" s="8940"/>
      <c r="G289" s="2"/>
      <c r="H289" s="1"/>
      <c r="I289" s="10102" t="s">
        <v>1621</v>
      </c>
      <c r="J289" s="10072" t="s">
        <v>1622</v>
      </c>
      <c r="K289" s="10072" t="s">
        <v>1623</v>
      </c>
      <c r="L289" s="10072" t="s">
        <v>1663</v>
      </c>
      <c r="M289" s="10100" t="s">
        <v>463</v>
      </c>
    </row>
    <row r="290" spans="1:14" ht="20.100000000000001" customHeight="1">
      <c r="A290" s="10126"/>
      <c r="B290" s="8939"/>
      <c r="C290" s="8940"/>
      <c r="D290" s="8940"/>
      <c r="E290" s="8940"/>
      <c r="F290" s="8940"/>
      <c r="G290" s="2"/>
      <c r="H290" s="1"/>
      <c r="I290" s="10102"/>
      <c r="J290" s="10072"/>
      <c r="K290" s="10072"/>
      <c r="L290" s="10072"/>
      <c r="M290" s="10100"/>
    </row>
    <row r="291" spans="1:14" ht="20.100000000000001" customHeight="1" thickBot="1">
      <c r="A291" s="10126"/>
      <c r="B291" s="10119"/>
      <c r="C291" s="8942"/>
      <c r="D291" s="8942"/>
      <c r="E291" s="8942"/>
      <c r="F291" s="8942"/>
      <c r="G291" s="300"/>
      <c r="H291" s="1"/>
      <c r="I291" s="8913">
        <v>1</v>
      </c>
      <c r="J291" s="8850">
        <v>22</v>
      </c>
      <c r="K291" s="8943">
        <f>J291/2</f>
        <v>11</v>
      </c>
      <c r="L291" s="8850">
        <v>1</v>
      </c>
      <c r="M291" s="10090">
        <f>((PI()*(K291^2)*L291))*I291</f>
        <v>380.13271108436498</v>
      </c>
    </row>
    <row r="292" spans="1:14" ht="20.100000000000001" customHeight="1">
      <c r="B292" s="1"/>
      <c r="C292" s="1"/>
      <c r="D292" s="1"/>
      <c r="E292" s="462"/>
      <c r="F292" s="462"/>
      <c r="G292" s="1"/>
      <c r="H292" s="1"/>
      <c r="I292" s="8913"/>
      <c r="J292" s="8850"/>
      <c r="K292" s="8943"/>
      <c r="L292" s="8850"/>
      <c r="M292" s="10090"/>
    </row>
    <row r="293" spans="1:14" ht="20.100000000000001" customHeight="1">
      <c r="B293" s="10103" t="s">
        <v>1664</v>
      </c>
      <c r="C293" s="10104"/>
      <c r="D293" s="10104"/>
      <c r="E293" s="10104"/>
      <c r="F293" s="10104"/>
      <c r="G293" s="10105"/>
      <c r="H293" s="1"/>
      <c r="I293" s="10102" t="s">
        <v>1621</v>
      </c>
      <c r="J293" s="10072" t="s">
        <v>1622</v>
      </c>
      <c r="K293" s="10072" t="s">
        <v>1663</v>
      </c>
      <c r="L293" s="10072"/>
      <c r="M293" s="10100" t="s">
        <v>463</v>
      </c>
    </row>
    <row r="294" spans="1:14" ht="20.100000000000001" customHeight="1">
      <c r="B294" s="10103"/>
      <c r="C294" s="10104"/>
      <c r="D294" s="10104"/>
      <c r="E294" s="10104"/>
      <c r="F294" s="10104"/>
      <c r="G294" s="10105"/>
      <c r="H294" s="1"/>
      <c r="I294" s="10102"/>
      <c r="J294" s="10072"/>
      <c r="K294" s="10072"/>
      <c r="L294" s="10072"/>
      <c r="M294" s="10100"/>
    </row>
    <row r="295" spans="1:14" ht="20.100000000000001" customHeight="1">
      <c r="B295" s="10106" t="s">
        <v>1656</v>
      </c>
      <c r="C295" s="10107" t="s">
        <v>1657</v>
      </c>
      <c r="D295" s="10107" t="s">
        <v>1658</v>
      </c>
      <c r="E295" s="10107" t="s">
        <v>1663</v>
      </c>
      <c r="F295" s="10107" t="s">
        <v>463</v>
      </c>
      <c r="G295" s="10108"/>
      <c r="H295" s="1"/>
      <c r="I295" s="8913">
        <v>1</v>
      </c>
      <c r="J295" s="8893">
        <v>22</v>
      </c>
      <c r="K295" s="8893">
        <v>1</v>
      </c>
      <c r="L295" s="8924"/>
      <c r="M295" s="10090">
        <f>(((J295/2)*(J295/2)*3.1416)*K295)*I295</f>
        <v>380.1336</v>
      </c>
    </row>
    <row r="296" spans="1:14" ht="20.100000000000001" customHeight="1">
      <c r="B296" s="10106"/>
      <c r="C296" s="10107"/>
      <c r="D296" s="10107"/>
      <c r="E296" s="10107"/>
      <c r="F296" s="10107"/>
      <c r="G296" s="10108"/>
      <c r="H296" s="1"/>
      <c r="I296" s="8913"/>
      <c r="J296" s="8893"/>
      <c r="K296" s="8893"/>
      <c r="L296" s="8924"/>
      <c r="M296" s="10090"/>
    </row>
    <row r="297" spans="1:14" ht="20.100000000000001" customHeight="1">
      <c r="B297" s="8913">
        <v>1</v>
      </c>
      <c r="C297" s="8893">
        <v>30</v>
      </c>
      <c r="D297" s="8893">
        <v>20</v>
      </c>
      <c r="E297" s="8850">
        <v>1</v>
      </c>
      <c r="F297" s="8915">
        <f>((C297*D297)*E297)*B297</f>
        <v>600</v>
      </c>
      <c r="G297" s="10101"/>
      <c r="H297" s="1"/>
      <c r="I297" s="10102" t="s">
        <v>1621</v>
      </c>
      <c r="J297" s="10072" t="s">
        <v>1622</v>
      </c>
      <c r="K297" s="10072" t="s">
        <v>1663</v>
      </c>
      <c r="L297" s="10072" t="s">
        <v>1648</v>
      </c>
      <c r="M297" s="10100" t="s">
        <v>463</v>
      </c>
    </row>
    <row r="298" spans="1:14" ht="20.100000000000001" customHeight="1">
      <c r="B298" s="8913"/>
      <c r="C298" s="8893"/>
      <c r="D298" s="8893"/>
      <c r="E298" s="8850"/>
      <c r="F298" s="8915"/>
      <c r="G298" s="10101"/>
      <c r="H298" s="1"/>
      <c r="I298" s="10102"/>
      <c r="J298" s="10072"/>
      <c r="K298" s="10072"/>
      <c r="L298" s="10072"/>
      <c r="M298" s="10100"/>
    </row>
    <row r="299" spans="1:14" ht="20.100000000000001" customHeight="1">
      <c r="B299" s="10091" t="s">
        <v>1659</v>
      </c>
      <c r="C299" s="10092"/>
      <c r="D299" s="10092"/>
      <c r="E299" s="10092"/>
      <c r="F299" s="10092"/>
      <c r="G299" s="10093"/>
      <c r="H299" s="1"/>
      <c r="I299" s="8913">
        <v>1</v>
      </c>
      <c r="J299" s="8893">
        <v>22</v>
      </c>
      <c r="K299" s="8893">
        <v>1</v>
      </c>
      <c r="L299" s="8914">
        <v>3</v>
      </c>
      <c r="M299" s="10090">
        <f>(((J299/2)*(J299/2)*PI()*K299)*I299)/L299</f>
        <v>126.71090369478833</v>
      </c>
    </row>
    <row r="300" spans="1:14" ht="20.100000000000001" customHeight="1">
      <c r="B300" s="810" t="s">
        <v>8</v>
      </c>
      <c r="C300" s="806"/>
      <c r="D300" s="806"/>
      <c r="E300" s="806"/>
      <c r="F300" s="806"/>
      <c r="G300" s="811"/>
      <c r="H300" s="1"/>
      <c r="I300" s="8913"/>
      <c r="J300" s="8893"/>
      <c r="K300" s="8893"/>
      <c r="L300" s="8914"/>
      <c r="M300" s="10090"/>
    </row>
    <row r="301" spans="1:14" ht="20.100000000000001" customHeight="1" thickBot="1">
      <c r="B301" s="812"/>
      <c r="C301" s="813"/>
      <c r="D301" s="813"/>
      <c r="E301" s="813"/>
      <c r="F301" s="813"/>
      <c r="G301" s="814"/>
      <c r="H301" s="1"/>
      <c r="I301" s="10091" t="s">
        <v>1659</v>
      </c>
      <c r="J301" s="10092"/>
      <c r="K301" s="10092"/>
      <c r="L301" s="10092"/>
      <c r="M301" s="10093"/>
    </row>
    <row r="302" spans="1:14" ht="20.100000000000001" customHeight="1">
      <c r="B302" s="1"/>
      <c r="C302" s="1"/>
      <c r="D302" s="1"/>
      <c r="E302" s="462"/>
      <c r="F302" s="462"/>
      <c r="G302" s="1"/>
      <c r="H302" s="1"/>
      <c r="I302" s="8899" t="s">
        <v>8</v>
      </c>
      <c r="J302" s="8900"/>
      <c r="K302" s="8900"/>
      <c r="L302" s="8900"/>
      <c r="M302" s="10094"/>
    </row>
    <row r="303" spans="1:14" ht="20.100000000000001" customHeight="1" thickBot="1">
      <c r="B303" s="1"/>
      <c r="C303" s="1"/>
      <c r="D303" s="1"/>
      <c r="E303" s="462"/>
      <c r="F303" s="462"/>
      <c r="G303" s="1"/>
      <c r="H303" s="1"/>
      <c r="I303" s="10095"/>
      <c r="J303" s="8903"/>
      <c r="K303" s="8903"/>
      <c r="L303" s="8903"/>
      <c r="M303" s="8904"/>
      <c r="N303" s="15"/>
    </row>
    <row r="304" spans="1:14" ht="20.100000000000001" customHeight="1">
      <c r="A304" s="1"/>
      <c r="B304" s="1"/>
      <c r="C304" s="1"/>
      <c r="D304" s="1"/>
      <c r="E304" s="462"/>
      <c r="F304" s="462"/>
      <c r="G304" s="1"/>
      <c r="H304" s="15"/>
      <c r="I304" s="15"/>
      <c r="J304" s="15"/>
      <c r="K304" s="15"/>
      <c r="L304" s="15"/>
      <c r="M304" s="15"/>
      <c r="N304" s="15"/>
    </row>
    <row r="305" spans="2:17" ht="20.100000000000001" customHeight="1">
      <c r="B305" s="10096" t="s">
        <v>1691</v>
      </c>
      <c r="C305" s="10097"/>
      <c r="D305" s="10097"/>
      <c r="E305" s="10097"/>
      <c r="F305" s="10097"/>
      <c r="G305" s="10097"/>
      <c r="H305" s="10097"/>
      <c r="I305" s="10097"/>
      <c r="J305" s="10097"/>
      <c r="K305" s="10097"/>
      <c r="L305" s="15"/>
      <c r="M305" s="15"/>
      <c r="N305" s="15"/>
      <c r="O305" s="15"/>
      <c r="P305" s="15"/>
      <c r="Q305" s="15"/>
    </row>
    <row r="306" spans="2:17" ht="20.100000000000001" customHeight="1">
      <c r="B306" s="10096"/>
      <c r="C306" s="10097"/>
      <c r="D306" s="10097"/>
      <c r="E306" s="10097"/>
      <c r="F306" s="10097"/>
      <c r="G306" s="10097"/>
      <c r="H306" s="10097"/>
      <c r="I306" s="10097"/>
      <c r="J306" s="10097"/>
      <c r="K306" s="10097"/>
      <c r="L306" s="15"/>
      <c r="M306" s="15"/>
      <c r="N306" s="15"/>
      <c r="O306" s="15"/>
      <c r="P306" s="15"/>
      <c r="Q306" s="15"/>
    </row>
    <row r="307" spans="2:17" ht="20.100000000000001" customHeight="1">
      <c r="B307" s="8907" t="s">
        <v>1692</v>
      </c>
      <c r="C307" s="8908"/>
      <c r="D307" s="8908"/>
      <c r="E307" s="8908"/>
      <c r="F307" s="8908"/>
      <c r="G307" s="8908"/>
      <c r="H307" s="8908"/>
      <c r="I307" s="8908"/>
      <c r="J307" s="8908"/>
      <c r="K307" s="10098"/>
      <c r="L307" s="15"/>
      <c r="M307" s="15"/>
      <c r="N307" s="15"/>
      <c r="O307" s="15"/>
      <c r="P307" s="15"/>
      <c r="Q307" s="15"/>
    </row>
    <row r="308" spans="2:17" ht="20.100000000000001" customHeight="1">
      <c r="B308" s="304"/>
      <c r="C308" s="10099" t="s">
        <v>1621</v>
      </c>
      <c r="D308" s="10099"/>
      <c r="E308" s="10099" t="s">
        <v>1622</v>
      </c>
      <c r="F308" s="10099"/>
      <c r="G308" s="10099" t="s">
        <v>1663</v>
      </c>
      <c r="H308" s="10099"/>
      <c r="I308" s="8911" t="s">
        <v>1693</v>
      </c>
      <c r="J308" s="8911"/>
      <c r="K308" s="816" t="s">
        <v>463</v>
      </c>
      <c r="L308" s="15"/>
      <c r="M308" s="15"/>
      <c r="N308" s="15"/>
      <c r="O308" s="15"/>
      <c r="P308" s="15"/>
      <c r="Q308" s="15"/>
    </row>
    <row r="309" spans="2:17" ht="20.100000000000001" customHeight="1">
      <c r="B309" s="8892" t="s">
        <v>66</v>
      </c>
      <c r="C309" s="8848">
        <v>1</v>
      </c>
      <c r="D309" s="8848"/>
      <c r="E309" s="8893">
        <v>26</v>
      </c>
      <c r="F309" s="8893"/>
      <c r="G309" s="8893">
        <v>4</v>
      </c>
      <c r="H309" s="8893"/>
      <c r="I309" s="10089">
        <f>(I313/K313)*K309</f>
        <v>0.47499999999999998</v>
      </c>
      <c r="J309" s="10089"/>
      <c r="K309" s="10090">
        <f>(((E309/2)*(E309/2)*PI())*G309)*C309</f>
        <v>2123.7166338267002</v>
      </c>
      <c r="L309" s="15"/>
      <c r="M309" s="15"/>
      <c r="N309" s="15"/>
      <c r="O309" s="15"/>
      <c r="P309" s="15"/>
      <c r="Q309" s="15"/>
    </row>
    <row r="310" spans="2:17" ht="20.100000000000001" customHeight="1">
      <c r="B310" s="8892"/>
      <c r="C310" s="8848"/>
      <c r="D310" s="8848"/>
      <c r="E310" s="8893"/>
      <c r="F310" s="8893"/>
      <c r="G310" s="8893"/>
      <c r="H310" s="8893"/>
      <c r="I310" s="10089"/>
      <c r="J310" s="10089"/>
      <c r="K310" s="10090"/>
      <c r="L310" s="15"/>
      <c r="M310" s="15"/>
      <c r="N310" s="15"/>
      <c r="O310" s="15"/>
      <c r="P310" s="15"/>
      <c r="Q310" s="15"/>
    </row>
    <row r="311" spans="2:17" ht="20.100000000000001" customHeight="1" thickBot="1">
      <c r="B311" s="304"/>
      <c r="C311" s="817"/>
      <c r="D311" s="311"/>
      <c r="E311" s="818"/>
      <c r="F311" s="311"/>
      <c r="G311" s="818"/>
      <c r="H311" s="311"/>
      <c r="I311" s="819"/>
      <c r="J311" s="311"/>
      <c r="K311" s="816"/>
      <c r="L311" s="15"/>
      <c r="M311" s="15"/>
      <c r="N311" s="15"/>
      <c r="O311" s="15"/>
      <c r="P311" s="15"/>
      <c r="Q311" s="15"/>
    </row>
    <row r="312" spans="2:17" ht="20.100000000000001" customHeight="1">
      <c r="B312" s="8885" t="s">
        <v>1694</v>
      </c>
      <c r="C312" s="8867"/>
      <c r="D312" s="8867"/>
      <c r="E312" s="8867"/>
      <c r="F312" s="8867"/>
      <c r="G312" s="8867"/>
      <c r="H312" s="8867"/>
      <c r="I312" s="8867"/>
      <c r="J312" s="8867"/>
      <c r="K312" s="8886"/>
      <c r="L312" s="15"/>
      <c r="M312" s="15"/>
      <c r="N312" s="15"/>
      <c r="O312" s="15"/>
      <c r="P312" s="15"/>
      <c r="Q312" s="15"/>
    </row>
    <row r="313" spans="2:17" ht="20.100000000000001" customHeight="1">
      <c r="B313" s="8887" t="s">
        <v>81</v>
      </c>
      <c r="C313" s="8888">
        <v>1</v>
      </c>
      <c r="D313" s="8888"/>
      <c r="E313" s="8889">
        <v>26</v>
      </c>
      <c r="F313" s="8889"/>
      <c r="G313" s="8889">
        <v>4</v>
      </c>
      <c r="H313" s="8889"/>
      <c r="I313" s="10087">
        <v>0.47499999999999998</v>
      </c>
      <c r="J313" s="10087"/>
      <c r="K313" s="10088">
        <f>(((E313/2)*(E313/2)*PI())*G313)*C313</f>
        <v>2123.7166338267002</v>
      </c>
      <c r="L313" s="15"/>
      <c r="M313" s="15"/>
      <c r="N313" s="15"/>
      <c r="O313" s="15"/>
      <c r="P313" s="15"/>
      <c r="Q313" s="15"/>
    </row>
    <row r="314" spans="2:17" ht="20.100000000000001" customHeight="1">
      <c r="B314" s="8887"/>
      <c r="C314" s="8888"/>
      <c r="D314" s="8888"/>
      <c r="E314" s="8889"/>
      <c r="F314" s="8889"/>
      <c r="G314" s="8889"/>
      <c r="H314" s="8889"/>
      <c r="I314" s="10087"/>
      <c r="J314" s="10087"/>
      <c r="K314" s="10088"/>
      <c r="L314" s="15"/>
      <c r="M314" s="15"/>
      <c r="N314" s="15"/>
      <c r="O314" s="15"/>
      <c r="P314" s="15"/>
      <c r="Q314" s="15"/>
    </row>
    <row r="315" spans="2:17" ht="20.100000000000001" customHeight="1">
      <c r="B315" s="8872" t="s">
        <v>1695</v>
      </c>
      <c r="C315" s="8873"/>
      <c r="D315" s="8873"/>
      <c r="E315" s="8873"/>
      <c r="F315" s="8873"/>
      <c r="G315" s="8873"/>
      <c r="H315" s="8873"/>
      <c r="I315" s="8873"/>
      <c r="J315" s="8873"/>
      <c r="K315" s="10083"/>
      <c r="L315" s="15"/>
      <c r="M315" s="15"/>
      <c r="N315" s="15"/>
      <c r="O315" s="15"/>
      <c r="P315" s="15"/>
      <c r="Q315" s="15"/>
    </row>
    <row r="316" spans="2:17" ht="20.100000000000001" customHeight="1">
      <c r="B316" s="820" t="s">
        <v>66</v>
      </c>
      <c r="C316" s="8875" t="s">
        <v>1696</v>
      </c>
      <c r="D316" s="8875"/>
      <c r="E316" s="8875"/>
      <c r="F316" s="8875"/>
      <c r="G316" s="8875"/>
      <c r="H316" s="8875"/>
      <c r="I316" s="8875"/>
      <c r="J316" s="8875"/>
      <c r="K316" s="10084"/>
      <c r="L316" s="15"/>
      <c r="M316" s="15"/>
      <c r="N316" s="15"/>
      <c r="O316" s="15"/>
      <c r="P316" s="15"/>
      <c r="Q316" s="15"/>
    </row>
    <row r="317" spans="2:17" ht="20.100000000000001" customHeight="1">
      <c r="B317" s="8877" t="s">
        <v>81</v>
      </c>
      <c r="C317" s="8878" t="s">
        <v>1697</v>
      </c>
      <c r="D317" s="8878"/>
      <c r="E317" s="8878"/>
      <c r="F317" s="8878"/>
      <c r="G317" s="8878"/>
      <c r="H317" s="8878"/>
      <c r="I317" s="8878"/>
      <c r="J317" s="8878"/>
      <c r="K317" s="10085"/>
      <c r="L317" s="15"/>
      <c r="M317" s="15"/>
      <c r="N317" s="15"/>
      <c r="O317" s="15"/>
      <c r="P317" s="15"/>
      <c r="Q317" s="15"/>
    </row>
    <row r="318" spans="2:17" ht="20.100000000000001" customHeight="1">
      <c r="B318" s="8877"/>
      <c r="C318" s="8878"/>
      <c r="D318" s="8878"/>
      <c r="E318" s="8878"/>
      <c r="F318" s="8878"/>
      <c r="G318" s="8878"/>
      <c r="H318" s="8878"/>
      <c r="I318" s="8878"/>
      <c r="J318" s="8878"/>
      <c r="K318" s="10085"/>
      <c r="L318" s="15"/>
      <c r="M318" s="15"/>
      <c r="N318" s="15"/>
      <c r="O318" s="15"/>
      <c r="P318" s="15"/>
      <c r="Q318" s="15"/>
    </row>
    <row r="319" spans="2:17" ht="20.100000000000001" customHeight="1">
      <c r="B319" s="8880"/>
      <c r="C319" s="8881"/>
      <c r="D319" s="8881"/>
      <c r="E319" s="8881"/>
      <c r="F319" s="8881"/>
      <c r="G319" s="8881"/>
      <c r="H319" s="8881"/>
      <c r="I319" s="8881"/>
      <c r="J319" s="8881"/>
      <c r="K319" s="10086"/>
      <c r="L319" s="15"/>
      <c r="M319" s="15"/>
      <c r="N319" s="15"/>
      <c r="O319" s="15"/>
      <c r="P319" s="15"/>
      <c r="Q319" s="15"/>
    </row>
    <row r="320" spans="2:17" ht="20.100000000000001" customHeight="1">
      <c r="B320" s="8883" t="s">
        <v>1698</v>
      </c>
      <c r="C320" s="8884"/>
      <c r="D320" s="8884"/>
      <c r="E320" s="8884"/>
      <c r="F320" s="821"/>
      <c r="G320" s="821"/>
      <c r="H320" s="821"/>
      <c r="I320" s="822" t="s">
        <v>61</v>
      </c>
      <c r="J320" s="823">
        <f>SUM(D321:D322,G321:G322,J321:J322)</f>
        <v>0.47500000000000003</v>
      </c>
      <c r="K320" s="824"/>
      <c r="L320" s="15"/>
      <c r="M320" s="15"/>
      <c r="N320" s="15"/>
      <c r="O320" s="15"/>
      <c r="P320" s="15"/>
      <c r="Q320" s="15"/>
    </row>
    <row r="321" spans="2:17" ht="20.100000000000001" customHeight="1">
      <c r="B321" s="10079" t="s">
        <v>1699</v>
      </c>
      <c r="C321" s="10080"/>
      <c r="D321" s="825">
        <v>0.25</v>
      </c>
      <c r="E321" s="10080" t="s">
        <v>366</v>
      </c>
      <c r="F321" s="10080"/>
      <c r="G321" s="825">
        <v>5.0000000000000001E-3</v>
      </c>
      <c r="H321" s="10080" t="s">
        <v>1700</v>
      </c>
      <c r="I321" s="10080"/>
      <c r="J321" s="825">
        <v>2.5000000000000001E-2</v>
      </c>
      <c r="K321" s="826"/>
      <c r="L321" s="15"/>
      <c r="M321" s="15"/>
      <c r="N321" s="15"/>
      <c r="O321" s="15"/>
      <c r="P321" s="15"/>
      <c r="Q321" s="15"/>
    </row>
    <row r="322" spans="2:17" ht="20.100000000000001" customHeight="1">
      <c r="B322" s="10081" t="s">
        <v>1701</v>
      </c>
      <c r="C322" s="10082"/>
      <c r="D322" s="827">
        <v>0.125</v>
      </c>
      <c r="E322" s="10082" t="s">
        <v>1702</v>
      </c>
      <c r="F322" s="10082"/>
      <c r="G322" s="827">
        <v>0.02</v>
      </c>
      <c r="H322" s="10082" t="s">
        <v>1553</v>
      </c>
      <c r="I322" s="10082"/>
      <c r="J322" s="827">
        <v>0.05</v>
      </c>
      <c r="K322" s="828"/>
      <c r="L322" s="15"/>
      <c r="M322" s="15"/>
      <c r="N322" s="15"/>
      <c r="O322" s="15"/>
      <c r="P322" s="15"/>
      <c r="Q322" s="15"/>
    </row>
    <row r="323" spans="2:17" ht="20.100000000000001" customHeight="1">
      <c r="B323" s="8856" t="s">
        <v>8</v>
      </c>
      <c r="C323" s="8857"/>
      <c r="D323" s="8857"/>
      <c r="E323" s="8857"/>
      <c r="F323" s="8857"/>
      <c r="G323" s="8857"/>
      <c r="H323" s="8857"/>
      <c r="I323" s="8857"/>
      <c r="J323" s="8857"/>
      <c r="K323" s="10077"/>
      <c r="L323" s="15"/>
      <c r="M323" s="15"/>
      <c r="N323" s="15"/>
      <c r="O323" s="15"/>
      <c r="P323" s="15"/>
      <c r="Q323" s="15"/>
    </row>
    <row r="324" spans="2:17" ht="20.100000000000001" customHeight="1" thickBot="1">
      <c r="B324" s="10023"/>
      <c r="C324" s="8675"/>
      <c r="D324" s="8675"/>
      <c r="E324" s="8675"/>
      <c r="F324" s="8675"/>
      <c r="G324" s="8675"/>
      <c r="H324" s="8675"/>
      <c r="I324" s="8675"/>
      <c r="J324" s="8675"/>
      <c r="K324" s="8676"/>
      <c r="L324" s="15"/>
      <c r="M324" s="15"/>
      <c r="N324" s="15"/>
      <c r="O324" s="15"/>
      <c r="P324" s="15"/>
      <c r="Q324" s="15"/>
    </row>
    <row r="325" spans="2:17" ht="20.100000000000001" customHeight="1" thickBot="1">
      <c r="B325" s="1"/>
      <c r="C325" s="1"/>
      <c r="D325" s="1"/>
      <c r="E325" s="462"/>
      <c r="F325" s="462"/>
      <c r="G325" s="1"/>
      <c r="H325" s="1"/>
      <c r="I325" s="1"/>
      <c r="J325" s="1"/>
      <c r="K325" s="1"/>
      <c r="L325" s="15"/>
      <c r="M325" s="15"/>
      <c r="N325" s="15"/>
      <c r="O325" s="15"/>
      <c r="P325" s="15"/>
      <c r="Q325" s="15"/>
    </row>
    <row r="326" spans="2:17" ht="20.100000000000001" customHeight="1">
      <c r="B326" s="8859" t="s">
        <v>1703</v>
      </c>
      <c r="C326" s="8859"/>
      <c r="D326" s="8859"/>
      <c r="E326" s="8859"/>
      <c r="F326" s="8859"/>
      <c r="G326" s="8859"/>
      <c r="H326" s="8859"/>
      <c r="I326" s="8859"/>
      <c r="J326" s="8859"/>
      <c r="K326" s="8859"/>
      <c r="L326" s="8859"/>
      <c r="M326" s="8859"/>
      <c r="N326" s="8860"/>
      <c r="O326" s="15"/>
      <c r="P326" s="15"/>
      <c r="Q326" s="15"/>
    </row>
    <row r="327" spans="2:17" ht="20.100000000000001" customHeight="1">
      <c r="B327" s="8861"/>
      <c r="C327" s="8861"/>
      <c r="D327" s="8861"/>
      <c r="E327" s="8861"/>
      <c r="F327" s="8861"/>
      <c r="G327" s="8861"/>
      <c r="H327" s="8861"/>
      <c r="I327" s="8861"/>
      <c r="J327" s="8861"/>
      <c r="K327" s="8861"/>
      <c r="L327" s="8861"/>
      <c r="M327" s="8861"/>
      <c r="N327" s="10078"/>
      <c r="O327" s="15"/>
      <c r="P327" s="15"/>
      <c r="Q327" s="15"/>
    </row>
    <row r="328" spans="2:17" ht="20.100000000000001" customHeight="1">
      <c r="B328" s="8861"/>
      <c r="C328" s="8861"/>
      <c r="D328" s="8861"/>
      <c r="E328" s="8861"/>
      <c r="F328" s="8861"/>
      <c r="G328" s="8861"/>
      <c r="H328" s="8861"/>
      <c r="I328" s="8861"/>
      <c r="J328" s="8861"/>
      <c r="K328" s="8861"/>
      <c r="L328" s="8861"/>
      <c r="M328" s="8861"/>
      <c r="N328" s="10078"/>
      <c r="O328" s="15"/>
      <c r="P328" s="15"/>
      <c r="Q328" s="15"/>
    </row>
    <row r="329" spans="2:17" ht="20.100000000000001" customHeight="1">
      <c r="B329" s="829"/>
      <c r="C329" s="8863" t="s">
        <v>1704</v>
      </c>
      <c r="D329" s="8863"/>
      <c r="E329" s="8863"/>
      <c r="F329" s="8863"/>
      <c r="G329" s="8863"/>
      <c r="H329" s="8863"/>
      <c r="I329" s="8863"/>
      <c r="J329" s="8863"/>
      <c r="K329" s="8863"/>
      <c r="L329" s="8863"/>
      <c r="M329" s="8863"/>
      <c r="N329" s="765"/>
      <c r="O329" s="15"/>
      <c r="P329" s="15"/>
      <c r="Q329" s="15"/>
    </row>
    <row r="330" spans="2:17" ht="20.100000000000001" customHeight="1">
      <c r="B330" s="829"/>
      <c r="C330" s="8864" t="s">
        <v>1705</v>
      </c>
      <c r="D330" s="8864"/>
      <c r="E330" s="8864"/>
      <c r="F330" s="8864"/>
      <c r="G330" s="8864"/>
      <c r="H330" s="8864"/>
      <c r="I330" s="8864"/>
      <c r="J330" s="8864"/>
      <c r="K330" s="8864"/>
      <c r="L330" s="8864"/>
      <c r="M330" s="8864"/>
      <c r="N330" s="765"/>
      <c r="O330" s="15"/>
      <c r="P330" s="15"/>
      <c r="Q330" s="15"/>
    </row>
    <row r="331" spans="2:17" ht="20.100000000000001" customHeight="1">
      <c r="B331" s="829"/>
      <c r="C331" s="8865" t="s">
        <v>1706</v>
      </c>
      <c r="D331" s="8865"/>
      <c r="E331" s="8865"/>
      <c r="F331" s="8865"/>
      <c r="G331" s="8865"/>
      <c r="H331" s="8865"/>
      <c r="I331" s="8865"/>
      <c r="J331" s="8865"/>
      <c r="K331" s="8865"/>
      <c r="L331" s="8865"/>
      <c r="M331" s="8865"/>
      <c r="N331" s="765"/>
      <c r="O331" s="15"/>
      <c r="P331" s="15"/>
      <c r="Q331" s="15"/>
    </row>
    <row r="332" spans="2:17" ht="20.100000000000001" customHeight="1" thickBot="1">
      <c r="B332" s="829"/>
      <c r="C332" s="8866"/>
      <c r="D332" s="8866"/>
      <c r="E332" s="8866"/>
      <c r="F332" s="8866"/>
      <c r="G332" s="8866"/>
      <c r="H332" s="8866"/>
      <c r="I332" s="8866"/>
      <c r="J332" s="8866"/>
      <c r="K332" s="8866"/>
      <c r="L332" s="8866"/>
      <c r="M332" s="8866"/>
      <c r="N332" s="765"/>
      <c r="O332" s="15"/>
      <c r="P332" s="15"/>
      <c r="Q332" s="15"/>
    </row>
    <row r="333" spans="2:17" ht="20.100000000000001" customHeight="1">
      <c r="B333" s="829"/>
      <c r="C333" s="830"/>
      <c r="D333" s="8867" t="s">
        <v>1692</v>
      </c>
      <c r="E333" s="8867"/>
      <c r="F333" s="8867"/>
      <c r="G333" s="8867"/>
      <c r="H333" s="8867"/>
      <c r="I333" s="8867"/>
      <c r="J333" s="8867"/>
      <c r="K333" s="8867"/>
      <c r="L333" s="8867"/>
      <c r="M333" s="8867"/>
      <c r="N333" s="765"/>
      <c r="O333" s="15"/>
      <c r="P333" s="15"/>
      <c r="Q333" s="15"/>
    </row>
    <row r="334" spans="2:17" ht="20.100000000000001" customHeight="1">
      <c r="B334" s="829"/>
      <c r="C334" s="10075" t="s">
        <v>1707</v>
      </c>
      <c r="D334" s="10076" t="s">
        <v>1708</v>
      </c>
      <c r="E334" s="10076" t="s">
        <v>1709</v>
      </c>
      <c r="F334" s="10073" t="s">
        <v>1710</v>
      </c>
      <c r="G334" s="10073" t="s">
        <v>1711</v>
      </c>
      <c r="H334" s="8845" t="s">
        <v>1712</v>
      </c>
      <c r="I334" s="8845" t="s">
        <v>1713</v>
      </c>
      <c r="J334" s="863"/>
      <c r="K334" s="863"/>
      <c r="L334" s="10072" t="s">
        <v>1714</v>
      </c>
      <c r="M334" s="10073" t="s">
        <v>1715</v>
      </c>
      <c r="N334" s="765"/>
      <c r="O334" s="15"/>
      <c r="P334" s="15"/>
      <c r="Q334" s="15"/>
    </row>
    <row r="335" spans="2:17" ht="20.100000000000001" customHeight="1">
      <c r="B335" s="829"/>
      <c r="C335" s="10075"/>
      <c r="D335" s="10076"/>
      <c r="E335" s="10076"/>
      <c r="F335" s="10073"/>
      <c r="G335" s="10073"/>
      <c r="H335" s="8845"/>
      <c r="I335" s="8845"/>
      <c r="J335" s="863"/>
      <c r="K335" s="863"/>
      <c r="L335" s="10072"/>
      <c r="M335" s="10073"/>
      <c r="N335" s="765"/>
      <c r="O335" s="15"/>
      <c r="P335" s="15"/>
      <c r="Q335" s="15"/>
    </row>
    <row r="336" spans="2:17" ht="20.100000000000001" customHeight="1">
      <c r="B336" s="829"/>
      <c r="C336" s="10075"/>
      <c r="D336" s="10076"/>
      <c r="E336" s="10076"/>
      <c r="F336" s="10073"/>
      <c r="G336" s="10073"/>
      <c r="H336" s="8845"/>
      <c r="I336" s="8845"/>
      <c r="J336" s="863"/>
      <c r="K336" s="863"/>
      <c r="L336" s="10072"/>
      <c r="M336" s="10073"/>
      <c r="N336" s="765"/>
      <c r="O336" s="15"/>
      <c r="P336" s="15"/>
      <c r="Q336" s="15"/>
    </row>
    <row r="337" spans="2:17" ht="20.100000000000001" customHeight="1">
      <c r="B337" s="829"/>
      <c r="C337" s="831" t="s">
        <v>1174</v>
      </c>
      <c r="D337" s="831" t="s">
        <v>1174</v>
      </c>
      <c r="E337" s="831" t="s">
        <v>1174</v>
      </c>
      <c r="F337" s="831" t="s">
        <v>1174</v>
      </c>
      <c r="G337" s="831" t="s">
        <v>1174</v>
      </c>
      <c r="H337" s="831" t="s">
        <v>1174</v>
      </c>
      <c r="I337" s="831" t="s">
        <v>1174</v>
      </c>
      <c r="J337" s="831"/>
      <c r="K337" s="831"/>
      <c r="L337" s="817"/>
      <c r="M337" s="832"/>
      <c r="N337" s="765"/>
      <c r="O337" s="15"/>
      <c r="P337" s="15"/>
      <c r="Q337" s="15"/>
    </row>
    <row r="338" spans="2:17" ht="20.100000000000001" customHeight="1">
      <c r="B338" s="829"/>
      <c r="C338" s="8848">
        <v>1</v>
      </c>
      <c r="D338" s="10074">
        <v>32.5</v>
      </c>
      <c r="E338" s="10074">
        <v>53</v>
      </c>
      <c r="F338" s="8850">
        <v>2.5</v>
      </c>
      <c r="G338" s="8851">
        <v>2.5</v>
      </c>
      <c r="H338" s="8851">
        <v>5</v>
      </c>
      <c r="I338" s="8851">
        <v>5</v>
      </c>
      <c r="J338" s="856"/>
      <c r="K338" s="856"/>
      <c r="L338" s="8854">
        <f>(L345/M350)*M342</f>
        <v>1.7392499999999997</v>
      </c>
      <c r="M338" s="8855">
        <f>(M347/M350)*M342</f>
        <v>1.75</v>
      </c>
      <c r="N338" s="765"/>
      <c r="O338" s="15"/>
      <c r="P338" s="15"/>
      <c r="Q338" s="15"/>
    </row>
    <row r="339" spans="2:17" ht="20.100000000000001" customHeight="1">
      <c r="B339" s="829"/>
      <c r="C339" s="8848"/>
      <c r="D339" s="10074"/>
      <c r="E339" s="10074"/>
      <c r="F339" s="8850"/>
      <c r="G339" s="8851"/>
      <c r="H339" s="8851"/>
      <c r="I339" s="8851"/>
      <c r="J339" s="856"/>
      <c r="K339" s="856"/>
      <c r="L339" s="8854"/>
      <c r="M339" s="8855"/>
      <c r="N339" s="765"/>
      <c r="O339" s="15"/>
      <c r="P339" s="15"/>
      <c r="Q339" s="15"/>
    </row>
    <row r="340" spans="2:17" ht="20.100000000000001" customHeight="1">
      <c r="B340" s="829"/>
      <c r="C340" s="857" t="s">
        <v>66</v>
      </c>
      <c r="D340" s="857" t="s">
        <v>81</v>
      </c>
      <c r="E340" s="857" t="s">
        <v>84</v>
      </c>
      <c r="F340" s="857" t="s">
        <v>89</v>
      </c>
      <c r="G340" s="857" t="s">
        <v>85</v>
      </c>
      <c r="H340" s="857" t="s">
        <v>87</v>
      </c>
      <c r="I340" s="857" t="s">
        <v>6</v>
      </c>
      <c r="J340" s="857"/>
      <c r="K340" s="857"/>
      <c r="L340" s="857" t="s">
        <v>90</v>
      </c>
      <c r="M340" s="857" t="s">
        <v>92</v>
      </c>
      <c r="N340" s="765"/>
      <c r="O340" s="15"/>
      <c r="P340" s="15"/>
      <c r="Q340" s="15"/>
    </row>
    <row r="341" spans="2:17" ht="20.100000000000001" customHeight="1">
      <c r="B341" s="829"/>
      <c r="C341" s="851">
        <f>(D338*E338)*C338</f>
        <v>1722.5</v>
      </c>
      <c r="D341" s="851">
        <f>((D338*F338)*2)*C338+((E338*F338)*2)*C338</f>
        <v>427.5</v>
      </c>
      <c r="E341" s="851">
        <f>((D338*H341)*2)*C338+((E338*H341)*2)*C338</f>
        <v>85.5</v>
      </c>
      <c r="F341" s="851">
        <f>((D338*I341)*2)*C338+((E338*I341)*2)*C338</f>
        <v>85.5</v>
      </c>
      <c r="G341" s="852">
        <f>G338/10</f>
        <v>0.25</v>
      </c>
      <c r="H341" s="852">
        <f>H338/10</f>
        <v>0.5</v>
      </c>
      <c r="I341" s="852">
        <f>I338/10</f>
        <v>0.5</v>
      </c>
      <c r="J341" s="852"/>
      <c r="K341" s="852"/>
      <c r="L341" s="851">
        <f>SUM(C341:F341)</f>
        <v>2321</v>
      </c>
      <c r="M341" s="853">
        <f>(C341*F338)/1000</f>
        <v>4.3062500000000004</v>
      </c>
      <c r="N341" s="765"/>
      <c r="O341" s="15"/>
      <c r="P341" s="15"/>
      <c r="Q341" s="15"/>
    </row>
    <row r="342" spans="2:17" ht="20.100000000000001" customHeight="1" thickBot="1">
      <c r="B342" s="829"/>
      <c r="C342" s="858"/>
      <c r="D342" s="858"/>
      <c r="E342" s="858"/>
      <c r="F342" s="858"/>
      <c r="G342" s="859"/>
      <c r="H342" s="859"/>
      <c r="I342" s="860" t="s">
        <v>1716</v>
      </c>
      <c r="J342" s="860"/>
      <c r="K342" s="860"/>
      <c r="L342" s="861" t="s">
        <v>94</v>
      </c>
      <c r="M342" s="862">
        <f>L341*G341</f>
        <v>580.25</v>
      </c>
      <c r="N342" s="765"/>
      <c r="O342" s="15"/>
      <c r="P342" s="15"/>
      <c r="Q342" s="15"/>
    </row>
    <row r="343" spans="2:17" ht="20.100000000000001" customHeight="1">
      <c r="B343" s="829"/>
      <c r="C343" s="830"/>
      <c r="D343" s="8839" t="s">
        <v>1694</v>
      </c>
      <c r="E343" s="8839"/>
      <c r="F343" s="8839"/>
      <c r="G343" s="8839"/>
      <c r="H343" s="8839"/>
      <c r="I343" s="8839"/>
      <c r="J343" s="8839"/>
      <c r="K343" s="8839"/>
      <c r="L343" s="8839"/>
      <c r="M343" s="8839"/>
      <c r="N343" s="765"/>
      <c r="O343" s="15"/>
      <c r="P343" s="15"/>
      <c r="Q343" s="15"/>
    </row>
    <row r="344" spans="2:17" ht="20.100000000000001" customHeight="1">
      <c r="B344" s="829"/>
      <c r="C344" s="8840" t="s">
        <v>1717</v>
      </c>
      <c r="D344" s="8840"/>
      <c r="E344" s="8840"/>
      <c r="F344" s="8840"/>
      <c r="G344" s="8840"/>
      <c r="H344" s="8840"/>
      <c r="I344" s="8840"/>
      <c r="J344" s="8840"/>
      <c r="K344" s="8840"/>
      <c r="L344" s="8840"/>
      <c r="M344" s="833" t="s">
        <v>1174</v>
      </c>
      <c r="N344" s="765"/>
      <c r="O344" s="15"/>
      <c r="P344" s="15"/>
      <c r="Q344" s="15"/>
    </row>
    <row r="345" spans="2:17" ht="20.100000000000001" customHeight="1">
      <c r="B345" s="829"/>
      <c r="C345" s="8841">
        <v>4</v>
      </c>
      <c r="D345" s="10071">
        <v>32.5</v>
      </c>
      <c r="E345" s="10071">
        <v>53</v>
      </c>
      <c r="F345" s="8843">
        <v>2.5</v>
      </c>
      <c r="G345" s="8834">
        <v>2.5</v>
      </c>
      <c r="H345" s="8834">
        <v>5</v>
      </c>
      <c r="I345" s="8834">
        <v>5</v>
      </c>
      <c r="J345" s="845"/>
      <c r="K345" s="845"/>
      <c r="L345" s="8835">
        <f>E361</f>
        <v>6.956999999999999</v>
      </c>
      <c r="M345" s="8836">
        <v>7</v>
      </c>
      <c r="N345" s="765"/>
      <c r="O345" s="15"/>
      <c r="P345" s="15"/>
      <c r="Q345" s="15"/>
    </row>
    <row r="346" spans="2:17" ht="20.100000000000001" customHeight="1">
      <c r="B346" s="829"/>
      <c r="C346" s="8841"/>
      <c r="D346" s="10071"/>
      <c r="E346" s="10071"/>
      <c r="F346" s="8843"/>
      <c r="G346" s="8834"/>
      <c r="H346" s="8834"/>
      <c r="I346" s="8834"/>
      <c r="J346" s="845"/>
      <c r="K346" s="845"/>
      <c r="L346" s="8835"/>
      <c r="M346" s="8836"/>
      <c r="N346" s="765"/>
      <c r="O346" s="15"/>
      <c r="P346" s="15"/>
      <c r="Q346" s="15"/>
    </row>
    <row r="347" spans="2:17" ht="20.100000000000001" customHeight="1">
      <c r="B347" s="829"/>
      <c r="C347" s="846">
        <f>ROW()-2</f>
        <v>345</v>
      </c>
      <c r="D347" s="8837" t="s">
        <v>1718</v>
      </c>
      <c r="E347" s="8837"/>
      <c r="F347" s="8837"/>
      <c r="G347" s="8837"/>
      <c r="H347" s="8837"/>
      <c r="I347" s="8837"/>
      <c r="J347" s="847"/>
      <c r="K347" s="847"/>
      <c r="L347" s="848"/>
      <c r="M347" s="849">
        <f>IF(ISBLANK(M345),L345,M345)</f>
        <v>7</v>
      </c>
      <c r="N347" s="765"/>
      <c r="O347" s="15"/>
      <c r="P347" s="15"/>
      <c r="Q347" s="15"/>
    </row>
    <row r="348" spans="2:17" ht="20.100000000000001" customHeight="1">
      <c r="B348" s="829"/>
      <c r="C348" s="850" t="s">
        <v>66</v>
      </c>
      <c r="D348" s="850" t="s">
        <v>81</v>
      </c>
      <c r="E348" s="850" t="s">
        <v>84</v>
      </c>
      <c r="F348" s="850" t="s">
        <v>89</v>
      </c>
      <c r="G348" s="850" t="s">
        <v>85</v>
      </c>
      <c r="H348" s="850" t="s">
        <v>87</v>
      </c>
      <c r="I348" s="850" t="s">
        <v>6</v>
      </c>
      <c r="J348" s="850"/>
      <c r="K348" s="850"/>
      <c r="L348" s="850" t="s">
        <v>90</v>
      </c>
      <c r="M348" s="850" t="s">
        <v>92</v>
      </c>
      <c r="N348" s="765"/>
      <c r="O348" s="15"/>
      <c r="P348" s="15"/>
      <c r="Q348" s="15"/>
    </row>
    <row r="349" spans="2:17" ht="20.100000000000001" customHeight="1">
      <c r="B349" s="829"/>
      <c r="C349" s="851">
        <f>(D345*E345)*C345</f>
        <v>6890</v>
      </c>
      <c r="D349" s="851">
        <f>((D345*F345)*2)*C345+((E345*F345)*2)*C345</f>
        <v>1710</v>
      </c>
      <c r="E349" s="851">
        <f>((D345*H349)*2)*C345+((E345*H349)*2)*C345</f>
        <v>342</v>
      </c>
      <c r="F349" s="851">
        <f>((D345*I349)*2)*C345+((E345*I349)*2)*C345</f>
        <v>342</v>
      </c>
      <c r="G349" s="852">
        <f>G345/10</f>
        <v>0.25</v>
      </c>
      <c r="H349" s="852">
        <f>H345/10</f>
        <v>0.5</v>
      </c>
      <c r="I349" s="852">
        <f>I345/10</f>
        <v>0.5</v>
      </c>
      <c r="J349" s="852"/>
      <c r="K349" s="852"/>
      <c r="L349" s="851">
        <f>SUM(C349:F349)</f>
        <v>9284</v>
      </c>
      <c r="M349" s="853">
        <f>(C349*F345)/1000</f>
        <v>17.225000000000001</v>
      </c>
      <c r="N349" s="765"/>
      <c r="O349" s="15"/>
      <c r="P349" s="15"/>
      <c r="Q349" s="15"/>
    </row>
    <row r="350" spans="2:17" ht="20.100000000000001" customHeight="1" thickBot="1">
      <c r="B350" s="829"/>
      <c r="C350" s="848"/>
      <c r="D350" s="848"/>
      <c r="E350" s="848"/>
      <c r="F350" s="848"/>
      <c r="G350" s="848"/>
      <c r="H350" s="848"/>
      <c r="I350" s="854" t="s">
        <v>1719</v>
      </c>
      <c r="J350" s="854"/>
      <c r="K350" s="854"/>
      <c r="L350" s="850" t="s">
        <v>94</v>
      </c>
      <c r="M350" s="855">
        <f>L349*G349</f>
        <v>2321</v>
      </c>
      <c r="N350" s="765"/>
      <c r="O350" s="15"/>
      <c r="P350" s="15"/>
      <c r="Q350" s="15"/>
    </row>
    <row r="351" spans="2:17" ht="20.100000000000001" customHeight="1">
      <c r="B351" s="829"/>
      <c r="C351" s="834"/>
      <c r="D351" s="834"/>
      <c r="E351" s="834"/>
      <c r="F351" s="834"/>
      <c r="G351" s="834"/>
      <c r="H351" s="834"/>
      <c r="I351" s="835"/>
      <c r="J351" s="835"/>
      <c r="K351" s="835"/>
      <c r="L351" s="836"/>
      <c r="M351" s="837"/>
      <c r="N351" s="765"/>
      <c r="O351" s="15"/>
      <c r="P351" s="15"/>
      <c r="Q351" s="15"/>
    </row>
    <row r="352" spans="2:17" ht="20.100000000000001" customHeight="1">
      <c r="B352" s="829"/>
      <c r="C352" s="839" t="s">
        <v>66</v>
      </c>
      <c r="D352" s="840" t="s">
        <v>1720</v>
      </c>
      <c r="E352" s="840"/>
      <c r="F352" s="839" t="s">
        <v>87</v>
      </c>
      <c r="G352" s="841" t="s">
        <v>1721</v>
      </c>
      <c r="H352" s="784"/>
      <c r="I352" s="839" t="s">
        <v>92</v>
      </c>
      <c r="J352" s="8838" t="s">
        <v>1722</v>
      </c>
      <c r="K352" s="8838"/>
      <c r="L352" s="8838"/>
      <c r="M352" s="8838"/>
      <c r="N352" s="765"/>
      <c r="O352" s="15"/>
      <c r="P352" s="15"/>
      <c r="Q352" s="15"/>
    </row>
    <row r="353" spans="2:17" ht="20.100000000000001" customHeight="1">
      <c r="B353" s="829"/>
      <c r="C353" s="839" t="s">
        <v>81</v>
      </c>
      <c r="D353" s="840" t="s">
        <v>1723</v>
      </c>
      <c r="E353" s="840"/>
      <c r="F353" s="839" t="s">
        <v>6</v>
      </c>
      <c r="G353" s="840" t="s">
        <v>1724</v>
      </c>
      <c r="H353" s="784"/>
      <c r="I353" s="842"/>
      <c r="J353" s="8838"/>
      <c r="K353" s="8838"/>
      <c r="L353" s="8838"/>
      <c r="M353" s="8838"/>
      <c r="N353" s="765"/>
      <c r="O353" s="15"/>
      <c r="P353" s="15"/>
      <c r="Q353" s="15"/>
    </row>
    <row r="354" spans="2:17" ht="20.100000000000001" customHeight="1">
      <c r="B354" s="829"/>
      <c r="C354" s="839" t="s">
        <v>84</v>
      </c>
      <c r="D354" s="840" t="s">
        <v>1725</v>
      </c>
      <c r="E354" s="840"/>
      <c r="F354" s="839" t="s">
        <v>89</v>
      </c>
      <c r="G354" s="840" t="s">
        <v>1726</v>
      </c>
      <c r="H354" s="784"/>
      <c r="I354" s="839" t="s">
        <v>94</v>
      </c>
      <c r="J354" s="840" t="s">
        <v>1727</v>
      </c>
      <c r="K354" s="843"/>
      <c r="L354" s="840"/>
      <c r="M354" s="843"/>
      <c r="N354" s="765"/>
      <c r="O354" s="15"/>
      <c r="P354" s="15"/>
      <c r="Q354" s="15"/>
    </row>
    <row r="355" spans="2:17" ht="20.100000000000001" customHeight="1">
      <c r="B355" s="829"/>
      <c r="C355" s="839" t="s">
        <v>85</v>
      </c>
      <c r="D355" s="840" t="s">
        <v>1728</v>
      </c>
      <c r="E355" s="841"/>
      <c r="F355" s="839" t="s">
        <v>90</v>
      </c>
      <c r="G355" s="840" t="s">
        <v>1729</v>
      </c>
      <c r="H355" s="784"/>
      <c r="I355" s="784"/>
      <c r="J355" s="784"/>
      <c r="K355" s="784"/>
      <c r="L355" s="844"/>
      <c r="M355" s="843"/>
      <c r="N355" s="765"/>
      <c r="O355" s="15"/>
      <c r="P355" s="15"/>
      <c r="Q355" s="15"/>
    </row>
    <row r="356" spans="2:17" ht="20.100000000000001" customHeight="1" thickBot="1">
      <c r="B356" s="829"/>
      <c r="C356" s="839"/>
      <c r="D356" s="840"/>
      <c r="E356" s="841"/>
      <c r="F356" s="839"/>
      <c r="G356" s="840"/>
      <c r="H356" s="784"/>
      <c r="I356" s="784"/>
      <c r="J356" s="784"/>
      <c r="K356" s="784"/>
      <c r="L356" s="844"/>
      <c r="M356" s="843"/>
      <c r="N356" s="765"/>
      <c r="O356" s="15"/>
      <c r="P356" s="15"/>
      <c r="Q356" s="15"/>
    </row>
    <row r="357" spans="2:17" ht="20.100000000000001" customHeight="1">
      <c r="B357" s="829"/>
      <c r="C357" s="830"/>
      <c r="D357" s="8844" t="s">
        <v>1730</v>
      </c>
      <c r="E357" s="8844"/>
      <c r="F357" s="8844"/>
      <c r="G357" s="8844"/>
      <c r="H357" s="8844"/>
      <c r="I357" s="8844"/>
      <c r="J357" s="8844"/>
      <c r="K357" s="8844"/>
      <c r="L357" s="8844"/>
      <c r="M357" s="8844"/>
      <c r="N357" s="765"/>
      <c r="O357" s="15"/>
      <c r="P357" s="15"/>
      <c r="Q357" s="15"/>
    </row>
    <row r="358" spans="2:17" ht="20.100000000000001" customHeight="1">
      <c r="B358" s="829"/>
      <c r="C358" s="8824" t="s">
        <v>1731</v>
      </c>
      <c r="D358" s="8824"/>
      <c r="E358" s="8824"/>
      <c r="F358" s="8824"/>
      <c r="G358" s="8824"/>
      <c r="H358" s="8824"/>
      <c r="I358" s="8824"/>
      <c r="J358" s="8824"/>
      <c r="K358" s="8824"/>
      <c r="L358" s="8824"/>
      <c r="M358" s="8824"/>
      <c r="N358" s="765"/>
      <c r="O358" s="15"/>
      <c r="P358" s="15"/>
      <c r="Q358" s="15"/>
    </row>
    <row r="359" spans="2:17" ht="20.100000000000001" customHeight="1">
      <c r="B359" s="829"/>
      <c r="C359" s="8824"/>
      <c r="D359" s="8824"/>
      <c r="E359" s="8824"/>
      <c r="F359" s="8824"/>
      <c r="G359" s="8824"/>
      <c r="H359" s="8824"/>
      <c r="I359" s="8824"/>
      <c r="J359" s="8824"/>
      <c r="K359" s="8824"/>
      <c r="L359" s="8824"/>
      <c r="M359" s="8824"/>
      <c r="N359" s="765"/>
      <c r="O359" s="15"/>
      <c r="P359" s="15"/>
      <c r="Q359" s="15"/>
    </row>
    <row r="360" spans="2:17" ht="20.100000000000001" customHeight="1">
      <c r="B360" s="829"/>
      <c r="C360" s="8825"/>
      <c r="D360" s="8825"/>
      <c r="E360" s="8825"/>
      <c r="F360" s="8825"/>
      <c r="G360" s="8825"/>
      <c r="H360" s="8825"/>
      <c r="I360" s="8825"/>
      <c r="J360" s="8825"/>
      <c r="K360" s="8825"/>
      <c r="L360" s="8825"/>
      <c r="M360" s="8825"/>
      <c r="N360" s="765"/>
      <c r="O360" s="15"/>
      <c r="P360" s="15"/>
      <c r="Q360" s="15"/>
    </row>
    <row r="361" spans="2:17" ht="20.100000000000001" customHeight="1">
      <c r="B361" s="829"/>
      <c r="C361" s="864"/>
      <c r="D361" s="865" t="s">
        <v>1732</v>
      </c>
      <c r="E361" s="866">
        <f>SUM(E362:E364,I362:I364)</f>
        <v>6.956999999999999</v>
      </c>
      <c r="F361" s="864"/>
      <c r="G361" s="864"/>
      <c r="H361" s="864"/>
      <c r="I361" s="864"/>
      <c r="J361" s="864"/>
      <c r="K361" s="864"/>
      <c r="L361" s="864"/>
      <c r="M361" s="864"/>
      <c r="N361" s="765"/>
      <c r="O361" s="15"/>
      <c r="P361" s="15"/>
      <c r="Q361" s="15"/>
    </row>
    <row r="362" spans="2:17" ht="20.100000000000001" customHeight="1">
      <c r="B362" s="829"/>
      <c r="C362" s="401"/>
      <c r="D362" s="867" t="s">
        <v>1699</v>
      </c>
      <c r="E362" s="868">
        <v>3.5</v>
      </c>
      <c r="F362" s="869"/>
      <c r="G362" s="401"/>
      <c r="H362" s="867" t="s">
        <v>1733</v>
      </c>
      <c r="I362" s="868">
        <v>0.55000000000000004</v>
      </c>
      <c r="J362" s="868"/>
      <c r="K362" s="868"/>
      <c r="L362" s="869"/>
      <c r="M362" s="864"/>
      <c r="N362" s="765"/>
      <c r="O362" s="15"/>
      <c r="P362" s="15"/>
      <c r="Q362" s="15"/>
    </row>
    <row r="363" spans="2:17" ht="20.100000000000001" customHeight="1">
      <c r="B363" s="829"/>
      <c r="C363" s="401"/>
      <c r="D363" s="867" t="s">
        <v>1701</v>
      </c>
      <c r="E363" s="868">
        <v>1.6</v>
      </c>
      <c r="F363" s="869"/>
      <c r="G363" s="401"/>
      <c r="H363" s="867" t="s">
        <v>1734</v>
      </c>
      <c r="I363" s="868">
        <v>4.4999999999999998E-2</v>
      </c>
      <c r="J363" s="868"/>
      <c r="K363" s="868"/>
      <c r="L363" s="869"/>
      <c r="M363" s="864"/>
      <c r="N363" s="765"/>
      <c r="O363" s="15"/>
      <c r="P363" s="15"/>
      <c r="Q363" s="15"/>
    </row>
    <row r="364" spans="2:17" ht="20.100000000000001" customHeight="1">
      <c r="B364" s="829"/>
      <c r="C364" s="401"/>
      <c r="D364" s="867" t="s">
        <v>1735</v>
      </c>
      <c r="E364" s="868">
        <v>1.25</v>
      </c>
      <c r="F364" s="869"/>
      <c r="G364" s="401"/>
      <c r="H364" s="870" t="s">
        <v>1736</v>
      </c>
      <c r="I364" s="868">
        <v>1.2E-2</v>
      </c>
      <c r="J364" s="868"/>
      <c r="K364" s="868"/>
      <c r="L364" s="869"/>
      <c r="M364" s="864"/>
      <c r="N364" s="765"/>
      <c r="O364" s="15"/>
      <c r="P364" s="15"/>
      <c r="Q364" s="15"/>
    </row>
    <row r="365" spans="2:17" ht="20.100000000000001" customHeight="1">
      <c r="B365" s="829"/>
      <c r="C365" s="871" t="s">
        <v>1737</v>
      </c>
      <c r="D365" s="864"/>
      <c r="E365" s="864"/>
      <c r="F365" s="864"/>
      <c r="G365" s="864"/>
      <c r="H365" s="864"/>
      <c r="I365" s="864"/>
      <c r="J365" s="864"/>
      <c r="K365" s="864"/>
      <c r="L365" s="864"/>
      <c r="M365" s="864"/>
      <c r="N365" s="765"/>
      <c r="O365" s="15"/>
      <c r="P365" s="15"/>
      <c r="Q365" s="15"/>
    </row>
    <row r="366" spans="2:17" ht="20.100000000000001" customHeight="1">
      <c r="B366" s="829"/>
      <c r="C366" s="8826" t="s">
        <v>1743</v>
      </c>
      <c r="D366" s="8826"/>
      <c r="E366" s="8826"/>
      <c r="F366" s="8826"/>
      <c r="G366" s="8826"/>
      <c r="H366" s="8826"/>
      <c r="I366" s="8826"/>
      <c r="J366" s="8826"/>
      <c r="K366" s="8826"/>
      <c r="L366" s="8826"/>
      <c r="M366" s="8826"/>
      <c r="N366" s="765"/>
      <c r="O366" s="15"/>
      <c r="P366" s="15"/>
      <c r="Q366" s="15"/>
    </row>
    <row r="367" spans="2:17" ht="20.100000000000001" customHeight="1">
      <c r="B367" s="829"/>
      <c r="C367" s="8826"/>
      <c r="D367" s="8826"/>
      <c r="E367" s="8826"/>
      <c r="F367" s="8826"/>
      <c r="G367" s="8826"/>
      <c r="H367" s="8826"/>
      <c r="I367" s="8826"/>
      <c r="J367" s="8826"/>
      <c r="K367" s="8826"/>
      <c r="L367" s="8826"/>
      <c r="M367" s="8826"/>
      <c r="N367" s="765"/>
      <c r="O367" s="15"/>
      <c r="P367" s="15"/>
      <c r="Q367" s="15"/>
    </row>
    <row r="368" spans="2:17" ht="20.100000000000001" customHeight="1">
      <c r="B368" s="829"/>
      <c r="C368" s="871" t="s">
        <v>1744</v>
      </c>
      <c r="D368" s="864"/>
      <c r="E368" s="864"/>
      <c r="F368" s="864"/>
      <c r="G368" s="864"/>
      <c r="H368" s="864"/>
      <c r="I368" s="864"/>
      <c r="J368" s="864"/>
      <c r="K368" s="864"/>
      <c r="L368" s="864"/>
      <c r="M368" s="864"/>
      <c r="N368" s="765"/>
      <c r="O368" s="15"/>
      <c r="P368" s="15"/>
      <c r="Q368" s="15"/>
    </row>
    <row r="369" spans="2:17" ht="20.100000000000001" customHeight="1">
      <c r="B369" s="829"/>
      <c r="C369" s="872" t="s">
        <v>1738</v>
      </c>
      <c r="D369" s="864"/>
      <c r="E369" s="864"/>
      <c r="F369" s="864"/>
      <c r="G369" s="864"/>
      <c r="H369" s="864"/>
      <c r="I369" s="864"/>
      <c r="J369" s="864"/>
      <c r="K369" s="864"/>
      <c r="L369" s="864"/>
      <c r="M369" s="864"/>
      <c r="N369" s="765"/>
      <c r="O369" s="15"/>
      <c r="P369" s="15"/>
      <c r="Q369" s="15"/>
    </row>
    <row r="370" spans="2:17" ht="20.100000000000001" customHeight="1">
      <c r="B370" s="829"/>
      <c r="C370" s="873" t="s">
        <v>1739</v>
      </c>
      <c r="D370" s="864"/>
      <c r="E370" s="864"/>
      <c r="F370" s="873" t="s">
        <v>1740</v>
      </c>
      <c r="G370" s="864"/>
      <c r="H370" s="873" t="s">
        <v>1741</v>
      </c>
      <c r="I370" s="864"/>
      <c r="J370" s="864"/>
      <c r="K370" s="864"/>
      <c r="L370" s="864"/>
      <c r="M370" s="864"/>
      <c r="N370" s="765"/>
      <c r="O370" s="15"/>
      <c r="P370" s="15"/>
      <c r="Q370" s="15"/>
    </row>
    <row r="371" spans="2:17" ht="20.100000000000001" customHeight="1">
      <c r="B371" s="829"/>
      <c r="C371" s="873" t="s">
        <v>5</v>
      </c>
      <c r="D371" s="874" t="s">
        <v>1742</v>
      </c>
      <c r="E371" s="864"/>
      <c r="F371" s="864"/>
      <c r="G371" s="864"/>
      <c r="H371" s="864"/>
      <c r="I371" s="864"/>
      <c r="J371" s="864"/>
      <c r="K371" s="864"/>
      <c r="L371" s="864"/>
      <c r="M371" s="864"/>
      <c r="N371" s="765"/>
      <c r="O371" s="15"/>
      <c r="P371" s="15"/>
      <c r="Q371" s="15"/>
    </row>
    <row r="372" spans="2:17" ht="20.100000000000001" customHeight="1">
      <c r="B372" s="829"/>
      <c r="C372" s="864"/>
      <c r="D372" s="864"/>
      <c r="E372" s="864"/>
      <c r="F372" s="864"/>
      <c r="G372" s="864"/>
      <c r="H372" s="864"/>
      <c r="I372" s="864"/>
      <c r="J372" s="864"/>
      <c r="K372" s="864"/>
      <c r="L372" s="864"/>
      <c r="M372" s="864"/>
      <c r="N372" s="765"/>
      <c r="O372" s="15"/>
      <c r="P372" s="15"/>
      <c r="Q372" s="15"/>
    </row>
    <row r="373" spans="2:17" ht="20.100000000000001" customHeight="1">
      <c r="B373" s="829"/>
      <c r="C373" s="8827" t="s">
        <v>8</v>
      </c>
      <c r="D373" s="8827"/>
      <c r="E373" s="8827"/>
      <c r="F373" s="8827"/>
      <c r="G373" s="8827"/>
      <c r="H373" s="8827"/>
      <c r="I373" s="8827"/>
      <c r="J373" s="8827"/>
      <c r="K373" s="8827"/>
      <c r="L373" s="8827"/>
      <c r="M373" s="8827"/>
      <c r="N373" s="765"/>
      <c r="O373" s="15"/>
      <c r="P373" s="15"/>
      <c r="Q373" s="15"/>
    </row>
    <row r="374" spans="2:17" ht="20.100000000000001" customHeight="1" thickBot="1">
      <c r="B374" s="838"/>
      <c r="C374" s="8675"/>
      <c r="D374" s="8675"/>
      <c r="E374" s="8675"/>
      <c r="F374" s="8675"/>
      <c r="G374" s="8675"/>
      <c r="H374" s="8675"/>
      <c r="I374" s="8675"/>
      <c r="J374" s="8675"/>
      <c r="K374" s="8675"/>
      <c r="L374" s="8675"/>
      <c r="M374" s="8675"/>
      <c r="N374" s="454"/>
      <c r="O374" s="15"/>
      <c r="P374" s="15"/>
      <c r="Q374" s="15"/>
    </row>
    <row r="375" spans="2:17" ht="20.100000000000001" customHeight="1" thickBot="1">
      <c r="B375" s="1"/>
      <c r="C375" s="1"/>
      <c r="D375" s="1"/>
      <c r="E375" s="462"/>
      <c r="F375" s="462"/>
      <c r="G375" s="1"/>
      <c r="H375" s="1"/>
      <c r="I375" s="1"/>
      <c r="J375" s="1"/>
      <c r="K375" s="1"/>
      <c r="L375" s="15"/>
      <c r="M375" s="15"/>
      <c r="N375" s="15"/>
      <c r="O375" s="15"/>
      <c r="P375" s="15"/>
      <c r="Q375" s="15"/>
    </row>
    <row r="376" spans="2:17" ht="20.100000000000001" customHeight="1">
      <c r="B376" s="8828" t="s">
        <v>1665</v>
      </c>
      <c r="C376" s="8829"/>
      <c r="D376" s="8829"/>
      <c r="E376" s="8829"/>
      <c r="F376" s="8829"/>
      <c r="G376" s="8829"/>
      <c r="H376" s="8829"/>
      <c r="I376" s="8829"/>
      <c r="J376" s="8830"/>
      <c r="K376" s="1"/>
      <c r="L376" s="15"/>
      <c r="M376" s="15"/>
      <c r="N376" s="15"/>
      <c r="O376" s="15"/>
      <c r="P376" s="15"/>
      <c r="Q376" s="15"/>
    </row>
    <row r="377" spans="2:17" ht="20.100000000000001" customHeight="1">
      <c r="B377" s="8831" t="s">
        <v>1690</v>
      </c>
      <c r="C377" s="8832"/>
      <c r="D377" s="8832"/>
      <c r="E377" s="8832"/>
      <c r="F377" s="8832"/>
      <c r="G377" s="8832"/>
      <c r="H377" s="8832"/>
      <c r="I377" s="8832"/>
      <c r="J377" s="10070"/>
      <c r="K377" s="1"/>
      <c r="L377" s="15"/>
      <c r="M377" s="15"/>
      <c r="N377" s="15"/>
      <c r="O377" s="15"/>
      <c r="P377" s="15"/>
      <c r="Q377" s="15"/>
    </row>
    <row r="378" spans="2:17" ht="20.100000000000001" customHeight="1">
      <c r="B378" s="8809" t="s">
        <v>1666</v>
      </c>
      <c r="C378" s="8810"/>
      <c r="D378" s="8810"/>
      <c r="E378" s="8810"/>
      <c r="F378" s="8810"/>
      <c r="G378" s="8810"/>
      <c r="H378" s="8810"/>
      <c r="I378" s="8810"/>
      <c r="J378" s="10067"/>
      <c r="K378" s="1"/>
      <c r="L378" s="15"/>
      <c r="M378" s="15"/>
      <c r="N378" s="15"/>
      <c r="O378" s="15"/>
      <c r="P378" s="15"/>
      <c r="Q378" s="15"/>
    </row>
    <row r="379" spans="2:17" ht="20.100000000000001" customHeight="1">
      <c r="B379" s="8809"/>
      <c r="C379" s="8810"/>
      <c r="D379" s="8810"/>
      <c r="E379" s="8810"/>
      <c r="F379" s="8810"/>
      <c r="G379" s="8810"/>
      <c r="H379" s="8810"/>
      <c r="I379" s="8810"/>
      <c r="J379" s="10067"/>
      <c r="K379" s="1"/>
      <c r="L379" s="15"/>
      <c r="M379" s="15"/>
      <c r="N379" s="15"/>
      <c r="O379" s="15"/>
      <c r="P379" s="15"/>
      <c r="Q379" s="15"/>
    </row>
    <row r="380" spans="2:17" ht="20.100000000000001" customHeight="1">
      <c r="B380" s="877" t="s">
        <v>1667</v>
      </c>
      <c r="C380" s="878"/>
      <c r="D380" s="878"/>
      <c r="E380" s="878"/>
      <c r="F380" s="878"/>
      <c r="G380" s="878"/>
      <c r="H380" s="878"/>
      <c r="I380" s="878"/>
      <c r="J380" s="879"/>
      <c r="K380" s="1"/>
      <c r="L380" s="15"/>
      <c r="M380" s="15"/>
      <c r="N380" s="15"/>
      <c r="O380" s="15"/>
      <c r="P380" s="15"/>
      <c r="Q380" s="15"/>
    </row>
    <row r="381" spans="2:17" ht="20.100000000000001" customHeight="1">
      <c r="B381" s="877" t="s">
        <v>1668</v>
      </c>
      <c r="C381" s="878"/>
      <c r="D381" s="878"/>
      <c r="E381" s="878"/>
      <c r="F381" s="878"/>
      <c r="G381" s="880" t="s">
        <v>1669</v>
      </c>
      <c r="H381" s="878"/>
      <c r="I381" s="878"/>
      <c r="J381" s="879"/>
      <c r="K381" s="1"/>
      <c r="L381" s="15"/>
      <c r="M381" s="15"/>
      <c r="N381" s="15"/>
      <c r="O381" s="15"/>
      <c r="P381" s="15"/>
      <c r="Q381" s="15"/>
    </row>
    <row r="382" spans="2:17" ht="20.100000000000001" customHeight="1">
      <c r="B382" s="8812" t="s">
        <v>1670</v>
      </c>
      <c r="C382" s="8813"/>
      <c r="D382" s="8813"/>
      <c r="E382" s="8813"/>
      <c r="F382" s="8813"/>
      <c r="G382" s="8813"/>
      <c r="H382" s="8813"/>
      <c r="I382" s="8813"/>
      <c r="J382" s="10068"/>
      <c r="K382" s="1"/>
      <c r="L382" s="15"/>
      <c r="M382" s="15"/>
      <c r="N382" s="15"/>
      <c r="O382" s="15"/>
      <c r="P382" s="15"/>
      <c r="Q382" s="15"/>
    </row>
    <row r="383" spans="2:17" ht="20.100000000000001" customHeight="1">
      <c r="B383" s="8812"/>
      <c r="C383" s="8813"/>
      <c r="D383" s="8813"/>
      <c r="E383" s="8813"/>
      <c r="F383" s="8813"/>
      <c r="G383" s="8813"/>
      <c r="H383" s="8813"/>
      <c r="I383" s="8813"/>
      <c r="J383" s="10068"/>
      <c r="K383" s="1"/>
      <c r="L383" s="15"/>
      <c r="M383" s="15"/>
      <c r="N383" s="15"/>
      <c r="O383" s="15"/>
      <c r="P383" s="15"/>
      <c r="Q383" s="15"/>
    </row>
    <row r="384" spans="2:17" ht="20.100000000000001" customHeight="1">
      <c r="B384" s="8815" t="s">
        <v>1671</v>
      </c>
      <c r="C384" s="8816"/>
      <c r="D384" s="8816"/>
      <c r="E384" s="8816"/>
      <c r="F384" s="8816"/>
      <c r="G384" s="8816"/>
      <c r="H384" s="8816"/>
      <c r="I384" s="8816"/>
      <c r="J384" s="10069"/>
      <c r="K384" s="1"/>
      <c r="L384" s="15"/>
      <c r="M384" s="15"/>
      <c r="N384" s="15"/>
      <c r="O384" s="15"/>
      <c r="P384" s="15"/>
      <c r="Q384" s="15"/>
    </row>
    <row r="385" spans="2:17" ht="20.100000000000001" customHeight="1">
      <c r="B385" s="8815"/>
      <c r="C385" s="8816"/>
      <c r="D385" s="8816"/>
      <c r="E385" s="8816"/>
      <c r="F385" s="8816"/>
      <c r="G385" s="8816"/>
      <c r="H385" s="8816"/>
      <c r="I385" s="8816"/>
      <c r="J385" s="10069"/>
      <c r="K385" s="1"/>
      <c r="L385" s="15"/>
      <c r="M385" s="15"/>
      <c r="N385" s="15"/>
      <c r="O385" s="15"/>
      <c r="P385" s="15"/>
      <c r="Q385" s="15"/>
    </row>
    <row r="386" spans="2:17" ht="20.100000000000001" customHeight="1">
      <c r="B386" s="8818" t="s">
        <v>1672</v>
      </c>
      <c r="C386" s="8819"/>
      <c r="D386" s="8820">
        <v>9.86</v>
      </c>
      <c r="E386" s="8821" t="s">
        <v>1673</v>
      </c>
      <c r="F386" s="8820">
        <v>5.694</v>
      </c>
      <c r="G386" s="8822" t="s">
        <v>1674</v>
      </c>
      <c r="H386" s="8823">
        <f>D386*F386</f>
        <v>56.14284</v>
      </c>
      <c r="I386" s="8823" t="s">
        <v>1675</v>
      </c>
      <c r="J386" s="10065">
        <f>H386</f>
        <v>56.14284</v>
      </c>
      <c r="K386" s="1"/>
      <c r="L386" s="15"/>
      <c r="M386" s="15"/>
      <c r="N386" s="15"/>
      <c r="O386" s="15"/>
      <c r="P386" s="15"/>
      <c r="Q386" s="15"/>
    </row>
    <row r="387" spans="2:17" ht="20.100000000000001" customHeight="1">
      <c r="B387" s="8818"/>
      <c r="C387" s="8819"/>
      <c r="D387" s="8820"/>
      <c r="E387" s="8821"/>
      <c r="F387" s="8820"/>
      <c r="G387" s="8822"/>
      <c r="H387" s="8823"/>
      <c r="I387" s="8823"/>
      <c r="J387" s="10065"/>
      <c r="K387" s="1"/>
      <c r="L387" s="15"/>
      <c r="M387" s="15"/>
      <c r="N387" s="15"/>
      <c r="O387" s="15"/>
      <c r="P387" s="15"/>
      <c r="Q387" s="15"/>
    </row>
    <row r="388" spans="2:17" ht="20.100000000000001" customHeight="1">
      <c r="B388" s="875"/>
      <c r="C388" s="881" t="s">
        <v>1676</v>
      </c>
      <c r="D388" s="784"/>
      <c r="E388" s="784"/>
      <c r="F388" s="784"/>
      <c r="G388" s="784"/>
      <c r="H388" s="784"/>
      <c r="I388" s="784"/>
      <c r="J388" s="876"/>
      <c r="K388" s="1"/>
      <c r="L388" s="15"/>
      <c r="M388" s="15"/>
      <c r="N388" s="15"/>
      <c r="O388" s="15"/>
      <c r="P388" s="15"/>
      <c r="Q388" s="15"/>
    </row>
    <row r="389" spans="2:17" ht="20.100000000000001" customHeight="1">
      <c r="B389" s="875"/>
      <c r="C389" s="881" t="s">
        <v>1677</v>
      </c>
      <c r="D389" s="784"/>
      <c r="E389" s="784"/>
      <c r="F389" s="784"/>
      <c r="G389" s="784"/>
      <c r="H389" s="784"/>
      <c r="I389" s="784"/>
      <c r="J389" s="876"/>
      <c r="K389" s="1"/>
      <c r="L389" s="15"/>
      <c r="M389" s="15"/>
      <c r="N389" s="15"/>
      <c r="O389" s="15"/>
      <c r="P389" s="15"/>
      <c r="Q389" s="15"/>
    </row>
    <row r="390" spans="2:17" ht="20.100000000000001" customHeight="1">
      <c r="B390" s="875"/>
      <c r="C390" s="881" t="s">
        <v>1678</v>
      </c>
      <c r="D390" s="784"/>
      <c r="E390" s="784"/>
      <c r="F390" s="784"/>
      <c r="G390" s="784"/>
      <c r="H390" s="784"/>
      <c r="I390" s="784"/>
      <c r="J390" s="876"/>
      <c r="K390" s="1"/>
      <c r="L390" s="15"/>
      <c r="M390" s="15"/>
      <c r="N390" s="15"/>
      <c r="O390" s="15"/>
      <c r="P390" s="15"/>
      <c r="Q390" s="15"/>
    </row>
    <row r="391" spans="2:17" ht="20.100000000000001" customHeight="1">
      <c r="B391" s="875"/>
      <c r="C391" s="881" t="s">
        <v>1679</v>
      </c>
      <c r="D391" s="784"/>
      <c r="E391" s="784"/>
      <c r="F391" s="784"/>
      <c r="G391" s="784"/>
      <c r="H391" s="784"/>
      <c r="I391" s="784"/>
      <c r="J391" s="876"/>
      <c r="K391" s="1"/>
      <c r="L391" s="15"/>
      <c r="M391" s="15"/>
      <c r="N391" s="15"/>
      <c r="O391" s="15"/>
      <c r="P391" s="15"/>
      <c r="Q391" s="15"/>
    </row>
    <row r="392" spans="2:17" ht="20.100000000000001" customHeight="1">
      <c r="B392" s="8803" t="s">
        <v>1680</v>
      </c>
      <c r="C392" s="8804"/>
      <c r="D392" s="8804"/>
      <c r="E392" s="8804"/>
      <c r="F392" s="8804"/>
      <c r="G392" s="8804"/>
      <c r="H392" s="8804"/>
      <c r="I392" s="8804"/>
      <c r="J392" s="10066"/>
      <c r="K392" s="1"/>
      <c r="L392" s="15"/>
      <c r="M392" s="15"/>
      <c r="N392" s="15"/>
      <c r="O392" s="15"/>
      <c r="P392" s="15"/>
      <c r="Q392" s="15"/>
    </row>
    <row r="393" spans="2:17" ht="20.100000000000001" customHeight="1">
      <c r="B393" s="8803"/>
      <c r="C393" s="8804"/>
      <c r="D393" s="8804"/>
      <c r="E393" s="8804"/>
      <c r="F393" s="8804"/>
      <c r="G393" s="8804"/>
      <c r="H393" s="8804"/>
      <c r="I393" s="8804"/>
      <c r="J393" s="10066"/>
      <c r="K393" s="1"/>
      <c r="L393" s="15"/>
      <c r="M393" s="15"/>
      <c r="N393" s="15"/>
      <c r="O393" s="15"/>
      <c r="P393" s="15"/>
      <c r="Q393" s="15"/>
    </row>
    <row r="394" spans="2:17" ht="20.100000000000001" customHeight="1">
      <c r="B394" s="8803"/>
      <c r="C394" s="8804"/>
      <c r="D394" s="8804"/>
      <c r="E394" s="8804"/>
      <c r="F394" s="8804"/>
      <c r="G394" s="8804"/>
      <c r="H394" s="8804"/>
      <c r="I394" s="8804"/>
      <c r="J394" s="10066"/>
      <c r="K394" s="1"/>
      <c r="L394" s="15"/>
      <c r="M394" s="15"/>
      <c r="N394" s="15"/>
      <c r="O394" s="15"/>
      <c r="P394" s="15"/>
      <c r="Q394" s="15"/>
    </row>
    <row r="395" spans="2:17" ht="20.100000000000001" customHeight="1">
      <c r="B395" s="8803" t="s">
        <v>1681</v>
      </c>
      <c r="C395" s="8804"/>
      <c r="D395" s="8804"/>
      <c r="E395" s="8804"/>
      <c r="F395" s="8804"/>
      <c r="G395" s="8804"/>
      <c r="H395" s="8804"/>
      <c r="I395" s="8804"/>
      <c r="J395" s="10066"/>
      <c r="K395" s="1"/>
      <c r="L395" s="15"/>
      <c r="M395" s="15"/>
      <c r="N395" s="15"/>
      <c r="O395" s="15"/>
      <c r="P395" s="15"/>
      <c r="Q395" s="15"/>
    </row>
    <row r="396" spans="2:17" ht="20.100000000000001" customHeight="1">
      <c r="B396" s="8803"/>
      <c r="C396" s="8804"/>
      <c r="D396" s="8804"/>
      <c r="E396" s="8804"/>
      <c r="F396" s="8804"/>
      <c r="G396" s="8804"/>
      <c r="H396" s="8804"/>
      <c r="I396" s="8804"/>
      <c r="J396" s="10066"/>
      <c r="K396" s="1"/>
      <c r="L396" s="15"/>
      <c r="M396" s="15"/>
      <c r="N396" s="15"/>
      <c r="O396" s="15"/>
      <c r="P396" s="15"/>
      <c r="Q396" s="15"/>
    </row>
    <row r="397" spans="2:17" ht="20.100000000000001" customHeight="1">
      <c r="B397" s="875"/>
      <c r="C397" s="881" t="s">
        <v>1682</v>
      </c>
      <c r="D397" s="784"/>
      <c r="E397" s="784"/>
      <c r="F397" s="784"/>
      <c r="G397" s="784"/>
      <c r="H397" s="784"/>
      <c r="I397" s="784"/>
      <c r="J397" s="876"/>
      <c r="K397" s="1"/>
      <c r="L397" s="15"/>
      <c r="M397" s="15"/>
      <c r="N397" s="15"/>
      <c r="O397" s="15"/>
      <c r="P397" s="15"/>
      <c r="Q397" s="15"/>
    </row>
    <row r="398" spans="2:17" ht="20.100000000000001" customHeight="1">
      <c r="B398" s="875"/>
      <c r="C398" s="881" t="s">
        <v>1683</v>
      </c>
      <c r="D398" s="784"/>
      <c r="E398" s="784"/>
      <c r="F398" s="784"/>
      <c r="G398" s="784"/>
      <c r="H398" s="784"/>
      <c r="I398" s="784"/>
      <c r="J398" s="876"/>
      <c r="K398" s="1"/>
      <c r="L398" s="15"/>
      <c r="M398" s="15"/>
      <c r="N398" s="15"/>
      <c r="O398" s="15"/>
      <c r="P398" s="15"/>
      <c r="Q398" s="15"/>
    </row>
    <row r="399" spans="2:17" ht="20.100000000000001" customHeight="1">
      <c r="B399" s="468"/>
      <c r="C399" s="281"/>
      <c r="D399" s="784"/>
      <c r="E399" s="784"/>
      <c r="F399" s="784"/>
      <c r="G399" s="784"/>
      <c r="H399" s="784"/>
      <c r="I399" s="784"/>
      <c r="J399" s="876"/>
      <c r="K399" s="1"/>
      <c r="L399" s="15"/>
      <c r="M399" s="15"/>
      <c r="N399" s="15"/>
      <c r="O399" s="15"/>
      <c r="P399" s="15"/>
      <c r="Q399" s="15"/>
    </row>
    <row r="400" spans="2:17" ht="20.100000000000001" customHeight="1">
      <c r="B400" s="875"/>
      <c r="C400" s="881" t="s">
        <v>1684</v>
      </c>
      <c r="D400" s="784"/>
      <c r="E400" s="784"/>
      <c r="F400" s="784"/>
      <c r="G400" s="784"/>
      <c r="H400" s="784"/>
      <c r="I400" s="784"/>
      <c r="J400" s="876"/>
      <c r="K400" s="1"/>
      <c r="L400" s="15"/>
      <c r="M400" s="15"/>
      <c r="N400" s="15"/>
      <c r="O400" s="15"/>
      <c r="P400" s="15"/>
      <c r="Q400" s="15"/>
    </row>
    <row r="401" spans="1:17" ht="20.100000000000001" customHeight="1">
      <c r="B401" s="875"/>
      <c r="C401" s="881" t="s">
        <v>1685</v>
      </c>
      <c r="D401" s="784"/>
      <c r="E401" s="784"/>
      <c r="F401" s="784"/>
      <c r="G401" s="784"/>
      <c r="H401" s="784"/>
      <c r="I401" s="784"/>
      <c r="J401" s="876"/>
      <c r="K401" s="1"/>
      <c r="L401" s="15"/>
      <c r="M401" s="15"/>
      <c r="N401" s="15"/>
      <c r="O401" s="15"/>
      <c r="P401" s="15"/>
      <c r="Q401" s="15"/>
    </row>
    <row r="402" spans="1:17" ht="20.100000000000001" customHeight="1">
      <c r="B402" s="875"/>
      <c r="C402" s="881" t="s">
        <v>1686</v>
      </c>
      <c r="D402" s="784"/>
      <c r="E402" s="784"/>
      <c r="F402" s="784"/>
      <c r="G402" s="784"/>
      <c r="H402" s="784"/>
      <c r="I402" s="784"/>
      <c r="J402" s="876"/>
      <c r="K402" s="1"/>
      <c r="L402" s="15"/>
      <c r="M402" s="15"/>
      <c r="N402" s="15"/>
      <c r="O402" s="15"/>
      <c r="P402" s="15"/>
      <c r="Q402" s="15"/>
    </row>
    <row r="403" spans="1:17" ht="20.100000000000001" customHeight="1">
      <c r="B403" s="875"/>
      <c r="C403" s="881" t="s">
        <v>1687</v>
      </c>
      <c r="D403" s="784"/>
      <c r="E403" s="784"/>
      <c r="F403" s="784"/>
      <c r="G403" s="784"/>
      <c r="H403" s="784"/>
      <c r="I403" s="784"/>
      <c r="J403" s="876"/>
      <c r="K403" s="1"/>
      <c r="L403" s="15"/>
      <c r="M403" s="15"/>
      <c r="N403" s="15"/>
      <c r="O403" s="15"/>
      <c r="P403" s="15"/>
      <c r="Q403" s="15"/>
    </row>
    <row r="404" spans="1:17" ht="20.100000000000001" customHeight="1">
      <c r="B404" s="8803" t="s">
        <v>1688</v>
      </c>
      <c r="C404" s="8804"/>
      <c r="D404" s="8804"/>
      <c r="E404" s="8804"/>
      <c r="F404" s="8804"/>
      <c r="G404" s="8804"/>
      <c r="H404" s="8804"/>
      <c r="I404" s="8804"/>
      <c r="J404" s="10066"/>
      <c r="K404" s="1"/>
      <c r="L404" s="15"/>
      <c r="M404" s="15"/>
      <c r="N404" s="15"/>
      <c r="O404" s="15"/>
      <c r="P404" s="15"/>
      <c r="Q404" s="15"/>
    </row>
    <row r="405" spans="1:17" ht="20.100000000000001" customHeight="1">
      <c r="B405" s="8803"/>
      <c r="C405" s="8804"/>
      <c r="D405" s="8804"/>
      <c r="E405" s="8804"/>
      <c r="F405" s="8804"/>
      <c r="G405" s="8804"/>
      <c r="H405" s="8804"/>
      <c r="I405" s="8804"/>
      <c r="J405" s="10066"/>
      <c r="K405" s="1"/>
      <c r="L405" s="15"/>
      <c r="M405" s="15"/>
      <c r="N405" s="15"/>
      <c r="O405" s="15"/>
      <c r="P405" s="15"/>
      <c r="Q405" s="15"/>
    </row>
    <row r="406" spans="1:17" ht="20.100000000000001" customHeight="1">
      <c r="B406" s="815" t="s">
        <v>1689</v>
      </c>
      <c r="C406" s="34"/>
      <c r="D406" s="34"/>
      <c r="E406" s="34"/>
      <c r="F406" s="34"/>
      <c r="G406" s="34"/>
      <c r="H406" s="34"/>
      <c r="I406" s="34"/>
      <c r="J406" s="765"/>
      <c r="K406" s="1"/>
      <c r="L406" s="15"/>
      <c r="M406" s="15"/>
      <c r="N406" s="15"/>
      <c r="O406" s="15"/>
      <c r="P406" s="15"/>
      <c r="Q406" s="15"/>
    </row>
    <row r="407" spans="1:17" ht="20.100000000000001" customHeight="1" thickBot="1">
      <c r="B407" s="452"/>
      <c r="C407" s="453"/>
      <c r="D407" s="453"/>
      <c r="E407" s="453"/>
      <c r="F407" s="453"/>
      <c r="G407" s="453"/>
      <c r="H407" s="453"/>
      <c r="I407" s="453"/>
      <c r="J407" s="454"/>
      <c r="K407" s="1"/>
      <c r="L407" s="15"/>
      <c r="M407" s="15"/>
      <c r="N407" s="15"/>
      <c r="O407" s="15"/>
      <c r="P407" s="15"/>
      <c r="Q407" s="15"/>
    </row>
    <row r="408" spans="1:17" ht="20.100000000000001" customHeight="1">
      <c r="B408" s="1"/>
      <c r="C408" s="1"/>
      <c r="D408" s="1"/>
      <c r="E408" s="462"/>
      <c r="F408" s="462"/>
      <c r="G408" s="1"/>
      <c r="H408" s="1"/>
      <c r="I408" s="1"/>
      <c r="J408" s="1"/>
      <c r="K408" s="1"/>
      <c r="L408" s="15"/>
      <c r="M408" s="15"/>
      <c r="N408" s="15"/>
      <c r="O408" s="15"/>
      <c r="P408" s="15"/>
      <c r="Q408" s="15"/>
    </row>
    <row r="409" spans="1:17">
      <c r="A409" s="525"/>
      <c r="B409" s="526"/>
      <c r="C409" s="527"/>
      <c r="D409" s="527"/>
      <c r="E409" s="527"/>
      <c r="F409" s="527"/>
      <c r="G409" s="527"/>
      <c r="H409" s="527"/>
      <c r="I409" s="527"/>
      <c r="J409" s="526"/>
      <c r="K409" s="526"/>
      <c r="L409" s="526"/>
      <c r="M409" s="525"/>
      <c r="N409" s="525"/>
      <c r="O409" s="525"/>
      <c r="P409" s="525"/>
      <c r="Q409" s="525"/>
    </row>
    <row r="410" spans="1:17" ht="20.100000000000001" customHeight="1">
      <c r="B410" s="1"/>
      <c r="C410" s="1"/>
      <c r="D410" s="1"/>
      <c r="E410" s="462"/>
      <c r="F410" s="462"/>
      <c r="G410" s="1"/>
      <c r="H410" s="1"/>
      <c r="I410" s="1"/>
      <c r="J410" s="1"/>
      <c r="K410" s="1"/>
      <c r="L410" s="15"/>
      <c r="M410" s="15"/>
      <c r="N410" s="15"/>
      <c r="O410" s="15"/>
      <c r="P410" s="15"/>
      <c r="Q410" s="15"/>
    </row>
    <row r="411" spans="1:17" ht="15.75" thickBot="1">
      <c r="A411" s="15"/>
      <c r="B411" s="14"/>
      <c r="C411" s="27"/>
      <c r="D411" s="27"/>
      <c r="E411" s="27"/>
      <c r="F411" s="27"/>
      <c r="G411" s="27"/>
      <c r="H411" s="27"/>
      <c r="I411" s="27"/>
      <c r="J411" s="14"/>
      <c r="K411" s="14"/>
      <c r="L411" s="14"/>
      <c r="M411" s="15"/>
      <c r="N411" s="15"/>
      <c r="O411" s="15"/>
      <c r="P411" s="15"/>
      <c r="Q411" s="15"/>
    </row>
    <row r="412" spans="1:17" ht="15.75">
      <c r="A412" s="15"/>
      <c r="B412" s="8806" t="s">
        <v>467</v>
      </c>
      <c r="C412" s="8807"/>
      <c r="D412" s="8807"/>
      <c r="E412" s="8807"/>
      <c r="F412" s="8807"/>
      <c r="G412" s="8808"/>
      <c r="H412" s="27"/>
      <c r="I412" s="8806" t="s">
        <v>467</v>
      </c>
      <c r="J412" s="8807"/>
      <c r="K412" s="8807"/>
      <c r="L412" s="8807"/>
      <c r="M412" s="8807"/>
      <c r="N412" s="8808"/>
      <c r="O412" s="15"/>
      <c r="P412" s="15"/>
      <c r="Q412" s="15"/>
    </row>
    <row r="413" spans="1:17">
      <c r="A413" s="15"/>
      <c r="B413" s="8792" t="s">
        <v>463</v>
      </c>
      <c r="C413" s="8793"/>
      <c r="D413" s="303" t="s">
        <v>466</v>
      </c>
      <c r="E413" s="713" t="s">
        <v>462</v>
      </c>
      <c r="F413" s="8794" t="s">
        <v>61</v>
      </c>
      <c r="G413" s="8795"/>
      <c r="H413" s="27"/>
      <c r="I413" s="8792" t="s">
        <v>463</v>
      </c>
      <c r="J413" s="8793"/>
      <c r="K413" s="303" t="s">
        <v>466</v>
      </c>
      <c r="L413" s="713" t="s">
        <v>462</v>
      </c>
      <c r="M413" s="8794" t="s">
        <v>61</v>
      </c>
      <c r="N413" s="8795"/>
      <c r="O413" s="15"/>
      <c r="P413" s="15"/>
      <c r="Q413" s="15"/>
    </row>
    <row r="414" spans="1:17">
      <c r="A414" s="15"/>
      <c r="B414" s="8796">
        <v>20</v>
      </c>
      <c r="C414" s="8798">
        <f>B414/100</f>
        <v>0.2</v>
      </c>
      <c r="D414" s="469" t="s">
        <v>192</v>
      </c>
      <c r="E414" s="302">
        <v>1</v>
      </c>
      <c r="F414" s="471">
        <f>(B414*E414)*10</f>
        <v>200</v>
      </c>
      <c r="G414" s="473">
        <f>F414/1000</f>
        <v>0.2</v>
      </c>
      <c r="H414" s="27"/>
      <c r="I414" s="8800">
        <v>10</v>
      </c>
      <c r="J414" s="8798">
        <f>I414/10</f>
        <v>1</v>
      </c>
      <c r="K414" s="469" t="s">
        <v>192</v>
      </c>
      <c r="L414" s="302">
        <v>1</v>
      </c>
      <c r="M414" s="471">
        <f>(I414*L414)*100</f>
        <v>1000</v>
      </c>
      <c r="N414" s="473">
        <f>M414/1000</f>
        <v>1</v>
      </c>
      <c r="O414" s="15"/>
      <c r="P414" s="15"/>
      <c r="Q414" s="15"/>
    </row>
    <row r="415" spans="1:17">
      <c r="A415" s="15"/>
      <c r="B415" s="8796"/>
      <c r="C415" s="8798"/>
      <c r="D415" s="469" t="s">
        <v>468</v>
      </c>
      <c r="E415" s="302">
        <v>1.03</v>
      </c>
      <c r="F415" s="471">
        <f>(B414*E415)*10</f>
        <v>206</v>
      </c>
      <c r="G415" s="473">
        <f>F415/1000</f>
        <v>0.20599999999999999</v>
      </c>
      <c r="H415" s="27"/>
      <c r="I415" s="8800"/>
      <c r="J415" s="8798"/>
      <c r="K415" s="469" t="s">
        <v>468</v>
      </c>
      <c r="L415" s="302">
        <v>1.03</v>
      </c>
      <c r="M415" s="471">
        <f>(I414*L415)*100</f>
        <v>1030</v>
      </c>
      <c r="N415" s="473">
        <f>M415/1000</f>
        <v>1.03</v>
      </c>
      <c r="O415" s="15"/>
      <c r="P415" s="15"/>
      <c r="Q415" s="15"/>
    </row>
    <row r="416" spans="1:17">
      <c r="A416" s="15"/>
      <c r="B416" s="8796"/>
      <c r="C416" s="8798"/>
      <c r="D416" s="469" t="s">
        <v>469</v>
      </c>
      <c r="E416" s="302">
        <v>1.0149999999999999</v>
      </c>
      <c r="F416" s="471">
        <f>(E416*B414)*10</f>
        <v>202.99999999999997</v>
      </c>
      <c r="G416" s="473">
        <f>F416/1000</f>
        <v>0.20299999999999996</v>
      </c>
      <c r="H416" s="27"/>
      <c r="I416" s="8800"/>
      <c r="J416" s="8798"/>
      <c r="K416" s="469" t="s">
        <v>469</v>
      </c>
      <c r="L416" s="302">
        <v>1.0149999999999999</v>
      </c>
      <c r="M416" s="471">
        <f>(L416*I414)*100</f>
        <v>1014.9999999999999</v>
      </c>
      <c r="N416" s="473">
        <f>M416/1000</f>
        <v>1.0149999999999999</v>
      </c>
      <c r="O416" s="15"/>
      <c r="P416" s="15"/>
      <c r="Q416" s="15"/>
    </row>
    <row r="417" spans="1:17">
      <c r="A417" s="15"/>
      <c r="B417" s="8796"/>
      <c r="C417" s="8798"/>
      <c r="D417" s="469" t="s">
        <v>464</v>
      </c>
      <c r="E417" s="302">
        <v>0.92</v>
      </c>
      <c r="F417" s="471">
        <f>(E417*B414)*10</f>
        <v>184.00000000000003</v>
      </c>
      <c r="G417" s="473">
        <f>F417/1000</f>
        <v>0.18400000000000002</v>
      </c>
      <c r="H417" s="27"/>
      <c r="I417" s="8800"/>
      <c r="J417" s="8798"/>
      <c r="K417" s="469" t="s">
        <v>464</v>
      </c>
      <c r="L417" s="302">
        <v>0.92</v>
      </c>
      <c r="M417" s="471">
        <f>(L417*I414)*100</f>
        <v>920.00000000000011</v>
      </c>
      <c r="N417" s="473">
        <f>M417/1000</f>
        <v>0.92000000000000015</v>
      </c>
      <c r="O417" s="15"/>
      <c r="P417" s="15"/>
      <c r="Q417" s="15"/>
    </row>
    <row r="418" spans="1:17" ht="15.75" thickBot="1">
      <c r="A418" s="15"/>
      <c r="B418" s="10063"/>
      <c r="C418" s="8799"/>
      <c r="D418" s="470" t="s">
        <v>465</v>
      </c>
      <c r="E418" s="424">
        <v>0.8</v>
      </c>
      <c r="F418" s="472">
        <f>(E418*B414)*10</f>
        <v>160</v>
      </c>
      <c r="G418" s="474">
        <f>F418/1000</f>
        <v>0.16</v>
      </c>
      <c r="H418" s="27"/>
      <c r="I418" s="10064"/>
      <c r="J418" s="8799"/>
      <c r="K418" s="470" t="s">
        <v>465</v>
      </c>
      <c r="L418" s="424">
        <v>0.8</v>
      </c>
      <c r="M418" s="472">
        <f>(L418*I414)*100</f>
        <v>800</v>
      </c>
      <c r="N418" s="474">
        <f>M418/1000</f>
        <v>0.8</v>
      </c>
      <c r="O418" s="15"/>
      <c r="P418" s="15"/>
      <c r="Q418" s="15"/>
    </row>
    <row r="419" spans="1:17">
      <c r="A419" s="15"/>
      <c r="B419" s="14"/>
      <c r="C419" s="27"/>
      <c r="D419" s="27"/>
      <c r="E419" s="27"/>
      <c r="F419" s="27"/>
      <c r="G419" s="27"/>
      <c r="H419" s="27"/>
      <c r="I419" s="27"/>
      <c r="J419" s="14"/>
      <c r="K419" s="14"/>
      <c r="L419" s="14"/>
      <c r="M419" s="15"/>
      <c r="N419" s="15"/>
      <c r="O419" s="15"/>
      <c r="P419" s="15"/>
      <c r="Q419" s="15"/>
    </row>
    <row r="420" spans="1:17">
      <c r="A420" s="15"/>
      <c r="B420" s="14"/>
      <c r="C420" s="27"/>
      <c r="D420" s="27"/>
      <c r="E420" s="27"/>
      <c r="F420" s="27"/>
      <c r="G420" s="27"/>
      <c r="H420" s="27"/>
      <c r="I420" s="27"/>
      <c r="J420" s="14"/>
      <c r="K420" s="14"/>
      <c r="L420" s="14"/>
      <c r="M420" s="15"/>
      <c r="N420" s="15"/>
      <c r="O420" s="15"/>
      <c r="P420" s="15"/>
      <c r="Q420" s="15"/>
    </row>
    <row r="421" spans="1:17">
      <c r="A421" s="15"/>
      <c r="B421" s="14"/>
      <c r="C421" s="27"/>
      <c r="D421" s="27"/>
      <c r="E421" s="27"/>
      <c r="F421" s="27"/>
      <c r="G421" s="27"/>
      <c r="H421" s="27"/>
      <c r="I421" s="27"/>
      <c r="J421" s="14"/>
      <c r="K421" s="14"/>
      <c r="L421" s="14"/>
      <c r="M421" s="15"/>
      <c r="N421" s="15"/>
      <c r="O421" s="15"/>
      <c r="P421" s="15"/>
      <c r="Q421" s="15"/>
    </row>
    <row r="422" spans="1:17" ht="15.75" thickBot="1">
      <c r="A422" s="15"/>
      <c r="B422" s="14"/>
      <c r="C422" s="27"/>
      <c r="D422" s="27"/>
      <c r="E422" s="27"/>
      <c r="F422" s="27"/>
      <c r="G422" s="27"/>
      <c r="H422" s="27"/>
      <c r="I422" s="27"/>
      <c r="J422" s="14"/>
      <c r="K422" s="14"/>
      <c r="L422" s="14"/>
      <c r="M422" s="15"/>
      <c r="N422" s="15"/>
      <c r="O422" s="15"/>
      <c r="P422" s="15"/>
      <c r="Q422" s="15"/>
    </row>
    <row r="423" spans="1:17">
      <c r="A423" s="15"/>
      <c r="B423" s="14"/>
      <c r="C423" s="27"/>
      <c r="D423" s="27"/>
      <c r="E423" s="27"/>
      <c r="F423" s="8774" t="s">
        <v>26</v>
      </c>
      <c r="G423" s="8775"/>
      <c r="H423" s="8775"/>
      <c r="I423" s="8776"/>
      <c r="J423" s="14"/>
      <c r="K423" s="8774" t="s">
        <v>26</v>
      </c>
      <c r="L423" s="8775"/>
      <c r="M423" s="8775"/>
      <c r="N423" s="8776"/>
      <c r="O423" s="15"/>
      <c r="P423" s="15"/>
    </row>
    <row r="424" spans="1:17" ht="15.75" thickBot="1">
      <c r="A424" s="15"/>
      <c r="B424" s="14"/>
      <c r="C424" s="14"/>
      <c r="D424" s="14"/>
      <c r="E424" s="14"/>
      <c r="F424" s="10060"/>
      <c r="G424" s="8778"/>
      <c r="H424" s="8778"/>
      <c r="I424" s="8779"/>
      <c r="J424" s="1"/>
      <c r="K424" s="10060"/>
      <c r="L424" s="8778"/>
      <c r="M424" s="8778"/>
      <c r="N424" s="8779"/>
      <c r="O424" s="15"/>
      <c r="P424" s="15"/>
    </row>
    <row r="425" spans="1:17" ht="19.5" customHeight="1" thickBot="1">
      <c r="A425" s="15"/>
      <c r="B425" s="14"/>
      <c r="C425" s="14"/>
      <c r="D425" s="14"/>
      <c r="E425" s="14"/>
      <c r="F425" s="528" t="s">
        <v>43</v>
      </c>
      <c r="G425" s="529" t="s">
        <v>41</v>
      </c>
      <c r="H425" s="529" t="s">
        <v>40</v>
      </c>
      <c r="I425" s="530" t="s">
        <v>39</v>
      </c>
      <c r="J425" s="1"/>
      <c r="K425" s="10048" t="s">
        <v>21</v>
      </c>
      <c r="L425" s="10049"/>
      <c r="M425" s="10049"/>
      <c r="N425" s="10050"/>
      <c r="O425" s="15"/>
      <c r="P425" s="15"/>
    </row>
    <row r="426" spans="1:17" ht="15.75" customHeight="1">
      <c r="A426" s="15"/>
      <c r="B426" s="14"/>
      <c r="C426" s="14"/>
      <c r="D426" s="14"/>
      <c r="E426" s="14"/>
      <c r="F426" s="8780" t="s">
        <v>149</v>
      </c>
      <c r="G426" s="8781"/>
      <c r="H426" s="8781"/>
      <c r="I426" s="10061"/>
      <c r="J426" s="1"/>
      <c r="K426" s="8783" t="s">
        <v>44</v>
      </c>
      <c r="L426" s="8784"/>
      <c r="M426" s="8784"/>
      <c r="N426" s="8785"/>
      <c r="O426" s="15"/>
      <c r="P426" s="15"/>
    </row>
    <row r="427" spans="1:17" ht="18.75" customHeight="1">
      <c r="A427" s="15"/>
      <c r="B427" s="14"/>
      <c r="C427" s="14"/>
      <c r="D427" s="14"/>
      <c r="E427" s="14"/>
      <c r="F427" s="531" t="s">
        <v>34</v>
      </c>
      <c r="G427" s="887" t="s">
        <v>33</v>
      </c>
      <c r="H427" s="887" t="s">
        <v>32</v>
      </c>
      <c r="I427" s="532" t="s">
        <v>31</v>
      </c>
      <c r="J427" s="1"/>
      <c r="K427" s="8786" t="s">
        <v>38</v>
      </c>
      <c r="L427" s="8788" t="s">
        <v>37</v>
      </c>
      <c r="M427" s="8788" t="s">
        <v>36</v>
      </c>
      <c r="N427" s="10062" t="s">
        <v>35</v>
      </c>
      <c r="O427" s="15"/>
      <c r="P427" s="15"/>
    </row>
    <row r="428" spans="1:17" ht="15.75" customHeight="1">
      <c r="A428" s="15"/>
      <c r="B428" s="14"/>
      <c r="C428" s="14"/>
      <c r="D428" s="14"/>
      <c r="E428" s="14"/>
      <c r="F428" s="888">
        <v>1</v>
      </c>
      <c r="G428" s="889">
        <f>F428*10</f>
        <v>10</v>
      </c>
      <c r="H428" s="889">
        <f>G428*10</f>
        <v>100</v>
      </c>
      <c r="I428" s="533">
        <f>H428*10</f>
        <v>1000</v>
      </c>
      <c r="J428" s="1"/>
      <c r="K428" s="8787"/>
      <c r="L428" s="8789"/>
      <c r="M428" s="8789"/>
      <c r="N428" s="8791"/>
      <c r="O428" s="15"/>
      <c r="P428" s="15"/>
    </row>
    <row r="429" spans="1:17" ht="15.75" customHeight="1">
      <c r="A429" s="15"/>
      <c r="B429" s="14"/>
      <c r="C429" s="14"/>
      <c r="D429" s="14"/>
      <c r="E429" s="14"/>
      <c r="F429" s="890">
        <f>G429/10</f>
        <v>0.1</v>
      </c>
      <c r="G429" s="891">
        <v>1</v>
      </c>
      <c r="H429" s="889">
        <f>G429*10</f>
        <v>10</v>
      </c>
      <c r="I429" s="533">
        <f>G429*100</f>
        <v>100</v>
      </c>
      <c r="J429" s="1"/>
      <c r="K429" s="6" t="s">
        <v>30</v>
      </c>
      <c r="L429" s="5" t="s">
        <v>29</v>
      </c>
      <c r="M429" s="5" t="s">
        <v>28</v>
      </c>
      <c r="N429" s="4" t="s">
        <v>27</v>
      </c>
      <c r="O429" s="15"/>
      <c r="P429" s="15"/>
    </row>
    <row r="430" spans="1:17" ht="15.75" customHeight="1">
      <c r="A430" s="15"/>
      <c r="B430" s="14"/>
      <c r="C430" s="14"/>
      <c r="D430" s="14"/>
      <c r="E430" s="14"/>
      <c r="F430" s="890">
        <f t="shared" ref="F430:G430" si="1">G430/10</f>
        <v>0.01</v>
      </c>
      <c r="G430" s="889">
        <f t="shared" si="1"/>
        <v>0.1</v>
      </c>
      <c r="H430" s="891">
        <v>1</v>
      </c>
      <c r="I430" s="533">
        <f>G430*100</f>
        <v>10</v>
      </c>
      <c r="J430" s="1"/>
      <c r="K430" s="6" t="s">
        <v>25</v>
      </c>
      <c r="L430" s="5" t="s">
        <v>24</v>
      </c>
      <c r="M430" s="5" t="s">
        <v>23</v>
      </c>
      <c r="N430" s="4" t="s">
        <v>22</v>
      </c>
      <c r="O430" s="15"/>
      <c r="P430" s="15"/>
    </row>
    <row r="431" spans="1:17" ht="15.75" customHeight="1">
      <c r="A431" s="15"/>
      <c r="B431" s="14"/>
      <c r="C431" s="14"/>
      <c r="D431" s="14"/>
      <c r="E431" s="14"/>
      <c r="F431" s="534">
        <f>I431/1000</f>
        <v>1E-3</v>
      </c>
      <c r="G431" s="535">
        <f>I431/100</f>
        <v>0.01</v>
      </c>
      <c r="H431" s="535">
        <f>I431/10</f>
        <v>0.1</v>
      </c>
      <c r="I431" s="536">
        <v>1</v>
      </c>
      <c r="J431" s="1"/>
      <c r="K431" s="6" t="s">
        <v>18</v>
      </c>
      <c r="L431" s="5" t="s">
        <v>17</v>
      </c>
      <c r="M431" s="5" t="s">
        <v>16</v>
      </c>
      <c r="N431" s="4" t="s">
        <v>15</v>
      </c>
      <c r="O431" s="15"/>
      <c r="P431" s="15"/>
    </row>
    <row r="432" spans="1:17" ht="15" customHeight="1">
      <c r="A432" s="15"/>
      <c r="B432" s="14"/>
      <c r="C432" s="14"/>
      <c r="D432" s="14"/>
      <c r="E432" s="14"/>
      <c r="F432" s="10048" t="s">
        <v>21</v>
      </c>
      <c r="G432" s="10049"/>
      <c r="H432" s="10049"/>
      <c r="I432" s="10050"/>
      <c r="J432" s="1"/>
      <c r="K432" s="537" t="s">
        <v>13</v>
      </c>
      <c r="L432" s="538" t="s">
        <v>12</v>
      </c>
      <c r="M432" s="538" t="s">
        <v>11</v>
      </c>
      <c r="N432" s="539" t="s">
        <v>10</v>
      </c>
      <c r="O432" s="15"/>
      <c r="P432" s="15"/>
    </row>
    <row r="433" spans="1:17" ht="16.5" thickBot="1">
      <c r="A433" s="15"/>
      <c r="B433" s="14"/>
      <c r="C433" s="14"/>
      <c r="D433" s="14"/>
      <c r="E433" s="14"/>
      <c r="F433" s="8752" t="s">
        <v>9</v>
      </c>
      <c r="G433" s="10051"/>
      <c r="H433" s="10051"/>
      <c r="I433" s="8754"/>
      <c r="J433" s="1"/>
      <c r="K433" s="8752" t="s">
        <v>9</v>
      </c>
      <c r="L433" s="10051"/>
      <c r="M433" s="10051"/>
      <c r="N433" s="8754"/>
      <c r="O433" s="15"/>
      <c r="P433" s="15"/>
    </row>
    <row r="434" spans="1:17">
      <c r="A434" s="15"/>
      <c r="B434" s="14"/>
      <c r="C434" s="14"/>
      <c r="D434" s="14"/>
      <c r="F434" s="15"/>
      <c r="G434" s="15"/>
      <c r="H434" s="15"/>
      <c r="I434" s="15"/>
      <c r="J434" s="15"/>
      <c r="K434" s="15"/>
      <c r="L434" s="15"/>
      <c r="M434" s="15"/>
      <c r="N434" s="15"/>
      <c r="O434" s="15"/>
      <c r="P434" s="15"/>
    </row>
    <row r="435" spans="1:17">
      <c r="A435" s="15"/>
      <c r="B435" s="14"/>
      <c r="C435" s="14"/>
      <c r="D435" s="14"/>
      <c r="E435" s="1"/>
      <c r="F435" s="15"/>
      <c r="G435" s="15"/>
      <c r="H435" s="15"/>
      <c r="I435" s="15"/>
      <c r="J435" s="15"/>
      <c r="K435" s="15"/>
      <c r="L435" s="15"/>
      <c r="M435" s="15"/>
      <c r="N435" s="15"/>
      <c r="O435" s="15"/>
      <c r="P435" s="15"/>
    </row>
    <row r="436" spans="1:17" ht="21" customHeight="1">
      <c r="A436" s="15"/>
      <c r="B436" s="519" t="s">
        <v>1283</v>
      </c>
      <c r="C436" s="461" t="s">
        <v>138</v>
      </c>
      <c r="D436" s="14"/>
      <c r="E436" s="1"/>
      <c r="F436" s="15"/>
      <c r="G436" s="15"/>
      <c r="H436" s="15"/>
      <c r="I436" s="15"/>
      <c r="J436" s="15"/>
      <c r="K436" s="10052" t="s">
        <v>1292</v>
      </c>
      <c r="L436" s="10053"/>
      <c r="M436" s="10054"/>
      <c r="N436" s="15"/>
      <c r="O436" s="15"/>
      <c r="P436" s="15"/>
    </row>
    <row r="437" spans="1:17" ht="21">
      <c r="A437" s="15"/>
      <c r="B437" s="462"/>
      <c r="C437" s="463"/>
      <c r="D437" s="14"/>
      <c r="E437" s="1"/>
      <c r="F437" s="15"/>
      <c r="G437" s="15"/>
      <c r="H437" s="15"/>
      <c r="I437" s="15"/>
      <c r="J437" s="15"/>
      <c r="K437" s="540" t="s">
        <v>1293</v>
      </c>
      <c r="L437" s="541" t="s">
        <v>1294</v>
      </c>
      <c r="M437" s="542" t="s">
        <v>1295</v>
      </c>
      <c r="N437" s="15"/>
      <c r="O437" s="15"/>
      <c r="P437" s="15"/>
      <c r="Q437" s="15"/>
    </row>
    <row r="438" spans="1:17" ht="21">
      <c r="A438" s="15"/>
      <c r="B438" s="462" t="s">
        <v>140</v>
      </c>
      <c r="C438" s="543"/>
      <c r="D438" s="14"/>
      <c r="E438" s="1"/>
      <c r="F438" s="15"/>
      <c r="G438" s="15"/>
      <c r="H438" s="15"/>
      <c r="I438" s="15"/>
      <c r="J438" s="15"/>
      <c r="K438" s="544">
        <v>4.1666666666666664E-2</v>
      </c>
      <c r="L438" s="545">
        <v>60</v>
      </c>
      <c r="M438" s="892">
        <v>100</v>
      </c>
      <c r="N438" s="15"/>
      <c r="O438" s="15"/>
      <c r="P438" s="15"/>
      <c r="Q438" s="15"/>
    </row>
    <row r="439" spans="1:17" ht="21">
      <c r="A439" s="15"/>
      <c r="B439" s="462" t="s">
        <v>141</v>
      </c>
      <c r="C439" s="543"/>
      <c r="D439" s="14"/>
      <c r="E439" s="1"/>
      <c r="F439" s="15"/>
      <c r="G439" s="15"/>
      <c r="H439" s="15"/>
      <c r="I439" s="15"/>
      <c r="J439" s="15"/>
      <c r="K439" s="546">
        <v>4.1666666666666664E-2</v>
      </c>
      <c r="L439" s="547">
        <f>(L438/K438)*K439</f>
        <v>60</v>
      </c>
      <c r="M439" s="893">
        <f>(M438/K438)*K439</f>
        <v>100</v>
      </c>
      <c r="N439" s="15"/>
      <c r="O439" s="15"/>
      <c r="P439" s="15"/>
      <c r="Q439" s="15"/>
    </row>
    <row r="440" spans="1:17" ht="21">
      <c r="A440" s="15"/>
      <c r="B440" s="519" t="s">
        <v>1283</v>
      </c>
      <c r="C440" s="461" t="s">
        <v>142</v>
      </c>
      <c r="D440" s="14"/>
      <c r="F440" s="15"/>
      <c r="G440" s="15"/>
      <c r="H440" s="15"/>
      <c r="I440" s="15"/>
      <c r="J440" s="15"/>
      <c r="K440" s="548">
        <f>(K438/L438)*L440</f>
        <v>6.2499999999999993E-2</v>
      </c>
      <c r="L440" s="549">
        <v>90</v>
      </c>
      <c r="M440" s="894">
        <f>(M438/L438)*L440</f>
        <v>150</v>
      </c>
      <c r="N440" s="15"/>
      <c r="O440" s="15"/>
      <c r="P440" s="15"/>
      <c r="Q440" s="15"/>
    </row>
    <row r="441" spans="1:17" ht="15.75">
      <c r="A441" s="15"/>
      <c r="B441" s="14"/>
      <c r="C441" s="14"/>
      <c r="D441" s="14"/>
      <c r="F441" s="15"/>
      <c r="G441" s="15"/>
      <c r="H441" s="15"/>
      <c r="I441" s="15"/>
      <c r="J441" s="15"/>
      <c r="K441" s="895">
        <f>(K438/M438)*M441</f>
        <v>1.6666666666666666E-2</v>
      </c>
      <c r="L441" s="896">
        <f>(L438/M438)*M441</f>
        <v>24</v>
      </c>
      <c r="M441" s="897">
        <v>40</v>
      </c>
      <c r="N441" s="15"/>
      <c r="O441" s="15"/>
      <c r="P441" s="15"/>
      <c r="Q441" s="15"/>
    </row>
    <row r="442" spans="1:17">
      <c r="A442" s="15"/>
      <c r="B442" s="14"/>
      <c r="C442" s="14"/>
      <c r="D442" s="14"/>
      <c r="E442" s="14"/>
      <c r="F442" s="14"/>
      <c r="G442" s="14"/>
      <c r="H442" s="15"/>
      <c r="I442" s="15"/>
      <c r="J442" s="15"/>
      <c r="K442" s="15"/>
      <c r="L442" s="15"/>
      <c r="M442" s="15"/>
      <c r="N442" s="15"/>
      <c r="O442" s="15"/>
      <c r="P442" s="15"/>
      <c r="Q442" s="15"/>
    </row>
    <row r="443" spans="1:17">
      <c r="A443" s="525"/>
      <c r="B443" s="526"/>
      <c r="C443" s="527"/>
      <c r="D443" s="527"/>
      <c r="E443" s="527"/>
      <c r="F443" s="527"/>
      <c r="G443" s="527"/>
      <c r="H443" s="527"/>
      <c r="I443" s="527"/>
      <c r="J443" s="526"/>
      <c r="K443" s="526"/>
      <c r="L443" s="526"/>
      <c r="M443" s="525"/>
      <c r="N443" s="525"/>
      <c r="O443" s="525"/>
      <c r="P443" s="525"/>
      <c r="Q443" s="525"/>
    </row>
    <row r="444" spans="1:17" ht="15.75" thickBot="1">
      <c r="A444" s="15"/>
      <c r="B444" s="14"/>
      <c r="C444" s="14"/>
      <c r="D444" s="14"/>
      <c r="E444" s="14"/>
      <c r="F444" s="14"/>
      <c r="G444" s="14"/>
      <c r="H444" s="15"/>
      <c r="I444" s="15"/>
      <c r="J444" s="15"/>
      <c r="K444" s="15"/>
      <c r="L444" s="15"/>
      <c r="M444" s="15"/>
      <c r="N444" s="15"/>
      <c r="O444" s="15"/>
      <c r="P444" s="15"/>
      <c r="Q444" s="15"/>
    </row>
    <row r="445" spans="1:17">
      <c r="A445" s="15"/>
      <c r="B445" s="10055" t="s">
        <v>148</v>
      </c>
      <c r="C445" s="10056"/>
      <c r="D445" s="10056"/>
      <c r="E445" s="10056"/>
      <c r="F445" s="10056"/>
      <c r="G445" s="10057"/>
      <c r="H445" s="15"/>
      <c r="I445" s="8764" t="s">
        <v>159</v>
      </c>
      <c r="J445" s="8765"/>
      <c r="K445" s="8768" t="s">
        <v>160</v>
      </c>
      <c r="L445" s="8768"/>
      <c r="M445" s="8770" t="s">
        <v>161</v>
      </c>
      <c r="N445" s="8772" t="s">
        <v>162</v>
      </c>
      <c r="O445" s="15"/>
      <c r="P445" s="15"/>
      <c r="Q445" s="15"/>
    </row>
    <row r="446" spans="1:17">
      <c r="A446" s="15"/>
      <c r="B446" s="8761"/>
      <c r="C446" s="8762"/>
      <c r="D446" s="8762"/>
      <c r="E446" s="8762"/>
      <c r="F446" s="8762"/>
      <c r="G446" s="10058"/>
      <c r="H446" s="15"/>
      <c r="I446" s="8766"/>
      <c r="J446" s="8767"/>
      <c r="K446" s="8769"/>
      <c r="L446" s="8769"/>
      <c r="M446" s="8771"/>
      <c r="N446" s="10059"/>
      <c r="O446" s="15"/>
      <c r="P446" s="15"/>
      <c r="Q446" s="15"/>
    </row>
    <row r="447" spans="1:17" ht="15.75" customHeight="1">
      <c r="A447" s="15"/>
      <c r="B447" s="8727" t="s">
        <v>150</v>
      </c>
      <c r="C447" s="8728"/>
      <c r="D447" s="8728"/>
      <c r="E447" s="8728"/>
      <c r="F447" s="8728"/>
      <c r="G447" s="10041"/>
      <c r="H447" s="15"/>
      <c r="I447" s="8745" t="s">
        <v>166</v>
      </c>
      <c r="J447" s="8746"/>
      <c r="K447" s="35" t="s">
        <v>167</v>
      </c>
      <c r="L447" s="35"/>
      <c r="M447" s="36"/>
      <c r="N447" s="37"/>
      <c r="O447" s="15"/>
      <c r="P447" s="15"/>
      <c r="Q447" s="15"/>
    </row>
    <row r="448" spans="1:17" ht="15.75" customHeight="1">
      <c r="A448" s="15"/>
      <c r="B448" s="8727"/>
      <c r="C448" s="8728"/>
      <c r="D448" s="8728"/>
      <c r="E448" s="8728"/>
      <c r="F448" s="8728"/>
      <c r="G448" s="10041"/>
      <c r="H448" s="15"/>
      <c r="I448" s="8747" t="s">
        <v>170</v>
      </c>
      <c r="J448" s="8748"/>
      <c r="K448" s="38" t="s">
        <v>171</v>
      </c>
      <c r="L448" s="38"/>
      <c r="M448" s="721" t="s">
        <v>172</v>
      </c>
      <c r="N448" s="39" t="s">
        <v>173</v>
      </c>
      <c r="O448" s="15"/>
      <c r="P448" s="15"/>
      <c r="Q448" s="15"/>
    </row>
    <row r="449" spans="1:17" ht="16.5" customHeight="1">
      <c r="A449" s="15"/>
      <c r="B449" s="722" t="s">
        <v>151</v>
      </c>
      <c r="C449" s="8741" t="s">
        <v>152</v>
      </c>
      <c r="D449" s="8741"/>
      <c r="E449" s="8741"/>
      <c r="F449" s="8741"/>
      <c r="G449" s="10046"/>
      <c r="H449" s="15"/>
      <c r="I449" s="8747" t="s">
        <v>174</v>
      </c>
      <c r="J449" s="8748"/>
      <c r="K449" s="38" t="s">
        <v>175</v>
      </c>
      <c r="L449" s="38"/>
      <c r="M449" s="721" t="s">
        <v>176</v>
      </c>
      <c r="N449" s="39" t="s">
        <v>177</v>
      </c>
      <c r="O449" s="15"/>
      <c r="P449" s="15"/>
      <c r="Q449" s="15"/>
    </row>
    <row r="450" spans="1:17">
      <c r="A450" s="15"/>
      <c r="B450" s="722" t="s">
        <v>151</v>
      </c>
      <c r="C450" s="8741" t="s">
        <v>153</v>
      </c>
      <c r="D450" s="8741"/>
      <c r="E450" s="8741"/>
      <c r="F450" s="8741"/>
      <c r="G450" s="10046"/>
      <c r="H450" s="15"/>
      <c r="I450" s="8747" t="s">
        <v>180</v>
      </c>
      <c r="J450" s="8748"/>
      <c r="K450" s="38" t="s">
        <v>181</v>
      </c>
      <c r="L450" s="38"/>
      <c r="M450" s="721" t="s">
        <v>182</v>
      </c>
      <c r="N450" s="39" t="s">
        <v>183</v>
      </c>
      <c r="O450" s="15"/>
      <c r="P450" s="15"/>
      <c r="Q450" s="15"/>
    </row>
    <row r="451" spans="1:17" ht="15.75" customHeight="1" thickBot="1">
      <c r="A451" s="15"/>
      <c r="B451" s="722" t="s">
        <v>151</v>
      </c>
      <c r="C451" s="8741" t="s">
        <v>154</v>
      </c>
      <c r="D451" s="8741"/>
      <c r="E451" s="8741"/>
      <c r="F451" s="8741"/>
      <c r="G451" s="10046"/>
      <c r="H451" s="15"/>
      <c r="I451" s="10047" t="s">
        <v>184</v>
      </c>
      <c r="J451" s="8744"/>
      <c r="K451" s="40" t="s">
        <v>185</v>
      </c>
      <c r="L451" s="40"/>
      <c r="M451" s="724" t="s">
        <v>186</v>
      </c>
      <c r="N451" s="550" t="s">
        <v>187</v>
      </c>
      <c r="O451" s="15"/>
      <c r="P451" s="15"/>
      <c r="Q451" s="15"/>
    </row>
    <row r="452" spans="1:17" ht="15.75" customHeight="1">
      <c r="A452" s="15"/>
      <c r="B452" s="722" t="s">
        <v>155</v>
      </c>
      <c r="C452" s="8741" t="s">
        <v>156</v>
      </c>
      <c r="D452" s="8741"/>
      <c r="E452" s="8741"/>
      <c r="F452" s="8741"/>
      <c r="G452" s="10046"/>
      <c r="H452" s="15"/>
      <c r="I452" s="15"/>
      <c r="J452" s="15"/>
      <c r="K452" s="15"/>
      <c r="L452" s="15"/>
      <c r="M452" s="15"/>
      <c r="N452" s="15"/>
      <c r="O452" s="15"/>
      <c r="P452" s="15"/>
      <c r="Q452" s="15"/>
    </row>
    <row r="453" spans="1:17" ht="15" customHeight="1">
      <c r="A453" s="15"/>
      <c r="B453" s="722" t="s">
        <v>157</v>
      </c>
      <c r="C453" s="8741" t="s">
        <v>158</v>
      </c>
      <c r="D453" s="8741"/>
      <c r="E453" s="8741"/>
      <c r="F453" s="8741"/>
      <c r="G453" s="10046"/>
      <c r="H453" s="14"/>
      <c r="I453" s="1"/>
      <c r="J453" s="1"/>
      <c r="K453" s="1"/>
      <c r="L453" s="1"/>
      <c r="M453" s="1"/>
      <c r="N453" s="1"/>
      <c r="O453" s="15"/>
      <c r="P453" s="15"/>
      <c r="Q453" s="15"/>
    </row>
    <row r="454" spans="1:17">
      <c r="A454" s="15"/>
      <c r="B454" s="722" t="s">
        <v>163</v>
      </c>
      <c r="C454" s="8741" t="s">
        <v>164</v>
      </c>
      <c r="D454" s="8741"/>
      <c r="E454" s="8741"/>
      <c r="F454" s="8741"/>
      <c r="G454" s="10046"/>
      <c r="H454" s="14"/>
      <c r="I454" s="1"/>
      <c r="J454" s="1"/>
      <c r="K454" s="1"/>
      <c r="L454" s="1"/>
      <c r="M454" s="1"/>
      <c r="N454" s="1"/>
      <c r="O454" s="15"/>
      <c r="P454" s="15"/>
      <c r="Q454" s="15"/>
    </row>
    <row r="455" spans="1:17">
      <c r="A455" s="15"/>
      <c r="B455" s="722" t="s">
        <v>163</v>
      </c>
      <c r="C455" s="8741" t="s">
        <v>165</v>
      </c>
      <c r="D455" s="8741"/>
      <c r="E455" s="8741"/>
      <c r="F455" s="8741"/>
      <c r="G455" s="10046"/>
      <c r="H455" s="14"/>
      <c r="I455" s="1"/>
      <c r="J455" s="1"/>
      <c r="K455" s="1"/>
      <c r="L455" s="1"/>
      <c r="M455" s="1"/>
      <c r="N455" s="1"/>
      <c r="O455" s="15"/>
      <c r="P455" s="15"/>
      <c r="Q455" s="15"/>
    </row>
    <row r="456" spans="1:17">
      <c r="A456" s="15"/>
      <c r="B456" s="8727" t="s">
        <v>168</v>
      </c>
      <c r="C456" s="8728" t="s">
        <v>169</v>
      </c>
      <c r="D456" s="8728"/>
      <c r="E456" s="8728"/>
      <c r="F456" s="8728"/>
      <c r="G456" s="10041"/>
      <c r="H456" s="14"/>
      <c r="I456" s="1"/>
      <c r="J456" s="1"/>
      <c r="K456" s="1"/>
      <c r="L456" s="1"/>
      <c r="M456" s="1"/>
      <c r="N456" s="1"/>
      <c r="O456" s="15"/>
      <c r="P456" s="15"/>
      <c r="Q456" s="15"/>
    </row>
    <row r="457" spans="1:17">
      <c r="A457" s="15"/>
      <c r="B457" s="8727"/>
      <c r="C457" s="8728"/>
      <c r="D457" s="8728"/>
      <c r="E457" s="8728"/>
      <c r="F457" s="8728"/>
      <c r="G457" s="10041"/>
      <c r="H457" s="14"/>
      <c r="I457" s="1"/>
      <c r="J457" s="1"/>
      <c r="K457" s="1"/>
      <c r="L457" s="1"/>
      <c r="M457" s="1"/>
      <c r="N457" s="1"/>
      <c r="O457" s="15"/>
      <c r="P457" s="15"/>
      <c r="Q457" s="15"/>
    </row>
    <row r="458" spans="1:17">
      <c r="A458" s="15"/>
      <c r="B458" s="8727" t="s">
        <v>178</v>
      </c>
      <c r="C458" s="8728" t="s">
        <v>179</v>
      </c>
      <c r="D458" s="8728"/>
      <c r="E458" s="8728"/>
      <c r="F458" s="8728"/>
      <c r="G458" s="10041"/>
      <c r="H458" s="14"/>
      <c r="I458" s="1"/>
      <c r="J458" s="1"/>
      <c r="K458" s="1"/>
      <c r="L458" s="1"/>
      <c r="M458" s="1"/>
      <c r="N458" s="1"/>
      <c r="O458" s="15"/>
      <c r="P458" s="15"/>
      <c r="Q458" s="15"/>
    </row>
    <row r="459" spans="1:17">
      <c r="A459" s="15"/>
      <c r="B459" s="10042"/>
      <c r="C459" s="10043"/>
      <c r="D459" s="10043"/>
      <c r="E459" s="10043"/>
      <c r="F459" s="10043"/>
      <c r="G459" s="10044"/>
      <c r="H459" s="14"/>
      <c r="I459" s="1"/>
      <c r="J459" s="1"/>
      <c r="K459" s="1"/>
      <c r="L459" s="1"/>
      <c r="M459" s="1"/>
      <c r="N459" s="1"/>
      <c r="O459" s="15"/>
      <c r="P459" s="15"/>
      <c r="Q459" s="15"/>
    </row>
    <row r="460" spans="1:17" ht="15.75" thickBot="1">
      <c r="A460" s="15"/>
      <c r="B460" s="723"/>
      <c r="C460" s="723"/>
      <c r="D460" s="723"/>
      <c r="E460" s="723"/>
      <c r="F460" s="723"/>
      <c r="G460" s="723"/>
      <c r="H460" s="14"/>
      <c r="I460" s="721"/>
      <c r="J460" s="721"/>
      <c r="K460" s="38"/>
      <c r="L460" s="38"/>
      <c r="M460" s="721"/>
      <c r="N460" s="721"/>
      <c r="O460" s="15"/>
      <c r="P460" s="15"/>
      <c r="Q460" s="15"/>
    </row>
    <row r="461" spans="1:17" ht="15.75">
      <c r="A461" s="32"/>
      <c r="B461" s="551" t="s">
        <v>1296</v>
      </c>
      <c r="C461" s="41"/>
      <c r="D461" s="41"/>
      <c r="E461" s="42"/>
      <c r="F461" s="15"/>
      <c r="G461" s="15"/>
      <c r="H461" s="552" t="s">
        <v>188</v>
      </c>
      <c r="I461" s="43"/>
      <c r="J461" s="44"/>
      <c r="K461" s="44"/>
      <c r="L461" s="44"/>
      <c r="M461" s="44"/>
      <c r="N461" s="45"/>
      <c r="O461" s="15"/>
      <c r="P461" s="15"/>
      <c r="Q461" s="15"/>
    </row>
    <row r="462" spans="1:17" ht="25.5">
      <c r="A462" s="32"/>
      <c r="B462" s="8733" t="s">
        <v>189</v>
      </c>
      <c r="C462" s="8734"/>
      <c r="D462" s="8737" t="s">
        <v>190</v>
      </c>
      <c r="E462" s="10045">
        <f>(B464*B467)+(C464*C467)+(D464*D467)+(E464*E467)</f>
        <v>228.85000000000002</v>
      </c>
      <c r="F462" s="15"/>
      <c r="G462" s="15"/>
      <c r="H462" s="46" t="s">
        <v>191</v>
      </c>
      <c r="I462" s="47" t="s">
        <v>192</v>
      </c>
      <c r="J462" s="47" t="s">
        <v>193</v>
      </c>
      <c r="K462" s="47" t="s">
        <v>194</v>
      </c>
      <c r="L462" s="47" t="s">
        <v>195</v>
      </c>
      <c r="M462" s="47" t="s">
        <v>196</v>
      </c>
      <c r="N462" s="48" t="s">
        <v>197</v>
      </c>
      <c r="O462" s="15"/>
      <c r="P462" s="15"/>
      <c r="Q462" s="15"/>
    </row>
    <row r="463" spans="1:17">
      <c r="A463" s="32"/>
      <c r="B463" s="8735"/>
      <c r="C463" s="8736"/>
      <c r="D463" s="8738"/>
      <c r="E463" s="8740"/>
      <c r="F463" s="15"/>
      <c r="G463" s="15"/>
      <c r="H463" s="8724">
        <v>0.12</v>
      </c>
      <c r="I463" s="8725">
        <v>1</v>
      </c>
      <c r="J463" s="8725">
        <v>0.11</v>
      </c>
      <c r="K463" s="8725">
        <v>0</v>
      </c>
      <c r="L463" s="8725">
        <v>0.01</v>
      </c>
      <c r="M463" s="8725">
        <v>5.0000000000000001E-3</v>
      </c>
      <c r="N463" s="10038">
        <f>SUM(H463:M463)</f>
        <v>1.2450000000000001</v>
      </c>
      <c r="O463" s="15"/>
      <c r="P463" s="15"/>
      <c r="Q463" s="15"/>
    </row>
    <row r="464" spans="1:17">
      <c r="A464" s="32"/>
      <c r="B464" s="8716">
        <v>6.5000000000000002E-2</v>
      </c>
      <c r="C464" s="8718">
        <v>7.4999999999999997E-2</v>
      </c>
      <c r="D464" s="8718">
        <v>0.12</v>
      </c>
      <c r="E464" s="8720">
        <v>0.15</v>
      </c>
      <c r="F464" s="15"/>
      <c r="G464" s="15"/>
      <c r="H464" s="8724"/>
      <c r="I464" s="8725"/>
      <c r="J464" s="8725"/>
      <c r="K464" s="8725"/>
      <c r="L464" s="8725"/>
      <c r="M464" s="8725"/>
      <c r="N464" s="10038"/>
      <c r="O464" s="15"/>
      <c r="P464" s="15"/>
      <c r="Q464" s="15"/>
    </row>
    <row r="465" spans="1:17">
      <c r="A465" s="32"/>
      <c r="B465" s="8717"/>
      <c r="C465" s="8719"/>
      <c r="D465" s="8719"/>
      <c r="E465" s="10039"/>
      <c r="F465" s="15"/>
      <c r="G465" s="15"/>
      <c r="H465" s="8722">
        <f>(H463/N463)*N465</f>
        <v>2.1204819277108431</v>
      </c>
      <c r="I465" s="8723">
        <f>(I463/N463)*N465</f>
        <v>17.670682730923691</v>
      </c>
      <c r="J465" s="8723">
        <f>(J463/N463)*N465</f>
        <v>1.9437751004016062</v>
      </c>
      <c r="K465" s="8723">
        <f>(K463/N463)*N465</f>
        <v>0</v>
      </c>
      <c r="L465" s="8723">
        <f>(L463/N463)*N465</f>
        <v>0.17670682730923692</v>
      </c>
      <c r="M465" s="8723">
        <f>(M463/N463)*N465</f>
        <v>8.8353413654618462E-2</v>
      </c>
      <c r="N465" s="10040">
        <v>22</v>
      </c>
      <c r="O465" s="15"/>
      <c r="P465" s="15"/>
      <c r="Q465" s="15"/>
    </row>
    <row r="466" spans="1:17">
      <c r="A466" s="32"/>
      <c r="B466" s="49" t="s">
        <v>198</v>
      </c>
      <c r="C466" s="50" t="s">
        <v>199</v>
      </c>
      <c r="D466" s="50" t="s">
        <v>200</v>
      </c>
      <c r="E466" s="51" t="s">
        <v>201</v>
      </c>
      <c r="F466" s="15"/>
      <c r="G466" s="15"/>
      <c r="H466" s="8722"/>
      <c r="I466" s="8723"/>
      <c r="J466" s="8723"/>
      <c r="K466" s="8723"/>
      <c r="L466" s="8723"/>
      <c r="M466" s="8723"/>
      <c r="N466" s="10040"/>
      <c r="O466" s="15"/>
      <c r="P466" s="15"/>
      <c r="Q466" s="15"/>
    </row>
    <row r="467" spans="1:17">
      <c r="A467" s="32"/>
      <c r="B467" s="8692">
        <v>920</v>
      </c>
      <c r="C467" s="8694">
        <v>1700</v>
      </c>
      <c r="D467" s="8694">
        <v>240</v>
      </c>
      <c r="E467" s="10029">
        <v>85</v>
      </c>
      <c r="F467" s="15"/>
      <c r="G467" s="15"/>
      <c r="H467" s="8698" t="s">
        <v>202</v>
      </c>
      <c r="I467" s="8699"/>
      <c r="J467" s="8699"/>
      <c r="K467" s="8699"/>
      <c r="L467" s="8699"/>
      <c r="M467" s="8699"/>
      <c r="N467" s="8700"/>
      <c r="O467" s="15"/>
      <c r="P467" s="15"/>
      <c r="Q467" s="15"/>
    </row>
    <row r="468" spans="1:17">
      <c r="A468" s="32"/>
      <c r="B468" s="8693"/>
      <c r="C468" s="8695"/>
      <c r="D468" s="8695"/>
      <c r="E468" s="8697"/>
      <c r="F468" s="15"/>
      <c r="G468" s="15"/>
      <c r="H468" s="10030">
        <f t="shared" ref="H468:M468" si="2">ROUNDUP(H465,2)</f>
        <v>2.13</v>
      </c>
      <c r="I468" s="10031">
        <f t="shared" si="2"/>
        <v>17.680000000000003</v>
      </c>
      <c r="J468" s="10031">
        <f t="shared" si="2"/>
        <v>1.95</v>
      </c>
      <c r="K468" s="10031">
        <f t="shared" si="2"/>
        <v>0</v>
      </c>
      <c r="L468" s="10031">
        <f t="shared" si="2"/>
        <v>0.18000000000000002</v>
      </c>
      <c r="M468" s="10031">
        <f t="shared" si="2"/>
        <v>0.09</v>
      </c>
      <c r="N468" s="10032">
        <f>SUM(H468:M468)</f>
        <v>22.03</v>
      </c>
      <c r="O468" s="15"/>
      <c r="P468" s="15"/>
      <c r="Q468" s="15"/>
    </row>
    <row r="469" spans="1:17">
      <c r="A469" s="32"/>
      <c r="B469" s="8704" t="s">
        <v>203</v>
      </c>
      <c r="C469" s="8706">
        <f>SUM(B467:E467)</f>
        <v>2945</v>
      </c>
      <c r="D469" s="8708" t="s">
        <v>204</v>
      </c>
      <c r="E469" s="8710">
        <f>IF(E462=0,0,E462/D464)</f>
        <v>1907.0833333333335</v>
      </c>
      <c r="F469" s="15"/>
      <c r="G469" s="15"/>
      <c r="H469" s="10030"/>
      <c r="I469" s="10031"/>
      <c r="J469" s="10031"/>
      <c r="K469" s="10031"/>
      <c r="L469" s="10031"/>
      <c r="M469" s="10031"/>
      <c r="N469" s="10032"/>
      <c r="O469" s="15"/>
      <c r="P469" s="15"/>
      <c r="Q469" s="15"/>
    </row>
    <row r="470" spans="1:17" ht="15.75" thickBot="1">
      <c r="A470" s="32"/>
      <c r="B470" s="10033"/>
      <c r="C470" s="10034"/>
      <c r="D470" s="10035"/>
      <c r="E470" s="10036"/>
      <c r="F470" s="15"/>
      <c r="G470" s="15"/>
      <c r="H470" s="10037" t="s">
        <v>205</v>
      </c>
      <c r="I470" s="8713"/>
      <c r="J470" s="8713"/>
      <c r="K470" s="8713"/>
      <c r="L470" s="8713"/>
      <c r="M470" s="8713"/>
      <c r="N470" s="8714"/>
      <c r="O470" s="15"/>
      <c r="P470" s="15"/>
      <c r="Q470" s="15"/>
    </row>
    <row r="471" spans="1:17" ht="15.75" thickBot="1">
      <c r="A471" s="32"/>
      <c r="B471" s="8677" t="s">
        <v>205</v>
      </c>
      <c r="C471" s="10024"/>
      <c r="D471" s="10024"/>
      <c r="E471" s="8679"/>
      <c r="F471" s="15"/>
      <c r="G471" s="15"/>
      <c r="H471" s="15"/>
      <c r="I471" s="14"/>
      <c r="J471" s="14"/>
      <c r="K471" s="14"/>
      <c r="L471" s="14"/>
      <c r="M471" s="15"/>
      <c r="N471" s="15"/>
      <c r="O471" s="15"/>
      <c r="P471" s="15"/>
      <c r="Q471" s="15"/>
    </row>
    <row r="472" spans="1:17" ht="15.75" thickBot="1">
      <c r="A472" s="15"/>
      <c r="B472" s="723"/>
      <c r="C472" s="723"/>
      <c r="D472" s="723"/>
      <c r="E472" s="723"/>
      <c r="F472" s="723"/>
      <c r="G472" s="723"/>
      <c r="H472" s="14"/>
      <c r="I472" s="721"/>
      <c r="J472" s="721"/>
      <c r="K472" s="38"/>
      <c r="L472" s="14"/>
      <c r="M472" s="14"/>
      <c r="N472" s="14"/>
      <c r="O472" s="14"/>
      <c r="P472" s="14"/>
      <c r="Q472" s="14"/>
    </row>
    <row r="473" spans="1:17" ht="15" customHeight="1">
      <c r="B473" s="8680" t="s">
        <v>1523</v>
      </c>
      <c r="C473" s="8681"/>
      <c r="D473" s="8681"/>
      <c r="E473" s="8681"/>
      <c r="F473" s="8681"/>
      <c r="G473" s="8681"/>
      <c r="H473" s="8681"/>
      <c r="I473" s="8681"/>
      <c r="J473" s="8681"/>
      <c r="K473" s="8681"/>
      <c r="L473" s="8681"/>
      <c r="M473" s="8681"/>
      <c r="N473" s="8681"/>
      <c r="O473" s="8681"/>
      <c r="P473" s="8681"/>
      <c r="Q473" s="8682"/>
    </row>
    <row r="474" spans="1:17" ht="15.75" customHeight="1" thickBot="1">
      <c r="B474" s="8683"/>
      <c r="C474" s="8684"/>
      <c r="D474" s="8684"/>
      <c r="E474" s="8684"/>
      <c r="F474" s="8684"/>
      <c r="G474" s="8684"/>
      <c r="H474" s="8684"/>
      <c r="I474" s="8684"/>
      <c r="J474" s="8684"/>
      <c r="K474" s="8684"/>
      <c r="L474" s="8684"/>
      <c r="M474" s="8684"/>
      <c r="N474" s="8684"/>
      <c r="O474" s="8684"/>
      <c r="P474" s="8684"/>
      <c r="Q474" s="8685"/>
    </row>
    <row r="475" spans="1:17">
      <c r="A475" s="1"/>
      <c r="B475" s="1"/>
      <c r="C475" s="1"/>
      <c r="D475" s="1"/>
      <c r="E475" s="1"/>
      <c r="F475" s="1"/>
      <c r="G475" s="1"/>
      <c r="H475" s="1"/>
      <c r="I475" s="1"/>
      <c r="J475" s="1"/>
      <c r="K475" s="1"/>
      <c r="L475" s="1"/>
      <c r="M475" s="1"/>
      <c r="N475" s="1"/>
      <c r="O475" s="1"/>
      <c r="P475" s="1"/>
      <c r="Q475" s="1"/>
    </row>
    <row r="476" spans="1:17" ht="15.75" thickBot="1">
      <c r="A476" s="655" t="s">
        <v>67</v>
      </c>
      <c r="B476" s="8650" t="str">
        <f>B477</f>
        <v>Gélatine alimentaire</v>
      </c>
      <c r="C476" s="8650"/>
      <c r="D476" s="8650"/>
      <c r="E476" s="8650"/>
      <c r="F476" s="8650"/>
      <c r="G476" s="8650"/>
      <c r="H476" s="8650"/>
      <c r="I476" s="8650"/>
      <c r="J476" s="8650"/>
      <c r="K476" s="8650"/>
      <c r="L476" s="8650"/>
      <c r="M476" s="8650"/>
      <c r="N476" s="8650"/>
      <c r="O476" s="1"/>
      <c r="P476" s="1"/>
      <c r="Q476" s="1"/>
    </row>
    <row r="477" spans="1:17" ht="15" customHeight="1">
      <c r="A477" s="10007" t="str">
        <f>B477</f>
        <v>Gélatine alimentaire</v>
      </c>
      <c r="B477" s="8652" t="s">
        <v>1524</v>
      </c>
      <c r="C477" s="8653"/>
      <c r="D477" s="8653"/>
      <c r="E477" s="8653"/>
      <c r="F477" s="8653"/>
      <c r="G477" s="8653"/>
      <c r="H477" s="8653"/>
      <c r="I477" s="8653"/>
      <c r="J477" s="8653"/>
      <c r="K477" s="8653"/>
      <c r="L477" s="8653"/>
      <c r="M477" s="8653"/>
      <c r="N477" s="8654"/>
      <c r="O477" s="1"/>
      <c r="P477" s="1"/>
      <c r="Q477" s="1"/>
    </row>
    <row r="478" spans="1:17" ht="15" customHeight="1">
      <c r="A478" s="10007"/>
      <c r="B478" s="8655"/>
      <c r="C478" s="8656"/>
      <c r="D478" s="8656"/>
      <c r="E478" s="8656"/>
      <c r="F478" s="8656"/>
      <c r="G478" s="8656"/>
      <c r="H478" s="8656"/>
      <c r="I478" s="8656"/>
      <c r="J478" s="8656"/>
      <c r="K478" s="8656"/>
      <c r="L478" s="8656"/>
      <c r="M478" s="8656"/>
      <c r="N478" s="10008"/>
      <c r="O478" s="1"/>
      <c r="P478" s="1"/>
      <c r="Q478" s="1"/>
    </row>
    <row r="479" spans="1:17" ht="15" customHeight="1">
      <c r="A479" s="10007"/>
      <c r="B479" s="10009" t="s">
        <v>1525</v>
      </c>
      <c r="C479" s="10010"/>
      <c r="D479" s="10010"/>
      <c r="E479" s="10010"/>
      <c r="F479" s="10010"/>
      <c r="G479" s="10010"/>
      <c r="H479" s="10010"/>
      <c r="I479" s="10010"/>
      <c r="J479" s="10010"/>
      <c r="K479" s="10010"/>
      <c r="L479" s="10010"/>
      <c r="M479" s="10010"/>
      <c r="N479" s="10011"/>
      <c r="O479" s="1"/>
      <c r="P479" s="1"/>
      <c r="Q479" s="1"/>
    </row>
    <row r="480" spans="1:17" ht="15.75" customHeight="1">
      <c r="A480" s="10007"/>
      <c r="B480" s="10012"/>
      <c r="C480" s="10013"/>
      <c r="D480" s="10013"/>
      <c r="E480" s="10013"/>
      <c r="F480" s="10013"/>
      <c r="G480" s="10013"/>
      <c r="H480" s="10013"/>
      <c r="I480" s="10013"/>
      <c r="J480" s="10013"/>
      <c r="K480" s="10013"/>
      <c r="L480" s="10013"/>
      <c r="M480" s="10013"/>
      <c r="N480" s="10014"/>
      <c r="O480" s="1"/>
      <c r="P480" s="1"/>
      <c r="Q480" s="1"/>
    </row>
    <row r="481" spans="1:17" ht="15.75" customHeight="1">
      <c r="A481" s="10007"/>
      <c r="B481" s="656"/>
      <c r="C481" s="657"/>
      <c r="D481" s="657"/>
      <c r="E481" s="657"/>
      <c r="F481" s="657"/>
      <c r="G481" s="657"/>
      <c r="H481" s="657"/>
      <c r="I481" s="657"/>
      <c r="J481" s="657"/>
      <c r="K481" s="657"/>
      <c r="L481" s="657"/>
      <c r="M481" s="657"/>
      <c r="N481" s="658" t="s">
        <v>1526</v>
      </c>
      <c r="O481" s="1"/>
      <c r="P481" s="1"/>
      <c r="Q481" s="1"/>
    </row>
    <row r="482" spans="1:17" ht="16.5" customHeight="1">
      <c r="A482" s="10007"/>
      <c r="B482" s="656"/>
      <c r="C482" s="659" t="s">
        <v>1527</v>
      </c>
      <c r="D482" s="657"/>
      <c r="E482" s="657"/>
      <c r="F482" s="657"/>
      <c r="G482" s="657"/>
      <c r="H482" s="657"/>
      <c r="I482" s="657"/>
      <c r="J482" s="657"/>
      <c r="K482" s="657"/>
      <c r="L482" s="657"/>
      <c r="M482" s="657"/>
      <c r="N482" s="660"/>
      <c r="O482" s="1"/>
      <c r="P482" s="1"/>
      <c r="Q482" s="1"/>
    </row>
    <row r="483" spans="1:17" ht="15.75" customHeight="1">
      <c r="A483" s="10007"/>
      <c r="B483" s="656"/>
      <c r="C483" s="659" t="s">
        <v>1528</v>
      </c>
      <c r="D483" s="657"/>
      <c r="E483" s="657"/>
      <c r="F483" s="657"/>
      <c r="G483" s="657"/>
      <c r="H483" s="657"/>
      <c r="I483" s="657"/>
      <c r="J483" s="657"/>
      <c r="K483" s="657"/>
      <c r="L483" s="657"/>
      <c r="M483" s="657"/>
      <c r="N483" s="660"/>
      <c r="O483" s="1"/>
      <c r="P483" s="1"/>
      <c r="Q483" s="1"/>
    </row>
    <row r="484" spans="1:17" ht="15.75">
      <c r="A484" s="10007"/>
      <c r="B484" s="656"/>
      <c r="C484" s="659" t="s">
        <v>1529</v>
      </c>
      <c r="D484" s="657"/>
      <c r="E484" s="657"/>
      <c r="F484" s="657"/>
      <c r="G484" s="657"/>
      <c r="H484" s="657"/>
      <c r="I484" s="657"/>
      <c r="J484" s="657"/>
      <c r="K484" s="657"/>
      <c r="L484" s="657"/>
      <c r="M484" s="657"/>
      <c r="N484" s="660"/>
      <c r="O484" s="1"/>
      <c r="P484" s="1"/>
      <c r="Q484" s="1"/>
    </row>
    <row r="485" spans="1:17" ht="15.75" customHeight="1">
      <c r="A485" s="10007"/>
      <c r="B485" s="656"/>
      <c r="C485" s="659" t="s">
        <v>1530</v>
      </c>
      <c r="D485" s="657"/>
      <c r="E485" s="657"/>
      <c r="F485" s="657"/>
      <c r="G485" s="657"/>
      <c r="H485" s="657"/>
      <c r="I485" s="657"/>
      <c r="J485" s="657"/>
      <c r="K485" s="657"/>
      <c r="L485" s="657"/>
      <c r="M485" s="657"/>
      <c r="N485" s="660"/>
      <c r="O485" s="1"/>
      <c r="P485" s="1"/>
      <c r="Q485" s="1"/>
    </row>
    <row r="486" spans="1:17" ht="15.75">
      <c r="A486" s="10007"/>
      <c r="B486" s="656"/>
      <c r="C486" s="659" t="s">
        <v>1531</v>
      </c>
      <c r="D486" s="657"/>
      <c r="E486" s="657"/>
      <c r="F486" s="657"/>
      <c r="G486" s="657"/>
      <c r="H486" s="657"/>
      <c r="I486" s="657"/>
      <c r="J486" s="657"/>
      <c r="K486" s="657"/>
      <c r="L486" s="657"/>
      <c r="M486" s="657"/>
      <c r="N486" s="660"/>
      <c r="O486" s="1"/>
      <c r="P486" s="1"/>
      <c r="Q486" s="1"/>
    </row>
    <row r="487" spans="1:17" ht="15.75">
      <c r="A487" s="10007"/>
      <c r="B487" s="656"/>
      <c r="C487" s="659" t="s">
        <v>1532</v>
      </c>
      <c r="D487" s="657"/>
      <c r="E487" s="657"/>
      <c r="F487" s="657"/>
      <c r="G487" s="657"/>
      <c r="H487" s="657"/>
      <c r="I487" s="657"/>
      <c r="J487" s="657"/>
      <c r="K487" s="657"/>
      <c r="L487" s="657"/>
      <c r="M487" s="657"/>
      <c r="N487" s="660"/>
      <c r="O487" s="1"/>
      <c r="P487" s="1"/>
      <c r="Q487" s="1"/>
    </row>
    <row r="488" spans="1:17" ht="15.75">
      <c r="A488" s="10007"/>
      <c r="B488" s="656"/>
      <c r="C488" s="659" t="s">
        <v>1533</v>
      </c>
      <c r="D488" s="657"/>
      <c r="E488" s="657"/>
      <c r="F488" s="657"/>
      <c r="G488" s="657"/>
      <c r="H488" s="657"/>
      <c r="I488" s="657"/>
      <c r="J488" s="657"/>
      <c r="K488" s="657"/>
      <c r="L488" s="657"/>
      <c r="M488" s="657"/>
      <c r="N488" s="660"/>
      <c r="O488" s="1"/>
      <c r="P488" s="1"/>
      <c r="Q488" s="1"/>
    </row>
    <row r="489" spans="1:17">
      <c r="A489" s="10007"/>
      <c r="B489" s="656"/>
      <c r="C489" s="657"/>
      <c r="D489" s="657"/>
      <c r="E489" s="657"/>
      <c r="F489" s="657"/>
      <c r="G489" s="657"/>
      <c r="H489" s="657"/>
      <c r="I489" s="657"/>
      <c r="J489" s="657"/>
      <c r="K489" s="657"/>
      <c r="L489" s="657"/>
      <c r="M489" s="657"/>
      <c r="N489" s="660"/>
      <c r="O489" s="1"/>
      <c r="P489" s="1"/>
      <c r="Q489" s="1"/>
    </row>
    <row r="490" spans="1:17">
      <c r="A490" s="10007"/>
      <c r="B490" s="656"/>
      <c r="C490" s="10025" t="s">
        <v>1534</v>
      </c>
      <c r="D490" s="10026"/>
      <c r="E490" s="10026"/>
      <c r="F490" s="10026"/>
      <c r="G490" s="10026"/>
      <c r="H490" s="10026"/>
      <c r="I490" s="10026"/>
      <c r="J490" s="10026"/>
      <c r="K490" s="10026"/>
      <c r="L490" s="10026"/>
      <c r="M490" s="10027"/>
      <c r="N490" s="660"/>
      <c r="O490" s="1"/>
      <c r="P490" s="1"/>
      <c r="Q490" s="1"/>
    </row>
    <row r="491" spans="1:17">
      <c r="A491" s="10007"/>
      <c r="B491" s="656"/>
      <c r="C491" s="664"/>
      <c r="D491" s="665"/>
      <c r="E491" s="1"/>
      <c r="F491" s="661" t="s">
        <v>66</v>
      </c>
      <c r="G491" s="665"/>
      <c r="H491" s="8689" t="s">
        <v>1535</v>
      </c>
      <c r="I491" s="8689"/>
      <c r="J491" s="8689"/>
      <c r="K491" s="8689"/>
      <c r="L491" s="8689"/>
      <c r="M491" s="10028"/>
      <c r="N491" s="660"/>
      <c r="O491" s="1"/>
      <c r="P491" s="1"/>
      <c r="Q491" s="1"/>
    </row>
    <row r="492" spans="1:17" ht="15.75">
      <c r="A492" s="10007"/>
      <c r="B492" s="656"/>
      <c r="C492" s="666" t="s">
        <v>81</v>
      </c>
      <c r="D492" s="8691" t="s">
        <v>1536</v>
      </c>
      <c r="E492" s="8691"/>
      <c r="F492" s="667">
        <v>2</v>
      </c>
      <c r="G492" s="12"/>
      <c r="H492" s="668" t="s">
        <v>1537</v>
      </c>
      <c r="I492" s="12"/>
      <c r="J492" s="12"/>
      <c r="K492" s="669"/>
      <c r="L492" s="669"/>
      <c r="M492" s="670"/>
      <c r="N492" s="660"/>
      <c r="O492" s="1"/>
      <c r="P492" s="1"/>
      <c r="Q492" s="1"/>
    </row>
    <row r="493" spans="1:17" ht="15.75">
      <c r="A493" s="10007"/>
      <c r="B493" s="656"/>
      <c r="C493" s="671">
        <v>10</v>
      </c>
      <c r="D493" s="672" t="s">
        <v>126</v>
      </c>
      <c r="E493" s="1"/>
      <c r="F493" s="673">
        <f>C493*F492</f>
        <v>20</v>
      </c>
      <c r="G493" s="674"/>
      <c r="H493" s="675" t="s">
        <v>1538</v>
      </c>
      <c r="I493" s="12"/>
      <c r="J493" s="12"/>
      <c r="K493" s="669"/>
      <c r="L493" s="669"/>
      <c r="M493" s="670"/>
      <c r="N493" s="660"/>
      <c r="O493" s="1"/>
      <c r="P493" s="1"/>
      <c r="Q493" s="1"/>
    </row>
    <row r="494" spans="1:17" ht="15.75">
      <c r="A494" s="10007"/>
      <c r="B494" s="656"/>
      <c r="C494" s="676"/>
      <c r="D494" s="677"/>
      <c r="E494" s="669"/>
      <c r="F494" s="669"/>
      <c r="G494" s="669"/>
      <c r="H494" s="675" t="s">
        <v>1539</v>
      </c>
      <c r="I494" s="716"/>
      <c r="J494" s="12"/>
      <c r="K494" s="669"/>
      <c r="L494" s="669"/>
      <c r="M494" s="670"/>
      <c r="N494" s="660"/>
      <c r="O494" s="1"/>
      <c r="P494" s="1"/>
      <c r="Q494" s="1"/>
    </row>
    <row r="495" spans="1:17" ht="15.75">
      <c r="A495" s="10007"/>
      <c r="B495" s="656"/>
      <c r="C495" s="666"/>
      <c r="D495" s="678"/>
      <c r="E495" s="669"/>
      <c r="F495" s="669"/>
      <c r="G495" s="669"/>
      <c r="H495" s="668" t="s">
        <v>1540</v>
      </c>
      <c r="I495" s="12"/>
      <c r="J495" s="12"/>
      <c r="K495" s="669"/>
      <c r="L495" s="669"/>
      <c r="M495" s="670"/>
      <c r="N495" s="660"/>
      <c r="O495" s="1"/>
      <c r="P495" s="1"/>
      <c r="Q495" s="1"/>
    </row>
    <row r="496" spans="1:17" ht="15.75">
      <c r="A496" s="10007"/>
      <c r="B496" s="656"/>
      <c r="C496" s="680" t="s">
        <v>66</v>
      </c>
      <c r="D496" s="681" t="s">
        <v>1541</v>
      </c>
      <c r="E496" s="682"/>
      <c r="F496" s="682"/>
      <c r="G496" s="682"/>
      <c r="H496" s="682"/>
      <c r="I496" s="682"/>
      <c r="J496" s="682"/>
      <c r="K496" s="682"/>
      <c r="L496" s="682"/>
      <c r="M496" s="683"/>
      <c r="N496" s="660"/>
      <c r="O496" s="1"/>
      <c r="P496" s="1"/>
      <c r="Q496" s="1"/>
    </row>
    <row r="497" spans="1:17" ht="15.75">
      <c r="A497" s="10007"/>
      <c r="B497" s="656"/>
      <c r="C497" s="684" t="s">
        <v>81</v>
      </c>
      <c r="D497" s="898" t="s">
        <v>1542</v>
      </c>
      <c r="E497" s="899"/>
      <c r="F497" s="899"/>
      <c r="G497" s="899"/>
      <c r="H497" s="899"/>
      <c r="I497" s="899"/>
      <c r="J497" s="899"/>
      <c r="K497" s="899"/>
      <c r="L497" s="899"/>
      <c r="M497" s="685"/>
      <c r="N497" s="660"/>
      <c r="O497" s="1"/>
      <c r="P497" s="1"/>
      <c r="Q497" s="1"/>
    </row>
    <row r="498" spans="1:17">
      <c r="A498" s="10007"/>
      <c r="B498" s="679" t="str">
        <f ca="1">CELL("nomfichier",A494)</f>
        <v>D:\Données\1.UPRT\0-UPRT.fait\1-UPRT.FR-SITE-WEB\ff-fiches-fabrications\ff.fiches.fabrication.2023\UPRT.23.aout\[ff-20-CHARCUTERIE-michel-Mariette.BOUDIN.BLANC_-1.xlsx]Formats-formules-pourcentages</v>
      </c>
      <c r="C498" s="657"/>
      <c r="D498" s="657"/>
      <c r="E498" s="657"/>
      <c r="F498" s="657"/>
      <c r="G498" s="657"/>
      <c r="H498" s="657"/>
      <c r="I498" s="657"/>
      <c r="J498" s="657"/>
      <c r="K498" s="657"/>
      <c r="L498" s="657"/>
      <c r="M498" s="657"/>
      <c r="N498" s="660"/>
      <c r="O498" s="1"/>
      <c r="P498" s="1"/>
      <c r="Q498" s="1"/>
    </row>
    <row r="499" spans="1:17" ht="15" customHeight="1">
      <c r="A499" s="10007"/>
      <c r="B499" s="10020" t="s">
        <v>1543</v>
      </c>
      <c r="C499" s="10021"/>
      <c r="D499" s="10021"/>
      <c r="E499" s="10021"/>
      <c r="F499" s="10021"/>
      <c r="G499" s="10021"/>
      <c r="H499" s="10021"/>
      <c r="I499" s="10021"/>
      <c r="J499" s="10021"/>
      <c r="K499" s="10021"/>
      <c r="L499" s="10021"/>
      <c r="M499" s="10021"/>
      <c r="N499" s="10022"/>
      <c r="O499" s="1"/>
      <c r="P499" s="1"/>
      <c r="Q499" s="1"/>
    </row>
    <row r="500" spans="1:17" ht="15.75" thickBot="1">
      <c r="A500" s="10007"/>
      <c r="B500" s="10023"/>
      <c r="C500" s="8675"/>
      <c r="D500" s="8675"/>
      <c r="E500" s="8675"/>
      <c r="F500" s="8675"/>
      <c r="G500" s="8675"/>
      <c r="H500" s="8675"/>
      <c r="I500" s="8675"/>
      <c r="J500" s="8675"/>
      <c r="K500" s="8675"/>
      <c r="L500" s="8675"/>
      <c r="M500" s="8675"/>
      <c r="N500" s="8676"/>
      <c r="O500" s="1"/>
      <c r="P500" s="1"/>
      <c r="Q500" s="1"/>
    </row>
    <row r="501" spans="1:17">
      <c r="B501" s="1"/>
      <c r="C501" s="1"/>
      <c r="D501" s="1"/>
      <c r="E501" s="1"/>
      <c r="F501" s="1"/>
      <c r="G501" s="1"/>
      <c r="H501" s="1"/>
      <c r="I501" s="1"/>
      <c r="J501" s="1"/>
      <c r="K501" s="1"/>
      <c r="L501" s="1"/>
      <c r="M501" s="1"/>
      <c r="N501" s="1"/>
      <c r="O501" s="1"/>
      <c r="P501" s="1"/>
      <c r="Q501" s="1"/>
    </row>
    <row r="502" spans="1:17" ht="15.75" thickBot="1">
      <c r="A502" s="655" t="s">
        <v>67</v>
      </c>
      <c r="B502" s="8650" t="str">
        <f>B503</f>
        <v>ŒUFS poids et %</v>
      </c>
      <c r="C502" s="8650"/>
      <c r="D502" s="8650"/>
      <c r="E502" s="8650"/>
      <c r="F502" s="8650"/>
      <c r="G502" s="8650"/>
      <c r="H502" s="8650"/>
      <c r="I502" s="8650"/>
      <c r="J502" s="8650"/>
      <c r="K502" s="8650"/>
      <c r="L502" s="8650"/>
      <c r="M502" s="8650"/>
      <c r="N502" s="8650"/>
      <c r="O502" s="1"/>
      <c r="P502" s="1"/>
      <c r="Q502" s="1"/>
    </row>
    <row r="503" spans="1:17" ht="15" customHeight="1">
      <c r="A503" s="10007" t="str">
        <f>B503</f>
        <v>ŒUFS poids et %</v>
      </c>
      <c r="B503" s="8652" t="s">
        <v>1544</v>
      </c>
      <c r="C503" s="8653"/>
      <c r="D503" s="8653"/>
      <c r="E503" s="8653"/>
      <c r="F503" s="8653"/>
      <c r="G503" s="8653"/>
      <c r="H503" s="8653"/>
      <c r="I503" s="8653"/>
      <c r="J503" s="8653"/>
      <c r="K503" s="8653"/>
      <c r="L503" s="8653"/>
      <c r="M503" s="8653"/>
      <c r="N503" s="8654"/>
      <c r="O503" s="1"/>
      <c r="P503" s="1"/>
      <c r="Q503" s="1"/>
    </row>
    <row r="504" spans="1:17" ht="15" customHeight="1">
      <c r="A504" s="10007"/>
      <c r="B504" s="8655"/>
      <c r="C504" s="8656"/>
      <c r="D504" s="8656"/>
      <c r="E504" s="8656"/>
      <c r="F504" s="8656"/>
      <c r="G504" s="8656"/>
      <c r="H504" s="8656"/>
      <c r="I504" s="8656"/>
      <c r="J504" s="8656"/>
      <c r="K504" s="8656"/>
      <c r="L504" s="8656"/>
      <c r="M504" s="8656"/>
      <c r="N504" s="10008"/>
      <c r="O504" s="1"/>
      <c r="P504" s="1"/>
      <c r="Q504" s="1"/>
    </row>
    <row r="505" spans="1:17" ht="15" customHeight="1">
      <c r="A505" s="10007"/>
      <c r="B505" s="10009" t="s">
        <v>271</v>
      </c>
      <c r="C505" s="10010"/>
      <c r="D505" s="10010"/>
      <c r="E505" s="10010"/>
      <c r="F505" s="10010"/>
      <c r="G505" s="10010"/>
      <c r="H505" s="10010"/>
      <c r="I505" s="10010"/>
      <c r="J505" s="10010"/>
      <c r="K505" s="10010"/>
      <c r="L505" s="10010"/>
      <c r="M505" s="10010"/>
      <c r="N505" s="10011"/>
      <c r="O505" s="1"/>
      <c r="P505" s="1"/>
      <c r="Q505" s="1"/>
    </row>
    <row r="506" spans="1:17" ht="15.75" customHeight="1">
      <c r="A506" s="10007"/>
      <c r="B506" s="10012"/>
      <c r="C506" s="10013"/>
      <c r="D506" s="10013"/>
      <c r="E506" s="10013"/>
      <c r="F506" s="10013"/>
      <c r="G506" s="10013"/>
      <c r="H506" s="10013"/>
      <c r="I506" s="10013"/>
      <c r="J506" s="10013"/>
      <c r="K506" s="10013"/>
      <c r="L506" s="10013"/>
      <c r="M506" s="10013"/>
      <c r="N506" s="10014"/>
      <c r="O506" s="1"/>
      <c r="P506" s="1"/>
      <c r="Q506" s="1"/>
    </row>
    <row r="507" spans="1:17" ht="15" customHeight="1">
      <c r="A507" s="10007"/>
      <c r="B507" s="8664" t="s">
        <v>1544</v>
      </c>
      <c r="C507" s="8665"/>
      <c r="D507" s="8665"/>
      <c r="E507" s="8665"/>
      <c r="F507" s="8665"/>
      <c r="G507" s="8665"/>
      <c r="H507" s="8665"/>
      <c r="I507" s="8665"/>
      <c r="J507" s="8665"/>
      <c r="K507" s="8665"/>
      <c r="L507" s="8665"/>
      <c r="M507" s="8665"/>
      <c r="N507" s="10015"/>
      <c r="O507" s="1"/>
      <c r="P507" s="1"/>
      <c r="Q507" s="1"/>
    </row>
    <row r="508" spans="1:17" ht="15.75" customHeight="1">
      <c r="A508" s="10007"/>
      <c r="B508" s="686" t="s">
        <v>81</v>
      </c>
      <c r="C508" s="900"/>
      <c r="D508" s="901" t="s">
        <v>66</v>
      </c>
      <c r="E508" s="900"/>
      <c r="F508" s="900"/>
      <c r="G508" s="902" t="s">
        <v>81</v>
      </c>
      <c r="H508" s="900"/>
      <c r="I508" s="901" t="s">
        <v>66</v>
      </c>
      <c r="J508" s="900"/>
      <c r="K508" s="902" t="s">
        <v>81</v>
      </c>
      <c r="L508" s="900"/>
      <c r="M508" s="901" t="s">
        <v>66</v>
      </c>
      <c r="N508" s="687"/>
      <c r="O508" s="1"/>
      <c r="P508" s="1"/>
      <c r="Q508" s="1"/>
    </row>
    <row r="509" spans="1:17" ht="18.75" customHeight="1">
      <c r="A509" s="10007"/>
      <c r="B509" s="10016" t="s">
        <v>1545</v>
      </c>
      <c r="C509" s="10017"/>
      <c r="D509" s="903">
        <v>50</v>
      </c>
      <c r="E509" s="904">
        <v>1</v>
      </c>
      <c r="F509" s="905"/>
      <c r="G509" s="10018" t="s">
        <v>1546</v>
      </c>
      <c r="H509" s="10019"/>
      <c r="I509" s="903">
        <v>20</v>
      </c>
      <c r="J509" s="906">
        <f>I509/D509</f>
        <v>0.4</v>
      </c>
      <c r="K509" s="10018" t="s">
        <v>1547</v>
      </c>
      <c r="L509" s="10019"/>
      <c r="M509" s="903">
        <v>30</v>
      </c>
      <c r="N509" s="662">
        <f>M509/D509</f>
        <v>0.6</v>
      </c>
      <c r="O509" s="1"/>
      <c r="P509" s="1"/>
      <c r="Q509" s="1"/>
    </row>
    <row r="510" spans="1:17" ht="15.75">
      <c r="A510" s="10007"/>
      <c r="B510" s="688">
        <v>4</v>
      </c>
      <c r="C510" s="714" t="s">
        <v>1548</v>
      </c>
      <c r="D510" s="714">
        <f>B510*D509</f>
        <v>200</v>
      </c>
      <c r="E510" s="672" t="s">
        <v>39</v>
      </c>
      <c r="F510" s="1"/>
      <c r="G510" s="688">
        <v>10</v>
      </c>
      <c r="H510" s="714" t="s">
        <v>1549</v>
      </c>
      <c r="I510" s="714">
        <f>G510*I509</f>
        <v>200</v>
      </c>
      <c r="J510" s="672" t="s">
        <v>39</v>
      </c>
      <c r="K510" s="688">
        <v>12</v>
      </c>
      <c r="L510" s="714" t="s">
        <v>1550</v>
      </c>
      <c r="M510" s="714">
        <f>K510*M509</f>
        <v>360</v>
      </c>
      <c r="N510" s="663" t="s">
        <v>39</v>
      </c>
      <c r="O510" s="1"/>
      <c r="P510" s="1"/>
      <c r="Q510" s="1"/>
    </row>
    <row r="511" spans="1:17" ht="15.75" customHeight="1">
      <c r="A511" s="10007"/>
      <c r="B511" s="689" t="s">
        <v>61</v>
      </c>
      <c r="C511" s="690" t="s">
        <v>1551</v>
      </c>
      <c r="D511" s="690" t="s">
        <v>1552</v>
      </c>
      <c r="E511" s="690" t="s">
        <v>1553</v>
      </c>
      <c r="F511" s="1"/>
      <c r="G511" s="689" t="s">
        <v>61</v>
      </c>
      <c r="H511" s="690" t="s">
        <v>1551</v>
      </c>
      <c r="I511" s="690" t="s">
        <v>1552</v>
      </c>
      <c r="J511" s="690" t="s">
        <v>1553</v>
      </c>
      <c r="K511" s="689" t="s">
        <v>61</v>
      </c>
      <c r="L511" s="690" t="s">
        <v>1551</v>
      </c>
      <c r="M511" s="690" t="s">
        <v>1552</v>
      </c>
      <c r="N511" s="691" t="s">
        <v>1553</v>
      </c>
      <c r="O511" s="1"/>
      <c r="P511" s="1"/>
      <c r="Q511" s="1"/>
    </row>
    <row r="512" spans="1:17">
      <c r="A512" s="10007"/>
      <c r="B512" s="692">
        <f>D510</f>
        <v>200</v>
      </c>
      <c r="C512" s="693">
        <f>B512*C513</f>
        <v>24.489795918367346</v>
      </c>
      <c r="D512" s="693">
        <f>B512*D513</f>
        <v>22.448979591836736</v>
      </c>
      <c r="E512" s="693">
        <f>B512*E513</f>
        <v>153.0612244897959</v>
      </c>
      <c r="F512" s="1"/>
      <c r="G512" s="692">
        <f>I510</f>
        <v>200</v>
      </c>
      <c r="H512" s="694">
        <f>G512*H513</f>
        <v>34.4</v>
      </c>
      <c r="I512" s="694">
        <f>G512*I513</f>
        <v>64.600000000000009</v>
      </c>
      <c r="J512" s="694">
        <f>G512*J513</f>
        <v>101</v>
      </c>
      <c r="K512" s="692">
        <f>M510</f>
        <v>360</v>
      </c>
      <c r="L512" s="693">
        <f>K512*L513</f>
        <v>39.96</v>
      </c>
      <c r="M512" s="693">
        <f>K512*M513</f>
        <v>0</v>
      </c>
      <c r="N512" s="695">
        <f>K512*N513</f>
        <v>320</v>
      </c>
      <c r="O512" s="1"/>
      <c r="P512" s="1"/>
      <c r="Q512" s="1"/>
    </row>
    <row r="513" spans="1:17">
      <c r="A513" s="10007"/>
      <c r="B513" s="696">
        <f>C513+D513+E513</f>
        <v>1</v>
      </c>
      <c r="C513" s="697">
        <v>0.12244897959183673</v>
      </c>
      <c r="D513" s="697">
        <v>0.11224489795918367</v>
      </c>
      <c r="E513" s="697">
        <v>0.76530612244897955</v>
      </c>
      <c r="F513" s="1"/>
      <c r="G513" s="696">
        <f>H513+I513+J513</f>
        <v>1</v>
      </c>
      <c r="H513" s="697">
        <v>0.17199999999999999</v>
      </c>
      <c r="I513" s="697">
        <v>0.32300000000000001</v>
      </c>
      <c r="J513" s="697">
        <v>0.505</v>
      </c>
      <c r="K513" s="696">
        <f>L513+M513+N513</f>
        <v>0.99988888888888894</v>
      </c>
      <c r="L513" s="697">
        <v>0.111</v>
      </c>
      <c r="M513" s="698">
        <v>0</v>
      </c>
      <c r="N513" s="699">
        <v>0.88888888888888895</v>
      </c>
      <c r="O513" s="1"/>
      <c r="P513" s="1"/>
      <c r="Q513" s="1"/>
    </row>
    <row r="514" spans="1:17">
      <c r="A514" s="10007"/>
      <c r="B514" s="700"/>
      <c r="C514" s="901" t="s">
        <v>66</v>
      </c>
      <c r="D514" s="901" t="s">
        <v>66</v>
      </c>
      <c r="E514" s="901" t="s">
        <v>66</v>
      </c>
      <c r="F514" s="475"/>
      <c r="G514" s="700"/>
      <c r="H514" s="901" t="s">
        <v>66</v>
      </c>
      <c r="I514" s="901" t="s">
        <v>66</v>
      </c>
      <c r="J514" s="901" t="s">
        <v>66</v>
      </c>
      <c r="K514" s="700"/>
      <c r="L514" s="901" t="s">
        <v>66</v>
      </c>
      <c r="M514" s="907"/>
      <c r="N514" s="701" t="s">
        <v>66</v>
      </c>
      <c r="O514" s="1"/>
      <c r="P514" s="1"/>
      <c r="Q514" s="1"/>
    </row>
    <row r="515" spans="1:17">
      <c r="A515" s="10007"/>
      <c r="B515" s="702" t="s">
        <v>66</v>
      </c>
      <c r="C515" s="703" t="s">
        <v>1554</v>
      </c>
      <c r="D515" s="704"/>
      <c r="E515" s="704"/>
      <c r="F515" s="704"/>
      <c r="G515" s="704"/>
      <c r="H515" s="704"/>
      <c r="I515" s="704"/>
      <c r="J515" s="704"/>
      <c r="K515" s="704"/>
      <c r="L515" s="704"/>
      <c r="M515" s="704"/>
      <c r="N515" s="705"/>
      <c r="O515" s="1"/>
      <c r="P515" s="1"/>
      <c r="Q515" s="1"/>
    </row>
    <row r="516" spans="1:17">
      <c r="A516" s="10007"/>
      <c r="B516" s="706" t="s">
        <v>81</v>
      </c>
      <c r="C516" s="707" t="s">
        <v>1555</v>
      </c>
      <c r="D516" s="704"/>
      <c r="E516" s="704"/>
      <c r="F516" s="704"/>
      <c r="G516" s="704"/>
      <c r="H516" s="704"/>
      <c r="I516" s="704"/>
      <c r="J516" s="704"/>
      <c r="K516" s="704"/>
      <c r="L516" s="704"/>
      <c r="M516" s="657"/>
      <c r="N516" s="708" t="s">
        <v>1526</v>
      </c>
      <c r="O516" s="1"/>
      <c r="P516" s="1"/>
      <c r="Q516" s="1"/>
    </row>
    <row r="517" spans="1:17">
      <c r="A517" s="10007"/>
      <c r="B517" s="709"/>
      <c r="C517" s="661"/>
      <c r="D517" s="710" t="s">
        <v>1556</v>
      </c>
      <c r="E517" s="711" t="s">
        <v>1557</v>
      </c>
      <c r="F517" s="1"/>
      <c r="G517" s="698"/>
      <c r="H517" s="661"/>
      <c r="I517" s="661"/>
      <c r="J517" s="661"/>
      <c r="K517" s="704"/>
      <c r="L517" s="704"/>
      <c r="M517" s="657"/>
      <c r="N517" s="705"/>
      <c r="O517" s="1"/>
      <c r="P517" s="1"/>
      <c r="Q517" s="1"/>
    </row>
    <row r="518" spans="1:17" ht="15" customHeight="1">
      <c r="A518" s="10007"/>
      <c r="B518" s="10020" t="s">
        <v>1543</v>
      </c>
      <c r="C518" s="10021"/>
      <c r="D518" s="10021"/>
      <c r="E518" s="10021"/>
      <c r="F518" s="10021"/>
      <c r="G518" s="10021"/>
      <c r="H518" s="10021"/>
      <c r="I518" s="10021"/>
      <c r="J518" s="10021"/>
      <c r="K518" s="10021"/>
      <c r="L518" s="10021"/>
      <c r="M518" s="10021"/>
      <c r="N518" s="10022"/>
      <c r="O518" s="1"/>
      <c r="P518" s="1"/>
      <c r="Q518" s="1"/>
    </row>
    <row r="519" spans="1:17" ht="15.75" thickBot="1">
      <c r="A519" s="10007"/>
      <c r="B519" s="10023"/>
      <c r="C519" s="8675"/>
      <c r="D519" s="8675"/>
      <c r="E519" s="8675"/>
      <c r="F519" s="8675"/>
      <c r="G519" s="8675"/>
      <c r="H519" s="8675"/>
      <c r="I519" s="8675"/>
      <c r="J519" s="8675"/>
      <c r="K519" s="8675"/>
      <c r="L519" s="8675"/>
      <c r="M519" s="8675"/>
      <c r="N519" s="8676"/>
      <c r="O519" s="1"/>
      <c r="P519" s="1"/>
      <c r="Q519" s="1"/>
    </row>
    <row r="520" spans="1:17">
      <c r="A520" s="15"/>
      <c r="B520" s="723"/>
      <c r="C520" s="723"/>
      <c r="D520" s="723"/>
      <c r="E520" s="723"/>
      <c r="F520" s="723"/>
      <c r="G520" s="723"/>
      <c r="H520" s="14"/>
      <c r="I520" s="721"/>
      <c r="J520" s="721"/>
      <c r="K520" s="38"/>
      <c r="L520" s="14"/>
      <c r="M520" s="14"/>
      <c r="N520" s="14"/>
      <c r="O520" s="14"/>
      <c r="P520" s="14"/>
      <c r="Q520" s="14"/>
    </row>
    <row r="521" spans="1:17">
      <c r="A521" s="525"/>
      <c r="B521" s="526"/>
      <c r="C521" s="527"/>
      <c r="D521" s="527"/>
      <c r="E521" s="527"/>
      <c r="F521" s="527"/>
      <c r="G521" s="527"/>
      <c r="H521" s="527"/>
      <c r="I521" s="527"/>
      <c r="J521" s="526"/>
      <c r="K521" s="526"/>
      <c r="L521" s="526"/>
      <c r="M521" s="525"/>
      <c r="N521" s="525"/>
      <c r="O521" s="525"/>
      <c r="P521" s="525"/>
      <c r="Q521" s="525"/>
    </row>
    <row r="522" spans="1:17" ht="16.5" thickBot="1">
      <c r="A522" s="15"/>
      <c r="B522" s="236"/>
      <c r="C522" s="237"/>
      <c r="D522" s="237"/>
      <c r="E522" s="237"/>
      <c r="F522" s="237"/>
      <c r="G522" s="237"/>
      <c r="H522" s="14"/>
      <c r="I522" s="14"/>
      <c r="J522" s="14"/>
      <c r="K522" s="14"/>
      <c r="L522" s="14"/>
      <c r="M522" s="14"/>
      <c r="N522" s="14"/>
      <c r="O522" s="14"/>
      <c r="P522" s="14"/>
      <c r="Q522" s="15"/>
    </row>
    <row r="523" spans="1:17" ht="15.75">
      <c r="A523" s="32"/>
      <c r="B523" s="238"/>
      <c r="C523" s="239"/>
      <c r="D523" s="239"/>
      <c r="E523" s="239"/>
      <c r="F523" s="239"/>
      <c r="G523" s="239"/>
      <c r="H523" s="239"/>
      <c r="I523" s="239"/>
      <c r="J523" s="240" t="s">
        <v>323</v>
      </c>
      <c r="K523" s="14"/>
      <c r="L523" s="14"/>
      <c r="M523" s="14"/>
      <c r="N523" s="14"/>
      <c r="O523" s="14"/>
      <c r="P523" s="14"/>
      <c r="Q523" s="15"/>
    </row>
    <row r="524" spans="1:17">
      <c r="A524" s="32"/>
      <c r="B524" s="241"/>
      <c r="C524" s="553" t="s">
        <v>324</v>
      </c>
      <c r="D524" s="908">
        <v>0.44</v>
      </c>
      <c r="E524" s="14"/>
      <c r="F524" s="242" t="s">
        <v>324</v>
      </c>
      <c r="G524" s="908">
        <v>100</v>
      </c>
      <c r="H524" s="14"/>
      <c r="I524" s="243" t="s">
        <v>325</v>
      </c>
      <c r="J524" s="244">
        <v>115</v>
      </c>
      <c r="K524" s="14"/>
      <c r="L524" s="14"/>
      <c r="M524" s="15"/>
      <c r="N524" s="15"/>
      <c r="O524" s="15"/>
      <c r="P524" s="15"/>
      <c r="Q524" s="15"/>
    </row>
    <row r="525" spans="1:17">
      <c r="A525" s="32"/>
      <c r="B525" s="245"/>
      <c r="C525" s="246" t="s">
        <v>326</v>
      </c>
      <c r="D525" s="909">
        <v>60</v>
      </c>
      <c r="E525" s="14"/>
      <c r="F525" s="246" t="s">
        <v>327</v>
      </c>
      <c r="G525" s="910">
        <v>10</v>
      </c>
      <c r="H525" s="14"/>
      <c r="I525" s="242" t="s">
        <v>324</v>
      </c>
      <c r="J525" s="247">
        <v>133</v>
      </c>
      <c r="K525" s="14"/>
      <c r="L525" s="14"/>
      <c r="M525" s="15"/>
      <c r="N525" s="15"/>
      <c r="O525" s="15"/>
      <c r="P525" s="15"/>
      <c r="Q525" s="15"/>
    </row>
    <row r="526" spans="1:17">
      <c r="A526" s="32"/>
      <c r="B526" s="248"/>
      <c r="C526" s="249" t="s">
        <v>327</v>
      </c>
      <c r="D526" s="911">
        <f>D524*D525%</f>
        <v>0.26400000000000001</v>
      </c>
      <c r="E526" s="14"/>
      <c r="F526" s="250" t="s">
        <v>325</v>
      </c>
      <c r="G526" s="911">
        <f>IF(G524=0,0,G524+G525)</f>
        <v>110</v>
      </c>
      <c r="H526" s="14"/>
      <c r="I526" s="249" t="s">
        <v>327</v>
      </c>
      <c r="J526" s="251">
        <f>IF(J524=0,0,IF(J525=0,0,J524-J525))</f>
        <v>-18</v>
      </c>
      <c r="K526" s="14"/>
      <c r="L526" s="14"/>
      <c r="M526" s="15"/>
      <c r="N526" s="15"/>
      <c r="O526" s="15"/>
      <c r="P526" s="15"/>
      <c r="Q526" s="15"/>
    </row>
    <row r="527" spans="1:17">
      <c r="A527" s="32"/>
      <c r="B527" s="912"/>
      <c r="C527" s="250" t="s">
        <v>325</v>
      </c>
      <c r="D527" s="911">
        <f>((D524*D525)/100)+D524</f>
        <v>0.70399999999999996</v>
      </c>
      <c r="E527" s="14"/>
      <c r="F527" s="252" t="s">
        <v>326</v>
      </c>
      <c r="G527" s="913">
        <f>IF(G524=0,0,IF(ISBLANK(G524),0,(G525/G524)*100))</f>
        <v>10</v>
      </c>
      <c r="H527" s="14"/>
      <c r="I527" s="252" t="s">
        <v>326</v>
      </c>
      <c r="J527" s="253">
        <f>IF(J525=0,0,IF(ISBLANK(J525),0,(J526/J525)*100))</f>
        <v>-13.533834586466165</v>
      </c>
      <c r="K527" s="14"/>
      <c r="L527" s="14"/>
      <c r="M527" s="15"/>
      <c r="N527" s="15"/>
      <c r="O527" s="15"/>
      <c r="P527" s="15"/>
      <c r="Q527" s="15"/>
    </row>
    <row r="528" spans="1:17">
      <c r="A528" s="32"/>
      <c r="B528" s="254"/>
      <c r="C528" s="914"/>
      <c r="D528" s="915"/>
      <c r="E528" s="916"/>
      <c r="F528" s="917"/>
      <c r="G528" s="918"/>
      <c r="H528" s="916"/>
      <c r="I528" s="917"/>
      <c r="J528" s="255"/>
      <c r="K528" s="14"/>
      <c r="L528" s="14"/>
      <c r="M528" s="15"/>
      <c r="N528" s="15"/>
      <c r="O528" s="15"/>
      <c r="P528" s="15"/>
      <c r="Q528" s="15"/>
    </row>
    <row r="529" spans="1:17">
      <c r="A529" s="32"/>
      <c r="B529" s="241"/>
      <c r="C529" s="242" t="s">
        <v>324</v>
      </c>
      <c r="D529" s="908">
        <v>5.8970000000000002</v>
      </c>
      <c r="E529" s="14"/>
      <c r="F529" s="243" t="s">
        <v>325</v>
      </c>
      <c r="G529" s="910">
        <v>9.64</v>
      </c>
      <c r="H529" s="14"/>
      <c r="I529" s="243" t="s">
        <v>325</v>
      </c>
      <c r="J529" s="244">
        <v>100</v>
      </c>
      <c r="K529" s="14"/>
      <c r="L529" s="14"/>
      <c r="M529" s="15"/>
      <c r="N529" s="15"/>
      <c r="O529" s="15"/>
      <c r="P529" s="15"/>
      <c r="Q529" s="15"/>
    </row>
    <row r="530" spans="1:17" ht="45">
      <c r="A530" s="32"/>
      <c r="B530" s="256"/>
      <c r="C530" s="243" t="s">
        <v>325</v>
      </c>
      <c r="D530" s="910">
        <v>9.64</v>
      </c>
      <c r="E530" s="14"/>
      <c r="F530" s="257" t="s">
        <v>326</v>
      </c>
      <c r="G530" s="919">
        <v>63.5</v>
      </c>
      <c r="H530" s="14"/>
      <c r="I530" s="257" t="s">
        <v>327</v>
      </c>
      <c r="J530" s="244">
        <v>50</v>
      </c>
      <c r="K530" s="14"/>
      <c r="L530" s="14"/>
      <c r="M530" s="15"/>
      <c r="N530" s="15"/>
      <c r="O530" s="15"/>
      <c r="P530" s="15"/>
      <c r="Q530" s="15"/>
    </row>
    <row r="531" spans="1:17">
      <c r="A531" s="32"/>
      <c r="B531" s="248"/>
      <c r="C531" s="249" t="s">
        <v>327</v>
      </c>
      <c r="D531" s="911">
        <f>IF(D529=0,0,IF(D530=0,0,D530-D529))</f>
        <v>3.7430000000000003</v>
      </c>
      <c r="E531" s="14"/>
      <c r="F531" s="249" t="s">
        <v>327</v>
      </c>
      <c r="G531" s="911">
        <f>G529-G532</f>
        <v>3.7439755351681958</v>
      </c>
      <c r="H531" s="14"/>
      <c r="I531" s="250" t="s">
        <v>324</v>
      </c>
      <c r="J531" s="251">
        <f>IF(J529=0,0,IF(ISBLANK(J529),0,J529-J530))</f>
        <v>50</v>
      </c>
      <c r="K531" s="14"/>
      <c r="L531" s="14"/>
      <c r="M531" s="15"/>
      <c r="N531" s="15"/>
      <c r="O531" s="15"/>
      <c r="P531" s="15"/>
      <c r="Q531" s="15"/>
    </row>
    <row r="532" spans="1:17">
      <c r="A532" s="32"/>
      <c r="B532" s="920"/>
      <c r="C532" s="258" t="s">
        <v>326</v>
      </c>
      <c r="D532" s="921">
        <f>IF(D529=0,0,IF(ISBLANK(D529),0,(D531/D529)*100))</f>
        <v>63.472952348651859</v>
      </c>
      <c r="E532" s="14"/>
      <c r="F532" s="259" t="s">
        <v>324</v>
      </c>
      <c r="G532" s="922">
        <f>(G529/(100+G530)*100)</f>
        <v>5.8960244648318048</v>
      </c>
      <c r="H532" s="14"/>
      <c r="I532" s="258" t="s">
        <v>326</v>
      </c>
      <c r="J532" s="923">
        <f>IF(J531=0,0,IF(ISBLANK(J530),0,(J530/J531)*100))</f>
        <v>100</v>
      </c>
      <c r="K532" s="14"/>
      <c r="L532" s="14"/>
      <c r="M532" s="15"/>
      <c r="N532" s="15"/>
      <c r="O532" s="15"/>
      <c r="P532" s="15"/>
      <c r="Q532" s="15"/>
    </row>
    <row r="533" spans="1:17">
      <c r="A533" s="32"/>
      <c r="B533" s="8641" t="s">
        <v>205</v>
      </c>
      <c r="C533" s="8642"/>
      <c r="D533" s="8642"/>
      <c r="E533" s="8642"/>
      <c r="F533" s="8642"/>
      <c r="G533" s="8642"/>
      <c r="H533" s="8642"/>
      <c r="I533" s="8642"/>
      <c r="J533" s="8642"/>
      <c r="K533" s="14"/>
      <c r="L533" s="14"/>
      <c r="M533" s="15"/>
      <c r="N533" s="15"/>
      <c r="O533" s="15"/>
      <c r="P533" s="15"/>
      <c r="Q533" s="15"/>
    </row>
    <row r="534" spans="1:17">
      <c r="A534" s="15"/>
      <c r="B534" s="723"/>
      <c r="C534" s="723"/>
      <c r="D534" s="723"/>
      <c r="E534" s="723"/>
      <c r="F534" s="723"/>
      <c r="G534" s="723"/>
      <c r="H534" s="14"/>
      <c r="I534" s="721"/>
      <c r="J534" s="721"/>
      <c r="K534" s="38"/>
      <c r="L534" s="38"/>
      <c r="M534" s="721"/>
      <c r="N534" s="721"/>
      <c r="O534" s="15"/>
      <c r="P534" s="15"/>
      <c r="Q534" s="14"/>
    </row>
    <row r="535" spans="1:17">
      <c r="A535" s="15"/>
      <c r="B535" s="723"/>
      <c r="C535" s="723"/>
      <c r="D535" s="723"/>
      <c r="E535" s="723"/>
      <c r="F535" s="723"/>
      <c r="G535" s="723"/>
      <c r="H535" s="14"/>
      <c r="I535" s="721"/>
      <c r="J535" s="721"/>
      <c r="K535" s="38"/>
      <c r="L535" s="38"/>
      <c r="M535" s="721"/>
      <c r="N535" s="721"/>
      <c r="O535" s="15"/>
      <c r="P535" s="15"/>
      <c r="Q535" s="14"/>
    </row>
    <row r="536" spans="1:17">
      <c r="A536" s="15"/>
      <c r="B536" s="554">
        <v>15</v>
      </c>
      <c r="C536" s="554">
        <v>15</v>
      </c>
      <c r="D536" s="554">
        <v>15</v>
      </c>
      <c r="E536" s="554">
        <v>15</v>
      </c>
      <c r="F536" s="554">
        <v>15</v>
      </c>
      <c r="G536" s="554">
        <v>15</v>
      </c>
      <c r="H536" s="555" t="s">
        <v>369</v>
      </c>
      <c r="I536" s="554">
        <v>15</v>
      </c>
      <c r="J536" s="554">
        <v>15</v>
      </c>
      <c r="K536" s="554">
        <v>15</v>
      </c>
      <c r="L536" s="554">
        <v>15</v>
      </c>
      <c r="M536" s="554">
        <v>15</v>
      </c>
      <c r="N536" s="554">
        <v>15</v>
      </c>
      <c r="O536" s="556" t="s">
        <v>369</v>
      </c>
      <c r="P536" s="15"/>
      <c r="Q536" s="14"/>
    </row>
    <row r="537" spans="1:17" ht="18">
      <c r="A537" s="15"/>
      <c r="B537" s="924" t="s">
        <v>56</v>
      </c>
      <c r="C537" s="925"/>
      <c r="D537" s="925"/>
      <c r="E537" s="925"/>
      <c r="F537" s="925"/>
      <c r="G537" s="926" t="s">
        <v>55</v>
      </c>
      <c r="H537" s="1"/>
      <c r="I537" s="924" t="s">
        <v>370</v>
      </c>
      <c r="J537" s="925"/>
      <c r="K537" s="925"/>
      <c r="L537" s="925"/>
      <c r="M537" s="925"/>
      <c r="N537" s="926" t="s">
        <v>55</v>
      </c>
      <c r="O537" s="1"/>
      <c r="P537" s="15"/>
      <c r="Q537" s="14"/>
    </row>
    <row r="538" spans="1:17" ht="15.75">
      <c r="A538" s="15"/>
      <c r="B538" s="557" t="s">
        <v>52</v>
      </c>
      <c r="C538" s="927">
        <v>1000</v>
      </c>
      <c r="D538" s="10" t="s">
        <v>52</v>
      </c>
      <c r="E538" s="927">
        <v>1000</v>
      </c>
      <c r="F538" s="557" t="s">
        <v>52</v>
      </c>
      <c r="G538" s="927">
        <v>100</v>
      </c>
      <c r="H538" s="1"/>
      <c r="I538" s="558" t="s">
        <v>52</v>
      </c>
      <c r="J538" s="928">
        <v>1</v>
      </c>
      <c r="K538" s="10" t="s">
        <v>52</v>
      </c>
      <c r="L538" s="928">
        <v>1</v>
      </c>
      <c r="M538" s="557" t="s">
        <v>52</v>
      </c>
      <c r="N538" s="928">
        <v>1</v>
      </c>
      <c r="O538" s="1"/>
      <c r="P538" s="15"/>
      <c r="Q538" s="14"/>
    </row>
    <row r="539" spans="1:17" ht="15.75">
      <c r="A539" s="15"/>
      <c r="B539" s="559" t="s">
        <v>53</v>
      </c>
      <c r="C539" s="929">
        <v>2000</v>
      </c>
      <c r="D539" s="9" t="s">
        <v>51</v>
      </c>
      <c r="E539" s="929">
        <v>327</v>
      </c>
      <c r="F539" s="559" t="s">
        <v>50</v>
      </c>
      <c r="G539" s="930">
        <v>40</v>
      </c>
      <c r="H539" s="1"/>
      <c r="I539" s="559" t="s">
        <v>53</v>
      </c>
      <c r="J539" s="931">
        <v>2</v>
      </c>
      <c r="K539" s="9" t="s">
        <v>51</v>
      </c>
      <c r="L539" s="931">
        <v>2</v>
      </c>
      <c r="M539" s="559" t="s">
        <v>50</v>
      </c>
      <c r="N539" s="930">
        <v>50</v>
      </c>
      <c r="O539" s="1"/>
      <c r="P539" s="15"/>
      <c r="Q539" s="14"/>
    </row>
    <row r="540" spans="1:17" ht="15.75">
      <c r="A540" s="15"/>
      <c r="B540" s="560" t="s">
        <v>49</v>
      </c>
      <c r="C540" s="932">
        <f>IF(C538=0,0,IF(C539=0,0,C539-C538))</f>
        <v>1000</v>
      </c>
      <c r="D540" s="560" t="s">
        <v>54</v>
      </c>
      <c r="E540" s="932">
        <f>IF(E538=0,0,E538+E539)</f>
        <v>1327</v>
      </c>
      <c r="F540" s="560" t="s">
        <v>49</v>
      </c>
      <c r="G540" s="933">
        <f>G541*G539%</f>
        <v>66.666666666666671</v>
      </c>
      <c r="H540" s="1"/>
      <c r="I540" s="560" t="s">
        <v>49</v>
      </c>
      <c r="J540" s="934">
        <f>IF(J538=0,0,IF(J539=0,0,J539-J538))</f>
        <v>1</v>
      </c>
      <c r="K540" s="560" t="s">
        <v>54</v>
      </c>
      <c r="L540" s="934">
        <f>IF(L538=0,0,L538+L539)</f>
        <v>3</v>
      </c>
      <c r="M540" s="560" t="s">
        <v>49</v>
      </c>
      <c r="N540" s="934">
        <f>N541*N539%</f>
        <v>1</v>
      </c>
      <c r="O540" s="1"/>
      <c r="P540" s="15"/>
      <c r="Q540" s="14"/>
    </row>
    <row r="541" spans="1:17" ht="15.75">
      <c r="A541" s="15"/>
      <c r="B541" s="935" t="s">
        <v>48</v>
      </c>
      <c r="C541" s="936">
        <f>IF(C538=0,0,IF(C539=0,0,C540/C539))</f>
        <v>0.5</v>
      </c>
      <c r="D541" s="935" t="s">
        <v>48</v>
      </c>
      <c r="E541" s="936">
        <f>IF(E538=0,0,E539/E540)</f>
        <v>0.24642049736247174</v>
      </c>
      <c r="F541" s="560" t="s">
        <v>54</v>
      </c>
      <c r="G541" s="933">
        <f>G538/(100-G539)*100</f>
        <v>166.66666666666669</v>
      </c>
      <c r="H541" s="1"/>
      <c r="I541" s="935" t="s">
        <v>48</v>
      </c>
      <c r="J541" s="936">
        <f>IF(J538=0,0,IF(J539=0,0,J540/J539))</f>
        <v>0.5</v>
      </c>
      <c r="K541" s="935" t="s">
        <v>48</v>
      </c>
      <c r="L541" s="936">
        <f>IF(L538=0,0,L539/L540)</f>
        <v>0.66666666666666663</v>
      </c>
      <c r="M541" s="560" t="s">
        <v>54</v>
      </c>
      <c r="N541" s="937">
        <f>N538/(100-N539)*100</f>
        <v>2</v>
      </c>
      <c r="O541" s="1"/>
      <c r="P541" s="15"/>
      <c r="Q541" s="14"/>
    </row>
    <row r="542" spans="1:17" ht="15.75">
      <c r="A542" s="15"/>
      <c r="B542" s="561" t="s">
        <v>53</v>
      </c>
      <c r="C542" s="929">
        <v>1780</v>
      </c>
      <c r="D542" s="8" t="s">
        <v>53</v>
      </c>
      <c r="E542" s="929">
        <v>2310</v>
      </c>
      <c r="F542" s="562" t="s">
        <v>53</v>
      </c>
      <c r="G542" s="563">
        <v>500</v>
      </c>
      <c r="H542" s="1"/>
      <c r="I542" s="561" t="s">
        <v>53</v>
      </c>
      <c r="J542" s="938">
        <v>2</v>
      </c>
      <c r="K542" s="8" t="s">
        <v>53</v>
      </c>
      <c r="L542" s="564">
        <v>2</v>
      </c>
      <c r="M542" s="8" t="s">
        <v>53</v>
      </c>
      <c r="N542" s="938">
        <v>1</v>
      </c>
      <c r="O542" s="1"/>
      <c r="P542" s="15"/>
      <c r="Q542" s="14"/>
    </row>
    <row r="543" spans="1:17" ht="15.75">
      <c r="A543" s="15"/>
      <c r="B543" s="565" t="s">
        <v>52</v>
      </c>
      <c r="C543" s="927">
        <v>1000</v>
      </c>
      <c r="D543" s="7" t="s">
        <v>51</v>
      </c>
      <c r="E543" s="927">
        <v>720</v>
      </c>
      <c r="F543" s="7" t="s">
        <v>50</v>
      </c>
      <c r="G543" s="939">
        <v>50</v>
      </c>
      <c r="H543" s="1"/>
      <c r="I543" s="565" t="s">
        <v>52</v>
      </c>
      <c r="J543" s="940">
        <v>1</v>
      </c>
      <c r="K543" s="7" t="s">
        <v>51</v>
      </c>
      <c r="L543" s="940">
        <v>1</v>
      </c>
      <c r="M543" s="7" t="s">
        <v>50</v>
      </c>
      <c r="N543" s="939">
        <v>50</v>
      </c>
      <c r="O543" s="1"/>
      <c r="P543" s="15"/>
      <c r="Q543" s="14"/>
    </row>
    <row r="544" spans="1:17" ht="15.75">
      <c r="A544" s="15"/>
      <c r="B544" s="560" t="s">
        <v>49</v>
      </c>
      <c r="C544" s="932">
        <f>IF(C542=0,0,IF(C543=0,0,C542-C543))</f>
        <v>780</v>
      </c>
      <c r="D544" s="560" t="s">
        <v>47</v>
      </c>
      <c r="E544" s="932">
        <f>IF(E542=0,0,IF(E543=0,0,E542-E543))</f>
        <v>1590</v>
      </c>
      <c r="F544" s="560" t="s">
        <v>49</v>
      </c>
      <c r="G544" s="932">
        <f>G542*G543%</f>
        <v>250</v>
      </c>
      <c r="H544" s="1"/>
      <c r="I544" s="560" t="s">
        <v>49</v>
      </c>
      <c r="J544" s="934">
        <f>IF(J542=0,0,IF(J543=0,0,J542-J543))</f>
        <v>1</v>
      </c>
      <c r="K544" s="560" t="s">
        <v>47</v>
      </c>
      <c r="L544" s="934">
        <f>IF(L542=0,0,IF(L543=0,0,L542-L543))</f>
        <v>1</v>
      </c>
      <c r="M544" s="560" t="s">
        <v>49</v>
      </c>
      <c r="N544" s="934">
        <f>N542*N543%</f>
        <v>0.5</v>
      </c>
      <c r="O544" s="1"/>
      <c r="P544" s="15"/>
      <c r="Q544" s="14"/>
    </row>
    <row r="545" spans="1:17" ht="15.75">
      <c r="A545" s="15"/>
      <c r="B545" s="935" t="s">
        <v>48</v>
      </c>
      <c r="C545" s="936">
        <f>IF(C542=0,0,C544/C542)</f>
        <v>0.43820224719101125</v>
      </c>
      <c r="D545" s="935" t="s">
        <v>48</v>
      </c>
      <c r="E545" s="936">
        <f>IF(E542=0,0,IF(E543=0,0,E543/E542))</f>
        <v>0.31168831168831168</v>
      </c>
      <c r="F545" s="935" t="s">
        <v>47</v>
      </c>
      <c r="G545" s="941">
        <f>G542-G544</f>
        <v>250</v>
      </c>
      <c r="H545" s="1"/>
      <c r="I545" s="935" t="s">
        <v>48</v>
      </c>
      <c r="J545" s="936">
        <f>IF(J542=0,0,J544/J542)</f>
        <v>0.5</v>
      </c>
      <c r="K545" s="935" t="s">
        <v>48</v>
      </c>
      <c r="L545" s="936">
        <f>IF(L542=0,0,IF(L543=0,0,L543/L542))</f>
        <v>0.5</v>
      </c>
      <c r="M545" s="935" t="s">
        <v>47</v>
      </c>
      <c r="N545" s="942">
        <f>N542-N544</f>
        <v>0.5</v>
      </c>
      <c r="O545" s="1"/>
      <c r="P545" s="15"/>
      <c r="Q545" s="14"/>
    </row>
    <row r="546" spans="1:17">
      <c r="A546" s="15"/>
      <c r="B546" s="10004" t="s">
        <v>205</v>
      </c>
      <c r="C546" s="10005"/>
      <c r="D546" s="10005"/>
      <c r="E546" s="10005"/>
      <c r="F546" s="10005"/>
      <c r="G546" s="10005"/>
      <c r="H546" s="1"/>
      <c r="I546" s="10004" t="s">
        <v>205</v>
      </c>
      <c r="J546" s="10005"/>
      <c r="K546" s="10005"/>
      <c r="L546" s="10005"/>
      <c r="M546" s="10005"/>
      <c r="N546" s="10005"/>
      <c r="O546" s="1"/>
      <c r="P546" s="15"/>
      <c r="Q546" s="14"/>
    </row>
    <row r="547" spans="1:17">
      <c r="A547" s="15"/>
      <c r="B547" s="723"/>
      <c r="C547" s="723"/>
      <c r="D547" s="723"/>
      <c r="E547" s="723"/>
      <c r="F547" s="723"/>
      <c r="G547" s="723"/>
      <c r="H547" s="14"/>
      <c r="I547" s="721"/>
      <c r="J547" s="721"/>
      <c r="K547" s="38"/>
      <c r="L547" s="38"/>
      <c r="M547" s="721"/>
      <c r="N547" s="721"/>
      <c r="O547" s="15"/>
      <c r="P547" s="15"/>
      <c r="Q547" s="14"/>
    </row>
    <row r="548" spans="1:17">
      <c r="A548" s="525"/>
      <c r="B548" s="526"/>
      <c r="C548" s="527"/>
      <c r="D548" s="527"/>
      <c r="E548" s="527"/>
      <c r="F548" s="527"/>
      <c r="G548" s="527"/>
      <c r="H548" s="527"/>
      <c r="I548" s="527"/>
      <c r="J548" s="526"/>
      <c r="K548" s="526"/>
      <c r="L548" s="526"/>
      <c r="M548" s="525"/>
      <c r="N548" s="525"/>
      <c r="O548" s="525"/>
      <c r="P548" s="525"/>
      <c r="Q548" s="525"/>
    </row>
    <row r="549" spans="1:17">
      <c r="A549" s="15"/>
      <c r="B549" s="723"/>
      <c r="C549" s="723"/>
      <c r="D549" s="723"/>
      <c r="E549" s="723"/>
      <c r="F549" s="723"/>
      <c r="G549" s="723"/>
      <c r="H549" s="14"/>
      <c r="I549" s="721"/>
      <c r="J549" s="721"/>
      <c r="K549" s="38"/>
      <c r="L549" s="38"/>
      <c r="M549" s="721"/>
      <c r="N549" s="721"/>
      <c r="O549" s="15"/>
      <c r="P549" s="15"/>
      <c r="Q549" s="14"/>
    </row>
    <row r="550" spans="1:17">
      <c r="A550" s="15"/>
      <c r="B550" s="723"/>
      <c r="C550" s="723"/>
      <c r="D550" s="723"/>
      <c r="E550" s="723"/>
      <c r="F550" s="723"/>
      <c r="G550" s="723"/>
      <c r="H550" s="14"/>
      <c r="I550" s="721"/>
      <c r="J550" s="721"/>
      <c r="K550" s="38"/>
      <c r="L550" s="38"/>
      <c r="M550" s="721"/>
      <c r="N550" s="721"/>
      <c r="O550" s="15"/>
      <c r="P550" s="15"/>
      <c r="Q550" s="14"/>
    </row>
    <row r="551" spans="1:17" ht="15.75">
      <c r="A551" s="15"/>
      <c r="B551" s="723"/>
      <c r="C551" s="723"/>
      <c r="D551" s="723"/>
      <c r="E551" s="723"/>
      <c r="F551" s="723"/>
      <c r="G551" s="723"/>
      <c r="H551" s="14"/>
      <c r="I551" s="721"/>
      <c r="J551" s="287" t="s">
        <v>451</v>
      </c>
      <c r="K551" s="288"/>
      <c r="L551" s="288"/>
      <c r="M551" s="289"/>
      <c r="N551" s="289"/>
      <c r="O551" s="15"/>
      <c r="P551" s="15"/>
      <c r="Q551" s="14"/>
    </row>
    <row r="552" spans="1:17">
      <c r="A552" s="15"/>
      <c r="B552" s="723"/>
      <c r="C552" s="723"/>
      <c r="D552" s="723"/>
      <c r="E552" s="723"/>
      <c r="F552" s="723"/>
      <c r="G552" s="723"/>
      <c r="H552" s="14"/>
      <c r="I552" s="721"/>
      <c r="J552" s="721"/>
      <c r="K552" s="38"/>
      <c r="L552" s="38"/>
      <c r="M552" s="721"/>
      <c r="N552" s="721"/>
      <c r="O552" s="15"/>
      <c r="P552" s="15"/>
      <c r="Q552" s="14"/>
    </row>
    <row r="553" spans="1:17" ht="21">
      <c r="A553" s="15"/>
      <c r="B553" s="723"/>
      <c r="C553" s="723"/>
      <c r="D553" s="723"/>
      <c r="E553" s="723"/>
      <c r="F553" s="723"/>
      <c r="G553" s="723"/>
      <c r="H553" s="14"/>
      <c r="I553" s="721"/>
      <c r="J553" s="280" t="s">
        <v>376</v>
      </c>
      <c r="K553" s="15"/>
      <c r="L553" s="15"/>
      <c r="M553" s="15"/>
      <c r="N553" s="15"/>
      <c r="O553" s="15"/>
      <c r="P553" s="15"/>
      <c r="Q553" s="14"/>
    </row>
    <row r="554" spans="1:17" ht="23.25">
      <c r="A554" s="15"/>
      <c r="B554" s="723"/>
      <c r="C554" s="723"/>
      <c r="D554" s="723"/>
      <c r="E554" s="723"/>
      <c r="F554" s="723"/>
      <c r="G554" s="723"/>
      <c r="H554" s="14"/>
      <c r="I554" s="721"/>
      <c r="J554" s="8645" t="s">
        <v>375</v>
      </c>
      <c r="K554" s="8645"/>
      <c r="L554" s="8645"/>
      <c r="M554" s="8645"/>
      <c r="N554" s="8645"/>
      <c r="O554" s="15"/>
      <c r="P554" s="15"/>
      <c r="Q554" s="14"/>
    </row>
    <row r="555" spans="1:17" ht="21">
      <c r="A555" s="15"/>
      <c r="B555" s="723"/>
      <c r="C555" s="723"/>
      <c r="D555" s="723"/>
      <c r="E555" s="723"/>
      <c r="F555" s="723"/>
      <c r="G555" s="723"/>
      <c r="H555" s="14"/>
      <c r="I555" s="721"/>
      <c r="J555" s="292"/>
      <c r="K555" s="293" t="s">
        <v>430</v>
      </c>
      <c r="L555" s="290"/>
      <c r="M555" s="291"/>
      <c r="N555" s="721"/>
      <c r="O555" s="15"/>
      <c r="P555" s="15"/>
      <c r="Q555" s="14"/>
    </row>
    <row r="556" spans="1:17" ht="21">
      <c r="A556" s="15"/>
      <c r="B556" s="723"/>
      <c r="C556" s="723"/>
      <c r="D556" s="723"/>
      <c r="E556" s="723"/>
      <c r="F556" s="723"/>
      <c r="G556" s="723"/>
      <c r="H556" s="14"/>
      <c r="I556" s="721"/>
      <c r="J556" s="292"/>
      <c r="K556" s="293" t="s">
        <v>411</v>
      </c>
      <c r="L556" s="290"/>
      <c r="M556" s="291"/>
      <c r="N556" s="721"/>
      <c r="O556" s="15"/>
      <c r="P556" s="15"/>
      <c r="Q556" s="14"/>
    </row>
    <row r="557" spans="1:17" ht="21">
      <c r="A557" s="15"/>
      <c r="B557" s="723"/>
      <c r="C557" s="723"/>
      <c r="D557" s="723"/>
      <c r="E557" s="723"/>
      <c r="F557" s="723"/>
      <c r="G557" s="723"/>
      <c r="H557" s="14"/>
      <c r="I557" s="721"/>
      <c r="J557" s="292"/>
      <c r="K557" s="293" t="s">
        <v>439</v>
      </c>
      <c r="L557" s="290"/>
      <c r="M557" s="291"/>
      <c r="N557" s="721"/>
      <c r="O557" s="15"/>
      <c r="P557" s="15"/>
      <c r="Q557" s="14"/>
    </row>
    <row r="558" spans="1:17" ht="21">
      <c r="A558" s="15"/>
      <c r="B558" s="283" t="s">
        <v>409</v>
      </c>
      <c r="C558" s="723"/>
      <c r="D558" s="723"/>
      <c r="E558" s="723"/>
      <c r="F558" s="723"/>
      <c r="G558" s="723"/>
      <c r="H558" s="14"/>
      <c r="I558" s="721"/>
      <c r="J558" s="292"/>
      <c r="K558" s="293" t="s">
        <v>428</v>
      </c>
      <c r="L558" s="290"/>
      <c r="M558" s="291"/>
      <c r="N558" s="721"/>
      <c r="O558" s="15"/>
      <c r="P558" s="15"/>
      <c r="Q558" s="14"/>
    </row>
    <row r="559" spans="1:17" ht="21">
      <c r="A559" s="15"/>
      <c r="B559" s="283" t="s">
        <v>410</v>
      </c>
      <c r="C559" s="723"/>
      <c r="D559" s="723"/>
      <c r="E559" s="723"/>
      <c r="F559" s="723"/>
      <c r="G559" s="723"/>
      <c r="H559" s="14"/>
      <c r="I559" s="721"/>
      <c r="J559" s="292"/>
      <c r="K559" s="293" t="s">
        <v>429</v>
      </c>
      <c r="L559" s="290"/>
      <c r="M559" s="291"/>
      <c r="N559" s="721"/>
      <c r="O559" s="15"/>
      <c r="P559" s="15"/>
      <c r="Q559" s="14"/>
    </row>
    <row r="560" spans="1:17" ht="21">
      <c r="A560" s="15"/>
      <c r="B560" s="723"/>
      <c r="C560" s="723"/>
      <c r="D560" s="723"/>
      <c r="E560" s="723"/>
      <c r="F560" s="723"/>
      <c r="G560" s="723"/>
      <c r="H560" s="14"/>
      <c r="I560" s="721"/>
      <c r="J560" s="292"/>
      <c r="K560" s="293" t="s">
        <v>431</v>
      </c>
      <c r="L560" s="290"/>
      <c r="M560" s="291"/>
      <c r="N560" s="721"/>
      <c r="O560" s="15"/>
      <c r="P560" s="15"/>
      <c r="Q560" s="14"/>
    </row>
    <row r="561" spans="1:17" ht="21">
      <c r="A561" s="15"/>
      <c r="B561" s="295" t="s">
        <v>454</v>
      </c>
      <c r="C561" s="1"/>
      <c r="D561" s="1"/>
      <c r="E561" s="1"/>
      <c r="F561" s="723"/>
      <c r="G561" s="723"/>
      <c r="H561" s="14"/>
      <c r="I561" s="721"/>
      <c r="J561" s="292"/>
      <c r="K561" s="293" t="s">
        <v>432</v>
      </c>
      <c r="L561" s="290"/>
      <c r="M561" s="291"/>
      <c r="N561" s="721"/>
      <c r="O561" s="15"/>
      <c r="P561" s="15"/>
      <c r="Q561" s="14"/>
    </row>
    <row r="562" spans="1:17">
      <c r="A562" s="15"/>
      <c r="B562" s="296" t="s">
        <v>455</v>
      </c>
      <c r="C562" s="1"/>
      <c r="D562" s="1"/>
      <c r="E562" s="1"/>
      <c r="F562" s="723"/>
      <c r="G562" s="723"/>
      <c r="H562" s="14"/>
      <c r="I562" s="721"/>
      <c r="J562" s="721"/>
      <c r="K562" s="38"/>
      <c r="L562" s="38"/>
      <c r="M562" s="721"/>
      <c r="N562" s="721"/>
      <c r="O562" s="15"/>
      <c r="P562" s="15"/>
      <c r="Q562" s="14"/>
    </row>
    <row r="563" spans="1:17" ht="31.5" customHeight="1" thickBot="1">
      <c r="A563" s="15"/>
      <c r="B563" s="283"/>
      <c r="C563" s="281"/>
      <c r="D563" s="281"/>
      <c r="E563" s="281"/>
      <c r="F563" s="723"/>
      <c r="G563" s="723"/>
      <c r="H563" s="14"/>
      <c r="I563" s="721"/>
      <c r="J563" s="295"/>
      <c r="K563" s="38"/>
      <c r="L563" s="38"/>
      <c r="O563" s="15"/>
      <c r="P563" s="15"/>
      <c r="Q563" s="14"/>
    </row>
    <row r="564" spans="1:17" ht="16.5" customHeight="1" thickBot="1">
      <c r="A564" s="15"/>
      <c r="B564" s="282"/>
      <c r="C564" s="1"/>
      <c r="D564" s="1"/>
      <c r="E564" s="1"/>
      <c r="F564" s="723"/>
      <c r="G564" s="723"/>
      <c r="H564" s="14"/>
      <c r="I564" s="721"/>
      <c r="J564" s="296"/>
      <c r="K564" s="38"/>
      <c r="L564" s="38"/>
      <c r="M564" s="8646" t="s">
        <v>442</v>
      </c>
      <c r="N564" s="8647"/>
      <c r="O564" s="15"/>
      <c r="P564" s="15"/>
      <c r="Q564" s="14"/>
    </row>
    <row r="565" spans="1:17" ht="15.75">
      <c r="A565" s="15"/>
      <c r="B565" s="284" t="s">
        <v>414</v>
      </c>
      <c r="C565" s="1"/>
      <c r="D565" s="1"/>
      <c r="E565" s="1"/>
      <c r="F565" s="723"/>
      <c r="G565" s="8629" t="s">
        <v>452</v>
      </c>
      <c r="H565" s="8630"/>
      <c r="I565" s="721"/>
      <c r="J565" s="282"/>
      <c r="K565" s="282"/>
      <c r="L565" s="38"/>
      <c r="M565" s="8648" t="s">
        <v>443</v>
      </c>
      <c r="N565" s="10006"/>
      <c r="O565" s="15"/>
      <c r="P565" s="15"/>
      <c r="Q565" s="14"/>
    </row>
    <row r="566" spans="1:17" ht="15.75">
      <c r="A566" s="15"/>
      <c r="B566" s="285" t="s">
        <v>452</v>
      </c>
      <c r="C566" s="1"/>
      <c r="D566" s="1"/>
      <c r="E566" s="1" t="s">
        <v>460</v>
      </c>
      <c r="F566" s="723"/>
      <c r="G566" s="8631"/>
      <c r="H566" s="10000"/>
      <c r="I566" s="721"/>
      <c r="J566" s="282" t="s">
        <v>442</v>
      </c>
      <c r="K566" s="282"/>
      <c r="L566" s="38"/>
      <c r="M566" s="323" t="s">
        <v>53</v>
      </c>
      <c r="N566" s="324">
        <v>140</v>
      </c>
      <c r="O566" s="15"/>
      <c r="P566" s="15"/>
      <c r="Q566" s="14"/>
    </row>
    <row r="567" spans="1:17" ht="15.75" customHeight="1">
      <c r="A567" s="15"/>
      <c r="B567" s="282" t="s">
        <v>415</v>
      </c>
      <c r="C567" s="1"/>
      <c r="D567" s="1"/>
      <c r="E567" s="1"/>
      <c r="F567" s="723"/>
      <c r="G567" s="333" t="s">
        <v>53</v>
      </c>
      <c r="H567" s="334">
        <v>87</v>
      </c>
      <c r="I567" s="721"/>
      <c r="J567" s="282" t="s">
        <v>443</v>
      </c>
      <c r="K567" s="282"/>
      <c r="L567" s="38"/>
      <c r="M567" s="325" t="s">
        <v>50</v>
      </c>
      <c r="N567" s="326">
        <v>20</v>
      </c>
      <c r="O567" s="15"/>
      <c r="P567" s="1"/>
      <c r="Q567" s="1"/>
    </row>
    <row r="568" spans="1:17" ht="15.75">
      <c r="A568" s="15"/>
      <c r="B568" s="282" t="s">
        <v>417</v>
      </c>
      <c r="C568" s="1"/>
      <c r="D568" s="1"/>
      <c r="E568" s="1"/>
      <c r="F568" s="723"/>
      <c r="G568" s="335" t="s">
        <v>50</v>
      </c>
      <c r="H568" s="336">
        <v>5</v>
      </c>
      <c r="I568" s="721"/>
      <c r="J568" s="282" t="s">
        <v>444</v>
      </c>
      <c r="K568" s="282"/>
      <c r="L568" s="38"/>
      <c r="M568" s="327" t="s">
        <v>49</v>
      </c>
      <c r="N568" s="328">
        <f>(N566*N567)/100</f>
        <v>28</v>
      </c>
      <c r="O568" s="15"/>
      <c r="P568" s="1"/>
      <c r="Q568" s="1"/>
    </row>
    <row r="569" spans="1:17" ht="15.75">
      <c r="A569" s="15"/>
      <c r="B569" s="284" t="s">
        <v>424</v>
      </c>
      <c r="C569" s="1"/>
      <c r="D569" s="1"/>
      <c r="E569" s="1"/>
      <c r="F569" s="723"/>
      <c r="G569" s="329" t="s">
        <v>461</v>
      </c>
      <c r="H569" s="330">
        <f>H568/100</f>
        <v>0.05</v>
      </c>
      <c r="I569" s="721"/>
      <c r="J569" s="284" t="s">
        <v>445</v>
      </c>
      <c r="K569" s="282"/>
      <c r="L569" s="38"/>
      <c r="M569" s="327" t="s">
        <v>461</v>
      </c>
      <c r="N569" s="337">
        <f>N567/100</f>
        <v>0.2</v>
      </c>
      <c r="O569" s="15"/>
      <c r="P569" s="1"/>
      <c r="Q569" s="1"/>
    </row>
    <row r="570" spans="1:17" ht="16.5" thickBot="1">
      <c r="A570" s="15"/>
      <c r="B570" s="282" t="s">
        <v>418</v>
      </c>
      <c r="C570" s="1"/>
      <c r="D570" s="1"/>
      <c r="E570" s="1"/>
      <c r="F570" s="723"/>
      <c r="G570" s="331" t="s">
        <v>49</v>
      </c>
      <c r="H570" s="332">
        <f>H567*H569</f>
        <v>4.3500000000000005</v>
      </c>
      <c r="I570" s="721"/>
      <c r="J570" s="282" t="s">
        <v>446</v>
      </c>
      <c r="K570" s="282"/>
      <c r="L570" s="38"/>
      <c r="M570" s="329" t="s">
        <v>49</v>
      </c>
      <c r="N570" s="341">
        <f>N566*N569</f>
        <v>28</v>
      </c>
      <c r="O570" s="1"/>
      <c r="P570" s="1"/>
      <c r="Q570" s="1"/>
    </row>
    <row r="571" spans="1:17" ht="16.5" thickBot="1">
      <c r="A571" s="15"/>
      <c r="B571" s="282" t="s">
        <v>416</v>
      </c>
      <c r="C571" s="1"/>
      <c r="D571" s="1"/>
      <c r="E571" s="1"/>
      <c r="F571" s="723"/>
      <c r="G571" s="723"/>
      <c r="H571" s="14"/>
      <c r="I571" s="721"/>
      <c r="J571" s="284" t="s">
        <v>447</v>
      </c>
      <c r="K571" s="282"/>
      <c r="L571" s="38"/>
      <c r="M571" s="8627" t="s">
        <v>445</v>
      </c>
      <c r="N571" s="8628"/>
      <c r="O571" s="1"/>
      <c r="P571" s="1"/>
      <c r="Q571" s="1"/>
    </row>
    <row r="572" spans="1:17" ht="15.75">
      <c r="A572" s="15"/>
      <c r="B572" s="284" t="s">
        <v>426</v>
      </c>
      <c r="C572" s="1"/>
      <c r="D572" s="1"/>
      <c r="E572" s="1"/>
      <c r="F572" s="723"/>
      <c r="G572" s="8629" t="s">
        <v>453</v>
      </c>
      <c r="H572" s="8630"/>
      <c r="I572" s="721"/>
      <c r="J572" s="282" t="s">
        <v>448</v>
      </c>
      <c r="K572" s="282"/>
      <c r="L572" s="38"/>
      <c r="M572" s="10001" t="s">
        <v>446</v>
      </c>
      <c r="N572" s="10002"/>
      <c r="O572" s="1"/>
      <c r="P572" s="1"/>
      <c r="Q572" s="1"/>
    </row>
    <row r="573" spans="1:17" ht="15.75">
      <c r="A573" s="15"/>
      <c r="B573" s="282"/>
      <c r="C573" s="1"/>
      <c r="D573" s="1"/>
      <c r="E573" s="1"/>
      <c r="F573" s="723"/>
      <c r="G573" s="8631"/>
      <c r="H573" s="10000"/>
      <c r="I573" s="721"/>
      <c r="J573" s="284" t="s">
        <v>378</v>
      </c>
      <c r="K573" s="282"/>
      <c r="L573" s="38"/>
      <c r="M573" s="338">
        <f>N569</f>
        <v>0.2</v>
      </c>
      <c r="N573" s="339">
        <f>N566*M573</f>
        <v>28</v>
      </c>
      <c r="O573" s="301" t="s">
        <v>2</v>
      </c>
      <c r="P573" s="1"/>
      <c r="Q573" s="1"/>
    </row>
    <row r="574" spans="1:17" ht="15.75">
      <c r="A574" s="15"/>
      <c r="B574" s="285" t="s">
        <v>453</v>
      </c>
      <c r="C574" s="1"/>
      <c r="D574" s="1"/>
      <c r="E574" s="1"/>
      <c r="F574" s="723"/>
      <c r="G574" s="333" t="s">
        <v>53</v>
      </c>
      <c r="H574" s="566">
        <v>87</v>
      </c>
      <c r="I574" s="721"/>
      <c r="J574" s="282"/>
      <c r="K574" s="282"/>
      <c r="L574" s="38"/>
      <c r="M574" s="8635" t="s">
        <v>447</v>
      </c>
      <c r="N574" s="8636"/>
      <c r="O574" s="15"/>
      <c r="P574" s="1"/>
      <c r="Q574" s="1"/>
    </row>
    <row r="575" spans="1:17" ht="15.75">
      <c r="A575" s="15"/>
      <c r="B575" s="282" t="s">
        <v>419</v>
      </c>
      <c r="C575" s="1"/>
      <c r="D575" s="1"/>
      <c r="E575" s="1"/>
      <c r="F575" s="723"/>
      <c r="G575" s="335" t="s">
        <v>50</v>
      </c>
      <c r="H575" s="336">
        <v>5</v>
      </c>
      <c r="I575" s="721"/>
      <c r="J575" s="1"/>
      <c r="K575" s="282"/>
      <c r="L575" s="38"/>
      <c r="M575" s="294" t="s">
        <v>448</v>
      </c>
      <c r="N575" s="2"/>
      <c r="O575" s="15"/>
      <c r="P575" s="1"/>
      <c r="Q575" s="1"/>
    </row>
    <row r="576" spans="1:17" ht="15.75">
      <c r="A576" s="15"/>
      <c r="B576" s="284" t="s">
        <v>420</v>
      </c>
      <c r="C576" s="1"/>
      <c r="D576" s="1"/>
      <c r="E576" s="1"/>
      <c r="F576" s="723"/>
      <c r="G576" s="329" t="s">
        <v>461</v>
      </c>
      <c r="H576" s="330">
        <f>(100-H575)/100</f>
        <v>0.95</v>
      </c>
      <c r="I576" s="721"/>
      <c r="J576" s="1"/>
      <c r="K576" s="282"/>
      <c r="L576" s="38"/>
      <c r="M576" s="342" t="s">
        <v>50</v>
      </c>
      <c r="N576" s="343">
        <v>40</v>
      </c>
      <c r="O576" s="15"/>
      <c r="P576" s="1"/>
      <c r="Q576" s="1"/>
    </row>
    <row r="577" spans="1:17" ht="16.5" thickBot="1">
      <c r="A577" s="15"/>
      <c r="B577" s="282" t="s">
        <v>421</v>
      </c>
      <c r="C577" s="1"/>
      <c r="D577" s="1"/>
      <c r="E577" s="1"/>
      <c r="F577" s="723"/>
      <c r="G577" s="331" t="s">
        <v>47</v>
      </c>
      <c r="H577" s="332">
        <f>H574*H576</f>
        <v>82.649999999999991</v>
      </c>
      <c r="I577" s="721"/>
      <c r="J577" s="1"/>
      <c r="K577" s="282"/>
      <c r="L577" s="38"/>
      <c r="M577" s="338">
        <f>N576/100</f>
        <v>0.4</v>
      </c>
      <c r="N577" s="339">
        <f>N566*M577</f>
        <v>56</v>
      </c>
      <c r="O577" s="15"/>
      <c r="P577" s="1"/>
      <c r="Q577" s="1"/>
    </row>
    <row r="578" spans="1:17" ht="15.75">
      <c r="A578" s="15"/>
      <c r="B578" s="284" t="s">
        <v>425</v>
      </c>
      <c r="C578" s="1"/>
      <c r="D578" s="1"/>
      <c r="E578" s="1"/>
      <c r="F578" s="723"/>
      <c r="G578" s="723"/>
      <c r="H578" s="14"/>
      <c r="I578" s="721"/>
      <c r="J578" s="1"/>
      <c r="K578" s="282"/>
      <c r="L578" s="38"/>
      <c r="M578" s="342" t="s">
        <v>50</v>
      </c>
      <c r="N578" s="343">
        <v>90</v>
      </c>
      <c r="O578" s="15"/>
      <c r="P578" s="1"/>
      <c r="Q578" s="1"/>
    </row>
    <row r="579" spans="1:17" ht="15.75">
      <c r="A579" s="15"/>
      <c r="B579" s="282" t="s">
        <v>422</v>
      </c>
      <c r="C579" s="1"/>
      <c r="D579" s="1"/>
      <c r="E579" s="1"/>
      <c r="F579" s="723"/>
      <c r="G579" s="723"/>
      <c r="H579" s="14"/>
      <c r="I579" s="721"/>
      <c r="J579" s="1"/>
      <c r="K579" s="282"/>
      <c r="L579" s="38"/>
      <c r="M579" s="10001" t="s">
        <v>378</v>
      </c>
      <c r="N579" s="10002"/>
      <c r="O579" s="15"/>
      <c r="P579" s="1"/>
      <c r="Q579" s="1"/>
    </row>
    <row r="580" spans="1:17" ht="16.5" thickBot="1">
      <c r="A580" s="15"/>
      <c r="B580" s="282"/>
      <c r="C580" s="1"/>
      <c r="D580" s="1"/>
      <c r="E580" s="1"/>
      <c r="F580" s="723"/>
      <c r="G580" s="723"/>
      <c r="H580" s="14"/>
      <c r="I580" s="721"/>
      <c r="J580" s="1"/>
      <c r="K580" s="282"/>
      <c r="L580" s="38"/>
      <c r="M580" s="344">
        <f>N578/100</f>
        <v>0.9</v>
      </c>
      <c r="N580" s="340">
        <f>N566*M580</f>
        <v>126</v>
      </c>
      <c r="O580" s="15"/>
      <c r="P580" s="1"/>
      <c r="Q580" s="1"/>
    </row>
    <row r="581" spans="1:17" ht="15.75">
      <c r="A581" s="15"/>
      <c r="B581" s="282" t="s">
        <v>449</v>
      </c>
      <c r="C581" s="282"/>
      <c r="D581" s="38"/>
      <c r="E581" s="282"/>
      <c r="F581" s="282"/>
      <c r="G581" s="8637" t="s">
        <v>449</v>
      </c>
      <c r="H581" s="8638"/>
      <c r="I581" s="721"/>
      <c r="J581" s="282"/>
      <c r="K581" s="282"/>
      <c r="L581" s="282"/>
      <c r="M581" s="282"/>
      <c r="N581" s="282"/>
      <c r="O581" s="15"/>
      <c r="P581" s="1"/>
      <c r="Q581" s="1"/>
    </row>
    <row r="582" spans="1:17" ht="15.75">
      <c r="A582" s="15"/>
      <c r="B582" s="282" t="s">
        <v>450</v>
      </c>
      <c r="C582" s="282"/>
      <c r="D582" s="38"/>
      <c r="E582" s="282"/>
      <c r="F582" s="282"/>
      <c r="G582" s="8639"/>
      <c r="H582" s="10003"/>
      <c r="I582" s="721"/>
      <c r="J582" s="282"/>
      <c r="K582" s="282"/>
      <c r="L582" s="282"/>
      <c r="M582" s="282"/>
      <c r="N582" s="282"/>
      <c r="O582" s="15"/>
      <c r="P582" s="1"/>
      <c r="Q582" s="1"/>
    </row>
    <row r="583" spans="1:17" ht="15.75">
      <c r="A583" s="15"/>
      <c r="B583" s="282" t="s">
        <v>399</v>
      </c>
      <c r="C583" s="282"/>
      <c r="D583" s="38"/>
      <c r="E583" s="282"/>
      <c r="F583" s="282"/>
      <c r="G583" s="8621" t="s">
        <v>450</v>
      </c>
      <c r="H583" s="8622"/>
      <c r="I583" s="721"/>
      <c r="J583" s="282"/>
      <c r="K583" s="282"/>
      <c r="L583" s="282"/>
      <c r="M583" s="282"/>
      <c r="N583" s="282"/>
      <c r="O583" s="15"/>
      <c r="P583" s="1"/>
      <c r="Q583" s="1"/>
    </row>
    <row r="584" spans="1:17" ht="15.75">
      <c r="A584" s="15"/>
      <c r="B584" s="282" t="s">
        <v>400</v>
      </c>
      <c r="C584" s="282"/>
      <c r="D584" s="38"/>
      <c r="E584" s="282"/>
      <c r="F584" s="282"/>
      <c r="G584" s="8623" t="s">
        <v>399</v>
      </c>
      <c r="H584" s="9999"/>
      <c r="I584" s="721"/>
      <c r="J584" s="282"/>
      <c r="K584" s="282"/>
      <c r="L584" s="282"/>
      <c r="M584" s="282"/>
      <c r="N584" s="282"/>
      <c r="O584" s="15"/>
      <c r="P584" s="1"/>
      <c r="Q584" s="1"/>
    </row>
    <row r="585" spans="1:17" ht="15.75">
      <c r="A585" s="15"/>
      <c r="B585" s="282" t="s">
        <v>401</v>
      </c>
      <c r="C585" s="282"/>
      <c r="D585" s="38"/>
      <c r="E585" s="282"/>
      <c r="F585" s="282"/>
      <c r="G585" s="346" t="s">
        <v>53</v>
      </c>
      <c r="H585" s="347">
        <v>500</v>
      </c>
      <c r="I585" s="721"/>
      <c r="J585" s="282"/>
      <c r="K585" s="282"/>
      <c r="L585" s="282"/>
      <c r="M585" s="282"/>
      <c r="N585" s="282"/>
      <c r="O585" s="15"/>
      <c r="P585" s="1"/>
      <c r="Q585" s="1"/>
    </row>
    <row r="586" spans="1:17" ht="15.75">
      <c r="A586" s="15"/>
      <c r="B586" s="282" t="s">
        <v>402</v>
      </c>
      <c r="C586" s="282"/>
      <c r="D586" s="38"/>
      <c r="E586" s="282"/>
      <c r="F586" s="282"/>
      <c r="G586" s="342" t="s">
        <v>50</v>
      </c>
      <c r="H586" s="343">
        <v>8</v>
      </c>
      <c r="I586" s="721"/>
      <c r="J586" s="282"/>
      <c r="K586" s="282"/>
      <c r="L586" s="282"/>
      <c r="M586" s="282"/>
      <c r="N586" s="282"/>
      <c r="O586" s="15"/>
      <c r="P586" s="1"/>
      <c r="Q586" s="1"/>
    </row>
    <row r="587" spans="1:17" ht="15.75">
      <c r="A587" s="15"/>
      <c r="B587" s="282"/>
      <c r="C587" s="282"/>
      <c r="D587" s="38"/>
      <c r="E587" s="282"/>
      <c r="F587" s="282"/>
      <c r="G587" s="329" t="s">
        <v>49</v>
      </c>
      <c r="H587" s="341">
        <f>H585*(H586/100)</f>
        <v>40</v>
      </c>
      <c r="I587" s="721"/>
      <c r="J587" s="282"/>
      <c r="K587" s="282"/>
      <c r="L587" s="282"/>
      <c r="M587" s="282"/>
      <c r="N587" s="282"/>
      <c r="O587" s="15"/>
      <c r="P587" s="1"/>
      <c r="Q587" s="1"/>
    </row>
    <row r="588" spans="1:17" ht="15.75">
      <c r="A588" s="15"/>
      <c r="B588" s="282"/>
      <c r="C588" s="282"/>
      <c r="D588" s="38"/>
      <c r="E588" s="282"/>
      <c r="F588" s="282"/>
      <c r="G588" s="8625" t="s">
        <v>400</v>
      </c>
      <c r="H588" s="8626"/>
      <c r="I588" s="721"/>
      <c r="J588" s="282"/>
      <c r="K588" s="282"/>
      <c r="L588" s="282"/>
      <c r="M588" s="282"/>
      <c r="N588" s="282"/>
      <c r="O588" s="15"/>
      <c r="P588" s="1"/>
      <c r="Q588" s="1"/>
    </row>
    <row r="589" spans="1:17" ht="15.75">
      <c r="A589" s="15"/>
      <c r="B589" s="282"/>
      <c r="C589" s="282"/>
      <c r="D589" s="38"/>
      <c r="E589" s="282"/>
      <c r="F589" s="282"/>
      <c r="G589" s="8623" t="s">
        <v>401</v>
      </c>
      <c r="H589" s="9999"/>
      <c r="I589" s="721"/>
      <c r="J589" s="282"/>
      <c r="K589" s="282"/>
      <c r="L589" s="282"/>
      <c r="M589" s="282"/>
      <c r="N589" s="282"/>
      <c r="O589" s="15"/>
      <c r="P589" s="1"/>
      <c r="Q589" s="1"/>
    </row>
    <row r="590" spans="1:17" ht="16.5" thickBot="1">
      <c r="A590" s="15"/>
      <c r="B590" s="282"/>
      <c r="C590" s="282"/>
      <c r="D590" s="38"/>
      <c r="E590" s="282"/>
      <c r="F590" s="282"/>
      <c r="G590" s="345">
        <f>H586/100</f>
        <v>0.08</v>
      </c>
      <c r="H590" s="340">
        <f>H585*G590</f>
        <v>40</v>
      </c>
      <c r="I590" s="721"/>
      <c r="J590" s="282"/>
      <c r="K590" s="282"/>
      <c r="L590" s="282"/>
      <c r="M590" s="282"/>
      <c r="N590" s="282"/>
      <c r="O590" s="15"/>
      <c r="P590" s="1"/>
      <c r="Q590" s="1"/>
    </row>
    <row r="591" spans="1:17" ht="15.75">
      <c r="A591" s="15"/>
      <c r="B591" s="286"/>
      <c r="C591" s="1"/>
      <c r="D591" s="1"/>
      <c r="E591" s="1"/>
      <c r="F591" s="723"/>
      <c r="G591" s="723"/>
      <c r="H591" s="14"/>
      <c r="I591" s="721"/>
      <c r="J591" s="282"/>
      <c r="K591" s="282"/>
      <c r="L591" s="282"/>
      <c r="M591" s="282"/>
      <c r="N591" s="282"/>
      <c r="O591" s="15"/>
      <c r="P591" s="1"/>
      <c r="Q591" s="1"/>
    </row>
    <row r="592" spans="1:17" ht="16.5" thickBot="1">
      <c r="A592" s="15"/>
      <c r="B592" s="286"/>
      <c r="C592" s="1"/>
      <c r="D592" s="1"/>
      <c r="E592" s="1"/>
      <c r="F592" s="723"/>
      <c r="G592" s="723"/>
      <c r="H592" s="14"/>
      <c r="I592" s="721"/>
      <c r="J592" s="282"/>
      <c r="K592" s="282"/>
      <c r="L592" s="282"/>
      <c r="M592" s="282"/>
      <c r="N592" s="282"/>
      <c r="O592" s="15"/>
      <c r="P592" s="1"/>
      <c r="Q592" s="1"/>
    </row>
    <row r="593" spans="1:17" ht="20.25">
      <c r="A593" s="15"/>
      <c r="B593" s="567"/>
      <c r="C593" s="568"/>
      <c r="D593" s="568"/>
      <c r="E593" s="568"/>
      <c r="F593" s="568"/>
      <c r="G593" s="568"/>
      <c r="H593" s="569" t="s">
        <v>1297</v>
      </c>
      <c r="I593" s="721"/>
      <c r="J593" s="282"/>
      <c r="K593" s="282"/>
      <c r="L593" s="282"/>
      <c r="M593" s="282"/>
      <c r="N593" s="282"/>
      <c r="O593" s="15"/>
      <c r="P593" s="1"/>
      <c r="Q593" s="1"/>
    </row>
    <row r="594" spans="1:17" ht="15.75">
      <c r="A594" s="15"/>
      <c r="B594" s="943" t="s">
        <v>1298</v>
      </c>
      <c r="C594" s="570"/>
      <c r="D594" s="571" t="str">
        <f>IF(B595&lt;G595,"Recette imcomplète,il manque",IF(B595&gt;G595,"Trop de produits dans le recette",IF(B595=G595,"")))</f>
        <v>Recette imcomplète,il manque</v>
      </c>
      <c r="E594" s="944">
        <f>IF(B595=G595,"",IF(B595&lt;G595,G595-B595,IF(B595&gt;G595,B595-G595)))</f>
        <v>2.9999999999999916E-2</v>
      </c>
      <c r="F594" s="572" t="s">
        <v>368</v>
      </c>
      <c r="G594" s="573" t="s">
        <v>371</v>
      </c>
      <c r="H594" s="574" t="s">
        <v>367</v>
      </c>
      <c r="I594" s="721"/>
      <c r="J594" s="282"/>
      <c r="K594" s="282"/>
      <c r="L594" s="282"/>
      <c r="M594" s="282"/>
      <c r="N594" s="282"/>
      <c r="O594" s="15"/>
      <c r="P594" s="1"/>
      <c r="Q594" s="1"/>
    </row>
    <row r="595" spans="1:17" ht="15.75">
      <c r="A595" s="15"/>
      <c r="B595" s="575">
        <f>SUM(B596:B601)</f>
        <v>0.97000000000000008</v>
      </c>
      <c r="C595" s="576"/>
      <c r="D595" s="577"/>
      <c r="E595" s="578" t="s">
        <v>1299</v>
      </c>
      <c r="F595" s="945">
        <v>7</v>
      </c>
      <c r="G595" s="579">
        <v>1</v>
      </c>
      <c r="H595" s="580">
        <f>SUM(H596:H601)</f>
        <v>6.9300000000000006</v>
      </c>
      <c r="I595" s="721"/>
      <c r="J595" s="282"/>
      <c r="K595" s="282"/>
      <c r="L595" s="282"/>
      <c r="M595" s="282"/>
      <c r="N595" s="282"/>
      <c r="O595" s="15"/>
      <c r="P595" s="1"/>
      <c r="Q595" s="1"/>
    </row>
    <row r="596" spans="1:17" ht="15.75">
      <c r="A596" s="15"/>
      <c r="B596" s="581">
        <v>0.12</v>
      </c>
      <c r="C596" s="582" t="s">
        <v>1264</v>
      </c>
      <c r="D596" s="582"/>
      <c r="E596" s="582"/>
      <c r="F596" s="946">
        <f>F595*B596</f>
        <v>0.84</v>
      </c>
      <c r="G596" s="583">
        <v>0</v>
      </c>
      <c r="H596" s="584">
        <f t="shared" ref="H596:H601" si="3">IF(G596=0,F596,IF(F596="","",F596/(100-G596)*100))</f>
        <v>0.84</v>
      </c>
      <c r="I596" s="721"/>
      <c r="J596" s="282"/>
      <c r="K596" s="282"/>
      <c r="L596" s="282"/>
      <c r="M596" s="282"/>
      <c r="N596" s="282"/>
      <c r="O596" s="15"/>
      <c r="P596" s="1"/>
      <c r="Q596" s="1"/>
    </row>
    <row r="597" spans="1:17" ht="15.75">
      <c r="A597" s="15"/>
      <c r="B597" s="581">
        <v>0.08</v>
      </c>
      <c r="C597" s="582" t="s">
        <v>1300</v>
      </c>
      <c r="D597" s="582"/>
      <c r="E597" s="582"/>
      <c r="F597" s="585">
        <f>F595*B597</f>
        <v>0.56000000000000005</v>
      </c>
      <c r="G597" s="583">
        <v>0</v>
      </c>
      <c r="H597" s="584">
        <f t="shared" si="3"/>
        <v>0.56000000000000005</v>
      </c>
      <c r="I597" s="721"/>
      <c r="J597" s="282"/>
      <c r="K597" s="282"/>
      <c r="L597" s="282"/>
      <c r="M597" s="282"/>
      <c r="N597" s="282"/>
      <c r="O597" s="15"/>
      <c r="P597" s="1"/>
      <c r="Q597" s="1"/>
    </row>
    <row r="598" spans="1:17" ht="15.75">
      <c r="A598" s="15"/>
      <c r="B598" s="581">
        <v>0.2</v>
      </c>
      <c r="C598" s="582" t="s">
        <v>1301</v>
      </c>
      <c r="D598" s="582"/>
      <c r="E598" s="582"/>
      <c r="F598" s="585">
        <f>F595*B598</f>
        <v>1.4000000000000001</v>
      </c>
      <c r="G598" s="583">
        <v>0</v>
      </c>
      <c r="H598" s="584">
        <f t="shared" si="3"/>
        <v>1.4000000000000001</v>
      </c>
      <c r="I598" s="721"/>
      <c r="J598" s="282"/>
      <c r="K598" s="282"/>
      <c r="L598" s="282"/>
      <c r="M598" s="282"/>
      <c r="N598" s="282"/>
      <c r="O598" s="15"/>
      <c r="P598" s="1"/>
      <c r="Q598" s="1"/>
    </row>
    <row r="599" spans="1:17" ht="15.75">
      <c r="A599" s="15"/>
      <c r="B599" s="581">
        <v>0.55000000000000004</v>
      </c>
      <c r="C599" s="582" t="s">
        <v>1278</v>
      </c>
      <c r="D599" s="582"/>
      <c r="E599" s="582"/>
      <c r="F599" s="585">
        <f>F595*B599</f>
        <v>3.8500000000000005</v>
      </c>
      <c r="G599" s="583">
        <v>0</v>
      </c>
      <c r="H599" s="584">
        <f t="shared" si="3"/>
        <v>3.8500000000000005</v>
      </c>
      <c r="I599" s="721"/>
      <c r="J599" s="282"/>
      <c r="K599" s="282"/>
      <c r="L599" s="282"/>
      <c r="M599" s="282"/>
      <c r="N599" s="282"/>
      <c r="O599" s="15"/>
      <c r="P599" s="1"/>
      <c r="Q599" s="1"/>
    </row>
    <row r="600" spans="1:17" ht="15.75">
      <c r="A600" s="15"/>
      <c r="B600" s="581">
        <v>0.02</v>
      </c>
      <c r="C600" s="582" t="s">
        <v>1302</v>
      </c>
      <c r="D600" s="582"/>
      <c r="E600" s="582"/>
      <c r="F600" s="585">
        <f>F595*B600</f>
        <v>0.14000000000000001</v>
      </c>
      <c r="G600" s="583">
        <v>50</v>
      </c>
      <c r="H600" s="584">
        <f t="shared" si="3"/>
        <v>0.28000000000000003</v>
      </c>
      <c r="I600" s="721"/>
      <c r="J600" s="282"/>
      <c r="K600" s="282"/>
      <c r="L600" s="282"/>
      <c r="M600" s="282"/>
      <c r="N600" s="282"/>
      <c r="O600" s="15"/>
      <c r="P600" s="1"/>
      <c r="Q600" s="1"/>
    </row>
    <row r="601" spans="1:17" ht="16.5" thickBot="1">
      <c r="A601" s="15"/>
      <c r="B601" s="586"/>
      <c r="C601" s="587"/>
      <c r="D601" s="587"/>
      <c r="E601" s="587"/>
      <c r="F601" s="588">
        <f>F595*B601</f>
        <v>0</v>
      </c>
      <c r="G601" s="589">
        <v>0</v>
      </c>
      <c r="H601" s="590">
        <f t="shared" si="3"/>
        <v>0</v>
      </c>
      <c r="I601" s="721"/>
      <c r="J601" s="282"/>
      <c r="K601" s="282"/>
      <c r="L601" s="282"/>
      <c r="M601" s="282"/>
      <c r="N601" s="282"/>
      <c r="O601" s="15"/>
      <c r="P601" s="1"/>
      <c r="Q601" s="1"/>
    </row>
    <row r="602" spans="1:17" ht="15.75">
      <c r="A602" s="15"/>
      <c r="B602" s="286"/>
      <c r="C602" s="1"/>
      <c r="D602" s="1"/>
      <c r="E602" s="1"/>
      <c r="F602" s="723"/>
      <c r="G602" s="723"/>
      <c r="H602" s="14"/>
      <c r="I602" s="721"/>
      <c r="J602" s="282"/>
      <c r="K602" s="282"/>
      <c r="L602" s="282"/>
      <c r="M602" s="282"/>
      <c r="N602" s="282"/>
      <c r="O602" s="15"/>
      <c r="P602" s="1"/>
      <c r="Q602" s="1"/>
    </row>
    <row r="603" spans="1:17">
      <c r="A603" s="525"/>
      <c r="B603" s="526"/>
      <c r="C603" s="527"/>
      <c r="D603" s="527"/>
      <c r="E603" s="527"/>
      <c r="F603" s="527"/>
      <c r="G603" s="527"/>
      <c r="H603" s="527"/>
      <c r="I603" s="527"/>
      <c r="J603" s="526"/>
      <c r="K603" s="526"/>
      <c r="L603" s="526"/>
      <c r="M603" s="525"/>
      <c r="N603" s="525"/>
      <c r="O603" s="525"/>
      <c r="P603" s="525"/>
      <c r="Q603" s="525"/>
    </row>
    <row r="604" spans="1:17" ht="15.75">
      <c r="A604" s="15"/>
      <c r="B604" s="286"/>
      <c r="C604" s="1"/>
      <c r="D604" s="1"/>
      <c r="E604" s="1"/>
      <c r="F604" s="723"/>
      <c r="G604" s="723"/>
      <c r="H604" s="14"/>
      <c r="I604" s="721"/>
      <c r="J604" s="282"/>
      <c r="K604" s="282"/>
      <c r="L604" s="282"/>
      <c r="M604" s="282"/>
      <c r="N604" s="282"/>
      <c r="O604" s="15"/>
      <c r="P604" s="1"/>
      <c r="Q604" s="1"/>
    </row>
    <row r="605" spans="1:17" ht="15.75">
      <c r="A605" s="15"/>
      <c r="B605" s="286" t="s">
        <v>377</v>
      </c>
      <c r="C605" s="1"/>
      <c r="D605" s="1"/>
      <c r="E605" s="1"/>
      <c r="F605" s="723"/>
      <c r="G605" s="723"/>
      <c r="H605" s="14"/>
      <c r="I605" s="721"/>
      <c r="J605" s="282"/>
      <c r="K605" s="282"/>
      <c r="L605" s="38"/>
      <c r="M605" s="348"/>
      <c r="N605" s="349"/>
      <c r="O605" s="15"/>
      <c r="P605" s="1"/>
      <c r="Q605" s="1"/>
    </row>
    <row r="606" spans="1:17" ht="15.75">
      <c r="A606" s="15"/>
      <c r="B606" s="8617" t="s">
        <v>379</v>
      </c>
      <c r="C606" s="8617"/>
      <c r="D606" s="8617"/>
      <c r="E606" s="8617"/>
      <c r="F606" s="8617"/>
      <c r="G606" s="8617"/>
      <c r="H606" s="14"/>
      <c r="I606" s="721"/>
      <c r="J606" s="282" t="s">
        <v>406</v>
      </c>
      <c r="K606" s="282"/>
      <c r="L606" s="38"/>
      <c r="M606" s="721"/>
      <c r="N606" s="721"/>
      <c r="O606" s="15"/>
      <c r="P606" s="1"/>
      <c r="Q606" s="1"/>
    </row>
    <row r="607" spans="1:17" ht="15.75">
      <c r="A607" s="15"/>
      <c r="B607" s="282"/>
      <c r="C607" s="1"/>
      <c r="D607" s="1"/>
      <c r="E607" s="1"/>
      <c r="F607" s="723"/>
      <c r="G607" s="723"/>
      <c r="H607" s="14"/>
      <c r="I607" s="721"/>
      <c r="J607" s="283" t="s">
        <v>405</v>
      </c>
      <c r="K607" s="282"/>
      <c r="L607" s="38"/>
      <c r="M607" s="721"/>
      <c r="N607" s="721"/>
      <c r="O607" s="15"/>
      <c r="P607" s="1"/>
      <c r="Q607" s="1"/>
    </row>
    <row r="608" spans="1:17" ht="15.75">
      <c r="A608" s="15"/>
      <c r="B608" s="282" t="s">
        <v>381</v>
      </c>
      <c r="C608" s="1"/>
      <c r="D608" s="1"/>
      <c r="E608" s="1"/>
      <c r="F608" s="723"/>
      <c r="G608" s="723"/>
      <c r="H608" s="14"/>
      <c r="I608" s="721"/>
      <c r="J608" s="282"/>
      <c r="K608" s="282"/>
      <c r="L608" s="38"/>
      <c r="M608" s="721"/>
      <c r="N608" s="721"/>
      <c r="O608" s="15"/>
      <c r="P608" s="1"/>
      <c r="Q608" s="1"/>
    </row>
    <row r="609" spans="1:17" ht="15.75">
      <c r="A609" s="15"/>
      <c r="B609" s="282" t="s">
        <v>382</v>
      </c>
      <c r="C609" s="1"/>
      <c r="D609" s="1"/>
      <c r="E609" s="1"/>
      <c r="F609" s="723"/>
      <c r="G609" s="723"/>
      <c r="H609" s="14"/>
      <c r="I609" s="721"/>
      <c r="J609" s="282" t="s">
        <v>385</v>
      </c>
      <c r="K609" s="282"/>
      <c r="L609" s="38"/>
      <c r="M609" s="721"/>
      <c r="N609" s="721"/>
      <c r="O609" s="15"/>
      <c r="P609" s="1"/>
      <c r="Q609" s="1"/>
    </row>
    <row r="610" spans="1:17" ht="15.75">
      <c r="A610" s="15"/>
      <c r="B610" s="282" t="s">
        <v>383</v>
      </c>
      <c r="C610" s="1"/>
      <c r="D610" s="1"/>
      <c r="E610" s="1"/>
      <c r="F610" s="723"/>
      <c r="G610" s="723"/>
      <c r="H610" s="14"/>
      <c r="I610" s="721"/>
      <c r="J610" s="282" t="s">
        <v>386</v>
      </c>
      <c r="K610" s="282"/>
      <c r="L610" s="38"/>
      <c r="M610" s="721"/>
      <c r="N610" s="721"/>
      <c r="O610" s="15"/>
      <c r="P610" s="1"/>
      <c r="Q610" s="1"/>
    </row>
    <row r="611" spans="1:17" ht="15.75">
      <c r="A611" s="15"/>
      <c r="B611" s="282" t="s">
        <v>384</v>
      </c>
      <c r="C611" s="1"/>
      <c r="D611" s="1"/>
      <c r="E611" s="1"/>
      <c r="F611" s="723"/>
      <c r="G611" s="723"/>
      <c r="H611" s="14"/>
      <c r="I611" s="721"/>
      <c r="J611" s="282" t="s">
        <v>387</v>
      </c>
      <c r="K611" s="282"/>
      <c r="L611" s="38"/>
      <c r="M611" s="721"/>
      <c r="N611" s="721"/>
      <c r="O611" s="15"/>
      <c r="P611" s="15"/>
      <c r="Q611" s="14"/>
    </row>
    <row r="612" spans="1:17" ht="15.75">
      <c r="A612" s="15"/>
      <c r="B612" s="8617" t="s">
        <v>380</v>
      </c>
      <c r="C612" s="8617"/>
      <c r="D612" s="8617"/>
      <c r="E612" s="8617"/>
      <c r="F612" s="723"/>
      <c r="G612" s="723"/>
      <c r="H612" s="14"/>
      <c r="I612" s="721"/>
      <c r="J612" s="282" t="s">
        <v>390</v>
      </c>
      <c r="K612" s="282"/>
      <c r="L612" s="38"/>
      <c r="M612" s="721"/>
      <c r="N612" s="721"/>
      <c r="O612" s="15"/>
      <c r="P612" s="15"/>
      <c r="Q612" s="14"/>
    </row>
    <row r="613" spans="1:17" ht="15.75">
      <c r="A613" s="15"/>
      <c r="B613" s="282"/>
      <c r="C613" s="1"/>
      <c r="D613" s="1"/>
      <c r="E613" s="1"/>
      <c r="F613" s="723"/>
      <c r="G613" s="723"/>
      <c r="H613" s="14"/>
      <c r="I613" s="721"/>
      <c r="J613" s="283" t="s">
        <v>388</v>
      </c>
      <c r="K613" s="282"/>
      <c r="L613" s="38"/>
      <c r="M613" s="721"/>
      <c r="N613" s="721"/>
      <c r="O613" s="15"/>
      <c r="P613" s="15"/>
      <c r="Q613" s="14"/>
    </row>
    <row r="614" spans="1:17" ht="15.75">
      <c r="A614" s="15"/>
      <c r="B614" s="284" t="s">
        <v>423</v>
      </c>
      <c r="C614" s="1"/>
      <c r="D614" s="1"/>
      <c r="E614" s="1"/>
      <c r="F614" s="723"/>
      <c r="G614" s="723"/>
      <c r="H614" s="14"/>
      <c r="I614" s="721"/>
      <c r="J614" s="283" t="s">
        <v>389</v>
      </c>
      <c r="K614" s="282"/>
      <c r="L614" s="38"/>
      <c r="M614" s="721"/>
      <c r="N614" s="721"/>
      <c r="O614" s="15"/>
      <c r="P614" s="15"/>
      <c r="Q614" s="14"/>
    </row>
    <row r="615" spans="1:17" ht="15.75">
      <c r="A615" s="15"/>
      <c r="B615" s="8617" t="s">
        <v>427</v>
      </c>
      <c r="C615" s="8617"/>
      <c r="D615" s="8617"/>
      <c r="E615" s="8617"/>
      <c r="F615" s="8617"/>
      <c r="G615" s="723"/>
      <c r="H615" s="14"/>
      <c r="I615" s="721"/>
      <c r="J615" s="282"/>
      <c r="K615" s="282"/>
      <c r="L615" s="38"/>
      <c r="M615" s="721"/>
      <c r="N615" s="721"/>
      <c r="O615" s="15"/>
      <c r="P615" s="15"/>
      <c r="Q615" s="14"/>
    </row>
    <row r="616" spans="1:17" ht="15.75">
      <c r="A616" s="15"/>
      <c r="B616" s="282"/>
      <c r="C616" s="1"/>
      <c r="D616" s="1"/>
      <c r="E616" s="1"/>
      <c r="F616" s="723"/>
      <c r="G616" s="723"/>
      <c r="H616" s="14"/>
      <c r="I616" s="721"/>
      <c r="J616" s="284" t="s">
        <v>433</v>
      </c>
      <c r="K616" s="282"/>
      <c r="L616" s="38"/>
      <c r="M616" s="721"/>
      <c r="N616" s="721"/>
      <c r="O616" s="15"/>
      <c r="P616" s="15"/>
      <c r="Q616" s="14"/>
    </row>
    <row r="617" spans="1:17" ht="15.75">
      <c r="A617" s="15"/>
      <c r="B617" s="282"/>
      <c r="C617" s="1"/>
      <c r="D617" s="1"/>
      <c r="E617" s="1"/>
      <c r="F617" s="723"/>
      <c r="G617" s="723"/>
      <c r="H617" s="14"/>
      <c r="I617" s="721"/>
      <c r="J617" s="283" t="s">
        <v>434</v>
      </c>
      <c r="K617" s="282"/>
      <c r="L617" s="38"/>
      <c r="M617" s="721"/>
      <c r="N617" s="721"/>
      <c r="O617" s="15"/>
      <c r="P617" s="15"/>
      <c r="Q617" s="14"/>
    </row>
    <row r="618" spans="1:17" ht="15.75">
      <c r="A618" s="15"/>
      <c r="B618" s="284" t="s">
        <v>391</v>
      </c>
      <c r="C618" s="1"/>
      <c r="D618" s="1"/>
      <c r="E618" s="1"/>
      <c r="F618" s="723"/>
      <c r="G618" s="723"/>
      <c r="H618" s="14"/>
      <c r="I618" s="721"/>
      <c r="J618" s="282"/>
      <c r="K618" s="282"/>
      <c r="L618" s="38"/>
      <c r="M618" s="721"/>
      <c r="N618" s="721"/>
      <c r="O618" s="15"/>
      <c r="P618" s="15"/>
      <c r="Q618" s="14"/>
    </row>
    <row r="619" spans="1:17" ht="15.75">
      <c r="A619" s="15"/>
      <c r="B619" s="8617" t="s">
        <v>393</v>
      </c>
      <c r="C619" s="8617"/>
      <c r="D619" s="8617"/>
      <c r="E619" s="8617"/>
      <c r="F619" s="8617"/>
      <c r="G619" s="8617"/>
      <c r="H619" s="14"/>
      <c r="I619" s="721"/>
      <c r="J619" s="282" t="s">
        <v>408</v>
      </c>
      <c r="K619" s="282"/>
      <c r="L619" s="38"/>
      <c r="M619" s="721"/>
      <c r="N619" s="721"/>
      <c r="O619" s="15"/>
      <c r="P619" s="15"/>
      <c r="Q619" s="14"/>
    </row>
    <row r="620" spans="1:17" ht="15.75">
      <c r="A620" s="15"/>
      <c r="B620" s="8617" t="s">
        <v>392</v>
      </c>
      <c r="C620" s="8617"/>
      <c r="D620" s="8617"/>
      <c r="E620" s="8617"/>
      <c r="F620" s="8617"/>
      <c r="G620" s="8617"/>
      <c r="H620" s="14"/>
      <c r="I620" s="721"/>
      <c r="J620" s="283" t="s">
        <v>407</v>
      </c>
      <c r="K620" s="282"/>
      <c r="L620" s="38"/>
      <c r="M620" s="721"/>
      <c r="N620" s="721"/>
      <c r="O620" s="15"/>
      <c r="P620" s="15"/>
      <c r="Q620" s="14"/>
    </row>
    <row r="621" spans="1:17" ht="15.75">
      <c r="A621" s="15"/>
      <c r="B621" s="282"/>
      <c r="C621" s="1"/>
      <c r="D621" s="1"/>
      <c r="E621" s="1"/>
      <c r="F621" s="723"/>
      <c r="G621" s="723"/>
      <c r="H621" s="14"/>
      <c r="I621" s="721"/>
      <c r="J621" s="282"/>
      <c r="K621" s="282"/>
      <c r="L621" s="38"/>
      <c r="M621" s="721"/>
      <c r="N621" s="721"/>
      <c r="O621" s="15"/>
      <c r="P621" s="15"/>
      <c r="Q621" s="14"/>
    </row>
    <row r="622" spans="1:17" ht="15.75">
      <c r="A622" s="15"/>
      <c r="B622" s="284" t="s">
        <v>394</v>
      </c>
      <c r="C622" s="1"/>
      <c r="D622" s="1"/>
      <c r="E622" s="1"/>
      <c r="F622" s="723"/>
      <c r="G622" s="723"/>
      <c r="H622" s="14"/>
      <c r="I622" s="721"/>
      <c r="J622" s="282" t="s">
        <v>441</v>
      </c>
      <c r="K622" s="282"/>
      <c r="L622" s="38"/>
      <c r="M622" s="721"/>
      <c r="N622" s="721"/>
      <c r="O622" s="15"/>
      <c r="P622" s="15"/>
      <c r="Q622" s="14"/>
    </row>
    <row r="623" spans="1:17" ht="15.75">
      <c r="A623" s="15"/>
      <c r="B623" s="282" t="s">
        <v>396</v>
      </c>
      <c r="C623" s="1"/>
      <c r="D623" s="1"/>
      <c r="E623" s="1"/>
      <c r="F623" s="723"/>
      <c r="G623" s="723"/>
      <c r="H623" s="14"/>
      <c r="I623" s="721"/>
      <c r="J623" s="283" t="s">
        <v>440</v>
      </c>
      <c r="K623" s="282"/>
      <c r="L623" s="38"/>
      <c r="M623" s="721"/>
      <c r="N623" s="721"/>
      <c r="O623" s="15"/>
      <c r="P623" s="15"/>
      <c r="Q623" s="14"/>
    </row>
    <row r="624" spans="1:17" ht="15.75">
      <c r="A624" s="15"/>
      <c r="B624" s="282" t="s">
        <v>397</v>
      </c>
      <c r="C624" s="1"/>
      <c r="D624" s="1"/>
      <c r="E624" s="1"/>
      <c r="F624" s="723"/>
      <c r="G624" s="723"/>
      <c r="H624" s="14"/>
      <c r="I624" s="721"/>
      <c r="J624" s="282"/>
      <c r="K624" s="282"/>
      <c r="L624" s="38"/>
      <c r="M624" s="721"/>
      <c r="N624" s="721"/>
      <c r="O624" s="15"/>
      <c r="P624" s="15"/>
      <c r="Q624" s="14"/>
    </row>
    <row r="625" spans="1:17" ht="15.75">
      <c r="A625" s="15"/>
      <c r="B625" s="282" t="s">
        <v>398</v>
      </c>
      <c r="C625" s="1"/>
      <c r="D625" s="1"/>
      <c r="E625" s="1"/>
      <c r="F625" s="723"/>
      <c r="G625" s="723"/>
      <c r="H625" s="14"/>
      <c r="I625" s="721"/>
      <c r="J625" s="285" t="s">
        <v>412</v>
      </c>
      <c r="K625" s="282"/>
      <c r="L625" s="38"/>
      <c r="M625" s="721"/>
      <c r="N625" s="721"/>
      <c r="O625" s="15"/>
      <c r="P625" s="15"/>
      <c r="Q625" s="14"/>
    </row>
    <row r="626" spans="1:17" ht="15.75">
      <c r="A626" s="15"/>
      <c r="B626" s="8617" t="s">
        <v>395</v>
      </c>
      <c r="C626" s="8617"/>
      <c r="D626" s="8617"/>
      <c r="E626" s="8617"/>
      <c r="F626" s="8617"/>
      <c r="G626" s="723"/>
      <c r="H626" s="14"/>
      <c r="I626" s="721"/>
      <c r="J626" s="283" t="s">
        <v>413</v>
      </c>
      <c r="K626" s="282"/>
      <c r="L626" s="38"/>
      <c r="M626" s="721"/>
      <c r="N626" s="721"/>
      <c r="O626" s="15"/>
      <c r="P626" s="15"/>
      <c r="Q626" s="14"/>
    </row>
    <row r="627" spans="1:17" ht="15.75">
      <c r="A627" s="15"/>
      <c r="B627" s="282"/>
      <c r="C627" s="1"/>
      <c r="D627" s="1"/>
      <c r="E627" s="1"/>
      <c r="F627" s="723"/>
      <c r="G627" s="723"/>
      <c r="H627" s="14"/>
      <c r="I627" s="721"/>
      <c r="J627" s="283" t="s">
        <v>437</v>
      </c>
      <c r="K627" s="282"/>
      <c r="L627" s="38"/>
      <c r="M627" s="721"/>
      <c r="N627" s="721"/>
      <c r="O627" s="15"/>
      <c r="P627" s="15"/>
      <c r="Q627" s="14"/>
    </row>
    <row r="628" spans="1:17" ht="15.75">
      <c r="A628" s="15"/>
      <c r="B628" s="282"/>
      <c r="C628" s="1"/>
      <c r="D628" s="1"/>
      <c r="E628" s="1"/>
      <c r="F628" s="723"/>
      <c r="G628" s="723"/>
      <c r="H628" s="14"/>
      <c r="I628" s="721"/>
      <c r="J628" s="283" t="s">
        <v>438</v>
      </c>
      <c r="K628" s="282"/>
      <c r="L628" s="38"/>
      <c r="M628" s="721"/>
      <c r="N628" s="721"/>
      <c r="O628" s="15"/>
      <c r="P628" s="15"/>
      <c r="Q628" s="14"/>
    </row>
    <row r="629" spans="1:17" ht="15.75">
      <c r="A629" s="15"/>
      <c r="B629" s="282" t="s">
        <v>404</v>
      </c>
      <c r="C629" s="1"/>
      <c r="D629" s="1"/>
      <c r="E629" s="1"/>
      <c r="F629" s="723"/>
      <c r="G629" s="723"/>
      <c r="H629" s="14"/>
      <c r="I629" s="721"/>
      <c r="J629" s="282"/>
      <c r="K629" s="282"/>
      <c r="L629" s="38"/>
      <c r="M629" s="721"/>
      <c r="N629" s="721"/>
      <c r="O629" s="15"/>
      <c r="P629" s="15"/>
      <c r="Q629" s="14"/>
    </row>
    <row r="630" spans="1:17" ht="15.75">
      <c r="A630" s="15"/>
      <c r="B630" s="8617" t="s">
        <v>403</v>
      </c>
      <c r="C630" s="8617"/>
      <c r="D630" s="8617"/>
      <c r="E630" s="8617"/>
      <c r="F630" s="723"/>
      <c r="G630" s="723"/>
      <c r="H630" s="14"/>
      <c r="I630" s="721"/>
      <c r="J630" s="284" t="s">
        <v>435</v>
      </c>
      <c r="K630" s="282"/>
      <c r="L630" s="38"/>
      <c r="M630" s="721"/>
      <c r="N630" s="721"/>
      <c r="O630" s="15"/>
      <c r="P630" s="15"/>
      <c r="Q630" s="14"/>
    </row>
    <row r="631" spans="1:17" ht="15.75">
      <c r="A631" s="15"/>
      <c r="B631" s="282"/>
      <c r="C631" s="1"/>
      <c r="D631" s="1"/>
      <c r="E631" s="1"/>
      <c r="F631" s="723"/>
      <c r="G631" s="723"/>
      <c r="H631" s="14"/>
      <c r="I631" s="721"/>
      <c r="J631" s="283" t="s">
        <v>436</v>
      </c>
      <c r="K631" s="282"/>
      <c r="L631" s="38"/>
      <c r="M631" s="721"/>
      <c r="N631" s="721"/>
      <c r="O631" s="15"/>
      <c r="P631" s="15"/>
      <c r="Q631" s="14"/>
    </row>
    <row r="632" spans="1:17" ht="15.75">
      <c r="A632" s="15"/>
      <c r="B632" s="282"/>
      <c r="C632" s="1"/>
      <c r="D632" s="1"/>
      <c r="E632" s="1"/>
      <c r="F632" s="723"/>
      <c r="G632" s="723"/>
      <c r="H632" s="14"/>
      <c r="I632" s="721"/>
      <c r="J632" s="283"/>
      <c r="K632" s="282"/>
      <c r="L632" s="38"/>
      <c r="M632" s="721"/>
      <c r="N632" s="721"/>
      <c r="O632" s="15"/>
      <c r="P632" s="15"/>
      <c r="Q632" s="14"/>
    </row>
    <row r="633" spans="1:17">
      <c r="A633" s="525"/>
      <c r="B633" s="526"/>
      <c r="C633" s="527"/>
      <c r="D633" s="527"/>
      <c r="E633" s="527"/>
      <c r="F633" s="527"/>
      <c r="G633" s="527"/>
      <c r="H633" s="527"/>
      <c r="I633" s="527"/>
      <c r="J633" s="526"/>
      <c r="K633" s="526"/>
      <c r="L633" s="526"/>
      <c r="M633" s="525"/>
      <c r="N633" s="525"/>
      <c r="O633" s="525"/>
      <c r="P633" s="525"/>
      <c r="Q633" s="525"/>
    </row>
    <row r="634" spans="1:17">
      <c r="A634" s="15"/>
      <c r="B634" s="14"/>
      <c r="C634" s="14"/>
      <c r="D634" s="14"/>
      <c r="E634" s="14"/>
      <c r="F634" s="14"/>
      <c r="G634" s="14"/>
      <c r="H634" s="14"/>
      <c r="I634" s="14"/>
      <c r="J634" s="14"/>
      <c r="K634" s="14"/>
      <c r="L634" s="14"/>
      <c r="M634" s="14"/>
      <c r="N634" s="14"/>
      <c r="O634" s="14"/>
      <c r="P634" s="14"/>
      <c r="Q634" s="14"/>
    </row>
    <row r="635" spans="1:17">
      <c r="A635" s="15"/>
      <c r="B635" s="14"/>
      <c r="C635" s="14"/>
      <c r="D635" s="14"/>
      <c r="E635" s="14"/>
      <c r="F635" s="14"/>
      <c r="G635" s="14"/>
      <c r="H635" s="14"/>
      <c r="I635" s="14"/>
      <c r="J635" s="14"/>
      <c r="K635" s="14"/>
      <c r="L635" s="14"/>
      <c r="M635" s="14"/>
      <c r="N635" s="14"/>
      <c r="O635" s="14"/>
      <c r="P635" s="14"/>
      <c r="Q635" s="14"/>
    </row>
    <row r="636" spans="1:17" ht="15.75">
      <c r="A636" s="15"/>
      <c r="B636" s="14"/>
      <c r="C636" s="14"/>
      <c r="D636" s="14"/>
      <c r="E636" s="14"/>
      <c r="F636" s="14"/>
      <c r="G636" s="82" t="str">
        <f>SUBSTITUTE(ADDRESS(1,COLUMN(),4),"1","")</f>
        <v>G</v>
      </c>
      <c r="H636" s="14" t="s">
        <v>225</v>
      </c>
      <c r="I636" s="14"/>
      <c r="J636" s="14"/>
      <c r="K636" s="14"/>
      <c r="L636" s="14"/>
      <c r="M636" s="14"/>
      <c r="N636" s="14"/>
      <c r="O636" s="14"/>
      <c r="P636" s="14"/>
      <c r="Q636" s="14"/>
    </row>
    <row r="637" spans="1:17" ht="15.75">
      <c r="A637" s="15"/>
      <c r="B637" s="14"/>
      <c r="C637" s="9996" t="s">
        <v>226</v>
      </c>
      <c r="D637" s="9997"/>
      <c r="E637" s="9997"/>
      <c r="F637" s="9997"/>
      <c r="G637" s="9997"/>
      <c r="H637" s="9997"/>
      <c r="I637" s="9997"/>
      <c r="J637" s="9997"/>
      <c r="K637" s="9997"/>
      <c r="L637" s="9998"/>
      <c r="M637" s="15"/>
      <c r="N637" s="15"/>
      <c r="O637" s="15"/>
      <c r="P637" s="15"/>
      <c r="Q637" s="15"/>
    </row>
    <row r="638" spans="1:17">
      <c r="A638" s="15"/>
      <c r="B638" s="14"/>
      <c r="C638" s="8612" t="s">
        <v>227</v>
      </c>
      <c r="D638" s="8613"/>
      <c r="E638" s="8613"/>
      <c r="F638" s="83">
        <v>1</v>
      </c>
      <c r="G638" s="84">
        <f>F638</f>
        <v>1</v>
      </c>
      <c r="H638" s="8614" t="s">
        <v>45</v>
      </c>
      <c r="I638" s="8614"/>
      <c r="J638" s="85" t="s">
        <v>228</v>
      </c>
      <c r="K638" s="8615" t="s">
        <v>46</v>
      </c>
      <c r="L638" s="9995"/>
      <c r="M638" s="15"/>
      <c r="N638" s="15"/>
      <c r="O638" s="15"/>
      <c r="P638" s="15"/>
      <c r="Q638" s="15"/>
    </row>
    <row r="639" spans="1:17">
      <c r="A639" s="15"/>
      <c r="B639" s="14"/>
      <c r="C639" s="8607" t="s">
        <v>229</v>
      </c>
      <c r="D639" s="8608"/>
      <c r="E639" s="8608"/>
      <c r="F639" s="86">
        <v>25</v>
      </c>
      <c r="G639" s="84">
        <f>G638</f>
        <v>1</v>
      </c>
      <c r="H639" s="8609">
        <f t="shared" ref="H639:H645" si="4">(G639*F639)/100</f>
        <v>0.25</v>
      </c>
      <c r="I639" s="8609"/>
      <c r="J639" s="87">
        <v>20</v>
      </c>
      <c r="K639" s="8610">
        <f t="shared" ref="K639:K645" si="5">H639/(100-J639)*100</f>
        <v>0.3125</v>
      </c>
      <c r="L639" s="9994"/>
      <c r="M639" s="15"/>
      <c r="N639" s="15"/>
      <c r="O639" s="15"/>
      <c r="P639" s="15"/>
      <c r="Q639" s="15"/>
    </row>
    <row r="640" spans="1:17">
      <c r="A640" s="15"/>
      <c r="B640" s="14"/>
      <c r="C640" s="8607" t="s">
        <v>230</v>
      </c>
      <c r="D640" s="8608"/>
      <c r="E640" s="8608"/>
      <c r="F640" s="86">
        <v>20</v>
      </c>
      <c r="G640" s="84">
        <f>G638</f>
        <v>1</v>
      </c>
      <c r="H640" s="8609">
        <f t="shared" si="4"/>
        <v>0.2</v>
      </c>
      <c r="I640" s="8609"/>
      <c r="J640" s="87">
        <v>25</v>
      </c>
      <c r="K640" s="8610">
        <f t="shared" si="5"/>
        <v>0.26666666666666672</v>
      </c>
      <c r="L640" s="9994"/>
      <c r="M640" s="15"/>
      <c r="N640" s="15"/>
      <c r="O640" s="15"/>
      <c r="P640" s="15"/>
      <c r="Q640" s="15"/>
    </row>
    <row r="641" spans="1:17">
      <c r="A641" s="15"/>
      <c r="B641" s="14"/>
      <c r="C641" s="8607" t="s">
        <v>231</v>
      </c>
      <c r="D641" s="8608"/>
      <c r="E641" s="8608"/>
      <c r="F641" s="86">
        <v>15</v>
      </c>
      <c r="G641" s="84">
        <f>G638</f>
        <v>1</v>
      </c>
      <c r="H641" s="8609">
        <f t="shared" si="4"/>
        <v>0.15</v>
      </c>
      <c r="I641" s="8609"/>
      <c r="J641" s="87">
        <v>20</v>
      </c>
      <c r="K641" s="8610">
        <f t="shared" si="5"/>
        <v>0.1875</v>
      </c>
      <c r="L641" s="9994"/>
      <c r="M641" s="15"/>
      <c r="N641" s="15"/>
      <c r="O641" s="15"/>
      <c r="P641" s="15"/>
      <c r="Q641" s="15"/>
    </row>
    <row r="642" spans="1:17">
      <c r="A642" s="15"/>
      <c r="B642" s="14"/>
      <c r="C642" s="8607" t="s">
        <v>232</v>
      </c>
      <c r="D642" s="8608"/>
      <c r="E642" s="8608"/>
      <c r="F642" s="86">
        <v>15</v>
      </c>
      <c r="G642" s="84">
        <f>G638</f>
        <v>1</v>
      </c>
      <c r="H642" s="8609">
        <f t="shared" si="4"/>
        <v>0.15</v>
      </c>
      <c r="I642" s="8609"/>
      <c r="J642" s="87">
        <v>0</v>
      </c>
      <c r="K642" s="8610">
        <f t="shared" si="5"/>
        <v>0.15</v>
      </c>
      <c r="L642" s="9994"/>
      <c r="M642" s="15"/>
      <c r="N642" s="15"/>
      <c r="O642" s="15"/>
      <c r="P642" s="15"/>
      <c r="Q642" s="15"/>
    </row>
    <row r="643" spans="1:17">
      <c r="A643" s="15"/>
      <c r="B643" s="14"/>
      <c r="C643" s="8607" t="s">
        <v>233</v>
      </c>
      <c r="D643" s="8608"/>
      <c r="E643" s="8608"/>
      <c r="F643" s="86">
        <v>10</v>
      </c>
      <c r="G643" s="84">
        <f>G638</f>
        <v>1</v>
      </c>
      <c r="H643" s="8609">
        <f t="shared" si="4"/>
        <v>0.1</v>
      </c>
      <c r="I643" s="8609"/>
      <c r="J643" s="87">
        <v>20</v>
      </c>
      <c r="K643" s="8610">
        <f t="shared" si="5"/>
        <v>0.125</v>
      </c>
      <c r="L643" s="9994"/>
      <c r="M643" s="15"/>
      <c r="N643" s="15"/>
      <c r="O643" s="15"/>
      <c r="P643" s="15"/>
      <c r="Q643" s="15"/>
    </row>
    <row r="644" spans="1:17">
      <c r="A644" s="15"/>
      <c r="B644" s="14"/>
      <c r="C644" s="8607" t="s">
        <v>234</v>
      </c>
      <c r="D644" s="8608"/>
      <c r="E644" s="8608"/>
      <c r="F644" s="86">
        <v>7.5</v>
      </c>
      <c r="G644" s="84">
        <f>G638</f>
        <v>1</v>
      </c>
      <c r="H644" s="8609">
        <f t="shared" si="4"/>
        <v>7.4999999999999997E-2</v>
      </c>
      <c r="I644" s="8609"/>
      <c r="J644" s="87">
        <v>20</v>
      </c>
      <c r="K644" s="8610">
        <f t="shared" si="5"/>
        <v>9.375E-2</v>
      </c>
      <c r="L644" s="9994"/>
      <c r="M644" s="15"/>
      <c r="N644" s="15"/>
      <c r="O644" s="15"/>
      <c r="P644" s="15"/>
      <c r="Q644" s="15"/>
    </row>
    <row r="645" spans="1:17">
      <c r="A645" s="15"/>
      <c r="B645" s="14"/>
      <c r="C645" s="8607" t="s">
        <v>235</v>
      </c>
      <c r="D645" s="8608"/>
      <c r="E645" s="8608"/>
      <c r="F645" s="86">
        <v>7.5</v>
      </c>
      <c r="G645" s="84">
        <f>G638</f>
        <v>1</v>
      </c>
      <c r="H645" s="8609">
        <f t="shared" si="4"/>
        <v>7.4999999999999997E-2</v>
      </c>
      <c r="I645" s="8609"/>
      <c r="J645" s="87">
        <v>20</v>
      </c>
      <c r="K645" s="8610">
        <f t="shared" si="5"/>
        <v>9.375E-2</v>
      </c>
      <c r="L645" s="9994"/>
      <c r="M645" s="15"/>
      <c r="N645" s="15"/>
      <c r="O645" s="15"/>
      <c r="P645" s="15"/>
      <c r="Q645" s="15"/>
    </row>
    <row r="646" spans="1:17">
      <c r="A646" s="15"/>
      <c r="B646" s="14"/>
      <c r="C646" s="8590" t="s">
        <v>20</v>
      </c>
      <c r="D646" s="8591"/>
      <c r="E646" s="8591"/>
      <c r="F646" s="88">
        <f>SUM(F639:F645)</f>
        <v>100</v>
      </c>
      <c r="G646" s="89"/>
      <c r="H646" s="90"/>
      <c r="I646" s="14"/>
      <c r="J646" s="90"/>
      <c r="K646" s="90"/>
      <c r="L646" s="947"/>
      <c r="M646" s="15"/>
      <c r="N646" s="15"/>
      <c r="O646" s="15"/>
      <c r="P646" s="15"/>
      <c r="Q646" s="15"/>
    </row>
    <row r="647" spans="1:17">
      <c r="A647" s="15"/>
      <c r="B647" s="14"/>
      <c r="C647" s="948"/>
      <c r="D647" s="91"/>
      <c r="E647" s="91"/>
      <c r="F647" s="92"/>
      <c r="G647" s="93"/>
      <c r="H647" s="93"/>
      <c r="I647" s="81"/>
      <c r="J647" s="93"/>
      <c r="K647" s="93"/>
      <c r="L647" s="949"/>
      <c r="M647" s="15"/>
      <c r="N647" s="15"/>
      <c r="O647" s="15"/>
      <c r="P647" s="15"/>
      <c r="Q647" s="15"/>
    </row>
    <row r="648" spans="1:17">
      <c r="A648" s="15"/>
      <c r="B648" s="14"/>
      <c r="C648" s="14"/>
      <c r="D648" s="14"/>
      <c r="E648" s="14"/>
      <c r="F648" s="14"/>
      <c r="G648" s="14"/>
      <c r="H648" s="14"/>
      <c r="I648" s="14"/>
      <c r="J648" s="14"/>
      <c r="K648" s="14"/>
      <c r="L648" s="14"/>
      <c r="M648" s="15"/>
      <c r="N648" s="15"/>
      <c r="O648" s="15"/>
      <c r="P648" s="15"/>
      <c r="Q648" s="15"/>
    </row>
    <row r="649" spans="1:17" ht="15.75" thickBot="1">
      <c r="A649" s="15"/>
      <c r="B649" s="14"/>
      <c r="C649" s="14"/>
      <c r="D649" s="14"/>
      <c r="E649" s="14"/>
      <c r="F649" s="14"/>
      <c r="G649" s="14"/>
      <c r="H649" s="14"/>
      <c r="I649" s="14"/>
      <c r="J649" s="14"/>
      <c r="K649" s="14"/>
      <c r="L649" s="14"/>
      <c r="M649" s="15"/>
      <c r="N649" s="15"/>
      <c r="O649" s="15"/>
      <c r="P649" s="15"/>
      <c r="Q649" s="15"/>
    </row>
    <row r="650" spans="1:17" ht="18.75">
      <c r="A650" s="15"/>
      <c r="B650" s="14"/>
      <c r="C650" s="8592" t="s">
        <v>236</v>
      </c>
      <c r="D650" s="8593"/>
      <c r="E650" s="8593"/>
      <c r="F650" s="8593"/>
      <c r="G650" s="8593"/>
      <c r="H650" s="8593"/>
      <c r="I650" s="8593"/>
      <c r="J650" s="8593"/>
      <c r="K650" s="8593"/>
      <c r="L650" s="8594"/>
      <c r="M650" s="15"/>
      <c r="N650" s="15"/>
      <c r="O650" s="15"/>
      <c r="P650" s="15"/>
      <c r="Q650" s="15"/>
    </row>
    <row r="651" spans="1:17">
      <c r="A651" s="15"/>
      <c r="B651" s="14"/>
      <c r="C651" s="8595" t="s">
        <v>237</v>
      </c>
      <c r="D651" s="8596"/>
      <c r="E651" s="8596"/>
      <c r="F651" s="8596"/>
      <c r="G651" s="8596"/>
      <c r="H651" s="8596"/>
      <c r="I651" s="8596"/>
      <c r="J651" s="8596"/>
      <c r="K651" s="8596"/>
      <c r="L651" s="9321"/>
      <c r="M651" s="15"/>
      <c r="N651" s="15"/>
      <c r="O651" s="15"/>
      <c r="P651" s="15"/>
      <c r="Q651" s="15"/>
    </row>
    <row r="652" spans="1:17" ht="18">
      <c r="A652" s="15"/>
      <c r="B652" s="14"/>
      <c r="C652" s="8598" t="s">
        <v>238</v>
      </c>
      <c r="D652" s="8599"/>
      <c r="E652" s="8599"/>
      <c r="F652" s="8599"/>
      <c r="G652" s="8599"/>
      <c r="H652" s="8599"/>
      <c r="I652" s="8599"/>
      <c r="J652" s="8599"/>
      <c r="K652" s="8599"/>
      <c r="L652" s="9322"/>
      <c r="M652" s="15"/>
      <c r="N652" s="15"/>
      <c r="O652" s="15"/>
      <c r="P652" s="15"/>
      <c r="Q652" s="15"/>
    </row>
    <row r="653" spans="1:17">
      <c r="A653" s="15"/>
      <c r="B653" s="14"/>
      <c r="C653" s="8601" t="str">
        <f ca="1">CELL("nomfichier")</f>
        <v>D:\Données\1.UPRT\0-UPRT.fait\1-UPRT.FR-SITE-WEB\ff-fiches-fabrications\ff.fiches.fabrication.2023\UPRT.23.aout\[ff-20-CHARCUTERIE-michel-Mariette.BOUDIN.BLANC_-1.xlsx]Exemples Michel Mariette</v>
      </c>
      <c r="D653" s="8602"/>
      <c r="E653" s="8602"/>
      <c r="F653" s="8602"/>
      <c r="G653" s="8602"/>
      <c r="H653" s="8602"/>
      <c r="I653" s="8602"/>
      <c r="J653" s="8602"/>
      <c r="K653" s="8602"/>
      <c r="L653" s="9323"/>
      <c r="M653" s="15"/>
      <c r="N653" s="15"/>
      <c r="O653" s="15"/>
      <c r="P653" s="15"/>
      <c r="Q653" s="15"/>
    </row>
    <row r="654" spans="1:17" ht="26.25">
      <c r="A654" s="15"/>
      <c r="B654" s="14"/>
      <c r="C654" s="8604" t="s">
        <v>239</v>
      </c>
      <c r="D654" s="8605"/>
      <c r="E654" s="8605"/>
      <c r="F654" s="8605"/>
      <c r="G654" s="8605"/>
      <c r="H654" s="8605"/>
      <c r="I654" s="8605"/>
      <c r="J654" s="8605"/>
      <c r="K654" s="8605"/>
      <c r="L654" s="9324"/>
      <c r="M654" s="15"/>
      <c r="N654" s="15"/>
      <c r="O654" s="15"/>
      <c r="P654" s="15"/>
      <c r="Q654" s="15"/>
    </row>
    <row r="655" spans="1:17" ht="26.25">
      <c r="A655" s="15"/>
      <c r="B655" s="14"/>
      <c r="C655" s="94"/>
      <c r="D655" s="95"/>
      <c r="E655" s="95" t="s">
        <v>240</v>
      </c>
      <c r="F655" s="14"/>
      <c r="G655" s="96">
        <f ca="1">TODAY()</f>
        <v>46257</v>
      </c>
      <c r="H655" s="97"/>
      <c r="I655" s="98"/>
      <c r="J655" s="99">
        <f ca="1">NOW()</f>
        <v>46257.633905902781</v>
      </c>
      <c r="K655" s="99"/>
      <c r="L655" s="100"/>
      <c r="M655" s="15"/>
      <c r="N655" s="15"/>
      <c r="O655" s="15"/>
      <c r="P655" s="15"/>
      <c r="Q655" s="15"/>
    </row>
    <row r="656" spans="1:17" ht="15.75">
      <c r="A656" s="15"/>
      <c r="B656" s="14"/>
      <c r="C656" s="8579">
        <v>1</v>
      </c>
      <c r="D656" s="101" t="s">
        <v>241</v>
      </c>
      <c r="E656" s="15"/>
      <c r="F656" s="14"/>
      <c r="G656" s="102"/>
      <c r="H656" s="102"/>
      <c r="I656" s="102"/>
      <c r="J656" s="102"/>
      <c r="K656" s="102"/>
      <c r="L656" s="103"/>
      <c r="M656" s="15"/>
      <c r="N656" s="15"/>
      <c r="O656" s="15"/>
      <c r="P656" s="15"/>
      <c r="Q656" s="15"/>
    </row>
    <row r="657" spans="1:17">
      <c r="A657" s="15"/>
      <c r="B657" s="14"/>
      <c r="C657" s="8579"/>
      <c r="D657" s="8580" t="s">
        <v>242</v>
      </c>
      <c r="E657" s="8580"/>
      <c r="F657" s="8580"/>
      <c r="G657" s="104"/>
      <c r="H657" s="105" t="s">
        <v>214</v>
      </c>
      <c r="I657" s="106" t="s">
        <v>215</v>
      </c>
      <c r="J657" s="106" t="s">
        <v>216</v>
      </c>
      <c r="K657" s="106" t="s">
        <v>201</v>
      </c>
      <c r="L657" s="107" t="s">
        <v>243</v>
      </c>
      <c r="M657" s="15"/>
      <c r="N657" s="15"/>
      <c r="O657" s="15"/>
      <c r="P657" s="15"/>
      <c r="Q657" s="15"/>
    </row>
    <row r="658" spans="1:17" ht="15.75">
      <c r="A658" s="15"/>
      <c r="B658" s="14"/>
      <c r="C658" s="8579"/>
      <c r="D658" s="8580" t="s">
        <v>244</v>
      </c>
      <c r="E658" s="8580"/>
      <c r="F658" s="8580"/>
      <c r="G658" s="108">
        <f>SUM(H658:L658)</f>
        <v>2170</v>
      </c>
      <c r="H658" s="109">
        <v>550</v>
      </c>
      <c r="I658" s="109">
        <v>920</v>
      </c>
      <c r="J658" s="109">
        <v>340</v>
      </c>
      <c r="K658" s="109">
        <v>150</v>
      </c>
      <c r="L658" s="110">
        <v>210</v>
      </c>
      <c r="M658" s="15"/>
      <c r="N658" s="15"/>
      <c r="O658" s="15"/>
      <c r="P658" s="15"/>
      <c r="Q658" s="15"/>
    </row>
    <row r="659" spans="1:17" ht="15.75">
      <c r="A659" s="15"/>
      <c r="B659" s="14"/>
      <c r="C659" s="111"/>
      <c r="D659" s="727"/>
      <c r="E659" s="727"/>
      <c r="F659" s="727"/>
      <c r="G659" s="108"/>
      <c r="H659" s="112"/>
      <c r="I659" s="112"/>
      <c r="J659" s="112"/>
      <c r="K659" s="112"/>
      <c r="L659" s="113"/>
      <c r="M659" s="15"/>
      <c r="N659" s="15"/>
      <c r="O659" s="15"/>
      <c r="P659" s="15"/>
      <c r="Q659" s="15"/>
    </row>
    <row r="660" spans="1:17" ht="15.75">
      <c r="A660" s="15"/>
      <c r="B660" s="14"/>
      <c r="C660" s="8579">
        <v>2</v>
      </c>
      <c r="D660" s="101" t="s">
        <v>245</v>
      </c>
      <c r="E660" s="15"/>
      <c r="F660" s="14"/>
      <c r="G660" s="15"/>
      <c r="H660" s="15"/>
      <c r="I660" s="15"/>
      <c r="J660" s="15"/>
      <c r="K660" s="15"/>
      <c r="L660" s="114"/>
      <c r="M660" s="15"/>
      <c r="N660" s="15"/>
      <c r="O660" s="15"/>
      <c r="P660" s="15"/>
      <c r="Q660" s="15"/>
    </row>
    <row r="661" spans="1:17">
      <c r="A661" s="15"/>
      <c r="B661" s="14"/>
      <c r="C661" s="8579"/>
      <c r="D661" s="8569" t="s">
        <v>246</v>
      </c>
      <c r="E661" s="8569"/>
      <c r="F661" s="8569"/>
      <c r="G661" s="115">
        <f>(H661*H658)+(I661*I658)+(J661*J658)+(K661*K658)+(L661*L658)</f>
        <v>1470</v>
      </c>
      <c r="H661" s="116">
        <v>0</v>
      </c>
      <c r="I661" s="116">
        <v>1</v>
      </c>
      <c r="J661" s="116">
        <v>1</v>
      </c>
      <c r="K661" s="116">
        <v>0</v>
      </c>
      <c r="L661" s="117">
        <v>1</v>
      </c>
      <c r="M661" s="15"/>
      <c r="N661" s="15"/>
      <c r="O661" s="15"/>
      <c r="P661" s="15"/>
      <c r="Q661" s="15"/>
    </row>
    <row r="662" spans="1:17">
      <c r="A662" s="15"/>
      <c r="B662" s="14"/>
      <c r="C662" s="8579"/>
      <c r="D662" s="8569" t="s">
        <v>247</v>
      </c>
      <c r="E662" s="8569"/>
      <c r="F662" s="8569"/>
      <c r="G662" s="115">
        <f>(H662*H658)+(I662*I658)+(J662*J658)+(K662*K658)+(L662*L658)</f>
        <v>850</v>
      </c>
      <c r="H662" s="116">
        <v>1</v>
      </c>
      <c r="I662" s="116">
        <v>0</v>
      </c>
      <c r="J662" s="116">
        <v>0</v>
      </c>
      <c r="K662" s="116">
        <v>2</v>
      </c>
      <c r="L662" s="117">
        <v>0</v>
      </c>
      <c r="M662" s="15"/>
      <c r="N662" s="15"/>
      <c r="O662" s="15"/>
      <c r="P662" s="15"/>
      <c r="Q662" s="15"/>
    </row>
    <row r="663" spans="1:17">
      <c r="A663" s="15"/>
      <c r="B663" s="14"/>
      <c r="C663" s="8579"/>
      <c r="D663" s="8569" t="s">
        <v>248</v>
      </c>
      <c r="E663" s="8569"/>
      <c r="F663" s="8569"/>
      <c r="G663" s="115">
        <f>(H663*H658)+(I663*I658)+(J663*J658)+(K663*K658)+(L663*L658)</f>
        <v>1895</v>
      </c>
      <c r="H663" s="118">
        <v>0.5</v>
      </c>
      <c r="I663" s="116">
        <v>1</v>
      </c>
      <c r="J663" s="116">
        <v>1</v>
      </c>
      <c r="K663" s="116">
        <v>1</v>
      </c>
      <c r="L663" s="117">
        <v>1</v>
      </c>
      <c r="M663" s="15"/>
      <c r="N663" s="15"/>
      <c r="O663" s="15"/>
      <c r="P663" s="15"/>
      <c r="Q663" s="15"/>
    </row>
    <row r="664" spans="1:17">
      <c r="A664" s="15"/>
      <c r="B664" s="14"/>
      <c r="C664" s="8579"/>
      <c r="D664" s="8569" t="s">
        <v>249</v>
      </c>
      <c r="E664" s="8569"/>
      <c r="F664" s="8569"/>
      <c r="G664" s="115">
        <f>(H664*H658)+(I664*I658)+(J664*J658)+(K664*K658)+(L664*L658)</f>
        <v>1190</v>
      </c>
      <c r="H664" s="116">
        <v>0</v>
      </c>
      <c r="I664" s="116">
        <v>0</v>
      </c>
      <c r="J664" s="116">
        <v>2</v>
      </c>
      <c r="K664" s="116">
        <v>2</v>
      </c>
      <c r="L664" s="117">
        <v>1</v>
      </c>
      <c r="M664" s="15"/>
      <c r="N664" s="15"/>
      <c r="O664" s="15"/>
      <c r="P664" s="15"/>
      <c r="Q664" s="15"/>
    </row>
    <row r="665" spans="1:17">
      <c r="A665" s="15"/>
      <c r="B665" s="14"/>
      <c r="C665" s="8579"/>
      <c r="D665" s="8569" t="s">
        <v>250</v>
      </c>
      <c r="E665" s="8569"/>
      <c r="F665" s="8569"/>
      <c r="G665" s="115">
        <f>(H665*H658)+(I665*I658)+(J665*J658)+(K665*K658)+(L665*L658)</f>
        <v>2540</v>
      </c>
      <c r="H665" s="116">
        <v>1</v>
      </c>
      <c r="I665" s="116">
        <v>2</v>
      </c>
      <c r="J665" s="116">
        <v>0</v>
      </c>
      <c r="K665" s="116">
        <v>1</v>
      </c>
      <c r="L665" s="117">
        <v>0</v>
      </c>
      <c r="M665" s="15"/>
      <c r="N665" s="15"/>
      <c r="O665" s="15"/>
      <c r="P665" s="15"/>
      <c r="Q665" s="15"/>
    </row>
    <row r="666" spans="1:17" ht="15.75">
      <c r="A666" s="15"/>
      <c r="B666" s="14"/>
      <c r="C666" s="111"/>
      <c r="D666" s="119"/>
      <c r="E666" s="15"/>
      <c r="F666" s="14"/>
      <c r="G666" s="115"/>
      <c r="H666" s="105" t="s">
        <v>214</v>
      </c>
      <c r="I666" s="106" t="s">
        <v>215</v>
      </c>
      <c r="J666" s="106" t="s">
        <v>216</v>
      </c>
      <c r="K666" s="106" t="s">
        <v>201</v>
      </c>
      <c r="L666" s="107" t="s">
        <v>243</v>
      </c>
      <c r="M666" s="15"/>
      <c r="N666" s="15"/>
      <c r="O666" s="15"/>
      <c r="P666" s="15"/>
      <c r="Q666" s="15"/>
    </row>
    <row r="667" spans="1:17" ht="15.75">
      <c r="A667" s="15"/>
      <c r="B667" s="14"/>
      <c r="C667" s="111"/>
      <c r="D667" s="119"/>
      <c r="E667" s="15"/>
      <c r="F667" s="14"/>
      <c r="G667" s="69" t="s">
        <v>251</v>
      </c>
      <c r="H667" s="120">
        <f>SUM(H661:H666)</f>
        <v>2.5</v>
      </c>
      <c r="I667" s="120">
        <f>SUM(I661:I666)</f>
        <v>4</v>
      </c>
      <c r="J667" s="120">
        <f>SUM(J661:J666)</f>
        <v>4</v>
      </c>
      <c r="K667" s="120">
        <f>SUM(K661:K666)</f>
        <v>6</v>
      </c>
      <c r="L667" s="121">
        <f>SUM(L661:L666)</f>
        <v>3</v>
      </c>
      <c r="M667" s="15"/>
      <c r="N667" s="15"/>
      <c r="O667" s="15"/>
      <c r="P667" s="15"/>
      <c r="Q667" s="15"/>
    </row>
    <row r="668" spans="1:17">
      <c r="A668" s="15"/>
      <c r="B668" s="14"/>
      <c r="C668" s="122"/>
      <c r="D668" s="119"/>
      <c r="E668" s="15"/>
      <c r="F668" s="14"/>
      <c r="G668" s="725"/>
      <c r="H668" s="123"/>
      <c r="I668" s="123"/>
      <c r="J668" s="123"/>
      <c r="K668" s="123"/>
      <c r="L668" s="124"/>
      <c r="M668" s="15"/>
      <c r="N668" s="15"/>
      <c r="O668" s="15"/>
      <c r="P668" s="15"/>
      <c r="Q668" s="15"/>
    </row>
    <row r="669" spans="1:17" ht="15.75">
      <c r="A669" s="15"/>
      <c r="B669" s="14"/>
      <c r="C669" s="726">
        <v>3</v>
      </c>
      <c r="D669" s="8569" t="s">
        <v>252</v>
      </c>
      <c r="E669" s="8569"/>
      <c r="F669" s="8569"/>
      <c r="G669" s="125">
        <f>(H669*H658)+(I669*I658)+(J669*J658)+(K669*K658)+(L669*L658)</f>
        <v>208.60000000000002</v>
      </c>
      <c r="H669" s="126">
        <v>0.06</v>
      </c>
      <c r="I669" s="126">
        <v>0.08</v>
      </c>
      <c r="J669" s="126">
        <v>0.15</v>
      </c>
      <c r="K669" s="126">
        <v>0.2</v>
      </c>
      <c r="L669" s="127">
        <v>0.1</v>
      </c>
      <c r="M669" s="15"/>
      <c r="N669" s="15"/>
      <c r="O669" s="15"/>
      <c r="P669" s="15"/>
      <c r="Q669" s="15"/>
    </row>
    <row r="670" spans="1:17">
      <c r="A670" s="15"/>
      <c r="B670" s="14"/>
      <c r="C670" s="122"/>
      <c r="D670" s="128"/>
      <c r="E670" s="129"/>
      <c r="F670" s="130"/>
      <c r="G670" s="115"/>
      <c r="H670" s="123"/>
      <c r="I670" s="123"/>
      <c r="J670" s="123"/>
      <c r="K670" s="123"/>
      <c r="L670" s="124"/>
      <c r="M670" s="15"/>
      <c r="N670" s="15"/>
      <c r="O670" s="15"/>
      <c r="P670" s="15"/>
      <c r="Q670" s="15"/>
    </row>
    <row r="671" spans="1:17" ht="15.75">
      <c r="A671" s="15"/>
      <c r="B671" s="14"/>
      <c r="C671" s="726">
        <v>4</v>
      </c>
      <c r="D671" s="8569" t="s">
        <v>253</v>
      </c>
      <c r="E671" s="8569"/>
      <c r="F671" s="8569"/>
      <c r="G671" s="125">
        <f>(H671*H658)+(I671*I658)+(J671*J658)+(K671*K658)+(L671*L658)</f>
        <v>213.5</v>
      </c>
      <c r="H671" s="126">
        <v>0.06</v>
      </c>
      <c r="I671" s="126">
        <v>0.1</v>
      </c>
      <c r="J671" s="126">
        <v>0.12</v>
      </c>
      <c r="K671" s="126">
        <v>0.15</v>
      </c>
      <c r="L671" s="127">
        <v>0.12</v>
      </c>
      <c r="M671" s="15"/>
      <c r="N671" s="15"/>
      <c r="O671" s="15"/>
      <c r="P671" s="15"/>
      <c r="Q671" s="15"/>
    </row>
    <row r="672" spans="1:17">
      <c r="A672" s="15"/>
      <c r="B672" s="14"/>
      <c r="C672" s="122"/>
      <c r="D672" s="128"/>
      <c r="E672" s="129"/>
      <c r="F672" s="130"/>
      <c r="G672" s="115"/>
      <c r="H672" s="123"/>
      <c r="I672" s="123"/>
      <c r="J672" s="123"/>
      <c r="K672" s="123"/>
      <c r="L672" s="124"/>
      <c r="M672" s="15"/>
      <c r="N672" s="15"/>
      <c r="O672" s="15"/>
      <c r="P672" s="15"/>
      <c r="Q672" s="15"/>
    </row>
    <row r="673" spans="1:17" ht="15.75">
      <c r="A673" s="15"/>
      <c r="B673" s="14"/>
      <c r="C673" s="726">
        <v>5</v>
      </c>
      <c r="D673" s="8569" t="s">
        <v>184</v>
      </c>
      <c r="E673" s="8569"/>
      <c r="F673" s="8569"/>
      <c r="G673" s="125">
        <f>(H673*H658)+(I673*I658)+(J673*J658)+(K673*K658)+(L673*L658)</f>
        <v>237.5</v>
      </c>
      <c r="H673" s="126">
        <v>0.06</v>
      </c>
      <c r="I673" s="126">
        <v>0.1</v>
      </c>
      <c r="J673" s="126">
        <v>0.15</v>
      </c>
      <c r="K673" s="126">
        <v>0.2</v>
      </c>
      <c r="L673" s="127">
        <v>0.15</v>
      </c>
      <c r="M673" s="15"/>
      <c r="N673" s="15"/>
      <c r="O673" s="15"/>
      <c r="P673" s="15"/>
      <c r="Q673" s="15"/>
    </row>
    <row r="674" spans="1:17" ht="15.75" thickBot="1">
      <c r="A674" s="15"/>
      <c r="B674" s="14"/>
      <c r="C674" s="591"/>
      <c r="D674" s="131"/>
      <c r="E674" s="132"/>
      <c r="F674" s="133"/>
      <c r="G674" s="134"/>
      <c r="H674" s="135"/>
      <c r="I674" s="135"/>
      <c r="J674" s="132"/>
      <c r="K674" s="132"/>
      <c r="L674" s="592"/>
      <c r="M674" s="15"/>
      <c r="N674" s="15"/>
      <c r="O674" s="15"/>
      <c r="P674" s="15"/>
      <c r="Q674" s="15"/>
    </row>
    <row r="675" spans="1:17">
      <c r="A675" s="15"/>
      <c r="B675" s="14"/>
      <c r="C675" s="14"/>
      <c r="D675" s="14"/>
      <c r="E675" s="14"/>
      <c r="F675" s="14"/>
      <c r="G675" s="14"/>
      <c r="H675" s="14"/>
      <c r="I675" s="14"/>
      <c r="J675" s="14"/>
      <c r="K675" s="14"/>
      <c r="L675" s="14"/>
      <c r="M675" s="15"/>
      <c r="N675" s="15"/>
      <c r="O675" s="15"/>
      <c r="P675" s="15"/>
      <c r="Q675" s="15"/>
    </row>
    <row r="676" spans="1:17">
      <c r="A676" s="525"/>
      <c r="B676" s="526"/>
      <c r="C676" s="527"/>
      <c r="D676" s="527"/>
      <c r="E676" s="527"/>
      <c r="F676" s="527"/>
      <c r="G676" s="527"/>
      <c r="H676" s="527"/>
      <c r="I676" s="527"/>
      <c r="J676" s="526"/>
      <c r="K676" s="526"/>
      <c r="L676" s="526"/>
      <c r="M676" s="525"/>
      <c r="N676" s="525"/>
      <c r="O676" s="525"/>
      <c r="P676" s="525"/>
      <c r="Q676" s="525"/>
    </row>
    <row r="677" spans="1:17" ht="15.75" thickBot="1">
      <c r="A677" s="15"/>
      <c r="B677" s="14"/>
      <c r="C677" s="14"/>
      <c r="D677" s="14"/>
      <c r="E677" s="14"/>
      <c r="F677" s="14"/>
      <c r="G677" s="14"/>
      <c r="H677" s="14"/>
      <c r="I677" s="14"/>
      <c r="J677" s="14"/>
      <c r="K677" s="14"/>
      <c r="L677" s="14"/>
      <c r="M677" s="15"/>
      <c r="N677" s="15"/>
      <c r="O677" s="15"/>
      <c r="P677" s="15"/>
      <c r="Q677" s="15"/>
    </row>
    <row r="678" spans="1:17" ht="18">
      <c r="A678" s="15"/>
      <c r="B678" s="14"/>
      <c r="C678" s="8570" t="s">
        <v>254</v>
      </c>
      <c r="D678" s="8571"/>
      <c r="E678" s="8571"/>
      <c r="F678" s="8571"/>
      <c r="G678" s="8571"/>
      <c r="H678" s="8571"/>
      <c r="I678" s="8571"/>
      <c r="J678" s="8571"/>
      <c r="K678" s="8571"/>
      <c r="L678" s="8572"/>
      <c r="M678" s="15"/>
      <c r="N678" s="15"/>
      <c r="O678" s="15"/>
      <c r="P678" s="15"/>
      <c r="Q678" s="15"/>
    </row>
    <row r="679" spans="1:17">
      <c r="A679" s="15"/>
      <c r="B679" s="14"/>
      <c r="C679" s="136" t="s">
        <v>255</v>
      </c>
      <c r="D679" s="137"/>
      <c r="E679" s="137"/>
      <c r="F679" s="137"/>
      <c r="G679" s="137"/>
      <c r="H679" s="137"/>
      <c r="I679" s="137"/>
      <c r="J679" s="138"/>
      <c r="K679" s="138"/>
      <c r="L679" s="139"/>
      <c r="M679" s="15"/>
      <c r="N679" s="15"/>
      <c r="O679" s="15"/>
      <c r="P679" s="15"/>
      <c r="Q679" s="15"/>
    </row>
    <row r="680" spans="1:17">
      <c r="A680" s="15"/>
      <c r="B680" s="14"/>
      <c r="C680" s="8573" t="s">
        <v>256</v>
      </c>
      <c r="D680" s="8574"/>
      <c r="E680" s="8574"/>
      <c r="F680" s="8574"/>
      <c r="G680" s="8574"/>
      <c r="H680" s="8574"/>
      <c r="I680" s="8574"/>
      <c r="J680" s="8574"/>
      <c r="K680" s="8574"/>
      <c r="L680" s="9992"/>
      <c r="M680" s="15"/>
      <c r="N680" s="15"/>
      <c r="O680" s="15"/>
      <c r="P680" s="15"/>
      <c r="Q680" s="15"/>
    </row>
    <row r="681" spans="1:17">
      <c r="A681" s="15"/>
      <c r="B681" s="14"/>
      <c r="C681" s="8573"/>
      <c r="D681" s="8574"/>
      <c r="E681" s="8574"/>
      <c r="F681" s="8574"/>
      <c r="G681" s="8574"/>
      <c r="H681" s="8574"/>
      <c r="I681" s="8574"/>
      <c r="J681" s="8574"/>
      <c r="K681" s="8574"/>
      <c r="L681" s="9992"/>
      <c r="M681" s="15"/>
      <c r="N681" s="15"/>
      <c r="O681" s="15"/>
      <c r="P681" s="15"/>
      <c r="Q681" s="15"/>
    </row>
    <row r="682" spans="1:17">
      <c r="A682" s="15"/>
      <c r="B682" s="14"/>
      <c r="C682" s="8573"/>
      <c r="D682" s="8574"/>
      <c r="E682" s="8574"/>
      <c r="F682" s="8574"/>
      <c r="G682" s="8574"/>
      <c r="H682" s="8574"/>
      <c r="I682" s="8574"/>
      <c r="J682" s="8574"/>
      <c r="K682" s="8574"/>
      <c r="L682" s="9992"/>
      <c r="M682" s="15"/>
      <c r="N682" s="15"/>
      <c r="O682" s="15"/>
      <c r="P682" s="15"/>
      <c r="Q682" s="15"/>
    </row>
    <row r="683" spans="1:17">
      <c r="A683" s="15"/>
      <c r="B683" s="14"/>
      <c r="C683" s="8573"/>
      <c r="D683" s="8574"/>
      <c r="E683" s="8574"/>
      <c r="F683" s="8574"/>
      <c r="G683" s="8574"/>
      <c r="H683" s="8574"/>
      <c r="I683" s="8574"/>
      <c r="J683" s="8574"/>
      <c r="K683" s="8574"/>
      <c r="L683" s="9992"/>
      <c r="M683" s="15"/>
      <c r="N683" s="15"/>
      <c r="O683" s="15"/>
      <c r="P683" s="15"/>
      <c r="Q683" s="15"/>
    </row>
    <row r="684" spans="1:17">
      <c r="A684" s="15"/>
      <c r="B684" s="14"/>
      <c r="C684" s="8573" t="s">
        <v>257</v>
      </c>
      <c r="D684" s="8574"/>
      <c r="E684" s="8574"/>
      <c r="F684" s="8574"/>
      <c r="G684" s="8574"/>
      <c r="H684" s="8574"/>
      <c r="I684" s="8574"/>
      <c r="J684" s="8574"/>
      <c r="K684" s="8574"/>
      <c r="L684" s="9992"/>
      <c r="M684" s="15"/>
      <c r="N684" s="15"/>
      <c r="O684" s="15"/>
      <c r="P684" s="15"/>
      <c r="Q684" s="15"/>
    </row>
    <row r="685" spans="1:17">
      <c r="A685" s="15"/>
      <c r="B685" s="14"/>
      <c r="C685" s="8573"/>
      <c r="D685" s="8574"/>
      <c r="E685" s="8574"/>
      <c r="F685" s="8574"/>
      <c r="G685" s="8574"/>
      <c r="H685" s="8574"/>
      <c r="I685" s="8574"/>
      <c r="J685" s="8574"/>
      <c r="K685" s="8574"/>
      <c r="L685" s="9992"/>
      <c r="M685" s="15"/>
      <c r="N685" s="15"/>
      <c r="O685" s="15"/>
      <c r="P685" s="15"/>
      <c r="Q685" s="15"/>
    </row>
    <row r="686" spans="1:17">
      <c r="A686" s="15"/>
      <c r="B686" s="14"/>
      <c r="C686" s="8573"/>
      <c r="D686" s="8574"/>
      <c r="E686" s="8574"/>
      <c r="F686" s="8574"/>
      <c r="G686" s="8574"/>
      <c r="H686" s="8574"/>
      <c r="I686" s="8574"/>
      <c r="J686" s="8574"/>
      <c r="K686" s="8574"/>
      <c r="L686" s="9992"/>
      <c r="M686" s="15"/>
      <c r="N686" s="15"/>
      <c r="O686" s="15"/>
      <c r="P686" s="15"/>
      <c r="Q686" s="15"/>
    </row>
    <row r="687" spans="1:17">
      <c r="A687" s="15"/>
      <c r="B687" s="14"/>
      <c r="C687" s="8576"/>
      <c r="D687" s="8577"/>
      <c r="E687" s="8577"/>
      <c r="F687" s="8577"/>
      <c r="G687" s="8577"/>
      <c r="H687" s="8577"/>
      <c r="I687" s="8577"/>
      <c r="J687" s="8577"/>
      <c r="K687" s="8577"/>
      <c r="L687" s="8578"/>
      <c r="M687" s="15"/>
      <c r="N687" s="15"/>
      <c r="O687" s="15"/>
      <c r="P687" s="15"/>
      <c r="Q687" s="15"/>
    </row>
    <row r="688" spans="1:17">
      <c r="A688" s="15"/>
      <c r="B688" s="14"/>
      <c r="C688" s="8581" t="s">
        <v>258</v>
      </c>
      <c r="D688" s="8582"/>
      <c r="E688" s="8582"/>
      <c r="F688" s="8582"/>
      <c r="G688" s="8583" t="s">
        <v>259</v>
      </c>
      <c r="H688" s="8583"/>
      <c r="I688" s="8584">
        <v>0.09</v>
      </c>
      <c r="J688" s="8585" t="s">
        <v>260</v>
      </c>
      <c r="K688" s="8585"/>
      <c r="L688" s="9993">
        <v>0.12</v>
      </c>
      <c r="M688" s="15"/>
      <c r="N688" s="15"/>
      <c r="O688" s="15"/>
      <c r="P688" s="15"/>
      <c r="Q688" s="15"/>
    </row>
    <row r="689" spans="1:17">
      <c r="A689" s="15"/>
      <c r="B689" s="14"/>
      <c r="C689" s="8581"/>
      <c r="D689" s="8582"/>
      <c r="E689" s="8582"/>
      <c r="F689" s="8582"/>
      <c r="G689" s="8583"/>
      <c r="H689" s="8583"/>
      <c r="I689" s="8584"/>
      <c r="J689" s="8585"/>
      <c r="K689" s="8585"/>
      <c r="L689" s="9993"/>
      <c r="M689" s="15"/>
      <c r="N689" s="15"/>
      <c r="O689" s="15"/>
      <c r="P689" s="15"/>
      <c r="Q689" s="15"/>
    </row>
    <row r="690" spans="1:17" ht="18">
      <c r="A690" s="15"/>
      <c r="B690" s="14"/>
      <c r="C690" s="140"/>
      <c r="D690" s="141"/>
      <c r="E690" s="141"/>
      <c r="F690" s="141"/>
      <c r="G690" s="728"/>
      <c r="H690" s="728"/>
      <c r="I690" s="142"/>
      <c r="J690" s="729"/>
      <c r="K690" s="729"/>
      <c r="L690" s="143"/>
      <c r="M690" s="15"/>
      <c r="N690" s="15"/>
      <c r="O690" s="15"/>
      <c r="P690" s="15"/>
      <c r="Q690" s="15"/>
    </row>
    <row r="691" spans="1:17">
      <c r="A691" s="15"/>
      <c r="B691" s="14"/>
      <c r="C691" s="8587" t="str">
        <f>IF(E691="","produit à servir","produits entiers à couper en ")</f>
        <v xml:space="preserve">produits entiers à couper en </v>
      </c>
      <c r="D691" s="8588"/>
      <c r="E691" s="8589">
        <f>IF(K698=1,"",K698)</f>
        <v>1.5</v>
      </c>
      <c r="F691" s="8550">
        <f>LARGE(F699:F703,1)</f>
        <v>3</v>
      </c>
      <c r="G691" s="8550" t="s">
        <v>261</v>
      </c>
      <c r="H691" s="8550" t="s">
        <v>70</v>
      </c>
      <c r="I691" s="8550">
        <f>LARGE(G699:G703,1)</f>
        <v>2</v>
      </c>
      <c r="J691" s="8550" t="s">
        <v>262</v>
      </c>
      <c r="K691" s="144"/>
      <c r="L691" s="145"/>
      <c r="M691" s="15"/>
      <c r="N691" s="15"/>
      <c r="O691" s="15"/>
      <c r="P691" s="15"/>
      <c r="Q691" s="15"/>
    </row>
    <row r="692" spans="1:17">
      <c r="A692" s="15"/>
      <c r="B692" s="14"/>
      <c r="C692" s="8587"/>
      <c r="D692" s="8588"/>
      <c r="E692" s="8589"/>
      <c r="F692" s="8550"/>
      <c r="G692" s="8550"/>
      <c r="H692" s="8550"/>
      <c r="I692" s="8550"/>
      <c r="J692" s="8550"/>
      <c r="K692" s="144"/>
      <c r="L692" s="145"/>
      <c r="M692" s="15"/>
      <c r="N692" s="15"/>
      <c r="O692" s="15"/>
      <c r="P692" s="15"/>
      <c r="Q692" s="15"/>
    </row>
    <row r="693" spans="1:17" ht="15.75">
      <c r="A693" s="15"/>
      <c r="B693" s="14"/>
      <c r="C693" s="146"/>
      <c r="D693" s="147"/>
      <c r="E693" s="148"/>
      <c r="F693" s="56"/>
      <c r="G693" s="56"/>
      <c r="H693" s="56"/>
      <c r="I693" s="56"/>
      <c r="J693" s="73"/>
      <c r="K693" s="149"/>
      <c r="L693" s="150"/>
      <c r="M693" s="15"/>
      <c r="N693" s="15"/>
      <c r="O693" s="15"/>
      <c r="P693" s="15"/>
      <c r="Q693" s="15"/>
    </row>
    <row r="694" spans="1:17">
      <c r="A694" s="15"/>
      <c r="B694" s="14"/>
      <c r="C694" s="8564" t="str">
        <f>IF(D694="","MOINS","Servir ")</f>
        <v xml:space="preserve">Servir </v>
      </c>
      <c r="D694" s="8568">
        <f>IF(F691-1=0,"",F691-1)</f>
        <v>2</v>
      </c>
      <c r="E694" s="8566" t="str">
        <f>IF(D694="","",IF(G694=1,"produits entiers de","produits coupés en "))</f>
        <v>produits entiers de</v>
      </c>
      <c r="F694" s="8566"/>
      <c r="G694" s="8568">
        <f>IF(D694="","",I691/D694)</f>
        <v>1</v>
      </c>
      <c r="H694" s="8550" t="str">
        <f>IF(D694="","","parts")</f>
        <v>parts</v>
      </c>
      <c r="I694" s="8566" t="str">
        <f>IF(D694="","","grammage unitaire")</f>
        <v>grammage unitaire</v>
      </c>
      <c r="J694" s="8566"/>
      <c r="K694" s="8562">
        <f>IF(D694="","",I688/G694)</f>
        <v>0.09</v>
      </c>
      <c r="L694" s="9991"/>
      <c r="M694" s="15"/>
      <c r="N694" s="15"/>
      <c r="O694" s="15"/>
      <c r="P694" s="15"/>
      <c r="Q694" s="15"/>
    </row>
    <row r="695" spans="1:17">
      <c r="A695" s="15"/>
      <c r="B695" s="14"/>
      <c r="C695" s="8564"/>
      <c r="D695" s="8568"/>
      <c r="E695" s="8566"/>
      <c r="F695" s="8566"/>
      <c r="G695" s="8568"/>
      <c r="H695" s="8550"/>
      <c r="I695" s="8566"/>
      <c r="J695" s="8566"/>
      <c r="K695" s="8562"/>
      <c r="L695" s="9991"/>
      <c r="M695" s="15"/>
      <c r="N695" s="15"/>
      <c r="O695" s="15"/>
      <c r="P695" s="15"/>
      <c r="Q695" s="15"/>
    </row>
    <row r="696" spans="1:17">
      <c r="A696" s="15"/>
      <c r="B696" s="14"/>
      <c r="C696" s="8564" t="str">
        <f>IF(D694="","","plus")</f>
        <v>plus</v>
      </c>
      <c r="D696" s="8565">
        <f>IF(D694="","",F691-D694)</f>
        <v>1</v>
      </c>
      <c r="E696" s="8566" t="str">
        <f>IF(D696="","","produit coupé en ")</f>
        <v xml:space="preserve">produit coupé en </v>
      </c>
      <c r="F696" s="8566"/>
      <c r="G696" s="8565">
        <f>IF(E696="","",I691)</f>
        <v>2</v>
      </c>
      <c r="H696" s="8550" t="str">
        <f>IF(E696="","","parts")</f>
        <v>parts</v>
      </c>
      <c r="I696" s="151"/>
      <c r="J696" s="8567" t="str">
        <f>IF(D696="","moins"," de")</f>
        <v xml:space="preserve"> de</v>
      </c>
      <c r="K696" s="8562">
        <f>IF(E696="",I688-L688,I688/G696)</f>
        <v>4.4999999999999998E-2</v>
      </c>
      <c r="L696" s="9991"/>
      <c r="M696" s="15"/>
      <c r="N696" s="15"/>
      <c r="O696" s="15"/>
      <c r="P696" s="15"/>
      <c r="Q696" s="15"/>
    </row>
    <row r="697" spans="1:17">
      <c r="A697" s="15"/>
      <c r="B697" s="14"/>
      <c r="C697" s="8564"/>
      <c r="D697" s="8565"/>
      <c r="E697" s="8566"/>
      <c r="F697" s="8566"/>
      <c r="G697" s="8565"/>
      <c r="H697" s="8550"/>
      <c r="I697" s="151"/>
      <c r="J697" s="8567"/>
      <c r="K697" s="8562"/>
      <c r="L697" s="9991"/>
      <c r="M697" s="15"/>
      <c r="N697" s="15"/>
      <c r="O697" s="15"/>
      <c r="P697" s="15"/>
      <c r="Q697" s="15"/>
    </row>
    <row r="698" spans="1:17" ht="22.5">
      <c r="A698" s="15"/>
      <c r="B698" s="14"/>
      <c r="C698" s="152" t="s">
        <v>263</v>
      </c>
      <c r="D698" s="153" t="s">
        <v>264</v>
      </c>
      <c r="E698" s="153" t="s">
        <v>265</v>
      </c>
      <c r="F698" s="154" t="s">
        <v>266</v>
      </c>
      <c r="G698" s="154"/>
      <c r="H698" s="155" t="s">
        <v>267</v>
      </c>
      <c r="I698" s="156" t="s">
        <v>70</v>
      </c>
      <c r="J698" s="156"/>
      <c r="K698" s="157">
        <f>LARGE(L699:L703,1)</f>
        <v>1.5</v>
      </c>
      <c r="L698" s="158">
        <f>SMALL(E699:E703,COUNTIF(E699:E703,0)+1)</f>
        <v>3.0000000000000027E-2</v>
      </c>
      <c r="M698" s="15"/>
      <c r="N698" s="15"/>
      <c r="O698" s="15"/>
      <c r="P698" s="15"/>
      <c r="Q698" s="15"/>
    </row>
    <row r="699" spans="1:17">
      <c r="A699" s="15"/>
      <c r="B699" s="14"/>
      <c r="C699" s="159">
        <f>L688*I699</f>
        <v>0</v>
      </c>
      <c r="D699" s="160">
        <f>I688*H699</f>
        <v>0.09</v>
      </c>
      <c r="E699" s="160">
        <f>D699-C699</f>
        <v>0.09</v>
      </c>
      <c r="F699" s="161">
        <f>IF(E699=L698,H699,0)</f>
        <v>0</v>
      </c>
      <c r="G699" s="161">
        <f>IF(F699&gt;0,I699,0)</f>
        <v>0</v>
      </c>
      <c r="H699" s="157">
        <v>1</v>
      </c>
      <c r="I699" s="162">
        <f>INT(J699)</f>
        <v>0</v>
      </c>
      <c r="J699" s="162">
        <f>D699/L688</f>
        <v>0.75</v>
      </c>
      <c r="K699" s="157">
        <f>IF(F699=0,0,F699/G699)</f>
        <v>0</v>
      </c>
      <c r="L699" s="163">
        <f>ROUNDDOWN(K699,1)</f>
        <v>0</v>
      </c>
      <c r="M699" s="15"/>
      <c r="N699" s="15"/>
      <c r="O699" s="15"/>
      <c r="P699" s="15"/>
      <c r="Q699" s="15"/>
    </row>
    <row r="700" spans="1:17">
      <c r="A700" s="15"/>
      <c r="B700" s="14"/>
      <c r="C700" s="159">
        <f>L688*I700</f>
        <v>0.12</v>
      </c>
      <c r="D700" s="160">
        <f>I688*H700</f>
        <v>0.18</v>
      </c>
      <c r="E700" s="160">
        <f>D700-C700</f>
        <v>0.06</v>
      </c>
      <c r="F700" s="161">
        <f>IF(E700=L698,H700,0)</f>
        <v>0</v>
      </c>
      <c r="G700" s="161">
        <f>IF(F700&gt;0,I700,0)</f>
        <v>0</v>
      </c>
      <c r="H700" s="157">
        <v>2</v>
      </c>
      <c r="I700" s="162">
        <f>INT(J700)</f>
        <v>1</v>
      </c>
      <c r="J700" s="162">
        <f>D700/L688</f>
        <v>1.5</v>
      </c>
      <c r="K700" s="157">
        <f>IF(F700=0,0,F700/G700)</f>
        <v>0</v>
      </c>
      <c r="L700" s="163">
        <f>ROUNDDOWN(K700,1)</f>
        <v>0</v>
      </c>
      <c r="M700" s="15"/>
      <c r="N700" s="15"/>
      <c r="O700" s="15"/>
      <c r="P700" s="15"/>
      <c r="Q700" s="15"/>
    </row>
    <row r="701" spans="1:17">
      <c r="A701" s="15"/>
      <c r="B701" s="14"/>
      <c r="C701" s="159">
        <f>L688*I701</f>
        <v>0.24</v>
      </c>
      <c r="D701" s="160">
        <f>I688*H701</f>
        <v>0.27</v>
      </c>
      <c r="E701" s="160">
        <f>D701-C701</f>
        <v>3.0000000000000027E-2</v>
      </c>
      <c r="F701" s="161">
        <f>IF(E701=L698,H701,0)</f>
        <v>3</v>
      </c>
      <c r="G701" s="161">
        <f>IF(F701&gt;0,I701,0)</f>
        <v>2</v>
      </c>
      <c r="H701" s="157">
        <v>3</v>
      </c>
      <c r="I701" s="162">
        <f>INT(J701)</f>
        <v>2</v>
      </c>
      <c r="J701" s="162">
        <f>D701/L688</f>
        <v>2.2500000000000004</v>
      </c>
      <c r="K701" s="157">
        <f>IF(F701=0,0,F701/G701)</f>
        <v>1.5</v>
      </c>
      <c r="L701" s="163">
        <f>ROUNDDOWN(K701,1)</f>
        <v>1.5</v>
      </c>
      <c r="M701" s="15"/>
      <c r="N701" s="15"/>
      <c r="O701" s="15"/>
      <c r="P701" s="15"/>
      <c r="Q701" s="15"/>
    </row>
    <row r="702" spans="1:17">
      <c r="A702" s="15"/>
      <c r="B702" s="14"/>
      <c r="C702" s="159">
        <f>L688*I702</f>
        <v>0.36</v>
      </c>
      <c r="D702" s="160">
        <f>I688*H702</f>
        <v>0.36</v>
      </c>
      <c r="E702" s="160">
        <f>D702-C702</f>
        <v>0</v>
      </c>
      <c r="F702" s="161">
        <f>IF(E702=L698,H702,0)</f>
        <v>0</v>
      </c>
      <c r="G702" s="161">
        <f>IF(F702&gt;0,I702,0)</f>
        <v>0</v>
      </c>
      <c r="H702" s="157">
        <v>4</v>
      </c>
      <c r="I702" s="162">
        <f>INT(J702)</f>
        <v>3</v>
      </c>
      <c r="J702" s="162">
        <f>D702/L688</f>
        <v>3</v>
      </c>
      <c r="K702" s="157">
        <f>IF(F702=0,0,F702/G702)</f>
        <v>0</v>
      </c>
      <c r="L702" s="163">
        <f>ROUNDDOWN(K702,1)</f>
        <v>0</v>
      </c>
      <c r="M702" s="15"/>
      <c r="N702" s="15"/>
      <c r="O702" s="15"/>
      <c r="P702" s="15"/>
      <c r="Q702" s="15"/>
    </row>
    <row r="703" spans="1:17" ht="15.75" thickBot="1">
      <c r="A703" s="15"/>
      <c r="B703" s="14"/>
      <c r="C703" s="593">
        <f>L688*I703</f>
        <v>0.36</v>
      </c>
      <c r="D703" s="164">
        <f>I688*H703</f>
        <v>0.44999999999999996</v>
      </c>
      <c r="E703" s="164">
        <f>D703-C703</f>
        <v>8.9999999999999969E-2</v>
      </c>
      <c r="F703" s="165">
        <f>IF(E703=L698,H703,0)</f>
        <v>0</v>
      </c>
      <c r="G703" s="165">
        <f>IF(F703&gt;0,I703,0)</f>
        <v>0</v>
      </c>
      <c r="H703" s="166">
        <v>5</v>
      </c>
      <c r="I703" s="167">
        <f>INT(J703)</f>
        <v>3</v>
      </c>
      <c r="J703" s="167">
        <f>D703/L688</f>
        <v>3.7499999999999996</v>
      </c>
      <c r="K703" s="166">
        <f>IF(F703=0,0,F703/G703)</f>
        <v>0</v>
      </c>
      <c r="L703" s="594">
        <f>ROUNDDOWN(K703,1)</f>
        <v>0</v>
      </c>
      <c r="M703" s="15"/>
      <c r="N703" s="15"/>
      <c r="O703" s="15"/>
      <c r="P703" s="15"/>
      <c r="Q703" s="15"/>
    </row>
    <row r="704" spans="1:17">
      <c r="A704" s="15"/>
      <c r="B704" s="14"/>
      <c r="C704" s="14"/>
      <c r="D704" s="14"/>
      <c r="E704" s="14"/>
      <c r="F704" s="14"/>
      <c r="G704" s="14"/>
      <c r="H704" s="14"/>
      <c r="I704" s="14"/>
      <c r="J704" s="14"/>
      <c r="K704" s="14"/>
      <c r="L704" s="14"/>
      <c r="M704" s="15"/>
      <c r="N704" s="15"/>
      <c r="O704" s="15"/>
      <c r="P704" s="15"/>
      <c r="Q704" s="15"/>
    </row>
    <row r="705" spans="1:17">
      <c r="A705" s="15"/>
      <c r="B705" s="14"/>
      <c r="C705" s="14"/>
      <c r="D705" s="14"/>
      <c r="E705" s="14"/>
      <c r="F705" s="14"/>
      <c r="G705" s="14"/>
      <c r="H705" s="14"/>
      <c r="I705" s="14"/>
      <c r="J705" s="14"/>
      <c r="K705" s="14"/>
      <c r="L705" s="14"/>
      <c r="M705" s="15"/>
      <c r="N705" s="15"/>
      <c r="O705" s="15"/>
      <c r="P705" s="15"/>
      <c r="Q705" s="15"/>
    </row>
    <row r="706" spans="1:17" ht="18">
      <c r="A706" s="15"/>
      <c r="B706" s="14"/>
      <c r="C706" s="9985" t="s">
        <v>268</v>
      </c>
      <c r="D706" s="9986"/>
      <c r="E706" s="9986"/>
      <c r="F706" s="9986"/>
      <c r="G706" s="9986"/>
      <c r="H706" s="9986"/>
      <c r="I706" s="9986"/>
      <c r="J706" s="9986"/>
      <c r="K706" s="9986"/>
      <c r="L706" s="9986"/>
      <c r="M706" s="9987"/>
      <c r="N706" s="15"/>
      <c r="O706" s="15"/>
      <c r="P706" s="15"/>
      <c r="Q706" s="15"/>
    </row>
    <row r="707" spans="1:17" ht="15.75">
      <c r="A707" s="15"/>
      <c r="B707" s="14"/>
      <c r="C707" s="8554" t="s">
        <v>269</v>
      </c>
      <c r="D707" s="8555"/>
      <c r="E707" s="8555"/>
      <c r="F707" s="8555"/>
      <c r="G707" s="8555"/>
      <c r="H707" s="8555"/>
      <c r="I707" s="8555"/>
      <c r="J707" s="8555"/>
      <c r="K707" s="8555"/>
      <c r="L707" s="8555"/>
      <c r="M707" s="9988"/>
      <c r="N707" s="15"/>
      <c r="O707" s="15"/>
      <c r="P707" s="15"/>
      <c r="Q707" s="15"/>
    </row>
    <row r="708" spans="1:17" ht="15.75">
      <c r="A708" s="15"/>
      <c r="B708" s="14"/>
      <c r="C708" s="730"/>
      <c r="D708" s="168"/>
      <c r="E708" s="8557" t="s">
        <v>270</v>
      </c>
      <c r="F708" s="8557"/>
      <c r="G708" s="8557"/>
      <c r="H708" s="8557"/>
      <c r="I708" s="8557"/>
      <c r="J708" s="8557"/>
      <c r="K708" s="8557"/>
      <c r="L708" s="8557"/>
      <c r="M708" s="9989"/>
      <c r="N708" s="15"/>
      <c r="O708" s="15"/>
      <c r="P708" s="15"/>
      <c r="Q708" s="15"/>
    </row>
    <row r="709" spans="1:17">
      <c r="A709" s="15"/>
      <c r="B709" s="14"/>
      <c r="C709" s="8559" t="s">
        <v>271</v>
      </c>
      <c r="D709" s="8560"/>
      <c r="E709" s="8560"/>
      <c r="F709" s="8560"/>
      <c r="G709" s="8560"/>
      <c r="H709" s="8560"/>
      <c r="I709" s="8560"/>
      <c r="J709" s="8560"/>
      <c r="K709" s="8560"/>
      <c r="L709" s="8560"/>
      <c r="M709" s="9990"/>
      <c r="N709" s="15"/>
      <c r="O709" s="15"/>
      <c r="P709" s="15"/>
      <c r="Q709" s="15"/>
    </row>
    <row r="710" spans="1:17">
      <c r="A710" s="15"/>
      <c r="B710" s="14"/>
      <c r="C710" s="8540" t="s">
        <v>272</v>
      </c>
      <c r="D710" s="8541"/>
      <c r="E710" s="8542" t="s">
        <v>273</v>
      </c>
      <c r="F710" s="8542"/>
      <c r="G710" s="15"/>
      <c r="H710" s="14"/>
      <c r="I710" s="14"/>
      <c r="J710" s="15"/>
      <c r="K710" s="169"/>
      <c r="L710" s="15"/>
      <c r="M710" s="950"/>
      <c r="N710" s="15"/>
      <c r="O710" s="15"/>
      <c r="P710" s="15"/>
      <c r="Q710" s="15"/>
    </row>
    <row r="711" spans="1:17">
      <c r="A711" s="15"/>
      <c r="B711" s="14"/>
      <c r="C711" s="8540"/>
      <c r="D711" s="8541"/>
      <c r="E711" s="8542"/>
      <c r="F711" s="8542"/>
      <c r="G711" s="15"/>
      <c r="H711" s="14"/>
      <c r="I711" s="14"/>
      <c r="J711" s="15"/>
      <c r="K711" s="169"/>
      <c r="L711" s="15"/>
      <c r="M711" s="950"/>
      <c r="N711" s="15"/>
      <c r="O711" s="15"/>
      <c r="P711" s="15"/>
      <c r="Q711" s="15"/>
    </row>
    <row r="712" spans="1:17">
      <c r="A712" s="15"/>
      <c r="B712" s="14"/>
      <c r="C712" s="8526">
        <v>10</v>
      </c>
      <c r="D712" s="8527"/>
      <c r="E712" s="8527">
        <v>0.1</v>
      </c>
      <c r="F712" s="8527"/>
      <c r="G712" s="15"/>
      <c r="H712" s="14"/>
      <c r="I712" s="14"/>
      <c r="J712" s="15"/>
      <c r="K712" s="731" t="s">
        <v>274</v>
      </c>
      <c r="L712" s="170">
        <f>C712/E712</f>
        <v>100</v>
      </c>
      <c r="M712" s="950"/>
      <c r="N712" s="15"/>
      <c r="O712" s="15"/>
      <c r="P712" s="15"/>
      <c r="Q712" s="15"/>
    </row>
    <row r="713" spans="1:17">
      <c r="A713" s="15"/>
      <c r="B713" s="14"/>
      <c r="C713" s="8526">
        <v>1</v>
      </c>
      <c r="D713" s="8527"/>
      <c r="E713" s="8527">
        <v>7.0000000000000007E-2</v>
      </c>
      <c r="F713" s="8527"/>
      <c r="G713" s="15"/>
      <c r="H713" s="14"/>
      <c r="I713" s="14"/>
      <c r="J713" s="15"/>
      <c r="K713" s="731" t="s">
        <v>274</v>
      </c>
      <c r="L713" s="170">
        <f>C713/E713</f>
        <v>14.285714285714285</v>
      </c>
      <c r="M713" s="950"/>
      <c r="N713" s="15"/>
      <c r="O713" s="15"/>
      <c r="P713" s="15"/>
      <c r="Q713" s="15"/>
    </row>
    <row r="714" spans="1:17">
      <c r="A714" s="15"/>
      <c r="B714" s="14"/>
      <c r="C714" s="595"/>
      <c r="D714" s="171"/>
      <c r="E714" s="172"/>
      <c r="F714" s="171"/>
      <c r="G714" s="15"/>
      <c r="H714" s="14"/>
      <c r="I714" s="14"/>
      <c r="J714" s="15"/>
      <c r="K714" s="15"/>
      <c r="L714" s="15"/>
      <c r="M714" s="950"/>
      <c r="N714" s="15"/>
      <c r="O714" s="15"/>
      <c r="P714" s="15"/>
      <c r="Q714" s="15"/>
    </row>
    <row r="715" spans="1:17" ht="15.75">
      <c r="A715" s="15"/>
      <c r="B715" s="14"/>
      <c r="C715" s="8545" t="s">
        <v>269</v>
      </c>
      <c r="D715" s="8546"/>
      <c r="E715" s="8546"/>
      <c r="F715" s="8546"/>
      <c r="G715" s="8546"/>
      <c r="H715" s="8546"/>
      <c r="I715" s="8546"/>
      <c r="J715" s="8546"/>
      <c r="K715" s="8546"/>
      <c r="L715" s="8546"/>
      <c r="M715" s="9983"/>
      <c r="N715" s="15"/>
      <c r="O715" s="15"/>
      <c r="P715" s="15"/>
      <c r="Q715" s="15"/>
    </row>
    <row r="716" spans="1:17" ht="15.75">
      <c r="A716" s="15"/>
      <c r="B716" s="14"/>
      <c r="C716" s="732"/>
      <c r="D716" s="173"/>
      <c r="E716" s="8548" t="s">
        <v>275</v>
      </c>
      <c r="F716" s="8548"/>
      <c r="G716" s="8548"/>
      <c r="H716" s="8548"/>
      <c r="I716" s="8548"/>
      <c r="J716" s="8548"/>
      <c r="K716" s="8548"/>
      <c r="L716" s="8548"/>
      <c r="M716" s="9984"/>
      <c r="N716" s="15"/>
      <c r="O716" s="15"/>
      <c r="P716" s="15"/>
      <c r="Q716" s="15"/>
    </row>
    <row r="717" spans="1:17">
      <c r="A717" s="15"/>
      <c r="B717" s="14"/>
      <c r="C717" s="8540" t="s">
        <v>272</v>
      </c>
      <c r="D717" s="8541"/>
      <c r="E717" s="8542" t="s">
        <v>276</v>
      </c>
      <c r="F717" s="8542"/>
      <c r="G717" s="8543" t="s">
        <v>277</v>
      </c>
      <c r="H717" s="8543"/>
      <c r="I717" s="8543"/>
      <c r="J717" s="174"/>
      <c r="K717" s="174"/>
      <c r="L717" s="174"/>
      <c r="M717" s="9982" t="s">
        <v>278</v>
      </c>
      <c r="N717" s="15"/>
      <c r="O717" s="15"/>
      <c r="P717" s="15"/>
      <c r="Q717" s="15"/>
    </row>
    <row r="718" spans="1:17">
      <c r="A718" s="15"/>
      <c r="B718" s="14"/>
      <c r="C718" s="8540"/>
      <c r="D718" s="8541"/>
      <c r="E718" s="8542"/>
      <c r="F718" s="8542"/>
      <c r="G718" s="8543"/>
      <c r="H718" s="8543"/>
      <c r="I718" s="8543"/>
      <c r="J718" s="174"/>
      <c r="K718" s="174"/>
      <c r="L718" s="174"/>
      <c r="M718" s="9982"/>
      <c r="N718" s="15"/>
      <c r="O718" s="15"/>
      <c r="P718" s="15"/>
      <c r="Q718" s="15"/>
    </row>
    <row r="719" spans="1:17">
      <c r="A719" s="15"/>
      <c r="B719" s="14"/>
      <c r="C719" s="8526">
        <v>0.9</v>
      </c>
      <c r="D719" s="8527"/>
      <c r="E719" s="8528">
        <v>7</v>
      </c>
      <c r="F719" s="8528"/>
      <c r="G719" s="8529" t="s">
        <v>279</v>
      </c>
      <c r="H719" s="8529"/>
      <c r="I719" s="8529"/>
      <c r="J719" s="175">
        <f>C719</f>
        <v>0.9</v>
      </c>
      <c r="K719" s="115" t="s">
        <v>70</v>
      </c>
      <c r="L719" s="176">
        <f>E719</f>
        <v>7</v>
      </c>
      <c r="M719" s="951">
        <f>C719/E719</f>
        <v>0.12857142857142859</v>
      </c>
      <c r="N719" s="15"/>
      <c r="O719" s="15"/>
      <c r="P719" s="15"/>
      <c r="Q719" s="15"/>
    </row>
    <row r="720" spans="1:17">
      <c r="A720" s="15"/>
      <c r="B720" s="14"/>
      <c r="C720" s="8526">
        <v>3.5</v>
      </c>
      <c r="D720" s="8527"/>
      <c r="E720" s="8528">
        <v>20</v>
      </c>
      <c r="F720" s="8528"/>
      <c r="G720" s="8529" t="s">
        <v>280</v>
      </c>
      <c r="H720" s="8529"/>
      <c r="I720" s="8529"/>
      <c r="J720" s="175">
        <f>C720</f>
        <v>3.5</v>
      </c>
      <c r="K720" s="115" t="s">
        <v>70</v>
      </c>
      <c r="L720" s="176">
        <f>E720</f>
        <v>20</v>
      </c>
      <c r="M720" s="951">
        <f>C720/E720</f>
        <v>0.17499999999999999</v>
      </c>
      <c r="N720" s="15"/>
      <c r="O720" s="15"/>
      <c r="P720" s="15"/>
      <c r="Q720" s="15"/>
    </row>
    <row r="721" spans="1:17">
      <c r="A721" s="15"/>
      <c r="B721" s="14"/>
      <c r="C721" s="952"/>
      <c r="D721" s="177"/>
      <c r="E721" s="91"/>
      <c r="F721" s="177"/>
      <c r="G721" s="91"/>
      <c r="H721" s="177"/>
      <c r="I721" s="177"/>
      <c r="J721" s="91"/>
      <c r="K721" s="91"/>
      <c r="L721" s="91"/>
      <c r="M721" s="953"/>
      <c r="N721" s="15"/>
      <c r="O721" s="15"/>
      <c r="P721" s="15"/>
      <c r="Q721" s="15"/>
    </row>
    <row r="722" spans="1:17">
      <c r="A722" s="15"/>
      <c r="B722" s="14"/>
      <c r="C722" s="15"/>
      <c r="D722" s="15"/>
      <c r="E722" s="15"/>
      <c r="F722" s="15"/>
      <c r="G722" s="15"/>
      <c r="H722" s="15"/>
      <c r="I722" s="15"/>
      <c r="J722" s="15"/>
      <c r="K722" s="15"/>
      <c r="L722" s="14"/>
      <c r="M722" s="15"/>
      <c r="N722" s="15"/>
      <c r="O722" s="15"/>
      <c r="P722" s="15"/>
      <c r="Q722" s="15"/>
    </row>
    <row r="723" spans="1:17" ht="15.75" thickBot="1">
      <c r="A723" s="15"/>
      <c r="B723" s="14"/>
      <c r="C723" s="15"/>
      <c r="D723" s="15"/>
      <c r="E723" s="15"/>
      <c r="F723" s="15"/>
      <c r="G723" s="15"/>
      <c r="H723" s="15"/>
      <c r="I723" s="15"/>
      <c r="J723" s="15"/>
      <c r="K723" s="15"/>
      <c r="L723" s="14"/>
      <c r="M723" s="15"/>
      <c r="N723" s="15"/>
      <c r="O723" s="15"/>
      <c r="P723" s="15"/>
      <c r="Q723" s="15"/>
    </row>
    <row r="724" spans="1:17">
      <c r="A724" s="15"/>
      <c r="B724" s="14"/>
      <c r="C724" s="8530" t="s">
        <v>281</v>
      </c>
      <c r="D724" s="8531"/>
      <c r="E724" s="8534" t="s">
        <v>282</v>
      </c>
      <c r="F724" s="8534"/>
      <c r="G724" s="8536" t="s">
        <v>283</v>
      </c>
      <c r="H724" s="8538" t="s">
        <v>271</v>
      </c>
      <c r="I724" s="8538"/>
      <c r="J724" s="8538"/>
      <c r="K724" s="8538"/>
      <c r="L724" s="8538"/>
      <c r="M724" s="8539"/>
      <c r="N724" s="15"/>
      <c r="O724" s="15"/>
      <c r="P724" s="15"/>
      <c r="Q724" s="15"/>
    </row>
    <row r="725" spans="1:17">
      <c r="A725" s="15"/>
      <c r="B725" s="14"/>
      <c r="C725" s="8532"/>
      <c r="D725" s="8533"/>
      <c r="E725" s="8535"/>
      <c r="F725" s="8535"/>
      <c r="G725" s="8537"/>
      <c r="H725" s="178"/>
      <c r="I725" s="178"/>
      <c r="J725" s="178"/>
      <c r="K725" s="178"/>
      <c r="L725" s="178"/>
      <c r="M725" s="179"/>
      <c r="N725" s="15"/>
      <c r="O725" s="15"/>
      <c r="P725" s="15"/>
      <c r="Q725" s="15"/>
    </row>
    <row r="726" spans="1:17">
      <c r="A726" s="15"/>
      <c r="B726" s="14"/>
      <c r="C726" s="8517">
        <v>32</v>
      </c>
      <c r="D726" s="8518"/>
      <c r="E726" s="8519">
        <v>1.45</v>
      </c>
      <c r="F726" s="8519"/>
      <c r="G726" s="8520">
        <f>C726/E726</f>
        <v>22.068965517241381</v>
      </c>
      <c r="H726" s="8521" t="s">
        <v>284</v>
      </c>
      <c r="I726" s="8521"/>
      <c r="J726" s="8521"/>
      <c r="K726" s="8521"/>
      <c r="L726" s="8521"/>
      <c r="M726" s="9980"/>
      <c r="N726" s="15"/>
      <c r="O726" s="15"/>
      <c r="P726" s="15"/>
      <c r="Q726" s="15"/>
    </row>
    <row r="727" spans="1:17">
      <c r="A727" s="15"/>
      <c r="B727" s="14"/>
      <c r="C727" s="8517"/>
      <c r="D727" s="8518"/>
      <c r="E727" s="8519"/>
      <c r="F727" s="8519"/>
      <c r="G727" s="8520"/>
      <c r="H727" s="8521"/>
      <c r="I727" s="8521"/>
      <c r="J727" s="8521"/>
      <c r="K727" s="8521"/>
      <c r="L727" s="8521"/>
      <c r="M727" s="9980"/>
      <c r="N727" s="15"/>
      <c r="O727" s="15"/>
      <c r="P727" s="15"/>
      <c r="Q727" s="15"/>
    </row>
    <row r="728" spans="1:17" ht="15.75">
      <c r="A728" s="15"/>
      <c r="B728" s="14"/>
      <c r="C728" s="8523" t="s">
        <v>285</v>
      </c>
      <c r="D728" s="8524"/>
      <c r="E728" s="8524"/>
      <c r="F728" s="8524"/>
      <c r="G728" s="8524"/>
      <c r="H728" s="8524"/>
      <c r="I728" s="8524"/>
      <c r="J728" s="8524"/>
      <c r="K728" s="8524"/>
      <c r="L728" s="8524"/>
      <c r="M728" s="9981"/>
      <c r="N728" s="15"/>
      <c r="O728" s="15"/>
      <c r="P728" s="15"/>
      <c r="Q728" s="15"/>
    </row>
    <row r="729" spans="1:17" ht="15.75">
      <c r="A729" s="15"/>
      <c r="B729" s="14"/>
      <c r="C729" s="8507">
        <v>32</v>
      </c>
      <c r="D729" s="8508"/>
      <c r="E729" s="8509">
        <v>1.2</v>
      </c>
      <c r="F729" s="8509"/>
      <c r="G729" s="733">
        <f t="shared" ref="G729:G740" si="6">C729/E729</f>
        <v>26.666666666666668</v>
      </c>
      <c r="H729" s="734" t="s">
        <v>286</v>
      </c>
      <c r="I729" s="180"/>
      <c r="J729" s="180"/>
      <c r="K729" s="180"/>
      <c r="L729" s="181"/>
      <c r="M729" s="182"/>
      <c r="N729" s="15"/>
      <c r="O729" s="15"/>
      <c r="P729" s="15"/>
      <c r="Q729" s="15"/>
    </row>
    <row r="730" spans="1:17" ht="15.75">
      <c r="A730" s="15"/>
      <c r="B730" s="14"/>
      <c r="C730" s="8507">
        <v>12</v>
      </c>
      <c r="D730" s="8508"/>
      <c r="E730" s="8509">
        <v>1</v>
      </c>
      <c r="F730" s="8509"/>
      <c r="G730" s="733">
        <f t="shared" si="6"/>
        <v>12</v>
      </c>
      <c r="H730" s="734" t="s">
        <v>287</v>
      </c>
      <c r="I730" s="180"/>
      <c r="J730" s="180"/>
      <c r="K730" s="180"/>
      <c r="L730" s="181"/>
      <c r="M730" s="182"/>
      <c r="N730" s="15"/>
      <c r="O730" s="15"/>
      <c r="P730" s="15"/>
      <c r="Q730" s="15"/>
    </row>
    <row r="731" spans="1:17" ht="15.75">
      <c r="A731" s="15"/>
      <c r="B731" s="14"/>
      <c r="C731" s="8507">
        <v>32</v>
      </c>
      <c r="D731" s="8508"/>
      <c r="E731" s="8509">
        <v>2</v>
      </c>
      <c r="F731" s="8509"/>
      <c r="G731" s="733">
        <f t="shared" si="6"/>
        <v>16</v>
      </c>
      <c r="H731" s="734" t="s">
        <v>288</v>
      </c>
      <c r="I731" s="180"/>
      <c r="J731" s="180"/>
      <c r="K731" s="180"/>
      <c r="L731" s="181"/>
      <c r="M731" s="182"/>
      <c r="N731" s="15"/>
      <c r="O731" s="15"/>
      <c r="P731" s="15"/>
      <c r="Q731" s="15"/>
    </row>
    <row r="732" spans="1:17" ht="15.75">
      <c r="A732" s="15"/>
      <c r="B732" s="14"/>
      <c r="C732" s="8507">
        <v>32</v>
      </c>
      <c r="D732" s="8508"/>
      <c r="E732" s="8509">
        <v>1.2</v>
      </c>
      <c r="F732" s="8509"/>
      <c r="G732" s="733">
        <f t="shared" si="6"/>
        <v>26.666666666666668</v>
      </c>
      <c r="H732" s="734" t="s">
        <v>288</v>
      </c>
      <c r="I732" s="180"/>
      <c r="J732" s="180"/>
      <c r="K732" s="180"/>
      <c r="L732" s="181"/>
      <c r="M732" s="182"/>
      <c r="N732" s="15"/>
      <c r="O732" s="15"/>
      <c r="P732" s="15"/>
      <c r="Q732" s="15"/>
    </row>
    <row r="733" spans="1:17" ht="15.75">
      <c r="A733" s="15"/>
      <c r="B733" s="14"/>
      <c r="C733" s="8507">
        <v>33</v>
      </c>
      <c r="D733" s="8508"/>
      <c r="E733" s="8509">
        <v>1.3</v>
      </c>
      <c r="F733" s="8509"/>
      <c r="G733" s="733">
        <f t="shared" si="6"/>
        <v>25.384615384615383</v>
      </c>
      <c r="H733" s="734" t="s">
        <v>289</v>
      </c>
      <c r="I733" s="180"/>
      <c r="J733" s="180"/>
      <c r="K733" s="180"/>
      <c r="L733" s="181"/>
      <c r="M733" s="182"/>
      <c r="N733" s="15"/>
      <c r="O733" s="15"/>
      <c r="P733" s="15"/>
      <c r="Q733" s="15"/>
    </row>
    <row r="734" spans="1:17" ht="15.75">
      <c r="A734" s="15"/>
      <c r="B734" s="14"/>
      <c r="C734" s="8507">
        <v>33</v>
      </c>
      <c r="D734" s="8508"/>
      <c r="E734" s="8509">
        <v>1.5</v>
      </c>
      <c r="F734" s="8509"/>
      <c r="G734" s="733">
        <f t="shared" si="6"/>
        <v>22</v>
      </c>
      <c r="H734" s="734" t="s">
        <v>290</v>
      </c>
      <c r="I734" s="180"/>
      <c r="J734" s="180"/>
      <c r="K734" s="180"/>
      <c r="L734" s="181"/>
      <c r="M734" s="182"/>
      <c r="N734" s="15"/>
      <c r="O734" s="15"/>
      <c r="P734" s="15"/>
      <c r="Q734" s="15"/>
    </row>
    <row r="735" spans="1:17" ht="15.75">
      <c r="A735" s="15"/>
      <c r="B735" s="14"/>
      <c r="C735" s="8507">
        <v>30</v>
      </c>
      <c r="D735" s="8508"/>
      <c r="E735" s="8509">
        <v>1.2</v>
      </c>
      <c r="F735" s="8509"/>
      <c r="G735" s="733">
        <f t="shared" si="6"/>
        <v>25</v>
      </c>
      <c r="H735" s="734" t="s">
        <v>291</v>
      </c>
      <c r="I735" s="180"/>
      <c r="J735" s="180"/>
      <c r="K735" s="180"/>
      <c r="L735" s="181"/>
      <c r="M735" s="182"/>
      <c r="N735" s="15"/>
      <c r="O735" s="15"/>
      <c r="P735" s="15"/>
      <c r="Q735" s="15"/>
    </row>
    <row r="736" spans="1:17" ht="15.75">
      <c r="A736" s="15"/>
      <c r="B736" s="14"/>
      <c r="C736" s="8507">
        <v>33</v>
      </c>
      <c r="D736" s="8508"/>
      <c r="E736" s="8509">
        <v>1.6</v>
      </c>
      <c r="F736" s="8509"/>
      <c r="G736" s="733">
        <f t="shared" si="6"/>
        <v>20.625</v>
      </c>
      <c r="H736" s="734" t="s">
        <v>292</v>
      </c>
      <c r="I736" s="180"/>
      <c r="J736" s="180"/>
      <c r="K736" s="180"/>
      <c r="L736" s="181"/>
      <c r="M736" s="182"/>
      <c r="N736" s="15"/>
      <c r="O736" s="15"/>
      <c r="P736" s="15"/>
      <c r="Q736" s="15"/>
    </row>
    <row r="737" spans="1:17" ht="15.75">
      <c r="A737" s="15"/>
      <c r="B737" s="14"/>
      <c r="C737" s="8507">
        <v>33</v>
      </c>
      <c r="D737" s="8508"/>
      <c r="E737" s="8509">
        <v>2</v>
      </c>
      <c r="F737" s="8509"/>
      <c r="G737" s="733">
        <f t="shared" si="6"/>
        <v>16.5</v>
      </c>
      <c r="H737" s="734" t="s">
        <v>293</v>
      </c>
      <c r="I737" s="180"/>
      <c r="J737" s="180"/>
      <c r="K737" s="180"/>
      <c r="L737" s="181"/>
      <c r="M737" s="182"/>
      <c r="N737" s="15"/>
      <c r="O737" s="15"/>
      <c r="P737" s="15"/>
      <c r="Q737" s="15"/>
    </row>
    <row r="738" spans="1:17" ht="15.75">
      <c r="A738" s="15"/>
      <c r="B738" s="14"/>
      <c r="C738" s="8507">
        <v>48</v>
      </c>
      <c r="D738" s="8508"/>
      <c r="E738" s="8509">
        <v>6</v>
      </c>
      <c r="F738" s="8509"/>
      <c r="G738" s="733">
        <f t="shared" si="6"/>
        <v>8</v>
      </c>
      <c r="H738" s="734" t="s">
        <v>294</v>
      </c>
      <c r="I738" s="180"/>
      <c r="J738" s="180"/>
      <c r="K738" s="180"/>
      <c r="L738" s="181"/>
      <c r="M738" s="182"/>
      <c r="N738" s="15"/>
      <c r="O738" s="15"/>
      <c r="P738" s="15"/>
      <c r="Q738" s="15"/>
    </row>
    <row r="739" spans="1:17" ht="15.75">
      <c r="A739" s="15"/>
      <c r="B739" s="14"/>
      <c r="C739" s="8507">
        <v>1</v>
      </c>
      <c r="D739" s="8508"/>
      <c r="E739" s="8509">
        <v>0.25</v>
      </c>
      <c r="F739" s="8509"/>
      <c r="G739" s="733">
        <f t="shared" si="6"/>
        <v>4</v>
      </c>
      <c r="H739" s="734" t="s">
        <v>295</v>
      </c>
      <c r="I739" s="180"/>
      <c r="J739" s="180"/>
      <c r="K739" s="180"/>
      <c r="L739" s="181"/>
      <c r="M739" s="182"/>
      <c r="N739" s="15"/>
      <c r="O739" s="15"/>
      <c r="P739" s="15"/>
      <c r="Q739" s="15"/>
    </row>
    <row r="740" spans="1:17" ht="15.75">
      <c r="A740" s="15"/>
      <c r="B740" s="14"/>
      <c r="C740" s="8507">
        <v>25</v>
      </c>
      <c r="D740" s="8508"/>
      <c r="E740" s="8509">
        <v>1</v>
      </c>
      <c r="F740" s="8509"/>
      <c r="G740" s="733">
        <f t="shared" si="6"/>
        <v>25</v>
      </c>
      <c r="H740" s="734" t="s">
        <v>296</v>
      </c>
      <c r="I740" s="180"/>
      <c r="J740" s="180"/>
      <c r="K740" s="180"/>
      <c r="L740" s="181"/>
      <c r="M740" s="182"/>
      <c r="N740" s="15"/>
      <c r="O740" s="15"/>
      <c r="P740" s="15"/>
      <c r="Q740" s="15"/>
    </row>
    <row r="741" spans="1:17" ht="15.75">
      <c r="A741" s="15"/>
      <c r="B741" s="14"/>
      <c r="C741" s="735"/>
      <c r="D741" s="736"/>
      <c r="E741" s="737"/>
      <c r="F741" s="737"/>
      <c r="G741" s="733"/>
      <c r="H741" s="734"/>
      <c r="I741" s="180"/>
      <c r="J741" s="180"/>
      <c r="K741" s="180"/>
      <c r="L741" s="181"/>
      <c r="M741" s="182"/>
      <c r="N741" s="15"/>
      <c r="O741" s="15"/>
      <c r="P741" s="15"/>
      <c r="Q741" s="15"/>
    </row>
    <row r="742" spans="1:17" ht="15.75">
      <c r="A742" s="15"/>
      <c r="B742" s="14"/>
      <c r="C742" s="183" t="s">
        <v>297</v>
      </c>
      <c r="D742" s="736"/>
      <c r="E742" s="737"/>
      <c r="F742" s="737"/>
      <c r="G742" s="733"/>
      <c r="H742" s="734"/>
      <c r="I742" s="180"/>
      <c r="J742" s="180"/>
      <c r="K742" s="180"/>
      <c r="L742" s="181"/>
      <c r="M742" s="182"/>
      <c r="N742" s="15"/>
      <c r="O742" s="15"/>
      <c r="P742" s="15"/>
      <c r="Q742" s="15"/>
    </row>
    <row r="743" spans="1:17">
      <c r="A743" s="15"/>
      <c r="B743" s="14"/>
      <c r="C743" s="8510" t="s">
        <v>298</v>
      </c>
      <c r="D743" s="8511"/>
      <c r="E743" s="8511"/>
      <c r="F743" s="8511"/>
      <c r="G743" s="8511"/>
      <c r="H743" s="8511"/>
      <c r="I743" s="8511"/>
      <c r="J743" s="8511"/>
      <c r="K743" s="8511"/>
      <c r="L743" s="8511"/>
      <c r="M743" s="9469"/>
      <c r="N743" s="15"/>
      <c r="O743" s="15"/>
      <c r="P743" s="15"/>
      <c r="Q743" s="15"/>
    </row>
    <row r="744" spans="1:17">
      <c r="A744" s="15"/>
      <c r="B744" s="14"/>
      <c r="C744" s="8510"/>
      <c r="D744" s="8511"/>
      <c r="E744" s="8511"/>
      <c r="F744" s="8511"/>
      <c r="G744" s="8511"/>
      <c r="H744" s="8511"/>
      <c r="I744" s="8511"/>
      <c r="J744" s="8511"/>
      <c r="K744" s="8511"/>
      <c r="L744" s="8511"/>
      <c r="M744" s="9469"/>
      <c r="N744" s="15"/>
      <c r="O744" s="15"/>
      <c r="P744" s="15"/>
      <c r="Q744" s="15"/>
    </row>
    <row r="745" spans="1:17" ht="15.75" thickBot="1">
      <c r="A745" s="15"/>
      <c r="B745" s="14"/>
      <c r="C745" s="9978"/>
      <c r="D745" s="8514"/>
      <c r="E745" s="8514"/>
      <c r="F745" s="8514"/>
      <c r="G745" s="8514"/>
      <c r="H745" s="8514"/>
      <c r="I745" s="8514"/>
      <c r="J745" s="8514"/>
      <c r="K745" s="8514"/>
      <c r="L745" s="8514"/>
      <c r="M745" s="8515"/>
      <c r="N745" s="15"/>
      <c r="O745" s="15"/>
      <c r="P745" s="15"/>
      <c r="Q745" s="15"/>
    </row>
    <row r="746" spans="1:17">
      <c r="A746" s="15"/>
      <c r="B746" s="14"/>
      <c r="C746" s="14"/>
      <c r="D746" s="14"/>
      <c r="E746" s="14"/>
      <c r="F746" s="14"/>
      <c r="G746" s="14"/>
      <c r="H746" s="14"/>
      <c r="I746" s="14"/>
      <c r="J746" s="14"/>
      <c r="K746" s="14"/>
      <c r="L746" s="14"/>
      <c r="M746" s="15"/>
      <c r="N746" s="15"/>
      <c r="O746" s="15"/>
      <c r="P746" s="15"/>
      <c r="Q746" s="15"/>
    </row>
    <row r="747" spans="1:17">
      <c r="A747" s="525"/>
      <c r="B747" s="526"/>
      <c r="C747" s="527"/>
      <c r="D747" s="527"/>
      <c r="E747" s="527"/>
      <c r="F747" s="527"/>
      <c r="G747" s="527"/>
      <c r="H747" s="527"/>
      <c r="I747" s="527"/>
      <c r="J747" s="526"/>
      <c r="K747" s="526"/>
      <c r="L747" s="526"/>
      <c r="M747" s="525"/>
      <c r="N747" s="525"/>
      <c r="O747" s="525"/>
      <c r="P747" s="525"/>
      <c r="Q747" s="525"/>
    </row>
    <row r="748" spans="1:17">
      <c r="A748" s="15"/>
      <c r="B748" s="14"/>
      <c r="C748" s="14"/>
      <c r="D748" s="14"/>
      <c r="E748" s="14"/>
      <c r="F748" s="14"/>
      <c r="G748" s="14"/>
      <c r="H748" s="14"/>
      <c r="I748" s="14"/>
      <c r="J748" s="14"/>
      <c r="K748" s="14"/>
      <c r="L748" s="14"/>
      <c r="M748" s="15"/>
      <c r="N748" s="15"/>
      <c r="O748" s="15"/>
      <c r="P748" s="15"/>
      <c r="Q748" s="15"/>
    </row>
    <row r="749" spans="1:17" ht="20.25">
      <c r="A749" s="15"/>
      <c r="B749" s="9979" t="s">
        <v>206</v>
      </c>
      <c r="C749" s="9979"/>
      <c r="D749" s="9979"/>
      <c r="E749" s="9979"/>
      <c r="F749" s="9979"/>
      <c r="G749" s="9979"/>
      <c r="H749" s="9979"/>
      <c r="I749" s="9979"/>
      <c r="J749" s="9979"/>
      <c r="K749" s="9979"/>
      <c r="L749" s="9979"/>
      <c r="M749" s="9979"/>
      <c r="N749" s="9979"/>
      <c r="O749" s="14"/>
      <c r="P749" s="14"/>
      <c r="Q749" s="14"/>
    </row>
    <row r="750" spans="1:17">
      <c r="A750" s="15"/>
      <c r="B750" s="596"/>
      <c r="C750" s="52"/>
      <c r="D750" s="52"/>
      <c r="E750" s="52"/>
      <c r="F750" s="52"/>
      <c r="G750" s="52"/>
      <c r="H750" s="52"/>
      <c r="I750" s="52"/>
      <c r="J750" s="52"/>
      <c r="K750" s="52"/>
      <c r="L750" s="52"/>
      <c r="M750" s="52"/>
      <c r="N750" s="597"/>
      <c r="O750" s="14"/>
      <c r="P750" s="14"/>
      <c r="Q750" s="14"/>
    </row>
    <row r="751" spans="1:17" ht="18">
      <c r="A751" s="15"/>
      <c r="B751" s="8502" t="s">
        <v>207</v>
      </c>
      <c r="C751" s="8503"/>
      <c r="D751" s="8503"/>
      <c r="E751" s="8503"/>
      <c r="F751" s="8503"/>
      <c r="G751" s="8503"/>
      <c r="H751" s="8503"/>
      <c r="I751" s="8503"/>
      <c r="J751" s="8503"/>
      <c r="K751" s="8503"/>
      <c r="L751" s="8503"/>
      <c r="M751" s="8503"/>
      <c r="N751" s="9976"/>
      <c r="O751" s="14"/>
      <c r="P751" s="14"/>
      <c r="Q751" s="14"/>
    </row>
    <row r="752" spans="1:17" ht="18">
      <c r="A752" s="15"/>
      <c r="B752" s="598"/>
      <c r="C752" s="53"/>
      <c r="D752" s="53"/>
      <c r="E752" s="53"/>
      <c r="F752" s="53"/>
      <c r="G752" s="53"/>
      <c r="H752" s="53"/>
      <c r="I752" s="53"/>
      <c r="J752" s="53"/>
      <c r="K752" s="53"/>
      <c r="L752" s="53"/>
      <c r="M752" s="53"/>
      <c r="N752" s="954"/>
      <c r="O752" s="14"/>
      <c r="P752" s="14"/>
      <c r="Q752" s="14"/>
    </row>
    <row r="753" spans="1:17" ht="15.75">
      <c r="A753" s="15"/>
      <c r="B753" s="599"/>
      <c r="C753" s="54"/>
      <c r="D753" s="54"/>
      <c r="E753" s="55" t="s">
        <v>208</v>
      </c>
      <c r="F753" s="955">
        <v>250</v>
      </c>
      <c r="G753" s="955">
        <v>620</v>
      </c>
      <c r="H753" s="955">
        <v>37</v>
      </c>
      <c r="I753" s="955">
        <v>14</v>
      </c>
      <c r="J753" s="56">
        <f>SUM(F753:I753)</f>
        <v>921</v>
      </c>
      <c r="K753" s="57" t="s">
        <v>209</v>
      </c>
      <c r="L753" s="58"/>
      <c r="M753" s="15"/>
      <c r="N753" s="956"/>
      <c r="O753" s="14"/>
      <c r="P753" s="14"/>
      <c r="Q753" s="14"/>
    </row>
    <row r="754" spans="1:17" ht="15.75">
      <c r="A754" s="15"/>
      <c r="B754" s="599"/>
      <c r="C754" s="54"/>
      <c r="D754" s="54"/>
      <c r="E754" s="59" t="s">
        <v>210</v>
      </c>
      <c r="F754" s="957">
        <v>4.4999999999999998E-2</v>
      </c>
      <c r="G754" s="957">
        <v>7.0000000000000007E-2</v>
      </c>
      <c r="H754" s="957">
        <v>0.11</v>
      </c>
      <c r="I754" s="958">
        <v>0.13</v>
      </c>
      <c r="J754" s="15"/>
      <c r="K754" s="60" t="s">
        <v>211</v>
      </c>
      <c r="L754" s="61">
        <v>25</v>
      </c>
      <c r="M754" s="62" t="s">
        <v>212</v>
      </c>
      <c r="N754" s="956"/>
      <c r="O754" s="14"/>
      <c r="P754" s="14"/>
      <c r="Q754" s="14"/>
    </row>
    <row r="755" spans="1:17" ht="15.75">
      <c r="A755" s="15"/>
      <c r="B755" s="599"/>
      <c r="C755" s="54"/>
      <c r="D755" s="54"/>
      <c r="E755" s="63" t="s">
        <v>213</v>
      </c>
      <c r="F755" s="64" t="s">
        <v>214</v>
      </c>
      <c r="G755" s="959" t="s">
        <v>215</v>
      </c>
      <c r="H755" s="960" t="s">
        <v>216</v>
      </c>
      <c r="I755" s="959" t="s">
        <v>201</v>
      </c>
      <c r="J755" s="8505" t="s">
        <v>217</v>
      </c>
      <c r="K755" s="8505"/>
      <c r="L755" s="8505"/>
      <c r="M755" s="15"/>
      <c r="N755" s="956"/>
      <c r="O755" s="14"/>
      <c r="P755" s="14"/>
      <c r="Q755" s="14"/>
    </row>
    <row r="756" spans="1:17">
      <c r="A756" s="15"/>
      <c r="B756" s="599"/>
      <c r="C756" s="54"/>
      <c r="D756" s="54"/>
      <c r="E756" s="65" t="s">
        <v>218</v>
      </c>
      <c r="F756" s="600">
        <f>F754*F753</f>
        <v>11.25</v>
      </c>
      <c r="G756" s="600">
        <f>G754*G753</f>
        <v>43.400000000000006</v>
      </c>
      <c r="H756" s="600">
        <f>H754*H753</f>
        <v>4.07</v>
      </c>
      <c r="I756" s="66">
        <f>I754*I753</f>
        <v>1.82</v>
      </c>
      <c r="J756" s="67">
        <f>SUM(F756:I756)</f>
        <v>60.540000000000006</v>
      </c>
      <c r="K756" s="67"/>
      <c r="L756" s="68" t="s">
        <v>219</v>
      </c>
      <c r="M756" s="15"/>
      <c r="N756" s="950"/>
      <c r="O756" s="14"/>
      <c r="P756" s="14"/>
      <c r="Q756" s="14"/>
    </row>
    <row r="757" spans="1:17" ht="18">
      <c r="A757" s="15"/>
      <c r="B757" s="599"/>
      <c r="C757" s="54"/>
      <c r="D757" s="54"/>
      <c r="E757" s="69" t="s">
        <v>220</v>
      </c>
      <c r="F757" s="601">
        <f>F756/(100-L754)*100</f>
        <v>15</v>
      </c>
      <c r="G757" s="601">
        <f>G756/(100-L754)*100</f>
        <v>57.866666666666674</v>
      </c>
      <c r="H757" s="601">
        <f>H756/(100-L754)*100</f>
        <v>5.4266666666666667</v>
      </c>
      <c r="I757" s="70">
        <f>I756/(100-L754)*100</f>
        <v>2.4266666666666667</v>
      </c>
      <c r="J757" s="71">
        <f>SUM(F757:I757)</f>
        <v>80.72</v>
      </c>
      <c r="K757" s="72"/>
      <c r="L757" s="73" t="s">
        <v>221</v>
      </c>
      <c r="M757" s="15"/>
      <c r="N757" s="950"/>
      <c r="O757" s="14"/>
      <c r="P757" s="14"/>
      <c r="Q757" s="14"/>
    </row>
    <row r="758" spans="1:17">
      <c r="A758" s="15"/>
      <c r="B758" s="599"/>
      <c r="C758" s="54"/>
      <c r="D758" s="54"/>
      <c r="E758" s="54"/>
      <c r="F758" s="54"/>
      <c r="G758" s="54"/>
      <c r="H758" s="54"/>
      <c r="I758" s="54"/>
      <c r="J758" s="74">
        <f>J757-J756</f>
        <v>20.179999999999993</v>
      </c>
      <c r="K758" s="74"/>
      <c r="L758" s="75" t="s">
        <v>69</v>
      </c>
      <c r="M758" s="76"/>
      <c r="N758" s="956"/>
      <c r="O758" s="14"/>
      <c r="P758" s="14"/>
      <c r="Q758" s="14"/>
    </row>
    <row r="759" spans="1:17">
      <c r="A759" s="15"/>
      <c r="B759" s="599"/>
      <c r="C759" s="54"/>
      <c r="D759" s="54"/>
      <c r="E759" s="54"/>
      <c r="F759" s="54"/>
      <c r="G759" s="54"/>
      <c r="H759" s="54"/>
      <c r="I759" s="54"/>
      <c r="J759" s="77">
        <f>(J758/J753)*1000</f>
        <v>21.910966340933761</v>
      </c>
      <c r="K759" s="74"/>
      <c r="L759" s="75" t="s">
        <v>222</v>
      </c>
      <c r="M759" s="76"/>
      <c r="N759" s="956"/>
      <c r="O759" s="14"/>
      <c r="P759" s="14"/>
      <c r="Q759" s="14"/>
    </row>
    <row r="760" spans="1:17">
      <c r="A760" s="15"/>
      <c r="B760" s="599"/>
      <c r="C760" s="78" t="s">
        <v>212</v>
      </c>
      <c r="D760" s="79" t="s">
        <v>223</v>
      </c>
      <c r="E760" s="54"/>
      <c r="F760" s="54"/>
      <c r="G760" s="54"/>
      <c r="H760" s="54"/>
      <c r="I760" s="54"/>
      <c r="J760" s="54"/>
      <c r="K760" s="54"/>
      <c r="L760" s="54"/>
      <c r="M760" s="54"/>
      <c r="N760" s="956"/>
      <c r="O760" s="14"/>
      <c r="P760" s="14"/>
      <c r="Q760" s="14"/>
    </row>
    <row r="761" spans="1:17">
      <c r="A761" s="15"/>
      <c r="B761" s="599"/>
      <c r="C761" s="80"/>
      <c r="D761" s="79" t="s">
        <v>224</v>
      </c>
      <c r="E761" s="54"/>
      <c r="F761" s="54"/>
      <c r="G761" s="54"/>
      <c r="H761" s="54"/>
      <c r="I761" s="54"/>
      <c r="J761" s="54"/>
      <c r="K761" s="54"/>
      <c r="L761" s="54"/>
      <c r="M761" s="54"/>
      <c r="N761" s="956"/>
      <c r="O761" s="14"/>
      <c r="P761" s="14"/>
      <c r="Q761" s="14"/>
    </row>
    <row r="762" spans="1:17">
      <c r="A762" s="15"/>
      <c r="B762" s="961"/>
      <c r="C762" s="81"/>
      <c r="D762" s="81"/>
      <c r="E762" s="81"/>
      <c r="F762" s="81"/>
      <c r="G762" s="81"/>
      <c r="H762" s="81"/>
      <c r="I762" s="81"/>
      <c r="J762" s="81"/>
      <c r="K762" s="81"/>
      <c r="L762" s="81"/>
      <c r="M762" s="81"/>
      <c r="N762" s="949"/>
      <c r="O762" s="14"/>
      <c r="P762" s="14"/>
      <c r="Q762" s="14"/>
    </row>
    <row r="763" spans="1:17">
      <c r="A763" s="15"/>
      <c r="B763" s="14"/>
      <c r="C763" s="14"/>
      <c r="D763" s="14"/>
      <c r="E763" s="14"/>
      <c r="F763" s="14"/>
      <c r="G763" s="14"/>
      <c r="H763" s="14"/>
      <c r="I763" s="14"/>
      <c r="J763" s="14"/>
      <c r="K763" s="14"/>
      <c r="L763" s="14"/>
      <c r="M763" s="15"/>
      <c r="N763" s="15"/>
      <c r="O763" s="15"/>
      <c r="P763" s="15"/>
      <c r="Q763" s="15"/>
    </row>
    <row r="764" spans="1:17" ht="15.75" thickBot="1">
      <c r="A764" s="15"/>
      <c r="B764" s="14"/>
      <c r="C764" s="14"/>
      <c r="D764" s="14"/>
      <c r="E764" s="14"/>
      <c r="F764" s="14"/>
      <c r="G764" s="14"/>
      <c r="H764" s="14"/>
      <c r="I764" s="14"/>
      <c r="J764" s="14"/>
      <c r="K764" s="14"/>
      <c r="L764" s="14"/>
      <c r="M764" s="15"/>
      <c r="N764" s="15"/>
      <c r="O764" s="15"/>
      <c r="P764" s="15"/>
      <c r="Q764" s="15"/>
    </row>
    <row r="765" spans="1:17">
      <c r="A765" s="8492" t="s">
        <v>67</v>
      </c>
      <c r="B765" s="8494" t="s">
        <v>299</v>
      </c>
      <c r="C765" s="8495"/>
      <c r="D765" s="8495"/>
      <c r="E765" s="8495"/>
      <c r="F765" s="8495"/>
      <c r="G765" s="8495"/>
      <c r="H765" s="8495"/>
      <c r="I765" s="8495"/>
      <c r="J765" s="8495"/>
      <c r="K765" s="8495"/>
      <c r="L765" s="8495"/>
      <c r="M765" s="8495"/>
      <c r="N765" s="8498">
        <v>1</v>
      </c>
      <c r="O765" s="15"/>
      <c r="P765" s="15"/>
      <c r="Q765" s="15"/>
    </row>
    <row r="766" spans="1:17">
      <c r="A766" s="8493"/>
      <c r="B766" s="8496"/>
      <c r="C766" s="8497"/>
      <c r="D766" s="8497"/>
      <c r="E766" s="8497"/>
      <c r="F766" s="8497"/>
      <c r="G766" s="8497"/>
      <c r="H766" s="8497"/>
      <c r="I766" s="8497"/>
      <c r="J766" s="8497"/>
      <c r="K766" s="8497"/>
      <c r="L766" s="8497"/>
      <c r="M766" s="8497"/>
      <c r="N766" s="9973"/>
      <c r="O766" s="15"/>
      <c r="P766" s="15"/>
      <c r="Q766" s="15"/>
    </row>
    <row r="767" spans="1:17" ht="20.25">
      <c r="A767" s="9963"/>
      <c r="B767" s="9964" t="s">
        <v>300</v>
      </c>
      <c r="C767" s="9965"/>
      <c r="D767" s="9965"/>
      <c r="E767" s="9965"/>
      <c r="F767" s="9965"/>
      <c r="G767" s="9965"/>
      <c r="H767" s="9965"/>
      <c r="I767" s="9965"/>
      <c r="J767" s="9965"/>
      <c r="K767" s="9965"/>
      <c r="L767" s="9965"/>
      <c r="M767" s="9965"/>
      <c r="N767" s="9966"/>
      <c r="O767" s="15"/>
      <c r="P767" s="15"/>
      <c r="Q767" s="15"/>
    </row>
    <row r="768" spans="1:17">
      <c r="A768" s="9963"/>
      <c r="B768" s="9967" t="s">
        <v>301</v>
      </c>
      <c r="C768" s="9968"/>
      <c r="D768" s="9968"/>
      <c r="E768" s="9968"/>
      <c r="F768" s="9968"/>
      <c r="G768" s="9968"/>
      <c r="H768" s="9968"/>
      <c r="I768" s="9968"/>
      <c r="J768" s="9968"/>
      <c r="K768" s="9968"/>
      <c r="L768" s="9968"/>
      <c r="M768" s="9968"/>
      <c r="N768" s="9969"/>
      <c r="O768" s="15"/>
      <c r="P768" s="15"/>
      <c r="Q768" s="15"/>
    </row>
    <row r="769" spans="1:17">
      <c r="A769" s="9963"/>
      <c r="B769" s="9967"/>
      <c r="C769" s="9968"/>
      <c r="D769" s="9968"/>
      <c r="E769" s="9968"/>
      <c r="F769" s="9968"/>
      <c r="G769" s="9968"/>
      <c r="H769" s="9968"/>
      <c r="I769" s="9968"/>
      <c r="J769" s="9968"/>
      <c r="K769" s="9968"/>
      <c r="L769" s="9968"/>
      <c r="M769" s="9968"/>
      <c r="N769" s="9969"/>
      <c r="O769" s="15"/>
      <c r="P769" s="15"/>
      <c r="Q769" s="15"/>
    </row>
    <row r="770" spans="1:17">
      <c r="A770" s="9963"/>
      <c r="B770" s="9967"/>
      <c r="C770" s="9968"/>
      <c r="D770" s="9968"/>
      <c r="E770" s="9968"/>
      <c r="F770" s="9968"/>
      <c r="G770" s="9968"/>
      <c r="H770" s="9968"/>
      <c r="I770" s="9968"/>
      <c r="J770" s="9968"/>
      <c r="K770" s="9968"/>
      <c r="L770" s="9968"/>
      <c r="M770" s="9968"/>
      <c r="N770" s="9969"/>
      <c r="O770" s="15"/>
      <c r="P770" s="15"/>
      <c r="Q770" s="15"/>
    </row>
    <row r="771" spans="1:17">
      <c r="A771" s="9963"/>
      <c r="B771" s="9967"/>
      <c r="C771" s="9968"/>
      <c r="D771" s="9968"/>
      <c r="E771" s="9968"/>
      <c r="F771" s="9968"/>
      <c r="G771" s="9968"/>
      <c r="H771" s="9968"/>
      <c r="I771" s="9968"/>
      <c r="J771" s="9968"/>
      <c r="K771" s="9968"/>
      <c r="L771" s="9968"/>
      <c r="M771" s="9968"/>
      <c r="N771" s="9969"/>
      <c r="O771" s="15"/>
      <c r="P771" s="15"/>
      <c r="Q771" s="15"/>
    </row>
    <row r="772" spans="1:17">
      <c r="A772" s="9963"/>
      <c r="B772" s="8483"/>
      <c r="C772" s="8484"/>
      <c r="D772" s="8484"/>
      <c r="E772" s="8484"/>
      <c r="F772" s="8484"/>
      <c r="G772" s="8484"/>
      <c r="H772" s="8484"/>
      <c r="I772" s="8484"/>
      <c r="J772" s="8484"/>
      <c r="K772" s="8484"/>
      <c r="L772" s="8484"/>
      <c r="M772" s="8484"/>
      <c r="N772" s="9970"/>
      <c r="O772" s="15"/>
      <c r="P772" s="15"/>
      <c r="Q772" s="15"/>
    </row>
    <row r="773" spans="1:17">
      <c r="A773" s="9963"/>
      <c r="B773" s="184"/>
      <c r="C773" s="185"/>
      <c r="D773" s="185"/>
      <c r="E773" s="185"/>
      <c r="F773" s="185"/>
      <c r="G773" s="185"/>
      <c r="H773" s="185"/>
      <c r="I773" s="185"/>
      <c r="J773" s="185"/>
      <c r="K773" s="185"/>
      <c r="L773" s="9977" t="s">
        <v>66</v>
      </c>
      <c r="M773" s="9977"/>
      <c r="N773" s="186"/>
      <c r="O773" s="15"/>
      <c r="P773" s="15"/>
      <c r="Q773" s="15"/>
    </row>
    <row r="774" spans="1:17" ht="15.75">
      <c r="A774" s="9963"/>
      <c r="B774" s="185"/>
      <c r="C774" s="185"/>
      <c r="D774" s="185"/>
      <c r="E774" s="185"/>
      <c r="F774" s="185"/>
      <c r="G774" s="185"/>
      <c r="H774" s="185"/>
      <c r="I774" s="185"/>
      <c r="J774" s="185"/>
      <c r="K774" s="187" t="s">
        <v>302</v>
      </c>
      <c r="L774" s="9974" t="s">
        <v>57</v>
      </c>
      <c r="M774" s="9975"/>
      <c r="N774" s="186"/>
      <c r="O774" s="15"/>
      <c r="P774" s="15"/>
      <c r="Q774" s="15"/>
    </row>
    <row r="775" spans="1:17">
      <c r="A775" s="9963"/>
      <c r="B775" s="184"/>
      <c r="C775" s="185"/>
      <c r="D775" s="185"/>
      <c r="E775" s="185"/>
      <c r="F775" s="185"/>
      <c r="G775" s="185"/>
      <c r="H775" s="185"/>
      <c r="I775" s="185"/>
      <c r="J775" s="185"/>
      <c r="K775" s="185"/>
      <c r="L775" s="185"/>
      <c r="M775" s="188"/>
      <c r="N775" s="186"/>
      <c r="O775" s="15"/>
      <c r="P775" s="15"/>
      <c r="Q775" s="15"/>
    </row>
    <row r="776" spans="1:17" ht="18">
      <c r="A776" s="9963"/>
      <c r="B776" s="184"/>
      <c r="C776" s="185"/>
      <c r="D776" s="185"/>
      <c r="E776" s="185"/>
      <c r="F776" s="189" t="s">
        <v>242</v>
      </c>
      <c r="G776" s="190" t="s">
        <v>214</v>
      </c>
      <c r="H776" s="962" t="s">
        <v>215</v>
      </c>
      <c r="I776" s="963" t="s">
        <v>216</v>
      </c>
      <c r="J776" s="962" t="s">
        <v>201</v>
      </c>
      <c r="K776" s="962" t="s">
        <v>303</v>
      </c>
      <c r="L776" s="185"/>
      <c r="M776" s="185"/>
      <c r="N776" s="186"/>
      <c r="O776" s="15"/>
      <c r="P776" s="15"/>
      <c r="Q776" s="15"/>
    </row>
    <row r="777" spans="1:17" ht="18.75">
      <c r="A777" s="9963"/>
      <c r="B777" s="184"/>
      <c r="C777" s="185"/>
      <c r="D777" s="185"/>
      <c r="E777" s="185"/>
      <c r="F777" s="191" t="s">
        <v>208</v>
      </c>
      <c r="G777" s="192">
        <v>50</v>
      </c>
      <c r="H777" s="192">
        <v>500</v>
      </c>
      <c r="I777" s="192">
        <v>150</v>
      </c>
      <c r="J777" s="192">
        <v>13</v>
      </c>
      <c r="K777" s="192">
        <v>13</v>
      </c>
      <c r="L777" s="56">
        <f>SUM(G777:K777)</f>
        <v>726</v>
      </c>
      <c r="M777" s="193" t="s">
        <v>209</v>
      </c>
      <c r="N777" s="186"/>
      <c r="O777" s="15"/>
      <c r="P777" s="15"/>
      <c r="Q777" s="15"/>
    </row>
    <row r="778" spans="1:17" ht="18.75">
      <c r="A778" s="9963"/>
      <c r="B778" s="184"/>
      <c r="C778" s="185"/>
      <c r="D778" s="185"/>
      <c r="E778" s="185"/>
      <c r="F778" s="194" t="s">
        <v>304</v>
      </c>
      <c r="G778" s="195">
        <v>0.5</v>
      </c>
      <c r="H778" s="195">
        <v>1</v>
      </c>
      <c r="I778" s="195">
        <v>1</v>
      </c>
      <c r="J778" s="195">
        <v>2</v>
      </c>
      <c r="K778" s="195">
        <v>1</v>
      </c>
      <c r="L778" s="196">
        <f>SUM(G778:K778)/COUNTIF(G778:K778,"&gt;0")</f>
        <v>1.1000000000000001</v>
      </c>
      <c r="M778" s="193" t="s">
        <v>305</v>
      </c>
      <c r="N778" s="186"/>
      <c r="O778" s="15"/>
      <c r="P778" s="15"/>
      <c r="Q778" s="15"/>
    </row>
    <row r="779" spans="1:17" ht="18">
      <c r="A779" s="9963"/>
      <c r="B779" s="184"/>
      <c r="C779" s="185"/>
      <c r="D779" s="185"/>
      <c r="E779" s="185"/>
      <c r="F779" s="197" t="s">
        <v>306</v>
      </c>
      <c r="G779" s="198">
        <f>G778*G777</f>
        <v>25</v>
      </c>
      <c r="H779" s="602">
        <f>H778*H777</f>
        <v>500</v>
      </c>
      <c r="I779" s="602">
        <f>I778*I777</f>
        <v>150</v>
      </c>
      <c r="J779" s="602">
        <f>J778*J777</f>
        <v>26</v>
      </c>
      <c r="K779" s="602">
        <f>K778*K777</f>
        <v>13</v>
      </c>
      <c r="L779" s="56">
        <f>SUM(G779:K779)</f>
        <v>714</v>
      </c>
      <c r="M779" s="193" t="str">
        <f>L774</f>
        <v>pommes</v>
      </c>
      <c r="N779" s="186"/>
      <c r="O779" s="15"/>
      <c r="P779" s="15"/>
      <c r="Q779" s="15"/>
    </row>
    <row r="780" spans="1:17">
      <c r="A780" s="9963"/>
      <c r="B780" s="184"/>
      <c r="C780" s="185"/>
      <c r="D780" s="185"/>
      <c r="E780" s="185"/>
      <c r="F780" s="185"/>
      <c r="G780" s="199" t="str">
        <f>L774</f>
        <v>pommes</v>
      </c>
      <c r="H780" s="199" t="str">
        <f>L774</f>
        <v>pommes</v>
      </c>
      <c r="I780" s="199" t="str">
        <f>L774</f>
        <v>pommes</v>
      </c>
      <c r="J780" s="199" t="str">
        <f>L774</f>
        <v>pommes</v>
      </c>
      <c r="K780" s="199" t="str">
        <f>L774</f>
        <v>pommes</v>
      </c>
      <c r="L780" s="185"/>
      <c r="M780" s="188"/>
      <c r="N780" s="186"/>
      <c r="O780" s="15"/>
      <c r="P780" s="15"/>
      <c r="Q780" s="15"/>
    </row>
    <row r="781" spans="1:17" ht="18">
      <c r="A781" s="9963"/>
      <c r="B781" s="200"/>
      <c r="C781" s="201" t="s">
        <v>211</v>
      </c>
      <c r="D781" s="202">
        <v>10</v>
      </c>
      <c r="E781" s="203" t="s">
        <v>81</v>
      </c>
      <c r="F781" s="204"/>
      <c r="G781" s="204"/>
      <c r="H781" s="185"/>
      <c r="I781" s="185"/>
      <c r="J781" s="185"/>
      <c r="K781" s="185"/>
      <c r="L781" s="185"/>
      <c r="M781" s="188"/>
      <c r="N781" s="186"/>
      <c r="O781" s="15"/>
      <c r="P781" s="15"/>
      <c r="Q781" s="15"/>
    </row>
    <row r="782" spans="1:17" ht="18">
      <c r="A782" s="9963"/>
      <c r="B782" s="184"/>
      <c r="C782" s="185"/>
      <c r="D782" s="185"/>
      <c r="E782" s="185"/>
      <c r="F782" s="197" t="s">
        <v>220</v>
      </c>
      <c r="G782" s="603">
        <f>G779/(100-D781)*100</f>
        <v>27.777777777777779</v>
      </c>
      <c r="H782" s="603">
        <f>H779/(100-D781)*100</f>
        <v>555.55555555555554</v>
      </c>
      <c r="I782" s="603">
        <f>I779/(100-D781)*100</f>
        <v>166.66666666666669</v>
      </c>
      <c r="J782" s="603">
        <f>J779/(100-D781)*100</f>
        <v>28.888888888888886</v>
      </c>
      <c r="K782" s="603">
        <f>K779/(100-D781)*100</f>
        <v>14.444444444444443</v>
      </c>
      <c r="L782" s="205">
        <f>SUM(G782:K782)</f>
        <v>793.33333333333337</v>
      </c>
      <c r="M782" s="193" t="str">
        <f>L774</f>
        <v>pommes</v>
      </c>
      <c r="N782" s="186"/>
      <c r="O782" s="15"/>
      <c r="P782" s="15"/>
      <c r="Q782" s="15"/>
    </row>
    <row r="783" spans="1:17" ht="18">
      <c r="A783" s="9963"/>
      <c r="B783" s="184"/>
      <c r="C783" s="185"/>
      <c r="D783" s="185"/>
      <c r="E783" s="185"/>
      <c r="F783" s="197"/>
      <c r="G783" s="206" t="str">
        <f>L774</f>
        <v>pommes</v>
      </c>
      <c r="H783" s="206" t="str">
        <f>L774</f>
        <v>pommes</v>
      </c>
      <c r="I783" s="206" t="str">
        <f>L774</f>
        <v>pommes</v>
      </c>
      <c r="J783" s="206" t="str">
        <f>L774</f>
        <v>pommes</v>
      </c>
      <c r="K783" s="206" t="str">
        <f>L774</f>
        <v>pommes</v>
      </c>
      <c r="L783" s="56"/>
      <c r="M783" s="193"/>
      <c r="N783" s="186"/>
      <c r="O783" s="15"/>
      <c r="P783" s="15"/>
      <c r="Q783" s="15"/>
    </row>
    <row r="784" spans="1:17">
      <c r="A784" s="9963"/>
      <c r="B784" s="964"/>
      <c r="C784" s="207"/>
      <c r="D784" s="207"/>
      <c r="E784" s="207"/>
      <c r="F784" s="207"/>
      <c r="G784" s="207"/>
      <c r="H784" s="207"/>
      <c r="I784" s="207"/>
      <c r="J784" s="207"/>
      <c r="K784" s="207"/>
      <c r="L784" s="207"/>
      <c r="M784" s="207"/>
      <c r="N784" s="965"/>
      <c r="O784" s="15"/>
      <c r="P784" s="15"/>
      <c r="Q784" s="15"/>
    </row>
    <row r="785" spans="1:17" ht="18.75">
      <c r="A785" s="9963"/>
      <c r="B785" s="208" t="s">
        <v>66</v>
      </c>
      <c r="C785" s="966" t="s">
        <v>307</v>
      </c>
      <c r="D785" s="209"/>
      <c r="E785" s="209"/>
      <c r="F785" s="209"/>
      <c r="G785" s="209"/>
      <c r="H785" s="209"/>
      <c r="I785" s="209"/>
      <c r="J785" s="209"/>
      <c r="K785" s="209"/>
      <c r="L785" s="209"/>
      <c r="M785" s="209"/>
      <c r="N785" s="210"/>
      <c r="O785" s="15"/>
      <c r="P785" s="15"/>
      <c r="Q785" s="15"/>
    </row>
    <row r="786" spans="1:17" ht="18.75">
      <c r="A786" s="9963"/>
      <c r="B786" s="211"/>
      <c r="C786" s="9974" t="s">
        <v>308</v>
      </c>
      <c r="D786" s="9975"/>
      <c r="E786" s="212"/>
      <c r="F786" s="9974" t="s">
        <v>43</v>
      </c>
      <c r="G786" s="9975"/>
      <c r="H786" s="212"/>
      <c r="I786" s="9974" t="s">
        <v>309</v>
      </c>
      <c r="J786" s="9975"/>
      <c r="K786" s="212"/>
      <c r="L786" s="9974" t="s">
        <v>310</v>
      </c>
      <c r="M786" s="9975"/>
      <c r="N786" s="213"/>
      <c r="O786" s="15"/>
      <c r="P786" s="15"/>
      <c r="Q786" s="15"/>
    </row>
    <row r="787" spans="1:17" ht="18.75">
      <c r="A787" s="9963"/>
      <c r="B787" s="214" t="s">
        <v>81</v>
      </c>
      <c r="C787" s="215" t="s">
        <v>311</v>
      </c>
      <c r="D787" s="212"/>
      <c r="E787" s="212"/>
      <c r="F787" s="212"/>
      <c r="G787" s="212"/>
      <c r="H787" s="212"/>
      <c r="I787" s="212"/>
      <c r="J787" s="212"/>
      <c r="K787" s="212"/>
      <c r="L787" s="212"/>
      <c r="M787" s="212"/>
      <c r="N787" s="213"/>
      <c r="O787" s="15"/>
      <c r="P787" s="15"/>
      <c r="Q787" s="15"/>
    </row>
    <row r="788" spans="1:17">
      <c r="A788" s="9963"/>
      <c r="B788" s="9957" t="s">
        <v>312</v>
      </c>
      <c r="C788" s="8467"/>
      <c r="D788" s="8467"/>
      <c r="E788" s="8467"/>
      <c r="F788" s="8467"/>
      <c r="G788" s="8467"/>
      <c r="H788" s="8467"/>
      <c r="I788" s="8467"/>
      <c r="J788" s="8467"/>
      <c r="K788" s="8467"/>
      <c r="L788" s="8467"/>
      <c r="M788" s="8467"/>
      <c r="N788" s="9958"/>
      <c r="O788" s="15"/>
      <c r="P788" s="15"/>
      <c r="Q788" s="15"/>
    </row>
    <row r="789" spans="1:17">
      <c r="A789" s="9963"/>
      <c r="B789" s="8469"/>
      <c r="C789" s="8470"/>
      <c r="D789" s="8470"/>
      <c r="E789" s="8470"/>
      <c r="F789" s="8470"/>
      <c r="G789" s="8470"/>
      <c r="H789" s="8470"/>
      <c r="I789" s="8470"/>
      <c r="J789" s="8470"/>
      <c r="K789" s="8470"/>
      <c r="L789" s="8470"/>
      <c r="M789" s="8470"/>
      <c r="N789" s="8471"/>
      <c r="O789" s="15"/>
      <c r="P789" s="15"/>
      <c r="Q789" s="15"/>
    </row>
    <row r="790" spans="1:17">
      <c r="A790" s="9963"/>
      <c r="B790" s="216" t="s">
        <v>7</v>
      </c>
      <c r="C790" s="9959" t="str">
        <f ca="1">CELL("nomfichier")</f>
        <v>D:\Données\1.UPRT\0-UPRT.fait\1-UPRT.FR-SITE-WEB\ff-fiches-fabrications\ff.fiches.fabrication.2023\UPRT.23.aout\[ff-20-CHARCUTERIE-michel-Mariette.BOUDIN.BLANC_-1.xlsx]Exemples Michel Mariette</v>
      </c>
      <c r="D790" s="9959"/>
      <c r="E790" s="9959"/>
      <c r="F790" s="9959"/>
      <c r="G790" s="9959"/>
      <c r="H790" s="9959"/>
      <c r="I790" s="9959"/>
      <c r="J790" s="9959"/>
      <c r="K790" s="9959"/>
      <c r="L790" s="9959"/>
      <c r="M790" s="9959"/>
      <c r="N790" s="9960"/>
      <c r="O790" s="15"/>
      <c r="P790" s="15"/>
      <c r="Q790" s="15"/>
    </row>
    <row r="791" spans="1:17">
      <c r="A791" s="9963"/>
      <c r="B791" s="217" t="s">
        <v>14</v>
      </c>
      <c r="C791" s="9961" t="s">
        <v>313</v>
      </c>
      <c r="D791" s="9961"/>
      <c r="E791" s="9961"/>
      <c r="F791" s="9961"/>
      <c r="G791" s="9961"/>
      <c r="H791" s="9961"/>
      <c r="I791" s="9961"/>
      <c r="J791" s="9961"/>
      <c r="K791" s="9961"/>
      <c r="L791" s="9961"/>
      <c r="M791" s="9961"/>
      <c r="N791" s="9962"/>
      <c r="O791" s="15"/>
      <c r="P791" s="15"/>
      <c r="Q791" s="15"/>
    </row>
    <row r="792" spans="1:17" ht="15.75" thickBot="1">
      <c r="A792" s="9963"/>
      <c r="B792" s="9935" t="s">
        <v>8</v>
      </c>
      <c r="C792" s="8460"/>
      <c r="D792" s="8460"/>
      <c r="E792" s="8460"/>
      <c r="F792" s="8460"/>
      <c r="G792" s="8460"/>
      <c r="H792" s="8460"/>
      <c r="I792" s="8460"/>
      <c r="J792" s="8460"/>
      <c r="K792" s="8460"/>
      <c r="L792" s="8460"/>
      <c r="M792" s="8460"/>
      <c r="N792" s="8461"/>
      <c r="O792" s="15"/>
      <c r="P792" s="15"/>
      <c r="Q792" s="15"/>
    </row>
    <row r="793" spans="1:17" ht="39.75" customHeight="1" thickBot="1">
      <c r="A793" s="32"/>
      <c r="B793" s="32"/>
      <c r="C793" s="32"/>
      <c r="D793" s="32"/>
      <c r="E793" s="32"/>
      <c r="F793" s="32"/>
      <c r="G793" s="32"/>
      <c r="H793" s="32"/>
      <c r="I793" s="32"/>
      <c r="J793" s="32"/>
      <c r="K793" s="32"/>
      <c r="L793" s="32"/>
      <c r="M793" s="32"/>
      <c r="N793" s="32"/>
      <c r="O793" s="15"/>
      <c r="P793" s="15"/>
      <c r="Q793" s="15"/>
    </row>
    <row r="794" spans="1:17">
      <c r="A794" s="8492" t="s">
        <v>67</v>
      </c>
      <c r="B794" s="8494" t="s">
        <v>314</v>
      </c>
      <c r="C794" s="8495"/>
      <c r="D794" s="8495"/>
      <c r="E794" s="8495"/>
      <c r="F794" s="8495"/>
      <c r="G794" s="8495"/>
      <c r="H794" s="8495"/>
      <c r="I794" s="8495"/>
      <c r="J794" s="8495"/>
      <c r="K794" s="8495"/>
      <c r="L794" s="8495"/>
      <c r="M794" s="8495"/>
      <c r="N794" s="8498">
        <v>2</v>
      </c>
      <c r="O794" s="15"/>
      <c r="P794" s="15"/>
      <c r="Q794" s="15"/>
    </row>
    <row r="795" spans="1:17">
      <c r="A795" s="8493"/>
      <c r="B795" s="8496"/>
      <c r="C795" s="8497"/>
      <c r="D795" s="8497"/>
      <c r="E795" s="8497"/>
      <c r="F795" s="8497"/>
      <c r="G795" s="8497"/>
      <c r="H795" s="8497"/>
      <c r="I795" s="8497"/>
      <c r="J795" s="8497"/>
      <c r="K795" s="8497"/>
      <c r="L795" s="8497"/>
      <c r="M795" s="8497"/>
      <c r="N795" s="9973"/>
      <c r="O795" s="15"/>
      <c r="P795" s="15"/>
      <c r="Q795" s="15"/>
    </row>
    <row r="796" spans="1:17" ht="20.25">
      <c r="A796" s="9963"/>
      <c r="B796" s="9964" t="s">
        <v>300</v>
      </c>
      <c r="C796" s="9965"/>
      <c r="D796" s="9965"/>
      <c r="E796" s="9965"/>
      <c r="F796" s="9965"/>
      <c r="G796" s="9965"/>
      <c r="H796" s="9965"/>
      <c r="I796" s="9965"/>
      <c r="J796" s="9965"/>
      <c r="K796" s="9965"/>
      <c r="L796" s="9965"/>
      <c r="M796" s="9965"/>
      <c r="N796" s="9966"/>
      <c r="O796" s="15"/>
      <c r="P796" s="15"/>
      <c r="Q796" s="15"/>
    </row>
    <row r="797" spans="1:17">
      <c r="A797" s="9963"/>
      <c r="B797" s="9967" t="s">
        <v>315</v>
      </c>
      <c r="C797" s="9968"/>
      <c r="D797" s="9968"/>
      <c r="E797" s="9968"/>
      <c r="F797" s="9968"/>
      <c r="G797" s="9968"/>
      <c r="H797" s="9968"/>
      <c r="I797" s="9968"/>
      <c r="J797" s="9968"/>
      <c r="K797" s="9968"/>
      <c r="L797" s="9968"/>
      <c r="M797" s="9968"/>
      <c r="N797" s="9969"/>
      <c r="O797" s="15"/>
      <c r="P797" s="15"/>
      <c r="Q797" s="15"/>
    </row>
    <row r="798" spans="1:17">
      <c r="A798" s="9963"/>
      <c r="B798" s="9967"/>
      <c r="C798" s="9968"/>
      <c r="D798" s="9968"/>
      <c r="E798" s="9968"/>
      <c r="F798" s="9968"/>
      <c r="G798" s="9968"/>
      <c r="H798" s="9968"/>
      <c r="I798" s="9968"/>
      <c r="J798" s="9968"/>
      <c r="K798" s="9968"/>
      <c r="L798" s="9968"/>
      <c r="M798" s="9968"/>
      <c r="N798" s="9969"/>
      <c r="O798" s="15"/>
      <c r="P798" s="15"/>
      <c r="Q798" s="15"/>
    </row>
    <row r="799" spans="1:17">
      <c r="A799" s="9963"/>
      <c r="B799" s="9967"/>
      <c r="C799" s="9968"/>
      <c r="D799" s="9968"/>
      <c r="E799" s="9968"/>
      <c r="F799" s="9968"/>
      <c r="G799" s="9968"/>
      <c r="H799" s="9968"/>
      <c r="I799" s="9968"/>
      <c r="J799" s="9968"/>
      <c r="K799" s="9968"/>
      <c r="L799" s="9968"/>
      <c r="M799" s="9968"/>
      <c r="N799" s="9969"/>
      <c r="O799" s="15"/>
      <c r="P799" s="15"/>
      <c r="Q799" s="15"/>
    </row>
    <row r="800" spans="1:17">
      <c r="A800" s="9963"/>
      <c r="B800" s="9967"/>
      <c r="C800" s="9968"/>
      <c r="D800" s="9968"/>
      <c r="E800" s="9968"/>
      <c r="F800" s="9968"/>
      <c r="G800" s="9968"/>
      <c r="H800" s="9968"/>
      <c r="I800" s="9968"/>
      <c r="J800" s="9968"/>
      <c r="K800" s="9968"/>
      <c r="L800" s="9968"/>
      <c r="M800" s="9968"/>
      <c r="N800" s="9969"/>
      <c r="O800" s="15"/>
      <c r="P800" s="15"/>
      <c r="Q800" s="15"/>
    </row>
    <row r="801" spans="1:17">
      <c r="A801" s="9963"/>
      <c r="B801" s="8483"/>
      <c r="C801" s="8484"/>
      <c r="D801" s="8484"/>
      <c r="E801" s="8484"/>
      <c r="F801" s="8484"/>
      <c r="G801" s="8484"/>
      <c r="H801" s="8484"/>
      <c r="I801" s="8484"/>
      <c r="J801" s="8484"/>
      <c r="K801" s="8484"/>
      <c r="L801" s="8484"/>
      <c r="M801" s="8484"/>
      <c r="N801" s="9970"/>
      <c r="O801" s="15"/>
      <c r="P801" s="15"/>
      <c r="Q801" s="15"/>
    </row>
    <row r="802" spans="1:17">
      <c r="A802" s="9963"/>
      <c r="B802" s="218"/>
      <c r="C802" s="219"/>
      <c r="D802" s="219"/>
      <c r="E802" s="219"/>
      <c r="F802" s="219"/>
      <c r="G802" s="219"/>
      <c r="H802" s="219"/>
      <c r="I802" s="219"/>
      <c r="J802" s="219"/>
      <c r="K802" s="219"/>
      <c r="L802" s="8486" t="s">
        <v>66</v>
      </c>
      <c r="M802" s="8486"/>
      <c r="N802" s="220"/>
      <c r="O802" s="15"/>
      <c r="P802" s="15"/>
      <c r="Q802" s="15"/>
    </row>
    <row r="803" spans="1:17" ht="18">
      <c r="A803" s="9963"/>
      <c r="B803" s="218"/>
      <c r="C803" s="219"/>
      <c r="D803" s="219"/>
      <c r="E803" s="219"/>
      <c r="F803" s="219"/>
      <c r="G803" s="219"/>
      <c r="H803" s="219"/>
      <c r="I803" s="219"/>
      <c r="J803" s="32"/>
      <c r="K803" s="197" t="s">
        <v>316</v>
      </c>
      <c r="L803" s="9971">
        <v>2.4</v>
      </c>
      <c r="M803" s="9971"/>
      <c r="N803" s="220"/>
      <c r="O803" s="15"/>
      <c r="P803" s="15"/>
      <c r="Q803" s="15"/>
    </row>
    <row r="804" spans="1:17">
      <c r="A804" s="9963"/>
      <c r="B804" s="221"/>
      <c r="C804" s="222"/>
      <c r="D804" s="222"/>
      <c r="E804" s="222"/>
      <c r="F804" s="219"/>
      <c r="G804" s="219"/>
      <c r="H804" s="219"/>
      <c r="I804" s="219"/>
      <c r="J804" s="219"/>
      <c r="K804" s="223"/>
      <c r="L804" s="9971"/>
      <c r="M804" s="9971"/>
      <c r="N804" s="220"/>
      <c r="O804" s="15"/>
      <c r="P804" s="15"/>
      <c r="Q804" s="15"/>
    </row>
    <row r="805" spans="1:17">
      <c r="A805" s="9963"/>
      <c r="B805" s="218"/>
      <c r="C805" s="219"/>
      <c r="D805" s="219"/>
      <c r="E805" s="219"/>
      <c r="F805" s="219"/>
      <c r="G805" s="219"/>
      <c r="H805" s="219"/>
      <c r="I805" s="219"/>
      <c r="J805" s="219"/>
      <c r="K805" s="219"/>
      <c r="L805" s="219"/>
      <c r="M805" s="219"/>
      <c r="N805" s="220"/>
      <c r="O805" s="15"/>
      <c r="P805" s="15"/>
      <c r="Q805" s="15"/>
    </row>
    <row r="806" spans="1:17" ht="18">
      <c r="A806" s="9963"/>
      <c r="B806" s="218"/>
      <c r="C806" s="219"/>
      <c r="D806" s="219"/>
      <c r="E806" s="219"/>
      <c r="F806" s="224" t="s">
        <v>242</v>
      </c>
      <c r="G806" s="967" t="s">
        <v>214</v>
      </c>
      <c r="H806" s="967" t="s">
        <v>215</v>
      </c>
      <c r="I806" s="968" t="s">
        <v>216</v>
      </c>
      <c r="J806" s="967" t="s">
        <v>201</v>
      </c>
      <c r="K806" s="967" t="s">
        <v>303</v>
      </c>
      <c r="L806" s="219"/>
      <c r="M806" s="219"/>
      <c r="N806" s="220"/>
      <c r="O806" s="15"/>
      <c r="P806" s="15"/>
      <c r="Q806" s="15"/>
    </row>
    <row r="807" spans="1:17" ht="18">
      <c r="A807" s="9963"/>
      <c r="B807" s="218"/>
      <c r="C807" s="219"/>
      <c r="D807" s="219"/>
      <c r="E807" s="219"/>
      <c r="F807" s="194" t="s">
        <v>317</v>
      </c>
      <c r="G807" s="225">
        <v>0.05</v>
      </c>
      <c r="H807" s="225">
        <v>0.08</v>
      </c>
      <c r="I807" s="225">
        <v>0.11</v>
      </c>
      <c r="J807" s="225">
        <v>0.125</v>
      </c>
      <c r="K807" s="225">
        <v>7.0000000000000007E-2</v>
      </c>
      <c r="L807" s="196">
        <f>SUM(G807:K807)/COUNTIF(G807:K807,"&gt;0")</f>
        <v>8.6999999999999994E-2</v>
      </c>
      <c r="M807" s="193" t="s">
        <v>305</v>
      </c>
      <c r="N807" s="220"/>
      <c r="O807" s="15"/>
      <c r="P807" s="15"/>
      <c r="Q807" s="15"/>
    </row>
    <row r="808" spans="1:17" ht="18.75">
      <c r="A808" s="9963"/>
      <c r="B808" s="218"/>
      <c r="C808" s="219"/>
      <c r="D808" s="219"/>
      <c r="E808" s="219"/>
      <c r="F808" s="197" t="s">
        <v>318</v>
      </c>
      <c r="G808" s="226">
        <f>L803/G807</f>
        <v>47.999999999999993</v>
      </c>
      <c r="H808" s="226">
        <f>L803/H807</f>
        <v>30</v>
      </c>
      <c r="I808" s="226">
        <f>L803/I807</f>
        <v>21.818181818181817</v>
      </c>
      <c r="J808" s="226">
        <f>L803/J807</f>
        <v>19.2</v>
      </c>
      <c r="K808" s="226">
        <f>L803/K807</f>
        <v>34.285714285714285</v>
      </c>
      <c r="L808" s="73" t="s">
        <v>319</v>
      </c>
      <c r="M808" s="193"/>
      <c r="N808" s="220"/>
      <c r="O808" s="15"/>
      <c r="P808" s="15"/>
      <c r="Q808" s="15"/>
    </row>
    <row r="809" spans="1:17" ht="18.75">
      <c r="A809" s="9963"/>
      <c r="B809" s="227" t="s">
        <v>66</v>
      </c>
      <c r="C809" s="228" t="s">
        <v>320</v>
      </c>
      <c r="D809" s="219"/>
      <c r="E809" s="219"/>
      <c r="F809" s="197"/>
      <c r="G809" s="229"/>
      <c r="H809" s="229"/>
      <c r="I809" s="229"/>
      <c r="J809" s="229"/>
      <c r="K809" s="229"/>
      <c r="L809" s="73"/>
      <c r="M809" s="193"/>
      <c r="N809" s="220"/>
      <c r="O809" s="15"/>
      <c r="P809" s="15"/>
      <c r="Q809" s="15"/>
    </row>
    <row r="810" spans="1:17">
      <c r="A810" s="9963"/>
      <c r="B810" s="8488" t="s">
        <v>321</v>
      </c>
      <c r="C810" s="8489"/>
      <c r="D810" s="8489"/>
      <c r="E810" s="8489"/>
      <c r="F810" s="8489"/>
      <c r="G810" s="8489"/>
      <c r="H810" s="8489"/>
      <c r="I810" s="8489"/>
      <c r="J810" s="8489"/>
      <c r="K810" s="8489"/>
      <c r="L810" s="8489"/>
      <c r="M810" s="8489"/>
      <c r="N810" s="9972"/>
      <c r="O810" s="15"/>
      <c r="P810" s="15"/>
      <c r="Q810" s="15"/>
    </row>
    <row r="811" spans="1:17" ht="15.75">
      <c r="A811" s="9963"/>
      <c r="B811" s="230"/>
      <c r="C811" s="231"/>
      <c r="D811" s="231"/>
      <c r="E811" s="231"/>
      <c r="F811" s="219"/>
      <c r="G811" s="219"/>
      <c r="H811" s="56"/>
      <c r="I811" s="56"/>
      <c r="J811" s="56"/>
      <c r="K811" s="56"/>
      <c r="L811" s="8491" t="s">
        <v>81</v>
      </c>
      <c r="M811" s="8491"/>
      <c r="N811" s="220"/>
      <c r="O811" s="15"/>
      <c r="P811" s="15"/>
      <c r="Q811" s="15"/>
    </row>
    <row r="812" spans="1:17" ht="15.75">
      <c r="A812" s="9963"/>
      <c r="B812" s="230"/>
      <c r="C812" s="231"/>
      <c r="D812" s="231"/>
      <c r="E812" s="231"/>
      <c r="F812" s="219"/>
      <c r="G812" s="219"/>
      <c r="H812" s="56"/>
      <c r="I812" s="56"/>
      <c r="J812" s="56"/>
      <c r="K812" s="232" t="s">
        <v>302</v>
      </c>
      <c r="L812" s="9955" t="s">
        <v>43</v>
      </c>
      <c r="M812" s="9956"/>
      <c r="N812" s="220"/>
      <c r="O812" s="15"/>
      <c r="P812" s="15"/>
      <c r="Q812" s="15"/>
    </row>
    <row r="813" spans="1:17" ht="18">
      <c r="A813" s="9963"/>
      <c r="B813" s="218"/>
      <c r="C813" s="219"/>
      <c r="D813" s="56"/>
      <c r="E813" s="56"/>
      <c r="F813" s="56"/>
      <c r="G813" s="56"/>
      <c r="H813" s="56"/>
      <c r="I813" s="56"/>
      <c r="J813" s="56"/>
      <c r="K813" s="56"/>
      <c r="L813" s="56"/>
      <c r="M813" s="193"/>
      <c r="N813" s="220"/>
      <c r="O813" s="15"/>
      <c r="P813" s="15"/>
      <c r="Q813" s="15"/>
    </row>
    <row r="814" spans="1:17" ht="18.75">
      <c r="A814" s="9963"/>
      <c r="B814" s="218"/>
      <c r="C814" s="219"/>
      <c r="D814" s="219"/>
      <c r="E814" s="219"/>
      <c r="F814" s="191" t="s">
        <v>208</v>
      </c>
      <c r="G814" s="192">
        <v>50</v>
      </c>
      <c r="H814" s="192">
        <v>500</v>
      </c>
      <c r="I814" s="192">
        <v>150</v>
      </c>
      <c r="J814" s="192">
        <v>13</v>
      </c>
      <c r="K814" s="192">
        <v>13</v>
      </c>
      <c r="L814" s="56">
        <f>SUM(G814:K814)</f>
        <v>726</v>
      </c>
      <c r="M814" s="193" t="s">
        <v>209</v>
      </c>
      <c r="N814" s="220"/>
      <c r="O814" s="15"/>
      <c r="P814" s="15"/>
      <c r="Q814" s="15"/>
    </row>
    <row r="815" spans="1:17" ht="18.75">
      <c r="A815" s="9963"/>
      <c r="B815" s="218"/>
      <c r="C815" s="219"/>
      <c r="D815" s="219"/>
      <c r="E815" s="219"/>
      <c r="F815" s="197" t="s">
        <v>322</v>
      </c>
      <c r="G815" s="969">
        <f>G807*G814</f>
        <v>2.5</v>
      </c>
      <c r="H815" s="969">
        <f>H807*H814</f>
        <v>40</v>
      </c>
      <c r="I815" s="969">
        <f>I807*I814</f>
        <v>16.5</v>
      </c>
      <c r="J815" s="969">
        <f>J807*J814</f>
        <v>1.625</v>
      </c>
      <c r="K815" s="969">
        <f>K807*K814</f>
        <v>0.91000000000000014</v>
      </c>
      <c r="L815" s="56">
        <f>SUM(G815:K815)</f>
        <v>61.534999999999997</v>
      </c>
      <c r="M815" s="193" t="str">
        <f>L812</f>
        <v>Kg</v>
      </c>
      <c r="N815" s="220"/>
      <c r="O815" s="15"/>
      <c r="P815" s="15"/>
      <c r="Q815" s="15"/>
    </row>
    <row r="816" spans="1:17">
      <c r="A816" s="9963"/>
      <c r="B816" s="218"/>
      <c r="C816" s="219"/>
      <c r="D816" s="219"/>
      <c r="E816" s="219"/>
      <c r="F816" s="219"/>
      <c r="G816" s="199" t="str">
        <f>L812</f>
        <v>Kg</v>
      </c>
      <c r="H816" s="199" t="str">
        <f>L812</f>
        <v>Kg</v>
      </c>
      <c r="I816" s="199" t="str">
        <f>L812</f>
        <v>Kg</v>
      </c>
      <c r="J816" s="199" t="str">
        <f>L812</f>
        <v>Kg</v>
      </c>
      <c r="K816" s="199" t="str">
        <f>L812</f>
        <v>Kg</v>
      </c>
      <c r="L816" s="219"/>
      <c r="M816" s="233"/>
      <c r="N816" s="220"/>
      <c r="O816" s="15"/>
      <c r="P816" s="15"/>
      <c r="Q816" s="15"/>
    </row>
    <row r="817" spans="1:19" ht="18">
      <c r="A817" s="9963"/>
      <c r="B817" s="94"/>
      <c r="C817" s="201" t="s">
        <v>211</v>
      </c>
      <c r="D817" s="202">
        <v>50</v>
      </c>
      <c r="E817" s="203" t="s">
        <v>84</v>
      </c>
      <c r="F817" s="32"/>
      <c r="G817" s="32"/>
      <c r="H817" s="219"/>
      <c r="I817" s="219"/>
      <c r="J817" s="219"/>
      <c r="K817" s="219"/>
      <c r="L817" s="219"/>
      <c r="M817" s="233"/>
      <c r="N817" s="220"/>
      <c r="O817" s="15"/>
      <c r="P817" s="15"/>
      <c r="Q817" s="15"/>
    </row>
    <row r="818" spans="1:19" ht="18">
      <c r="A818" s="9963"/>
      <c r="B818" s="218"/>
      <c r="C818" s="219"/>
      <c r="D818" s="219"/>
      <c r="E818" s="219"/>
      <c r="F818" s="197" t="s">
        <v>220</v>
      </c>
      <c r="G818" s="603">
        <f>G815/(100-D817)*100</f>
        <v>5</v>
      </c>
      <c r="H818" s="603">
        <f>H815/(100-D817)*100</f>
        <v>80</v>
      </c>
      <c r="I818" s="603">
        <f>I815/(100-D817)*100</f>
        <v>33</v>
      </c>
      <c r="J818" s="603">
        <f>J815/(100-D817)*100</f>
        <v>3.25</v>
      </c>
      <c r="K818" s="603">
        <f>K815/(100-D817)*100</f>
        <v>1.8200000000000005</v>
      </c>
      <c r="L818" s="56">
        <f>SUM(G818:K818)</f>
        <v>123.07000000000001</v>
      </c>
      <c r="M818" s="193" t="str">
        <f>L812</f>
        <v>Kg</v>
      </c>
      <c r="N818" s="220"/>
      <c r="O818" s="15"/>
      <c r="P818" s="15"/>
      <c r="Q818" s="15"/>
    </row>
    <row r="819" spans="1:19" ht="18">
      <c r="A819" s="9963"/>
      <c r="B819" s="218"/>
      <c r="C819" s="219"/>
      <c r="D819" s="219"/>
      <c r="E819" s="219"/>
      <c r="F819" s="197"/>
      <c r="G819" s="206" t="str">
        <f>L812</f>
        <v>Kg</v>
      </c>
      <c r="H819" s="206" t="str">
        <f>L812</f>
        <v>Kg</v>
      </c>
      <c r="I819" s="206" t="str">
        <f>L812</f>
        <v>Kg</v>
      </c>
      <c r="J819" s="206" t="str">
        <f>L812</f>
        <v>Kg</v>
      </c>
      <c r="K819" s="206" t="str">
        <f>L812</f>
        <v>Kg</v>
      </c>
      <c r="L819" s="56"/>
      <c r="M819" s="193"/>
      <c r="N819" s="220"/>
      <c r="O819" s="15"/>
      <c r="P819" s="15"/>
      <c r="Q819" s="15"/>
    </row>
    <row r="820" spans="1:19" ht="15.75">
      <c r="A820" s="9963"/>
      <c r="B820" s="970" t="s">
        <v>84</v>
      </c>
      <c r="C820" s="215" t="s">
        <v>311</v>
      </c>
      <c r="D820" s="234"/>
      <c r="E820" s="234"/>
      <c r="F820" s="234"/>
      <c r="G820" s="234"/>
      <c r="H820" s="234"/>
      <c r="I820" s="234"/>
      <c r="J820" s="234"/>
      <c r="K820" s="234"/>
      <c r="L820" s="234"/>
      <c r="M820" s="234"/>
      <c r="N820" s="971"/>
      <c r="O820" s="15"/>
      <c r="P820" s="15"/>
      <c r="Q820" s="15"/>
    </row>
    <row r="821" spans="1:19" ht="18.75">
      <c r="A821" s="9963"/>
      <c r="B821" s="235" t="s">
        <v>81</v>
      </c>
      <c r="C821" s="972" t="s">
        <v>307</v>
      </c>
      <c r="D821" s="209"/>
      <c r="E821" s="209"/>
      <c r="F821" s="209"/>
      <c r="G821" s="209"/>
      <c r="H821" s="209"/>
      <c r="I821" s="209"/>
      <c r="J821" s="209"/>
      <c r="K821" s="209"/>
      <c r="L821" s="209"/>
      <c r="M821" s="209"/>
      <c r="N821" s="210"/>
      <c r="O821" s="15"/>
      <c r="P821" s="15"/>
      <c r="Q821" s="15"/>
    </row>
    <row r="822" spans="1:19" ht="18.75">
      <c r="A822" s="9963"/>
      <c r="B822" s="211"/>
      <c r="C822" s="9955" t="s">
        <v>43</v>
      </c>
      <c r="D822" s="9956"/>
      <c r="E822" s="212"/>
      <c r="F822" s="9955" t="s">
        <v>309</v>
      </c>
      <c r="G822" s="9956"/>
      <c r="H822" s="212"/>
      <c r="I822" s="9955" t="s">
        <v>310</v>
      </c>
      <c r="J822" s="9956"/>
      <c r="K822" s="212"/>
      <c r="L822" s="9955" t="s">
        <v>308</v>
      </c>
      <c r="M822" s="9956"/>
      <c r="N822" s="213"/>
      <c r="O822" s="15"/>
      <c r="P822" s="15"/>
      <c r="Q822" s="15"/>
    </row>
    <row r="823" spans="1:19" ht="18.75">
      <c r="A823" s="9963"/>
      <c r="B823" s="211"/>
      <c r="C823" s="212"/>
      <c r="D823" s="212"/>
      <c r="E823" s="212"/>
      <c r="F823" s="212"/>
      <c r="G823" s="212"/>
      <c r="H823" s="212"/>
      <c r="I823" s="212"/>
      <c r="J823" s="212"/>
      <c r="K823" s="212"/>
      <c r="L823" s="212"/>
      <c r="M823" s="212"/>
      <c r="N823" s="213"/>
      <c r="O823" s="15"/>
      <c r="P823" s="15"/>
      <c r="Q823" s="15"/>
    </row>
    <row r="824" spans="1:19">
      <c r="A824" s="9963"/>
      <c r="B824" s="9957" t="s">
        <v>312</v>
      </c>
      <c r="C824" s="8467"/>
      <c r="D824" s="8467"/>
      <c r="E824" s="8467"/>
      <c r="F824" s="8467"/>
      <c r="G824" s="8467"/>
      <c r="H824" s="8467"/>
      <c r="I824" s="8467"/>
      <c r="J824" s="8467"/>
      <c r="K824" s="8467"/>
      <c r="L824" s="8467"/>
      <c r="M824" s="8467"/>
      <c r="N824" s="9958"/>
      <c r="O824" s="15"/>
      <c r="P824" s="15"/>
      <c r="Q824" s="15"/>
    </row>
    <row r="825" spans="1:19">
      <c r="A825" s="9963"/>
      <c r="B825" s="8469"/>
      <c r="C825" s="8470"/>
      <c r="D825" s="8470"/>
      <c r="E825" s="8470"/>
      <c r="F825" s="8470"/>
      <c r="G825" s="8470"/>
      <c r="H825" s="8470"/>
      <c r="I825" s="8470"/>
      <c r="J825" s="8470"/>
      <c r="K825" s="8470"/>
      <c r="L825" s="8470"/>
      <c r="M825" s="8470"/>
      <c r="N825" s="8471"/>
      <c r="O825" s="15"/>
      <c r="P825" s="15"/>
      <c r="Q825" s="15"/>
    </row>
    <row r="826" spans="1:19">
      <c r="A826" s="9963"/>
      <c r="B826" s="216" t="s">
        <v>7</v>
      </c>
      <c r="C826" s="9959" t="str">
        <f ca="1">CELL("nomfichier")</f>
        <v>D:\Données\1.UPRT\0-UPRT.fait\1-UPRT.FR-SITE-WEB\ff-fiches-fabrications\ff.fiches.fabrication.2023\UPRT.23.aout\[ff-20-CHARCUTERIE-michel-Mariette.BOUDIN.BLANC_-1.xlsx]Exemples Michel Mariette</v>
      </c>
      <c r="D826" s="9959"/>
      <c r="E826" s="9959"/>
      <c r="F826" s="9959"/>
      <c r="G826" s="9959"/>
      <c r="H826" s="9959"/>
      <c r="I826" s="9959"/>
      <c r="J826" s="9959"/>
      <c r="K826" s="9959"/>
      <c r="L826" s="9959"/>
      <c r="M826" s="9959"/>
      <c r="N826" s="9960"/>
      <c r="O826" s="15"/>
      <c r="P826" s="15"/>
      <c r="Q826" s="15"/>
    </row>
    <row r="827" spans="1:19">
      <c r="A827" s="9963"/>
      <c r="B827" s="217" t="s">
        <v>14</v>
      </c>
      <c r="C827" s="9961" t="s">
        <v>313</v>
      </c>
      <c r="D827" s="9961"/>
      <c r="E827" s="9961"/>
      <c r="F827" s="9961"/>
      <c r="G827" s="9961"/>
      <c r="H827" s="9961"/>
      <c r="I827" s="9961"/>
      <c r="J827" s="9961"/>
      <c r="K827" s="9961"/>
      <c r="L827" s="9961"/>
      <c r="M827" s="9961"/>
      <c r="N827" s="9962"/>
      <c r="O827" s="15"/>
      <c r="P827" s="15"/>
      <c r="Q827" s="15"/>
    </row>
    <row r="828" spans="1:19" ht="15.75" thickBot="1">
      <c r="A828" s="9963"/>
      <c r="B828" s="9935" t="s">
        <v>8</v>
      </c>
      <c r="C828" s="8460"/>
      <c r="D828" s="8460"/>
      <c r="E828" s="8460"/>
      <c r="F828" s="8460"/>
      <c r="G828" s="8460"/>
      <c r="H828" s="8460"/>
      <c r="I828" s="8460"/>
      <c r="J828" s="8460"/>
      <c r="K828" s="8460"/>
      <c r="L828" s="8460"/>
      <c r="M828" s="8460"/>
      <c r="N828" s="8461"/>
      <c r="O828" s="15"/>
      <c r="P828" s="15"/>
      <c r="Q828" s="15"/>
    </row>
    <row r="829" spans="1:19">
      <c r="A829" s="15"/>
      <c r="B829" s="14"/>
      <c r="C829" s="14"/>
      <c r="D829" s="14"/>
      <c r="E829" s="14"/>
      <c r="F829" s="14"/>
      <c r="G829" s="14"/>
      <c r="H829" s="14"/>
      <c r="I829" s="14"/>
      <c r="J829" s="14"/>
      <c r="K829" s="14"/>
      <c r="L829" s="14"/>
      <c r="M829" s="15"/>
      <c r="N829" s="15"/>
      <c r="O829" s="15"/>
      <c r="P829" s="15"/>
      <c r="Q829" s="15"/>
    </row>
    <row r="830" spans="1:19">
      <c r="A830" s="15"/>
      <c r="B830" s="14"/>
      <c r="C830" s="14"/>
      <c r="D830" s="14"/>
      <c r="E830" s="14"/>
      <c r="F830" s="14"/>
      <c r="G830" s="14"/>
      <c r="H830" s="14"/>
      <c r="I830" s="14"/>
      <c r="J830" s="14"/>
      <c r="K830" s="14"/>
      <c r="L830" s="14"/>
      <c r="M830" s="15"/>
      <c r="N830" s="15"/>
      <c r="O830" s="15"/>
      <c r="P830" s="15"/>
      <c r="Q830" s="15"/>
    </row>
    <row r="831" spans="1:19" ht="46.5" customHeight="1">
      <c r="A831" s="973" t="s">
        <v>1746</v>
      </c>
      <c r="B831" s="974"/>
      <c r="C831" s="974"/>
      <c r="D831" s="975"/>
      <c r="E831" s="975"/>
      <c r="F831" s="975"/>
      <c r="G831" s="975"/>
      <c r="H831" s="975"/>
      <c r="I831" s="975"/>
      <c r="J831" s="975"/>
      <c r="K831" s="976"/>
      <c r="L831" s="977"/>
      <c r="M831" s="977"/>
      <c r="N831" s="977"/>
      <c r="O831" s="977"/>
      <c r="P831" s="977"/>
      <c r="Q831" s="977"/>
      <c r="R831" s="977"/>
      <c r="S831" s="978" t="s">
        <v>1747</v>
      </c>
    </row>
    <row r="832" spans="1:19" ht="46.5" customHeight="1">
      <c r="A832" s="979"/>
      <c r="B832" s="979"/>
      <c r="C832" s="979"/>
      <c r="D832" s="979"/>
      <c r="E832" s="979"/>
      <c r="F832" s="979"/>
      <c r="G832" s="979"/>
      <c r="H832" s="979"/>
      <c r="I832" s="979"/>
      <c r="J832" s="979"/>
      <c r="K832" s="979"/>
      <c r="L832" s="979"/>
      <c r="M832" s="979"/>
      <c r="N832" s="980"/>
      <c r="O832" s="979"/>
      <c r="P832" s="980"/>
      <c r="Q832" s="980"/>
      <c r="R832" s="980"/>
      <c r="S832" s="980"/>
    </row>
    <row r="833" spans="1:19" ht="20.100000000000001" customHeight="1">
      <c r="A833" s="9936" t="s">
        <v>1748</v>
      </c>
      <c r="B833" s="9937"/>
      <c r="C833" s="9937"/>
      <c r="D833" s="9937"/>
      <c r="E833" s="9937"/>
      <c r="F833" s="9937"/>
      <c r="G833" s="9937"/>
      <c r="H833" s="9937"/>
      <c r="I833" s="9937"/>
      <c r="J833" s="9937"/>
      <c r="K833" s="9938" t="s">
        <v>1749</v>
      </c>
      <c r="L833" s="9939"/>
      <c r="M833" s="9939"/>
      <c r="N833" s="9939"/>
      <c r="O833" s="9939"/>
      <c r="P833" s="9939"/>
      <c r="Q833" s="9939"/>
      <c r="R833" s="9939"/>
      <c r="S833" s="9940"/>
    </row>
    <row r="834" spans="1:19" ht="20.100000000000001" customHeight="1">
      <c r="A834" s="9941" t="s">
        <v>372</v>
      </c>
      <c r="B834" s="9942"/>
      <c r="C834" s="9942"/>
      <c r="D834" s="9943" t="s">
        <v>1750</v>
      </c>
      <c r="E834" s="9944" t="s">
        <v>1751</v>
      </c>
      <c r="F834" s="9945" t="s">
        <v>1752</v>
      </c>
      <c r="G834" s="9946"/>
      <c r="H834" s="9946"/>
      <c r="I834" s="9946"/>
      <c r="J834" s="9947"/>
      <c r="K834" s="9948" t="s">
        <v>1753</v>
      </c>
      <c r="L834" s="9949"/>
      <c r="M834" s="9950" t="s">
        <v>1754</v>
      </c>
      <c r="N834" s="9951"/>
      <c r="O834" s="9951"/>
      <c r="P834" s="9951"/>
      <c r="Q834" s="9951"/>
      <c r="R834" s="9951"/>
      <c r="S834" s="9952"/>
    </row>
    <row r="835" spans="1:19" ht="20.100000000000001" customHeight="1">
      <c r="A835" s="8374"/>
      <c r="B835" s="8375"/>
      <c r="C835" s="8375"/>
      <c r="D835" s="8379"/>
      <c r="E835" s="8382"/>
      <c r="F835" s="981" t="s">
        <v>214</v>
      </c>
      <c r="G835" s="982" t="s">
        <v>215</v>
      </c>
      <c r="H835" s="983" t="s">
        <v>216</v>
      </c>
      <c r="I835" s="983" t="s">
        <v>201</v>
      </c>
      <c r="J835" s="983" t="s">
        <v>243</v>
      </c>
      <c r="K835" s="8389"/>
      <c r="L835" s="8390"/>
      <c r="M835" s="8394"/>
      <c r="N835" s="8395"/>
      <c r="O835" s="8395"/>
      <c r="P835" s="8395"/>
      <c r="Q835" s="8395"/>
      <c r="R835" s="8395"/>
      <c r="S835" s="8396"/>
    </row>
    <row r="836" spans="1:19" ht="20.100000000000001" customHeight="1">
      <c r="A836" s="8374"/>
      <c r="B836" s="8375"/>
      <c r="C836" s="8375"/>
      <c r="D836" s="8379"/>
      <c r="E836" s="8382"/>
      <c r="F836" s="984">
        <v>12</v>
      </c>
      <c r="G836" s="984">
        <v>25</v>
      </c>
      <c r="H836" s="984">
        <v>14</v>
      </c>
      <c r="I836" s="984">
        <v>7</v>
      </c>
      <c r="J836" s="984">
        <v>10</v>
      </c>
      <c r="K836" s="9953" t="s">
        <v>244</v>
      </c>
      <c r="L836" s="9954"/>
      <c r="M836" s="8394"/>
      <c r="N836" s="8395"/>
      <c r="O836" s="8395"/>
      <c r="P836" s="8395"/>
      <c r="Q836" s="8395"/>
      <c r="R836" s="8395"/>
      <c r="S836" s="8396"/>
    </row>
    <row r="837" spans="1:19" ht="20.100000000000001" customHeight="1" thickBot="1">
      <c r="A837" s="8376"/>
      <c r="B837" s="8377"/>
      <c r="C837" s="8377"/>
      <c r="D837" s="8380"/>
      <c r="E837" s="8383"/>
      <c r="F837" s="9932" t="s">
        <v>1755</v>
      </c>
      <c r="G837" s="9932"/>
      <c r="H837" s="9932"/>
      <c r="I837" s="9932"/>
      <c r="J837" s="9932"/>
      <c r="K837" s="9933">
        <f>SUM(F836:J836)</f>
        <v>68</v>
      </c>
      <c r="L837" s="9934"/>
      <c r="M837" s="8397"/>
      <c r="N837" s="8398"/>
      <c r="O837" s="8398"/>
      <c r="P837" s="8398"/>
      <c r="Q837" s="8398"/>
      <c r="R837" s="8398"/>
      <c r="S837" s="8399"/>
    </row>
    <row r="838" spans="1:19" ht="20.100000000000001" customHeight="1">
      <c r="A838" s="985"/>
      <c r="B838" s="986"/>
      <c r="C838" s="986"/>
      <c r="D838" s="986"/>
      <c r="E838" s="986"/>
      <c r="F838" s="986"/>
      <c r="G838" s="986"/>
      <c r="H838" s="986"/>
      <c r="I838" s="986"/>
      <c r="J838" s="986"/>
      <c r="K838" s="986"/>
      <c r="L838" s="986"/>
      <c r="M838" s="986"/>
      <c r="N838" s="986"/>
      <c r="O838" s="986"/>
      <c r="P838" s="986"/>
      <c r="Q838" s="986"/>
      <c r="R838" s="986"/>
      <c r="S838" s="987" t="s">
        <v>1756</v>
      </c>
    </row>
    <row r="839" spans="1:19" ht="20.100000000000001" customHeight="1">
      <c r="A839" s="9931" t="s">
        <v>1757</v>
      </c>
      <c r="B839" s="9926"/>
      <c r="C839" s="9926"/>
      <c r="D839" s="988">
        <v>25</v>
      </c>
      <c r="E839" s="989" t="s">
        <v>1758</v>
      </c>
      <c r="F839" s="990">
        <v>0.5</v>
      </c>
      <c r="G839" s="990">
        <v>1</v>
      </c>
      <c r="H839" s="990">
        <v>1</v>
      </c>
      <c r="I839" s="990">
        <v>1</v>
      </c>
      <c r="J839" s="990">
        <v>1</v>
      </c>
      <c r="K839" s="991">
        <f>(F839*F836)+(G839*G836)+(H839*H836)+(I839*I836)+(J839*J836)</f>
        <v>62</v>
      </c>
      <c r="L839" s="9927" t="str">
        <f t="shared" ref="L839:L846" si="7">E839</f>
        <v>paupiettes</v>
      </c>
      <c r="M839" s="9927"/>
      <c r="N839" s="992">
        <f t="shared" ref="N839:N842" si="8">IF(K839=0,0,INT(K839/D839))</f>
        <v>2</v>
      </c>
      <c r="O839" s="993">
        <f t="shared" ref="O839:O842" si="9">K839-(N839*D839)</f>
        <v>12</v>
      </c>
      <c r="P839" s="994" t="str">
        <f t="shared" ref="P839:P842" si="10">IF(O839=0,0,E839)</f>
        <v>paupiettes</v>
      </c>
      <c r="Q839" s="995">
        <f t="shared" ref="Q839:Q842" si="11">IF(O839=0,0,N839+1)</f>
        <v>3</v>
      </c>
      <c r="R839" s="993">
        <f t="shared" ref="R839:R842" si="12">IF(O839=0,0,K839-(Q839*D839))</f>
        <v>-13</v>
      </c>
      <c r="S839" s="996" t="str">
        <f t="shared" ref="S839:S842" si="13">IF(R839=0,0,E839)</f>
        <v>paupiettes</v>
      </c>
    </row>
    <row r="840" spans="1:19" ht="20.100000000000001" customHeight="1">
      <c r="A840" s="9931" t="s">
        <v>1759</v>
      </c>
      <c r="B840" s="9926"/>
      <c r="C840" s="9926"/>
      <c r="D840" s="988">
        <v>12</v>
      </c>
      <c r="E840" s="989" t="s">
        <v>1760</v>
      </c>
      <c r="F840" s="990">
        <v>1</v>
      </c>
      <c r="G840" s="990">
        <v>1</v>
      </c>
      <c r="H840" s="990">
        <v>1</v>
      </c>
      <c r="I840" s="990">
        <v>1</v>
      </c>
      <c r="J840" s="990">
        <v>1</v>
      </c>
      <c r="K840" s="991">
        <f>(F840*F836)+(G840*G836)+(H840*H836)+(I840*I836)+(J840*J836)</f>
        <v>68</v>
      </c>
      <c r="L840" s="9927" t="str">
        <f t="shared" si="7"/>
        <v>Cuisses</v>
      </c>
      <c r="M840" s="9927"/>
      <c r="N840" s="992">
        <f t="shared" si="8"/>
        <v>5</v>
      </c>
      <c r="O840" s="993">
        <f t="shared" si="9"/>
        <v>8</v>
      </c>
      <c r="P840" s="994" t="str">
        <f t="shared" si="10"/>
        <v>Cuisses</v>
      </c>
      <c r="Q840" s="995">
        <f t="shared" si="11"/>
        <v>6</v>
      </c>
      <c r="R840" s="993">
        <f t="shared" si="12"/>
        <v>-4</v>
      </c>
      <c r="S840" s="996" t="str">
        <f t="shared" si="13"/>
        <v>Cuisses</v>
      </c>
    </row>
    <row r="841" spans="1:19" ht="20.100000000000001" customHeight="1">
      <c r="A841" s="9931" t="s">
        <v>1761</v>
      </c>
      <c r="B841" s="9926"/>
      <c r="C841" s="9926"/>
      <c r="D841" s="988">
        <v>60</v>
      </c>
      <c r="E841" s="989" t="s">
        <v>1762</v>
      </c>
      <c r="F841" s="990">
        <v>1</v>
      </c>
      <c r="G841" s="990">
        <v>1.5</v>
      </c>
      <c r="H841" s="990">
        <v>2</v>
      </c>
      <c r="I841" s="990">
        <v>3</v>
      </c>
      <c r="J841" s="990">
        <v>2</v>
      </c>
      <c r="K841" s="991">
        <f>(F841*F836)+(G841*G836)+(H841*H836)+(I841*I836)+(J841*J836)</f>
        <v>118.5</v>
      </c>
      <c r="L841" s="9927" t="str">
        <f t="shared" si="7"/>
        <v>tranches</v>
      </c>
      <c r="M841" s="9927"/>
      <c r="N841" s="992">
        <f t="shared" si="8"/>
        <v>1</v>
      </c>
      <c r="O841" s="993">
        <f t="shared" si="9"/>
        <v>58.5</v>
      </c>
      <c r="P841" s="994" t="str">
        <f t="shared" si="10"/>
        <v>tranches</v>
      </c>
      <c r="Q841" s="995">
        <f t="shared" si="11"/>
        <v>2</v>
      </c>
      <c r="R841" s="993">
        <f t="shared" si="12"/>
        <v>-1.5</v>
      </c>
      <c r="S841" s="996" t="str">
        <f t="shared" si="13"/>
        <v>tranches</v>
      </c>
    </row>
    <row r="842" spans="1:19" ht="20.100000000000001" customHeight="1" thickBot="1">
      <c r="A842" s="9931" t="s">
        <v>1763</v>
      </c>
      <c r="B842" s="9926"/>
      <c r="C842" s="9926"/>
      <c r="D842" s="988">
        <v>20</v>
      </c>
      <c r="E842" s="989" t="s">
        <v>1764</v>
      </c>
      <c r="F842" s="990">
        <v>1</v>
      </c>
      <c r="G842" s="990">
        <v>1.5</v>
      </c>
      <c r="H842" s="990">
        <v>2</v>
      </c>
      <c r="I842" s="990">
        <v>3</v>
      </c>
      <c r="J842" s="990">
        <v>2</v>
      </c>
      <c r="K842" s="997">
        <f>(F842*F836)+(G842*G836)+(H842*H836)+(I842*I836)+(J842*J836)</f>
        <v>118.5</v>
      </c>
      <c r="L842" s="9930" t="str">
        <f t="shared" si="7"/>
        <v>tomates</v>
      </c>
      <c r="M842" s="9930"/>
      <c r="N842" s="998">
        <f t="shared" si="8"/>
        <v>5</v>
      </c>
      <c r="O842" s="999">
        <f t="shared" si="9"/>
        <v>18.5</v>
      </c>
      <c r="P842" s="1000" t="str">
        <f t="shared" si="10"/>
        <v>tomates</v>
      </c>
      <c r="Q842" s="1001">
        <f t="shared" si="11"/>
        <v>6</v>
      </c>
      <c r="R842" s="999">
        <f t="shared" si="12"/>
        <v>-1.5</v>
      </c>
      <c r="S842" s="1002" t="str">
        <f t="shared" si="13"/>
        <v>tomates</v>
      </c>
    </row>
    <row r="843" spans="1:19" ht="20.100000000000001" customHeight="1">
      <c r="A843" s="985"/>
      <c r="B843" s="986"/>
      <c r="C843" s="986"/>
      <c r="D843" s="986"/>
      <c r="E843" s="986"/>
      <c r="F843" s="986"/>
      <c r="G843" s="986"/>
      <c r="H843" s="986"/>
      <c r="I843" s="986"/>
      <c r="J843" s="986"/>
      <c r="K843" s="986"/>
      <c r="L843" s="986"/>
      <c r="M843" s="986"/>
      <c r="N843" s="986"/>
      <c r="O843" s="986"/>
      <c r="P843" s="986"/>
      <c r="Q843" s="986"/>
      <c r="R843" s="986"/>
      <c r="S843" s="987" t="s">
        <v>1765</v>
      </c>
    </row>
    <row r="844" spans="1:19" ht="20.100000000000001" customHeight="1">
      <c r="A844" s="9925" t="s">
        <v>1766</v>
      </c>
      <c r="B844" s="9926"/>
      <c r="C844" s="9926"/>
      <c r="D844" s="988">
        <v>3</v>
      </c>
      <c r="E844" s="989" t="s">
        <v>43</v>
      </c>
      <c r="F844" s="990">
        <v>7.4999999999999997E-2</v>
      </c>
      <c r="G844" s="1003">
        <v>0.09</v>
      </c>
      <c r="H844" s="1003">
        <v>0.15</v>
      </c>
      <c r="I844" s="1003">
        <v>0.18</v>
      </c>
      <c r="J844" s="1003">
        <v>0.13</v>
      </c>
      <c r="K844" s="1004">
        <f>(F844*F836)+(G844*G836)+(H844*H836)+(I844*I836)+(J844*J836)</f>
        <v>7.81</v>
      </c>
      <c r="L844" s="9927" t="str">
        <f>E844</f>
        <v>Kg</v>
      </c>
      <c r="M844" s="9927"/>
      <c r="N844" s="992">
        <f>IF(K844=0,0,INT(K844/D844))</f>
        <v>2</v>
      </c>
      <c r="O844" s="1005">
        <f>K844-(N844*D844)</f>
        <v>1.8099999999999996</v>
      </c>
      <c r="P844" s="994" t="str">
        <f>IF(O844=0,0,E844)</f>
        <v>Kg</v>
      </c>
      <c r="Q844" s="995">
        <f>IF(O844=0,0,N844+1)</f>
        <v>3</v>
      </c>
      <c r="R844" s="993">
        <f>IF(O844=0,0,K844-(Q844*D844))</f>
        <v>-1.1900000000000004</v>
      </c>
      <c r="S844" s="1006" t="str">
        <f>IF(R844=0,0,E844)</f>
        <v>Kg</v>
      </c>
    </row>
    <row r="845" spans="1:19" ht="20.100000000000001" customHeight="1">
      <c r="A845" s="9925" t="s">
        <v>1767</v>
      </c>
      <c r="B845" s="9926"/>
      <c r="C845" s="9926"/>
      <c r="D845" s="988">
        <v>7.2</v>
      </c>
      <c r="E845" s="1007" t="s">
        <v>43</v>
      </c>
      <c r="F845" s="1003">
        <v>0.2</v>
      </c>
      <c r="G845" s="1003">
        <v>0.25</v>
      </c>
      <c r="H845" s="1003">
        <v>0.35</v>
      </c>
      <c r="I845" s="1003">
        <v>0.45</v>
      </c>
      <c r="J845" s="1003">
        <v>0.35</v>
      </c>
      <c r="K845" s="1004">
        <f>(F845*F836)+(G845*G836)+(H845*H836)+(I845*I836)+(J845*J836)</f>
        <v>20.2</v>
      </c>
      <c r="L845" s="9927" t="str">
        <f t="shared" si="7"/>
        <v>Kg</v>
      </c>
      <c r="M845" s="9927"/>
      <c r="N845" s="992">
        <f>IF(K845=0,0,INT(K845/D845))</f>
        <v>2</v>
      </c>
      <c r="O845" s="1005">
        <f>K845-(N845*D845)</f>
        <v>5.7999999999999989</v>
      </c>
      <c r="P845" s="994" t="str">
        <f>IF(O845=0,0,E845)</f>
        <v>Kg</v>
      </c>
      <c r="Q845" s="995">
        <f>IF(O845=0,0,N845+1)</f>
        <v>3</v>
      </c>
      <c r="R845" s="993">
        <f>IF(O845=0,0,K845-(Q845*D845))</f>
        <v>-1.4000000000000021</v>
      </c>
      <c r="S845" s="1006" t="str">
        <f>IF(R845=0,0,E845)</f>
        <v>Kg</v>
      </c>
    </row>
    <row r="846" spans="1:19" ht="20.100000000000001" customHeight="1" thickBot="1">
      <c r="A846" s="9928" t="s">
        <v>1768</v>
      </c>
      <c r="B846" s="9929"/>
      <c r="C846" s="9929"/>
      <c r="D846" s="1008">
        <v>4</v>
      </c>
      <c r="E846" s="1009" t="s">
        <v>43</v>
      </c>
      <c r="F846" s="1010">
        <v>0.2</v>
      </c>
      <c r="G846" s="1010">
        <v>0.25</v>
      </c>
      <c r="H846" s="1010">
        <v>0.35</v>
      </c>
      <c r="I846" s="1010">
        <v>0.45</v>
      </c>
      <c r="J846" s="1010">
        <v>0.35</v>
      </c>
      <c r="K846" s="1011">
        <f>(F846*F836)+(G846*G836)+(H846*H836)+(I846*I836)+(J846*J836)</f>
        <v>20.2</v>
      </c>
      <c r="L846" s="9930" t="str">
        <f t="shared" si="7"/>
        <v>Kg</v>
      </c>
      <c r="M846" s="9930"/>
      <c r="N846" s="998">
        <f>IF(K846=0,0,INT(K846/D846))</f>
        <v>5</v>
      </c>
      <c r="O846" s="1012">
        <f>K846-(N846*D846)</f>
        <v>0.19999999999999929</v>
      </c>
      <c r="P846" s="1000" t="str">
        <f>IF(O846=0,0,E846)</f>
        <v>Kg</v>
      </c>
      <c r="Q846" s="1001">
        <f>IF(O846=0,0,N846+1)</f>
        <v>6</v>
      </c>
      <c r="R846" s="999">
        <f>IF(O846=0,0,K846-(Q846*D846))</f>
        <v>-3.8000000000000007</v>
      </c>
      <c r="S846" s="1013" t="str">
        <f>IF(R846=0,0,E846)</f>
        <v>Kg</v>
      </c>
    </row>
    <row r="847" spans="1:19" ht="20.100000000000001" customHeight="1">
      <c r="A847" s="1014"/>
      <c r="B847" s="1014"/>
      <c r="C847" s="1014"/>
      <c r="D847" s="1014"/>
      <c r="E847" s="1014"/>
      <c r="F847" s="1014"/>
      <c r="G847" s="1014"/>
      <c r="H847" s="1014"/>
      <c r="I847" s="1014"/>
      <c r="J847" s="1014"/>
      <c r="K847" s="1014"/>
      <c r="L847" s="1014"/>
      <c r="M847" s="1014"/>
      <c r="N847" s="1014"/>
      <c r="O847" s="1014"/>
      <c r="P847" s="1014"/>
      <c r="Q847" s="1014"/>
      <c r="R847" s="1015"/>
      <c r="S847" s="1016"/>
    </row>
    <row r="848" spans="1:19">
      <c r="A848" s="15"/>
      <c r="B848" s="14"/>
      <c r="C848" s="14"/>
      <c r="D848" s="14"/>
      <c r="E848" s="14"/>
      <c r="F848" s="14"/>
      <c r="G848" s="14"/>
      <c r="H848" s="14"/>
      <c r="I848" s="14"/>
      <c r="J848" s="14"/>
      <c r="K848" s="14"/>
      <c r="L848" s="14"/>
      <c r="M848" s="15"/>
      <c r="N848" s="15"/>
      <c r="O848" s="15"/>
      <c r="P848" s="15"/>
      <c r="Q848" s="15"/>
    </row>
    <row r="849" spans="1:17">
      <c r="A849" s="15"/>
      <c r="B849" s="14"/>
      <c r="C849" s="15"/>
      <c r="D849" s="15"/>
      <c r="E849" s="15"/>
      <c r="F849" s="15"/>
      <c r="G849" s="15"/>
      <c r="H849" s="15"/>
      <c r="I849" s="15"/>
      <c r="J849" s="15"/>
      <c r="K849" s="15"/>
      <c r="L849" s="15"/>
      <c r="M849" s="15"/>
      <c r="N849" s="15"/>
      <c r="O849" s="15"/>
      <c r="P849" s="15"/>
      <c r="Q849" s="15"/>
    </row>
    <row r="850" spans="1:17" ht="15" customHeight="1">
      <c r="A850" s="8462" t="s">
        <v>1303</v>
      </c>
      <c r="B850" s="8463"/>
      <c r="C850" s="8463"/>
      <c r="D850" s="8463"/>
      <c r="E850" s="8463"/>
      <c r="F850" s="8463"/>
      <c r="G850" s="8463"/>
      <c r="H850" s="8463"/>
      <c r="I850" s="8463"/>
      <c r="J850" s="8463"/>
      <c r="K850" s="8463"/>
      <c r="L850" s="8463"/>
      <c r="M850" s="8463"/>
      <c r="N850" s="8463"/>
      <c r="O850" s="8463"/>
      <c r="P850" s="8463"/>
      <c r="Q850" s="8463"/>
    </row>
    <row r="851" spans="1:17" ht="15.75" customHeight="1">
      <c r="A851" s="8462"/>
      <c r="B851" s="8463"/>
      <c r="C851" s="8463"/>
      <c r="D851" s="8463"/>
      <c r="E851" s="8463"/>
      <c r="F851" s="8463"/>
      <c r="G851" s="8463"/>
      <c r="H851" s="8463"/>
      <c r="I851" s="8463"/>
      <c r="J851" s="8463"/>
      <c r="K851" s="8463"/>
      <c r="L851" s="8463"/>
      <c r="M851" s="8463"/>
      <c r="N851" s="8463"/>
      <c r="O851" s="8463"/>
      <c r="P851" s="8463"/>
      <c r="Q851" s="8463"/>
    </row>
    <row r="852" spans="1:17" ht="20.100000000000001" customHeight="1">
      <c r="A852" s="15"/>
      <c r="B852" s="15"/>
      <c r="C852" s="15"/>
      <c r="D852" s="15"/>
      <c r="E852" s="15"/>
      <c r="F852" s="15"/>
      <c r="G852" s="15"/>
      <c r="H852" s="15"/>
      <c r="I852" s="15"/>
      <c r="J852" s="15"/>
      <c r="K852" s="15"/>
      <c r="L852" s="15"/>
      <c r="M852" s="15"/>
      <c r="N852" s="15"/>
      <c r="O852" s="15"/>
      <c r="P852" s="15"/>
      <c r="Q852" s="15"/>
    </row>
    <row r="853" spans="1:17" ht="20.100000000000001" customHeight="1">
      <c r="A853" s="15"/>
      <c r="B853" s="15"/>
      <c r="C853" s="15"/>
      <c r="D853" s="15"/>
      <c r="E853" s="260" t="s">
        <v>328</v>
      </c>
      <c r="F853" s="260"/>
      <c r="G853" s="260"/>
      <c r="H853" s="15"/>
      <c r="I853" s="15"/>
      <c r="J853" s="15"/>
      <c r="K853" s="15"/>
      <c r="L853" s="15"/>
      <c r="M853" s="15"/>
      <c r="N853" s="15"/>
      <c r="O853" s="15"/>
      <c r="P853" s="15"/>
      <c r="Q853" s="15"/>
    </row>
    <row r="854" spans="1:17" ht="20.100000000000001" customHeight="1">
      <c r="A854" s="15"/>
      <c r="B854" s="15"/>
      <c r="C854" s="15"/>
      <c r="D854" s="15"/>
      <c r="E854" s="260"/>
      <c r="F854" s="260" t="s">
        <v>329</v>
      </c>
      <c r="G854" s="260"/>
      <c r="H854" s="15"/>
      <c r="I854" s="15"/>
      <c r="J854" s="15"/>
      <c r="K854" s="15"/>
      <c r="L854" s="15"/>
      <c r="M854" s="15"/>
      <c r="N854" s="15"/>
      <c r="O854" s="15"/>
      <c r="P854" s="15"/>
      <c r="Q854" s="15"/>
    </row>
    <row r="855" spans="1:17" ht="20.100000000000001" customHeight="1">
      <c r="A855" s="15"/>
      <c r="B855" s="15"/>
      <c r="C855" s="15"/>
      <c r="D855" s="15"/>
      <c r="E855" s="260"/>
      <c r="F855" s="260" t="s">
        <v>330</v>
      </c>
      <c r="G855" s="260"/>
      <c r="H855" s="15"/>
      <c r="I855" s="15"/>
      <c r="J855" s="15"/>
      <c r="K855" s="15"/>
      <c r="L855" s="15"/>
      <c r="M855" s="15"/>
      <c r="N855" s="15"/>
      <c r="O855" s="15"/>
      <c r="P855" s="15"/>
      <c r="Q855" s="15"/>
    </row>
    <row r="856" spans="1:17" ht="20.100000000000001" customHeight="1">
      <c r="A856" s="15"/>
      <c r="B856" s="15"/>
      <c r="C856" s="15"/>
      <c r="D856" s="15"/>
      <c r="E856" s="260"/>
      <c r="F856" s="260" t="s">
        <v>331</v>
      </c>
      <c r="G856" s="260"/>
      <c r="H856" s="15"/>
      <c r="I856" s="15"/>
      <c r="J856" s="15"/>
      <c r="K856" s="15"/>
      <c r="L856" s="15"/>
      <c r="M856" s="15"/>
      <c r="N856" s="15"/>
      <c r="O856" s="15"/>
      <c r="P856" s="15"/>
      <c r="Q856" s="15"/>
    </row>
    <row r="857" spans="1:17" ht="20.100000000000001" customHeight="1">
      <c r="A857" s="15"/>
      <c r="B857" s="15"/>
      <c r="C857" s="15"/>
      <c r="D857" s="15"/>
      <c r="E857" s="15"/>
      <c r="F857" s="260" t="s">
        <v>332</v>
      </c>
      <c r="G857" s="15"/>
      <c r="H857" s="15"/>
      <c r="I857" s="15"/>
      <c r="J857" s="15"/>
      <c r="K857" s="15"/>
      <c r="L857" s="15"/>
      <c r="M857" s="15"/>
      <c r="N857" s="15"/>
      <c r="O857" s="15"/>
      <c r="P857" s="15"/>
      <c r="Q857" s="15"/>
    </row>
    <row r="858" spans="1:17" ht="20.100000000000001" customHeight="1">
      <c r="A858" s="15"/>
      <c r="B858" s="15"/>
      <c r="C858" s="15"/>
      <c r="D858" s="15"/>
      <c r="E858" s="260" t="s">
        <v>333</v>
      </c>
      <c r="F858" s="15"/>
      <c r="G858" s="15"/>
      <c r="H858" s="15"/>
      <c r="I858" s="15"/>
      <c r="J858" s="15"/>
      <c r="K858" s="15"/>
      <c r="L858" s="15"/>
      <c r="M858" s="15"/>
      <c r="N858" s="15"/>
      <c r="O858" s="15"/>
      <c r="P858" s="15"/>
      <c r="Q858" s="15"/>
    </row>
    <row r="859" spans="1:17" ht="20.100000000000001" customHeight="1">
      <c r="A859" s="15"/>
      <c r="B859" s="15"/>
      <c r="C859" s="15"/>
      <c r="D859" s="15"/>
      <c r="E859" s="15"/>
      <c r="F859" s="15"/>
      <c r="G859" s="15"/>
      <c r="H859" s="15"/>
      <c r="I859" s="15"/>
      <c r="J859" s="15"/>
      <c r="K859" s="15"/>
      <c r="L859" s="15"/>
      <c r="M859" s="15"/>
      <c r="N859" s="15"/>
      <c r="O859" s="15"/>
      <c r="P859" s="15"/>
      <c r="Q859" s="15"/>
    </row>
    <row r="860" spans="1:17" ht="20.100000000000001" customHeight="1">
      <c r="A860" s="15"/>
      <c r="B860" s="15"/>
      <c r="C860" s="15"/>
      <c r="D860" s="15"/>
      <c r="E860" s="15"/>
      <c r="F860" s="15"/>
      <c r="G860" s="15"/>
      <c r="H860" s="15"/>
      <c r="I860" s="15"/>
      <c r="J860" s="15"/>
      <c r="K860" s="15"/>
      <c r="L860" s="15"/>
      <c r="M860" s="15"/>
      <c r="N860" s="15"/>
      <c r="O860" s="15"/>
      <c r="P860" s="15"/>
      <c r="Q860" s="15"/>
    </row>
    <row r="861" spans="1:17" ht="20.100000000000001" customHeight="1">
      <c r="A861" s="15"/>
      <c r="B861" s="15"/>
      <c r="C861" s="15"/>
      <c r="D861" s="15"/>
      <c r="E861" s="15"/>
      <c r="F861" s="15"/>
      <c r="G861" s="15"/>
      <c r="H861" s="15"/>
      <c r="I861" s="15"/>
      <c r="J861" s="15"/>
      <c r="K861" s="15"/>
      <c r="L861" s="15"/>
      <c r="M861" s="15"/>
      <c r="N861" s="15"/>
      <c r="O861" s="15"/>
      <c r="P861" s="15"/>
      <c r="Q861" s="15"/>
    </row>
    <row r="862" spans="1:17" ht="20.100000000000001" customHeight="1">
      <c r="A862" s="15"/>
      <c r="B862" s="15"/>
      <c r="C862" s="15"/>
      <c r="D862" s="15"/>
      <c r="E862" s="15"/>
      <c r="F862" s="15"/>
      <c r="G862" s="15"/>
      <c r="H862" s="15"/>
      <c r="I862" s="15"/>
      <c r="J862" s="15"/>
      <c r="K862" s="15"/>
      <c r="L862" s="15"/>
      <c r="M862" s="15"/>
      <c r="N862" s="15"/>
      <c r="O862" s="15"/>
      <c r="P862" s="15"/>
      <c r="Q862" s="15"/>
    </row>
    <row r="863" spans="1:17" ht="20.100000000000001" customHeight="1">
      <c r="A863" s="15"/>
      <c r="B863" s="15"/>
      <c r="C863" s="261" t="s">
        <v>334</v>
      </c>
      <c r="D863" s="261"/>
      <c r="E863" s="261"/>
      <c r="F863" s="261"/>
      <c r="G863" s="261"/>
      <c r="H863" s="261"/>
      <c r="I863" s="261" t="s">
        <v>335</v>
      </c>
      <c r="J863" s="15"/>
      <c r="K863" s="15"/>
      <c r="L863" s="15"/>
      <c r="M863" s="15"/>
      <c r="N863" s="15"/>
      <c r="O863" s="15"/>
      <c r="P863" s="15"/>
      <c r="Q863" s="15"/>
    </row>
    <row r="864" spans="1:17" ht="20.100000000000001" customHeight="1">
      <c r="A864" s="15"/>
      <c r="B864" s="15"/>
      <c r="C864" s="15"/>
      <c r="D864" s="15"/>
      <c r="E864" s="15"/>
      <c r="F864" s="15"/>
      <c r="G864" s="15"/>
      <c r="H864" s="15"/>
      <c r="I864" s="15"/>
      <c r="J864" s="15"/>
      <c r="K864" s="15"/>
      <c r="L864" s="15"/>
      <c r="M864" s="15"/>
      <c r="N864" s="15"/>
      <c r="O864" s="15"/>
      <c r="P864" s="15"/>
      <c r="Q864" s="15"/>
    </row>
    <row r="865" spans="1:17" ht="20.100000000000001" customHeight="1">
      <c r="A865" s="15"/>
      <c r="B865" s="15"/>
      <c r="C865" s="15"/>
      <c r="D865" s="261" t="s">
        <v>336</v>
      </c>
      <c r="E865" s="15"/>
      <c r="F865" s="15"/>
      <c r="G865" s="15"/>
      <c r="H865" s="15"/>
      <c r="I865" s="261"/>
      <c r="J865" s="15"/>
      <c r="K865" s="15"/>
      <c r="L865" s="15"/>
      <c r="M865" s="15"/>
      <c r="N865" s="15"/>
      <c r="O865" s="15"/>
      <c r="P865" s="15"/>
      <c r="Q865" s="15"/>
    </row>
    <row r="866" spans="1:17" ht="20.100000000000001" customHeight="1">
      <c r="A866" s="15"/>
      <c r="B866" s="15"/>
      <c r="C866" s="15"/>
      <c r="D866" s="261" t="s">
        <v>337</v>
      </c>
      <c r="E866" s="15"/>
      <c r="F866" s="15"/>
      <c r="G866" s="15"/>
      <c r="H866" s="262" t="s">
        <v>338</v>
      </c>
      <c r="I866" s="261"/>
      <c r="J866" s="15"/>
      <c r="K866" s="15"/>
      <c r="L866" s="15"/>
      <c r="M866" s="15"/>
      <c r="N866" s="15"/>
      <c r="O866" s="15"/>
      <c r="P866" s="15"/>
      <c r="Q866" s="15"/>
    </row>
    <row r="867" spans="1:17" ht="20.100000000000001" customHeight="1">
      <c r="A867" s="15"/>
      <c r="B867" s="15"/>
      <c r="C867" s="15"/>
      <c r="D867" s="261" t="s">
        <v>339</v>
      </c>
      <c r="E867" s="15"/>
      <c r="F867" s="15"/>
      <c r="G867" s="15"/>
      <c r="H867" s="263"/>
      <c r="I867" s="263" t="s">
        <v>340</v>
      </c>
      <c r="J867" s="15"/>
      <c r="K867" s="15"/>
      <c r="L867" s="15"/>
      <c r="M867" s="15"/>
      <c r="N867" s="15"/>
      <c r="O867" s="15"/>
      <c r="P867" s="15"/>
      <c r="Q867" s="15"/>
    </row>
    <row r="868" spans="1:17" ht="20.100000000000001" customHeight="1">
      <c r="A868" s="15"/>
      <c r="B868" s="15"/>
      <c r="C868" s="15"/>
      <c r="D868" s="261" t="s">
        <v>338</v>
      </c>
      <c r="E868" s="15"/>
      <c r="F868" s="15"/>
      <c r="G868" s="15"/>
      <c r="H868" s="263"/>
      <c r="I868" s="263" t="s">
        <v>341</v>
      </c>
      <c r="J868" s="15"/>
      <c r="K868" s="15"/>
      <c r="L868" s="15"/>
      <c r="M868" s="15"/>
      <c r="N868" s="15"/>
      <c r="O868" s="15"/>
      <c r="P868" s="15"/>
      <c r="Q868" s="15"/>
    </row>
    <row r="869" spans="1:17" ht="20.100000000000001" customHeight="1">
      <c r="A869" s="15"/>
      <c r="B869" s="15"/>
      <c r="C869" s="15"/>
      <c r="D869" s="261" t="s">
        <v>342</v>
      </c>
      <c r="E869" s="15"/>
      <c r="F869" s="15"/>
      <c r="G869" s="15"/>
      <c r="H869" s="262" t="s">
        <v>343</v>
      </c>
      <c r="I869" s="15"/>
      <c r="J869" s="15"/>
      <c r="K869" s="15"/>
      <c r="L869" s="15"/>
      <c r="M869" s="15"/>
      <c r="N869" s="15"/>
      <c r="O869" s="15"/>
      <c r="P869" s="15"/>
      <c r="Q869" s="15"/>
    </row>
    <row r="870" spans="1:17" ht="20.100000000000001" customHeight="1">
      <c r="A870" s="15"/>
      <c r="B870" s="15"/>
      <c r="C870" s="15"/>
      <c r="D870" s="261" t="s">
        <v>344</v>
      </c>
      <c r="E870" s="15"/>
      <c r="F870" s="15"/>
      <c r="G870" s="15"/>
      <c r="H870" s="263"/>
      <c r="I870" s="263" t="s">
        <v>345</v>
      </c>
      <c r="J870" s="15"/>
      <c r="K870" s="15"/>
      <c r="L870" s="261"/>
      <c r="M870" s="15"/>
      <c r="N870" s="15"/>
      <c r="O870" s="15"/>
      <c r="P870" s="15"/>
      <c r="Q870" s="15"/>
    </row>
    <row r="871" spans="1:17" ht="20.100000000000001" customHeight="1">
      <c r="A871" s="15"/>
      <c r="B871" s="15"/>
      <c r="C871" s="15"/>
      <c r="D871" s="15"/>
      <c r="E871" s="15"/>
      <c r="F871" s="15"/>
      <c r="G871" s="15"/>
      <c r="H871" s="262" t="s">
        <v>346</v>
      </c>
      <c r="I871" s="261"/>
      <c r="J871" s="261"/>
      <c r="K871" s="15"/>
      <c r="L871" s="261"/>
      <c r="M871" s="15"/>
      <c r="N871" s="15"/>
      <c r="O871" s="15"/>
      <c r="P871" s="15"/>
      <c r="Q871" s="15"/>
    </row>
    <row r="872" spans="1:17" ht="20.100000000000001" customHeight="1">
      <c r="A872" s="15"/>
      <c r="B872" s="15"/>
      <c r="C872" s="15"/>
      <c r="D872" s="261" t="s">
        <v>347</v>
      </c>
      <c r="E872" s="15"/>
      <c r="F872" s="15"/>
      <c r="G872" s="15"/>
      <c r="H872" s="263"/>
      <c r="I872" s="263" t="s">
        <v>348</v>
      </c>
      <c r="J872" s="263"/>
      <c r="K872" s="15"/>
      <c r="L872" s="261"/>
      <c r="M872" s="15"/>
      <c r="N872" s="15"/>
      <c r="O872" s="15"/>
      <c r="P872" s="15"/>
      <c r="Q872" s="15"/>
    </row>
    <row r="873" spans="1:17" ht="20.100000000000001" customHeight="1">
      <c r="A873" s="15"/>
      <c r="B873" s="15"/>
      <c r="C873" s="15"/>
      <c r="D873" s="261" t="s">
        <v>337</v>
      </c>
      <c r="E873" s="15"/>
      <c r="F873" s="15"/>
      <c r="G873" s="15"/>
      <c r="H873" s="262" t="s">
        <v>349</v>
      </c>
      <c r="I873" s="261"/>
      <c r="J873" s="15"/>
      <c r="K873" s="15"/>
      <c r="L873" s="261"/>
      <c r="M873" s="15"/>
      <c r="N873" s="15"/>
      <c r="O873" s="15"/>
      <c r="P873" s="15"/>
      <c r="Q873" s="15"/>
    </row>
    <row r="874" spans="1:17" ht="20.100000000000001" customHeight="1">
      <c r="A874" s="15"/>
      <c r="B874" s="15"/>
      <c r="C874" s="15"/>
      <c r="D874" s="261" t="s">
        <v>339</v>
      </c>
      <c r="E874" s="15"/>
      <c r="F874" s="15"/>
      <c r="G874" s="15"/>
      <c r="H874" s="263"/>
      <c r="I874" s="263" t="s">
        <v>350</v>
      </c>
      <c r="J874" s="15"/>
      <c r="K874" s="15"/>
      <c r="L874" s="261"/>
      <c r="M874" s="15"/>
      <c r="N874" s="15"/>
      <c r="O874" s="15"/>
      <c r="P874" s="15"/>
      <c r="Q874" s="15"/>
    </row>
    <row r="875" spans="1:17" ht="20.100000000000001" customHeight="1">
      <c r="A875" s="15"/>
      <c r="B875" s="15"/>
      <c r="C875" s="15"/>
      <c r="D875" s="261" t="s">
        <v>338</v>
      </c>
      <c r="E875" s="15"/>
      <c r="F875" s="15"/>
      <c r="G875" s="15"/>
      <c r="H875" s="262" t="s">
        <v>351</v>
      </c>
      <c r="I875" s="261"/>
      <c r="J875" s="15"/>
      <c r="K875" s="15"/>
      <c r="L875" s="261"/>
      <c r="M875" s="15"/>
      <c r="N875" s="15"/>
      <c r="O875" s="15"/>
      <c r="P875" s="15"/>
      <c r="Q875" s="15"/>
    </row>
    <row r="876" spans="1:17" ht="20.100000000000001" customHeight="1">
      <c r="A876" s="15"/>
      <c r="B876" s="15"/>
      <c r="C876" s="15"/>
      <c r="D876" s="261" t="s">
        <v>342</v>
      </c>
      <c r="E876" s="15"/>
      <c r="F876" s="15"/>
      <c r="G876" s="15"/>
      <c r="H876" s="263"/>
      <c r="I876" s="263" t="s">
        <v>352</v>
      </c>
      <c r="J876" s="15"/>
      <c r="K876" s="15"/>
      <c r="L876" s="261"/>
      <c r="M876" s="15"/>
      <c r="N876" s="15"/>
      <c r="O876" s="15"/>
      <c r="P876" s="15"/>
      <c r="Q876" s="15"/>
    </row>
    <row r="877" spans="1:17" ht="20.100000000000001" customHeight="1">
      <c r="A877" s="15"/>
      <c r="B877" s="15"/>
      <c r="C877" s="15"/>
      <c r="D877" s="261" t="s">
        <v>344</v>
      </c>
      <c r="E877" s="15"/>
      <c r="F877" s="15"/>
      <c r="G877" s="15"/>
      <c r="H877" s="262" t="s">
        <v>353</v>
      </c>
      <c r="I877" s="261"/>
      <c r="J877" s="15"/>
      <c r="K877" s="15"/>
      <c r="L877" s="15"/>
      <c r="M877" s="15"/>
      <c r="N877" s="15"/>
      <c r="O877" s="15"/>
      <c r="P877" s="15"/>
      <c r="Q877" s="15"/>
    </row>
    <row r="878" spans="1:17" ht="20.100000000000001" customHeight="1">
      <c r="A878" s="15"/>
      <c r="B878" s="15"/>
      <c r="C878" s="15"/>
      <c r="D878" s="261"/>
      <c r="E878" s="15"/>
      <c r="F878" s="15"/>
      <c r="G878" s="15"/>
      <c r="H878" s="263"/>
      <c r="I878" s="263" t="s">
        <v>354</v>
      </c>
      <c r="J878" s="15"/>
      <c r="K878" s="15"/>
      <c r="L878" s="261"/>
      <c r="M878" s="15"/>
      <c r="N878" s="15"/>
      <c r="O878" s="15"/>
      <c r="P878" s="15"/>
      <c r="Q878" s="15"/>
    </row>
    <row r="879" spans="1:17" ht="20.100000000000001" customHeight="1">
      <c r="A879" s="15"/>
      <c r="B879" s="15"/>
      <c r="C879" s="15"/>
      <c r="D879" s="261" t="s">
        <v>355</v>
      </c>
      <c r="E879" s="15"/>
      <c r="F879" s="15"/>
      <c r="G879" s="15"/>
      <c r="H879" s="263"/>
      <c r="I879" s="263" t="s">
        <v>356</v>
      </c>
      <c r="J879" s="15"/>
      <c r="K879" s="15"/>
      <c r="L879" s="15"/>
      <c r="M879" s="15"/>
      <c r="N879" s="15"/>
      <c r="O879" s="15"/>
      <c r="P879" s="15"/>
      <c r="Q879" s="15"/>
    </row>
    <row r="880" spans="1:17" ht="20.100000000000001" customHeight="1">
      <c r="A880" s="15"/>
      <c r="B880" s="15"/>
      <c r="C880" s="15"/>
      <c r="D880" s="261" t="s">
        <v>337</v>
      </c>
      <c r="E880" s="15"/>
      <c r="F880" s="15"/>
      <c r="G880" s="15"/>
      <c r="H880" s="263"/>
      <c r="I880" s="263" t="s">
        <v>357</v>
      </c>
      <c r="J880" s="15"/>
      <c r="K880" s="15"/>
      <c r="L880" s="15"/>
      <c r="M880" s="15"/>
      <c r="N880" s="15"/>
      <c r="O880" s="15"/>
      <c r="P880" s="15"/>
      <c r="Q880" s="15"/>
    </row>
    <row r="881" spans="1:17" ht="20.100000000000001" customHeight="1">
      <c r="A881" s="15"/>
      <c r="B881" s="15"/>
      <c r="C881" s="15"/>
      <c r="D881" s="261" t="s">
        <v>339</v>
      </c>
      <c r="E881" s="15"/>
      <c r="F881" s="15"/>
      <c r="G881" s="15"/>
      <c r="H881" s="263"/>
      <c r="I881" s="263" t="s">
        <v>358</v>
      </c>
      <c r="J881" s="15"/>
      <c r="K881" s="15"/>
      <c r="L881" s="15"/>
      <c r="M881" s="15"/>
      <c r="N881" s="15"/>
      <c r="O881" s="15"/>
      <c r="P881" s="15"/>
      <c r="Q881" s="15"/>
    </row>
    <row r="882" spans="1:17" ht="20.100000000000001" customHeight="1">
      <c r="A882" s="15"/>
      <c r="B882" s="15"/>
      <c r="C882" s="15"/>
      <c r="D882" s="261" t="s">
        <v>338</v>
      </c>
      <c r="E882" s="15"/>
      <c r="F882" s="15"/>
      <c r="G882" s="15"/>
      <c r="H882" s="15"/>
      <c r="I882" s="15"/>
      <c r="J882" s="15"/>
      <c r="K882" s="15"/>
      <c r="L882" s="15"/>
      <c r="M882" s="15"/>
      <c r="N882" s="15"/>
      <c r="O882" s="15"/>
      <c r="P882" s="15"/>
      <c r="Q882" s="15"/>
    </row>
    <row r="883" spans="1:17" ht="20.100000000000001" customHeight="1">
      <c r="A883" s="15"/>
      <c r="B883" s="15"/>
      <c r="C883" s="15"/>
      <c r="D883" s="264" t="s">
        <v>359</v>
      </c>
      <c r="E883" s="264"/>
      <c r="F883" s="15"/>
      <c r="G883" s="15"/>
      <c r="H883" s="15"/>
      <c r="I883" s="15"/>
      <c r="J883" s="15"/>
      <c r="K883" s="15"/>
      <c r="L883" s="15"/>
      <c r="M883" s="15"/>
      <c r="N883" s="15"/>
      <c r="O883" s="15"/>
      <c r="P883" s="15"/>
      <c r="Q883" s="15"/>
    </row>
    <row r="884" spans="1:17" ht="20.100000000000001" customHeight="1">
      <c r="A884" s="15"/>
      <c r="B884" s="15"/>
      <c r="C884" s="15"/>
      <c r="D884" s="261" t="s">
        <v>342</v>
      </c>
      <c r="E884" s="15"/>
      <c r="F884" s="15"/>
      <c r="G884" s="15"/>
      <c r="H884" s="15"/>
      <c r="I884" s="15"/>
      <c r="J884" s="15"/>
      <c r="K884" s="15"/>
      <c r="L884" s="15"/>
      <c r="M884" s="15"/>
      <c r="N884" s="15"/>
      <c r="O884" s="15"/>
      <c r="P884" s="15"/>
      <c r="Q884" s="15"/>
    </row>
    <row r="885" spans="1:17" ht="20.100000000000001" customHeight="1">
      <c r="A885" s="15"/>
      <c r="B885" s="15"/>
      <c r="C885" s="15"/>
      <c r="D885" s="261" t="s">
        <v>344</v>
      </c>
      <c r="E885" s="15"/>
      <c r="F885" s="15"/>
      <c r="G885" s="15"/>
      <c r="H885" s="15"/>
      <c r="I885" s="15"/>
      <c r="J885" s="15"/>
      <c r="K885" s="15"/>
      <c r="L885" s="15"/>
      <c r="M885" s="15"/>
      <c r="N885" s="15"/>
      <c r="O885" s="15"/>
      <c r="P885" s="15"/>
      <c r="Q885" s="15"/>
    </row>
    <row r="886" spans="1:17" ht="20.100000000000001" customHeight="1">
      <c r="A886" s="15"/>
      <c r="B886" s="15"/>
      <c r="C886" s="15"/>
      <c r="D886" s="261"/>
      <c r="E886" s="15"/>
      <c r="F886" s="15"/>
      <c r="G886" s="15"/>
      <c r="H886" s="15"/>
      <c r="I886" s="15"/>
      <c r="J886" s="15"/>
      <c r="K886" s="15"/>
      <c r="L886" s="15"/>
      <c r="M886" s="15"/>
      <c r="N886" s="15"/>
      <c r="O886" s="15"/>
      <c r="P886" s="15"/>
      <c r="Q886" s="15"/>
    </row>
    <row r="887" spans="1:17" ht="20.100000000000001" customHeight="1">
      <c r="A887" s="15"/>
      <c r="B887" s="15"/>
      <c r="C887" s="15"/>
      <c r="D887" s="261" t="s">
        <v>360</v>
      </c>
      <c r="E887" s="15"/>
      <c r="F887" s="15"/>
      <c r="G887" s="15"/>
      <c r="H887" s="15"/>
      <c r="I887" s="15"/>
      <c r="J887" s="15"/>
      <c r="K887" s="15"/>
      <c r="L887" s="15"/>
      <c r="M887" s="15"/>
      <c r="N887" s="15"/>
      <c r="O887" s="15"/>
      <c r="P887" s="15"/>
      <c r="Q887" s="15"/>
    </row>
    <row r="888" spans="1:17" ht="20.100000000000001" customHeight="1">
      <c r="A888" s="15"/>
      <c r="B888" s="15"/>
      <c r="C888" s="15"/>
      <c r="D888" s="261" t="s">
        <v>337</v>
      </c>
      <c r="E888" s="15"/>
      <c r="F888" s="15"/>
      <c r="G888" s="15"/>
      <c r="H888" s="15"/>
      <c r="I888" s="15"/>
      <c r="J888" s="15"/>
      <c r="K888" s="15"/>
      <c r="L888" s="15"/>
      <c r="M888" s="15"/>
      <c r="N888" s="15"/>
      <c r="O888" s="15"/>
      <c r="P888" s="15"/>
      <c r="Q888" s="15"/>
    </row>
    <row r="889" spans="1:17" ht="20.100000000000001" customHeight="1">
      <c r="A889" s="15"/>
      <c r="B889" s="15"/>
      <c r="C889" s="15"/>
      <c r="D889" s="261" t="s">
        <v>339</v>
      </c>
      <c r="E889" s="15"/>
      <c r="F889" s="15"/>
      <c r="G889" s="15"/>
      <c r="H889" s="15"/>
      <c r="I889" s="15"/>
      <c r="J889" s="15"/>
      <c r="K889" s="15"/>
      <c r="L889" s="15"/>
      <c r="M889" s="15"/>
      <c r="N889" s="15"/>
      <c r="O889" s="15"/>
      <c r="P889" s="15"/>
      <c r="Q889" s="15"/>
    </row>
    <row r="890" spans="1:17" ht="20.100000000000001" customHeight="1">
      <c r="A890" s="15"/>
      <c r="B890" s="15"/>
      <c r="C890" s="15"/>
      <c r="D890" s="261" t="s">
        <v>338</v>
      </c>
      <c r="E890" s="15"/>
      <c r="F890" s="15"/>
      <c r="G890" s="15"/>
      <c r="H890" s="15"/>
      <c r="I890" s="15"/>
      <c r="J890" s="15"/>
      <c r="K890" s="15"/>
      <c r="L890" s="15"/>
      <c r="M890" s="15"/>
      <c r="N890" s="15"/>
      <c r="O890" s="15"/>
      <c r="P890" s="15"/>
      <c r="Q890" s="15"/>
    </row>
    <row r="891" spans="1:17" ht="20.100000000000001" customHeight="1">
      <c r="A891" s="15"/>
      <c r="B891" s="15"/>
      <c r="C891" s="15"/>
      <c r="D891" s="261" t="s">
        <v>342</v>
      </c>
      <c r="E891" s="15"/>
      <c r="F891" s="15"/>
      <c r="G891" s="15"/>
      <c r="H891" s="15"/>
      <c r="I891" s="15"/>
      <c r="J891" s="15"/>
      <c r="K891" s="15"/>
      <c r="L891" s="15"/>
      <c r="M891" s="15"/>
      <c r="N891" s="15"/>
      <c r="O891" s="15"/>
      <c r="P891" s="15"/>
      <c r="Q891" s="15"/>
    </row>
    <row r="892" spans="1:17" ht="20.100000000000001" customHeight="1">
      <c r="A892" s="15"/>
      <c r="B892" s="15"/>
      <c r="C892" s="15"/>
      <c r="D892" s="261" t="s">
        <v>344</v>
      </c>
      <c r="E892" s="15"/>
      <c r="F892" s="15"/>
      <c r="G892" s="15"/>
      <c r="H892" s="15"/>
      <c r="I892" s="15"/>
      <c r="J892" s="15"/>
      <c r="K892" s="15"/>
      <c r="L892" s="15"/>
      <c r="M892" s="15"/>
      <c r="N892" s="15"/>
      <c r="O892" s="15"/>
      <c r="P892" s="15"/>
      <c r="Q892" s="15"/>
    </row>
    <row r="893" spans="1:17" ht="20.100000000000001" customHeight="1">
      <c r="A893" s="15"/>
      <c r="B893" s="15"/>
      <c r="C893" s="15"/>
      <c r="D893" s="261"/>
      <c r="E893" s="15"/>
      <c r="F893" s="15"/>
      <c r="G893" s="15"/>
      <c r="H893" s="15"/>
      <c r="I893" s="15"/>
      <c r="J893" s="15"/>
      <c r="K893" s="15"/>
      <c r="L893" s="15"/>
      <c r="M893" s="15"/>
      <c r="N893" s="15"/>
      <c r="O893" s="15"/>
      <c r="P893" s="15"/>
      <c r="Q893" s="15"/>
    </row>
    <row r="894" spans="1:17" s="32" customFormat="1">
      <c r="A894" s="219"/>
      <c r="B894" s="278"/>
      <c r="C894" s="278"/>
      <c r="D894" s="278"/>
      <c r="E894" s="278"/>
      <c r="F894" s="278"/>
      <c r="G894" s="278"/>
      <c r="H894" s="278"/>
      <c r="I894" s="278"/>
      <c r="J894" s="278"/>
      <c r="K894" s="278"/>
      <c r="L894" s="278"/>
      <c r="M894" s="278"/>
      <c r="N894" s="278"/>
      <c r="O894" s="278"/>
      <c r="P894" s="278"/>
      <c r="Q894" s="278"/>
    </row>
    <row r="895" spans="1:17" s="32" customFormat="1" ht="18">
      <c r="A895" s="15"/>
      <c r="B895" s="14"/>
      <c r="C895" s="604" t="s">
        <v>1129</v>
      </c>
      <c r="D895" s="14"/>
      <c r="E895" s="14"/>
      <c r="F895" s="14"/>
      <c r="G895" s="14"/>
      <c r="H895" s="14"/>
      <c r="I895" s="14"/>
      <c r="J895" s="14"/>
      <c r="K895" s="14"/>
      <c r="L895" s="14"/>
      <c r="M895" s="14"/>
      <c r="N895" s="14"/>
      <c r="O895" s="14"/>
      <c r="P895" s="14"/>
      <c r="Q895" s="14"/>
    </row>
    <row r="896" spans="1:17" s="32" customFormat="1">
      <c r="A896" s="15"/>
      <c r="B896" s="14"/>
      <c r="C896" s="14"/>
      <c r="D896" s="14"/>
      <c r="E896" s="14"/>
      <c r="F896" s="14"/>
      <c r="G896" s="14"/>
      <c r="H896" s="14"/>
      <c r="I896" s="14"/>
      <c r="J896" s="14"/>
      <c r="K896" s="14"/>
      <c r="L896" s="14"/>
      <c r="M896" s="15"/>
      <c r="N896" s="15"/>
      <c r="O896" s="15"/>
      <c r="P896" s="15"/>
      <c r="Q896" s="15"/>
    </row>
    <row r="897" spans="1:17" ht="18">
      <c r="A897" s="1"/>
      <c r="B897" s="1"/>
      <c r="C897" s="604" t="s">
        <v>1130</v>
      </c>
      <c r="D897" s="1"/>
      <c r="E897" s="1"/>
      <c r="F897" s="1"/>
      <c r="G897" s="1"/>
      <c r="H897" s="1"/>
      <c r="I897" s="1"/>
      <c r="J897" s="1"/>
      <c r="K897" s="1"/>
      <c r="L897" s="1"/>
      <c r="M897" s="1"/>
      <c r="N897" s="1"/>
      <c r="O897" s="1"/>
      <c r="P897" s="1"/>
      <c r="Q897" s="1"/>
    </row>
    <row r="898" spans="1:17">
      <c r="A898" s="1"/>
      <c r="B898" s="1"/>
      <c r="C898" s="1"/>
      <c r="D898" s="1"/>
      <c r="E898" s="1"/>
      <c r="F898" s="1"/>
      <c r="G898" s="1"/>
      <c r="H898" s="1"/>
      <c r="I898" s="1"/>
      <c r="J898" s="1"/>
      <c r="K898" s="1"/>
      <c r="L898" s="1"/>
      <c r="M898" s="1"/>
      <c r="N898" s="1"/>
      <c r="O898" s="1"/>
      <c r="P898" s="1"/>
      <c r="Q898" s="1"/>
    </row>
    <row r="899" spans="1:17">
      <c r="A899" s="525"/>
      <c r="B899" s="526"/>
      <c r="C899" s="527"/>
      <c r="D899" s="527"/>
      <c r="E899" s="527"/>
      <c r="F899" s="527"/>
      <c r="G899" s="527"/>
      <c r="H899" s="527"/>
      <c r="I899" s="527"/>
      <c r="J899" s="526"/>
      <c r="K899" s="526"/>
      <c r="L899" s="526"/>
      <c r="M899" s="525"/>
      <c r="N899" s="525"/>
      <c r="O899" s="525"/>
      <c r="P899" s="525"/>
      <c r="Q899" s="525"/>
    </row>
    <row r="901" spans="1:17" ht="20.100000000000001" customHeight="1">
      <c r="A901" s="15"/>
      <c r="B901" s="15"/>
      <c r="M901" s="15"/>
      <c r="N901" s="15"/>
      <c r="O901" s="15"/>
      <c r="P901" s="15"/>
      <c r="Q901" s="15"/>
    </row>
  </sheetData>
  <mergeCells count="615">
    <mergeCell ref="B2:Q2"/>
    <mergeCell ref="B3:Q3"/>
    <mergeCell ref="B4:Q4"/>
    <mergeCell ref="B5:Q5"/>
    <mergeCell ref="C6:Q6"/>
    <mergeCell ref="B8:Q10"/>
    <mergeCell ref="C66:F66"/>
    <mergeCell ref="C68:E68"/>
    <mergeCell ref="C70:D70"/>
    <mergeCell ref="M70:P70"/>
    <mergeCell ref="M71:P74"/>
    <mergeCell ref="C72:E72"/>
    <mergeCell ref="C74:E74"/>
    <mergeCell ref="B12:Q12"/>
    <mergeCell ref="M44:P49"/>
    <mergeCell ref="M51:P54"/>
    <mergeCell ref="M59:P62"/>
    <mergeCell ref="C61:H61"/>
    <mergeCell ref="M63:P65"/>
    <mergeCell ref="C64:J64"/>
    <mergeCell ref="C109:K109"/>
    <mergeCell ref="C110:K110"/>
    <mergeCell ref="C111:K111"/>
    <mergeCell ref="C112:K112"/>
    <mergeCell ref="B113:B115"/>
    <mergeCell ref="C113:K115"/>
    <mergeCell ref="M75:P77"/>
    <mergeCell ref="C76:E76"/>
    <mergeCell ref="C78:F78"/>
    <mergeCell ref="M78:P80"/>
    <mergeCell ref="B88:L88"/>
    <mergeCell ref="E90:L94"/>
    <mergeCell ref="C131:F131"/>
    <mergeCell ref="C134:I134"/>
    <mergeCell ref="C136:D136"/>
    <mergeCell ref="C139:F139"/>
    <mergeCell ref="C142:F142"/>
    <mergeCell ref="C145:D145"/>
    <mergeCell ref="B116:B118"/>
    <mergeCell ref="C116:K118"/>
    <mergeCell ref="B119:B123"/>
    <mergeCell ref="C119:K123"/>
    <mergeCell ref="C127:H127"/>
    <mergeCell ref="C129:F129"/>
    <mergeCell ref="B221:Q221"/>
    <mergeCell ref="B222:Q223"/>
    <mergeCell ref="B224:Q224"/>
    <mergeCell ref="B225:E225"/>
    <mergeCell ref="G225:I225"/>
    <mergeCell ref="K225:M225"/>
    <mergeCell ref="O225:P225"/>
    <mergeCell ref="C147:F147"/>
    <mergeCell ref="C150:G150"/>
    <mergeCell ref="C154:H154"/>
    <mergeCell ref="C156:F156"/>
    <mergeCell ref="C158:F158"/>
    <mergeCell ref="C160:F160"/>
    <mergeCell ref="B228:E228"/>
    <mergeCell ref="G228:I228"/>
    <mergeCell ref="K228:M229"/>
    <mergeCell ref="O228:P228"/>
    <mergeCell ref="B229:E229"/>
    <mergeCell ref="G229:I229"/>
    <mergeCell ref="O229:P229"/>
    <mergeCell ref="B226:E226"/>
    <mergeCell ref="G226:I226"/>
    <mergeCell ref="K226:M226"/>
    <mergeCell ref="O226:P226"/>
    <mergeCell ref="B227:E227"/>
    <mergeCell ref="G227:I227"/>
    <mergeCell ref="K227:M227"/>
    <mergeCell ref="O227:P227"/>
    <mergeCell ref="B232:E232"/>
    <mergeCell ref="G232:I232"/>
    <mergeCell ref="K232:M232"/>
    <mergeCell ref="O232:P232"/>
    <mergeCell ref="B233:E233"/>
    <mergeCell ref="G233:I233"/>
    <mergeCell ref="K233:M233"/>
    <mergeCell ref="O233:P233"/>
    <mergeCell ref="B230:E230"/>
    <mergeCell ref="G230:I230"/>
    <mergeCell ref="K230:M230"/>
    <mergeCell ref="O230:P230"/>
    <mergeCell ref="B231:E231"/>
    <mergeCell ref="G231:I231"/>
    <mergeCell ref="K231:M231"/>
    <mergeCell ref="O231:P231"/>
    <mergeCell ref="B238:E238"/>
    <mergeCell ref="G238:I238"/>
    <mergeCell ref="K238:M238"/>
    <mergeCell ref="O238:Q238"/>
    <mergeCell ref="B241:D241"/>
    <mergeCell ref="B245:G246"/>
    <mergeCell ref="I245:O245"/>
    <mergeCell ref="B234:E234"/>
    <mergeCell ref="G234:I234"/>
    <mergeCell ref="K234:M234"/>
    <mergeCell ref="O234:P234"/>
    <mergeCell ref="O235:P235"/>
    <mergeCell ref="G237:I237"/>
    <mergeCell ref="A246:A270"/>
    <mergeCell ref="B253:G253"/>
    <mergeCell ref="I257:O257"/>
    <mergeCell ref="I258:I261"/>
    <mergeCell ref="J258:J261"/>
    <mergeCell ref="K258:L259"/>
    <mergeCell ref="M258:M259"/>
    <mergeCell ref="N258:N259"/>
    <mergeCell ref="O258:O259"/>
    <mergeCell ref="F259:G259"/>
    <mergeCell ref="I264:O265"/>
    <mergeCell ref="B265:B266"/>
    <mergeCell ref="C265:C266"/>
    <mergeCell ref="E265:E266"/>
    <mergeCell ref="F265:F266"/>
    <mergeCell ref="B267:G267"/>
    <mergeCell ref="I267:N268"/>
    <mergeCell ref="F260:G260"/>
    <mergeCell ref="K260:L261"/>
    <mergeCell ref="M260:M261"/>
    <mergeCell ref="N260:N261"/>
    <mergeCell ref="O260:O261"/>
    <mergeCell ref="B262:B263"/>
    <mergeCell ref="C262:C263"/>
    <mergeCell ref="E262:E263"/>
    <mergeCell ref="F262:F263"/>
    <mergeCell ref="I263:O263"/>
    <mergeCell ref="B269:G270"/>
    <mergeCell ref="I269:N270"/>
    <mergeCell ref="I271:I272"/>
    <mergeCell ref="J271:J272"/>
    <mergeCell ref="K271:K272"/>
    <mergeCell ref="L271:L272"/>
    <mergeCell ref="M271:M272"/>
    <mergeCell ref="N271:N272"/>
    <mergeCell ref="B272:G272"/>
    <mergeCell ref="A273:A291"/>
    <mergeCell ref="B273:G274"/>
    <mergeCell ref="I273:I274"/>
    <mergeCell ref="J273:J274"/>
    <mergeCell ref="K273:K274"/>
    <mergeCell ref="L273:L274"/>
    <mergeCell ref="I279:I280"/>
    <mergeCell ref="J279:J280"/>
    <mergeCell ref="K279:K280"/>
    <mergeCell ref="L279:L280"/>
    <mergeCell ref="M273:M274"/>
    <mergeCell ref="N273:N274"/>
    <mergeCell ref="B275:G277"/>
    <mergeCell ref="I275:N276"/>
    <mergeCell ref="I277:I278"/>
    <mergeCell ref="J277:J278"/>
    <mergeCell ref="K277:K278"/>
    <mergeCell ref="L277:L278"/>
    <mergeCell ref="M277:M278"/>
    <mergeCell ref="N277:N278"/>
    <mergeCell ref="M279:M280"/>
    <mergeCell ref="N279:N280"/>
    <mergeCell ref="I283:N284"/>
    <mergeCell ref="I286:M288"/>
    <mergeCell ref="B289:F291"/>
    <mergeCell ref="I289:I290"/>
    <mergeCell ref="J289:J290"/>
    <mergeCell ref="K289:K290"/>
    <mergeCell ref="L289:L290"/>
    <mergeCell ref="M289:M290"/>
    <mergeCell ref="I291:I292"/>
    <mergeCell ref="J291:J292"/>
    <mergeCell ref="K291:K292"/>
    <mergeCell ref="L291:L292"/>
    <mergeCell ref="M291:M292"/>
    <mergeCell ref="B293:G294"/>
    <mergeCell ref="I293:I294"/>
    <mergeCell ref="J293:J294"/>
    <mergeCell ref="K293:K294"/>
    <mergeCell ref="L293:L294"/>
    <mergeCell ref="M293:M294"/>
    <mergeCell ref="B295:B296"/>
    <mergeCell ref="C295:C296"/>
    <mergeCell ref="D295:D296"/>
    <mergeCell ref="E295:E296"/>
    <mergeCell ref="F295:G296"/>
    <mergeCell ref="I295:I296"/>
    <mergeCell ref="J295:J296"/>
    <mergeCell ref="K295:K296"/>
    <mergeCell ref="L295:L296"/>
    <mergeCell ref="M297:M298"/>
    <mergeCell ref="B299:G299"/>
    <mergeCell ref="I299:I300"/>
    <mergeCell ref="J299:J300"/>
    <mergeCell ref="K299:K300"/>
    <mergeCell ref="L299:L300"/>
    <mergeCell ref="M299:M300"/>
    <mergeCell ref="M295:M296"/>
    <mergeCell ref="B297:B298"/>
    <mergeCell ref="C297:C298"/>
    <mergeCell ref="D297:D298"/>
    <mergeCell ref="E297:E298"/>
    <mergeCell ref="F297:G298"/>
    <mergeCell ref="I297:I298"/>
    <mergeCell ref="J297:J298"/>
    <mergeCell ref="K297:K298"/>
    <mergeCell ref="L297:L298"/>
    <mergeCell ref="B309:B310"/>
    <mergeCell ref="C309:D310"/>
    <mergeCell ref="E309:F310"/>
    <mergeCell ref="G309:H310"/>
    <mergeCell ref="I309:J310"/>
    <mergeCell ref="K309:K310"/>
    <mergeCell ref="I301:M301"/>
    <mergeCell ref="I302:M303"/>
    <mergeCell ref="B305:K306"/>
    <mergeCell ref="B307:K307"/>
    <mergeCell ref="C308:D308"/>
    <mergeCell ref="E308:F308"/>
    <mergeCell ref="G308:H308"/>
    <mergeCell ref="I308:J308"/>
    <mergeCell ref="B315:K315"/>
    <mergeCell ref="C316:K316"/>
    <mergeCell ref="B317:B318"/>
    <mergeCell ref="C317:K318"/>
    <mergeCell ref="B319:K319"/>
    <mergeCell ref="B320:E320"/>
    <mergeCell ref="B312:K312"/>
    <mergeCell ref="B313:B314"/>
    <mergeCell ref="C313:D314"/>
    <mergeCell ref="E313:F314"/>
    <mergeCell ref="G313:H314"/>
    <mergeCell ref="I313:J314"/>
    <mergeCell ref="K313:K314"/>
    <mergeCell ref="B323:K324"/>
    <mergeCell ref="B326:N328"/>
    <mergeCell ref="C329:M329"/>
    <mergeCell ref="C330:M330"/>
    <mergeCell ref="C331:M332"/>
    <mergeCell ref="D333:M333"/>
    <mergeCell ref="B321:C321"/>
    <mergeCell ref="E321:F321"/>
    <mergeCell ref="H321:I321"/>
    <mergeCell ref="B322:C322"/>
    <mergeCell ref="E322:F322"/>
    <mergeCell ref="H322:I322"/>
    <mergeCell ref="I334:I336"/>
    <mergeCell ref="L334:L336"/>
    <mergeCell ref="M334:M336"/>
    <mergeCell ref="C338:C339"/>
    <mergeCell ref="D338:D339"/>
    <mergeCell ref="E338:E339"/>
    <mergeCell ref="F338:F339"/>
    <mergeCell ref="G338:G339"/>
    <mergeCell ref="H338:H339"/>
    <mergeCell ref="I338:I339"/>
    <mergeCell ref="C334:C336"/>
    <mergeCell ref="D334:D336"/>
    <mergeCell ref="E334:E336"/>
    <mergeCell ref="F334:F336"/>
    <mergeCell ref="G334:G336"/>
    <mergeCell ref="H334:H336"/>
    <mergeCell ref="L338:L339"/>
    <mergeCell ref="M338:M339"/>
    <mergeCell ref="D343:M343"/>
    <mergeCell ref="C344:L344"/>
    <mergeCell ref="C345:C346"/>
    <mergeCell ref="D345:D346"/>
    <mergeCell ref="E345:E346"/>
    <mergeCell ref="F345:F346"/>
    <mergeCell ref="G345:G346"/>
    <mergeCell ref="H345:H346"/>
    <mergeCell ref="D357:M357"/>
    <mergeCell ref="C358:M360"/>
    <mergeCell ref="C366:M367"/>
    <mergeCell ref="C373:M374"/>
    <mergeCell ref="B376:J376"/>
    <mergeCell ref="B377:J377"/>
    <mergeCell ref="I345:I346"/>
    <mergeCell ref="L345:L346"/>
    <mergeCell ref="M345:M346"/>
    <mergeCell ref="D347:I347"/>
    <mergeCell ref="J352:K353"/>
    <mergeCell ref="L352:M353"/>
    <mergeCell ref="B378:J379"/>
    <mergeCell ref="B382:J383"/>
    <mergeCell ref="B384:J385"/>
    <mergeCell ref="B386:C387"/>
    <mergeCell ref="D386:D387"/>
    <mergeCell ref="E386:E387"/>
    <mergeCell ref="F386:F387"/>
    <mergeCell ref="G386:G387"/>
    <mergeCell ref="H386:H387"/>
    <mergeCell ref="I386:I387"/>
    <mergeCell ref="B413:C413"/>
    <mergeCell ref="F413:G413"/>
    <mergeCell ref="I413:J413"/>
    <mergeCell ref="M413:N413"/>
    <mergeCell ref="B414:B418"/>
    <mergeCell ref="C414:C418"/>
    <mergeCell ref="I414:I418"/>
    <mergeCell ref="J414:J418"/>
    <mergeCell ref="J386:J387"/>
    <mergeCell ref="B392:J394"/>
    <mergeCell ref="B395:J396"/>
    <mergeCell ref="B404:J405"/>
    <mergeCell ref="B412:G412"/>
    <mergeCell ref="I412:N412"/>
    <mergeCell ref="K433:N433"/>
    <mergeCell ref="K436:M436"/>
    <mergeCell ref="B445:G446"/>
    <mergeCell ref="I445:J446"/>
    <mergeCell ref="K445:L446"/>
    <mergeCell ref="M445:M446"/>
    <mergeCell ref="N445:N446"/>
    <mergeCell ref="F423:I424"/>
    <mergeCell ref="K423:N424"/>
    <mergeCell ref="K425:N425"/>
    <mergeCell ref="F426:I426"/>
    <mergeCell ref="K426:N426"/>
    <mergeCell ref="K427:K428"/>
    <mergeCell ref="L427:L428"/>
    <mergeCell ref="M427:M428"/>
    <mergeCell ref="N427:N428"/>
    <mergeCell ref="B447:G448"/>
    <mergeCell ref="I447:J447"/>
    <mergeCell ref="I448:J448"/>
    <mergeCell ref="C449:G449"/>
    <mergeCell ref="I449:J449"/>
    <mergeCell ref="C450:G450"/>
    <mergeCell ref="I450:J450"/>
    <mergeCell ref="F432:I432"/>
    <mergeCell ref="F433:I433"/>
    <mergeCell ref="B456:B457"/>
    <mergeCell ref="C456:G457"/>
    <mergeCell ref="B458:B459"/>
    <mergeCell ref="C458:G459"/>
    <mergeCell ref="B462:C463"/>
    <mergeCell ref="D462:D463"/>
    <mergeCell ref="E462:E463"/>
    <mergeCell ref="C451:G451"/>
    <mergeCell ref="I451:J451"/>
    <mergeCell ref="C452:G452"/>
    <mergeCell ref="C453:G453"/>
    <mergeCell ref="C454:G454"/>
    <mergeCell ref="C455:G455"/>
    <mergeCell ref="N463:N464"/>
    <mergeCell ref="B464:B465"/>
    <mergeCell ref="C464:C465"/>
    <mergeCell ref="D464:D465"/>
    <mergeCell ref="E464:E465"/>
    <mergeCell ref="H465:H466"/>
    <mergeCell ref="I465:I466"/>
    <mergeCell ref="J465:J466"/>
    <mergeCell ref="K465:K466"/>
    <mergeCell ref="L465:L466"/>
    <mergeCell ref="H463:H464"/>
    <mergeCell ref="I463:I464"/>
    <mergeCell ref="J463:J464"/>
    <mergeCell ref="K463:K464"/>
    <mergeCell ref="L463:L464"/>
    <mergeCell ref="M463:M464"/>
    <mergeCell ref="M465:M466"/>
    <mergeCell ref="N465:N466"/>
    <mergeCell ref="B467:B468"/>
    <mergeCell ref="C467:C468"/>
    <mergeCell ref="D467:D468"/>
    <mergeCell ref="E467:E468"/>
    <mergeCell ref="H467:N467"/>
    <mergeCell ref="H468:H469"/>
    <mergeCell ref="I468:I469"/>
    <mergeCell ref="J468:J469"/>
    <mergeCell ref="K468:K469"/>
    <mergeCell ref="L468:L469"/>
    <mergeCell ref="M468:M469"/>
    <mergeCell ref="N468:N469"/>
    <mergeCell ref="B469:B470"/>
    <mergeCell ref="C469:C470"/>
    <mergeCell ref="D469:D470"/>
    <mergeCell ref="E469:E470"/>
    <mergeCell ref="H470:N470"/>
    <mergeCell ref="B471:E471"/>
    <mergeCell ref="B473:Q474"/>
    <mergeCell ref="B476:N476"/>
    <mergeCell ref="A477:A500"/>
    <mergeCell ref="B477:N478"/>
    <mergeCell ref="B479:N480"/>
    <mergeCell ref="C490:M490"/>
    <mergeCell ref="H491:M491"/>
    <mergeCell ref="D492:E492"/>
    <mergeCell ref="B499:N500"/>
    <mergeCell ref="B533:J533"/>
    <mergeCell ref="B546:G546"/>
    <mergeCell ref="I546:N546"/>
    <mergeCell ref="J554:N554"/>
    <mergeCell ref="M564:N564"/>
    <mergeCell ref="G565:H566"/>
    <mergeCell ref="M565:N565"/>
    <mergeCell ref="B502:N502"/>
    <mergeCell ref="A503:A519"/>
    <mergeCell ref="B503:N504"/>
    <mergeCell ref="B505:N506"/>
    <mergeCell ref="B507:N507"/>
    <mergeCell ref="B509:C509"/>
    <mergeCell ref="G509:H509"/>
    <mergeCell ref="K509:L509"/>
    <mergeCell ref="B518:N519"/>
    <mergeCell ref="G583:H583"/>
    <mergeCell ref="G584:H584"/>
    <mergeCell ref="G588:H588"/>
    <mergeCell ref="G589:H589"/>
    <mergeCell ref="B606:G606"/>
    <mergeCell ref="B612:E612"/>
    <mergeCell ref="M571:N571"/>
    <mergeCell ref="G572:H573"/>
    <mergeCell ref="M572:N572"/>
    <mergeCell ref="M574:N574"/>
    <mergeCell ref="M579:N579"/>
    <mergeCell ref="G581:H582"/>
    <mergeCell ref="C638:E638"/>
    <mergeCell ref="H638:I638"/>
    <mergeCell ref="K638:L638"/>
    <mergeCell ref="C639:E639"/>
    <mergeCell ref="H639:I639"/>
    <mergeCell ref="K639:L639"/>
    <mergeCell ref="B615:F615"/>
    <mergeCell ref="B619:G619"/>
    <mergeCell ref="B620:G620"/>
    <mergeCell ref="B626:F626"/>
    <mergeCell ref="B630:E630"/>
    <mergeCell ref="C637:L637"/>
    <mergeCell ref="C642:E642"/>
    <mergeCell ref="H642:I642"/>
    <mergeCell ref="K642:L642"/>
    <mergeCell ref="C643:E643"/>
    <mergeCell ref="H643:I643"/>
    <mergeCell ref="K643:L643"/>
    <mergeCell ref="C640:E640"/>
    <mergeCell ref="H640:I640"/>
    <mergeCell ref="K640:L640"/>
    <mergeCell ref="C641:E641"/>
    <mergeCell ref="H641:I641"/>
    <mergeCell ref="K641:L641"/>
    <mergeCell ref="C646:E646"/>
    <mergeCell ref="C650:L650"/>
    <mergeCell ref="C651:L651"/>
    <mergeCell ref="C652:L652"/>
    <mergeCell ref="C653:L653"/>
    <mergeCell ref="C654:L654"/>
    <mergeCell ref="C644:E644"/>
    <mergeCell ref="H644:I644"/>
    <mergeCell ref="K644:L644"/>
    <mergeCell ref="C645:E645"/>
    <mergeCell ref="H645:I645"/>
    <mergeCell ref="K645:L645"/>
    <mergeCell ref="D669:F669"/>
    <mergeCell ref="D671:F671"/>
    <mergeCell ref="D673:F673"/>
    <mergeCell ref="C678:L678"/>
    <mergeCell ref="C680:L683"/>
    <mergeCell ref="C684:L687"/>
    <mergeCell ref="I691:I692"/>
    <mergeCell ref="J691:J692"/>
    <mergeCell ref="C656:C658"/>
    <mergeCell ref="D657:F657"/>
    <mergeCell ref="D658:F658"/>
    <mergeCell ref="C660:C665"/>
    <mergeCell ref="D661:F661"/>
    <mergeCell ref="D662:F662"/>
    <mergeCell ref="D663:F663"/>
    <mergeCell ref="D664:F664"/>
    <mergeCell ref="D665:F665"/>
    <mergeCell ref="C688:F689"/>
    <mergeCell ref="G688:H689"/>
    <mergeCell ref="I688:I689"/>
    <mergeCell ref="J688:K689"/>
    <mergeCell ref="L688:L689"/>
    <mergeCell ref="C691:D692"/>
    <mergeCell ref="E691:E692"/>
    <mergeCell ref="F691:F692"/>
    <mergeCell ref="G691:G692"/>
    <mergeCell ref="H691:H692"/>
    <mergeCell ref="C706:M706"/>
    <mergeCell ref="C707:M707"/>
    <mergeCell ref="E708:M708"/>
    <mergeCell ref="C709:M709"/>
    <mergeCell ref="C710:D711"/>
    <mergeCell ref="E710:F711"/>
    <mergeCell ref="K694:L695"/>
    <mergeCell ref="C696:C697"/>
    <mergeCell ref="D696:D697"/>
    <mergeCell ref="E696:F697"/>
    <mergeCell ref="G696:G697"/>
    <mergeCell ref="H696:H697"/>
    <mergeCell ref="J696:J697"/>
    <mergeCell ref="K696:L697"/>
    <mergeCell ref="C694:C695"/>
    <mergeCell ref="D694:D695"/>
    <mergeCell ref="E694:F695"/>
    <mergeCell ref="G694:G695"/>
    <mergeCell ref="H694:H695"/>
    <mergeCell ref="I694:J695"/>
    <mergeCell ref="C717:D718"/>
    <mergeCell ref="E717:F718"/>
    <mergeCell ref="G717:I718"/>
    <mergeCell ref="M717:M718"/>
    <mergeCell ref="C719:D719"/>
    <mergeCell ref="E719:F719"/>
    <mergeCell ref="G719:I719"/>
    <mergeCell ref="C712:D712"/>
    <mergeCell ref="E712:F712"/>
    <mergeCell ref="C713:D713"/>
    <mergeCell ref="E713:F713"/>
    <mergeCell ref="C715:M715"/>
    <mergeCell ref="E716:M716"/>
    <mergeCell ref="C726:D727"/>
    <mergeCell ref="E726:F727"/>
    <mergeCell ref="G726:G727"/>
    <mergeCell ref="H726:M727"/>
    <mergeCell ref="C728:M728"/>
    <mergeCell ref="C729:D729"/>
    <mergeCell ref="E729:F729"/>
    <mergeCell ref="C720:D720"/>
    <mergeCell ref="E720:F720"/>
    <mergeCell ref="G720:I720"/>
    <mergeCell ref="C724:D725"/>
    <mergeCell ref="E724:F725"/>
    <mergeCell ref="G724:G725"/>
    <mergeCell ref="H724:M724"/>
    <mergeCell ref="C733:D733"/>
    <mergeCell ref="E733:F733"/>
    <mergeCell ref="C734:D734"/>
    <mergeCell ref="E734:F734"/>
    <mergeCell ref="C735:D735"/>
    <mergeCell ref="E735:F735"/>
    <mergeCell ref="C730:D730"/>
    <mergeCell ref="E730:F730"/>
    <mergeCell ref="C731:D731"/>
    <mergeCell ref="E731:F731"/>
    <mergeCell ref="C732:D732"/>
    <mergeCell ref="E732:F732"/>
    <mergeCell ref="C739:D739"/>
    <mergeCell ref="E739:F739"/>
    <mergeCell ref="C740:D740"/>
    <mergeCell ref="E740:F740"/>
    <mergeCell ref="C743:M745"/>
    <mergeCell ref="B749:N749"/>
    <mergeCell ref="C736:D736"/>
    <mergeCell ref="E736:F736"/>
    <mergeCell ref="C737:D737"/>
    <mergeCell ref="E737:F737"/>
    <mergeCell ref="C738:D738"/>
    <mergeCell ref="E738:F738"/>
    <mergeCell ref="B751:N751"/>
    <mergeCell ref="J755:L755"/>
    <mergeCell ref="A765:A766"/>
    <mergeCell ref="B765:M766"/>
    <mergeCell ref="N765:N766"/>
    <mergeCell ref="A767:A792"/>
    <mergeCell ref="B767:N767"/>
    <mergeCell ref="B768:N771"/>
    <mergeCell ref="B772:N772"/>
    <mergeCell ref="L773:M773"/>
    <mergeCell ref="C790:N790"/>
    <mergeCell ref="C791:N791"/>
    <mergeCell ref="B792:N792"/>
    <mergeCell ref="A794:A795"/>
    <mergeCell ref="B794:M795"/>
    <mergeCell ref="N794:N795"/>
    <mergeCell ref="L774:M774"/>
    <mergeCell ref="C786:D786"/>
    <mergeCell ref="F786:G786"/>
    <mergeCell ref="I786:J786"/>
    <mergeCell ref="L786:M786"/>
    <mergeCell ref="B788:N789"/>
    <mergeCell ref="F822:G822"/>
    <mergeCell ref="I822:J822"/>
    <mergeCell ref="L822:M822"/>
    <mergeCell ref="B824:N825"/>
    <mergeCell ref="C826:N826"/>
    <mergeCell ref="C827:N827"/>
    <mergeCell ref="A796:A828"/>
    <mergeCell ref="B796:N796"/>
    <mergeCell ref="B797:N800"/>
    <mergeCell ref="B801:N801"/>
    <mergeCell ref="L802:M802"/>
    <mergeCell ref="L803:M804"/>
    <mergeCell ref="B810:N810"/>
    <mergeCell ref="L811:M811"/>
    <mergeCell ref="L812:M812"/>
    <mergeCell ref="C822:D822"/>
    <mergeCell ref="F837:J837"/>
    <mergeCell ref="K837:L837"/>
    <mergeCell ref="A839:C839"/>
    <mergeCell ref="L839:M839"/>
    <mergeCell ref="A840:C840"/>
    <mergeCell ref="L840:M840"/>
    <mergeCell ref="B828:N828"/>
    <mergeCell ref="A833:J833"/>
    <mergeCell ref="K833:S833"/>
    <mergeCell ref="A834:C837"/>
    <mergeCell ref="D834:D837"/>
    <mergeCell ref="E834:E837"/>
    <mergeCell ref="F834:J834"/>
    <mergeCell ref="K834:L835"/>
    <mergeCell ref="M834:S837"/>
    <mergeCell ref="K836:L836"/>
    <mergeCell ref="A845:C845"/>
    <mergeCell ref="L845:M845"/>
    <mergeCell ref="A846:C846"/>
    <mergeCell ref="L846:M846"/>
    <mergeCell ref="A850:Q851"/>
    <mergeCell ref="A841:C841"/>
    <mergeCell ref="L841:M841"/>
    <mergeCell ref="A842:C842"/>
    <mergeCell ref="L842:M842"/>
    <mergeCell ref="A844:C844"/>
    <mergeCell ref="L844:M844"/>
  </mergeCells>
  <conditionalFormatting sqref="A245">
    <cfRule type="expression" dxfId="2" priority="3" stopIfTrue="1">
      <formula>OR(ROW()=CELL("ligne"),COLUMN()=CELL("colonne"))</formula>
    </cfRule>
  </conditionalFormatting>
  <conditionalFormatting sqref="A272">
    <cfRule type="expression" dxfId="1" priority="2" stopIfTrue="1">
      <formula>OR(ROW()=CELL("ligne"),COLUMN()=CELL("colonne"))</formula>
    </cfRule>
  </conditionalFormatting>
  <conditionalFormatting sqref="C309">
    <cfRule type="cellIs" dxfId="0" priority="1" operator="greaterThan">
      <formula>1</formula>
    </cfRule>
  </conditionalFormatting>
  <hyperlinks>
    <hyperlink ref="C436" r:id="rId1" xr:uid="{00000000-0004-0000-0500-000000000000}"/>
    <hyperlink ref="C440" r:id="rId2" xr:uid="{00000000-0004-0000-0500-000001000000}"/>
    <hyperlink ref="C59" r:id="rId3" xr:uid="{00000000-0004-0000-0500-000002000000}"/>
    <hyperlink ref="C61" r:id="rId4" xr:uid="{00000000-0004-0000-0500-000003000000}"/>
    <hyperlink ref="B606" r:id="rId5" xr:uid="{00000000-0004-0000-0500-000004000000}"/>
    <hyperlink ref="B612" r:id="rId6" xr:uid="{00000000-0004-0000-0500-000005000000}"/>
    <hyperlink ref="B620" r:id="rId7" xr:uid="{00000000-0004-0000-0500-000006000000}"/>
    <hyperlink ref="B619" r:id="rId8" xr:uid="{00000000-0004-0000-0500-000007000000}"/>
    <hyperlink ref="B626" r:id="rId9" xr:uid="{00000000-0004-0000-0500-000008000000}"/>
    <hyperlink ref="B630" r:id="rId10" xr:uid="{00000000-0004-0000-0500-000009000000}"/>
    <hyperlink ref="B615" r:id="rId11" xr:uid="{00000000-0004-0000-0500-00000A000000}"/>
    <hyperlink ref="J613" r:id="rId12" xr:uid="{00000000-0004-0000-0500-00000B000000}"/>
    <hyperlink ref="J614" r:id="rId13" xr:uid="{00000000-0004-0000-0500-00000C000000}"/>
    <hyperlink ref="J607" r:id="rId14" xr:uid="{00000000-0004-0000-0500-00000D000000}"/>
    <hyperlink ref="J620" r:id="rId15" xr:uid="{00000000-0004-0000-0500-00000E000000}"/>
    <hyperlink ref="J626" r:id="rId16" xr:uid="{00000000-0004-0000-0500-00000F000000}"/>
    <hyperlink ref="J617" r:id="rId17" xr:uid="{00000000-0004-0000-0500-000010000000}"/>
    <hyperlink ref="J631" r:id="rId18" xr:uid="{00000000-0004-0000-0500-000011000000}"/>
    <hyperlink ref="J627" r:id="rId19" xr:uid="{00000000-0004-0000-0500-000012000000}"/>
    <hyperlink ref="J628" r:id="rId20" xr:uid="{00000000-0004-0000-0500-000013000000}"/>
    <hyperlink ref="J623" r:id="rId21" xr:uid="{00000000-0004-0000-0500-000014000000}"/>
    <hyperlink ref="J554" r:id="rId22" xr:uid="{00000000-0004-0000-0500-000015000000}"/>
    <hyperlink ref="K556" r:id="rId23" xr:uid="{00000000-0004-0000-0500-000016000000}"/>
    <hyperlink ref="K558" r:id="rId24" xr:uid="{00000000-0004-0000-0500-000017000000}"/>
    <hyperlink ref="K559" r:id="rId25" xr:uid="{00000000-0004-0000-0500-000018000000}"/>
    <hyperlink ref="K555" r:id="rId26" xr:uid="{00000000-0004-0000-0500-000019000000}"/>
    <hyperlink ref="K560" r:id="rId27" xr:uid="{00000000-0004-0000-0500-00001A000000}"/>
    <hyperlink ref="K561" r:id="rId28" xr:uid="{00000000-0004-0000-0500-00001B000000}"/>
    <hyperlink ref="K557" r:id="rId29" xr:uid="{00000000-0004-0000-0500-00001C000000}"/>
    <hyperlink ref="C154" r:id="rId30" xr:uid="{00000000-0004-0000-0500-00001D000000}"/>
    <hyperlink ref="C156" r:id="rId31" xr:uid="{00000000-0004-0000-0500-00001E000000}"/>
    <hyperlink ref="C158" r:id="rId32" xr:uid="{00000000-0004-0000-0500-00001F000000}"/>
    <hyperlink ref="B558" r:id="rId33" xr:uid="{00000000-0004-0000-0500-000020000000}"/>
    <hyperlink ref="B559" r:id="rId34" xr:uid="{00000000-0004-0000-0500-000021000000}"/>
    <hyperlink ref="B562" r:id="rId35" xr:uid="{00000000-0004-0000-0500-000022000000}"/>
    <hyperlink ref="C181" r:id="rId36" display="http://www.mdf-xlpages.com/modules/publisher/item.php?itemid=167" xr:uid="{00000000-0004-0000-0500-000023000000}"/>
    <hyperlink ref="C182" r:id="rId37" display="http://www.mdf-xlpages.com/modules/publisher/item.php?itemid=149" xr:uid="{00000000-0004-0000-0500-000024000000}"/>
    <hyperlink ref="C183" r:id="rId38" display="http://www.mdf-xlpages.com/modules/publisher/item.php?itemid=152" xr:uid="{00000000-0004-0000-0500-000025000000}"/>
    <hyperlink ref="C184" r:id="rId39" display="http://www.mdf-xlpages.com/modules/publisher/item.php?itemid=153" xr:uid="{00000000-0004-0000-0500-000026000000}"/>
    <hyperlink ref="C186" r:id="rId40" display="http://www.mdf-xlpages.com/modules/publisher/item.php?itemid=134" xr:uid="{00000000-0004-0000-0500-000027000000}"/>
    <hyperlink ref="C187" r:id="rId41" display="http://www.mdf-xlpages.com/modules/publisher/item.php?itemid=105" xr:uid="{00000000-0004-0000-0500-000028000000}"/>
    <hyperlink ref="C188" r:id="rId42" display="http://www.mdf-xlpages.com/modules/publisher/item.php?itemid=91" xr:uid="{00000000-0004-0000-0500-000029000000}"/>
    <hyperlink ref="C189" r:id="rId43" display="http://www.mdf-xlpages.com/modules/publisher/item.php?itemid=99" xr:uid="{00000000-0004-0000-0500-00002A000000}"/>
    <hyperlink ref="C190" r:id="rId44" display="http://www.mdf-xlpages.com/modules/publisher/item.php?itemid=98" xr:uid="{00000000-0004-0000-0500-00002B000000}"/>
    <hyperlink ref="C191" r:id="rId45" display="http://www.mdf-xlpages.com/modules/publisher/item.php?itemid=86" xr:uid="{00000000-0004-0000-0500-00002C000000}"/>
    <hyperlink ref="C192" r:id="rId46" display="http://www.mdf-xlpages.com/modules/publisher/item.php?itemid=97" xr:uid="{00000000-0004-0000-0500-00002D000000}"/>
    <hyperlink ref="C193" r:id="rId47" display="http://www.mdf-xlpages.com/modules/publisher/item.php?itemid=93" xr:uid="{00000000-0004-0000-0500-00002E000000}"/>
    <hyperlink ref="C194" r:id="rId48" display="http://www.mdf-xlpages.com/modules/publisher/item.php?itemid=84" xr:uid="{00000000-0004-0000-0500-00002F000000}"/>
    <hyperlink ref="C195" r:id="rId49" display="http://www.mdf-xlpages.com/modules/publisher/item.php?itemid=94" xr:uid="{00000000-0004-0000-0500-000030000000}"/>
    <hyperlink ref="C196" r:id="rId50" display="http://www.mdf-xlpages.com/modules/publisher/item.php?itemid=83" xr:uid="{00000000-0004-0000-0500-000031000000}"/>
    <hyperlink ref="C197" r:id="rId51" display="http://www.mdf-xlpages.com/modules/publisher/item.php?itemid=87" xr:uid="{00000000-0004-0000-0500-000032000000}"/>
    <hyperlink ref="C198" r:id="rId52" display="http://www.mdf-xlpages.com/modules/publisher/item.php?itemid=85" xr:uid="{00000000-0004-0000-0500-000033000000}"/>
    <hyperlink ref="C199" r:id="rId53" display="http://www.mdf-xlpages.com/modules/publisher/item.php?itemid=81" xr:uid="{00000000-0004-0000-0500-000034000000}"/>
    <hyperlink ref="C200" r:id="rId54" display="http://www.mdf-xlpages.com/modules/publisher/item.php?itemid=82" xr:uid="{00000000-0004-0000-0500-000035000000}"/>
    <hyperlink ref="C201" r:id="rId55" display="http://www.mdf-xlpages.com/modules/publisher/item.php?itemid=90" xr:uid="{00000000-0004-0000-0500-000036000000}"/>
    <hyperlink ref="C202" r:id="rId56" display="http://www.mdf-xlpages.com/modules/publisher/item.php?itemid=76" xr:uid="{00000000-0004-0000-0500-000037000000}"/>
    <hyperlink ref="C203" r:id="rId57" display="http://www.mdf-xlpages.com/modules/publisher/item.php?itemid=64" xr:uid="{00000000-0004-0000-0500-000038000000}"/>
    <hyperlink ref="C204" r:id="rId58" display="http://www.mdf-xlpages.com/modules/publisher/item.php?itemid=63" xr:uid="{00000000-0004-0000-0500-000039000000}"/>
    <hyperlink ref="C205" r:id="rId59" display="http://www.mdf-xlpages.com/modules/publisher/item.php?itemid=62" xr:uid="{00000000-0004-0000-0500-00003A000000}"/>
    <hyperlink ref="C206" r:id="rId60" display="http://www.mdf-xlpages.com/modules/publisher/item.php?itemid=25" xr:uid="{00000000-0004-0000-0500-00003B000000}"/>
    <hyperlink ref="D178" r:id="rId61" xr:uid="{00000000-0004-0000-0500-00003C000000}"/>
    <hyperlink ref="C160" r:id="rId62" xr:uid="{00000000-0004-0000-0500-00003D000000}"/>
    <hyperlink ref="C64" r:id="rId63" xr:uid="{00000000-0004-0000-0500-00003E000000}"/>
    <hyperlink ref="C66" r:id="rId64" display="http://www.uprt.fr/mesimages/fichiers-uprt/ff-fiches-fabrication/ff-fiches-fabrication-maj-02-2015/ff-documents-divers-maj-02-2015/ff-fiches-apprentis-Patissiers-07-03-2016.xlsx" xr:uid="{00000000-0004-0000-0500-00003F000000}"/>
    <hyperlink ref="C70" r:id="rId65" display="http://www.uprt.fr/mesimages/fichiers-uprt/ff-fiches-fabrication/ff-fiches-fabrication-maj-02-2015/ff-documents-divers-maj-02-2015/ff-Croquis.xlsx" xr:uid="{00000000-0004-0000-0500-000040000000}"/>
    <hyperlink ref="C72" r:id="rId66" display="http://www.uprt.fr/mesimages/fichiers-uprt/ff-fiches-fabrication/ff-fiches-fabrication-maj-02-2015/ff-documents-divers-maj-02-2015/ff-qualiterecettes2007.xls" xr:uid="{00000000-0004-0000-0500-000041000000}"/>
    <hyperlink ref="C74" r:id="rId67" display="http://www.uprt.fr/mesimages/fichiers-uprt/ff-fiches-fabrication/ff-fiches-fabrication-maj-02-2015/ff-documents-divers-maj-02-2015/ff-tableau-cuisson.pdf" xr:uid="{00000000-0004-0000-0500-000042000000}"/>
    <hyperlink ref="C78" r:id="rId68" xr:uid="{00000000-0004-0000-0500-000043000000}"/>
    <hyperlink ref="K433" r:id="rId69" xr:uid="{00000000-0004-0000-0500-000044000000}"/>
    <hyperlink ref="F433" r:id="rId70" xr:uid="{00000000-0004-0000-0500-000045000000}"/>
    <hyperlink ref="C134" r:id="rId71" xr:uid="{00000000-0004-0000-0500-000046000000}"/>
    <hyperlink ref="C136" r:id="rId72" xr:uid="{00000000-0004-0000-0500-000047000000}"/>
    <hyperlink ref="C139" r:id="rId73" xr:uid="{00000000-0004-0000-0500-000048000000}"/>
    <hyperlink ref="C142" r:id="rId74" tooltip="Télécharger" display="http://joseph.larmarange.net/IMG/pdf/memo_caracteres_speciaux_windows.pdf" xr:uid="{00000000-0004-0000-0500-000049000000}"/>
    <hyperlink ref="C145" r:id="rId75" xr:uid="{00000000-0004-0000-0500-00004A000000}"/>
    <hyperlink ref="C150" r:id="rId76" xr:uid="{00000000-0004-0000-0500-00004B000000}"/>
    <hyperlink ref="C6" r:id="rId77" xr:uid="{00000000-0004-0000-0500-00004C000000}"/>
    <hyperlink ref="C129" r:id="rId78" xr:uid="{00000000-0004-0000-0500-00004D000000}"/>
    <hyperlink ref="C131:F131" r:id="rId79" display="visualiseur d'Emoji et de symboles" xr:uid="{00000000-0004-0000-0500-00004E000000}"/>
    <hyperlink ref="C147" r:id="rId80" xr:uid="{00000000-0004-0000-0500-00004F000000}"/>
    <hyperlink ref="C127:H127" r:id="rId81" display="caractères  Alphanumériques cerclés" xr:uid="{00000000-0004-0000-0500-000050000000}"/>
    <hyperlink ref="C76" r:id="rId82" display="http://www.uprt.fr/mesimages/fichiers-uprt/pt-procedures-techniques/PT-bonnes-pratiques.doc" xr:uid="{00000000-0004-0000-0500-000051000000}"/>
    <hyperlink ref="H492" r:id="rId83" display="http://www.google.fr/url?sa=t&amp;rct=j&amp;q=&amp;esrc=s&amp;source=web&amp;cd=6&amp;ved=0CF4QFjAF&amp;url=http%3A%2F%2Fwww.salondublogculinaire.com%2Ft111382_feuilles-de-gelatine.htm&amp;ei=8ImkUqfoKqeS0AW9sICACQ&amp;usg=AFQjCNEc6KKZUXYcSTgjAvrRt2f6csBBuQ&amp;sig2=nBOHIqhSlud28pCjSyBh9g&amp;cad=rja" xr:uid="{00000000-0004-0000-0500-000052000000}"/>
    <hyperlink ref="H493" r:id="rId84" xr:uid="{00000000-0004-0000-0500-000053000000}"/>
    <hyperlink ref="H494" r:id="rId85" xr:uid="{00000000-0004-0000-0500-000054000000}"/>
    <hyperlink ref="H495" r:id="rId86" display="http://www.google.fr/url?sa=t&amp;rct=j&amp;q=&amp;esrc=s&amp;source=web&amp;cd=19&amp;ved=0CH0QFjAIOAo&amp;url=http%3A%2F%2Fwww.meilleurduchef.com%2Fcgi%2Fmdc%2Fl%2Ffr%2Frecette%2Fglacage-chocolat.html&amp;ei=qIqkUsLvBoO70QXB3IHICQ&amp;usg=AFQjCNEHNXUk5FtDq9jxg3vDAHRvvwqMHw&amp;sig2=gyPSYHO8vFYAfCmt_wkJrA&amp;cad=rja" xr:uid="{00000000-0004-0000-0500-000055000000}"/>
    <hyperlink ref="E517" r:id="rId87" display="http://www.google.fr/url?sa=t&amp;rct=j&amp;q=&amp;esrc=s&amp;source=web&amp;cd=15&amp;ved=0CGsQFjAEOAo&amp;url=http%3A%2F%2Fwww.lesoeufs.ca%2Foeufs101%2Fvoir%2F4%2Fintroduction-aux-oeufs&amp;ei=nISkUs3NCsjb0QXW8YD4CA&amp;usg=AFQjCNEzfLq8I4YY66TSMIK8fPhtE2eduw&amp;sig2=-EnHtzmGG8LO5qkFSlMiQA&amp;bvm=bv.57752919,d.d2k&amp;cad=rja" xr:uid="{00000000-0004-0000-0500-000056000000}"/>
    <hyperlink ref="B225" r:id="rId88" xr:uid="{00000000-0004-0000-0500-000057000000}"/>
    <hyperlink ref="B230" r:id="rId89" location="6" display="http://matoumatheux.ac-rennes.fr/num/numeration/doigt.htm - 6" xr:uid="{00000000-0004-0000-0500-000058000000}"/>
    <hyperlink ref="B231" r:id="rId90" location="6" display="http://matoumatheux.ac-rennes.fr/num/probleme/classer.htm - 6" xr:uid="{00000000-0004-0000-0500-000059000000}"/>
    <hyperlink ref="B232" r:id="rId91" location="6" display="http://matoumatheux.ac-rennes.fr/num/probleme/seringue.htm - 6" xr:uid="{00000000-0004-0000-0500-00005A000000}"/>
    <hyperlink ref="B233" r:id="rId92" location="6" display="http://matoumatheux.ac-rennes.fr/num/probleme/etiquettes.htm - 6" xr:uid="{00000000-0004-0000-0500-00005B000000}"/>
    <hyperlink ref="G225" r:id="rId93" location="6" display="http://matoumatheux.ac-rennes.fr/num/fractions/6/menthe1.htm - 6" xr:uid="{00000000-0004-0000-0500-00005C000000}"/>
    <hyperlink ref="G227" r:id="rId94" location="6" display="http://matoumatheux.ac-rennes.fr/num/fractions/6/cocktail2.htm - 6" xr:uid="{00000000-0004-0000-0500-00005D000000}"/>
    <hyperlink ref="G226" r:id="rId95" location="6" display="http://matoumatheux.ac-rennes.fr/num/fractions/6/cocktail1.htm - 6" xr:uid="{00000000-0004-0000-0500-00005E000000}"/>
    <hyperlink ref="G228" r:id="rId96" location="6" display="http://matoumatheux.ac-rennes.fr/num/fractions/6/cocktail3.htm - 6" xr:uid="{00000000-0004-0000-0500-00005F000000}"/>
    <hyperlink ref="G229" r:id="rId97" location="6" display="http://matoumatheux.ac-rennes.fr/num/fractions/6/cocktail4.htm - 6" xr:uid="{00000000-0004-0000-0500-000060000000}"/>
    <hyperlink ref="G231" r:id="rId98" location="6" display="http://matoumatheux.ac-rennes.fr/num/fractions/6/fractionsM.htm - 6" xr:uid="{00000000-0004-0000-0500-000061000000}"/>
    <hyperlink ref="G232" r:id="rId99" location="6" display="http://matoumatheux.ac-rennes.fr/num/fractions/6/fractionsM2.htm - 6" xr:uid="{00000000-0004-0000-0500-000062000000}"/>
    <hyperlink ref="G230" r:id="rId100" location="6" display="http://matoumatheux.ac-rennes.fr/num/fractions/6/menthe.htm - 6" xr:uid="{00000000-0004-0000-0500-000063000000}"/>
    <hyperlink ref="G233" r:id="rId101" location="6" display="http://matoumatheux.ac-rennes.fr/num/fractions/6/poisson.htm - 6" xr:uid="{00000000-0004-0000-0500-000064000000}"/>
    <hyperlink ref="G234" r:id="rId102" location="6" display="http://matoumatheux.ac-rennes.fr/num/proportionnalite/6/creme.htm - 6" xr:uid="{00000000-0004-0000-0500-000065000000}"/>
    <hyperlink ref="K225" r:id="rId103" location="6" display="http://matoumatheux.ac-rennes.fr/num/proportionnalite/6/gateauriz.htm - 6" xr:uid="{00000000-0004-0000-0500-000066000000}"/>
    <hyperlink ref="K226" r:id="rId104" location="6" display="http://matoumatheux.ac-rennes.fr/num/proportionnalite/6/far.htm - 6" xr:uid="{00000000-0004-0000-0500-000067000000}"/>
    <hyperlink ref="K227" r:id="rId105" location="6" display="http://matoumatheux.ac-rennes.fr/num/proportionnalite/6/boulangerie.htm - 6" xr:uid="{00000000-0004-0000-0500-000068000000}"/>
    <hyperlink ref="B234" r:id="rId106" location="6" display="http://matoumatheux.ac-rennes.fr/geom/unite/mesureur.htm - 6" xr:uid="{00000000-0004-0000-0500-000069000000}"/>
    <hyperlink ref="K230" r:id="rId107" location="6" display="http://matoumatheux.ac-rennes.fr/cours/mesures/convlong.htm - 6" xr:uid="{00000000-0004-0000-0500-00006A000000}"/>
    <hyperlink ref="K231" r:id="rId108" location="6" display="http://matoumatheux.ac-rennes.fr/cours/mesures/convmasse.htm - 6" xr:uid="{00000000-0004-0000-0500-00006B000000}"/>
    <hyperlink ref="K232" r:id="rId109" location="6" display="http://matoumatheux.ac-rennes.fr/geom/cercle/Bebert11.htm - 6" xr:uid="{00000000-0004-0000-0500-00006C000000}"/>
    <hyperlink ref="K233" r:id="rId110" location="6" display="http://matoumatheux.ac-rennes.fr/geom/cercle/Bebert21.htm - 6" xr:uid="{00000000-0004-0000-0500-00006D000000}"/>
    <hyperlink ref="K234" r:id="rId111" location="6" display="http://matoumatheux.ac-rennes.fr/geom/cercle/chien.htm - 6" xr:uid="{00000000-0004-0000-0500-00006E000000}"/>
    <hyperlink ref="O225" r:id="rId112" location="6" display="http://matoumatheux.ac-rennes.fr/geom/solides/6/ruban.htm - 6" xr:uid="{00000000-0004-0000-0500-00006F000000}"/>
    <hyperlink ref="O226" r:id="rId113" location="5" display="http://matoumatheux.ac-rennes.fr/geom/cercle/5/aire.htm - 5" xr:uid="{00000000-0004-0000-0500-000070000000}"/>
    <hyperlink ref="O227" r:id="rId114" location="5" display="http://matoumatheux.ac-rennes.fr/geom/cercle/5/rayon.htm - 5" xr:uid="{00000000-0004-0000-0500-000071000000}"/>
    <hyperlink ref="O228" r:id="rId115" location="5" display="http://matoumatheux.ac-rennes.fr/geom/cercle/5/couronne.htm - 5" xr:uid="{00000000-0004-0000-0500-000072000000}"/>
    <hyperlink ref="O229" r:id="rId116" location="5" display="http://matoumatheux.ac-rennes.fr/geom/solides/5/airecylindre.htm - 5" xr:uid="{00000000-0004-0000-0500-000073000000}"/>
    <hyperlink ref="O230" r:id="rId117" location="5" display="http://matoumatheux.ac-rennes.fr/geom/solides/5/volcylindre.htm - 5" xr:uid="{00000000-0004-0000-0500-000074000000}"/>
    <hyperlink ref="O232" r:id="rId118" location="4" display="http://matoumatheux.ac-rennes.fr/num/puissances/gateau.htm - 4" xr:uid="{00000000-0004-0000-0500-000075000000}"/>
    <hyperlink ref="O231" r:id="rId119" location="4" display="http://matoumatheux.ac-rennes.fr/cours/volume/cylindre.htm - 4" xr:uid="{00000000-0004-0000-0500-000076000000}"/>
    <hyperlink ref="O233" r:id="rId120" location="4" display="http://matoumatheux.ac-rennes.fr/cours/aire/airerect.htm - 4" xr:uid="{00000000-0004-0000-0500-000077000000}"/>
    <hyperlink ref="O234" r:id="rId121" location="3" display="http://matoumatheux.ac-rennes.fr/num/diviseur/probleme1.htm - 3" xr:uid="{00000000-0004-0000-0500-000078000000}"/>
    <hyperlink ref="O235" r:id="rId122" location="3" display="http://matoumatheux.ac-rennes.fr/num/courbe/casserole.htm - 3" xr:uid="{00000000-0004-0000-0500-000079000000}"/>
    <hyperlink ref="B238" r:id="rId123" xr:uid="{00000000-0004-0000-0500-00007A000000}"/>
    <hyperlink ref="G238" r:id="rId124" xr:uid="{00000000-0004-0000-0500-00007B000000}"/>
    <hyperlink ref="K238" r:id="rId125" xr:uid="{00000000-0004-0000-0500-00007C000000}"/>
    <hyperlink ref="O238" r:id="rId126" location="q=RECETTES+PATISSERIE" xr:uid="{00000000-0004-0000-0500-00007D000000}"/>
    <hyperlink ref="E241" r:id="rId127" xr:uid="{00000000-0004-0000-0500-00007E000000}"/>
    <hyperlink ref="G241" r:id="rId128" xr:uid="{00000000-0004-0000-0500-00007F000000}"/>
    <hyperlink ref="J241" r:id="rId129" xr:uid="{00000000-0004-0000-0500-000080000000}"/>
    <hyperlink ref="M241" r:id="rId130" xr:uid="{00000000-0004-0000-0500-000081000000}"/>
    <hyperlink ref="J282" r:id="rId131" xr:uid="{00000000-0004-0000-0500-000082000000}"/>
    <hyperlink ref="B406" r:id="rId132" xr:uid="{00000000-0004-0000-0500-000083000000}"/>
    <hyperlink ref="D371" r:id="rId133" xr:uid="{00000000-0004-0000-0500-000084000000}"/>
    <hyperlink ref="C68" r:id="rId134" display="http://www.uprt.fr/mesimages/fichiers-uprt/ff-fiches-fabrication/ff-documents-divers-maj-02-2015/ff-conditionnement.xls" xr:uid="{00000000-0004-0000-0500-000085000000}"/>
  </hyperlinks>
  <pageMargins left="0.7" right="0.7" top="0.75" bottom="0.75" header="0.3" footer="0.3"/>
  <pageSetup paperSize="9" orientation="portrait" r:id="rId135"/>
  <drawing r:id="rId13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46343-A9CA-4DE2-9410-D2F880670E3E}">
  <dimension ref="A1:Q294"/>
  <sheetViews>
    <sheetView workbookViewId="0">
      <selection activeCell="F22" sqref="F22"/>
    </sheetView>
  </sheetViews>
  <sheetFormatPr baseColWidth="10" defaultRowHeight="15"/>
  <cols>
    <col min="1" max="1" width="11.42578125" style="3170"/>
    <col min="2" max="2" width="21.5703125" style="3170" customWidth="1"/>
    <col min="3" max="3" width="13.28515625" style="3170" customWidth="1"/>
    <col min="4" max="4" width="57.7109375" style="3170" customWidth="1"/>
    <col min="5" max="5" width="40" style="3170" customWidth="1"/>
    <col min="6" max="15" width="11.42578125" style="3170"/>
    <col min="16" max="16" width="12.28515625" style="3170" customWidth="1"/>
    <col min="17" max="17" width="69" style="3170" customWidth="1"/>
    <col min="18" max="16384" width="11.42578125" style="3170"/>
  </cols>
  <sheetData>
    <row r="1" spans="1:17" ht="15.75" thickTop="1">
      <c r="A1" s="2732" t="str">
        <f>ADDRESS(ROW(),COLUMN(),4)</f>
        <v>A1</v>
      </c>
      <c r="B1" s="2952" t="str">
        <f t="shared" ref="B1:N1" si="0">SUBSTITUTE(ADDRESS(1,COLUMN(),4),"1","")</f>
        <v>B</v>
      </c>
      <c r="C1" s="2952" t="str">
        <f t="shared" si="0"/>
        <v>C</v>
      </c>
      <c r="D1" s="2952" t="str">
        <f t="shared" si="0"/>
        <v>D</v>
      </c>
      <c r="E1" s="2952" t="str">
        <f t="shared" si="0"/>
        <v>E</v>
      </c>
      <c r="F1" s="2952" t="str">
        <f t="shared" si="0"/>
        <v>F</v>
      </c>
      <c r="G1" s="2952" t="str">
        <f t="shared" si="0"/>
        <v>G</v>
      </c>
      <c r="H1" s="2952" t="str">
        <f t="shared" si="0"/>
        <v>H</v>
      </c>
      <c r="I1" s="2952" t="str">
        <f t="shared" si="0"/>
        <v>I</v>
      </c>
      <c r="J1" s="2952" t="str">
        <f t="shared" si="0"/>
        <v>J</v>
      </c>
      <c r="K1" s="2952" t="str">
        <f t="shared" si="0"/>
        <v>K</v>
      </c>
      <c r="L1" s="2952" t="str">
        <f t="shared" si="0"/>
        <v>L</v>
      </c>
      <c r="M1" s="2952" t="str">
        <f t="shared" si="0"/>
        <v>M</v>
      </c>
      <c r="N1" s="2952" t="str">
        <f t="shared" si="0"/>
        <v>N</v>
      </c>
      <c r="O1" s="2730">
        <v>1</v>
      </c>
      <c r="P1" s="2955" t="s">
        <v>7185</v>
      </c>
      <c r="Q1" s="2956"/>
    </row>
    <row r="2" spans="1:17" ht="15.75">
      <c r="A2" s="12"/>
      <c r="B2" s="2727">
        <f t="shared" ref="B2:N2" ca="1" si="1">CELL("largeur",B2)</f>
        <v>21</v>
      </c>
      <c r="C2" s="2727">
        <f t="shared" ca="1" si="1"/>
        <v>13</v>
      </c>
      <c r="D2" s="2727">
        <f t="shared" ca="1" si="1"/>
        <v>57</v>
      </c>
      <c r="E2" s="2727">
        <f t="shared" ca="1" si="1"/>
        <v>39</v>
      </c>
      <c r="F2" s="2727">
        <f t="shared" ca="1" si="1"/>
        <v>11</v>
      </c>
      <c r="G2" s="2727">
        <f t="shared" ca="1" si="1"/>
        <v>11</v>
      </c>
      <c r="H2" s="2727">
        <f t="shared" ca="1" si="1"/>
        <v>11</v>
      </c>
      <c r="I2" s="2727">
        <f t="shared" ca="1" si="1"/>
        <v>11</v>
      </c>
      <c r="J2" s="2727">
        <f t="shared" ca="1" si="1"/>
        <v>11</v>
      </c>
      <c r="K2" s="2727">
        <f t="shared" ca="1" si="1"/>
        <v>11</v>
      </c>
      <c r="L2" s="2727">
        <f t="shared" ca="1" si="1"/>
        <v>11</v>
      </c>
      <c r="M2" s="2727">
        <f t="shared" ca="1" si="1"/>
        <v>11</v>
      </c>
      <c r="N2" s="2727">
        <f t="shared" ca="1" si="1"/>
        <v>11</v>
      </c>
      <c r="O2" s="2730">
        <v>1</v>
      </c>
      <c r="P2" s="2958">
        <f ca="1">COUNTA(A1:O294) + COUNTBLANK(A1:O294)</f>
        <v>4410</v>
      </c>
      <c r="Q2" s="2959" t="e">
        <f>"cellules entre -cells -celdas  "&amp;" " &amp;#REF!&amp;" et  "&amp;O316</f>
        <v>#REF!</v>
      </c>
    </row>
    <row r="3" spans="1:17" ht="16.5" thickBot="1">
      <c r="A3" s="12"/>
      <c r="B3" s="2957">
        <v>21</v>
      </c>
      <c r="C3" s="2957">
        <v>13</v>
      </c>
      <c r="D3" s="2957">
        <v>57</v>
      </c>
      <c r="E3" s="2957">
        <v>39</v>
      </c>
      <c r="F3" s="2957">
        <v>11</v>
      </c>
      <c r="G3" s="2957">
        <v>11</v>
      </c>
      <c r="H3" s="2957">
        <v>11</v>
      </c>
      <c r="I3" s="2957">
        <v>11</v>
      </c>
      <c r="J3" s="2957">
        <v>11</v>
      </c>
      <c r="K3" s="2957">
        <v>11</v>
      </c>
      <c r="L3" s="2957">
        <v>11</v>
      </c>
      <c r="M3" s="2957">
        <v>11</v>
      </c>
      <c r="N3" s="2957">
        <v>11</v>
      </c>
      <c r="O3" s="2730">
        <v>1</v>
      </c>
      <c r="P3" s="2958">
        <f ca="1">COUNTA(A1:O294)</f>
        <v>589</v>
      </c>
      <c r="Q3" s="2959" t="s">
        <v>7190</v>
      </c>
    </row>
    <row r="4" spans="1:17" ht="21" customHeight="1">
      <c r="A4" s="12"/>
      <c r="B4" s="12"/>
      <c r="C4" s="12"/>
      <c r="D4" s="12"/>
      <c r="E4" s="12"/>
      <c r="F4" s="12"/>
      <c r="G4" s="12"/>
      <c r="H4" s="12"/>
      <c r="I4" s="12"/>
      <c r="J4" s="12"/>
      <c r="O4" s="2730">
        <v>1</v>
      </c>
      <c r="P4" s="2958">
        <f ca="1">COUNTBLANK(A1:O294)</f>
        <v>3821</v>
      </c>
      <c r="Q4" s="2959" t="s">
        <v>7191</v>
      </c>
    </row>
    <row r="5" spans="1:17" ht="21" customHeight="1">
      <c r="A5" s="12"/>
      <c r="B5" s="2970" t="s">
        <v>15491</v>
      </c>
      <c r="C5" s="6609"/>
      <c r="D5" s="6609"/>
      <c r="E5" s="6609"/>
      <c r="F5" s="6609"/>
      <c r="G5" s="6609"/>
      <c r="H5" s="6609"/>
      <c r="I5" s="6609"/>
      <c r="J5" s="6609"/>
      <c r="K5" s="12"/>
      <c r="L5" s="12"/>
      <c r="M5" s="12"/>
      <c r="N5" s="12"/>
      <c r="O5" s="2730">
        <v>1</v>
      </c>
      <c r="P5" s="2958">
        <f>SUM(O1:O291)+2</f>
        <v>293</v>
      </c>
      <c r="Q5" s="2959" t="s">
        <v>7194</v>
      </c>
    </row>
    <row r="6" spans="1:17" ht="21" customHeight="1">
      <c r="A6" s="12"/>
      <c r="B6" s="7762" t="s">
        <v>15492</v>
      </c>
      <c r="C6" s="7762"/>
      <c r="D6" s="7762"/>
      <c r="E6" s="7762"/>
      <c r="F6" s="7762"/>
      <c r="G6" s="7762"/>
      <c r="H6" s="7762"/>
      <c r="I6" s="7762"/>
      <c r="J6" s="7762"/>
      <c r="K6" s="12"/>
      <c r="L6" s="12"/>
      <c r="M6" s="12"/>
      <c r="N6" s="12"/>
      <c r="O6" s="2730">
        <v>1</v>
      </c>
      <c r="P6" s="2958">
        <f>SUM(A294:N294)+1</f>
        <v>15</v>
      </c>
      <c r="Q6" s="2959" t="s">
        <v>7197</v>
      </c>
    </row>
    <row r="7" spans="1:17" ht="21" customHeight="1">
      <c r="A7" s="12"/>
      <c r="B7" s="7762"/>
      <c r="C7" s="7762"/>
      <c r="D7" s="7762"/>
      <c r="E7" s="7762"/>
      <c r="F7" s="7762"/>
      <c r="G7" s="7762"/>
      <c r="H7" s="7762"/>
      <c r="I7" s="7762"/>
      <c r="J7" s="7762"/>
      <c r="K7" s="12"/>
      <c r="N7" s="12"/>
      <c r="O7" s="2730">
        <v>1</v>
      </c>
    </row>
    <row r="8" spans="1:17" ht="21" customHeight="1">
      <c r="A8" s="12"/>
      <c r="B8" s="7763" t="s">
        <v>15493</v>
      </c>
      <c r="C8" s="7763"/>
      <c r="D8" s="7763"/>
      <c r="E8" s="7763"/>
      <c r="F8" s="7763"/>
      <c r="G8" s="7763"/>
      <c r="H8" s="7763"/>
      <c r="I8" s="7763"/>
      <c r="J8" s="7763"/>
      <c r="K8" s="12"/>
      <c r="L8" s="12"/>
      <c r="M8" s="12"/>
      <c r="N8" s="12"/>
      <c r="O8" s="2730">
        <v>1</v>
      </c>
    </row>
    <row r="9" spans="1:17" ht="21" customHeight="1">
      <c r="A9" s="12"/>
      <c r="B9" s="7763"/>
      <c r="C9" s="7763"/>
      <c r="D9" s="7763"/>
      <c r="E9" s="7763"/>
      <c r="F9" s="7763"/>
      <c r="G9" s="7763"/>
      <c r="H9" s="7763"/>
      <c r="I9" s="7763"/>
      <c r="J9" s="7763"/>
      <c r="K9" s="12"/>
      <c r="L9" s="12"/>
      <c r="M9" s="12"/>
      <c r="N9" s="12"/>
      <c r="O9" s="2730">
        <v>1</v>
      </c>
    </row>
    <row r="10" spans="1:17" ht="21" customHeight="1">
      <c r="A10" s="12"/>
      <c r="B10" s="6609" t="s">
        <v>15494</v>
      </c>
      <c r="C10" s="6609"/>
      <c r="D10" s="6609"/>
      <c r="E10" s="6609"/>
      <c r="F10" s="6609"/>
      <c r="G10" s="6609"/>
      <c r="H10" s="6609"/>
      <c r="I10" s="6609"/>
      <c r="J10" s="6609"/>
      <c r="K10" s="12"/>
      <c r="L10" s="6550" t="s">
        <v>7044</v>
      </c>
      <c r="M10" s="2732" t="str">
        <f>O294</f>
        <v>O294</v>
      </c>
      <c r="N10" s="12"/>
      <c r="O10" s="2730">
        <v>1</v>
      </c>
    </row>
    <row r="11" spans="1:17" ht="21" customHeight="1">
      <c r="A11" s="12"/>
      <c r="B11" s="6609" t="s">
        <v>15495</v>
      </c>
      <c r="C11" s="6609"/>
      <c r="D11" s="6609"/>
      <c r="E11" s="6609"/>
      <c r="F11" s="6609"/>
      <c r="G11" s="6609"/>
      <c r="H11" s="6609"/>
      <c r="I11" s="6609"/>
      <c r="J11" s="6609"/>
      <c r="K11" s="12"/>
      <c r="L11" s="12"/>
      <c r="M11" s="12"/>
      <c r="N11" s="12"/>
      <c r="O11" s="2730">
        <v>1</v>
      </c>
    </row>
    <row r="12" spans="1:17" ht="21" customHeight="1">
      <c r="A12" s="12"/>
      <c r="B12" s="739" t="s">
        <v>15496</v>
      </c>
      <c r="C12" s="6609"/>
      <c r="D12" s="6609"/>
      <c r="E12" s="6609"/>
      <c r="F12" s="6609"/>
      <c r="G12" s="6609"/>
      <c r="H12" s="6609"/>
      <c r="I12" s="6609"/>
      <c r="J12" s="6609"/>
      <c r="K12" s="12"/>
      <c r="L12" s="12"/>
      <c r="M12" s="12"/>
      <c r="N12" s="12"/>
      <c r="O12" s="2730">
        <v>1</v>
      </c>
    </row>
    <row r="13" spans="1:17" ht="21" customHeight="1">
      <c r="A13" s="12"/>
      <c r="B13" s="6609" t="s">
        <v>15497</v>
      </c>
      <c r="C13" s="6609"/>
      <c r="D13" s="6609"/>
      <c r="E13" s="6609"/>
      <c r="F13" s="6609"/>
      <c r="G13" s="6609"/>
      <c r="H13" s="6609"/>
      <c r="I13" s="6609"/>
      <c r="J13" s="6609"/>
      <c r="K13" s="12"/>
      <c r="L13" s="12"/>
      <c r="M13" s="12"/>
      <c r="N13" s="12"/>
      <c r="O13" s="2730">
        <v>1</v>
      </c>
    </row>
    <row r="14" spans="1:17" ht="21" customHeight="1">
      <c r="A14" s="12"/>
      <c r="B14" s="6609" t="s">
        <v>15498</v>
      </c>
      <c r="C14" s="6609"/>
      <c r="D14" s="6609"/>
      <c r="E14" s="6609"/>
      <c r="F14" s="6609"/>
      <c r="G14" s="6609"/>
      <c r="H14" s="6609"/>
      <c r="I14" s="6609"/>
      <c r="J14" s="6609"/>
      <c r="K14" s="12"/>
      <c r="L14" s="12"/>
      <c r="M14" s="12"/>
      <c r="N14" s="12"/>
      <c r="O14" s="2730">
        <v>1</v>
      </c>
    </row>
    <row r="15" spans="1:17" ht="21" customHeight="1">
      <c r="A15" s="12"/>
      <c r="B15" s="6609"/>
      <c r="C15" s="6609"/>
      <c r="D15" s="6609"/>
      <c r="E15" s="6609"/>
      <c r="F15" s="6609"/>
      <c r="G15" s="6609"/>
      <c r="H15" s="6609"/>
      <c r="I15" s="6609"/>
      <c r="J15" s="6609"/>
      <c r="K15" s="12"/>
      <c r="L15" s="12"/>
      <c r="M15" s="12"/>
      <c r="N15" s="12"/>
      <c r="O15" s="2730">
        <v>1</v>
      </c>
    </row>
    <row r="16" spans="1:17" ht="21" customHeight="1">
      <c r="A16" s="12"/>
      <c r="B16" s="6610" t="s">
        <v>15499</v>
      </c>
      <c r="C16" s="6609"/>
      <c r="D16" s="6609"/>
      <c r="E16" s="6609"/>
      <c r="F16" s="6609"/>
      <c r="G16" s="6609"/>
      <c r="H16" s="6609"/>
      <c r="I16" s="6609"/>
      <c r="J16" s="6609"/>
      <c r="K16" s="12"/>
      <c r="L16" s="12"/>
      <c r="M16" s="6611"/>
      <c r="N16" s="12"/>
      <c r="O16" s="2730">
        <v>1</v>
      </c>
    </row>
    <row r="17" spans="1:15" ht="21" customHeight="1">
      <c r="A17" s="12"/>
      <c r="B17" s="6612" t="s">
        <v>15500</v>
      </c>
      <c r="C17" s="6609"/>
      <c r="D17" s="6609"/>
      <c r="E17" s="6609"/>
      <c r="F17" s="6609"/>
      <c r="G17" s="6609"/>
      <c r="H17" s="6609"/>
      <c r="I17" s="6609"/>
      <c r="J17" s="6609"/>
      <c r="K17" s="12"/>
      <c r="L17" s="12"/>
      <c r="M17" s="12"/>
      <c r="N17" s="12"/>
      <c r="O17" s="2730">
        <v>1</v>
      </c>
    </row>
    <row r="18" spans="1:15" ht="21" customHeight="1">
      <c r="A18" s="12"/>
      <c r="B18" s="6612" t="s">
        <v>15501</v>
      </c>
      <c r="C18" s="6609"/>
      <c r="D18" s="6609"/>
      <c r="E18" s="6609"/>
      <c r="F18" s="6609"/>
      <c r="G18" s="6609"/>
      <c r="H18" s="6609"/>
      <c r="I18" s="6609"/>
      <c r="J18" s="6609"/>
      <c r="K18" s="12"/>
      <c r="L18" s="12"/>
      <c r="M18" s="12"/>
      <c r="N18" s="12"/>
      <c r="O18" s="2730">
        <v>1</v>
      </c>
    </row>
    <row r="19" spans="1:15" ht="21" customHeight="1">
      <c r="A19" s="12"/>
      <c r="B19" s="6610" t="s">
        <v>15502</v>
      </c>
      <c r="C19" s="6609"/>
      <c r="D19" s="6609"/>
      <c r="E19" s="6609"/>
      <c r="F19" s="6609"/>
      <c r="G19" s="6609"/>
      <c r="H19" s="6609"/>
      <c r="I19" s="6609"/>
      <c r="J19" s="6609"/>
      <c r="K19" s="12"/>
      <c r="L19" s="12"/>
      <c r="M19" s="12"/>
      <c r="N19" s="12"/>
      <c r="O19" s="2730">
        <v>1</v>
      </c>
    </row>
    <row r="20" spans="1:15" ht="21" customHeight="1">
      <c r="A20" s="12"/>
      <c r="B20" s="6612" t="s">
        <v>15503</v>
      </c>
      <c r="C20" s="6609"/>
      <c r="D20" s="6609"/>
      <c r="E20" s="6609"/>
      <c r="F20" s="6609"/>
      <c r="G20" s="6609"/>
      <c r="H20" s="6609"/>
      <c r="I20" s="6609"/>
      <c r="J20" s="6609"/>
      <c r="K20" s="12"/>
      <c r="L20" s="12"/>
      <c r="M20" s="12"/>
      <c r="N20" s="12"/>
      <c r="O20" s="2730">
        <v>1</v>
      </c>
    </row>
    <row r="21" spans="1:15" ht="21" customHeight="1">
      <c r="A21" s="12"/>
      <c r="B21" s="6612" t="s">
        <v>15504</v>
      </c>
      <c r="C21" s="6609"/>
      <c r="D21" s="6609"/>
      <c r="E21" s="6609"/>
      <c r="F21" s="6609"/>
      <c r="G21" s="6609"/>
      <c r="H21" s="6609"/>
      <c r="I21" s="6609"/>
      <c r="J21" s="6609"/>
      <c r="K21" s="12"/>
      <c r="L21" s="12"/>
      <c r="M21" s="12"/>
      <c r="N21" s="12"/>
      <c r="O21" s="2730">
        <v>1</v>
      </c>
    </row>
    <row r="22" spans="1:15" ht="21" customHeight="1">
      <c r="A22" s="12"/>
      <c r="B22" s="6610" t="s">
        <v>15505</v>
      </c>
      <c r="C22" s="6609"/>
      <c r="D22" s="6609"/>
      <c r="E22" s="6609"/>
      <c r="F22" s="6609"/>
      <c r="G22" s="6609"/>
      <c r="H22" s="6609"/>
      <c r="I22" s="6609"/>
      <c r="J22" s="6609"/>
      <c r="K22" s="12"/>
      <c r="L22" s="12"/>
      <c r="M22" s="12"/>
      <c r="N22" s="12"/>
      <c r="O22" s="2730">
        <v>1</v>
      </c>
    </row>
    <row r="23" spans="1:15" ht="21" customHeight="1">
      <c r="A23" s="12"/>
      <c r="B23" s="6612" t="s">
        <v>15506</v>
      </c>
      <c r="C23" s="6609"/>
      <c r="D23" s="6609"/>
      <c r="E23" s="6609"/>
      <c r="F23" s="6609"/>
      <c r="G23" s="6609"/>
      <c r="H23" s="6609"/>
      <c r="I23" s="6609"/>
      <c r="J23" s="6609"/>
      <c r="K23" s="12"/>
      <c r="L23" s="12"/>
      <c r="M23" s="12"/>
      <c r="N23" s="12"/>
      <c r="O23" s="2730">
        <v>1</v>
      </c>
    </row>
    <row r="24" spans="1:15" ht="21" customHeight="1">
      <c r="A24" s="12"/>
      <c r="B24" s="6612" t="s">
        <v>15507</v>
      </c>
      <c r="C24" s="6609"/>
      <c r="D24" s="6609"/>
      <c r="E24" s="6609"/>
      <c r="F24" s="6609"/>
      <c r="G24" s="6609"/>
      <c r="H24" s="6609"/>
      <c r="I24" s="6609"/>
      <c r="J24" s="6609"/>
      <c r="K24" s="12"/>
      <c r="L24" s="12"/>
      <c r="M24" s="12"/>
      <c r="N24" s="12"/>
      <c r="O24" s="2730">
        <v>1</v>
      </c>
    </row>
    <row r="25" spans="1:15" ht="21" customHeight="1">
      <c r="A25" s="12"/>
      <c r="B25" s="6609"/>
      <c r="C25" s="6609"/>
      <c r="D25" s="6609"/>
      <c r="E25" s="6609"/>
      <c r="F25" s="6609"/>
      <c r="G25" s="6609"/>
      <c r="H25" s="6609"/>
      <c r="I25" s="6609"/>
      <c r="J25" s="6609"/>
      <c r="K25" s="12"/>
      <c r="L25" s="12"/>
      <c r="M25" s="12"/>
      <c r="N25" s="12"/>
      <c r="O25" s="2730">
        <v>1</v>
      </c>
    </row>
    <row r="26" spans="1:15" ht="21" customHeight="1">
      <c r="A26" s="12"/>
      <c r="B26" s="6609" t="s">
        <v>15508</v>
      </c>
      <c r="C26" s="6609"/>
      <c r="D26" s="6609"/>
      <c r="E26" s="6609"/>
      <c r="F26" s="6609"/>
      <c r="G26" s="6609"/>
      <c r="H26" s="6609"/>
      <c r="I26" s="6609"/>
      <c r="J26" s="6609"/>
      <c r="K26" s="12"/>
      <c r="L26" s="12"/>
      <c r="M26" s="12"/>
      <c r="N26" s="12"/>
      <c r="O26" s="2730">
        <v>1</v>
      </c>
    </row>
    <row r="27" spans="1:15" ht="21" customHeight="1">
      <c r="A27" s="12"/>
      <c r="B27" s="6609" t="s">
        <v>15509</v>
      </c>
      <c r="C27" s="6609"/>
      <c r="D27" s="6609"/>
      <c r="E27" s="6609"/>
      <c r="F27" s="6609"/>
      <c r="G27" s="6609"/>
      <c r="H27" s="6609"/>
      <c r="I27" s="6609"/>
      <c r="J27" s="6609"/>
      <c r="K27" s="12"/>
      <c r="L27" s="12"/>
      <c r="M27" s="12"/>
      <c r="N27" s="12"/>
      <c r="O27" s="2730">
        <v>1</v>
      </c>
    </row>
    <row r="28" spans="1:15" ht="21" customHeight="1">
      <c r="A28" s="12"/>
      <c r="B28" s="6609"/>
      <c r="C28" s="6609"/>
      <c r="D28" s="6609"/>
      <c r="E28" s="6609"/>
      <c r="F28" s="6609"/>
      <c r="G28" s="6609"/>
      <c r="H28" s="6609"/>
      <c r="I28" s="6609"/>
      <c r="J28" s="6609"/>
      <c r="K28" s="12"/>
      <c r="L28" s="12"/>
      <c r="M28" s="12"/>
      <c r="N28" s="12"/>
      <c r="O28" s="2730">
        <v>1</v>
      </c>
    </row>
    <row r="29" spans="1:15" ht="21" customHeight="1">
      <c r="A29" s="12"/>
      <c r="B29" s="739" t="s">
        <v>15510</v>
      </c>
      <c r="C29" s="6609"/>
      <c r="D29" s="6609"/>
      <c r="E29" s="6609"/>
      <c r="F29" s="6609"/>
      <c r="G29" s="6609"/>
      <c r="H29" s="6609"/>
      <c r="I29" s="6609"/>
      <c r="J29" s="6609"/>
      <c r="K29" s="12"/>
      <c r="L29" s="12"/>
      <c r="M29" s="12"/>
      <c r="N29" s="12"/>
      <c r="O29" s="2730">
        <v>1</v>
      </c>
    </row>
    <row r="30" spans="1:15" ht="21" customHeight="1">
      <c r="A30" s="12"/>
      <c r="B30" s="6609" t="s">
        <v>15511</v>
      </c>
      <c r="C30" s="6609"/>
      <c r="D30" s="6609"/>
      <c r="E30" s="6609"/>
      <c r="F30" s="6609"/>
      <c r="G30" s="6609"/>
      <c r="H30" s="6609"/>
      <c r="I30" s="6609"/>
      <c r="J30" s="6609"/>
      <c r="K30" s="12"/>
      <c r="L30" s="12"/>
      <c r="M30" s="12"/>
      <c r="N30" s="12"/>
      <c r="O30" s="2730">
        <v>1</v>
      </c>
    </row>
    <row r="31" spans="1:15" ht="21" customHeight="1">
      <c r="A31" s="12"/>
      <c r="B31" s="6612" t="s">
        <v>15512</v>
      </c>
      <c r="C31" s="6609"/>
      <c r="D31" s="6609"/>
      <c r="E31" s="6609"/>
      <c r="F31" s="6609"/>
      <c r="G31" s="6609"/>
      <c r="H31" s="6609"/>
      <c r="I31" s="6609"/>
      <c r="J31" s="6609"/>
      <c r="K31" s="12"/>
      <c r="L31" s="12"/>
      <c r="M31" s="12"/>
      <c r="N31" s="12"/>
      <c r="O31" s="2730">
        <v>1</v>
      </c>
    </row>
    <row r="32" spans="1:15" ht="21" customHeight="1">
      <c r="A32" s="12"/>
      <c r="B32" s="6609" t="s">
        <v>15513</v>
      </c>
      <c r="C32" s="6609"/>
      <c r="D32" s="6609"/>
      <c r="E32" s="6609"/>
      <c r="F32" s="6609"/>
      <c r="G32" s="6609"/>
      <c r="H32" s="6609"/>
      <c r="I32" s="6609"/>
      <c r="J32" s="6609"/>
      <c r="K32" s="12"/>
      <c r="L32" s="12"/>
      <c r="M32" s="12"/>
      <c r="N32" s="12"/>
      <c r="O32" s="2730">
        <v>1</v>
      </c>
    </row>
    <row r="33" spans="1:15" ht="21" customHeight="1">
      <c r="A33" s="12"/>
      <c r="B33" s="6612"/>
      <c r="C33" s="6609"/>
      <c r="D33" s="6609"/>
      <c r="E33" s="6609"/>
      <c r="F33" s="6609"/>
      <c r="G33" s="6609"/>
      <c r="H33" s="6609"/>
      <c r="I33" s="6609"/>
      <c r="J33" s="6609"/>
      <c r="K33" s="12"/>
      <c r="L33" s="12"/>
      <c r="M33" s="12"/>
      <c r="N33" s="12"/>
      <c r="O33" s="2730">
        <v>1</v>
      </c>
    </row>
    <row r="34" spans="1:15" ht="21" customHeight="1">
      <c r="A34" s="12"/>
      <c r="B34" s="6613" t="s">
        <v>15514</v>
      </c>
      <c r="C34" s="6609"/>
      <c r="D34" s="6609"/>
      <c r="E34" s="6609"/>
      <c r="F34" s="6609"/>
      <c r="G34" s="6609"/>
      <c r="H34" s="6609"/>
      <c r="I34" s="6609"/>
      <c r="J34" s="6609"/>
      <c r="K34" s="12"/>
      <c r="L34" s="12"/>
      <c r="M34" s="12"/>
      <c r="N34" s="12"/>
      <c r="O34" s="2730">
        <v>1</v>
      </c>
    </row>
    <row r="35" spans="1:15" ht="21" customHeight="1">
      <c r="A35" s="12"/>
      <c r="B35" s="6612" t="s">
        <v>15515</v>
      </c>
      <c r="C35" s="6609"/>
      <c r="D35" s="6609"/>
      <c r="E35" s="6609"/>
      <c r="F35" s="6609"/>
      <c r="G35" s="6609"/>
      <c r="H35" s="6609"/>
      <c r="I35" s="6609"/>
      <c r="J35" s="6609"/>
      <c r="K35" s="12"/>
      <c r="L35" s="12"/>
      <c r="M35" s="12"/>
      <c r="N35" s="12"/>
      <c r="O35" s="2730">
        <v>1</v>
      </c>
    </row>
    <row r="36" spans="1:15" ht="21" customHeight="1">
      <c r="A36" s="12"/>
      <c r="B36" s="6612" t="s">
        <v>15516</v>
      </c>
      <c r="C36" s="6609"/>
      <c r="D36" s="6609"/>
      <c r="E36" s="6609"/>
      <c r="F36" s="6609"/>
      <c r="G36" s="6609"/>
      <c r="H36" s="6609"/>
      <c r="I36" s="6609"/>
      <c r="J36" s="6609"/>
      <c r="K36" s="12"/>
      <c r="L36" s="12"/>
      <c r="M36" s="12"/>
      <c r="N36" s="12"/>
      <c r="O36" s="2730">
        <v>1</v>
      </c>
    </row>
    <row r="37" spans="1:15" ht="21" customHeight="1">
      <c r="A37" s="12"/>
      <c r="B37" s="6612"/>
      <c r="C37" s="6609"/>
      <c r="D37" s="6609"/>
      <c r="E37" s="6609"/>
      <c r="F37" s="6609"/>
      <c r="G37" s="6609"/>
      <c r="H37" s="6609"/>
      <c r="I37" s="6609"/>
      <c r="J37" s="6609"/>
      <c r="K37" s="12"/>
      <c r="L37" s="12"/>
      <c r="M37" s="12"/>
      <c r="N37" s="12"/>
      <c r="O37" s="2730">
        <v>1</v>
      </c>
    </row>
    <row r="38" spans="1:15" ht="21" customHeight="1">
      <c r="A38" s="12"/>
      <c r="B38" s="6613" t="s">
        <v>15517</v>
      </c>
      <c r="C38" s="6609"/>
      <c r="D38" s="6609"/>
      <c r="E38" s="6609"/>
      <c r="F38" s="6609"/>
      <c r="G38" s="6609"/>
      <c r="H38" s="6609"/>
      <c r="I38" s="6609"/>
      <c r="J38" s="6609"/>
      <c r="K38" s="12"/>
      <c r="L38" s="12"/>
      <c r="M38" s="12"/>
      <c r="N38" s="12"/>
      <c r="O38" s="2730">
        <v>1</v>
      </c>
    </row>
    <row r="39" spans="1:15" ht="21" customHeight="1">
      <c r="A39" s="12"/>
      <c r="B39" s="6612" t="s">
        <v>15518</v>
      </c>
      <c r="C39" s="6609"/>
      <c r="D39" s="6609"/>
      <c r="E39" s="6609"/>
      <c r="F39" s="6609"/>
      <c r="G39" s="6609"/>
      <c r="H39" s="6609"/>
      <c r="I39" s="6609"/>
      <c r="J39" s="6609"/>
      <c r="K39" s="12"/>
      <c r="L39" s="12"/>
      <c r="M39" s="12"/>
      <c r="N39" s="12"/>
      <c r="O39" s="2730">
        <v>1</v>
      </c>
    </row>
    <row r="40" spans="1:15" ht="21" customHeight="1">
      <c r="A40" s="12"/>
      <c r="B40" s="6612" t="s">
        <v>15519</v>
      </c>
      <c r="C40" s="6609"/>
      <c r="D40" s="6609"/>
      <c r="E40" s="6609"/>
      <c r="F40" s="6609"/>
      <c r="G40" s="6609"/>
      <c r="H40" s="6609"/>
      <c r="I40" s="6609"/>
      <c r="J40" s="6609"/>
      <c r="K40" s="12"/>
      <c r="L40" s="12"/>
      <c r="M40" s="12"/>
      <c r="N40" s="12"/>
      <c r="O40" s="2730">
        <v>1</v>
      </c>
    </row>
    <row r="41" spans="1:15" ht="21" customHeight="1">
      <c r="A41" s="12"/>
      <c r="B41" s="6609"/>
      <c r="C41" s="6609"/>
      <c r="D41" s="6609"/>
      <c r="E41" s="6609"/>
      <c r="F41" s="6609"/>
      <c r="G41" s="6609"/>
      <c r="H41" s="6609"/>
      <c r="I41" s="6609"/>
      <c r="J41" s="6609"/>
      <c r="K41" s="12"/>
      <c r="L41" s="12"/>
      <c r="M41" s="12"/>
      <c r="N41" s="12"/>
      <c r="O41" s="2730">
        <v>1</v>
      </c>
    </row>
    <row r="42" spans="1:15" ht="21" customHeight="1">
      <c r="A42" s="12"/>
      <c r="B42" s="6609" t="s">
        <v>15520</v>
      </c>
      <c r="C42" s="6609"/>
      <c r="D42" s="6609"/>
      <c r="E42" s="6609"/>
      <c r="F42" s="6609"/>
      <c r="G42" s="6609"/>
      <c r="H42" s="6609"/>
      <c r="I42" s="6609"/>
      <c r="J42" s="6609"/>
      <c r="K42" s="12"/>
      <c r="L42" s="12"/>
      <c r="M42" s="12"/>
      <c r="N42" s="12"/>
      <c r="O42" s="2730">
        <v>1</v>
      </c>
    </row>
    <row r="43" spans="1:15" ht="21" customHeight="1">
      <c r="A43" s="12"/>
      <c r="B43" s="6612" t="s">
        <v>15521</v>
      </c>
      <c r="C43" s="6609"/>
      <c r="D43" s="6609"/>
      <c r="E43" s="6609"/>
      <c r="F43" s="6609"/>
      <c r="G43" s="6609"/>
      <c r="H43" s="6609"/>
      <c r="I43" s="6609"/>
      <c r="J43" s="6609"/>
      <c r="K43" s="12"/>
      <c r="L43" s="12"/>
      <c r="M43" s="12"/>
      <c r="N43" s="12"/>
      <c r="O43" s="2730">
        <v>1</v>
      </c>
    </row>
    <row r="44" spans="1:15" ht="21" customHeight="1">
      <c r="A44" s="12"/>
      <c r="B44" s="6612" t="s">
        <v>15522</v>
      </c>
      <c r="C44" s="6609"/>
      <c r="D44" s="6609"/>
      <c r="E44" s="6609"/>
      <c r="F44" s="6609"/>
      <c r="G44" s="6609"/>
      <c r="H44" s="6609"/>
      <c r="I44" s="6609"/>
      <c r="J44" s="6609"/>
      <c r="K44" s="12"/>
      <c r="L44" s="12"/>
      <c r="M44" s="12"/>
      <c r="N44" s="12"/>
      <c r="O44" s="2730">
        <v>1</v>
      </c>
    </row>
    <row r="45" spans="1:15" ht="21" customHeight="1">
      <c r="A45" s="12"/>
      <c r="B45" s="6612" t="s">
        <v>15523</v>
      </c>
      <c r="C45" s="6609"/>
      <c r="D45" s="6609"/>
      <c r="E45" s="6609"/>
      <c r="F45" s="6609"/>
      <c r="G45" s="6609"/>
      <c r="H45" s="6609"/>
      <c r="I45" s="6609"/>
      <c r="J45" s="6609"/>
      <c r="K45" s="12"/>
      <c r="L45" s="12"/>
      <c r="M45" s="12"/>
      <c r="N45" s="12"/>
      <c r="O45" s="2730">
        <v>1</v>
      </c>
    </row>
    <row r="46" spans="1:15" ht="21" customHeight="1">
      <c r="A46" s="12"/>
      <c r="B46" s="12"/>
      <c r="C46" s="12"/>
      <c r="D46" s="12"/>
      <c r="E46" s="12"/>
      <c r="F46" s="12"/>
      <c r="G46" s="12"/>
      <c r="H46" s="12"/>
      <c r="I46" s="12"/>
      <c r="J46" s="12"/>
      <c r="K46" s="12"/>
      <c r="L46" s="12"/>
      <c r="M46" s="12"/>
      <c r="N46" s="12"/>
      <c r="O46" s="2730">
        <v>1</v>
      </c>
    </row>
    <row r="47" spans="1:15" ht="21" customHeight="1">
      <c r="A47" s="12"/>
      <c r="B47" s="2970" t="s">
        <v>15524</v>
      </c>
      <c r="C47" s="2801"/>
      <c r="D47" s="2801"/>
      <c r="E47" s="2801"/>
      <c r="F47" s="2801"/>
      <c r="G47" s="2801"/>
      <c r="H47" s="12"/>
      <c r="I47" s="12"/>
      <c r="J47" s="12"/>
      <c r="K47" s="12"/>
      <c r="L47" s="12"/>
      <c r="M47" s="12"/>
      <c r="N47" s="12"/>
      <c r="O47" s="2730">
        <v>1</v>
      </c>
    </row>
    <row r="48" spans="1:15" ht="21" customHeight="1">
      <c r="A48" s="12"/>
      <c r="B48" s="6609" t="s">
        <v>15525</v>
      </c>
      <c r="C48" s="2801"/>
      <c r="D48" s="2801"/>
      <c r="E48" s="2801"/>
      <c r="F48" s="2801"/>
      <c r="G48" s="2801"/>
      <c r="H48" s="12"/>
      <c r="I48" s="12"/>
      <c r="J48" s="12"/>
      <c r="K48" s="12"/>
      <c r="L48" s="12"/>
      <c r="M48" s="12"/>
      <c r="N48" s="12"/>
      <c r="O48" s="2730">
        <v>1</v>
      </c>
    </row>
    <row r="49" spans="1:15" ht="21" customHeight="1">
      <c r="A49" s="12"/>
      <c r="B49" s="6609" t="s">
        <v>15526</v>
      </c>
      <c r="C49" s="2801"/>
      <c r="D49" s="2801"/>
      <c r="E49" s="2801"/>
      <c r="F49" s="2801"/>
      <c r="G49" s="2801"/>
      <c r="H49" s="12"/>
      <c r="I49" s="12"/>
      <c r="J49" s="12"/>
      <c r="K49" s="12"/>
      <c r="L49" s="12"/>
      <c r="M49" s="12"/>
      <c r="N49" s="12"/>
      <c r="O49" s="2730">
        <v>1</v>
      </c>
    </row>
    <row r="50" spans="1:15" ht="21" customHeight="1">
      <c r="A50" s="12"/>
      <c r="B50" s="6609" t="s">
        <v>15527</v>
      </c>
      <c r="C50" s="2801"/>
      <c r="D50" s="2801"/>
      <c r="E50" s="2801"/>
      <c r="F50" s="2801"/>
      <c r="G50" s="2801"/>
      <c r="H50" s="12"/>
      <c r="I50" s="12"/>
      <c r="J50" s="12"/>
      <c r="K50" s="12"/>
      <c r="L50" s="12"/>
      <c r="M50" s="12"/>
      <c r="N50" s="12"/>
      <c r="O50" s="2730">
        <v>1</v>
      </c>
    </row>
    <row r="51" spans="1:15" ht="21" customHeight="1">
      <c r="A51" s="12"/>
      <c r="B51" s="6609" t="s">
        <v>15528</v>
      </c>
      <c r="C51" s="2801"/>
      <c r="D51" s="2801"/>
      <c r="E51" s="2801"/>
      <c r="F51" s="2801"/>
      <c r="G51" s="2801"/>
      <c r="H51" s="12"/>
      <c r="I51" s="12"/>
      <c r="J51" s="12"/>
      <c r="K51" s="12"/>
      <c r="L51" s="12"/>
      <c r="M51" s="12"/>
      <c r="N51" s="12"/>
      <c r="O51" s="2730">
        <v>1</v>
      </c>
    </row>
    <row r="52" spans="1:15" ht="21" customHeight="1">
      <c r="A52" s="12"/>
      <c r="B52" s="6609" t="s">
        <v>15529</v>
      </c>
      <c r="C52" s="2801"/>
      <c r="D52" s="2801"/>
      <c r="E52" s="2801"/>
      <c r="F52" s="2801"/>
      <c r="G52" s="2801"/>
      <c r="H52" s="12"/>
      <c r="I52" s="12"/>
      <c r="J52" s="12"/>
      <c r="K52" s="12"/>
      <c r="L52" s="12"/>
      <c r="M52" s="12"/>
      <c r="N52" s="12"/>
      <c r="O52" s="2730">
        <v>1</v>
      </c>
    </row>
    <row r="53" spans="1:15" ht="21" customHeight="1">
      <c r="A53" s="12"/>
      <c r="B53" s="2801"/>
      <c r="C53" s="12"/>
      <c r="D53" s="2801"/>
      <c r="E53" s="2801"/>
      <c r="F53" s="2801"/>
      <c r="G53" s="2801"/>
      <c r="H53" s="12"/>
      <c r="I53" s="12"/>
      <c r="J53" s="12"/>
      <c r="K53" s="12"/>
      <c r="L53" s="12"/>
      <c r="M53" s="12"/>
      <c r="N53" s="12"/>
      <c r="O53" s="2730">
        <v>1</v>
      </c>
    </row>
    <row r="54" spans="1:15" ht="21" customHeight="1">
      <c r="A54" s="12"/>
      <c r="B54" s="2970" t="s">
        <v>15530</v>
      </c>
      <c r="C54" s="2801"/>
      <c r="D54" s="2801"/>
      <c r="E54" s="2801"/>
      <c r="F54" s="2801"/>
      <c r="G54" s="2801"/>
      <c r="H54" s="12"/>
      <c r="I54" s="12"/>
      <c r="J54" s="12"/>
      <c r="K54" s="12"/>
      <c r="L54" s="12"/>
      <c r="M54" s="12"/>
      <c r="N54" s="12"/>
      <c r="O54" s="2730">
        <v>1</v>
      </c>
    </row>
    <row r="55" spans="1:15" ht="21" customHeight="1">
      <c r="A55" s="12"/>
      <c r="B55" s="6609" t="s">
        <v>15531</v>
      </c>
      <c r="C55" s="2801"/>
      <c r="D55" s="2801"/>
      <c r="E55" s="2801"/>
      <c r="F55" s="2801"/>
      <c r="G55" s="2801"/>
      <c r="H55" s="12"/>
      <c r="I55" s="12"/>
      <c r="J55" s="12"/>
      <c r="K55" s="12"/>
      <c r="L55" s="12"/>
      <c r="M55" s="12"/>
      <c r="N55" s="12"/>
      <c r="O55" s="2730">
        <v>1</v>
      </c>
    </row>
    <row r="56" spans="1:15" ht="21" customHeight="1">
      <c r="A56" s="12"/>
      <c r="B56" s="6609" t="s">
        <v>15532</v>
      </c>
      <c r="C56" s="2801"/>
      <c r="D56" s="2801"/>
      <c r="E56" s="2801"/>
      <c r="F56" s="2801"/>
      <c r="G56" s="2801"/>
      <c r="H56" s="12"/>
      <c r="I56" s="12"/>
      <c r="J56" s="12"/>
      <c r="K56" s="12"/>
      <c r="L56" s="12"/>
      <c r="M56" s="12"/>
      <c r="N56" s="12"/>
      <c r="O56" s="2730">
        <v>1</v>
      </c>
    </row>
    <row r="57" spans="1:15" ht="21" customHeight="1">
      <c r="A57" s="12"/>
      <c r="B57" s="6609" t="s">
        <v>15533</v>
      </c>
      <c r="C57" s="2801"/>
      <c r="D57" s="12"/>
      <c r="E57" s="2801"/>
      <c r="F57" s="2801"/>
      <c r="G57" s="2801"/>
      <c r="H57" s="12"/>
      <c r="I57" s="12"/>
      <c r="J57" s="12"/>
      <c r="K57" s="12"/>
      <c r="L57" s="12"/>
      <c r="M57" s="12"/>
      <c r="N57" s="12"/>
      <c r="O57" s="2730">
        <v>1</v>
      </c>
    </row>
    <row r="58" spans="1:15" ht="21" customHeight="1">
      <c r="A58" s="6614">
        <f>_xlfn.LET(_xlpm.k,1,_xlpm.r,_xlfn.XLOOKUP(_xlpm.k,{1},{1}),1)</f>
        <v>1</v>
      </c>
      <c r="B58" s="6615" t="str">
        <f>IF(ISERROR(A58),"Votre version d'Excel est trop ancienne : elle ne reconnaît pas les fonctions LET et RECHERCHEX. Copiez la formule qui affiche #NOM? dans ChatGPT et demandez une version compatible sans LET ni RECHERCHEX.","OK, votre version d'Excel reconnaît LET et RECHERCHEX.")</f>
        <v>OK, votre version d'Excel reconnaît LET et RECHERCHEX.</v>
      </c>
      <c r="C58" s="2801"/>
      <c r="D58" s="2801"/>
      <c r="E58" s="2801"/>
      <c r="F58" s="2801"/>
      <c r="G58" s="2801"/>
      <c r="H58" s="12"/>
      <c r="I58" s="12"/>
      <c r="J58" s="12"/>
      <c r="K58" s="12"/>
      <c r="L58" s="12"/>
      <c r="M58" s="12"/>
      <c r="N58" s="12"/>
      <c r="O58" s="2730">
        <v>1</v>
      </c>
    </row>
    <row r="59" spans="1:15" ht="21" customHeight="1">
      <c r="A59" s="12"/>
      <c r="B59" s="2801"/>
      <c r="C59" s="2801"/>
      <c r="D59" s="2801"/>
      <c r="E59" s="2801"/>
      <c r="F59" s="2801"/>
      <c r="G59" s="2801"/>
      <c r="H59" s="12"/>
      <c r="I59" s="12"/>
      <c r="J59" s="12"/>
      <c r="K59" s="12"/>
      <c r="L59" s="12"/>
      <c r="M59" s="12"/>
      <c r="N59" s="12"/>
      <c r="O59" s="2730">
        <v>1</v>
      </c>
    </row>
    <row r="60" spans="1:15" ht="21" customHeight="1">
      <c r="A60" s="12"/>
      <c r="B60" s="2970" t="s">
        <v>15534</v>
      </c>
      <c r="C60" s="2801"/>
      <c r="D60" s="2801"/>
      <c r="E60" s="2801"/>
      <c r="F60" s="2801"/>
      <c r="G60" s="2801"/>
      <c r="H60" s="12"/>
      <c r="I60" s="12"/>
      <c r="J60" s="12"/>
      <c r="K60" s="12"/>
      <c r="L60" s="12"/>
      <c r="M60" s="12"/>
      <c r="N60" s="12"/>
      <c r="O60" s="2730">
        <v>1</v>
      </c>
    </row>
    <row r="61" spans="1:15" ht="21" customHeight="1">
      <c r="A61" s="12"/>
      <c r="B61" s="6616" t="s">
        <v>15535</v>
      </c>
      <c r="C61" s="2801"/>
      <c r="D61" s="2801"/>
      <c r="E61" s="2801"/>
      <c r="F61" s="2801"/>
      <c r="G61" s="2801"/>
      <c r="H61" s="12"/>
      <c r="I61" s="12"/>
      <c r="J61" s="12"/>
      <c r="K61" s="12"/>
      <c r="L61" s="12"/>
      <c r="M61" s="12"/>
      <c r="N61" s="12"/>
      <c r="O61" s="2730">
        <v>1</v>
      </c>
    </row>
    <row r="62" spans="1:15" ht="21" customHeight="1">
      <c r="A62" s="12"/>
      <c r="B62" s="6615" t="str">
        <f>IF(ISNUMBER(IFERROR(VALUE("0,5"),"")),"sur cet ordinateur, Excel attend une VIRGULE comme séparateur décimal",IF(ISNUMBER(IFERROR(VALUE("0.5"),"")),"Ce fichier est prévu pour fonctionner avec un POINT « . » comme séparateur décimal.","Impossible de déterminer le séparateur décimal"))</f>
        <v>Ce fichier est prévu pour fonctionner avec un POINT « . » comme séparateur décimal.</v>
      </c>
      <c r="C62" s="2801"/>
      <c r="D62" s="2801"/>
      <c r="E62" s="2801"/>
      <c r="F62" s="2801"/>
      <c r="G62" s="2801"/>
      <c r="H62" s="12"/>
      <c r="I62" s="12"/>
      <c r="J62" s="12"/>
      <c r="K62" s="12"/>
      <c r="L62" s="12"/>
      <c r="M62" s="12"/>
      <c r="N62" s="12"/>
      <c r="O62" s="2730">
        <v>1</v>
      </c>
    </row>
    <row r="63" spans="1:15" ht="21" customHeight="1">
      <c r="A63" s="12"/>
      <c r="B63" s="6609" t="s">
        <v>15536</v>
      </c>
      <c r="C63" s="2801"/>
      <c r="D63" s="2801"/>
      <c r="E63" s="2801"/>
      <c r="F63" s="2801"/>
      <c r="G63" s="2801"/>
      <c r="H63" s="12"/>
      <c r="I63" s="12"/>
      <c r="J63" s="12"/>
      <c r="K63" s="12"/>
      <c r="L63" s="12"/>
      <c r="M63" s="12"/>
      <c r="N63" s="12"/>
      <c r="O63" s="2730">
        <v>1</v>
      </c>
    </row>
    <row r="64" spans="1:15" ht="21" customHeight="1">
      <c r="A64" s="12"/>
      <c r="B64" s="6617" t="str">
        <f>"sinon voir procédure ligne "&amp;A103</f>
        <v>sinon voir procédure ligne 103</v>
      </c>
      <c r="C64" s="2801"/>
      <c r="D64" s="2801"/>
      <c r="E64" s="2801"/>
      <c r="F64" s="2801"/>
      <c r="G64" s="2801"/>
      <c r="H64" s="12"/>
      <c r="I64" s="12"/>
      <c r="J64" s="12"/>
      <c r="K64" s="12"/>
      <c r="L64" s="12"/>
      <c r="M64" s="12"/>
      <c r="N64" s="12"/>
      <c r="O64" s="2730">
        <v>1</v>
      </c>
    </row>
    <row r="65" spans="1:15" ht="21" customHeight="1">
      <c r="A65" s="12"/>
      <c r="B65" s="2801"/>
      <c r="C65" s="2801"/>
      <c r="D65" s="2801"/>
      <c r="E65" s="2801"/>
      <c r="F65" s="2801"/>
      <c r="G65" s="2801"/>
      <c r="H65" s="12"/>
      <c r="I65" s="12"/>
      <c r="J65" s="12"/>
      <c r="K65" s="12"/>
      <c r="L65" s="12"/>
      <c r="M65" s="12"/>
      <c r="N65" s="12"/>
      <c r="O65" s="2730">
        <v>1</v>
      </c>
    </row>
    <row r="66" spans="1:15" ht="21" customHeight="1">
      <c r="A66" s="12"/>
      <c r="B66" s="739" t="s">
        <v>15537</v>
      </c>
      <c r="C66" s="12"/>
      <c r="D66" s="12"/>
      <c r="E66" s="2801"/>
      <c r="F66" s="2801"/>
      <c r="G66" s="2801"/>
      <c r="H66" s="12"/>
      <c r="I66" s="12"/>
      <c r="J66" s="12"/>
      <c r="K66" s="12"/>
      <c r="L66" s="12"/>
      <c r="M66" s="12"/>
      <c r="N66" s="12"/>
      <c r="O66" s="2730">
        <v>1</v>
      </c>
    </row>
    <row r="67" spans="1:15" ht="21" customHeight="1">
      <c r="A67" s="12"/>
      <c r="B67" s="2970" t="s">
        <v>15538</v>
      </c>
      <c r="C67" s="12"/>
      <c r="D67" s="12"/>
      <c r="E67" s="2801"/>
      <c r="F67" s="2801"/>
      <c r="G67" s="2801"/>
      <c r="H67" s="12"/>
      <c r="I67" s="12"/>
      <c r="J67" s="12"/>
      <c r="K67" s="12"/>
      <c r="L67" s="12"/>
      <c r="M67" s="12"/>
      <c r="N67" s="12"/>
      <c r="O67" s="2730">
        <v>1</v>
      </c>
    </row>
    <row r="68" spans="1:15" ht="21" customHeight="1">
      <c r="A68" s="12"/>
      <c r="B68" s="739" t="s">
        <v>15539</v>
      </c>
      <c r="C68" s="12"/>
      <c r="D68" s="12"/>
      <c r="E68" s="2801"/>
      <c r="F68" s="2801"/>
      <c r="G68" s="2801"/>
      <c r="H68" s="12"/>
      <c r="I68" s="12"/>
      <c r="J68" s="12"/>
      <c r="K68" s="12"/>
      <c r="L68" s="12"/>
      <c r="M68" s="12"/>
      <c r="N68" s="12"/>
      <c r="O68" s="2730">
        <v>1</v>
      </c>
    </row>
    <row r="69" spans="1:15" ht="21" customHeight="1">
      <c r="A69" s="12"/>
      <c r="B69" s="739"/>
      <c r="C69" s="12"/>
      <c r="D69" s="12"/>
      <c r="E69" s="2801"/>
      <c r="F69" s="2801"/>
      <c r="G69" s="2801"/>
      <c r="H69" s="12"/>
      <c r="I69" s="12"/>
      <c r="J69" s="12"/>
      <c r="K69" s="12"/>
      <c r="L69" s="12"/>
      <c r="M69" s="12"/>
      <c r="N69" s="12"/>
      <c r="O69" s="2730">
        <v>1</v>
      </c>
    </row>
    <row r="70" spans="1:15" ht="21" customHeight="1" thickBot="1">
      <c r="A70" s="12"/>
      <c r="B70" s="739" t="str">
        <f>"▼ "&amp;ADDRESS(ROW(B71),COLUMN(B71),4)&amp;"  Test de la touche décimale du pavé numérique"</f>
        <v>▼ B71  Test de la touche décimale du pavé numérique</v>
      </c>
      <c r="C70" s="6618"/>
      <c r="D70" s="12"/>
      <c r="E70" s="2801"/>
      <c r="F70" s="2801"/>
      <c r="G70" s="2801"/>
      <c r="H70" s="12"/>
      <c r="I70" s="12"/>
      <c r="J70" s="12"/>
      <c r="K70" s="12"/>
      <c r="L70" s="12"/>
      <c r="M70" s="12"/>
      <c r="N70" s="12"/>
      <c r="O70" s="2730">
        <v>1</v>
      </c>
    </row>
    <row r="71" spans="1:15" ht="21" customHeight="1" thickBot="1">
      <c r="A71" s="6619" t="str">
        <f>ADDRESS(ROW(B71),COLUMN(B71),4)&amp;" ►"</f>
        <v>B71 ►</v>
      </c>
      <c r="B71" s="6620" t="s">
        <v>2</v>
      </c>
      <c r="C71" s="739" t="s">
        <v>15540</v>
      </c>
      <c r="D71" s="12"/>
      <c r="E71" s="2801"/>
      <c r="F71" s="2801"/>
      <c r="G71" s="2801"/>
      <c r="H71" s="12"/>
      <c r="I71" s="12"/>
      <c r="J71" s="12"/>
      <c r="K71" s="12"/>
      <c r="L71" s="12"/>
      <c r="M71" s="12"/>
      <c r="N71" s="12"/>
      <c r="O71" s="2730">
        <v>1</v>
      </c>
    </row>
    <row r="72" spans="1:15" ht="21" customHeight="1">
      <c r="A72" s="12"/>
      <c r="B72" s="739" t="s">
        <v>15541</v>
      </c>
      <c r="C72" s="12"/>
      <c r="D72" s="12"/>
      <c r="E72" s="2801"/>
      <c r="F72" s="2801"/>
      <c r="G72" s="2801"/>
      <c r="H72" s="12"/>
      <c r="I72" s="12"/>
      <c r="J72" s="12"/>
      <c r="K72" s="12"/>
      <c r="L72" s="12"/>
      <c r="M72" s="12"/>
      <c r="N72" s="12"/>
      <c r="O72" s="2730">
        <v>1</v>
      </c>
    </row>
    <row r="73" spans="1:15" ht="21" customHeight="1">
      <c r="A73" s="12"/>
      <c r="B73" s="6615" t="str">
        <f>IF(B71=".","OK : la touche décimale de votre clavier envoie un POINT « . ». Ce fichier est prévu pour fonctionner correctement avec ce réglage.",IF(B71=",","ATTENTION : la touche décimale de votre clavier envoie une VIRGULE « , ». Pour éviter des erreurs dans ce fichier, changez le séparateur décimal dans Excel en POINT « . » en suivant la procédure ci-dessous.","Veuillez cliquer dans la ce'llule puis appuyer sur la touche décimale du pavé numérique."))</f>
        <v>OK : la touche décimale de votre clavier envoie un POINT « . ». Ce fichier est prévu pour fonctionner correctement avec ce réglage.</v>
      </c>
      <c r="C73" s="12"/>
      <c r="D73" s="12"/>
      <c r="E73" s="2801"/>
      <c r="F73" s="2801"/>
      <c r="G73" s="2801"/>
      <c r="H73" s="12"/>
      <c r="I73" s="12"/>
      <c r="J73" s="12"/>
      <c r="K73" s="12"/>
      <c r="L73" s="12"/>
      <c r="M73" s="12"/>
      <c r="N73" s="12"/>
      <c r="O73" s="2730">
        <v>1</v>
      </c>
    </row>
    <row r="74" spans="1:15" ht="21" customHeight="1">
      <c r="A74" s="12"/>
      <c r="B74" s="739" t="s">
        <v>15542</v>
      </c>
      <c r="C74" s="12"/>
      <c r="D74" s="12"/>
      <c r="E74" s="2801"/>
      <c r="F74" s="2801"/>
      <c r="G74" s="2801"/>
      <c r="H74" s="12"/>
      <c r="I74" s="12"/>
      <c r="J74" s="12"/>
      <c r="K74" s="12"/>
      <c r="L74" s="12"/>
      <c r="M74" s="12"/>
      <c r="N74" s="12"/>
      <c r="O74" s="2730">
        <v>1</v>
      </c>
    </row>
    <row r="75" spans="1:15" ht="21" customHeight="1">
      <c r="A75" s="12"/>
      <c r="B75" s="6612" t="s">
        <v>15543</v>
      </c>
      <c r="C75" s="12"/>
      <c r="D75" s="12"/>
      <c r="E75" s="2801"/>
      <c r="F75" s="2801"/>
      <c r="G75" s="2801"/>
      <c r="H75" s="12"/>
      <c r="I75" s="12"/>
      <c r="J75" s="12"/>
      <c r="K75" s="12"/>
      <c r="L75" s="12"/>
      <c r="M75" s="12"/>
      <c r="N75" s="12"/>
      <c r="O75" s="2730">
        <v>1</v>
      </c>
    </row>
    <row r="76" spans="1:15" ht="21" customHeight="1">
      <c r="A76" s="12"/>
      <c r="B76" s="6612" t="s">
        <v>15544</v>
      </c>
      <c r="C76" s="12"/>
      <c r="D76" s="12"/>
      <c r="E76" s="2801"/>
      <c r="F76" s="2801"/>
      <c r="G76" s="2801"/>
      <c r="H76" s="12"/>
      <c r="I76" s="12"/>
      <c r="J76" s="12"/>
      <c r="K76" s="12"/>
      <c r="L76" s="12"/>
      <c r="M76" s="12"/>
      <c r="N76" s="12"/>
      <c r="O76" s="2730">
        <v>1</v>
      </c>
    </row>
    <row r="77" spans="1:15" ht="21" customHeight="1">
      <c r="A77" s="12"/>
      <c r="B77" s="6612"/>
      <c r="C77" s="12"/>
      <c r="D77" s="12"/>
      <c r="E77" s="2801"/>
      <c r="F77" s="2801"/>
      <c r="G77" s="2801"/>
      <c r="H77" s="12"/>
      <c r="I77" s="12"/>
      <c r="J77" s="12"/>
      <c r="K77" s="12"/>
      <c r="L77" s="12"/>
      <c r="M77" s="12"/>
      <c r="N77" s="12"/>
      <c r="O77" s="2730">
        <v>1</v>
      </c>
    </row>
    <row r="78" spans="1:15" ht="21" customHeight="1">
      <c r="A78" s="12"/>
      <c r="B78" s="2970" t="s">
        <v>15545</v>
      </c>
      <c r="C78" s="12"/>
      <c r="D78" s="12"/>
      <c r="E78" s="2801"/>
      <c r="F78" s="2801"/>
      <c r="G78" s="2801"/>
      <c r="H78" s="12"/>
      <c r="I78" s="12"/>
      <c r="J78" s="12"/>
      <c r="K78" s="12"/>
      <c r="L78" s="12"/>
      <c r="M78" s="12"/>
      <c r="N78" s="12"/>
      <c r="O78" s="2730">
        <v>1</v>
      </c>
    </row>
    <row r="79" spans="1:15" ht="21" customHeight="1">
      <c r="A79" s="12"/>
      <c r="B79" s="12"/>
      <c r="C79" s="12"/>
      <c r="D79" s="12"/>
      <c r="E79" s="2801"/>
      <c r="F79" s="2801"/>
      <c r="G79" s="2801"/>
      <c r="H79" s="12"/>
      <c r="I79" s="12"/>
      <c r="J79" s="12"/>
      <c r="K79" s="12"/>
      <c r="L79" s="12"/>
      <c r="M79" s="12"/>
      <c r="N79" s="12"/>
      <c r="O79" s="2730">
        <v>1</v>
      </c>
    </row>
    <row r="80" spans="1:15" ht="21" customHeight="1">
      <c r="A80" s="12"/>
      <c r="B80" s="2970" t="s">
        <v>15546</v>
      </c>
      <c r="C80" s="12"/>
      <c r="D80" s="12"/>
      <c r="E80" s="2801"/>
      <c r="F80" s="2801"/>
      <c r="G80" s="2801"/>
      <c r="H80" s="12"/>
      <c r="I80" s="12"/>
      <c r="J80" s="12"/>
      <c r="K80" s="12"/>
      <c r="L80" s="12"/>
      <c r="M80" s="12"/>
      <c r="N80" s="12"/>
      <c r="O80" s="2730">
        <v>1</v>
      </c>
    </row>
    <row r="81" spans="1:15" ht="21" customHeight="1">
      <c r="A81" s="12"/>
      <c r="B81" s="6609" t="s">
        <v>15547</v>
      </c>
      <c r="C81" s="12"/>
      <c r="D81" s="12"/>
      <c r="E81" s="2801"/>
      <c r="F81" s="2801"/>
      <c r="G81" s="2801"/>
      <c r="H81" s="12"/>
      <c r="I81" s="12"/>
      <c r="J81" s="12"/>
      <c r="K81" s="12"/>
      <c r="L81" s="12"/>
      <c r="M81" s="12"/>
      <c r="N81" s="12"/>
      <c r="O81" s="2730">
        <v>1</v>
      </c>
    </row>
    <row r="82" spans="1:15" ht="21" customHeight="1">
      <c r="A82" s="12"/>
      <c r="B82" s="6609" t="s">
        <v>15548</v>
      </c>
      <c r="C82" s="12"/>
      <c r="D82" s="12"/>
      <c r="E82" s="2801"/>
      <c r="F82" s="2801"/>
      <c r="G82" s="2801"/>
      <c r="H82" s="12"/>
      <c r="I82" s="12"/>
      <c r="J82" s="12"/>
      <c r="K82" s="12"/>
      <c r="L82" s="12"/>
      <c r="M82" s="12"/>
      <c r="N82" s="12"/>
      <c r="O82" s="2730">
        <v>1</v>
      </c>
    </row>
    <row r="83" spans="1:15" ht="21" customHeight="1">
      <c r="A83" s="12"/>
      <c r="B83" s="6609" t="s">
        <v>15549</v>
      </c>
      <c r="C83" s="12"/>
      <c r="D83" s="12"/>
      <c r="E83" s="2801"/>
      <c r="F83" s="2801"/>
      <c r="G83" s="2801"/>
      <c r="H83" s="12"/>
      <c r="I83" s="12"/>
      <c r="J83" s="12"/>
      <c r="K83" s="12"/>
      <c r="L83" s="12"/>
      <c r="M83" s="12"/>
      <c r="N83" s="12"/>
      <c r="O83" s="2730">
        <v>1</v>
      </c>
    </row>
    <row r="84" spans="1:15" ht="21" customHeight="1">
      <c r="A84" s="12"/>
      <c r="B84" s="6609" t="s">
        <v>15550</v>
      </c>
      <c r="C84" s="12"/>
      <c r="D84" s="12"/>
      <c r="E84" s="2801"/>
      <c r="F84" s="2801"/>
      <c r="G84" s="2801"/>
      <c r="H84" s="12"/>
      <c r="I84" s="12"/>
      <c r="J84" s="12"/>
      <c r="K84" s="12"/>
      <c r="L84" s="12"/>
      <c r="M84" s="12"/>
      <c r="N84" s="12"/>
      <c r="O84" s="2730">
        <v>1</v>
      </c>
    </row>
    <row r="85" spans="1:15" ht="21" customHeight="1">
      <c r="A85" s="12"/>
      <c r="B85" s="6609" t="s">
        <v>15551</v>
      </c>
      <c r="C85" s="12"/>
      <c r="D85" s="12"/>
      <c r="E85" s="2801"/>
      <c r="F85" s="2801"/>
      <c r="G85" s="2801"/>
      <c r="H85" s="12"/>
      <c r="I85" s="12"/>
      <c r="J85" s="12"/>
      <c r="K85" s="12"/>
      <c r="L85" s="12"/>
      <c r="M85" s="12"/>
      <c r="N85" s="12"/>
      <c r="O85" s="2730">
        <v>1</v>
      </c>
    </row>
    <row r="86" spans="1:15" ht="21" customHeight="1">
      <c r="A86" s="12"/>
      <c r="B86" s="12"/>
      <c r="C86" s="12"/>
      <c r="D86" s="12"/>
      <c r="E86" s="2801" t="s">
        <v>15552</v>
      </c>
      <c r="F86" s="2801"/>
      <c r="G86" s="2801"/>
      <c r="H86" s="12"/>
      <c r="I86" s="12"/>
      <c r="J86" s="12"/>
      <c r="K86" s="12"/>
      <c r="L86" s="12"/>
      <c r="M86" s="12"/>
      <c r="N86" s="12"/>
      <c r="O86" s="2730">
        <v>1</v>
      </c>
    </row>
    <row r="87" spans="1:15" ht="21" customHeight="1">
      <c r="A87" s="12"/>
      <c r="B87" s="2970" t="s">
        <v>15553</v>
      </c>
      <c r="C87" s="12"/>
      <c r="D87" s="12"/>
      <c r="E87" s="2801"/>
      <c r="F87" s="2801"/>
      <c r="G87" s="2801"/>
      <c r="H87" s="12"/>
      <c r="I87" s="12"/>
      <c r="J87" s="12"/>
      <c r="K87" s="12"/>
      <c r="L87" s="12"/>
      <c r="M87" s="12"/>
      <c r="N87" s="12"/>
      <c r="O87" s="2730">
        <v>1</v>
      </c>
    </row>
    <row r="88" spans="1:15" ht="21" customHeight="1">
      <c r="A88" s="12"/>
      <c r="B88" s="6609" t="s">
        <v>15554</v>
      </c>
      <c r="C88" s="12"/>
      <c r="D88" s="12"/>
      <c r="E88" s="2801"/>
      <c r="F88" s="2801"/>
      <c r="G88" s="2801"/>
      <c r="H88" s="12"/>
      <c r="I88" s="12"/>
      <c r="J88" s="12"/>
      <c r="K88" s="12"/>
      <c r="L88" s="12"/>
      <c r="M88" s="12"/>
      <c r="N88" s="12"/>
      <c r="O88" s="2730">
        <v>1</v>
      </c>
    </row>
    <row r="89" spans="1:15" ht="21" customHeight="1">
      <c r="A89" s="12"/>
      <c r="B89" s="6609" t="s">
        <v>15555</v>
      </c>
      <c r="C89" s="12"/>
      <c r="D89" s="12"/>
      <c r="E89" s="2801"/>
      <c r="F89" s="2801"/>
      <c r="G89" s="2801"/>
      <c r="H89" s="12"/>
      <c r="I89" s="12"/>
      <c r="J89" s="12"/>
      <c r="K89" s="12"/>
      <c r="L89" s="12"/>
      <c r="M89" s="12"/>
      <c r="N89" s="12"/>
      <c r="O89" s="2730">
        <v>1</v>
      </c>
    </row>
    <row r="90" spans="1:15" ht="21" customHeight="1">
      <c r="A90" s="12"/>
      <c r="B90" s="6609" t="s">
        <v>15556</v>
      </c>
      <c r="C90" s="12"/>
      <c r="D90" s="12"/>
      <c r="E90" s="2801"/>
      <c r="F90" s="2801"/>
      <c r="G90" s="2801"/>
      <c r="H90" s="12"/>
      <c r="I90" s="12"/>
      <c r="J90" s="12"/>
      <c r="K90" s="12"/>
      <c r="L90" s="12"/>
      <c r="M90" s="12"/>
      <c r="N90" s="12"/>
      <c r="O90" s="2730">
        <v>1</v>
      </c>
    </row>
    <row r="91" spans="1:15" ht="21" customHeight="1">
      <c r="A91" s="12"/>
      <c r="B91" s="6609" t="s">
        <v>15557</v>
      </c>
      <c r="C91" s="12"/>
      <c r="E91" s="2801"/>
      <c r="F91" s="2801"/>
      <c r="G91" s="2801"/>
      <c r="H91" s="12"/>
      <c r="I91" s="12"/>
      <c r="J91" s="12"/>
      <c r="K91" s="12"/>
      <c r="L91" s="12"/>
      <c r="M91" s="12"/>
      <c r="N91" s="12"/>
      <c r="O91" s="2730">
        <v>1</v>
      </c>
    </row>
    <row r="92" spans="1:15" ht="21" customHeight="1">
      <c r="A92" s="12"/>
      <c r="B92" s="12"/>
      <c r="C92" s="12"/>
      <c r="D92" s="12"/>
      <c r="E92" s="2801"/>
      <c r="F92" s="2801"/>
      <c r="G92" s="2801"/>
      <c r="H92" s="12"/>
      <c r="I92" s="12"/>
      <c r="J92" s="12"/>
      <c r="K92" s="12"/>
      <c r="L92" s="12"/>
      <c r="M92" s="12"/>
      <c r="N92" s="12"/>
      <c r="O92" s="2730">
        <v>1</v>
      </c>
    </row>
    <row r="93" spans="1:15" ht="21" customHeight="1">
      <c r="A93" s="12"/>
      <c r="B93" s="2970" t="s">
        <v>15558</v>
      </c>
      <c r="C93" s="12"/>
      <c r="D93" s="2801"/>
      <c r="E93" s="2801"/>
      <c r="F93" s="2801"/>
      <c r="G93" s="2801"/>
      <c r="H93" s="12"/>
      <c r="I93" s="12"/>
      <c r="J93" s="12"/>
      <c r="K93" s="12"/>
      <c r="L93" s="12"/>
      <c r="M93" s="12"/>
      <c r="N93" s="12"/>
      <c r="O93" s="2730">
        <v>1</v>
      </c>
    </row>
    <row r="94" spans="1:15" ht="21" customHeight="1">
      <c r="A94" s="12"/>
      <c r="B94" s="6609" t="s">
        <v>15559</v>
      </c>
      <c r="C94" s="12"/>
      <c r="D94" s="2801"/>
      <c r="E94" s="2801"/>
      <c r="F94" s="2801"/>
      <c r="G94" s="2801"/>
      <c r="H94" s="12"/>
      <c r="I94" s="12"/>
      <c r="J94" s="12"/>
      <c r="K94" s="12"/>
      <c r="L94" s="12"/>
      <c r="M94" s="12"/>
      <c r="N94" s="12"/>
      <c r="O94" s="2730">
        <v>1</v>
      </c>
    </row>
    <row r="95" spans="1:15" ht="21" customHeight="1">
      <c r="A95" s="12"/>
      <c r="B95" s="6609" t="s">
        <v>15560</v>
      </c>
      <c r="C95" s="12"/>
      <c r="D95" s="2801"/>
      <c r="E95" s="2801"/>
      <c r="F95" s="2801"/>
      <c r="G95" s="2801"/>
      <c r="H95" s="12"/>
      <c r="I95" s="12"/>
      <c r="J95" s="12"/>
      <c r="K95" s="12"/>
      <c r="L95" s="12"/>
      <c r="M95" s="12"/>
      <c r="N95" s="12"/>
      <c r="O95" s="2730">
        <v>1</v>
      </c>
    </row>
    <row r="96" spans="1:15" ht="21" customHeight="1">
      <c r="A96" s="12"/>
      <c r="B96" s="6609" t="s">
        <v>15561</v>
      </c>
      <c r="C96" s="12"/>
      <c r="D96" s="2801"/>
      <c r="E96" s="2801"/>
      <c r="F96" s="12"/>
      <c r="G96" s="12"/>
      <c r="H96" s="12"/>
      <c r="I96" s="12"/>
      <c r="J96" s="12"/>
      <c r="K96" s="12"/>
      <c r="L96" s="12"/>
      <c r="M96" s="12"/>
      <c r="N96" s="12"/>
      <c r="O96" s="2730">
        <v>1</v>
      </c>
    </row>
    <row r="97" spans="1:15" ht="21" customHeight="1">
      <c r="A97" s="12"/>
      <c r="B97" s="6609" t="s">
        <v>15562</v>
      </c>
      <c r="C97" s="12"/>
      <c r="D97" s="2801"/>
      <c r="E97" s="2801"/>
      <c r="F97" s="2801"/>
      <c r="G97" s="2801"/>
      <c r="H97" s="12"/>
      <c r="I97" s="12"/>
      <c r="J97" s="12"/>
      <c r="K97" s="12"/>
      <c r="L97" s="12"/>
      <c r="M97" s="12"/>
      <c r="N97" s="12"/>
      <c r="O97" s="2730">
        <v>1</v>
      </c>
    </row>
    <row r="98" spans="1:15" ht="21" customHeight="1">
      <c r="A98" s="12"/>
      <c r="B98" s="716"/>
      <c r="C98" s="12"/>
      <c r="D98" s="2801"/>
      <c r="E98" s="2801"/>
      <c r="F98" s="2801"/>
      <c r="G98" s="2801"/>
      <c r="H98" s="12"/>
      <c r="I98" s="12"/>
      <c r="J98" s="12"/>
      <c r="K98" s="12"/>
      <c r="L98" s="12"/>
      <c r="M98" s="12"/>
      <c r="N98" s="12"/>
      <c r="O98" s="2730">
        <v>1</v>
      </c>
    </row>
    <row r="99" spans="1:15" ht="21" customHeight="1">
      <c r="A99" s="12"/>
      <c r="B99" s="2970" t="s">
        <v>15563</v>
      </c>
      <c r="C99" s="12"/>
      <c r="D99" s="2801"/>
      <c r="E99" s="2801"/>
      <c r="F99" s="2801"/>
      <c r="G99" s="2801"/>
      <c r="H99" s="12"/>
      <c r="I99" s="12"/>
      <c r="J99" s="12"/>
      <c r="K99" s="12"/>
      <c r="L99" s="12"/>
      <c r="M99" s="12"/>
      <c r="N99" s="12"/>
      <c r="O99" s="2730">
        <v>1</v>
      </c>
    </row>
    <row r="100" spans="1:15" ht="21" customHeight="1">
      <c r="A100" s="12"/>
      <c r="B100" s="6609" t="s">
        <v>15564</v>
      </c>
      <c r="C100" s="12"/>
      <c r="D100" s="2801"/>
      <c r="E100" s="2801"/>
      <c r="F100" s="2801"/>
      <c r="G100" s="2801"/>
      <c r="H100" s="12"/>
      <c r="I100" s="12"/>
      <c r="J100" s="12"/>
      <c r="K100" s="12"/>
      <c r="L100" s="12"/>
      <c r="M100" s="12"/>
      <c r="N100" s="12"/>
      <c r="O100" s="2730">
        <v>1</v>
      </c>
    </row>
    <row r="101" spans="1:15" ht="21" customHeight="1">
      <c r="A101" s="12"/>
      <c r="B101" s="6609" t="s">
        <v>15565</v>
      </c>
      <c r="C101" s="12"/>
      <c r="D101" s="2801"/>
      <c r="E101" s="2801"/>
      <c r="F101" s="2801"/>
      <c r="G101" s="2801"/>
      <c r="H101" s="12"/>
      <c r="I101" s="12"/>
      <c r="J101" s="12"/>
      <c r="K101" s="12"/>
      <c r="L101" s="12"/>
      <c r="M101" s="12"/>
      <c r="N101" s="12"/>
      <c r="O101" s="2730">
        <v>1</v>
      </c>
    </row>
    <row r="102" spans="1:15" ht="21" customHeight="1">
      <c r="A102" s="12"/>
      <c r="B102" s="739" t="s">
        <v>15566</v>
      </c>
      <c r="C102" s="12"/>
      <c r="D102" s="12"/>
      <c r="E102" s="12"/>
      <c r="F102" s="12"/>
      <c r="G102" s="12"/>
      <c r="H102" s="12"/>
      <c r="I102" s="12"/>
      <c r="J102" s="12"/>
      <c r="K102" s="12"/>
      <c r="L102" s="12"/>
      <c r="M102" s="12"/>
      <c r="N102" s="12"/>
      <c r="O102" s="2730">
        <v>1</v>
      </c>
    </row>
    <row r="103" spans="1:15" ht="21" customHeight="1">
      <c r="A103" s="12">
        <f>ROW()</f>
        <v>103</v>
      </c>
      <c r="B103" s="2801"/>
      <c r="C103" s="12"/>
      <c r="D103" s="12"/>
      <c r="E103" s="12"/>
      <c r="F103" s="12"/>
      <c r="G103" s="12"/>
      <c r="H103" s="12"/>
      <c r="I103" s="12"/>
      <c r="J103" s="12"/>
      <c r="K103" s="12"/>
      <c r="L103" s="12"/>
      <c r="M103" s="12"/>
      <c r="N103" s="12"/>
      <c r="O103" s="2730">
        <v>1</v>
      </c>
    </row>
    <row r="104" spans="1:15" ht="21" customHeight="1">
      <c r="A104" s="12"/>
      <c r="B104" s="2970" t="s">
        <v>15567</v>
      </c>
      <c r="C104" s="12"/>
      <c r="D104" s="12"/>
      <c r="E104" s="12"/>
      <c r="F104" s="12"/>
      <c r="G104" s="12"/>
      <c r="H104" s="12"/>
      <c r="I104" s="12"/>
      <c r="J104" s="12"/>
      <c r="K104" s="12"/>
      <c r="L104" s="12"/>
      <c r="M104" s="12"/>
      <c r="N104" s="12"/>
      <c r="O104" s="2730">
        <v>1</v>
      </c>
    </row>
    <row r="105" spans="1:15" ht="21" customHeight="1">
      <c r="A105" s="12"/>
      <c r="B105" s="6612" t="s">
        <v>15568</v>
      </c>
      <c r="C105" s="12"/>
      <c r="D105" s="12"/>
      <c r="E105" s="12"/>
      <c r="F105" s="12"/>
      <c r="G105" s="12"/>
      <c r="H105" s="12"/>
      <c r="I105" s="12"/>
      <c r="J105" s="12"/>
      <c r="K105" s="12"/>
      <c r="L105" s="12"/>
      <c r="M105" s="12"/>
      <c r="N105" s="12"/>
      <c r="O105" s="2730">
        <v>1</v>
      </c>
    </row>
    <row r="106" spans="1:15" ht="21" customHeight="1" thickBot="1">
      <c r="A106" s="12"/>
      <c r="B106" s="6612" t="s">
        <v>15569</v>
      </c>
      <c r="C106" s="12"/>
      <c r="D106" s="12"/>
      <c r="E106" s="12"/>
      <c r="F106" s="12"/>
      <c r="G106" s="12"/>
      <c r="H106" s="12"/>
      <c r="I106" s="12"/>
      <c r="J106" s="12"/>
      <c r="K106" s="12"/>
      <c r="L106" s="12"/>
      <c r="M106" s="12"/>
      <c r="N106" s="12"/>
      <c r="O106" s="2730">
        <v>1</v>
      </c>
    </row>
    <row r="107" spans="1:15" ht="21" customHeight="1" thickBot="1">
      <c r="A107" s="12"/>
      <c r="B107" s="6621" t="s">
        <v>15570</v>
      </c>
      <c r="C107" s="6622">
        <f>1/2</f>
        <v>0.5</v>
      </c>
      <c r="D107" s="12" t="str">
        <f ca="1">"◄ "&amp; _xlfn.FORMULATEXT(C107)</f>
        <v>◄ =1/2</v>
      </c>
      <c r="E107" s="12"/>
      <c r="F107" s="12"/>
      <c r="G107" s="12"/>
      <c r="H107" s="12"/>
      <c r="I107" s="12"/>
      <c r="J107" s="12"/>
      <c r="K107" s="12"/>
      <c r="L107" s="12"/>
      <c r="M107" s="12"/>
      <c r="N107" s="12"/>
      <c r="O107" s="2730">
        <v>1</v>
      </c>
    </row>
    <row r="108" spans="1:15" ht="21" customHeight="1">
      <c r="A108" s="12"/>
      <c r="B108" s="739" t="s">
        <v>15571</v>
      </c>
      <c r="C108" s="12"/>
      <c r="D108" s="12"/>
      <c r="E108" s="12"/>
      <c r="F108" s="12"/>
      <c r="G108" s="12"/>
      <c r="H108" s="12"/>
      <c r="I108" s="12"/>
      <c r="J108" s="12"/>
      <c r="K108" s="12"/>
      <c r="L108" s="12"/>
      <c r="M108" s="12"/>
      <c r="N108" s="12"/>
      <c r="O108" s="2730">
        <v>1</v>
      </c>
    </row>
    <row r="109" spans="1:15" ht="21" customHeight="1">
      <c r="A109" s="12"/>
      <c r="B109" s="739" t="s">
        <v>15572</v>
      </c>
      <c r="C109" s="2801"/>
      <c r="D109" s="12"/>
      <c r="E109" s="12"/>
      <c r="F109" s="12"/>
      <c r="G109" s="12"/>
      <c r="H109" s="12"/>
      <c r="I109" s="12"/>
      <c r="J109" s="12"/>
      <c r="K109" s="12"/>
      <c r="L109" s="12"/>
      <c r="M109" s="12"/>
      <c r="N109" s="12"/>
      <c r="O109" s="2730">
        <v>1</v>
      </c>
    </row>
    <row r="110" spans="1:15" ht="21" customHeight="1">
      <c r="A110" s="12"/>
      <c r="B110" s="739" t="s">
        <v>15573</v>
      </c>
      <c r="C110" s="12"/>
      <c r="D110" s="12"/>
      <c r="E110" s="12"/>
      <c r="F110" s="12"/>
      <c r="G110" s="12"/>
      <c r="H110" s="12"/>
      <c r="I110" s="12"/>
      <c r="J110" s="12"/>
      <c r="K110" s="12"/>
      <c r="L110" s="12"/>
      <c r="M110" s="12"/>
      <c r="N110" s="12"/>
      <c r="O110" s="2730">
        <v>1</v>
      </c>
    </row>
    <row r="111" spans="1:15" ht="21" customHeight="1">
      <c r="A111" s="12"/>
      <c r="B111" s="6609" t="s">
        <v>15574</v>
      </c>
      <c r="C111" s="12"/>
      <c r="D111" s="12"/>
      <c r="E111" s="12"/>
      <c r="F111" s="12"/>
      <c r="G111" s="12"/>
      <c r="H111" s="12"/>
      <c r="I111" s="12"/>
      <c r="J111" s="12"/>
      <c r="K111" s="12"/>
      <c r="L111" s="12"/>
      <c r="M111" s="12"/>
      <c r="N111" s="12"/>
      <c r="O111" s="2730">
        <v>1</v>
      </c>
    </row>
    <row r="112" spans="1:15" ht="21" customHeight="1">
      <c r="A112" s="12"/>
      <c r="B112" s="6609" t="s">
        <v>15575</v>
      </c>
      <c r="C112" s="12"/>
      <c r="D112" s="12"/>
      <c r="E112" s="12"/>
      <c r="F112" s="12"/>
      <c r="G112" s="12"/>
      <c r="H112" s="12"/>
      <c r="I112" s="12"/>
      <c r="J112" s="12"/>
      <c r="K112" s="12"/>
      <c r="L112" s="12"/>
      <c r="M112" s="12"/>
      <c r="N112" s="12"/>
      <c r="O112" s="2730">
        <v>1</v>
      </c>
    </row>
    <row r="113" spans="1:15" ht="21" customHeight="1">
      <c r="A113" s="12"/>
      <c r="B113" s="2801"/>
      <c r="C113" s="2801"/>
      <c r="D113" s="12"/>
      <c r="E113" s="12"/>
      <c r="F113" s="12"/>
      <c r="G113" s="12"/>
      <c r="H113" s="12"/>
      <c r="I113" s="12"/>
      <c r="J113" s="12"/>
      <c r="K113" s="12"/>
      <c r="L113" s="12"/>
      <c r="M113" s="12"/>
      <c r="N113" s="12"/>
      <c r="O113" s="2730">
        <v>1</v>
      </c>
    </row>
    <row r="114" spans="1:15" ht="21" customHeight="1">
      <c r="A114" s="12"/>
      <c r="B114" s="2970" t="s">
        <v>15576</v>
      </c>
      <c r="C114" s="2801"/>
      <c r="D114" s="12"/>
      <c r="E114" s="12"/>
      <c r="F114" s="12"/>
      <c r="G114" s="12"/>
      <c r="H114" s="12"/>
      <c r="I114" s="12"/>
      <c r="J114" s="12"/>
      <c r="K114" s="12"/>
      <c r="L114" s="12"/>
      <c r="M114" s="12"/>
      <c r="N114" s="12"/>
      <c r="O114" s="2730">
        <v>1</v>
      </c>
    </row>
    <row r="115" spans="1:15" ht="21" customHeight="1">
      <c r="A115" s="12"/>
      <c r="B115" s="6609" t="s">
        <v>15577</v>
      </c>
      <c r="C115" s="2801"/>
      <c r="D115" s="12"/>
      <c r="E115" s="12"/>
      <c r="F115" s="12"/>
      <c r="G115" s="12"/>
      <c r="H115" s="12"/>
      <c r="I115" s="12"/>
      <c r="J115" s="12"/>
      <c r="K115" s="12"/>
      <c r="L115" s="12"/>
      <c r="M115" s="12"/>
      <c r="N115" s="12"/>
      <c r="O115" s="2730">
        <v>1</v>
      </c>
    </row>
    <row r="116" spans="1:15" ht="21" customHeight="1">
      <c r="A116" s="12"/>
      <c r="B116" s="6609" t="s">
        <v>15578</v>
      </c>
      <c r="C116" s="2801"/>
      <c r="D116" s="12"/>
      <c r="E116" s="12"/>
      <c r="F116" s="12"/>
      <c r="G116" s="12"/>
      <c r="H116" s="12"/>
      <c r="I116" s="12"/>
      <c r="J116" s="12"/>
      <c r="K116" s="12"/>
      <c r="L116" s="12"/>
      <c r="M116" s="12"/>
      <c r="N116" s="12"/>
      <c r="O116" s="2730">
        <v>1</v>
      </c>
    </row>
    <row r="117" spans="1:15" ht="21" customHeight="1">
      <c r="A117" s="6623" t="str">
        <f>ADDRESS(ROW(B117),COLUMN(B117),4)&amp;" ►"</f>
        <v>B117 ►</v>
      </c>
      <c r="B117" s="6615" t="str">
        <f ca="1">"sur cet ordinateur, version Excel interne : "&amp;INFO("version")</f>
        <v>sur cet ordinateur, version Excel interne : 16.0</v>
      </c>
      <c r="C117" s="2801"/>
      <c r="D117" s="12"/>
      <c r="E117" s="12"/>
      <c r="F117" s="12"/>
      <c r="G117" s="12"/>
      <c r="H117" s="12"/>
      <c r="I117" s="12"/>
      <c r="J117" s="12"/>
      <c r="K117" s="12"/>
      <c r="L117" s="12"/>
      <c r="M117" s="12"/>
      <c r="N117" s="12"/>
      <c r="O117" s="2730">
        <v>1</v>
      </c>
    </row>
    <row r="118" spans="1:15" ht="21" customHeight="1">
      <c r="A118" s="12"/>
      <c r="B118" s="6609" t="str">
        <f>"Si la cellule "&amp;ADDRESS(ROW(B117),COLUMN(B117),4)&amp;" affiche le long message ""version trop ancienne"" ou si "&amp;ADDRESS(ROW(B117),COLUMN(B117),4)&amp;" = #NOM? → Excel trop ancien."</f>
        <v>Si la cellule B117 affiche le long message "version trop ancienne" ou si B117 = #NOM? → Excel trop ancien.</v>
      </c>
      <c r="C118" s="12"/>
      <c r="D118" s="12"/>
      <c r="E118" s="12"/>
      <c r="F118" s="12"/>
      <c r="G118" s="12"/>
      <c r="H118" s="12"/>
      <c r="I118" s="12"/>
      <c r="J118" s="12"/>
      <c r="K118" s="12"/>
      <c r="L118" s="12"/>
      <c r="M118" s="12"/>
      <c r="N118" s="12"/>
      <c r="O118" s="2730">
        <v>1</v>
      </c>
    </row>
    <row r="119" spans="1:15" ht="21" customHeight="1">
      <c r="A119" s="12"/>
      <c r="B119" s="2865" t="str">
        <f>"1 ◄ Cliquez dans la cellule "&amp;ADDRESS(ROW(B71),COLUMN(B71),4)</f>
        <v>1 ◄ Cliquez dans la cellule B71</v>
      </c>
      <c r="C119" s="12"/>
      <c r="D119" s="12"/>
      <c r="E119" s="12"/>
      <c r="F119" s="12"/>
      <c r="G119" s="12"/>
      <c r="H119" s="12"/>
      <c r="I119" s="12"/>
      <c r="J119" s="12"/>
      <c r="K119" s="12"/>
      <c r="L119" s="12"/>
      <c r="M119" s="12"/>
      <c r="N119" s="12"/>
      <c r="O119" s="2730">
        <v>1</v>
      </c>
    </row>
    <row r="120" spans="1:15" ht="21" customHeight="1">
      <c r="A120" s="12"/>
      <c r="B120" s="2865"/>
      <c r="C120" s="12"/>
      <c r="D120" s="12"/>
      <c r="E120" s="12"/>
      <c r="F120" s="12"/>
      <c r="G120" s="12"/>
      <c r="H120" s="12"/>
      <c r="I120" s="12"/>
      <c r="J120" s="12"/>
      <c r="K120" s="12"/>
      <c r="L120" s="12"/>
      <c r="M120" s="12"/>
      <c r="N120" s="12"/>
      <c r="O120" s="2730">
        <v>1</v>
      </c>
    </row>
    <row r="121" spans="1:15" ht="21" customHeight="1">
      <c r="A121" s="12"/>
      <c r="B121" s="2970" t="s">
        <v>15579</v>
      </c>
      <c r="C121" s="2801"/>
      <c r="D121" s="12"/>
      <c r="E121" s="12"/>
      <c r="F121" s="12"/>
      <c r="G121" s="12"/>
      <c r="H121" s="12"/>
      <c r="I121" s="12"/>
      <c r="J121" s="12"/>
      <c r="K121" s="12"/>
      <c r="L121" s="12"/>
      <c r="M121" s="12"/>
      <c r="N121" s="12"/>
      <c r="O121" s="2730">
        <v>1</v>
      </c>
    </row>
    <row r="122" spans="1:15" ht="21" customHeight="1">
      <c r="A122" s="12"/>
      <c r="B122" s="739" t="s">
        <v>15580</v>
      </c>
      <c r="C122" s="12"/>
      <c r="D122" s="12"/>
      <c r="E122" s="12"/>
      <c r="F122" s="12"/>
      <c r="G122" s="12"/>
      <c r="H122" s="12"/>
      <c r="I122" s="12"/>
      <c r="J122" s="12"/>
      <c r="K122" s="12"/>
      <c r="L122" s="12"/>
      <c r="M122" s="12"/>
      <c r="N122" s="12"/>
      <c r="O122" s="2730">
        <v>1</v>
      </c>
    </row>
    <row r="123" spans="1:15" ht="21" customHeight="1">
      <c r="A123" s="12"/>
      <c r="B123" s="6609" t="s">
        <v>15581</v>
      </c>
      <c r="C123" s="12"/>
      <c r="D123" s="12"/>
      <c r="E123" s="12"/>
      <c r="F123" s="12"/>
      <c r="G123" s="12"/>
      <c r="H123" s="12"/>
      <c r="I123" s="12"/>
      <c r="J123" s="12"/>
      <c r="K123" s="12"/>
      <c r="L123" s="12"/>
      <c r="M123" s="12"/>
      <c r="N123" s="12"/>
      <c r="O123" s="2730">
        <v>1</v>
      </c>
    </row>
    <row r="124" spans="1:15" ht="21" customHeight="1">
      <c r="A124" s="12"/>
      <c r="B124" s="6609"/>
      <c r="C124" s="12"/>
      <c r="D124" s="12"/>
      <c r="E124" s="12"/>
      <c r="F124" s="12"/>
      <c r="G124" s="12"/>
      <c r="H124" s="12"/>
      <c r="I124" s="12"/>
      <c r="J124" s="12"/>
      <c r="K124" s="12"/>
      <c r="L124" s="12"/>
      <c r="M124" s="12"/>
      <c r="N124" s="12"/>
      <c r="O124" s="2730">
        <v>1</v>
      </c>
    </row>
    <row r="125" spans="1:15" ht="21" customHeight="1">
      <c r="A125" s="12"/>
      <c r="B125" s="6609" t="s">
        <v>15582</v>
      </c>
      <c r="C125" s="12"/>
      <c r="D125" s="12"/>
      <c r="E125" s="12"/>
      <c r="F125" s="12"/>
      <c r="G125" s="12"/>
      <c r="H125" s="12"/>
      <c r="I125" s="12"/>
      <c r="J125" s="12"/>
      <c r="K125" s="12"/>
      <c r="L125" s="12"/>
      <c r="M125" s="12"/>
      <c r="N125" s="12"/>
      <c r="O125" s="2730">
        <v>1</v>
      </c>
    </row>
    <row r="126" spans="1:15" ht="21" customHeight="1">
      <c r="A126" s="12"/>
      <c r="B126" s="6609" t="s">
        <v>15583</v>
      </c>
      <c r="C126" s="12"/>
      <c r="D126" s="12"/>
      <c r="E126" s="12"/>
      <c r="F126" s="12"/>
      <c r="G126" s="12"/>
      <c r="H126" s="12"/>
      <c r="I126" s="12"/>
      <c r="J126" s="12"/>
      <c r="K126" s="12"/>
      <c r="L126" s="12"/>
      <c r="M126" s="12"/>
      <c r="N126" s="12"/>
      <c r="O126" s="2730">
        <v>1</v>
      </c>
    </row>
    <row r="127" spans="1:15" ht="21" customHeight="1">
      <c r="A127" s="12"/>
      <c r="B127" s="6609"/>
      <c r="C127" s="12"/>
      <c r="D127" s="12"/>
      <c r="E127" s="12"/>
      <c r="F127" s="12"/>
      <c r="G127" s="12"/>
      <c r="H127" s="12"/>
      <c r="I127" s="12"/>
      <c r="J127" s="12"/>
      <c r="K127" s="12"/>
      <c r="L127" s="12"/>
      <c r="M127" s="12"/>
      <c r="N127" s="12"/>
      <c r="O127" s="2730">
        <v>1</v>
      </c>
    </row>
    <row r="128" spans="1:15" ht="21" customHeight="1">
      <c r="A128" s="12"/>
      <c r="B128" s="6609" t="s">
        <v>15584</v>
      </c>
      <c r="C128" s="12"/>
      <c r="D128" s="12"/>
      <c r="E128" s="12"/>
      <c r="F128" s="12"/>
      <c r="G128" s="12"/>
      <c r="H128" s="12"/>
      <c r="I128" s="12"/>
      <c r="J128" s="12"/>
      <c r="K128" s="12"/>
      <c r="L128" s="12"/>
      <c r="M128" s="12"/>
      <c r="N128" s="12"/>
      <c r="O128" s="2730">
        <v>1</v>
      </c>
    </row>
    <row r="129" spans="1:15" ht="21" customHeight="1">
      <c r="A129" s="12"/>
      <c r="B129" s="6609" t="s">
        <v>15585</v>
      </c>
      <c r="C129" s="12"/>
      <c r="D129" s="12"/>
      <c r="E129" s="12"/>
      <c r="F129" s="12"/>
      <c r="G129" s="12"/>
      <c r="H129" s="12"/>
      <c r="I129" s="12"/>
      <c r="J129" s="12"/>
      <c r="K129" s="12"/>
      <c r="L129" s="12"/>
      <c r="M129" s="12"/>
      <c r="N129" s="12"/>
      <c r="O129" s="2730">
        <v>1</v>
      </c>
    </row>
    <row r="130" spans="1:15" ht="21" customHeight="1">
      <c r="A130" s="12"/>
      <c r="B130" s="6609" t="s">
        <v>15586</v>
      </c>
      <c r="C130" s="12"/>
      <c r="D130" s="12"/>
      <c r="E130" s="12"/>
      <c r="F130" s="12"/>
      <c r="G130" s="12"/>
      <c r="H130" s="12"/>
      <c r="I130" s="12"/>
      <c r="J130" s="12"/>
      <c r="K130" s="12"/>
      <c r="L130" s="12"/>
      <c r="M130" s="12"/>
      <c r="N130" s="12"/>
      <c r="O130" s="2730">
        <v>1</v>
      </c>
    </row>
    <row r="131" spans="1:15" ht="21" customHeight="1">
      <c r="A131" s="12"/>
      <c r="B131" s="6609" t="s">
        <v>15587</v>
      </c>
      <c r="C131" s="12"/>
      <c r="D131" s="12"/>
      <c r="E131" s="12"/>
      <c r="F131" s="12"/>
      <c r="G131" s="12"/>
      <c r="H131" s="12"/>
      <c r="I131" s="12"/>
      <c r="J131" s="12"/>
      <c r="K131" s="12"/>
      <c r="L131" s="12"/>
      <c r="M131" s="12"/>
      <c r="N131" s="12"/>
      <c r="O131" s="2730">
        <v>1</v>
      </c>
    </row>
    <row r="132" spans="1:15" ht="21" customHeight="1">
      <c r="A132" s="12"/>
      <c r="B132" s="6609"/>
      <c r="C132" s="12"/>
      <c r="D132" s="12"/>
      <c r="E132" s="12"/>
      <c r="F132" s="12"/>
      <c r="G132" s="12"/>
      <c r="H132" s="12"/>
      <c r="I132" s="12"/>
      <c r="J132" s="12"/>
      <c r="K132" s="12"/>
      <c r="L132" s="12"/>
      <c r="M132" s="12"/>
      <c r="N132" s="12"/>
      <c r="O132" s="2730">
        <v>1</v>
      </c>
    </row>
    <row r="133" spans="1:15" ht="21" customHeight="1">
      <c r="A133" s="12"/>
      <c r="B133" s="2970" t="s">
        <v>15553</v>
      </c>
      <c r="C133" s="12"/>
      <c r="D133" s="6618"/>
      <c r="E133" s="12"/>
      <c r="F133" s="12"/>
      <c r="G133" s="12"/>
      <c r="H133" s="12"/>
      <c r="I133" s="12"/>
      <c r="J133" s="12"/>
      <c r="K133" s="12"/>
      <c r="L133" s="12"/>
      <c r="M133" s="12"/>
      <c r="N133" s="12"/>
      <c r="O133" s="2730">
        <v>1</v>
      </c>
    </row>
    <row r="134" spans="1:15" ht="21" customHeight="1">
      <c r="A134" s="12"/>
      <c r="B134" s="6612" t="s">
        <v>15554</v>
      </c>
      <c r="C134" s="12"/>
      <c r="D134" s="12"/>
      <c r="E134" s="12"/>
      <c r="F134" s="12"/>
      <c r="G134" s="12"/>
      <c r="H134" s="12"/>
      <c r="I134" s="12"/>
      <c r="J134" s="12"/>
      <c r="K134" s="12"/>
      <c r="L134" s="12"/>
      <c r="M134" s="12"/>
      <c r="N134" s="12"/>
      <c r="O134" s="2730">
        <v>1</v>
      </c>
    </row>
    <row r="135" spans="1:15" ht="21" customHeight="1">
      <c r="A135" s="12"/>
      <c r="B135" s="6612" t="s">
        <v>15588</v>
      </c>
      <c r="C135" s="12"/>
      <c r="D135" s="12"/>
      <c r="E135" s="12"/>
      <c r="F135" s="12"/>
      <c r="G135" s="12"/>
      <c r="H135" s="12"/>
      <c r="I135" s="12"/>
      <c r="J135" s="12"/>
      <c r="K135" s="12"/>
      <c r="L135" s="12"/>
      <c r="M135" s="12"/>
      <c r="N135" s="12"/>
      <c r="O135" s="2730">
        <v>1</v>
      </c>
    </row>
    <row r="136" spans="1:15" ht="21" customHeight="1">
      <c r="A136" s="12"/>
      <c r="B136" s="6612" t="s">
        <v>15589</v>
      </c>
      <c r="C136" s="12"/>
      <c r="D136" s="12"/>
      <c r="E136" s="12"/>
      <c r="F136" s="12"/>
      <c r="G136" s="12"/>
      <c r="H136" s="12"/>
      <c r="I136" s="12"/>
      <c r="J136" s="12"/>
      <c r="K136" s="12"/>
      <c r="L136" s="12"/>
      <c r="M136" s="12"/>
      <c r="N136" s="12"/>
      <c r="O136" s="2730">
        <v>1</v>
      </c>
    </row>
    <row r="137" spans="1:15" ht="21" customHeight="1">
      <c r="A137" s="12"/>
      <c r="B137" s="6612" t="s">
        <v>15590</v>
      </c>
      <c r="C137" s="12"/>
      <c r="D137" s="12"/>
      <c r="E137" s="12"/>
      <c r="F137" s="12"/>
      <c r="G137" s="12"/>
      <c r="H137" s="12"/>
      <c r="I137" s="12"/>
      <c r="J137" s="12"/>
      <c r="K137" s="12"/>
      <c r="L137" s="12"/>
      <c r="M137" s="12"/>
      <c r="N137" s="12"/>
      <c r="O137" s="2730">
        <v>1</v>
      </c>
    </row>
    <row r="138" spans="1:15" ht="21" customHeight="1">
      <c r="A138" s="12"/>
      <c r="B138" s="6609"/>
      <c r="C138" s="12"/>
      <c r="D138" s="12"/>
      <c r="E138" s="12"/>
      <c r="F138" s="12"/>
      <c r="G138" s="12"/>
      <c r="H138" s="12"/>
      <c r="I138" s="12"/>
      <c r="J138" s="12"/>
      <c r="K138" s="12"/>
      <c r="L138" s="12"/>
      <c r="M138" s="12"/>
      <c r="N138" s="12"/>
      <c r="O138" s="2730">
        <v>1</v>
      </c>
    </row>
    <row r="139" spans="1:15" ht="21" customHeight="1">
      <c r="A139" s="12"/>
      <c r="B139" s="2970" t="s">
        <v>15558</v>
      </c>
      <c r="C139" s="12"/>
      <c r="D139" s="12"/>
      <c r="E139" s="12"/>
      <c r="F139" s="12"/>
      <c r="G139" s="12"/>
      <c r="H139" s="12"/>
      <c r="I139" s="12"/>
      <c r="J139" s="12"/>
      <c r="K139" s="12"/>
      <c r="L139" s="12"/>
      <c r="M139" s="12"/>
      <c r="N139" s="12"/>
      <c r="O139" s="2730">
        <v>1</v>
      </c>
    </row>
    <row r="140" spans="1:15" ht="21" customHeight="1">
      <c r="A140" s="12"/>
      <c r="B140" s="6612" t="s">
        <v>15591</v>
      </c>
      <c r="C140" s="12"/>
      <c r="D140" s="12"/>
      <c r="E140" s="12"/>
      <c r="F140" s="12"/>
      <c r="G140" s="12"/>
      <c r="H140" s="12"/>
      <c r="I140" s="12"/>
      <c r="J140" s="12"/>
      <c r="K140" s="12"/>
      <c r="L140" s="12"/>
      <c r="M140" s="12"/>
      <c r="N140" s="12"/>
      <c r="O140" s="2730">
        <v>1</v>
      </c>
    </row>
    <row r="141" spans="1:15" ht="21" customHeight="1">
      <c r="A141" s="12"/>
      <c r="B141" s="6612" t="s">
        <v>15592</v>
      </c>
      <c r="C141" s="12"/>
      <c r="D141" s="12"/>
      <c r="E141" s="12"/>
      <c r="F141" s="12"/>
      <c r="G141" s="12"/>
      <c r="H141" s="12"/>
      <c r="I141" s="12"/>
      <c r="J141" s="12"/>
      <c r="K141" s="12"/>
      <c r="L141" s="12"/>
      <c r="M141" s="12"/>
      <c r="N141" s="12"/>
      <c r="O141" s="2730">
        <v>1</v>
      </c>
    </row>
    <row r="142" spans="1:15" ht="21" customHeight="1">
      <c r="A142" s="12"/>
      <c r="B142" s="6612" t="s">
        <v>15593</v>
      </c>
      <c r="C142" s="12"/>
      <c r="D142" s="12"/>
      <c r="E142" s="12"/>
      <c r="F142" s="12"/>
      <c r="G142" s="12"/>
      <c r="H142" s="12"/>
      <c r="I142" s="12"/>
      <c r="J142" s="12"/>
      <c r="K142" s="12"/>
      <c r="L142" s="12"/>
      <c r="M142" s="12"/>
      <c r="N142" s="12"/>
      <c r="O142" s="2730">
        <v>1</v>
      </c>
    </row>
    <row r="143" spans="1:15" ht="21" customHeight="1">
      <c r="A143" s="12"/>
      <c r="B143" s="6613" t="s">
        <v>15594</v>
      </c>
      <c r="C143" s="12"/>
      <c r="D143" s="12"/>
      <c r="E143" s="12"/>
      <c r="F143" s="12"/>
      <c r="G143" s="12"/>
      <c r="H143" s="12"/>
      <c r="I143" s="12"/>
      <c r="J143" s="12"/>
      <c r="K143" s="12"/>
      <c r="L143" s="12"/>
      <c r="M143" s="12"/>
      <c r="N143" s="12"/>
      <c r="O143" s="2730">
        <v>1</v>
      </c>
    </row>
    <row r="144" spans="1:15" ht="21" customHeight="1">
      <c r="A144" s="12"/>
      <c r="B144" s="6612"/>
      <c r="C144" s="12"/>
      <c r="D144" s="12"/>
      <c r="E144" s="12"/>
      <c r="F144" s="12"/>
      <c r="G144" s="12"/>
      <c r="H144" s="12"/>
      <c r="I144" s="12"/>
      <c r="J144" s="12"/>
      <c r="K144" s="12"/>
      <c r="L144" s="12"/>
      <c r="M144" s="12"/>
      <c r="N144" s="12"/>
      <c r="O144" s="2730">
        <v>1</v>
      </c>
    </row>
    <row r="145" spans="1:15" ht="21" customHeight="1">
      <c r="A145" s="12"/>
      <c r="B145" s="2970" t="s">
        <v>15595</v>
      </c>
      <c r="C145" s="12"/>
      <c r="D145" s="12"/>
      <c r="E145" s="12"/>
      <c r="F145" s="12"/>
      <c r="G145" s="12"/>
      <c r="H145" s="12"/>
      <c r="I145" s="12"/>
      <c r="J145" s="12"/>
      <c r="K145" s="12"/>
      <c r="L145" s="12"/>
      <c r="M145" s="12"/>
      <c r="N145" s="12"/>
      <c r="O145" s="2730">
        <v>1</v>
      </c>
    </row>
    <row r="146" spans="1:15" ht="21" customHeight="1">
      <c r="A146" s="12"/>
      <c r="B146" s="6613" t="s">
        <v>15596</v>
      </c>
      <c r="C146" s="12"/>
      <c r="D146" s="12"/>
      <c r="E146" s="12"/>
      <c r="F146" s="12"/>
      <c r="G146" s="12"/>
      <c r="H146" s="12"/>
      <c r="I146" s="12"/>
      <c r="J146" s="12"/>
      <c r="K146" s="12"/>
      <c r="L146" s="12"/>
      <c r="M146" s="12"/>
      <c r="N146" s="12"/>
      <c r="O146" s="2730">
        <v>1</v>
      </c>
    </row>
    <row r="147" spans="1:15" ht="21" customHeight="1">
      <c r="A147" s="12"/>
      <c r="B147" s="6613" t="s">
        <v>15597</v>
      </c>
      <c r="C147" s="12"/>
      <c r="D147" s="12"/>
      <c r="E147" s="12"/>
      <c r="F147" s="12"/>
      <c r="G147" s="12"/>
      <c r="H147" s="12"/>
      <c r="I147" s="12"/>
      <c r="J147" s="12"/>
      <c r="K147" s="12"/>
      <c r="L147" s="12"/>
      <c r="M147" s="12"/>
      <c r="N147" s="12"/>
      <c r="O147" s="2730">
        <v>1</v>
      </c>
    </row>
    <row r="148" spans="1:15" ht="21" customHeight="1">
      <c r="A148" s="12"/>
      <c r="B148" s="6612" t="s">
        <v>15598</v>
      </c>
      <c r="C148" s="12"/>
      <c r="D148" s="12"/>
      <c r="E148" s="12"/>
      <c r="F148" s="12"/>
      <c r="G148" s="12"/>
      <c r="H148" s="12"/>
      <c r="I148" s="12"/>
      <c r="J148" s="12"/>
      <c r="K148" s="12"/>
      <c r="L148" s="12"/>
      <c r="M148" s="12"/>
      <c r="N148" s="12"/>
      <c r="O148" s="2730">
        <v>1</v>
      </c>
    </row>
    <row r="149" spans="1:15" ht="21" customHeight="1">
      <c r="A149" s="12"/>
      <c r="B149" s="6609"/>
      <c r="C149" s="12"/>
      <c r="D149" s="12"/>
      <c r="E149" s="12"/>
      <c r="F149" s="12"/>
      <c r="G149" s="12"/>
      <c r="H149" s="12"/>
      <c r="I149" s="12"/>
      <c r="J149" s="12"/>
      <c r="K149" s="12"/>
      <c r="L149" s="12"/>
      <c r="M149" s="12"/>
      <c r="N149" s="12"/>
      <c r="O149" s="2730">
        <v>1</v>
      </c>
    </row>
    <row r="150" spans="1:15" ht="21" customHeight="1">
      <c r="A150" s="12"/>
      <c r="B150" s="6624" t="s">
        <v>15599</v>
      </c>
      <c r="C150" s="12"/>
      <c r="D150" s="12"/>
      <c r="E150" s="12"/>
      <c r="F150" s="12"/>
      <c r="G150" s="12"/>
      <c r="H150" s="12"/>
      <c r="I150" s="12"/>
      <c r="J150" s="12"/>
      <c r="K150" s="12"/>
      <c r="L150" s="12"/>
      <c r="M150" s="12"/>
      <c r="N150" s="12"/>
      <c r="O150" s="2730">
        <v>1</v>
      </c>
    </row>
    <row r="151" spans="1:15" ht="21" customHeight="1">
      <c r="A151" s="12"/>
      <c r="B151" s="6624" t="s">
        <v>15600</v>
      </c>
      <c r="C151" s="12"/>
      <c r="D151" s="12"/>
      <c r="E151" s="12"/>
      <c r="F151" s="12"/>
      <c r="G151" s="12"/>
      <c r="H151" s="12"/>
      <c r="I151" s="12"/>
      <c r="J151" s="12"/>
      <c r="K151" s="12"/>
      <c r="L151" s="12"/>
      <c r="M151" s="12"/>
      <c r="N151" s="12"/>
      <c r="O151" s="2730">
        <v>1</v>
      </c>
    </row>
    <row r="152" spans="1:15" ht="21" customHeight="1">
      <c r="A152" s="6625"/>
      <c r="B152" s="6625"/>
      <c r="C152" s="6625"/>
      <c r="D152" s="6625"/>
      <c r="E152" s="6625"/>
      <c r="F152" s="6625"/>
      <c r="G152" s="6625"/>
      <c r="H152" s="6625"/>
      <c r="I152" s="6625"/>
      <c r="J152" s="6625"/>
      <c r="K152" s="6625"/>
      <c r="L152" s="6625"/>
      <c r="M152" s="6625"/>
      <c r="N152" s="6625"/>
      <c r="O152" s="2730">
        <v>1</v>
      </c>
    </row>
    <row r="153" spans="1:15" ht="21" customHeight="1">
      <c r="A153" s="12"/>
      <c r="B153" s="2970" t="s">
        <v>15601</v>
      </c>
      <c r="C153" s="12"/>
      <c r="D153" s="12"/>
      <c r="E153" s="12"/>
      <c r="F153" s="12"/>
      <c r="G153" s="12"/>
      <c r="H153" s="12"/>
      <c r="I153" s="12"/>
      <c r="J153" s="12"/>
      <c r="K153" s="12"/>
      <c r="L153" s="12"/>
      <c r="M153" s="12"/>
      <c r="N153" s="12"/>
      <c r="O153" s="2730">
        <v>1</v>
      </c>
    </row>
    <row r="154" spans="1:15" ht="21" customHeight="1">
      <c r="A154" s="12"/>
      <c r="B154" s="6609" t="s">
        <v>15602</v>
      </c>
      <c r="C154" s="12"/>
      <c r="D154" s="12"/>
      <c r="E154" s="12"/>
      <c r="F154" s="12"/>
      <c r="G154" s="12"/>
      <c r="H154" s="12"/>
      <c r="I154" s="12"/>
      <c r="J154" s="12"/>
      <c r="K154" s="12"/>
      <c r="L154" s="12"/>
      <c r="M154" s="12"/>
      <c r="N154" s="12"/>
      <c r="O154" s="2730">
        <v>1</v>
      </c>
    </row>
    <row r="155" spans="1:15" ht="21" customHeight="1">
      <c r="A155" s="12"/>
      <c r="B155" s="6609"/>
      <c r="C155" s="12"/>
      <c r="D155" s="12"/>
      <c r="E155" s="12"/>
      <c r="F155" s="12"/>
      <c r="G155" s="12"/>
      <c r="H155" s="12"/>
      <c r="I155" s="12"/>
      <c r="J155" s="12"/>
      <c r="K155" s="12"/>
      <c r="L155" s="12"/>
      <c r="M155" s="12"/>
      <c r="N155" s="12"/>
      <c r="O155" s="2730">
        <v>1</v>
      </c>
    </row>
    <row r="156" spans="1:15" ht="21" customHeight="1">
      <c r="A156" s="12"/>
      <c r="B156" s="6609" t="s">
        <v>15603</v>
      </c>
      <c r="C156" s="12"/>
      <c r="D156" s="12"/>
      <c r="E156" s="12"/>
      <c r="F156" s="12"/>
      <c r="G156" s="12"/>
      <c r="H156" s="12"/>
      <c r="I156" s="12"/>
      <c r="J156" s="12"/>
      <c r="K156" s="12"/>
      <c r="L156" s="12"/>
      <c r="M156" s="12"/>
      <c r="N156" s="12"/>
      <c r="O156" s="2730">
        <v>1</v>
      </c>
    </row>
    <row r="157" spans="1:15" ht="21" customHeight="1">
      <c r="A157" s="12"/>
      <c r="B157" s="6609" t="s">
        <v>15604</v>
      </c>
      <c r="C157" s="12"/>
      <c r="D157" s="12"/>
      <c r="E157" s="12"/>
      <c r="F157" s="12"/>
      <c r="G157" s="12"/>
      <c r="H157" s="12"/>
      <c r="I157" s="12"/>
      <c r="J157" s="12"/>
      <c r="K157" s="12"/>
      <c r="L157" s="12"/>
      <c r="M157" s="12"/>
      <c r="N157" s="12"/>
      <c r="O157" s="2730">
        <v>1</v>
      </c>
    </row>
    <row r="158" spans="1:15" ht="21" customHeight="1">
      <c r="A158" s="12"/>
      <c r="B158" s="6609"/>
      <c r="C158" s="12"/>
      <c r="D158" s="12"/>
      <c r="E158" s="12"/>
      <c r="F158" s="12"/>
      <c r="G158" s="12"/>
      <c r="H158" s="12"/>
      <c r="I158" s="12"/>
      <c r="J158" s="12"/>
      <c r="K158" s="12"/>
      <c r="L158" s="12"/>
      <c r="M158" s="12"/>
      <c r="N158" s="12"/>
      <c r="O158" s="2730">
        <v>1</v>
      </c>
    </row>
    <row r="159" spans="1:15" ht="21" customHeight="1">
      <c r="A159" s="12"/>
      <c r="B159" s="2970" t="s">
        <v>15605</v>
      </c>
      <c r="C159" s="12"/>
      <c r="D159" s="12"/>
      <c r="E159" s="12"/>
      <c r="F159" s="12"/>
      <c r="G159" s="12"/>
      <c r="H159" s="12"/>
      <c r="I159" s="12"/>
      <c r="J159" s="12"/>
      <c r="K159" s="12"/>
      <c r="L159" s="12"/>
      <c r="M159" s="12"/>
      <c r="N159" s="12"/>
      <c r="O159" s="2730">
        <v>1</v>
      </c>
    </row>
    <row r="160" spans="1:15" ht="21" customHeight="1">
      <c r="A160" s="12"/>
      <c r="B160" s="6612" t="s">
        <v>15606</v>
      </c>
      <c r="C160" s="12"/>
      <c r="D160" s="12"/>
      <c r="E160" s="12"/>
      <c r="F160" s="12"/>
      <c r="G160" s="12"/>
      <c r="H160" s="12"/>
      <c r="I160" s="12"/>
      <c r="J160" s="12"/>
      <c r="K160" s="12"/>
      <c r="L160" s="12"/>
      <c r="M160" s="12"/>
      <c r="N160" s="12"/>
      <c r="O160" s="2730">
        <v>1</v>
      </c>
    </row>
    <row r="161" spans="1:15" ht="21" customHeight="1">
      <c r="A161" s="12"/>
      <c r="B161" s="6612" t="s">
        <v>15607</v>
      </c>
      <c r="C161" s="12"/>
      <c r="D161" s="12"/>
      <c r="E161" s="12"/>
      <c r="F161" s="12"/>
      <c r="G161" s="12"/>
      <c r="H161" s="12"/>
      <c r="I161" s="12"/>
      <c r="J161" s="12"/>
      <c r="K161" s="12"/>
      <c r="L161" s="12"/>
      <c r="M161" s="12"/>
      <c r="N161" s="12"/>
      <c r="O161" s="2730">
        <v>1</v>
      </c>
    </row>
    <row r="162" spans="1:15" ht="21" customHeight="1">
      <c r="A162" s="12"/>
      <c r="B162" s="6612" t="s">
        <v>15608</v>
      </c>
      <c r="C162" s="12"/>
      <c r="D162" s="12"/>
      <c r="E162" s="12"/>
      <c r="F162" s="12"/>
      <c r="G162" s="12"/>
      <c r="H162" s="12"/>
      <c r="I162" s="12"/>
      <c r="J162" s="12"/>
      <c r="K162" s="12"/>
      <c r="L162" s="12"/>
      <c r="M162" s="12"/>
      <c r="N162" s="12"/>
      <c r="O162" s="2730">
        <v>1</v>
      </c>
    </row>
    <row r="163" spans="1:15" ht="21" customHeight="1">
      <c r="A163" s="12"/>
      <c r="B163" s="6612" t="s">
        <v>15609</v>
      </c>
      <c r="C163" s="12"/>
      <c r="D163" s="12"/>
      <c r="E163" s="12"/>
      <c r="F163" s="12"/>
      <c r="G163" s="12"/>
      <c r="H163" s="12"/>
      <c r="I163" s="12"/>
      <c r="J163" s="12"/>
      <c r="K163" s="12"/>
      <c r="L163" s="12"/>
      <c r="M163" s="12"/>
      <c r="N163" s="12"/>
      <c r="O163" s="2730">
        <v>1</v>
      </c>
    </row>
    <row r="164" spans="1:15" ht="21" customHeight="1">
      <c r="A164" s="12"/>
      <c r="B164" s="6609"/>
      <c r="C164" s="12"/>
      <c r="D164" s="12"/>
      <c r="E164" s="12"/>
      <c r="F164" s="12"/>
      <c r="G164" s="12"/>
      <c r="H164" s="12"/>
      <c r="I164" s="12"/>
      <c r="J164" s="12"/>
      <c r="K164" s="12"/>
      <c r="L164" s="12"/>
      <c r="M164" s="12"/>
      <c r="N164" s="12"/>
      <c r="O164" s="2730">
        <v>1</v>
      </c>
    </row>
    <row r="165" spans="1:15" ht="21" customHeight="1">
      <c r="A165" s="12"/>
      <c r="B165" s="2970" t="s">
        <v>15610</v>
      </c>
      <c r="C165" s="12"/>
      <c r="D165" s="12"/>
      <c r="E165" s="12"/>
      <c r="F165" s="12"/>
      <c r="G165" s="12"/>
      <c r="H165" s="12"/>
      <c r="I165" s="12"/>
      <c r="J165" s="12"/>
      <c r="K165" s="12"/>
      <c r="L165" s="12"/>
      <c r="M165" s="12"/>
      <c r="N165" s="12"/>
      <c r="O165" s="2730">
        <v>1</v>
      </c>
    </row>
    <row r="166" spans="1:15" ht="21" customHeight="1">
      <c r="A166" s="12"/>
      <c r="B166" s="6612" t="s">
        <v>15611</v>
      </c>
      <c r="C166" s="12"/>
      <c r="D166" s="12"/>
      <c r="E166" s="12"/>
      <c r="F166" s="12"/>
      <c r="G166" s="12"/>
      <c r="H166" s="12"/>
      <c r="I166" s="12"/>
      <c r="J166" s="12"/>
      <c r="K166" s="12"/>
      <c r="L166" s="12"/>
      <c r="M166" s="12"/>
      <c r="N166" s="12"/>
      <c r="O166" s="2730">
        <v>1</v>
      </c>
    </row>
    <row r="167" spans="1:15" ht="21" customHeight="1">
      <c r="A167" s="12"/>
      <c r="B167" s="6612" t="s">
        <v>15612</v>
      </c>
      <c r="C167" s="12"/>
      <c r="D167" s="12"/>
      <c r="E167" s="12"/>
      <c r="F167" s="12"/>
      <c r="G167" s="12"/>
      <c r="H167" s="12"/>
      <c r="I167" s="12"/>
      <c r="J167" s="12"/>
      <c r="K167" s="12"/>
      <c r="L167" s="12"/>
      <c r="M167" s="12"/>
      <c r="N167" s="12"/>
      <c r="O167" s="2730">
        <v>1</v>
      </c>
    </row>
    <row r="168" spans="1:15" ht="21" customHeight="1">
      <c r="A168" s="12"/>
      <c r="B168" s="6612" t="s">
        <v>15613</v>
      </c>
      <c r="C168" s="12"/>
      <c r="D168" s="12"/>
      <c r="E168" s="12"/>
      <c r="F168" s="12"/>
      <c r="G168" s="12"/>
      <c r="H168" s="12"/>
      <c r="I168" s="12"/>
      <c r="J168" s="12"/>
      <c r="K168" s="12"/>
      <c r="L168" s="12"/>
      <c r="M168" s="12"/>
      <c r="N168" s="12"/>
      <c r="O168" s="2730">
        <v>1</v>
      </c>
    </row>
    <row r="169" spans="1:15" ht="21" customHeight="1">
      <c r="A169" s="12"/>
      <c r="B169" s="6612" t="s">
        <v>15614</v>
      </c>
      <c r="C169" s="12"/>
      <c r="D169" s="12"/>
      <c r="E169" s="12"/>
      <c r="F169" s="12"/>
      <c r="G169" s="12"/>
      <c r="H169" s="12"/>
      <c r="I169" s="12"/>
      <c r="J169" s="12"/>
      <c r="K169" s="12"/>
      <c r="L169" s="12"/>
      <c r="M169" s="12"/>
      <c r="N169" s="12"/>
      <c r="O169" s="2730">
        <v>1</v>
      </c>
    </row>
    <row r="170" spans="1:15" ht="21" customHeight="1">
      <c r="A170" s="12"/>
      <c r="B170" s="6609"/>
      <c r="C170" s="12"/>
      <c r="D170" s="12"/>
      <c r="E170" s="12"/>
      <c r="F170" s="12"/>
      <c r="G170" s="12"/>
      <c r="H170" s="12"/>
      <c r="I170" s="12"/>
      <c r="J170" s="12"/>
      <c r="K170" s="12"/>
      <c r="L170" s="12"/>
      <c r="M170" s="12"/>
      <c r="N170" s="12"/>
      <c r="O170" s="2730">
        <v>1</v>
      </c>
    </row>
    <row r="171" spans="1:15" ht="21" customHeight="1">
      <c r="A171" s="12"/>
      <c r="B171" s="2970" t="s">
        <v>15615</v>
      </c>
      <c r="C171" s="12"/>
      <c r="D171" s="12"/>
      <c r="E171" s="12"/>
      <c r="F171" s="12"/>
      <c r="G171" s="12"/>
      <c r="H171" s="12"/>
      <c r="I171" s="12"/>
      <c r="J171" s="12"/>
      <c r="K171" s="12"/>
      <c r="L171" s="12"/>
      <c r="M171" s="12"/>
      <c r="N171" s="12"/>
      <c r="O171" s="2730">
        <v>1</v>
      </c>
    </row>
    <row r="172" spans="1:15" ht="21" customHeight="1">
      <c r="A172" s="12"/>
      <c r="B172" s="6612" t="s">
        <v>15616</v>
      </c>
      <c r="C172" s="12"/>
      <c r="D172" s="12"/>
      <c r="E172" s="12"/>
      <c r="F172" s="12"/>
      <c r="G172" s="12"/>
      <c r="H172" s="12"/>
      <c r="I172" s="12"/>
      <c r="J172" s="12"/>
      <c r="K172" s="12"/>
      <c r="L172" s="12"/>
      <c r="M172" s="12"/>
      <c r="N172" s="12"/>
      <c r="O172" s="2730">
        <v>1</v>
      </c>
    </row>
    <row r="173" spans="1:15" ht="21" customHeight="1">
      <c r="A173" s="12"/>
      <c r="B173" s="6612" t="s">
        <v>15617</v>
      </c>
      <c r="C173" s="12"/>
      <c r="D173" s="12"/>
      <c r="E173" s="12"/>
      <c r="F173" s="12"/>
      <c r="G173" s="12"/>
      <c r="H173" s="12"/>
      <c r="I173" s="12"/>
      <c r="J173" s="12"/>
      <c r="K173" s="12"/>
      <c r="L173" s="12"/>
      <c r="M173" s="12"/>
      <c r="N173" s="12"/>
      <c r="O173" s="2730">
        <v>1</v>
      </c>
    </row>
    <row r="174" spans="1:15" ht="21" customHeight="1">
      <c r="A174" s="12"/>
      <c r="B174" s="6612" t="s">
        <v>15618</v>
      </c>
      <c r="C174" s="12"/>
      <c r="D174" s="12"/>
      <c r="E174" s="12"/>
      <c r="F174" s="12"/>
      <c r="G174" s="12"/>
      <c r="H174" s="12"/>
      <c r="I174" s="12"/>
      <c r="J174" s="12"/>
      <c r="K174" s="12"/>
      <c r="L174" s="12"/>
      <c r="M174" s="12"/>
      <c r="N174" s="12"/>
      <c r="O174" s="2730">
        <v>1</v>
      </c>
    </row>
    <row r="175" spans="1:15" ht="21" customHeight="1">
      <c r="A175" s="12"/>
      <c r="B175" s="6612"/>
      <c r="C175" s="12"/>
      <c r="D175" s="12"/>
      <c r="E175" s="12"/>
      <c r="F175" s="12"/>
      <c r="G175" s="12"/>
      <c r="H175" s="12"/>
      <c r="I175" s="12"/>
      <c r="J175" s="12"/>
      <c r="K175" s="12"/>
      <c r="L175" s="12"/>
      <c r="M175" s="12"/>
      <c r="N175" s="12"/>
      <c r="O175" s="2730">
        <v>1</v>
      </c>
    </row>
    <row r="176" spans="1:15" ht="21" customHeight="1">
      <c r="A176" s="12"/>
      <c r="B176" s="6626" t="s">
        <v>15619</v>
      </c>
      <c r="C176" s="12"/>
      <c r="D176" s="12"/>
      <c r="E176" s="12"/>
      <c r="F176" s="12"/>
      <c r="G176" s="12"/>
      <c r="H176" s="12"/>
      <c r="I176" s="12"/>
      <c r="J176" s="12"/>
      <c r="K176" s="12"/>
      <c r="L176" s="12"/>
      <c r="M176" s="12"/>
      <c r="N176" s="12"/>
      <c r="O176" s="2730">
        <v>1</v>
      </c>
    </row>
    <row r="177" spans="1:15" ht="21" customHeight="1">
      <c r="A177" s="12"/>
      <c r="B177" s="6609" t="s">
        <v>15620</v>
      </c>
      <c r="C177" s="12"/>
      <c r="D177" s="12"/>
      <c r="E177" s="12"/>
      <c r="F177" s="12"/>
      <c r="G177" s="12"/>
      <c r="H177" s="12"/>
      <c r="I177" s="12"/>
      <c r="J177" s="12"/>
      <c r="K177" s="12"/>
      <c r="L177" s="12"/>
      <c r="M177" s="12"/>
      <c r="N177" s="12"/>
      <c r="O177" s="2730">
        <v>1</v>
      </c>
    </row>
    <row r="178" spans="1:15" ht="21" customHeight="1">
      <c r="A178" s="12"/>
      <c r="B178" s="6610" t="s">
        <v>15621</v>
      </c>
      <c r="C178" s="12"/>
      <c r="D178" s="12"/>
      <c r="E178" s="12"/>
      <c r="F178" s="12"/>
      <c r="G178" s="12"/>
      <c r="H178" s="12"/>
      <c r="I178" s="12"/>
      <c r="J178" s="12"/>
      <c r="K178" s="12"/>
      <c r="L178" s="12"/>
      <c r="M178" s="12"/>
      <c r="N178" s="12"/>
      <c r="O178" s="2730">
        <v>1</v>
      </c>
    </row>
    <row r="179" spans="1:15" ht="21" customHeight="1">
      <c r="A179" s="12"/>
      <c r="B179" s="6610" t="s">
        <v>15622</v>
      </c>
      <c r="C179" s="12"/>
      <c r="D179" s="12"/>
      <c r="E179" s="12"/>
      <c r="F179" s="12"/>
      <c r="G179" s="12"/>
      <c r="H179" s="12"/>
      <c r="I179" s="12"/>
      <c r="J179" s="12"/>
      <c r="K179" s="12"/>
      <c r="L179" s="12"/>
      <c r="M179" s="12"/>
      <c r="N179" s="12"/>
      <c r="O179" s="2730">
        <v>1</v>
      </c>
    </row>
    <row r="180" spans="1:15" ht="21" customHeight="1">
      <c r="A180" s="12"/>
      <c r="B180" s="6609" t="s">
        <v>15623</v>
      </c>
      <c r="C180" s="12"/>
      <c r="D180" s="12"/>
      <c r="E180" s="12"/>
      <c r="F180" s="12"/>
      <c r="G180" s="12"/>
      <c r="H180" s="12"/>
      <c r="I180" s="12"/>
      <c r="J180" s="12"/>
      <c r="K180" s="12"/>
      <c r="L180" s="12"/>
      <c r="M180" s="12"/>
      <c r="N180" s="12"/>
      <c r="O180" s="2730">
        <v>1</v>
      </c>
    </row>
    <row r="181" spans="1:15" ht="21" customHeight="1">
      <c r="A181" s="12"/>
      <c r="B181" s="6609"/>
      <c r="C181" s="12"/>
      <c r="D181" s="12"/>
      <c r="E181" s="12"/>
      <c r="F181" s="12"/>
      <c r="G181" s="12"/>
      <c r="H181" s="12"/>
      <c r="I181" s="12"/>
      <c r="J181" s="12"/>
      <c r="K181" s="12"/>
      <c r="L181" s="12"/>
      <c r="M181" s="12"/>
      <c r="N181" s="12"/>
      <c r="O181" s="2730">
        <v>1</v>
      </c>
    </row>
    <row r="182" spans="1:15" ht="21" customHeight="1">
      <c r="A182" s="12"/>
      <c r="B182" s="2970" t="s">
        <v>15624</v>
      </c>
      <c r="C182" s="12"/>
      <c r="D182" s="12"/>
      <c r="E182" s="12"/>
      <c r="F182" s="12"/>
      <c r="G182" s="12"/>
      <c r="H182" s="12"/>
      <c r="I182" s="12"/>
      <c r="J182" s="12"/>
      <c r="K182" s="12"/>
      <c r="L182" s="12"/>
      <c r="M182" s="12"/>
      <c r="N182" s="12"/>
      <c r="O182" s="2730">
        <v>1</v>
      </c>
    </row>
    <row r="183" spans="1:15" ht="21" customHeight="1">
      <c r="A183" s="12"/>
      <c r="B183" s="6612" t="s">
        <v>15625</v>
      </c>
      <c r="C183" s="12"/>
      <c r="D183" s="12"/>
      <c r="E183" s="12"/>
      <c r="F183" s="12"/>
      <c r="G183" s="12"/>
      <c r="H183" s="12"/>
      <c r="I183" s="12"/>
      <c r="J183" s="12"/>
      <c r="K183" s="12"/>
      <c r="L183" s="12"/>
      <c r="M183" s="12"/>
      <c r="N183" s="12"/>
      <c r="O183" s="2730">
        <v>1</v>
      </c>
    </row>
    <row r="184" spans="1:15" ht="21" customHeight="1">
      <c r="A184" s="12"/>
      <c r="B184" s="6612" t="s">
        <v>15626</v>
      </c>
      <c r="C184" s="12"/>
      <c r="D184" s="12"/>
      <c r="E184" s="12"/>
      <c r="F184" s="12"/>
      <c r="G184" s="12"/>
      <c r="H184" s="12"/>
      <c r="I184" s="12"/>
      <c r="J184" s="12"/>
      <c r="K184" s="12"/>
      <c r="L184" s="12"/>
      <c r="M184" s="12"/>
      <c r="N184" s="12"/>
      <c r="O184" s="2730">
        <v>1</v>
      </c>
    </row>
    <row r="185" spans="1:15" ht="21" customHeight="1">
      <c r="A185" s="12"/>
      <c r="B185" s="6609"/>
      <c r="C185" s="12"/>
      <c r="D185" s="12"/>
      <c r="E185" s="12"/>
      <c r="F185" s="12"/>
      <c r="G185" s="12"/>
      <c r="H185" s="12"/>
      <c r="I185" s="12"/>
      <c r="J185" s="12"/>
      <c r="K185" s="12"/>
      <c r="L185" s="12"/>
      <c r="M185" s="12"/>
      <c r="N185" s="12"/>
      <c r="O185" s="2730">
        <v>1</v>
      </c>
    </row>
    <row r="186" spans="1:15" ht="21" customHeight="1">
      <c r="A186" s="12"/>
      <c r="B186" s="6609" t="s">
        <v>15627</v>
      </c>
      <c r="C186" s="12"/>
      <c r="D186" s="12"/>
      <c r="E186" s="12"/>
      <c r="F186" s="12"/>
      <c r="G186" s="12"/>
      <c r="H186" s="12"/>
      <c r="I186" s="12"/>
      <c r="J186" s="12"/>
      <c r="K186" s="12"/>
      <c r="L186" s="12"/>
      <c r="M186" s="12"/>
      <c r="N186" s="12"/>
      <c r="O186" s="2730">
        <v>1</v>
      </c>
    </row>
    <row r="187" spans="1:15" ht="21" customHeight="1">
      <c r="A187" s="12"/>
      <c r="B187" s="12"/>
      <c r="C187" s="12"/>
      <c r="D187" s="12"/>
      <c r="E187" s="12"/>
      <c r="F187" s="12"/>
      <c r="G187" s="12"/>
      <c r="H187" s="12"/>
      <c r="I187" s="12"/>
      <c r="J187" s="12"/>
      <c r="K187" s="12"/>
      <c r="L187" s="12"/>
      <c r="M187" s="12"/>
      <c r="N187" s="12"/>
      <c r="O187" s="2730">
        <v>1</v>
      </c>
    </row>
    <row r="188" spans="1:15" ht="21" customHeight="1">
      <c r="A188" s="6625"/>
      <c r="B188" s="6625"/>
      <c r="C188" s="6625"/>
      <c r="D188" s="6625"/>
      <c r="E188" s="6625"/>
      <c r="F188" s="6625"/>
      <c r="G188" s="6625"/>
      <c r="H188" s="6625"/>
      <c r="I188" s="6625"/>
      <c r="J188" s="6625"/>
      <c r="K188" s="6625"/>
      <c r="L188" s="6625"/>
      <c r="M188" s="6625"/>
      <c r="N188" s="6625"/>
      <c r="O188" s="2730">
        <v>1</v>
      </c>
    </row>
    <row r="189" spans="1:15" ht="21" customHeight="1">
      <c r="A189" s="12"/>
      <c r="B189" s="2970" t="s">
        <v>15628</v>
      </c>
      <c r="C189" s="12"/>
      <c r="D189" s="12"/>
      <c r="E189" s="12"/>
      <c r="F189" s="12"/>
      <c r="G189" s="12"/>
      <c r="H189" s="12"/>
      <c r="I189" s="12"/>
      <c r="J189" s="12"/>
      <c r="K189" s="12"/>
      <c r="L189" s="12"/>
      <c r="M189" s="12"/>
      <c r="N189" s="12"/>
      <c r="O189" s="2730">
        <v>1</v>
      </c>
    </row>
    <row r="190" spans="1:15" ht="21" customHeight="1">
      <c r="A190" s="12"/>
      <c r="B190" s="2970"/>
      <c r="C190" s="12"/>
      <c r="D190" s="12"/>
      <c r="E190" s="12"/>
      <c r="F190" s="12"/>
      <c r="G190" s="12"/>
      <c r="H190" s="12"/>
      <c r="I190" s="12"/>
      <c r="J190" s="12"/>
      <c r="K190" s="12"/>
      <c r="L190" s="12"/>
      <c r="M190" s="12"/>
      <c r="N190" s="12"/>
      <c r="O190" s="2730">
        <v>1</v>
      </c>
    </row>
    <row r="191" spans="1:15" ht="21" customHeight="1">
      <c r="A191" s="12"/>
      <c r="B191" s="6609" t="s">
        <v>15629</v>
      </c>
      <c r="C191" s="12"/>
      <c r="D191" s="12"/>
      <c r="E191" s="12"/>
      <c r="F191" s="12"/>
      <c r="G191" s="12"/>
      <c r="H191" s="12"/>
      <c r="I191" s="12"/>
      <c r="J191" s="12"/>
      <c r="K191" s="12"/>
      <c r="L191" s="12"/>
      <c r="M191" s="12"/>
      <c r="N191" s="12"/>
      <c r="O191" s="2730">
        <v>1</v>
      </c>
    </row>
    <row r="192" spans="1:15" ht="21" customHeight="1">
      <c r="A192" s="12"/>
      <c r="B192" s="6609" t="s">
        <v>15630</v>
      </c>
      <c r="C192" s="12"/>
      <c r="D192" s="12"/>
      <c r="E192" s="12"/>
      <c r="F192" s="12"/>
      <c r="G192" s="12"/>
      <c r="H192" s="12"/>
      <c r="I192" s="12"/>
      <c r="J192" s="12"/>
      <c r="K192" s="12"/>
      <c r="L192" s="12"/>
      <c r="M192" s="12"/>
      <c r="N192" s="12"/>
      <c r="O192" s="2730">
        <v>1</v>
      </c>
    </row>
    <row r="193" spans="1:15" ht="21" customHeight="1">
      <c r="A193" s="12"/>
      <c r="B193" s="6613" t="s">
        <v>15631</v>
      </c>
      <c r="C193" s="12"/>
      <c r="D193" s="12"/>
      <c r="E193" s="12"/>
      <c r="F193" s="12"/>
      <c r="G193" s="12"/>
      <c r="H193" s="12"/>
      <c r="I193" s="12"/>
      <c r="J193" s="12"/>
      <c r="K193" s="12"/>
      <c r="L193" s="12"/>
      <c r="M193" s="12"/>
      <c r="N193" s="12"/>
      <c r="O193" s="2730">
        <v>1</v>
      </c>
    </row>
    <row r="194" spans="1:15" ht="21" customHeight="1">
      <c r="A194" s="12"/>
      <c r="B194" s="6613" t="s">
        <v>15632</v>
      </c>
      <c r="C194" s="12"/>
      <c r="D194" s="12"/>
      <c r="E194" s="12"/>
      <c r="F194" s="12"/>
      <c r="G194" s="12"/>
      <c r="H194" s="12"/>
      <c r="I194" s="12"/>
      <c r="J194" s="12"/>
      <c r="K194" s="12"/>
      <c r="L194" s="12"/>
      <c r="M194" s="12"/>
      <c r="N194" s="12"/>
      <c r="O194" s="2730">
        <v>1</v>
      </c>
    </row>
    <row r="195" spans="1:15" ht="21" customHeight="1">
      <c r="A195" s="12"/>
      <c r="B195" s="6613" t="s">
        <v>15633</v>
      </c>
      <c r="C195" s="12"/>
      <c r="D195" s="12"/>
      <c r="E195" s="12"/>
      <c r="F195" s="12"/>
      <c r="G195" s="12"/>
      <c r="H195" s="12"/>
      <c r="I195" s="12"/>
      <c r="J195" s="12"/>
      <c r="K195" s="12"/>
      <c r="L195" s="12"/>
      <c r="M195" s="12"/>
      <c r="N195" s="12"/>
      <c r="O195" s="2730">
        <v>1</v>
      </c>
    </row>
    <row r="196" spans="1:15" ht="21" customHeight="1">
      <c r="A196" s="12"/>
      <c r="B196" s="6609" t="s">
        <v>15634</v>
      </c>
      <c r="C196" s="12"/>
      <c r="D196" s="12"/>
      <c r="E196" s="12"/>
      <c r="F196" s="12"/>
      <c r="G196" s="12"/>
      <c r="H196" s="12"/>
      <c r="I196" s="12"/>
      <c r="J196" s="12"/>
      <c r="K196" s="12"/>
      <c r="L196" s="12"/>
      <c r="M196" s="12"/>
      <c r="N196" s="12"/>
      <c r="O196" s="2730">
        <v>1</v>
      </c>
    </row>
    <row r="197" spans="1:15" ht="21" customHeight="1">
      <c r="A197" s="12"/>
      <c r="B197" s="6609" t="s">
        <v>15635</v>
      </c>
      <c r="C197" s="12"/>
      <c r="D197" s="12"/>
      <c r="E197" s="12"/>
      <c r="F197" s="12"/>
      <c r="G197" s="12"/>
      <c r="H197" s="12"/>
      <c r="I197" s="12"/>
      <c r="J197" s="12"/>
      <c r="K197" s="12"/>
      <c r="L197" s="12"/>
      <c r="M197" s="12"/>
      <c r="N197" s="12"/>
      <c r="O197" s="2730">
        <v>1</v>
      </c>
    </row>
    <row r="198" spans="1:15" ht="21" customHeight="1">
      <c r="A198" s="12"/>
      <c r="B198" s="12"/>
      <c r="C198" s="12"/>
      <c r="D198" s="12"/>
      <c r="E198" s="12"/>
      <c r="F198" s="12"/>
      <c r="G198" s="12"/>
      <c r="H198" s="12"/>
      <c r="I198" s="12"/>
      <c r="J198" s="12"/>
      <c r="K198" s="12"/>
      <c r="L198" s="12"/>
      <c r="M198" s="12"/>
      <c r="N198" s="12"/>
      <c r="O198" s="2730">
        <v>1</v>
      </c>
    </row>
    <row r="199" spans="1:15" ht="21" customHeight="1">
      <c r="A199" s="12"/>
      <c r="B199" s="6627" t="s">
        <v>15636</v>
      </c>
      <c r="C199" s="12"/>
      <c r="D199" s="12"/>
      <c r="E199" s="12"/>
      <c r="F199" s="12"/>
      <c r="G199" s="12"/>
      <c r="H199" s="12"/>
      <c r="I199" s="12"/>
      <c r="J199" s="12"/>
      <c r="K199" s="12"/>
      <c r="L199" s="12"/>
      <c r="M199" s="12"/>
      <c r="N199" s="12"/>
      <c r="O199" s="2730">
        <v>1</v>
      </c>
    </row>
    <row r="200" spans="1:15" ht="21" customHeight="1">
      <c r="A200" s="12"/>
      <c r="B200" s="6609" t="s">
        <v>15637</v>
      </c>
      <c r="C200" s="12"/>
      <c r="D200" s="12"/>
      <c r="E200" s="12"/>
      <c r="F200" s="12"/>
      <c r="G200" s="12"/>
      <c r="H200" s="12"/>
      <c r="I200" s="12"/>
      <c r="J200" s="12"/>
      <c r="K200" s="12"/>
      <c r="L200" s="12"/>
      <c r="M200" s="12"/>
      <c r="N200" s="12"/>
      <c r="O200" s="2730">
        <v>1</v>
      </c>
    </row>
    <row r="201" spans="1:15" ht="21" customHeight="1">
      <c r="A201" s="12"/>
      <c r="B201" s="6609" t="s">
        <v>15638</v>
      </c>
      <c r="C201" s="12"/>
      <c r="D201" s="12"/>
      <c r="E201" s="12"/>
      <c r="F201" s="12"/>
      <c r="G201" s="12"/>
      <c r="H201" s="12"/>
      <c r="I201" s="12"/>
      <c r="J201" s="12"/>
      <c r="K201" s="12"/>
      <c r="L201" s="12"/>
      <c r="M201" s="12"/>
      <c r="N201" s="12"/>
      <c r="O201" s="2730">
        <v>1</v>
      </c>
    </row>
    <row r="202" spans="1:15" ht="21" customHeight="1">
      <c r="A202" s="12"/>
      <c r="B202" s="6613" t="s">
        <v>15639</v>
      </c>
      <c r="C202" s="12"/>
      <c r="D202" s="12"/>
      <c r="E202" s="12"/>
      <c r="F202" s="12"/>
      <c r="G202" s="12"/>
      <c r="H202" s="12"/>
      <c r="I202" s="12"/>
      <c r="J202" s="12"/>
      <c r="K202" s="12"/>
      <c r="L202" s="12"/>
      <c r="M202" s="12"/>
      <c r="N202" s="12"/>
      <c r="O202" s="2730">
        <v>1</v>
      </c>
    </row>
    <row r="203" spans="1:15" ht="21" customHeight="1">
      <c r="A203" s="12"/>
      <c r="B203" s="6613" t="s">
        <v>15640</v>
      </c>
      <c r="C203" s="12"/>
      <c r="D203" s="12"/>
      <c r="E203" s="12"/>
      <c r="F203" s="12"/>
      <c r="G203" s="12"/>
      <c r="H203" s="12"/>
      <c r="I203" s="12"/>
      <c r="J203" s="12"/>
      <c r="K203" s="12"/>
      <c r="L203" s="12"/>
      <c r="M203" s="12"/>
      <c r="N203" s="12"/>
      <c r="O203" s="2730">
        <v>1</v>
      </c>
    </row>
    <row r="204" spans="1:15" ht="21" customHeight="1">
      <c r="A204" s="12"/>
      <c r="B204" s="6609" t="s">
        <v>15641</v>
      </c>
      <c r="C204" s="12"/>
      <c r="D204" s="12"/>
      <c r="E204" s="12"/>
      <c r="F204" s="12"/>
      <c r="G204" s="12"/>
      <c r="H204" s="12"/>
      <c r="I204" s="12"/>
      <c r="J204" s="12"/>
      <c r="K204" s="12"/>
      <c r="L204" s="12"/>
      <c r="M204" s="12"/>
      <c r="N204" s="12"/>
      <c r="O204" s="2730">
        <v>1</v>
      </c>
    </row>
    <row r="205" spans="1:15" ht="21" customHeight="1">
      <c r="A205" s="12"/>
      <c r="B205" s="6609"/>
      <c r="C205" s="12"/>
      <c r="D205" s="12"/>
      <c r="E205" s="12"/>
      <c r="F205" s="12"/>
      <c r="G205" s="12"/>
      <c r="H205" s="12"/>
      <c r="I205" s="12"/>
      <c r="J205" s="12"/>
      <c r="K205" s="12"/>
      <c r="L205" s="12"/>
      <c r="M205" s="12"/>
      <c r="N205" s="12"/>
      <c r="O205" s="2730">
        <v>1</v>
      </c>
    </row>
    <row r="206" spans="1:15" ht="21" customHeight="1">
      <c r="A206" s="12"/>
      <c r="B206" s="2970" t="s">
        <v>15642</v>
      </c>
      <c r="C206" s="12"/>
      <c r="D206" s="12"/>
      <c r="E206" s="12"/>
      <c r="F206" s="12"/>
      <c r="G206" s="12"/>
      <c r="H206" s="12"/>
      <c r="I206" s="12"/>
      <c r="J206" s="12"/>
      <c r="K206" s="12"/>
      <c r="L206" s="12"/>
      <c r="M206" s="12"/>
      <c r="N206" s="12"/>
      <c r="O206" s="2730">
        <v>1</v>
      </c>
    </row>
    <row r="207" spans="1:15" ht="21" customHeight="1">
      <c r="A207" s="12"/>
      <c r="B207" s="2801" t="s">
        <v>15643</v>
      </c>
      <c r="C207" s="12"/>
      <c r="D207" s="12"/>
      <c r="E207" s="12"/>
      <c r="F207" s="12"/>
      <c r="G207" s="12"/>
      <c r="H207" s="12"/>
      <c r="I207" s="12"/>
      <c r="J207" s="12"/>
      <c r="K207" s="12"/>
      <c r="L207" s="12"/>
      <c r="M207" s="12"/>
      <c r="N207" s="12"/>
      <c r="O207" s="2730">
        <v>1</v>
      </c>
    </row>
    <row r="208" spans="1:15" ht="21" customHeight="1">
      <c r="A208" s="12"/>
      <c r="B208" s="6628" t="s">
        <v>15644</v>
      </c>
      <c r="C208" s="12"/>
      <c r="D208" s="12"/>
      <c r="E208" s="12"/>
      <c r="F208" s="12"/>
      <c r="G208" s="12"/>
      <c r="H208" s="12"/>
      <c r="I208" s="12"/>
      <c r="J208" s="12"/>
      <c r="K208" s="12"/>
      <c r="L208" s="12"/>
      <c r="M208" s="12"/>
      <c r="N208" s="12"/>
      <c r="O208" s="2730">
        <v>1</v>
      </c>
    </row>
    <row r="209" spans="1:15" ht="21" customHeight="1">
      <c r="A209" s="12"/>
      <c r="B209" s="6628" t="s">
        <v>15645</v>
      </c>
      <c r="C209" s="12"/>
      <c r="D209" s="12"/>
      <c r="E209" s="12"/>
      <c r="F209" s="12"/>
      <c r="G209" s="12"/>
      <c r="H209" s="12"/>
      <c r="I209" s="12"/>
      <c r="J209" s="12"/>
      <c r="K209" s="12"/>
      <c r="L209" s="12"/>
      <c r="M209" s="12"/>
      <c r="N209" s="12"/>
      <c r="O209" s="2730">
        <v>1</v>
      </c>
    </row>
    <row r="210" spans="1:15" ht="21" customHeight="1">
      <c r="A210" s="12"/>
      <c r="B210" s="6628" t="s">
        <v>15646</v>
      </c>
      <c r="C210" s="12"/>
      <c r="D210" s="12"/>
      <c r="E210" s="12"/>
      <c r="F210" s="12"/>
      <c r="G210" s="12"/>
      <c r="H210" s="12"/>
      <c r="I210" s="12"/>
      <c r="J210" s="12"/>
      <c r="K210" s="12"/>
      <c r="L210" s="12"/>
      <c r="M210" s="12"/>
      <c r="N210" s="12"/>
      <c r="O210" s="2730">
        <v>1</v>
      </c>
    </row>
    <row r="211" spans="1:15" ht="21" customHeight="1">
      <c r="A211" s="12"/>
      <c r="B211" s="6628" t="s">
        <v>15647</v>
      </c>
      <c r="C211" s="12"/>
      <c r="D211" s="12"/>
      <c r="E211" s="12"/>
      <c r="F211" s="12"/>
      <c r="G211" s="12"/>
      <c r="H211" s="12"/>
      <c r="I211" s="12"/>
      <c r="J211" s="12"/>
      <c r="K211" s="12"/>
      <c r="L211" s="12"/>
      <c r="M211" s="12"/>
      <c r="N211" s="12"/>
      <c r="O211" s="2730">
        <v>1</v>
      </c>
    </row>
    <row r="212" spans="1:15" ht="21" customHeight="1">
      <c r="A212" s="12"/>
      <c r="B212" s="6628" t="s">
        <v>15648</v>
      </c>
      <c r="C212" s="12"/>
      <c r="D212" s="12"/>
      <c r="E212" s="12"/>
      <c r="F212" s="12"/>
      <c r="G212" s="12"/>
      <c r="H212" s="12"/>
      <c r="I212" s="12"/>
      <c r="J212" s="12"/>
      <c r="K212" s="12"/>
      <c r="L212" s="12"/>
      <c r="M212" s="12"/>
      <c r="N212" s="12"/>
      <c r="O212" s="2730">
        <v>1</v>
      </c>
    </row>
    <row r="213" spans="1:15" ht="21" customHeight="1">
      <c r="A213" s="12"/>
      <c r="B213" s="6628" t="s">
        <v>15649</v>
      </c>
      <c r="C213" s="12"/>
      <c r="D213" s="12"/>
      <c r="E213" s="12"/>
      <c r="F213" s="12"/>
      <c r="G213" s="12"/>
      <c r="H213" s="12"/>
      <c r="I213" s="12"/>
      <c r="J213" s="12"/>
      <c r="K213" s="12"/>
      <c r="L213" s="12"/>
      <c r="M213" s="12"/>
      <c r="N213" s="12"/>
      <c r="O213" s="2730">
        <v>1</v>
      </c>
    </row>
    <row r="214" spans="1:15" ht="21" customHeight="1">
      <c r="A214" s="12"/>
      <c r="B214" s="12"/>
      <c r="C214" s="12"/>
      <c r="D214" s="12"/>
      <c r="E214" s="12"/>
      <c r="F214" s="12"/>
      <c r="G214" s="12"/>
      <c r="H214" s="12"/>
      <c r="I214" s="12"/>
      <c r="J214" s="12"/>
      <c r="K214" s="12"/>
      <c r="L214" s="12"/>
      <c r="M214" s="12"/>
      <c r="N214" s="12"/>
      <c r="O214" s="2730">
        <v>1</v>
      </c>
    </row>
    <row r="215" spans="1:15" ht="21" customHeight="1">
      <c r="A215" s="12"/>
      <c r="B215" s="6627" t="s">
        <v>15650</v>
      </c>
      <c r="C215" s="12"/>
      <c r="D215" s="12"/>
      <c r="E215" s="12"/>
      <c r="F215" s="12"/>
      <c r="G215" s="12"/>
      <c r="H215" s="12"/>
      <c r="I215" s="12"/>
      <c r="J215" s="12"/>
      <c r="K215" s="12"/>
      <c r="L215" s="12"/>
      <c r="M215" s="12"/>
      <c r="N215" s="12"/>
      <c r="O215" s="2730">
        <v>1</v>
      </c>
    </row>
    <row r="216" spans="1:15" ht="21" customHeight="1">
      <c r="A216" s="12"/>
      <c r="B216" s="12"/>
      <c r="C216" s="12"/>
      <c r="D216" s="12"/>
      <c r="E216" s="12"/>
      <c r="F216" s="12"/>
      <c r="G216" s="12"/>
      <c r="H216" s="12"/>
      <c r="I216" s="12"/>
      <c r="J216" s="12"/>
      <c r="K216" s="12"/>
      <c r="L216" s="12"/>
      <c r="M216" s="12"/>
      <c r="N216" s="12"/>
      <c r="O216" s="2730">
        <v>1</v>
      </c>
    </row>
    <row r="217" spans="1:15" ht="21" customHeight="1">
      <c r="A217" s="12"/>
      <c r="B217" s="739" t="s">
        <v>15651</v>
      </c>
      <c r="C217" s="12"/>
      <c r="D217" s="12"/>
      <c r="E217" s="12"/>
      <c r="F217" s="12"/>
      <c r="G217" s="12"/>
      <c r="H217" s="12"/>
      <c r="I217" s="12"/>
      <c r="J217" s="12"/>
      <c r="K217" s="12"/>
      <c r="L217" s="12"/>
      <c r="M217" s="12"/>
      <c r="N217" s="12"/>
      <c r="O217" s="2730">
        <v>1</v>
      </c>
    </row>
    <row r="218" spans="1:15" ht="21" customHeight="1">
      <c r="A218" s="12"/>
      <c r="B218" s="2801" t="s">
        <v>15652</v>
      </c>
      <c r="C218" s="12"/>
      <c r="D218" s="12"/>
      <c r="E218" s="12"/>
      <c r="F218" s="12"/>
      <c r="G218" s="12"/>
      <c r="H218" s="12"/>
      <c r="I218" s="12"/>
      <c r="J218" s="12"/>
      <c r="K218" s="12"/>
      <c r="L218" s="12"/>
      <c r="M218" s="12"/>
      <c r="N218" s="12"/>
      <c r="O218" s="2730">
        <v>1</v>
      </c>
    </row>
    <row r="219" spans="1:15" ht="21" customHeight="1">
      <c r="A219" s="12"/>
      <c r="B219" s="6628" t="s">
        <v>15653</v>
      </c>
      <c r="C219" s="12"/>
      <c r="D219" s="12"/>
      <c r="E219" s="12"/>
      <c r="F219" s="12"/>
      <c r="G219" s="12"/>
      <c r="H219" s="12"/>
      <c r="I219" s="12"/>
      <c r="J219" s="12"/>
      <c r="K219" s="12"/>
      <c r="L219" s="12"/>
      <c r="M219" s="12"/>
      <c r="N219" s="12"/>
      <c r="O219" s="2730">
        <v>1</v>
      </c>
    </row>
    <row r="220" spans="1:15" ht="21" customHeight="1">
      <c r="A220" s="12"/>
      <c r="B220" s="6628" t="s">
        <v>15654</v>
      </c>
      <c r="C220" s="12"/>
      <c r="D220" s="12"/>
      <c r="E220" s="12"/>
      <c r="F220" s="12"/>
      <c r="G220" s="12"/>
      <c r="H220" s="12"/>
      <c r="I220" s="12"/>
      <c r="J220" s="12"/>
      <c r="K220" s="12"/>
      <c r="L220" s="12"/>
      <c r="M220" s="12"/>
      <c r="N220" s="12"/>
      <c r="O220" s="2730">
        <v>1</v>
      </c>
    </row>
    <row r="221" spans="1:15" ht="21" customHeight="1">
      <c r="A221" s="12"/>
      <c r="B221" s="6628" t="s">
        <v>15655</v>
      </c>
      <c r="C221" s="12"/>
      <c r="D221" s="12"/>
      <c r="E221" s="12"/>
      <c r="F221" s="12"/>
      <c r="G221" s="12"/>
      <c r="H221" s="12"/>
      <c r="I221" s="12"/>
      <c r="J221" s="12"/>
      <c r="K221" s="12"/>
      <c r="L221" s="12"/>
      <c r="M221" s="12"/>
      <c r="N221" s="12"/>
      <c r="O221" s="2730">
        <v>1</v>
      </c>
    </row>
    <row r="222" spans="1:15" ht="21" customHeight="1">
      <c r="A222" s="12"/>
      <c r="B222" s="2801" t="s">
        <v>15656</v>
      </c>
      <c r="C222" s="12"/>
      <c r="D222" s="12"/>
      <c r="E222" s="12"/>
      <c r="F222" s="12"/>
      <c r="G222" s="12"/>
      <c r="H222" s="12"/>
      <c r="I222" s="12"/>
      <c r="J222" s="12"/>
      <c r="K222" s="12"/>
      <c r="L222" s="12"/>
      <c r="M222" s="12"/>
      <c r="N222" s="12"/>
      <c r="O222" s="2730">
        <v>1</v>
      </c>
    </row>
    <row r="223" spans="1:15" ht="21" customHeight="1">
      <c r="A223" s="12"/>
      <c r="B223" s="12"/>
      <c r="C223" s="12"/>
      <c r="D223" s="12"/>
      <c r="E223" s="12"/>
      <c r="F223" s="12"/>
      <c r="G223" s="12"/>
      <c r="H223" s="12"/>
      <c r="I223" s="12"/>
      <c r="J223" s="12"/>
      <c r="K223" s="12"/>
      <c r="L223" s="12"/>
      <c r="M223" s="12"/>
      <c r="N223" s="12"/>
      <c r="O223" s="2730">
        <v>1</v>
      </c>
    </row>
    <row r="224" spans="1:15" ht="21" customHeight="1">
      <c r="A224" s="12"/>
      <c r="B224" s="739" t="s">
        <v>15657</v>
      </c>
      <c r="C224" s="12"/>
      <c r="D224" s="12"/>
      <c r="E224" s="12"/>
      <c r="F224" s="12"/>
      <c r="G224" s="12"/>
      <c r="H224" s="12"/>
      <c r="I224" s="12"/>
      <c r="J224" s="12"/>
      <c r="K224" s="12"/>
      <c r="L224" s="12"/>
      <c r="M224" s="12"/>
      <c r="N224" s="12"/>
      <c r="O224" s="2730">
        <v>1</v>
      </c>
    </row>
    <row r="225" spans="1:15" ht="21" customHeight="1">
      <c r="A225" s="12"/>
      <c r="B225" s="2801" t="s">
        <v>15658</v>
      </c>
      <c r="C225" s="12"/>
      <c r="D225" s="12"/>
      <c r="E225" s="12"/>
      <c r="F225" s="12"/>
      <c r="G225" s="12"/>
      <c r="H225" s="12"/>
      <c r="I225" s="12"/>
      <c r="J225" s="12"/>
      <c r="K225" s="12"/>
      <c r="L225" s="12"/>
      <c r="M225" s="12"/>
      <c r="N225" s="12"/>
      <c r="O225" s="2730">
        <v>1</v>
      </c>
    </row>
    <row r="226" spans="1:15" ht="21" customHeight="1">
      <c r="A226" s="12"/>
      <c r="B226" s="6628" t="s">
        <v>15659</v>
      </c>
      <c r="C226" s="12"/>
      <c r="D226" s="12"/>
      <c r="E226" s="12"/>
      <c r="F226" s="12"/>
      <c r="G226" s="12"/>
      <c r="H226" s="12"/>
      <c r="I226" s="12"/>
      <c r="J226" s="12"/>
      <c r="K226" s="12"/>
      <c r="L226" s="12"/>
      <c r="M226" s="12"/>
      <c r="N226" s="12"/>
      <c r="O226" s="2730">
        <v>1</v>
      </c>
    </row>
    <row r="227" spans="1:15" ht="21" customHeight="1">
      <c r="A227" s="12"/>
      <c r="B227" s="6628" t="s">
        <v>15660</v>
      </c>
      <c r="C227" s="12"/>
      <c r="D227" s="12"/>
      <c r="E227" s="12"/>
      <c r="F227" s="12"/>
      <c r="G227" s="12"/>
      <c r="H227" s="12"/>
      <c r="I227" s="12"/>
      <c r="J227" s="12"/>
      <c r="K227" s="12"/>
      <c r="L227" s="12"/>
      <c r="M227" s="12"/>
      <c r="N227" s="12"/>
      <c r="O227" s="2730">
        <v>1</v>
      </c>
    </row>
    <row r="228" spans="1:15" ht="21" customHeight="1">
      <c r="A228" s="12"/>
      <c r="B228" s="6628" t="s">
        <v>15661</v>
      </c>
      <c r="C228" s="12"/>
      <c r="D228" s="12"/>
      <c r="E228" s="12"/>
      <c r="F228" s="12"/>
      <c r="G228" s="12"/>
      <c r="H228" s="12"/>
      <c r="I228" s="12"/>
      <c r="J228" s="12"/>
      <c r="K228" s="12"/>
      <c r="L228" s="12"/>
      <c r="M228" s="12"/>
      <c r="N228" s="12"/>
      <c r="O228" s="2730">
        <v>1</v>
      </c>
    </row>
    <row r="229" spans="1:15" ht="21" customHeight="1">
      <c r="A229" s="12"/>
      <c r="B229" s="6628" t="s">
        <v>15662</v>
      </c>
      <c r="C229" s="12"/>
      <c r="D229" s="12"/>
      <c r="E229" s="12"/>
      <c r="F229" s="12"/>
      <c r="G229" s="12"/>
      <c r="H229" s="12"/>
      <c r="I229" s="12"/>
      <c r="J229" s="12"/>
      <c r="K229" s="12"/>
      <c r="L229" s="12"/>
      <c r="M229" s="12"/>
      <c r="N229" s="12"/>
      <c r="O229" s="2730">
        <v>1</v>
      </c>
    </row>
    <row r="230" spans="1:15" ht="21" customHeight="1">
      <c r="A230" s="12"/>
      <c r="B230" s="6628" t="s">
        <v>15663</v>
      </c>
      <c r="C230" s="12"/>
      <c r="D230" s="12"/>
      <c r="E230" s="12"/>
      <c r="F230" s="12"/>
      <c r="G230" s="12"/>
      <c r="H230" s="12"/>
      <c r="I230" s="12"/>
      <c r="J230" s="12"/>
      <c r="K230" s="12"/>
      <c r="L230" s="12"/>
      <c r="M230" s="12"/>
      <c r="N230" s="12"/>
      <c r="O230" s="2730">
        <v>1</v>
      </c>
    </row>
    <row r="231" spans="1:15" ht="21" customHeight="1">
      <c r="A231" s="12"/>
      <c r="B231" s="6628" t="s">
        <v>15664</v>
      </c>
      <c r="C231" s="12"/>
      <c r="D231" s="12"/>
      <c r="E231" s="12"/>
      <c r="F231" s="12"/>
      <c r="G231" s="12"/>
      <c r="H231" s="12"/>
      <c r="I231" s="12"/>
      <c r="J231" s="12"/>
      <c r="K231" s="12"/>
      <c r="L231" s="12"/>
      <c r="M231" s="12"/>
      <c r="N231" s="12"/>
      <c r="O231" s="2730">
        <v>1</v>
      </c>
    </row>
    <row r="232" spans="1:15" ht="21" customHeight="1">
      <c r="A232" s="12"/>
      <c r="B232" s="6628" t="s">
        <v>15665</v>
      </c>
      <c r="C232" s="12"/>
      <c r="D232" s="12"/>
      <c r="E232" s="12"/>
      <c r="F232" s="12"/>
      <c r="G232" s="12"/>
      <c r="H232" s="12"/>
      <c r="I232" s="12"/>
      <c r="J232" s="12"/>
      <c r="K232" s="12"/>
      <c r="L232" s="12"/>
      <c r="M232" s="12"/>
      <c r="N232" s="12"/>
      <c r="O232" s="2730">
        <v>1</v>
      </c>
    </row>
    <row r="233" spans="1:15" ht="21" customHeight="1">
      <c r="A233" s="12"/>
      <c r="B233" s="6628" t="s">
        <v>15666</v>
      </c>
      <c r="C233" s="12"/>
      <c r="D233" s="12"/>
      <c r="E233" s="12"/>
      <c r="F233" s="12"/>
      <c r="G233" s="12"/>
      <c r="H233" s="12"/>
      <c r="I233" s="12"/>
      <c r="J233" s="12"/>
      <c r="K233" s="12"/>
      <c r="L233" s="12"/>
      <c r="M233" s="12"/>
      <c r="N233" s="12"/>
      <c r="O233" s="2730">
        <v>1</v>
      </c>
    </row>
    <row r="234" spans="1:15" ht="21" customHeight="1">
      <c r="A234" s="12"/>
      <c r="B234" s="6628" t="s">
        <v>15667</v>
      </c>
      <c r="C234" s="12"/>
      <c r="D234" s="12"/>
      <c r="E234" s="12"/>
      <c r="F234" s="12"/>
      <c r="G234" s="12"/>
      <c r="H234" s="12"/>
      <c r="I234" s="12"/>
      <c r="J234" s="12"/>
      <c r="K234" s="12"/>
      <c r="L234" s="12"/>
      <c r="M234" s="12"/>
      <c r="N234" s="12"/>
      <c r="O234" s="2730">
        <v>1</v>
      </c>
    </row>
    <row r="235" spans="1:15" ht="21" customHeight="1">
      <c r="A235" s="12"/>
      <c r="B235" s="6628" t="s">
        <v>15668</v>
      </c>
      <c r="C235" s="12"/>
      <c r="D235" s="12"/>
      <c r="E235" s="12"/>
      <c r="F235" s="12"/>
      <c r="G235" s="12"/>
      <c r="H235" s="12"/>
      <c r="I235" s="12"/>
      <c r="J235" s="12"/>
      <c r="K235" s="12"/>
      <c r="L235" s="12"/>
      <c r="M235" s="12"/>
      <c r="N235" s="12"/>
      <c r="O235" s="2730">
        <v>1</v>
      </c>
    </row>
    <row r="236" spans="1:15" ht="21" customHeight="1">
      <c r="A236" s="12"/>
      <c r="B236" s="6629" t="s">
        <v>15669</v>
      </c>
      <c r="C236" s="12"/>
      <c r="D236" s="12"/>
      <c r="E236" s="12"/>
      <c r="F236" s="12"/>
      <c r="G236" s="12"/>
      <c r="H236" s="12"/>
      <c r="I236" s="12"/>
      <c r="J236" s="12"/>
      <c r="K236" s="12"/>
      <c r="L236" s="12"/>
      <c r="M236" s="12"/>
      <c r="N236" s="12"/>
      <c r="O236" s="2730">
        <v>1</v>
      </c>
    </row>
    <row r="237" spans="1:15" ht="21" customHeight="1">
      <c r="A237" s="12"/>
      <c r="B237" s="12"/>
      <c r="C237" s="12"/>
      <c r="D237" s="12"/>
      <c r="E237" s="12"/>
      <c r="F237" s="12"/>
      <c r="G237" s="12"/>
      <c r="H237" s="12"/>
      <c r="I237" s="12"/>
      <c r="J237" s="12"/>
      <c r="K237" s="12"/>
      <c r="L237" s="12"/>
      <c r="M237" s="12"/>
      <c r="N237" s="12"/>
      <c r="O237" s="2730">
        <v>1</v>
      </c>
    </row>
    <row r="238" spans="1:15" ht="21" customHeight="1">
      <c r="A238" s="12"/>
      <c r="B238" s="2970" t="s">
        <v>15670</v>
      </c>
      <c r="C238" s="12"/>
      <c r="D238" s="12"/>
      <c r="E238" s="12"/>
      <c r="F238" s="12"/>
      <c r="G238" s="12"/>
      <c r="H238" s="12"/>
      <c r="I238" s="12"/>
      <c r="J238" s="12"/>
      <c r="K238" s="12"/>
      <c r="L238" s="12"/>
      <c r="M238" s="12"/>
      <c r="N238" s="12"/>
      <c r="O238" s="2730">
        <v>1</v>
      </c>
    </row>
    <row r="239" spans="1:15" ht="21" customHeight="1">
      <c r="A239" s="12"/>
      <c r="B239" s="2801" t="s">
        <v>15671</v>
      </c>
      <c r="C239" s="12"/>
      <c r="D239" s="12"/>
      <c r="E239" s="12"/>
      <c r="F239" s="12"/>
      <c r="G239" s="12"/>
      <c r="H239" s="12"/>
      <c r="I239" s="12"/>
      <c r="J239" s="12"/>
      <c r="K239" s="12"/>
      <c r="L239" s="12"/>
      <c r="M239" s="12"/>
      <c r="N239" s="12"/>
      <c r="O239" s="2730">
        <v>1</v>
      </c>
    </row>
    <row r="240" spans="1:15" ht="21" customHeight="1">
      <c r="A240" s="12"/>
      <c r="B240" s="6628" t="s">
        <v>15672</v>
      </c>
      <c r="C240" s="12"/>
      <c r="D240" s="12"/>
      <c r="E240" s="12"/>
      <c r="F240" s="12"/>
      <c r="G240" s="12"/>
      <c r="H240" s="12"/>
      <c r="I240" s="12"/>
      <c r="J240" s="12"/>
      <c r="K240" s="12"/>
      <c r="L240" s="12"/>
      <c r="M240" s="12"/>
      <c r="N240" s="12"/>
      <c r="O240" s="2730">
        <v>1</v>
      </c>
    </row>
    <row r="241" spans="1:15" ht="21" customHeight="1">
      <c r="A241" s="12"/>
      <c r="B241" s="6628" t="s">
        <v>15673</v>
      </c>
      <c r="C241" s="12"/>
      <c r="D241" s="12"/>
      <c r="E241" s="12"/>
      <c r="F241" s="12"/>
      <c r="G241" s="12"/>
      <c r="H241" s="12"/>
      <c r="I241" s="12"/>
      <c r="J241" s="12"/>
      <c r="K241" s="12"/>
      <c r="L241" s="12"/>
      <c r="M241" s="12"/>
      <c r="N241" s="12"/>
      <c r="O241" s="2730">
        <v>1</v>
      </c>
    </row>
    <row r="242" spans="1:15" ht="21" customHeight="1">
      <c r="A242" s="12"/>
      <c r="B242" s="6628" t="s">
        <v>15674</v>
      </c>
      <c r="C242" s="12"/>
      <c r="D242" s="12"/>
      <c r="E242" s="12"/>
      <c r="F242" s="12"/>
      <c r="G242" s="12"/>
      <c r="H242" s="12"/>
      <c r="I242" s="12"/>
      <c r="J242" s="12"/>
      <c r="K242" s="12"/>
      <c r="L242" s="12"/>
      <c r="M242" s="12"/>
      <c r="N242" s="12"/>
      <c r="O242" s="2730">
        <v>1</v>
      </c>
    </row>
    <row r="243" spans="1:15" ht="21" customHeight="1">
      <c r="A243" s="12"/>
      <c r="B243" s="2801"/>
      <c r="C243" s="12"/>
      <c r="D243" s="12"/>
      <c r="E243" s="12"/>
      <c r="F243" s="12"/>
      <c r="G243" s="12"/>
      <c r="H243" s="12"/>
      <c r="I243" s="12"/>
      <c r="J243" s="12"/>
      <c r="K243" s="12"/>
      <c r="L243" s="12"/>
      <c r="M243" s="12"/>
      <c r="N243" s="12"/>
      <c r="O243" s="2730">
        <v>1</v>
      </c>
    </row>
    <row r="244" spans="1:15" ht="21" customHeight="1">
      <c r="A244" s="12"/>
      <c r="B244" s="6629" t="s">
        <v>15675</v>
      </c>
      <c r="C244" s="12"/>
      <c r="D244" s="12"/>
      <c r="E244" s="12"/>
      <c r="F244" s="12"/>
      <c r="G244" s="12"/>
      <c r="H244" s="12"/>
      <c r="I244" s="12"/>
      <c r="J244" s="12"/>
      <c r="K244" s="12"/>
      <c r="L244" s="12"/>
      <c r="M244" s="12"/>
      <c r="N244" s="12"/>
      <c r="O244" s="2730">
        <v>1</v>
      </c>
    </row>
    <row r="245" spans="1:15" ht="21" customHeight="1">
      <c r="A245" s="12"/>
      <c r="B245" s="12"/>
      <c r="C245" s="12"/>
      <c r="D245" s="12"/>
      <c r="E245" s="12"/>
      <c r="F245" s="12"/>
      <c r="G245" s="12"/>
      <c r="H245" s="12"/>
      <c r="I245" s="12"/>
      <c r="J245" s="12"/>
      <c r="K245" s="12"/>
      <c r="L245" s="12"/>
      <c r="M245" s="12"/>
      <c r="N245" s="12"/>
      <c r="O245" s="2730">
        <v>1</v>
      </c>
    </row>
    <row r="246" spans="1:15" ht="21" customHeight="1">
      <c r="A246" s="12"/>
      <c r="B246" s="2970" t="s">
        <v>15676</v>
      </c>
      <c r="C246" s="12"/>
      <c r="D246" s="12"/>
      <c r="E246" s="12"/>
      <c r="F246" s="12"/>
      <c r="G246" s="12"/>
      <c r="H246" s="12"/>
      <c r="I246" s="12"/>
      <c r="J246" s="12"/>
      <c r="K246" s="12"/>
      <c r="L246" s="12"/>
      <c r="M246" s="12"/>
      <c r="N246" s="12"/>
      <c r="O246" s="2730">
        <v>1</v>
      </c>
    </row>
    <row r="247" spans="1:15" ht="21" customHeight="1">
      <c r="A247" s="12"/>
      <c r="B247" s="2876" t="s">
        <v>15677</v>
      </c>
      <c r="C247" s="12"/>
      <c r="D247" s="12"/>
      <c r="E247" s="12"/>
      <c r="F247" s="12"/>
      <c r="G247" s="12"/>
      <c r="H247" s="12"/>
      <c r="I247" s="12"/>
      <c r="J247" s="12"/>
      <c r="K247" s="12"/>
      <c r="L247" s="12"/>
      <c r="M247" s="12"/>
      <c r="N247" s="12"/>
      <c r="O247" s="2730">
        <v>1</v>
      </c>
    </row>
    <row r="248" spans="1:15" ht="21" customHeight="1">
      <c r="A248" s="12"/>
      <c r="B248" s="2876" t="s">
        <v>15678</v>
      </c>
      <c r="C248" s="12"/>
      <c r="D248" s="12"/>
      <c r="E248" s="12"/>
      <c r="F248" s="12"/>
      <c r="G248" s="12"/>
      <c r="H248" s="12"/>
      <c r="I248" s="12"/>
      <c r="J248" s="12"/>
      <c r="K248" s="12"/>
      <c r="L248" s="12"/>
      <c r="M248" s="12"/>
      <c r="N248" s="12"/>
      <c r="O248" s="2730">
        <v>1</v>
      </c>
    </row>
    <row r="249" spans="1:15" ht="21" customHeight="1">
      <c r="A249" s="12"/>
      <c r="B249" s="2801"/>
      <c r="C249" s="12"/>
      <c r="D249" s="12"/>
      <c r="E249" s="12"/>
      <c r="F249" s="12"/>
      <c r="G249" s="12"/>
      <c r="H249" s="12"/>
      <c r="I249" s="12"/>
      <c r="J249" s="12"/>
      <c r="K249" s="12"/>
      <c r="L249" s="12"/>
      <c r="M249" s="12"/>
      <c r="N249" s="12"/>
      <c r="O249" s="2730">
        <v>1</v>
      </c>
    </row>
    <row r="250" spans="1:15" ht="21" customHeight="1">
      <c r="A250" s="12"/>
      <c r="B250" s="2801" t="s">
        <v>15679</v>
      </c>
      <c r="C250" s="12"/>
      <c r="D250" s="12"/>
      <c r="E250" s="12"/>
      <c r="F250" s="12"/>
      <c r="G250" s="12"/>
      <c r="H250" s="12"/>
      <c r="I250" s="12"/>
      <c r="J250" s="12"/>
      <c r="K250" s="12"/>
      <c r="L250" s="12"/>
      <c r="M250" s="12"/>
      <c r="N250" s="12"/>
      <c r="O250" s="2730">
        <v>1</v>
      </c>
    </row>
    <row r="251" spans="1:15" ht="21" customHeight="1">
      <c r="A251" s="12"/>
      <c r="B251" s="2801" t="s">
        <v>15680</v>
      </c>
      <c r="C251" s="12"/>
      <c r="D251" s="12"/>
      <c r="E251" s="12"/>
      <c r="F251" s="12"/>
      <c r="G251" s="12"/>
      <c r="H251" s="12"/>
      <c r="I251" s="12"/>
      <c r="J251" s="12"/>
      <c r="K251" s="12"/>
      <c r="L251" s="12"/>
      <c r="M251" s="12"/>
      <c r="N251" s="12"/>
      <c r="O251" s="2730">
        <v>1</v>
      </c>
    </row>
    <row r="252" spans="1:15" ht="21" customHeight="1">
      <c r="A252" s="12"/>
      <c r="B252" s="2801"/>
      <c r="C252" s="12"/>
      <c r="D252" s="12"/>
      <c r="E252" s="12"/>
      <c r="F252" s="12"/>
      <c r="G252" s="12"/>
      <c r="H252" s="12"/>
      <c r="I252" s="12"/>
      <c r="J252" s="12"/>
      <c r="K252" s="12"/>
      <c r="L252" s="12"/>
      <c r="M252" s="12"/>
      <c r="N252" s="12"/>
      <c r="O252" s="2730">
        <v>1</v>
      </c>
    </row>
    <row r="253" spans="1:15" ht="21" customHeight="1">
      <c r="A253" s="12"/>
      <c r="B253" s="6627" t="s">
        <v>15681</v>
      </c>
      <c r="C253" s="12"/>
      <c r="D253" s="12"/>
      <c r="E253" s="12"/>
      <c r="F253" s="12"/>
      <c r="G253" s="12"/>
      <c r="H253" s="12"/>
      <c r="I253" s="12"/>
      <c r="J253" s="12"/>
      <c r="K253" s="12"/>
      <c r="L253" s="12"/>
      <c r="M253" s="12"/>
      <c r="N253" s="12"/>
      <c r="O253" s="2730">
        <v>1</v>
      </c>
    </row>
    <row r="254" spans="1:15" ht="21" customHeight="1">
      <c r="A254" s="12"/>
      <c r="B254" s="2801" t="s">
        <v>15682</v>
      </c>
      <c r="C254" s="12"/>
      <c r="D254" s="12"/>
      <c r="E254" s="12"/>
      <c r="F254" s="12"/>
      <c r="G254" s="12"/>
      <c r="H254" s="12"/>
      <c r="I254" s="12"/>
      <c r="J254" s="12"/>
      <c r="K254" s="12"/>
      <c r="L254" s="12"/>
      <c r="M254" s="12"/>
      <c r="N254" s="12"/>
      <c r="O254" s="2730">
        <v>1</v>
      </c>
    </row>
    <row r="255" spans="1:15" ht="21" customHeight="1">
      <c r="A255" s="12"/>
      <c r="B255" s="2876" t="s">
        <v>15683</v>
      </c>
      <c r="C255" s="12"/>
      <c r="D255" s="12"/>
      <c r="E255" s="12"/>
      <c r="F255" s="12"/>
      <c r="G255" s="12"/>
      <c r="H255" s="12"/>
      <c r="I255" s="12"/>
      <c r="J255" s="12"/>
      <c r="K255" s="12"/>
      <c r="L255" s="12"/>
      <c r="M255" s="12"/>
      <c r="N255" s="12"/>
      <c r="O255" s="2730">
        <v>1</v>
      </c>
    </row>
    <row r="256" spans="1:15" ht="21" customHeight="1">
      <c r="A256" s="12"/>
      <c r="B256" s="6628" t="s">
        <v>15684</v>
      </c>
      <c r="C256" s="12"/>
      <c r="D256" s="12"/>
      <c r="E256" s="12"/>
      <c r="F256" s="12"/>
      <c r="G256" s="12"/>
      <c r="H256" s="12"/>
      <c r="I256" s="12"/>
      <c r="J256" s="12"/>
      <c r="K256" s="12"/>
      <c r="L256" s="12"/>
      <c r="M256" s="12"/>
      <c r="N256" s="12"/>
      <c r="O256" s="2730">
        <v>1</v>
      </c>
    </row>
    <row r="257" spans="1:15" ht="21" customHeight="1">
      <c r="A257" s="12"/>
      <c r="B257" s="6628" t="s">
        <v>15685</v>
      </c>
      <c r="C257" s="12"/>
      <c r="D257" s="12"/>
      <c r="E257" s="12"/>
      <c r="F257" s="12"/>
      <c r="G257" s="12"/>
      <c r="H257" s="12"/>
      <c r="I257" s="12"/>
      <c r="J257" s="12"/>
      <c r="K257" s="12"/>
      <c r="L257" s="12"/>
      <c r="M257" s="12"/>
      <c r="N257" s="12"/>
      <c r="O257" s="2730">
        <v>1</v>
      </c>
    </row>
    <row r="258" spans="1:15" ht="21" customHeight="1">
      <c r="A258" s="12"/>
      <c r="B258" s="2876" t="s">
        <v>15686</v>
      </c>
      <c r="C258" s="12"/>
      <c r="D258" s="12"/>
      <c r="E258" s="12"/>
      <c r="F258" s="12"/>
      <c r="G258" s="12"/>
      <c r="H258" s="12"/>
      <c r="I258" s="12"/>
      <c r="J258" s="12"/>
      <c r="K258" s="12"/>
      <c r="L258" s="12"/>
      <c r="M258" s="12"/>
      <c r="N258" s="12"/>
      <c r="O258" s="2730">
        <v>1</v>
      </c>
    </row>
    <row r="259" spans="1:15" ht="21" customHeight="1">
      <c r="A259" s="12"/>
      <c r="B259" s="2876" t="s">
        <v>15687</v>
      </c>
      <c r="C259" s="12"/>
      <c r="D259" s="12"/>
      <c r="E259" s="12"/>
      <c r="F259" s="12"/>
      <c r="G259" s="12"/>
      <c r="H259" s="12"/>
      <c r="I259" s="12"/>
      <c r="J259" s="12"/>
      <c r="K259" s="12"/>
      <c r="L259" s="12"/>
      <c r="M259" s="12"/>
      <c r="N259" s="12"/>
      <c r="O259" s="2730">
        <v>1</v>
      </c>
    </row>
    <row r="260" spans="1:15" ht="21" customHeight="1">
      <c r="A260" s="12"/>
      <c r="B260" s="6628" t="s">
        <v>15688</v>
      </c>
      <c r="C260" s="12"/>
      <c r="D260" s="12"/>
      <c r="E260" s="12"/>
      <c r="F260" s="12"/>
      <c r="G260" s="12"/>
      <c r="H260" s="12"/>
      <c r="I260" s="12"/>
      <c r="J260" s="12"/>
      <c r="K260" s="12"/>
      <c r="L260" s="12"/>
      <c r="M260" s="12"/>
      <c r="N260" s="12"/>
      <c r="O260" s="2730">
        <v>1</v>
      </c>
    </row>
    <row r="261" spans="1:15" ht="21" customHeight="1">
      <c r="A261" s="12"/>
      <c r="B261" s="716"/>
      <c r="C261" s="12"/>
      <c r="D261" s="12"/>
      <c r="E261" s="12"/>
      <c r="F261" s="12"/>
      <c r="G261" s="12"/>
      <c r="H261" s="12"/>
      <c r="I261" s="12"/>
      <c r="J261" s="12"/>
      <c r="K261" s="12"/>
      <c r="L261" s="12"/>
      <c r="M261" s="12"/>
      <c r="N261" s="12"/>
      <c r="O261" s="2730">
        <v>1</v>
      </c>
    </row>
    <row r="262" spans="1:15" ht="21" customHeight="1">
      <c r="A262" s="12"/>
      <c r="B262" s="2876" t="s">
        <v>15689</v>
      </c>
      <c r="C262" s="12"/>
      <c r="D262" s="12"/>
      <c r="E262" s="12"/>
      <c r="F262" s="12"/>
      <c r="G262" s="12"/>
      <c r="H262" s="12"/>
      <c r="I262" s="12"/>
      <c r="J262" s="12"/>
      <c r="K262" s="12"/>
      <c r="L262" s="12"/>
      <c r="M262" s="12"/>
      <c r="N262" s="12"/>
      <c r="O262" s="2730">
        <v>1</v>
      </c>
    </row>
    <row r="263" spans="1:15" ht="21" customHeight="1">
      <c r="A263" s="12"/>
      <c r="B263" s="2876" t="s">
        <v>15690</v>
      </c>
      <c r="C263" s="12"/>
      <c r="D263" s="12"/>
      <c r="E263" s="12"/>
      <c r="F263" s="12"/>
      <c r="G263" s="12"/>
      <c r="H263" s="12"/>
      <c r="I263" s="12"/>
      <c r="J263" s="12"/>
      <c r="K263" s="12"/>
      <c r="L263" s="12"/>
      <c r="M263" s="12"/>
      <c r="N263" s="12"/>
      <c r="O263" s="2730">
        <v>1</v>
      </c>
    </row>
    <row r="264" spans="1:15" ht="21" customHeight="1">
      <c r="A264" s="12"/>
      <c r="B264" s="6628" t="s">
        <v>15684</v>
      </c>
      <c r="C264" s="12"/>
      <c r="D264" s="12"/>
      <c r="E264" s="12"/>
      <c r="F264" s="12"/>
      <c r="G264" s="12"/>
      <c r="H264" s="12"/>
      <c r="I264" s="12"/>
      <c r="J264" s="12"/>
      <c r="K264" s="12"/>
      <c r="L264" s="12"/>
      <c r="M264" s="12"/>
      <c r="N264" s="12"/>
      <c r="O264" s="2730">
        <v>1</v>
      </c>
    </row>
    <row r="265" spans="1:15" ht="21" customHeight="1">
      <c r="A265" s="12"/>
      <c r="B265" s="6628" t="s">
        <v>15685</v>
      </c>
      <c r="C265" s="12"/>
      <c r="D265" s="12"/>
      <c r="E265" s="12"/>
      <c r="F265" s="12"/>
      <c r="G265" s="12"/>
      <c r="H265" s="12"/>
      <c r="I265" s="12"/>
      <c r="J265" s="12"/>
      <c r="K265" s="12"/>
      <c r="L265" s="12"/>
      <c r="M265" s="12"/>
      <c r="N265" s="12"/>
      <c r="O265" s="2730">
        <v>1</v>
      </c>
    </row>
    <row r="266" spans="1:15" ht="21" customHeight="1">
      <c r="A266" s="12"/>
      <c r="B266" s="6628" t="s">
        <v>15691</v>
      </c>
      <c r="C266" s="12"/>
      <c r="D266" s="12"/>
      <c r="E266" s="12"/>
      <c r="F266" s="12"/>
      <c r="G266" s="12"/>
      <c r="H266" s="12"/>
      <c r="I266" s="12"/>
      <c r="J266" s="12"/>
      <c r="K266" s="12"/>
      <c r="L266" s="12"/>
      <c r="M266" s="12"/>
      <c r="N266" s="12"/>
      <c r="O266" s="2730">
        <v>1</v>
      </c>
    </row>
    <row r="267" spans="1:15" ht="21" customHeight="1">
      <c r="A267" s="12"/>
      <c r="B267" s="12"/>
      <c r="C267" s="12"/>
      <c r="D267" s="12"/>
      <c r="E267" s="12"/>
      <c r="F267" s="12"/>
      <c r="G267" s="12"/>
      <c r="H267" s="12"/>
      <c r="I267" s="12"/>
      <c r="J267" s="12"/>
      <c r="K267" s="12"/>
      <c r="L267" s="12"/>
      <c r="M267" s="12"/>
      <c r="N267" s="12"/>
      <c r="O267" s="2730">
        <v>1</v>
      </c>
    </row>
    <row r="268" spans="1:15" ht="21" customHeight="1">
      <c r="A268" s="12"/>
      <c r="B268" s="6630" t="s">
        <v>15692</v>
      </c>
      <c r="C268" s="12"/>
      <c r="D268" s="12"/>
      <c r="E268" s="12"/>
      <c r="F268" s="12"/>
      <c r="G268" s="12"/>
      <c r="H268" s="12"/>
      <c r="I268" s="12"/>
      <c r="J268" s="12"/>
      <c r="K268" s="12"/>
      <c r="L268" s="12"/>
      <c r="M268" s="12"/>
      <c r="N268" s="12"/>
      <c r="O268" s="2730">
        <v>1</v>
      </c>
    </row>
    <row r="269" spans="1:15" ht="21" customHeight="1">
      <c r="A269" s="12"/>
      <c r="B269" s="6630" t="s">
        <v>15693</v>
      </c>
      <c r="C269" s="12"/>
      <c r="D269" s="12"/>
      <c r="E269" s="12"/>
      <c r="F269" s="12"/>
      <c r="G269" s="12"/>
      <c r="H269" s="12"/>
      <c r="I269" s="12"/>
      <c r="J269" s="12"/>
      <c r="K269" s="12"/>
      <c r="L269" s="12"/>
      <c r="M269" s="12"/>
      <c r="N269" s="12"/>
      <c r="O269" s="2730">
        <v>1</v>
      </c>
    </row>
    <row r="270" spans="1:15" ht="21" customHeight="1">
      <c r="A270" s="12"/>
      <c r="B270" s="6630" t="s">
        <v>15694</v>
      </c>
      <c r="C270" s="12"/>
      <c r="D270" s="12"/>
      <c r="E270" s="12"/>
      <c r="F270" s="12"/>
      <c r="G270" s="12"/>
      <c r="H270" s="12"/>
      <c r="I270" s="12"/>
      <c r="J270" s="12"/>
      <c r="K270" s="12"/>
      <c r="L270" s="12"/>
      <c r="M270" s="12"/>
      <c r="N270" s="12"/>
      <c r="O270" s="2730">
        <v>1</v>
      </c>
    </row>
    <row r="271" spans="1:15" ht="21" customHeight="1">
      <c r="A271" s="12"/>
      <c r="B271" s="12"/>
      <c r="C271" s="12"/>
      <c r="D271" s="12"/>
      <c r="E271" s="12"/>
      <c r="F271" s="12"/>
      <c r="G271" s="12"/>
      <c r="H271" s="12"/>
      <c r="I271" s="12"/>
      <c r="J271" s="12"/>
      <c r="K271" s="12"/>
      <c r="L271" s="12"/>
      <c r="M271" s="12"/>
      <c r="N271" s="12"/>
      <c r="O271" s="2730">
        <v>1</v>
      </c>
    </row>
    <row r="272" spans="1:15" ht="21" customHeight="1">
      <c r="A272" s="12"/>
      <c r="B272" s="2801" t="s">
        <v>15695</v>
      </c>
      <c r="C272" s="12"/>
      <c r="D272" s="12"/>
      <c r="E272" s="12"/>
      <c r="F272" s="12"/>
      <c r="G272" s="12"/>
      <c r="H272" s="12"/>
      <c r="I272" s="12"/>
      <c r="J272" s="12"/>
      <c r="K272" s="12"/>
      <c r="L272" s="12"/>
      <c r="M272" s="12"/>
      <c r="N272" s="12"/>
      <c r="O272" s="2730">
        <v>1</v>
      </c>
    </row>
    <row r="273" spans="1:15" ht="21" customHeight="1">
      <c r="A273" s="12"/>
      <c r="B273" s="2801" t="s">
        <v>15696</v>
      </c>
      <c r="C273" s="12"/>
      <c r="D273" s="12"/>
      <c r="E273" s="12"/>
      <c r="F273" s="12"/>
      <c r="G273" s="12"/>
      <c r="H273" s="12"/>
      <c r="I273" s="12"/>
      <c r="J273" s="12"/>
      <c r="K273" s="12"/>
      <c r="L273" s="12"/>
      <c r="M273" s="12"/>
      <c r="N273" s="12"/>
      <c r="O273" s="2730">
        <v>1</v>
      </c>
    </row>
    <row r="274" spans="1:15" ht="21" customHeight="1">
      <c r="A274" s="12"/>
      <c r="B274" s="12"/>
      <c r="C274" s="12"/>
      <c r="D274" s="12"/>
      <c r="E274" s="12"/>
      <c r="F274" s="12"/>
      <c r="G274" s="12"/>
      <c r="H274" s="12"/>
      <c r="I274" s="12"/>
      <c r="J274" s="12"/>
      <c r="K274" s="12"/>
      <c r="L274" s="12"/>
      <c r="M274" s="12"/>
      <c r="N274" s="12"/>
      <c r="O274" s="2730">
        <v>1</v>
      </c>
    </row>
    <row r="275" spans="1:15" ht="21" customHeight="1">
      <c r="A275" s="6625"/>
      <c r="B275" s="6625"/>
      <c r="C275" s="6625"/>
      <c r="D275" s="6625"/>
      <c r="E275" s="6625"/>
      <c r="F275" s="6625"/>
      <c r="G275" s="6625"/>
      <c r="H275" s="6625"/>
      <c r="I275" s="6625"/>
      <c r="J275" s="6625"/>
      <c r="K275" s="6625"/>
      <c r="L275" s="6625"/>
      <c r="M275" s="6625"/>
      <c r="N275" s="6625"/>
      <c r="O275" s="2730">
        <v>1</v>
      </c>
    </row>
    <row r="276" spans="1:15" ht="21" customHeight="1">
      <c r="A276" s="12"/>
      <c r="B276" s="12"/>
      <c r="C276" s="12"/>
      <c r="D276" s="12"/>
      <c r="E276" s="12"/>
      <c r="F276" s="12"/>
      <c r="G276" s="12"/>
      <c r="H276" s="12"/>
      <c r="I276" s="12"/>
      <c r="J276" s="12"/>
      <c r="K276" s="12"/>
      <c r="L276" s="12"/>
      <c r="M276" s="12"/>
      <c r="N276" s="12"/>
      <c r="O276" s="2730">
        <v>1</v>
      </c>
    </row>
    <row r="277" spans="1:15" ht="21" customHeight="1">
      <c r="A277" s="12"/>
      <c r="B277" s="6631" t="s">
        <v>15697</v>
      </c>
      <c r="C277" s="12"/>
      <c r="D277" s="12"/>
      <c r="E277" s="12"/>
      <c r="F277" s="12"/>
      <c r="G277" s="12"/>
      <c r="H277" s="12"/>
      <c r="I277" s="12"/>
      <c r="J277" s="12"/>
      <c r="K277" s="12"/>
      <c r="L277" s="12"/>
      <c r="M277" s="12"/>
      <c r="N277" s="12"/>
      <c r="O277" s="2730">
        <v>1</v>
      </c>
    </row>
    <row r="278" spans="1:15" ht="21" customHeight="1">
      <c r="A278" s="12"/>
      <c r="B278" s="6632" t="s">
        <v>15698</v>
      </c>
      <c r="C278" s="12"/>
      <c r="D278" s="12"/>
      <c r="E278" s="12"/>
      <c r="F278" s="12"/>
      <c r="G278" s="12"/>
      <c r="H278" s="12"/>
      <c r="I278" s="12"/>
      <c r="J278" s="12"/>
      <c r="K278" s="12"/>
      <c r="L278" s="12"/>
      <c r="M278" s="12"/>
      <c r="N278" s="12"/>
      <c r="O278" s="2730">
        <v>1</v>
      </c>
    </row>
    <row r="279" spans="1:15" ht="21" customHeight="1">
      <c r="A279" s="12"/>
      <c r="B279" s="6633" t="s">
        <v>15699</v>
      </c>
      <c r="C279" s="12"/>
      <c r="D279" s="12"/>
      <c r="E279" s="12"/>
      <c r="F279" s="12"/>
      <c r="G279" s="12"/>
      <c r="H279" s="12"/>
      <c r="I279" s="12"/>
      <c r="J279" s="12"/>
      <c r="K279" s="12"/>
      <c r="L279" s="12"/>
      <c r="M279" s="12"/>
      <c r="N279" s="12"/>
      <c r="O279" s="2730">
        <v>1</v>
      </c>
    </row>
    <row r="280" spans="1:15" ht="21" customHeight="1">
      <c r="A280" s="12"/>
      <c r="B280" s="6632"/>
      <c r="C280" s="12"/>
      <c r="D280" s="12"/>
      <c r="E280" s="12"/>
      <c r="F280" s="12"/>
      <c r="G280" s="12"/>
      <c r="H280" s="12"/>
      <c r="I280" s="12"/>
      <c r="J280" s="12"/>
      <c r="K280" s="12"/>
      <c r="L280" s="12"/>
      <c r="M280" s="12"/>
      <c r="N280" s="12"/>
      <c r="O280" s="2730">
        <v>1</v>
      </c>
    </row>
    <row r="281" spans="1:15" ht="21" customHeight="1">
      <c r="A281" s="12"/>
      <c r="B281" s="6632" t="s">
        <v>15700</v>
      </c>
      <c r="C281" s="12"/>
      <c r="D281" s="12"/>
      <c r="E281" s="12"/>
      <c r="F281" s="12"/>
      <c r="G281" s="12"/>
      <c r="H281" s="12"/>
      <c r="I281" s="12"/>
      <c r="J281" s="12"/>
      <c r="K281" s="12"/>
      <c r="L281" s="12"/>
      <c r="M281" s="12"/>
      <c r="N281" s="12"/>
      <c r="O281" s="2730">
        <v>1</v>
      </c>
    </row>
    <row r="282" spans="1:15" ht="21" customHeight="1">
      <c r="A282" s="12"/>
      <c r="B282" s="6633" t="s">
        <v>15701</v>
      </c>
      <c r="C282" s="12"/>
      <c r="D282" s="12"/>
      <c r="E282" s="12"/>
      <c r="F282" s="12"/>
      <c r="G282" s="12"/>
      <c r="H282" s="12"/>
      <c r="I282" s="12"/>
      <c r="J282" s="12"/>
      <c r="K282" s="12"/>
      <c r="L282" s="12"/>
      <c r="M282" s="12"/>
      <c r="N282" s="12"/>
      <c r="O282" s="2730">
        <v>1</v>
      </c>
    </row>
    <row r="283" spans="1:15" ht="21" customHeight="1">
      <c r="A283" s="12"/>
      <c r="B283" s="6632"/>
      <c r="C283" s="12"/>
      <c r="D283" s="12"/>
      <c r="E283" s="12"/>
      <c r="F283" s="12"/>
      <c r="G283" s="12"/>
      <c r="H283" s="12"/>
      <c r="I283" s="12"/>
      <c r="J283" s="12"/>
      <c r="K283" s="12"/>
      <c r="L283" s="12"/>
      <c r="M283" s="12"/>
      <c r="N283" s="12"/>
      <c r="O283" s="2730">
        <v>1</v>
      </c>
    </row>
    <row r="284" spans="1:15" ht="21" customHeight="1">
      <c r="A284" s="12"/>
      <c r="B284" s="6632" t="s">
        <v>15702</v>
      </c>
      <c r="C284" s="12"/>
      <c r="D284" s="12"/>
      <c r="E284" s="12"/>
      <c r="F284" s="12"/>
      <c r="G284" s="12"/>
      <c r="H284" s="12"/>
      <c r="I284" s="12"/>
      <c r="J284" s="12"/>
      <c r="K284" s="12"/>
      <c r="L284" s="12"/>
      <c r="M284" s="12"/>
      <c r="N284" s="12"/>
      <c r="O284" s="2730">
        <v>1</v>
      </c>
    </row>
    <row r="285" spans="1:15" ht="21" customHeight="1">
      <c r="A285" s="12"/>
      <c r="B285" s="6634" t="s">
        <v>15703</v>
      </c>
      <c r="C285" s="12"/>
      <c r="D285" s="12"/>
      <c r="E285" s="12"/>
      <c r="F285" s="12"/>
      <c r="G285" s="12"/>
      <c r="H285" s="12"/>
      <c r="I285" s="12"/>
      <c r="J285" s="12"/>
      <c r="K285" s="12"/>
      <c r="L285" s="12"/>
      <c r="M285" s="12"/>
      <c r="N285" s="12"/>
      <c r="O285" s="2730">
        <v>1</v>
      </c>
    </row>
    <row r="286" spans="1:15" ht="21" customHeight="1">
      <c r="A286" s="12"/>
      <c r="B286" s="6632" t="s">
        <v>15704</v>
      </c>
      <c r="C286" s="12"/>
      <c r="D286" s="12"/>
      <c r="E286" s="12"/>
      <c r="F286" s="12"/>
      <c r="G286" s="12"/>
      <c r="H286" s="12"/>
      <c r="I286" s="12"/>
      <c r="J286" s="12"/>
      <c r="K286" s="12"/>
      <c r="L286" s="12"/>
      <c r="M286" s="12"/>
      <c r="N286" s="12"/>
      <c r="O286" s="2730">
        <v>1</v>
      </c>
    </row>
    <row r="287" spans="1:15" ht="21" customHeight="1">
      <c r="A287" s="12"/>
      <c r="B287" s="6631"/>
      <c r="C287" s="12"/>
      <c r="D287" s="12"/>
      <c r="E287" s="12"/>
      <c r="F287" s="12"/>
      <c r="G287" s="12"/>
      <c r="H287" s="12"/>
      <c r="I287" s="12"/>
      <c r="J287" s="12"/>
      <c r="K287" s="12"/>
      <c r="L287" s="12"/>
      <c r="M287" s="12"/>
      <c r="N287" s="12"/>
      <c r="O287" s="2730">
        <v>1</v>
      </c>
    </row>
    <row r="288" spans="1:15" ht="21" customHeight="1">
      <c r="A288" s="12"/>
      <c r="B288" s="6631" t="s">
        <v>15705</v>
      </c>
      <c r="C288" s="12"/>
      <c r="D288" s="12"/>
      <c r="E288" s="12"/>
      <c r="F288" s="12"/>
      <c r="G288" s="12"/>
      <c r="H288" s="12"/>
      <c r="I288" s="12"/>
      <c r="J288" s="12"/>
      <c r="K288" s="12"/>
      <c r="L288" s="12"/>
      <c r="M288" s="12"/>
      <c r="N288" s="12"/>
      <c r="O288" s="2730">
        <v>1</v>
      </c>
    </row>
    <row r="289" spans="1:17" ht="21" customHeight="1">
      <c r="A289" s="12"/>
      <c r="B289" s="6632" t="s">
        <v>15706</v>
      </c>
      <c r="C289" s="12"/>
      <c r="D289" s="12"/>
      <c r="E289" s="12"/>
      <c r="F289" s="12"/>
      <c r="G289" s="12"/>
      <c r="H289" s="12"/>
      <c r="I289" s="12"/>
      <c r="J289" s="12"/>
      <c r="K289" s="12"/>
      <c r="L289" s="12"/>
      <c r="M289" s="12"/>
      <c r="N289" s="12"/>
      <c r="O289" s="2730">
        <v>1</v>
      </c>
    </row>
    <row r="290" spans="1:17" ht="21" customHeight="1">
      <c r="A290" s="12"/>
      <c r="B290" s="6632" t="s">
        <v>15707</v>
      </c>
      <c r="C290" s="12"/>
      <c r="D290" s="12"/>
      <c r="E290" s="12"/>
      <c r="F290" s="12"/>
      <c r="G290" s="12"/>
      <c r="H290" s="12"/>
      <c r="I290" s="12"/>
      <c r="J290" s="12"/>
      <c r="K290" s="12"/>
      <c r="L290" s="12"/>
      <c r="M290" s="12"/>
      <c r="N290" s="12"/>
      <c r="O290" s="2730">
        <v>1</v>
      </c>
    </row>
    <row r="291" spans="1:17" ht="21" customHeight="1">
      <c r="A291" s="12"/>
      <c r="B291" s="6632" t="s">
        <v>15708</v>
      </c>
      <c r="C291" s="12"/>
      <c r="D291" s="12"/>
      <c r="E291" s="12"/>
      <c r="F291" s="12"/>
      <c r="G291" s="12"/>
      <c r="H291" s="12"/>
      <c r="I291" s="12"/>
      <c r="J291" s="12"/>
      <c r="K291" s="12"/>
      <c r="L291" s="12"/>
      <c r="M291" s="12"/>
      <c r="N291" s="12"/>
      <c r="O291" s="2730">
        <v>1</v>
      </c>
    </row>
    <row r="292" spans="1:17" ht="21" customHeight="1">
      <c r="A292" s="12"/>
      <c r="B292" s="6631" t="s">
        <v>15709</v>
      </c>
      <c r="C292" s="12"/>
      <c r="D292" s="12"/>
      <c r="E292" s="12"/>
      <c r="F292" s="12"/>
      <c r="G292" s="12"/>
      <c r="H292" s="12"/>
      <c r="I292" s="12"/>
      <c r="J292" s="12"/>
      <c r="K292" s="12"/>
      <c r="L292" s="12"/>
      <c r="M292" s="12"/>
      <c r="N292" s="12"/>
      <c r="O292" s="2730">
        <v>1</v>
      </c>
    </row>
    <row r="293" spans="1:17" ht="21" customHeight="1">
      <c r="A293" s="12"/>
      <c r="B293" s="6631"/>
      <c r="C293" s="12"/>
      <c r="D293" s="12"/>
      <c r="E293" s="12"/>
      <c r="F293" s="12"/>
      <c r="G293" s="12"/>
      <c r="H293" s="12"/>
      <c r="I293" s="12"/>
      <c r="J293" s="12"/>
      <c r="K293" s="12"/>
      <c r="L293" s="12"/>
      <c r="M293" s="12"/>
      <c r="N293" s="12"/>
      <c r="O293" s="3191" t="s">
        <v>7037</v>
      </c>
    </row>
    <row r="294" spans="1:17">
      <c r="A294" s="2730">
        <v>1</v>
      </c>
      <c r="B294" s="2730">
        <v>1</v>
      </c>
      <c r="C294" s="2730">
        <v>1</v>
      </c>
      <c r="D294" s="2730">
        <v>1</v>
      </c>
      <c r="E294" s="2730">
        <v>1</v>
      </c>
      <c r="F294" s="2730">
        <v>1</v>
      </c>
      <c r="G294" s="2730">
        <v>1</v>
      </c>
      <c r="H294" s="2730">
        <v>1</v>
      </c>
      <c r="I294" s="2730">
        <v>1</v>
      </c>
      <c r="J294" s="2730">
        <v>1</v>
      </c>
      <c r="K294" s="2730">
        <v>1</v>
      </c>
      <c r="L294" s="2730">
        <v>1</v>
      </c>
      <c r="M294" s="2730">
        <v>1</v>
      </c>
      <c r="N294" s="2730">
        <v>1</v>
      </c>
      <c r="O294" s="2732" t="str">
        <f>ADDRESS(ROW(),COLUMN(),4)</f>
        <v>O294</v>
      </c>
      <c r="P294" s="3095"/>
      <c r="Q294" s="3096" t="str">
        <f>ADDRESS(ROW(),COLUMN(),4)</f>
        <v>Q294</v>
      </c>
    </row>
  </sheetData>
  <mergeCells count="2">
    <mergeCell ref="B6:J7"/>
    <mergeCell ref="B8:J9"/>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41F98-A942-4FFF-8F57-FC2005FD309F}">
  <dimension ref="A1:AR227"/>
  <sheetViews>
    <sheetView topLeftCell="A41" zoomScale="75" zoomScaleNormal="75" workbookViewId="0">
      <selection activeCell="C18" sqref="C18"/>
    </sheetView>
  </sheetViews>
  <sheetFormatPr baseColWidth="10" defaultRowHeight="12.75"/>
  <cols>
    <col min="1" max="27" width="15.7109375" style="311" customWidth="1"/>
    <col min="28" max="16384" width="11.42578125" style="311"/>
  </cols>
  <sheetData>
    <row r="1" spans="1:33" ht="30" customHeight="1">
      <c r="A1" s="1590">
        <f t="shared" ref="A1:AA1" ca="1" si="0">CELL("largeur",A1)</f>
        <v>15</v>
      </c>
      <c r="B1" s="1590">
        <f t="shared" ca="1" si="0"/>
        <v>15</v>
      </c>
      <c r="C1" s="1590">
        <f t="shared" ca="1" si="0"/>
        <v>15</v>
      </c>
      <c r="D1" s="1590">
        <f t="shared" ca="1" si="0"/>
        <v>15</v>
      </c>
      <c r="E1" s="1590">
        <f t="shared" ca="1" si="0"/>
        <v>15</v>
      </c>
      <c r="F1" s="1590">
        <f t="shared" ca="1" si="0"/>
        <v>15</v>
      </c>
      <c r="G1" s="1590">
        <f t="shared" ca="1" si="0"/>
        <v>15</v>
      </c>
      <c r="H1" s="1590">
        <f t="shared" ca="1" si="0"/>
        <v>15</v>
      </c>
      <c r="I1" s="1590">
        <f t="shared" ca="1" si="0"/>
        <v>15</v>
      </c>
      <c r="J1" s="1590">
        <f t="shared" ca="1" si="0"/>
        <v>15</v>
      </c>
      <c r="K1" s="1590">
        <f t="shared" ca="1" si="0"/>
        <v>15</v>
      </c>
      <c r="L1" s="1590">
        <f t="shared" ca="1" si="0"/>
        <v>15</v>
      </c>
      <c r="M1" s="1590">
        <f t="shared" ca="1" si="0"/>
        <v>15</v>
      </c>
      <c r="N1" s="1590">
        <f t="shared" ca="1" si="0"/>
        <v>15</v>
      </c>
      <c r="O1" s="1590">
        <f t="shared" ca="1" si="0"/>
        <v>15</v>
      </c>
      <c r="P1" s="1590">
        <f t="shared" ca="1" si="0"/>
        <v>15</v>
      </c>
      <c r="Q1" s="1590">
        <f t="shared" ca="1" si="0"/>
        <v>15</v>
      </c>
      <c r="R1" s="1590">
        <f t="shared" ca="1" si="0"/>
        <v>15</v>
      </c>
      <c r="S1" s="1590">
        <f t="shared" ca="1" si="0"/>
        <v>15</v>
      </c>
      <c r="T1" s="1590">
        <f t="shared" ca="1" si="0"/>
        <v>15</v>
      </c>
      <c r="U1" s="1590">
        <f t="shared" ca="1" si="0"/>
        <v>15</v>
      </c>
      <c r="V1" s="1590">
        <f t="shared" ca="1" si="0"/>
        <v>15</v>
      </c>
      <c r="W1" s="1590">
        <f t="shared" ca="1" si="0"/>
        <v>15</v>
      </c>
      <c r="X1" s="1590">
        <f t="shared" ca="1" si="0"/>
        <v>15</v>
      </c>
      <c r="Y1" s="1590">
        <f t="shared" ca="1" si="0"/>
        <v>15</v>
      </c>
      <c r="Z1" s="1590">
        <f t="shared" ca="1" si="0"/>
        <v>15</v>
      </c>
      <c r="AA1" s="1590">
        <f t="shared" ca="1" si="0"/>
        <v>15</v>
      </c>
    </row>
    <row r="2" spans="1:33" ht="30" customHeight="1">
      <c r="A2" s="309"/>
      <c r="B2" s="1521"/>
      <c r="C2" s="1521"/>
      <c r="D2" s="1521"/>
      <c r="E2" s="1521"/>
      <c r="F2" s="1521"/>
      <c r="G2" s="1521"/>
      <c r="H2" s="1521"/>
      <c r="I2" s="1521"/>
      <c r="J2" s="1521"/>
      <c r="K2" s="1521"/>
      <c r="L2" s="1521"/>
      <c r="M2" s="1521"/>
      <c r="N2" s="1521"/>
      <c r="O2" s="1521"/>
      <c r="P2" s="1521"/>
      <c r="Q2" s="1521"/>
      <c r="R2" s="1521"/>
      <c r="S2" s="1521"/>
      <c r="T2" s="1521"/>
      <c r="U2" s="1521"/>
      <c r="V2" s="1521"/>
      <c r="W2" s="1521"/>
      <c r="X2" s="1521"/>
      <c r="Y2" s="1521"/>
      <c r="Z2" s="1521"/>
      <c r="AA2" s="1521"/>
    </row>
    <row r="3" spans="1:33" ht="30" customHeight="1">
      <c r="A3" s="309"/>
      <c r="B3" s="312" t="s">
        <v>2713</v>
      </c>
      <c r="C3" s="309"/>
      <c r="D3" s="309"/>
      <c r="E3" s="309"/>
      <c r="F3" s="309"/>
      <c r="G3" s="309"/>
      <c r="H3" s="309"/>
      <c r="I3" s="310"/>
      <c r="J3" s="309"/>
      <c r="K3" s="309"/>
      <c r="L3" s="310"/>
      <c r="M3" s="310"/>
      <c r="N3" s="310"/>
      <c r="O3" s="310"/>
      <c r="P3" s="1883" t="s">
        <v>2766</v>
      </c>
      <c r="Q3" s="1521"/>
      <c r="R3" s="1521"/>
      <c r="S3" s="1521"/>
      <c r="T3" s="1521"/>
      <c r="U3" s="1883"/>
      <c r="V3" s="1521"/>
      <c r="W3" s="1521"/>
      <c r="X3" s="1521"/>
      <c r="Y3" s="1521"/>
      <c r="Z3" s="1521"/>
      <c r="AA3" s="1521"/>
    </row>
    <row r="4" spans="1:33" ht="30" customHeight="1">
      <c r="A4" s="309"/>
      <c r="B4" s="312" t="s">
        <v>2714</v>
      </c>
      <c r="C4" s="1521"/>
      <c r="D4" s="1521"/>
      <c r="E4" s="1521"/>
      <c r="F4" s="1521"/>
      <c r="G4" s="1521"/>
      <c r="H4" s="1521"/>
      <c r="I4" s="1521"/>
      <c r="J4" s="1521"/>
      <c r="K4" s="1521"/>
      <c r="L4" s="1521"/>
      <c r="M4" s="1521"/>
      <c r="N4" s="1521"/>
      <c r="O4" s="1521"/>
      <c r="P4" s="1883" t="s">
        <v>2548</v>
      </c>
      <c r="Q4" s="1521"/>
      <c r="R4" s="1521"/>
      <c r="S4" s="1521"/>
      <c r="T4" s="1521"/>
      <c r="U4" s="1883"/>
      <c r="V4" s="1521"/>
      <c r="W4" s="1521"/>
      <c r="X4" s="1521"/>
      <c r="Y4" s="1521"/>
      <c r="Z4" s="1521"/>
      <c r="AA4" s="1521"/>
    </row>
    <row r="5" spans="1:33" ht="30" customHeight="1">
      <c r="A5" s="309"/>
      <c r="B5" s="1521"/>
      <c r="C5" s="1521"/>
      <c r="D5" s="1521"/>
      <c r="E5" s="1521"/>
      <c r="F5" s="1521"/>
      <c r="G5" s="1521"/>
      <c r="H5" s="1521"/>
      <c r="I5" s="1521"/>
      <c r="J5" s="1521"/>
      <c r="K5" s="1521"/>
      <c r="L5" s="1521"/>
      <c r="M5" s="1521"/>
      <c r="N5" s="1521"/>
      <c r="O5" s="1521"/>
      <c r="P5" s="1521"/>
      <c r="Q5" s="1521"/>
      <c r="R5" s="1521"/>
      <c r="S5" s="1521"/>
      <c r="T5" s="1521"/>
      <c r="U5" s="1521"/>
      <c r="V5" s="1521"/>
      <c r="W5" s="1521"/>
      <c r="X5" s="1521"/>
      <c r="Y5" s="1521"/>
      <c r="Z5" s="1521"/>
      <c r="AA5" s="1521"/>
    </row>
    <row r="6" spans="1:33" s="1546" customFormat="1" ht="40.5" customHeight="1">
      <c r="A6" s="1543"/>
      <c r="B6" s="1547"/>
      <c r="C6" s="2053" t="s">
        <v>2375</v>
      </c>
      <c r="D6" s="1544"/>
      <c r="E6" s="1544"/>
      <c r="F6" s="1544"/>
      <c r="G6" s="1544"/>
      <c r="H6" s="1544"/>
      <c r="I6" s="1544"/>
      <c r="J6" s="1544"/>
      <c r="K6" s="1544"/>
      <c r="L6" s="1544"/>
      <c r="M6" s="310"/>
      <c r="N6" s="1544"/>
      <c r="O6" s="1544"/>
      <c r="P6" s="1544"/>
      <c r="Q6" s="1544"/>
      <c r="R6" s="1544"/>
      <c r="S6" s="1544"/>
      <c r="T6" s="1544"/>
      <c r="U6" s="1544"/>
      <c r="V6" s="1544"/>
      <c r="W6" s="1544"/>
      <c r="X6" s="1544"/>
      <c r="Y6" s="1544"/>
      <c r="Z6" s="1544"/>
      <c r="AA6" s="1544"/>
      <c r="AG6" s="311"/>
    </row>
    <row r="7" spans="1:33" s="1546" customFormat="1" ht="40.5" customHeight="1">
      <c r="A7" s="1543"/>
      <c r="B7" s="1547"/>
      <c r="C7" s="1523"/>
      <c r="D7" s="1544"/>
      <c r="E7" s="2049" t="s">
        <v>2719</v>
      </c>
      <c r="F7" s="1544"/>
      <c r="G7" s="2045" t="s">
        <v>2718</v>
      </c>
      <c r="H7" s="1544"/>
      <c r="I7" s="1544"/>
      <c r="J7" s="1544"/>
      <c r="K7" s="1544"/>
      <c r="L7" s="2049" t="s">
        <v>2719</v>
      </c>
      <c r="M7" s="1544"/>
      <c r="N7" s="2045" t="s">
        <v>2718</v>
      </c>
      <c r="O7" s="1544"/>
      <c r="P7" s="1544"/>
      <c r="Q7" s="1544"/>
      <c r="R7" s="1544"/>
      <c r="S7" s="1544"/>
      <c r="T7" s="1544"/>
      <c r="U7" s="1544"/>
      <c r="V7" s="1544"/>
      <c r="W7" s="1544"/>
      <c r="X7" s="1544"/>
      <c r="Y7" s="1544"/>
      <c r="Z7" s="1544"/>
      <c r="AA7" s="1544"/>
      <c r="AG7" s="311"/>
    </row>
    <row r="8" spans="1:33" s="1546" customFormat="1" ht="40.5" customHeight="1">
      <c r="A8" s="1543"/>
      <c r="B8" s="1547"/>
      <c r="C8" s="1574"/>
      <c r="D8" s="1576" t="s">
        <v>1558</v>
      </c>
      <c r="E8" s="1577">
        <f>COLUMN()</f>
        <v>5</v>
      </c>
      <c r="F8" s="1544"/>
      <c r="G8" s="2145" t="str">
        <f ca="1">_xlfn.FORMULATEXT(E8)</f>
        <v>=COLONNE()</v>
      </c>
      <c r="H8" s="2050"/>
      <c r="I8" s="1544"/>
      <c r="J8" s="1576"/>
      <c r="K8" s="1576" t="s">
        <v>503</v>
      </c>
      <c r="L8" s="1578" t="str">
        <f>ADDRESS(ROW(),COLUMN(),4)</f>
        <v>L8</v>
      </c>
      <c r="M8" s="1544"/>
      <c r="N8" s="2145" t="str">
        <f ca="1">_xlfn.FORMULATEXT(L8)</f>
        <v>=ADRESSE(LIGNE();COLONNE();4)</v>
      </c>
      <c r="O8" s="1544"/>
      <c r="P8" s="1544"/>
      <c r="Q8" s="1544"/>
      <c r="R8" s="2050"/>
      <c r="S8" s="2050"/>
      <c r="T8" s="2050"/>
      <c r="U8" s="1544"/>
      <c r="V8" s="1544"/>
      <c r="W8" s="1544"/>
      <c r="X8" s="1544"/>
      <c r="Y8" s="1544"/>
      <c r="Z8" s="1544"/>
      <c r="AA8" s="1544"/>
      <c r="AG8" s="311"/>
    </row>
    <row r="9" spans="1:33" s="1546" customFormat="1" ht="40.5" customHeight="1">
      <c r="A9" s="1543"/>
      <c r="B9" s="1547"/>
      <c r="C9" s="1544"/>
      <c r="D9" s="1544"/>
      <c r="E9" s="2049" t="s">
        <v>2719</v>
      </c>
      <c r="F9" s="1544"/>
      <c r="G9" s="2045" t="s">
        <v>2718</v>
      </c>
      <c r="H9" s="1544"/>
      <c r="I9" s="1544"/>
      <c r="J9" s="310"/>
      <c r="K9" s="1544"/>
      <c r="L9" s="2049" t="s">
        <v>2719</v>
      </c>
      <c r="M9" s="1544"/>
      <c r="N9" s="2045" t="s">
        <v>2718</v>
      </c>
      <c r="O9" s="1544"/>
      <c r="P9" s="1544"/>
      <c r="Q9" s="1544"/>
      <c r="R9" s="1544"/>
      <c r="S9" s="1544"/>
      <c r="T9" s="1544"/>
      <c r="U9" s="1544"/>
      <c r="V9" s="1544"/>
      <c r="W9" s="1544"/>
      <c r="X9" s="1544"/>
      <c r="Y9" s="1544"/>
      <c r="Z9" s="1544"/>
      <c r="AA9" s="1544"/>
      <c r="AG9" s="311"/>
    </row>
    <row r="10" spans="1:33" s="1546" customFormat="1" ht="40.5" customHeight="1">
      <c r="A10" s="1543"/>
      <c r="B10" s="1547"/>
      <c r="C10" s="1574"/>
      <c r="D10" s="1576" t="s">
        <v>504</v>
      </c>
      <c r="E10" s="1587">
        <f>ROW()</f>
        <v>10</v>
      </c>
      <c r="F10" s="1544"/>
      <c r="G10" s="2145" t="str">
        <f ca="1">_xlfn.FORMULATEXT(E10)</f>
        <v>=LIGNE()</v>
      </c>
      <c r="H10" s="2050"/>
      <c r="I10" s="1544"/>
      <c r="J10" s="1574"/>
      <c r="K10" s="1576" t="s">
        <v>1672</v>
      </c>
      <c r="L10" s="1590">
        <f t="shared" ref="L10" ca="1" si="1">CELL("largeur",L10)</f>
        <v>15</v>
      </c>
      <c r="M10" s="1544"/>
      <c r="N10" s="2145" t="str">
        <f ca="1">_xlfn.FORMULATEXT(L10)</f>
        <v>=@CELLULE("largeur";L10)</v>
      </c>
      <c r="O10" s="1544"/>
      <c r="P10" s="1544"/>
      <c r="Q10" s="1544"/>
      <c r="R10" s="2050"/>
      <c r="S10" s="2050"/>
      <c r="T10" s="2050"/>
      <c r="U10" s="1544"/>
      <c r="V10" s="1544"/>
      <c r="W10" s="1544"/>
      <c r="X10" s="1544"/>
      <c r="Y10" s="1544"/>
      <c r="Z10" s="1544"/>
      <c r="AA10" s="1544"/>
      <c r="AG10" s="311"/>
    </row>
    <row r="11" spans="1:33" s="1546" customFormat="1" ht="40.5" customHeight="1">
      <c r="A11" s="1543"/>
      <c r="B11" s="1547"/>
      <c r="C11" s="1544"/>
      <c r="D11" s="1544"/>
      <c r="E11" s="2049" t="s">
        <v>2719</v>
      </c>
      <c r="F11" s="1544"/>
      <c r="G11" s="2045" t="s">
        <v>2718</v>
      </c>
      <c r="H11" s="1544"/>
      <c r="I11" s="1544"/>
      <c r="J11" s="1544"/>
      <c r="K11" s="1544"/>
      <c r="L11" s="1544"/>
      <c r="M11" s="310"/>
      <c r="N11" s="1544"/>
      <c r="O11" s="1544"/>
      <c r="P11" s="1544"/>
      <c r="Q11" s="1544"/>
      <c r="R11" s="1544"/>
      <c r="S11" s="1544"/>
      <c r="T11" s="1544"/>
      <c r="U11" s="1544"/>
      <c r="V11" s="1544"/>
      <c r="W11" s="1544"/>
      <c r="X11" s="1544"/>
      <c r="Y11" s="1544"/>
      <c r="Z11" s="1544"/>
      <c r="AA11" s="1544"/>
      <c r="AG11" s="311"/>
    </row>
    <row r="12" spans="1:33" s="1546" customFormat="1" ht="40.5" customHeight="1">
      <c r="A12" s="1543"/>
      <c r="B12" s="1547"/>
      <c r="C12" s="1576"/>
      <c r="D12" s="1576" t="s">
        <v>2380</v>
      </c>
      <c r="E12" s="1588" t="str">
        <f>LEFT(ADDRESS(1,COLUMN(),4),LEN(ADDRESS(1,COLUMN(),4))-1)</f>
        <v>E</v>
      </c>
      <c r="F12" s="1544"/>
      <c r="G12" s="2145" t="str">
        <f ca="1">_xlfn.FORMULATEXT(E12)</f>
        <v>=GAUCHE(ADRESSE(1;COLONNE();4);NBCAR(ADRESSE(1;COLONNE();4))-1)</v>
      </c>
      <c r="H12" s="2145"/>
      <c r="I12" s="2145"/>
      <c r="J12" s="2145"/>
      <c r="K12" s="2145"/>
      <c r="L12" s="2145"/>
      <c r="M12" s="2145"/>
      <c r="N12" s="2145"/>
      <c r="O12" s="2145"/>
      <c r="P12" s="1544"/>
      <c r="Q12" s="1544"/>
      <c r="R12" s="1544"/>
      <c r="S12" s="1544"/>
      <c r="T12" s="1544"/>
      <c r="U12" s="1544"/>
      <c r="V12" s="1544"/>
      <c r="W12" s="1544"/>
      <c r="X12" s="1544"/>
      <c r="Y12" s="1544"/>
      <c r="Z12" s="1544"/>
      <c r="AA12" s="1544"/>
      <c r="AG12" s="311"/>
    </row>
    <row r="13" spans="1:33" s="1929" customFormat="1" ht="40.5" customHeight="1">
      <c r="A13" s="1925"/>
      <c r="B13" s="1926"/>
      <c r="C13" s="1927"/>
      <c r="D13" s="1925"/>
      <c r="E13" s="1927"/>
      <c r="F13" s="1925"/>
      <c r="G13" s="1925"/>
      <c r="H13" s="310"/>
      <c r="I13" s="310"/>
      <c r="J13" s="310"/>
      <c r="K13" s="2146"/>
      <c r="L13" s="2143" t="str">
        <f ca="1">"Page "&amp;_xlfn.SHEET()&amp;" sur "&amp;_xlfn.SHEETS()</f>
        <v>Page 40 sur 41</v>
      </c>
      <c r="M13" s="310"/>
      <c r="N13" s="2145" t="s">
        <v>2767</v>
      </c>
      <c r="O13" s="1928"/>
      <c r="P13" s="1928"/>
      <c r="Q13" s="1928"/>
      <c r="R13" s="1928"/>
      <c r="S13" s="1928"/>
      <c r="T13" s="1928"/>
      <c r="U13" s="1928"/>
      <c r="V13" s="1928"/>
      <c r="W13" s="1928"/>
      <c r="X13" s="1928"/>
      <c r="Y13" s="1591"/>
      <c r="Z13" s="1928"/>
      <c r="AA13" s="1591"/>
      <c r="AG13" s="311"/>
    </row>
    <row r="14" spans="1:33" s="1546" customFormat="1" ht="40.5" customHeight="1">
      <c r="A14" s="1543"/>
      <c r="B14" s="1547"/>
      <c r="C14" s="1584"/>
      <c r="D14" s="1543"/>
      <c r="E14" s="1584"/>
      <c r="F14" s="2049" t="s">
        <v>2719</v>
      </c>
      <c r="G14" s="1543"/>
      <c r="H14" s="1543"/>
      <c r="I14" s="1543"/>
      <c r="J14" s="1543"/>
      <c r="K14" s="1543"/>
      <c r="L14" s="310"/>
      <c r="M14" s="310"/>
      <c r="N14" s="1544"/>
      <c r="O14" s="1544"/>
      <c r="P14" s="1544"/>
      <c r="Q14" s="1544"/>
      <c r="R14" s="1544"/>
      <c r="S14" s="1544"/>
      <c r="T14" s="1544"/>
      <c r="U14" s="1544"/>
      <c r="V14" s="1544"/>
      <c r="W14" s="1544"/>
      <c r="X14" s="1544"/>
      <c r="Y14" s="1544"/>
      <c r="Z14" s="1570"/>
      <c r="AA14" s="1570"/>
      <c r="AG14" s="311"/>
    </row>
    <row r="15" spans="1:33" s="1546" customFormat="1" ht="40.5" customHeight="1">
      <c r="A15" s="1543"/>
      <c r="B15" s="1547"/>
      <c r="C15" s="2051" t="s">
        <v>2716</v>
      </c>
      <c r="D15" s="2050"/>
      <c r="E15" s="2050"/>
      <c r="F15" s="2047" t="str">
        <f ca="1">CELL("nomfichier")</f>
        <v>D:\Données\1.UPRT\0-UPRT.fait\1-UPRT.FR-SITE-WEB\ff-fiches-fabrications\ff.fiches.fabrication.2023\UPRT.23.aout\[ff-20-CHARCUTERIE-michel-Mariette.BOUDIN.BLANC_-1.xlsx]Exemples Michel Mariette</v>
      </c>
      <c r="G15" s="2043"/>
      <c r="H15" s="2043"/>
      <c r="I15" s="2043"/>
      <c r="J15" s="2043"/>
      <c r="K15" s="2043"/>
      <c r="L15" s="2048"/>
      <c r="M15" s="2048"/>
      <c r="N15" s="1592"/>
      <c r="O15" s="1592"/>
      <c r="P15" s="1592"/>
      <c r="Q15" s="1592"/>
      <c r="R15" s="1592"/>
      <c r="S15" s="1592"/>
      <c r="T15" s="1592"/>
      <c r="U15" s="1592"/>
      <c r="V15" s="1592"/>
      <c r="W15" s="1592"/>
      <c r="X15" s="1592"/>
      <c r="Y15" s="1544"/>
      <c r="Z15" s="1544"/>
      <c r="AA15" s="1544"/>
      <c r="AG15" s="311"/>
    </row>
    <row r="16" spans="1:33" s="1546" customFormat="1" ht="40.5" customHeight="1">
      <c r="A16" s="1543"/>
      <c r="B16" s="1547"/>
      <c r="C16" s="1543"/>
      <c r="D16" s="1543"/>
      <c r="E16" s="1543"/>
      <c r="F16" s="2145" t="str">
        <f ca="1">_xlfn.FORMULATEXT(F15)</f>
        <v>=@CELLULE("nomfichier")</v>
      </c>
      <c r="G16" s="2145"/>
      <c r="H16" s="2145"/>
      <c r="I16" s="2145"/>
      <c r="J16" s="1543"/>
      <c r="K16" s="1543"/>
      <c r="L16" s="310"/>
      <c r="M16" s="310"/>
      <c r="N16" s="1544"/>
      <c r="O16" s="1544"/>
      <c r="P16" s="1544"/>
      <c r="Q16" s="1544"/>
      <c r="R16" s="1544"/>
      <c r="S16" s="1544"/>
      <c r="T16" s="1544"/>
      <c r="U16" s="1544"/>
      <c r="V16" s="1544"/>
      <c r="W16" s="1544"/>
      <c r="X16" s="1544"/>
      <c r="Y16" s="1544"/>
      <c r="Z16" s="1544"/>
      <c r="AA16" s="1544"/>
      <c r="AG16" s="311"/>
    </row>
    <row r="17" spans="1:44" s="1929" customFormat="1" ht="40.5" customHeight="1">
      <c r="A17" s="1925"/>
      <c r="B17" s="1926"/>
      <c r="C17" s="1927"/>
      <c r="D17" s="1925"/>
      <c r="E17" s="1927"/>
      <c r="F17" s="2046" t="s">
        <v>2718</v>
      </c>
      <c r="G17" s="1925"/>
      <c r="H17" s="310"/>
      <c r="I17" s="310"/>
      <c r="J17" s="310"/>
      <c r="K17" s="310"/>
      <c r="L17" s="310"/>
      <c r="M17" s="310"/>
      <c r="N17" s="1928"/>
      <c r="O17" s="1928"/>
      <c r="P17" s="1928"/>
      <c r="Q17" s="1928"/>
      <c r="R17" s="1928"/>
      <c r="S17" s="1928"/>
      <c r="T17" s="1928"/>
      <c r="U17" s="1928"/>
      <c r="V17" s="1928"/>
      <c r="W17" s="1928"/>
      <c r="X17" s="1928"/>
      <c r="Y17" s="1591"/>
      <c r="Z17" s="1928"/>
      <c r="AA17" s="1591"/>
      <c r="AG17" s="311"/>
    </row>
    <row r="18" spans="1:44" s="1929" customFormat="1" ht="40.5" customHeight="1">
      <c r="A18" s="1925"/>
      <c r="B18" s="1926"/>
      <c r="C18" s="1927"/>
      <c r="D18" s="1925"/>
      <c r="E18" s="1927"/>
      <c r="F18" s="1925"/>
      <c r="G18" s="1925"/>
      <c r="H18" s="310"/>
      <c r="I18" s="310"/>
      <c r="J18" s="310"/>
      <c r="K18" s="310"/>
      <c r="L18" s="310"/>
      <c r="M18" s="310"/>
      <c r="N18" s="1928"/>
      <c r="O18" s="1928"/>
      <c r="P18" s="1928"/>
      <c r="Q18" s="1928"/>
      <c r="R18" s="1928"/>
      <c r="S18" s="1928"/>
      <c r="T18" s="1928"/>
      <c r="U18" s="1928"/>
      <c r="V18" s="1928"/>
      <c r="W18" s="1928"/>
      <c r="X18" s="1928"/>
      <c r="Y18" s="1591"/>
      <c r="Z18" s="1928"/>
      <c r="AA18" s="1591"/>
      <c r="AG18" s="311"/>
    </row>
    <row r="19" spans="1:44" s="1545" customFormat="1" ht="53.25" customHeight="1">
      <c r="A19" s="1930"/>
      <c r="B19" s="1931"/>
      <c r="C19" s="1932"/>
      <c r="D19" s="1933"/>
      <c r="E19" s="1933"/>
      <c r="F19" s="1934"/>
      <c r="G19" s="1934"/>
      <c r="H19" s="1934"/>
      <c r="I19" s="1934"/>
      <c r="J19" s="1935"/>
      <c r="K19" s="1932"/>
      <c r="L19" s="1932"/>
      <c r="M19" s="1932"/>
      <c r="N19" s="1932"/>
      <c r="O19" s="1932"/>
      <c r="P19" s="1932"/>
      <c r="Q19" s="1932"/>
      <c r="R19" s="1932"/>
      <c r="S19" s="1932"/>
      <c r="T19" s="1932"/>
      <c r="U19" s="1932"/>
      <c r="V19" s="1932"/>
      <c r="W19" s="1932"/>
      <c r="X19" s="1932"/>
      <c r="Y19" s="1932"/>
      <c r="Z19" s="1932"/>
      <c r="AA19" s="1932"/>
    </row>
    <row r="20" spans="1:44" s="1545" customFormat="1" ht="24.95" customHeight="1">
      <c r="A20" s="1543"/>
      <c r="B20" s="10251" t="s">
        <v>2733</v>
      </c>
      <c r="C20" s="10251"/>
      <c r="D20" s="10251"/>
      <c r="E20" s="10251"/>
      <c r="F20" s="10251"/>
      <c r="G20" s="10251"/>
      <c r="H20" s="10251"/>
      <c r="I20" s="10251"/>
      <c r="J20" s="10251"/>
      <c r="K20" s="10251"/>
      <c r="L20" s="10251"/>
      <c r="M20" s="10251"/>
      <c r="N20" s="10251"/>
      <c r="O20" s="10251"/>
      <c r="P20" s="1936"/>
      <c r="Q20" s="1544"/>
      <c r="R20" s="1544"/>
      <c r="S20" s="1544"/>
      <c r="T20" s="1544"/>
      <c r="U20" s="1544"/>
      <c r="V20" s="1544"/>
      <c r="W20" s="1544"/>
      <c r="X20" s="1544"/>
      <c r="Y20" s="1544"/>
      <c r="Z20" s="1544"/>
      <c r="AA20" s="1544"/>
    </row>
    <row r="21" spans="1:44" s="1546" customFormat="1" ht="24.95" customHeight="1">
      <c r="A21" s="1543"/>
      <c r="B21" s="10251"/>
      <c r="C21" s="10251"/>
      <c r="D21" s="10251"/>
      <c r="E21" s="10251"/>
      <c r="F21" s="10251"/>
      <c r="G21" s="10251"/>
      <c r="H21" s="10251"/>
      <c r="I21" s="10251"/>
      <c r="J21" s="10251"/>
      <c r="K21" s="10251"/>
      <c r="L21" s="10251"/>
      <c r="M21" s="10251"/>
      <c r="N21" s="10251"/>
      <c r="O21" s="10251"/>
      <c r="P21" s="1936"/>
      <c r="Q21" s="1544"/>
      <c r="R21" s="1544"/>
      <c r="S21" s="1544"/>
      <c r="T21" s="1544"/>
      <c r="U21" s="1544"/>
      <c r="V21" s="1544"/>
      <c r="W21" s="1544"/>
      <c r="X21" s="1544"/>
      <c r="Y21" s="1544"/>
      <c r="Z21" s="1544"/>
      <c r="AA21" s="1544"/>
      <c r="AB21" s="1545"/>
      <c r="AC21" s="1545"/>
      <c r="AD21" s="1545"/>
      <c r="AE21" s="1545"/>
      <c r="AF21" s="1545"/>
      <c r="AG21" s="1545"/>
      <c r="AH21" s="1545"/>
      <c r="AI21" s="1545"/>
      <c r="AJ21" s="1545"/>
      <c r="AK21" s="1545"/>
      <c r="AL21" s="1545"/>
      <c r="AM21" s="1545"/>
      <c r="AN21" s="1545"/>
      <c r="AO21" s="1545"/>
      <c r="AP21" s="1545"/>
      <c r="AQ21" s="1545"/>
      <c r="AR21" s="1545"/>
    </row>
    <row r="22" spans="1:44" s="1545" customFormat="1" ht="24.95" customHeight="1">
      <c r="A22" s="1937"/>
      <c r="B22" s="10251"/>
      <c r="C22" s="10251"/>
      <c r="D22" s="10251"/>
      <c r="E22" s="10251"/>
      <c r="F22" s="10251"/>
      <c r="G22" s="10251"/>
      <c r="H22" s="10251"/>
      <c r="I22" s="10251"/>
      <c r="J22" s="10251"/>
      <c r="K22" s="10251"/>
      <c r="L22" s="10251"/>
      <c r="M22" s="10251"/>
      <c r="N22" s="10251"/>
      <c r="O22" s="10251"/>
      <c r="P22" s="1938"/>
      <c r="Q22" s="1544"/>
      <c r="R22" s="1544"/>
      <c r="S22" s="1544"/>
      <c r="T22" s="1544"/>
      <c r="U22" s="1544"/>
      <c r="V22" s="1544"/>
      <c r="W22" s="1544"/>
      <c r="X22" s="1544"/>
      <c r="Y22" s="1544"/>
      <c r="Z22" s="1544"/>
      <c r="AA22" s="1544"/>
    </row>
    <row r="23" spans="1:44" s="1545" customFormat="1" ht="24.95" customHeight="1">
      <c r="A23" s="1937"/>
      <c r="B23" s="10251"/>
      <c r="C23" s="10251"/>
      <c r="D23" s="10251"/>
      <c r="E23" s="10251"/>
      <c r="F23" s="10251"/>
      <c r="G23" s="10251"/>
      <c r="H23" s="10251"/>
      <c r="I23" s="10251"/>
      <c r="J23" s="10251"/>
      <c r="K23" s="10251"/>
      <c r="L23" s="10251"/>
      <c r="M23" s="10251"/>
      <c r="N23" s="10251"/>
      <c r="O23" s="10251"/>
      <c r="P23" s="1938"/>
      <c r="Q23" s="1544"/>
      <c r="R23" s="1544"/>
      <c r="S23" s="1544"/>
      <c r="T23" s="1544"/>
      <c r="U23" s="1544"/>
      <c r="V23" s="1544"/>
      <c r="W23" s="1544"/>
      <c r="X23" s="1544"/>
      <c r="Y23" s="1544"/>
      <c r="Z23" s="1544"/>
      <c r="AA23" s="1544"/>
    </row>
    <row r="24" spans="1:44" s="1545" customFormat="1" ht="24.95" customHeight="1">
      <c r="A24" s="1937"/>
      <c r="B24" s="1938"/>
      <c r="C24" s="1938"/>
      <c r="D24" s="1945"/>
      <c r="E24" s="1946"/>
      <c r="F24" s="1945"/>
      <c r="G24" s="1945"/>
      <c r="H24" s="1945"/>
      <c r="I24" s="1945"/>
      <c r="J24" s="1947"/>
      <c r="K24" s="1938"/>
      <c r="L24" s="1938"/>
      <c r="M24" s="1938"/>
      <c r="N24" s="1938"/>
      <c r="O24" s="1938"/>
      <c r="P24" s="1938"/>
      <c r="Q24" s="1544"/>
      <c r="R24" s="1544"/>
      <c r="S24" s="1544"/>
      <c r="T24" s="1544"/>
      <c r="U24" s="1544"/>
      <c r="V24" s="1544"/>
      <c r="W24" s="1544"/>
      <c r="X24" s="1544"/>
      <c r="Y24" s="1544"/>
      <c r="Z24" s="1544"/>
      <c r="AA24" s="1544"/>
    </row>
    <row r="25" spans="1:44" s="1545" customFormat="1" ht="24.95" customHeight="1">
      <c r="A25" s="1937"/>
      <c r="B25" s="1938"/>
      <c r="C25" s="1951" t="s">
        <v>2669</v>
      </c>
      <c r="D25" s="1945"/>
      <c r="E25" s="1946"/>
      <c r="F25" s="1945"/>
      <c r="G25" s="1945"/>
      <c r="H25" s="1945"/>
      <c r="I25" s="1945"/>
      <c r="J25" s="1947"/>
      <c r="K25" s="1938"/>
      <c r="L25" s="1938"/>
      <c r="M25" s="1938"/>
      <c r="N25" s="1938"/>
      <c r="O25" s="1938"/>
      <c r="P25" s="1938"/>
      <c r="Q25" s="1544"/>
      <c r="R25" s="1544"/>
      <c r="S25" s="1544"/>
      <c r="T25" s="1544"/>
      <c r="U25" s="1544"/>
      <c r="V25" s="1544"/>
      <c r="W25" s="1544"/>
      <c r="X25" s="1544"/>
      <c r="Y25" s="1544"/>
      <c r="Z25" s="1544"/>
      <c r="AA25" s="1544"/>
    </row>
    <row r="26" spans="1:44" s="1545" customFormat="1" ht="24.95" customHeight="1">
      <c r="A26" s="1937"/>
      <c r="B26" s="1938"/>
      <c r="C26" s="1953" t="s">
        <v>2671</v>
      </c>
      <c r="D26" s="1945"/>
      <c r="E26" s="1946"/>
      <c r="F26" s="1945"/>
      <c r="G26" s="1945"/>
      <c r="H26" s="1945"/>
      <c r="I26" s="1945"/>
      <c r="J26" s="1947"/>
      <c r="K26" s="1938"/>
      <c r="L26" s="1938"/>
      <c r="M26" s="1938"/>
      <c r="N26" s="1938"/>
      <c r="O26" s="1938"/>
      <c r="P26" s="1938"/>
      <c r="Q26" s="1544"/>
      <c r="R26" s="1544"/>
      <c r="S26" s="1544"/>
      <c r="T26" s="1544"/>
      <c r="U26" s="1544"/>
      <c r="V26" s="1544"/>
      <c r="W26" s="1544"/>
      <c r="X26" s="1544"/>
      <c r="Y26" s="1544"/>
      <c r="Z26" s="1544"/>
      <c r="AA26" s="1544"/>
    </row>
    <row r="27" spans="1:44" s="1545" customFormat="1" ht="24.95" customHeight="1">
      <c r="A27" s="1937"/>
      <c r="B27" s="1938"/>
      <c r="C27" s="1938"/>
      <c r="D27" s="1945"/>
      <c r="E27" s="1946"/>
      <c r="F27" s="1945"/>
      <c r="G27" s="1945"/>
      <c r="H27" s="1945"/>
      <c r="I27" s="1945"/>
      <c r="J27" s="1947"/>
      <c r="K27" s="1938"/>
      <c r="L27" s="1938"/>
      <c r="M27" s="1938"/>
      <c r="N27" s="1938"/>
      <c r="O27" s="1938"/>
      <c r="P27" s="1938"/>
      <c r="Q27" s="1544"/>
      <c r="R27" s="1544"/>
      <c r="S27" s="1544"/>
      <c r="T27" s="1544"/>
      <c r="U27" s="1544"/>
      <c r="V27" s="1544"/>
      <c r="W27" s="1544"/>
      <c r="X27" s="1544"/>
      <c r="Y27" s="1544"/>
      <c r="Z27" s="1544"/>
      <c r="AA27" s="1544"/>
    </row>
    <row r="28" spans="1:44" s="1545" customFormat="1" ht="24.95" customHeight="1">
      <c r="A28" s="1937"/>
      <c r="B28" s="1938"/>
      <c r="C28" s="1948" t="s">
        <v>2661</v>
      </c>
      <c r="D28" s="1949" t="s">
        <v>1283</v>
      </c>
      <c r="E28" s="2147" t="s">
        <v>2662</v>
      </c>
      <c r="F28" s="1943"/>
      <c r="G28" s="1943"/>
      <c r="H28" s="1943"/>
      <c r="I28" s="1943"/>
      <c r="J28" s="1943"/>
      <c r="K28" s="1943"/>
      <c r="L28" s="1938"/>
      <c r="M28" s="1938"/>
      <c r="N28" s="1938"/>
      <c r="O28" s="1938"/>
      <c r="P28" s="1938"/>
      <c r="Q28" s="1544"/>
      <c r="R28" s="1952"/>
      <c r="S28" s="1544"/>
      <c r="T28" s="1544"/>
      <c r="U28" s="1544"/>
      <c r="V28" s="1544"/>
      <c r="W28" s="1544"/>
      <c r="X28" s="1544"/>
      <c r="Y28" s="1544"/>
      <c r="Z28" s="1544"/>
      <c r="AA28" s="1544"/>
    </row>
    <row r="29" spans="1:44" s="1545" customFormat="1" ht="24.95" customHeight="1">
      <c r="A29" s="1937"/>
      <c r="B29" s="1938"/>
      <c r="C29" s="1937"/>
      <c r="D29" s="1937"/>
      <c r="E29" s="1937"/>
      <c r="F29" s="1937"/>
      <c r="G29" s="1937"/>
      <c r="H29" s="1937"/>
      <c r="I29" s="1937"/>
      <c r="J29" s="1937"/>
      <c r="K29" s="1937"/>
      <c r="L29" s="1937"/>
      <c r="M29" s="1937"/>
      <c r="N29" s="1937"/>
      <c r="O29" s="1938"/>
      <c r="P29" s="1938"/>
      <c r="Q29" s="1544"/>
      <c r="R29" s="1952"/>
      <c r="S29" s="1544"/>
      <c r="T29" s="1544"/>
      <c r="U29" s="1544"/>
      <c r="V29" s="1544"/>
      <c r="W29" s="1544"/>
      <c r="X29" s="1544"/>
      <c r="Y29" s="1544"/>
      <c r="Z29" s="1544"/>
      <c r="AA29" s="1544"/>
    </row>
    <row r="30" spans="1:44" s="1545" customFormat="1" ht="24.95" customHeight="1" thickBot="1">
      <c r="A30" s="1939"/>
      <c r="B30" s="1939"/>
      <c r="C30" s="1939"/>
      <c r="D30" s="1939"/>
      <c r="E30" s="1939"/>
      <c r="F30" s="1939"/>
      <c r="G30" s="1939"/>
      <c r="H30" s="1939"/>
      <c r="I30" s="1939"/>
      <c r="J30" s="1939"/>
      <c r="K30" s="1939"/>
      <c r="L30" s="1939"/>
      <c r="M30" s="1939"/>
      <c r="N30" s="1939"/>
      <c r="O30" s="1939"/>
      <c r="P30" s="1939"/>
      <c r="Q30" s="1939"/>
      <c r="R30" s="1939"/>
      <c r="S30" s="1939"/>
      <c r="T30" s="1939"/>
      <c r="U30" s="1939"/>
      <c r="V30" s="1939"/>
      <c r="W30" s="1939"/>
      <c r="X30" s="1939"/>
      <c r="Y30" s="1939"/>
      <c r="Z30" s="1939"/>
      <c r="AA30" s="1939"/>
    </row>
    <row r="31" spans="1:44" s="1545" customFormat="1" ht="24.95" customHeight="1">
      <c r="A31" s="1937"/>
      <c r="B31" s="2009"/>
      <c r="C31" s="1980"/>
      <c r="D31" s="1978"/>
      <c r="E31" s="1978"/>
      <c r="F31" s="1978"/>
      <c r="G31" s="1978"/>
      <c r="H31" s="1978"/>
      <c r="I31" s="1978"/>
      <c r="J31" s="1979"/>
      <c r="K31" s="1980"/>
      <c r="L31" s="1980"/>
      <c r="M31" s="1980"/>
      <c r="N31" s="1981"/>
      <c r="O31" s="1939"/>
      <c r="P31" s="1939"/>
      <c r="Q31" s="10252" t="s">
        <v>2768</v>
      </c>
      <c r="R31" s="10252"/>
      <c r="S31" s="10252"/>
      <c r="T31" s="10252"/>
      <c r="U31" s="10252"/>
      <c r="V31" s="10252"/>
      <c r="W31" s="10252"/>
      <c r="X31" s="10252"/>
      <c r="Y31" s="10252"/>
      <c r="Z31" s="10252"/>
      <c r="AA31" s="10252"/>
    </row>
    <row r="32" spans="1:44" s="1545" customFormat="1" ht="24.95" customHeight="1">
      <c r="A32" s="1937"/>
      <c r="B32" s="2013" t="s">
        <v>2727</v>
      </c>
      <c r="C32" s="2148" t="s">
        <v>2722</v>
      </c>
      <c r="D32" s="2016"/>
      <c r="E32" s="2016"/>
      <c r="F32" s="2016"/>
      <c r="G32" s="2016"/>
      <c r="H32" s="2016"/>
      <c r="I32" s="2016"/>
      <c r="J32" s="2017"/>
      <c r="K32" s="2015"/>
      <c r="L32" s="2015"/>
      <c r="M32" s="2015"/>
      <c r="N32" s="1982"/>
      <c r="O32" s="1939"/>
      <c r="P32" s="1939"/>
      <c r="Q32" s="10253"/>
      <c r="R32" s="10253"/>
      <c r="S32" s="10253"/>
      <c r="T32" s="10253"/>
      <c r="U32" s="10253"/>
      <c r="V32" s="10253"/>
      <c r="W32" s="10253"/>
      <c r="X32" s="10253"/>
      <c r="Y32" s="10253"/>
      <c r="Z32" s="10253"/>
      <c r="AA32" s="10253"/>
    </row>
    <row r="33" spans="1:27" s="1545" customFormat="1" ht="24.95" customHeight="1" thickBot="1">
      <c r="A33" s="1937"/>
      <c r="B33" s="2013"/>
      <c r="C33" s="2149" t="str">
        <f ca="1">MID(LEFT(CELL("filename",A1),FIND("[",CELL("filename",A1))-2),SEARCH("µ",SUBSTITUTE(LEFT(CELL("filename",A1),FIND("[",CELL("filename",A1))-2),"\","µ",LEN(LEFT(CELL("filename",A1),FIND("[",CELL("filename",A1))-2))-LEN(SUBSTITUTE(LEFT(CELL("filename",A1),FIND("[",CELL("filename",A1))-2),"\",""))))+1,100)</f>
        <v>UPRT.23.aout</v>
      </c>
      <c r="D33" s="2150"/>
      <c r="E33" s="2150"/>
      <c r="F33" s="2150"/>
      <c r="G33" s="2150"/>
      <c r="H33" s="2150"/>
      <c r="I33" s="2150"/>
      <c r="J33" s="2151"/>
      <c r="K33" s="2151"/>
      <c r="L33" s="2152"/>
      <c r="M33" s="2152"/>
      <c r="N33" s="2064"/>
      <c r="O33" s="2152"/>
      <c r="P33" s="1939"/>
      <c r="Q33" s="10254" t="s">
        <v>44</v>
      </c>
      <c r="R33" s="10255"/>
      <c r="S33" s="10255"/>
      <c r="T33" s="10255"/>
      <c r="U33" s="2153"/>
      <c r="V33" s="2154"/>
      <c r="W33" s="2154"/>
      <c r="X33" s="10256" t="s">
        <v>43</v>
      </c>
      <c r="Y33" s="10258" t="s">
        <v>41</v>
      </c>
      <c r="Z33" s="10258" t="s">
        <v>40</v>
      </c>
      <c r="AA33" s="10260" t="s">
        <v>39</v>
      </c>
    </row>
    <row r="34" spans="1:27" s="1545" customFormat="1" ht="24.95" customHeight="1">
      <c r="A34" s="1937"/>
      <c r="B34" s="2013">
        <f>ROW()</f>
        <v>34</v>
      </c>
      <c r="C34" s="2155" t="str">
        <f ca="1">_xlfn.FORMULATEXT(C33)</f>
        <v>=STXT(GAUCHE(@CELLULE("filename";A1);TROUVE("[";@CELLULE("filename";A1))-2);CHERCHE("µ";SUBSTITUE(GAUCHE(@CELLULE("filename";A1);TROUVE("[";@CELLULE("filename";A1))-2);"\";"µ";NBCAR(GAUCHE(@CELLULE("filename";A1);TROUVE("[";@CELLULE("filename";A1))-2))-NBCAR(SUBSTITUE(GAUCHE(@CELLULE("filename";A1);TROUVE("[";@CELLULE("filename";A1))-2);"\";""))))+1;100)</v>
      </c>
      <c r="D34" s="2155"/>
      <c r="E34" s="2155"/>
      <c r="F34" s="2155"/>
      <c r="G34" s="2155"/>
      <c r="H34" s="2155"/>
      <c r="I34" s="2155"/>
      <c r="J34" s="2155"/>
      <c r="K34" s="2155"/>
      <c r="L34" s="2155"/>
      <c r="M34" s="2155"/>
      <c r="N34" s="2065"/>
      <c r="O34" s="2155" t="s">
        <v>2</v>
      </c>
      <c r="P34" s="1939"/>
      <c r="Q34" s="10262" t="s">
        <v>38</v>
      </c>
      <c r="R34" s="10243" t="s">
        <v>37</v>
      </c>
      <c r="S34" s="10243" t="s">
        <v>36</v>
      </c>
      <c r="T34" s="10243" t="s">
        <v>35</v>
      </c>
      <c r="U34" s="2156"/>
      <c r="V34" s="2157"/>
      <c r="W34" s="2157"/>
      <c r="X34" s="10257"/>
      <c r="Y34" s="10259"/>
      <c r="Z34" s="10259"/>
      <c r="AA34" s="10261"/>
    </row>
    <row r="35" spans="1:27" s="1545" customFormat="1" ht="24.95" customHeight="1" thickBot="1">
      <c r="A35" s="1937"/>
      <c r="B35" s="1999"/>
      <c r="C35" s="2054" t="s">
        <v>2728</v>
      </c>
      <c r="D35" s="1983"/>
      <c r="E35" s="1983"/>
      <c r="F35" s="1983"/>
      <c r="G35" s="1983"/>
      <c r="H35" s="1983"/>
      <c r="I35" s="1983"/>
      <c r="J35" s="1984"/>
      <c r="K35" s="1985"/>
      <c r="L35" s="1985"/>
      <c r="M35" s="1985"/>
      <c r="N35" s="1986"/>
      <c r="O35" s="1939"/>
      <c r="P35" s="1939"/>
      <c r="Q35" s="10263"/>
      <c r="R35" s="10244"/>
      <c r="S35" s="10244"/>
      <c r="T35" s="10244"/>
      <c r="U35" s="10245" t="s">
        <v>43</v>
      </c>
      <c r="V35" s="10246" t="s">
        <v>32</v>
      </c>
      <c r="W35" s="10246" t="s">
        <v>31</v>
      </c>
      <c r="X35" s="10247" t="s">
        <v>34</v>
      </c>
      <c r="Y35" s="10264" t="s">
        <v>33</v>
      </c>
      <c r="Z35" s="10264" t="s">
        <v>32</v>
      </c>
      <c r="AA35" s="10265" t="s">
        <v>31</v>
      </c>
    </row>
    <row r="36" spans="1:27" s="1545" customFormat="1" ht="24.95" customHeight="1" thickBot="1">
      <c r="A36" s="1937"/>
      <c r="B36" s="1938"/>
      <c r="C36" s="1939"/>
      <c r="D36" s="1940"/>
      <c r="E36" s="1940"/>
      <c r="F36" s="1941"/>
      <c r="G36" s="1941"/>
      <c r="H36" s="1941"/>
      <c r="I36" s="1941"/>
      <c r="J36" s="1950"/>
      <c r="K36" s="1939"/>
      <c r="L36" s="1939"/>
      <c r="M36" s="1939"/>
      <c r="N36" s="1939"/>
      <c r="O36" s="1939"/>
      <c r="P36" s="1939"/>
      <c r="Q36" s="10263"/>
      <c r="R36" s="10244"/>
      <c r="S36" s="10244"/>
      <c r="T36" s="10244"/>
      <c r="U36" s="10245"/>
      <c r="V36" s="10246"/>
      <c r="W36" s="10246"/>
      <c r="X36" s="10247"/>
      <c r="Y36" s="10264"/>
      <c r="Z36" s="10264"/>
      <c r="AA36" s="10265"/>
    </row>
    <row r="37" spans="1:27" s="1545" customFormat="1" ht="24.95" customHeight="1">
      <c r="A37" s="1937"/>
      <c r="B37" s="2007"/>
      <c r="C37" s="1990"/>
      <c r="D37" s="1987"/>
      <c r="E37" s="1987"/>
      <c r="F37" s="1988"/>
      <c r="G37" s="1988"/>
      <c r="H37" s="1988"/>
      <c r="I37" s="1988"/>
      <c r="J37" s="1989"/>
      <c r="K37" s="1990"/>
      <c r="L37" s="1991"/>
      <c r="M37" s="1939"/>
      <c r="N37" s="1939"/>
      <c r="O37" s="1939"/>
      <c r="P37" s="1939"/>
      <c r="Q37" s="10218" t="s">
        <v>30</v>
      </c>
      <c r="R37" s="10220" t="s">
        <v>29</v>
      </c>
      <c r="S37" s="10220" t="s">
        <v>28</v>
      </c>
      <c r="T37" s="10220" t="s">
        <v>27</v>
      </c>
      <c r="U37" s="10249" t="s">
        <v>2769</v>
      </c>
      <c r="V37" s="10220" t="s">
        <v>29</v>
      </c>
      <c r="W37" s="10220" t="s">
        <v>2770</v>
      </c>
      <c r="X37" s="10241">
        <v>1</v>
      </c>
      <c r="Y37" s="10236" t="s">
        <v>2344</v>
      </c>
      <c r="Z37" s="10236" t="s">
        <v>2771</v>
      </c>
      <c r="AA37" s="10238" t="s">
        <v>2771</v>
      </c>
    </row>
    <row r="38" spans="1:27" s="1545" customFormat="1" ht="24.95" customHeight="1">
      <c r="A38" s="1937"/>
      <c r="B38" s="2013" t="s">
        <v>2727</v>
      </c>
      <c r="C38" s="2158" t="s">
        <v>2735</v>
      </c>
      <c r="D38" s="2016"/>
      <c r="E38" s="2016"/>
      <c r="F38" s="2016"/>
      <c r="G38" s="2016"/>
      <c r="H38" s="2016"/>
      <c r="I38" s="2016"/>
      <c r="J38" s="2017"/>
      <c r="K38" s="2015"/>
      <c r="L38" s="1982"/>
      <c r="M38" s="1939"/>
      <c r="N38" s="1939"/>
      <c r="O38" s="1939"/>
      <c r="P38" s="1939"/>
      <c r="Q38" s="10248"/>
      <c r="R38" s="10240"/>
      <c r="S38" s="10240"/>
      <c r="T38" s="10240"/>
      <c r="U38" s="10250"/>
      <c r="V38" s="10240"/>
      <c r="W38" s="10240"/>
      <c r="X38" s="10242"/>
      <c r="Y38" s="10237"/>
      <c r="Z38" s="10237"/>
      <c r="AA38" s="10239"/>
    </row>
    <row r="39" spans="1:27" s="1545" customFormat="1" ht="24.95" customHeight="1">
      <c r="A39" s="1937"/>
      <c r="B39" s="2013"/>
      <c r="C39" s="2149" t="str">
        <f ca="1">RIGHT(CELL("filename",A1),LEN(CELL("filename",A1))-SEARCH("]",CELL("filename",A1)))</f>
        <v>Formats-Formules-Fonctions</v>
      </c>
      <c r="D39" s="2159"/>
      <c r="E39" s="2159"/>
      <c r="F39" s="2150"/>
      <c r="G39" s="2150"/>
      <c r="H39" s="2150"/>
      <c r="I39" s="2150"/>
      <c r="J39" s="2151"/>
      <c r="K39" s="2151"/>
      <c r="L39" s="1982"/>
      <c r="M39" s="1939"/>
      <c r="N39" s="2152"/>
      <c r="O39" s="2152"/>
      <c r="P39" s="1939"/>
      <c r="Q39" s="10218" t="s">
        <v>25</v>
      </c>
      <c r="R39" s="10220" t="s">
        <v>24</v>
      </c>
      <c r="S39" s="10220" t="s">
        <v>23</v>
      </c>
      <c r="T39" s="10220" t="s">
        <v>22</v>
      </c>
      <c r="U39" s="10222" t="s">
        <v>2772</v>
      </c>
      <c r="V39" s="10212" t="s">
        <v>2773</v>
      </c>
      <c r="W39" s="10212" t="s">
        <v>2774</v>
      </c>
      <c r="X39" s="10214" t="s">
        <v>2775</v>
      </c>
      <c r="Y39" s="10234" t="s">
        <v>2344</v>
      </c>
      <c r="Z39" s="10234" t="s">
        <v>2771</v>
      </c>
      <c r="AA39" s="10232" t="s">
        <v>2771</v>
      </c>
    </row>
    <row r="40" spans="1:27" s="1545" customFormat="1" ht="24.95" customHeight="1">
      <c r="A40" s="1937"/>
      <c r="B40" s="2013">
        <f>ROW()</f>
        <v>40</v>
      </c>
      <c r="C40" s="2155" t="str">
        <f ca="1">_xlfn.FORMULATEXT(C39)</f>
        <v>=DROITE(@CELLULE("filename";A1);NBCAR(@CELLULE("filename";A1))-CHERCHE("]";@CELLULE("filename";A1)))</v>
      </c>
      <c r="D40" s="2155"/>
      <c r="E40" s="2155"/>
      <c r="F40" s="2155"/>
      <c r="G40" s="2155"/>
      <c r="H40" s="2155"/>
      <c r="I40" s="2155"/>
      <c r="J40" s="2155"/>
      <c r="K40" s="2155"/>
      <c r="L40" s="1982"/>
      <c r="M40" s="1939"/>
      <c r="N40" s="2155"/>
      <c r="O40" s="2155"/>
      <c r="P40" s="1939"/>
      <c r="Q40" s="10219"/>
      <c r="R40" s="10221"/>
      <c r="S40" s="10221"/>
      <c r="T40" s="10221"/>
      <c r="U40" s="10223"/>
      <c r="V40" s="10213"/>
      <c r="W40" s="10213"/>
      <c r="X40" s="10215"/>
      <c r="Y40" s="10235"/>
      <c r="Z40" s="10235"/>
      <c r="AA40" s="10233"/>
    </row>
    <row r="41" spans="1:27" s="1545" customFormat="1" ht="24.95" customHeight="1" thickBot="1">
      <c r="A41" s="1937"/>
      <c r="B41" s="1998"/>
      <c r="C41" s="2054" t="s">
        <v>2728</v>
      </c>
      <c r="D41" s="1983"/>
      <c r="E41" s="1983"/>
      <c r="F41" s="1983"/>
      <c r="G41" s="1983"/>
      <c r="H41" s="1983"/>
      <c r="I41" s="1983"/>
      <c r="J41" s="1984"/>
      <c r="K41" s="1985"/>
      <c r="L41" s="1986"/>
      <c r="M41" s="1939"/>
      <c r="N41" s="1939"/>
      <c r="O41" s="1939"/>
      <c r="P41" s="1939"/>
      <c r="Q41" s="10218" t="s">
        <v>18</v>
      </c>
      <c r="R41" s="10220" t="s">
        <v>17</v>
      </c>
      <c r="S41" s="10220" t="s">
        <v>16</v>
      </c>
      <c r="T41" s="10220" t="s">
        <v>15</v>
      </c>
      <c r="U41" s="10222" t="s">
        <v>2776</v>
      </c>
      <c r="V41" s="10212" t="s">
        <v>2777</v>
      </c>
      <c r="W41" s="10212" t="s">
        <v>2778</v>
      </c>
      <c r="X41" s="10214" t="s">
        <v>2771</v>
      </c>
      <c r="Y41" s="10216" t="s">
        <v>2771</v>
      </c>
      <c r="Z41" s="10234">
        <v>5</v>
      </c>
      <c r="AA41" s="10232" t="s">
        <v>2771</v>
      </c>
    </row>
    <row r="42" spans="1:27" s="1545" customFormat="1" ht="24.95" customHeight="1" thickBot="1">
      <c r="A42" s="1937"/>
      <c r="B42" s="1938"/>
      <c r="C42" s="1939"/>
      <c r="D42" s="1940"/>
      <c r="E42" s="1940"/>
      <c r="F42" s="1941"/>
      <c r="G42" s="1941"/>
      <c r="H42" s="1941"/>
      <c r="I42" s="1941"/>
      <c r="J42" s="1950"/>
      <c r="K42" s="1939"/>
      <c r="L42" s="1939"/>
      <c r="M42" s="1939"/>
      <c r="N42" s="1939"/>
      <c r="O42" s="1939"/>
      <c r="P42" s="1939"/>
      <c r="Q42" s="10219"/>
      <c r="R42" s="10221"/>
      <c r="S42" s="10221"/>
      <c r="T42" s="10221"/>
      <c r="U42" s="10223"/>
      <c r="V42" s="10213"/>
      <c r="W42" s="10213"/>
      <c r="X42" s="10215"/>
      <c r="Y42" s="10217"/>
      <c r="Z42" s="10235"/>
      <c r="AA42" s="10233"/>
    </row>
    <row r="43" spans="1:27" s="1545" customFormat="1" ht="24.95" customHeight="1">
      <c r="A43" s="1937"/>
      <c r="B43" s="2009"/>
      <c r="C43" s="1980"/>
      <c r="D43" s="1978"/>
      <c r="E43" s="1978"/>
      <c r="F43" s="1978"/>
      <c r="G43" s="1978"/>
      <c r="H43" s="1978"/>
      <c r="I43" s="1978"/>
      <c r="J43" s="1979"/>
      <c r="K43" s="1980"/>
      <c r="L43" s="1980"/>
      <c r="M43" s="1980"/>
      <c r="N43" s="1981"/>
      <c r="O43" s="1939"/>
      <c r="P43" s="1939"/>
      <c r="Q43" s="10218" t="s">
        <v>13</v>
      </c>
      <c r="R43" s="10220" t="s">
        <v>12</v>
      </c>
      <c r="S43" s="10220" t="s">
        <v>11</v>
      </c>
      <c r="T43" s="10220" t="s">
        <v>10</v>
      </c>
      <c r="U43" s="10222" t="s">
        <v>2779</v>
      </c>
      <c r="V43" s="10212" t="s">
        <v>2780</v>
      </c>
      <c r="W43" s="10212" t="s">
        <v>2781</v>
      </c>
      <c r="X43" s="10214" t="s">
        <v>2771</v>
      </c>
      <c r="Y43" s="10216" t="s">
        <v>2771</v>
      </c>
      <c r="Z43" s="10216" t="s">
        <v>2771</v>
      </c>
      <c r="AA43" s="10232">
        <v>5</v>
      </c>
    </row>
    <row r="44" spans="1:27" s="1545" customFormat="1" ht="24.95" customHeight="1">
      <c r="A44" s="1937"/>
      <c r="B44" s="2013" t="s">
        <v>2727</v>
      </c>
      <c r="C44" s="2158" t="s">
        <v>2734</v>
      </c>
      <c r="D44" s="2016"/>
      <c r="E44" s="2016"/>
      <c r="F44" s="2016"/>
      <c r="G44" s="2016"/>
      <c r="H44" s="2016"/>
      <c r="I44" s="2016"/>
      <c r="J44" s="2017"/>
      <c r="K44" s="2015"/>
      <c r="L44" s="2015"/>
      <c r="M44" s="2015"/>
      <c r="N44" s="1982"/>
      <c r="O44" s="1939"/>
      <c r="P44" s="1939"/>
      <c r="Q44" s="10219"/>
      <c r="R44" s="10221"/>
      <c r="S44" s="10221"/>
      <c r="T44" s="10221"/>
      <c r="U44" s="10223"/>
      <c r="V44" s="10213"/>
      <c r="W44" s="10213"/>
      <c r="X44" s="10215"/>
      <c r="Y44" s="10217"/>
      <c r="Z44" s="10217"/>
      <c r="AA44" s="10233"/>
    </row>
    <row r="45" spans="1:27" s="1545" customFormat="1" ht="24.95" customHeight="1">
      <c r="A45" s="1937"/>
      <c r="B45" s="2013"/>
      <c r="C45" s="2149" t="str">
        <f t="array" aca="1" ref="C45" ca="1">MID(CELL("filename",A1),SEARCH("[",CELL("filename",A1))+1,SEARCH("]",CELL("filename",A1))-SEARCH("[",CELL("filename",A1))-1)</f>
        <v>ff-20-CHARCUTERIE-michel-Mariette.BOUDIN.BLANC_-1.xlsx</v>
      </c>
      <c r="D45" s="2159"/>
      <c r="E45" s="2159"/>
      <c r="F45" s="2159"/>
      <c r="G45" s="2159"/>
      <c r="H45" s="2150"/>
      <c r="I45" s="2150"/>
      <c r="J45" s="2151"/>
      <c r="K45" s="2151"/>
      <c r="L45" s="2152"/>
      <c r="M45" s="2152"/>
      <c r="N45" s="1982"/>
      <c r="O45" s="1939"/>
      <c r="P45" s="1939"/>
      <c r="Q45" s="10224" t="s">
        <v>2686</v>
      </c>
      <c r="R45" s="10226" t="s">
        <v>9</v>
      </c>
      <c r="S45" s="10226"/>
      <c r="T45" s="10226"/>
      <c r="U45" s="10226"/>
      <c r="V45" s="10226"/>
      <c r="W45" s="10226"/>
      <c r="X45" s="10226"/>
      <c r="Y45" s="10226"/>
      <c r="Z45" s="10226"/>
      <c r="AA45" s="10227"/>
    </row>
    <row r="46" spans="1:27" s="1545" customFormat="1" ht="24.95" customHeight="1">
      <c r="A46" s="1937"/>
      <c r="B46" s="2013">
        <f>ROW()</f>
        <v>46</v>
      </c>
      <c r="C46" s="2155" t="str">
        <f ca="1">_xlfn.FORMULATEXT(C45)</f>
        <v>{=STXT(CELLULE("filename";A1);CHERCHE("[";CELLULE("filename";A1))+1;CHERCHE("]";CELLULE("filename";A1))-CHERCHE("[";CELLULE("filename";A1))-1)}</v>
      </c>
      <c r="D46" s="2155"/>
      <c r="E46" s="2155"/>
      <c r="F46" s="2155"/>
      <c r="G46" s="2155"/>
      <c r="H46" s="2155"/>
      <c r="I46" s="2155"/>
      <c r="J46" s="2155"/>
      <c r="K46" s="2155"/>
      <c r="L46" s="2155"/>
      <c r="M46" s="2155"/>
      <c r="N46" s="1982"/>
      <c r="O46" s="1939" t="s">
        <v>2</v>
      </c>
      <c r="P46" s="1939"/>
      <c r="Q46" s="10225"/>
      <c r="R46" s="10228"/>
      <c r="S46" s="10228"/>
      <c r="T46" s="10228"/>
      <c r="U46" s="10228"/>
      <c r="V46" s="10228"/>
      <c r="W46" s="10228"/>
      <c r="X46" s="10228"/>
      <c r="Y46" s="10228"/>
      <c r="Z46" s="10228"/>
      <c r="AA46" s="10229"/>
    </row>
    <row r="47" spans="1:27" s="1545" customFormat="1" ht="24.95" customHeight="1" thickBot="1">
      <c r="A47" s="1937"/>
      <c r="B47" s="1999"/>
      <c r="C47" s="2054" t="s">
        <v>2728</v>
      </c>
      <c r="D47" s="2000"/>
      <c r="E47" s="2000"/>
      <c r="F47" s="2000"/>
      <c r="G47" s="2000"/>
      <c r="H47" s="2000"/>
      <c r="I47" s="2000"/>
      <c r="J47" s="2000"/>
      <c r="K47" s="2000"/>
      <c r="L47" s="2000"/>
      <c r="M47" s="2000"/>
      <c r="N47" s="2001"/>
      <c r="O47" s="1939"/>
      <c r="P47" s="1939"/>
      <c r="Q47" s="2160"/>
      <c r="R47" s="2161" t="s">
        <v>2782</v>
      </c>
      <c r="S47" s="2161"/>
      <c r="T47" s="2161"/>
      <c r="U47" s="2161"/>
      <c r="V47" s="2161"/>
      <c r="W47" s="2161"/>
      <c r="X47" s="2161"/>
      <c r="Y47" s="2161"/>
      <c r="Z47" s="2161"/>
      <c r="AA47" s="2162"/>
    </row>
    <row r="48" spans="1:27" s="1545" customFormat="1" ht="24.95" customHeight="1" thickBot="1">
      <c r="A48" s="1937"/>
      <c r="B48" s="1938"/>
      <c r="C48" s="1939"/>
      <c r="D48" s="1940"/>
      <c r="E48" s="1940"/>
      <c r="F48" s="1941"/>
      <c r="G48" s="1941"/>
      <c r="H48" s="1941"/>
      <c r="I48" s="1941"/>
      <c r="J48" s="1950"/>
      <c r="K48" s="1939"/>
      <c r="L48" s="1939"/>
      <c r="M48" s="1939"/>
      <c r="N48" s="1939"/>
      <c r="O48" s="1939"/>
      <c r="P48" s="1939"/>
      <c r="Q48" s="1939"/>
      <c r="R48" s="1939"/>
      <c r="S48" s="1939"/>
      <c r="T48" s="1939"/>
      <c r="U48" s="1939"/>
      <c r="V48" s="1939"/>
      <c r="W48" s="1939"/>
      <c r="X48" s="1939"/>
      <c r="Y48" s="1939"/>
      <c r="Z48" s="1939"/>
      <c r="AA48" s="1939"/>
    </row>
    <row r="49" spans="1:27" s="1545" customFormat="1" ht="24.95" customHeight="1">
      <c r="A49" s="1937"/>
      <c r="B49" s="2007"/>
      <c r="C49" s="1990"/>
      <c r="D49" s="1987"/>
      <c r="E49" s="1987"/>
      <c r="F49" s="1988"/>
      <c r="G49" s="1988"/>
      <c r="H49" s="1988"/>
      <c r="I49" s="1988"/>
      <c r="J49" s="1989"/>
      <c r="K49" s="1990"/>
      <c r="L49" s="1991"/>
      <c r="M49" s="1939"/>
      <c r="N49" s="1939"/>
      <c r="O49" s="1939"/>
      <c r="P49" s="1939"/>
      <c r="Q49" s="1939"/>
      <c r="R49" s="1939"/>
      <c r="S49" s="1939"/>
      <c r="T49" s="1939"/>
      <c r="U49" s="1939"/>
      <c r="V49" s="1939"/>
      <c r="W49" s="1939"/>
      <c r="X49" s="1939"/>
      <c r="Y49" s="1939"/>
      <c r="Z49" s="1939"/>
      <c r="AA49" s="1939"/>
    </row>
    <row r="50" spans="1:27" s="1545" customFormat="1" ht="24.95" customHeight="1">
      <c r="A50" s="1937"/>
      <c r="B50" s="2013" t="s">
        <v>2727</v>
      </c>
      <c r="C50" s="2158" t="s">
        <v>2736</v>
      </c>
      <c r="D50" s="2016"/>
      <c r="E50" s="2016"/>
      <c r="F50" s="2016"/>
      <c r="G50" s="2016"/>
      <c r="H50" s="2016"/>
      <c r="I50" s="2016"/>
      <c r="J50" s="2017"/>
      <c r="K50" s="2015"/>
      <c r="L50" s="1982"/>
      <c r="M50" s="1939"/>
      <c r="N50" s="1939"/>
      <c r="O50" s="1939"/>
      <c r="P50" s="1939"/>
      <c r="Q50" s="1939"/>
      <c r="R50" s="1939"/>
      <c r="S50" s="1939"/>
      <c r="T50" s="1939"/>
      <c r="U50" s="1939"/>
      <c r="V50" s="1939"/>
      <c r="W50" s="1939"/>
      <c r="X50" s="1939"/>
      <c r="Y50" s="1939"/>
      <c r="Z50" s="1939"/>
      <c r="AA50" s="1939"/>
    </row>
    <row r="51" spans="1:27" s="1545" customFormat="1" ht="24.95" customHeight="1">
      <c r="A51" s="1937"/>
      <c r="B51" s="2013"/>
      <c r="C51" s="2149" t="str">
        <f ca="1">RIGHT(CELL("filename",A1),LEN(CELL("filename",A1))-SEARCH("[",CELL("filename",A1))+1)</f>
        <v>[ff-20-CHARCUTERIE-michel-Mariette.BOUDIN.BLANC_-1.xlsx]Formats-Formules-Fonctions</v>
      </c>
      <c r="D51" s="2159"/>
      <c r="E51" s="2159"/>
      <c r="F51" s="2159"/>
      <c r="G51" s="2159"/>
      <c r="H51" s="2159"/>
      <c r="I51" s="2159"/>
      <c r="J51" s="2151"/>
      <c r="K51" s="2151"/>
      <c r="L51" s="1982"/>
      <c r="M51" s="1939"/>
      <c r="N51" s="2152"/>
      <c r="O51" s="2152"/>
      <c r="P51" s="1939"/>
      <c r="Q51" s="1939"/>
      <c r="R51" s="1939"/>
      <c r="S51" s="1939"/>
      <c r="T51" s="1939"/>
      <c r="U51" s="1939"/>
      <c r="V51" s="1939"/>
      <c r="W51" s="1939"/>
      <c r="X51" s="1939"/>
      <c r="Y51" s="1939"/>
      <c r="Z51" s="1939"/>
      <c r="AA51" s="1939"/>
    </row>
    <row r="52" spans="1:27" s="1545" customFormat="1" ht="24.95" customHeight="1">
      <c r="A52" s="1937"/>
      <c r="B52" s="2013">
        <f>ROW()</f>
        <v>52</v>
      </c>
      <c r="C52" s="2155" t="str">
        <f ca="1">_xlfn.FORMULATEXT(C51)</f>
        <v>=DROITE(@CELLULE("filename";A1);NBCAR(@CELLULE("filename";A1))-CHERCHE("[";@CELLULE("filename";A1))+1)</v>
      </c>
      <c r="D52" s="2155"/>
      <c r="E52" s="2155"/>
      <c r="F52" s="2155"/>
      <c r="G52" s="2155"/>
      <c r="H52" s="2155"/>
      <c r="I52" s="2155"/>
      <c r="J52" s="2155"/>
      <c r="K52" s="2155"/>
      <c r="L52" s="1982"/>
      <c r="M52" s="1939"/>
      <c r="N52" s="2155"/>
      <c r="O52" s="2155"/>
      <c r="P52" s="1939"/>
      <c r="Q52" s="1939"/>
      <c r="R52" s="1939"/>
      <c r="S52" s="1939"/>
      <c r="T52" s="1939"/>
      <c r="U52" s="1939"/>
      <c r="V52" s="1939"/>
      <c r="W52" s="1939"/>
      <c r="X52" s="1939"/>
      <c r="Y52" s="1939"/>
      <c r="Z52" s="1939"/>
      <c r="AA52" s="1939"/>
    </row>
    <row r="53" spans="1:27" s="1545" customFormat="1" ht="24.95" customHeight="1" thickBot="1">
      <c r="A53" s="1937"/>
      <c r="B53" s="1998"/>
      <c r="C53" s="2054" t="s">
        <v>2728</v>
      </c>
      <c r="D53" s="1983"/>
      <c r="E53" s="1983"/>
      <c r="F53" s="1983"/>
      <c r="G53" s="1983"/>
      <c r="H53" s="1983"/>
      <c r="I53" s="1983"/>
      <c r="J53" s="1984"/>
      <c r="K53" s="1985"/>
      <c r="L53" s="1986"/>
      <c r="M53" s="1939"/>
      <c r="N53" s="1939"/>
      <c r="O53" s="1939"/>
      <c r="P53" s="1939"/>
      <c r="Q53" s="1939"/>
      <c r="R53" s="1939"/>
      <c r="S53" s="1939"/>
      <c r="T53" s="1939"/>
      <c r="U53" s="1939"/>
      <c r="V53" s="1939"/>
      <c r="W53" s="1939"/>
      <c r="X53" s="1939"/>
      <c r="Y53" s="1939"/>
      <c r="Z53" s="1939"/>
      <c r="AA53" s="1939"/>
    </row>
    <row r="54" spans="1:27" s="1545" customFormat="1" ht="24.95" customHeight="1" thickBot="1">
      <c r="A54" s="1937"/>
      <c r="B54" s="1939"/>
      <c r="C54" s="1939"/>
      <c r="D54" s="1939"/>
      <c r="E54" s="1939"/>
      <c r="F54" s="1939"/>
      <c r="G54" s="1939"/>
      <c r="H54" s="1939"/>
      <c r="I54" s="1939"/>
      <c r="J54" s="1939"/>
      <c r="K54" s="1939"/>
      <c r="L54" s="1939"/>
      <c r="M54" s="1939"/>
      <c r="N54" s="1939"/>
      <c r="O54" s="1939"/>
      <c r="P54" s="1939"/>
      <c r="Q54" s="1939"/>
      <c r="R54" s="1939"/>
      <c r="S54" s="1939"/>
      <c r="T54" s="1939"/>
      <c r="U54" s="1939"/>
      <c r="V54" s="1939"/>
      <c r="W54" s="1939"/>
      <c r="X54" s="1939"/>
      <c r="Y54" s="1939"/>
      <c r="Z54" s="1939"/>
      <c r="AA54" s="1939"/>
    </row>
    <row r="55" spans="1:27" s="1545" customFormat="1" ht="24.95" customHeight="1">
      <c r="A55" s="1937"/>
      <c r="B55" s="2007"/>
      <c r="C55" s="1980"/>
      <c r="D55" s="1978"/>
      <c r="E55" s="1978"/>
      <c r="F55" s="1978"/>
      <c r="G55" s="1978"/>
      <c r="H55" s="1978"/>
      <c r="I55" s="1978"/>
      <c r="J55" s="2008"/>
      <c r="K55" s="1939"/>
      <c r="L55" s="1939"/>
      <c r="M55" s="1939"/>
      <c r="N55" s="1939"/>
      <c r="O55" s="1939"/>
      <c r="P55" s="1939"/>
      <c r="Q55" s="1939"/>
      <c r="R55" s="1939"/>
      <c r="S55" s="1939"/>
      <c r="T55" s="1939"/>
      <c r="U55" s="1939"/>
      <c r="V55" s="1939"/>
      <c r="W55" s="1939"/>
      <c r="X55" s="1939"/>
      <c r="Y55" s="1939"/>
      <c r="Z55" s="1939"/>
      <c r="AA55" s="1939"/>
    </row>
    <row r="56" spans="1:27" s="1545" customFormat="1" ht="24.95" customHeight="1">
      <c r="A56" s="1937"/>
      <c r="B56" s="2013" t="s">
        <v>2727</v>
      </c>
      <c r="C56" s="2158" t="s">
        <v>2663</v>
      </c>
      <c r="D56" s="2163"/>
      <c r="E56" s="2015"/>
      <c r="F56" s="2015"/>
      <c r="G56" s="2155"/>
      <c r="H56" s="2155"/>
      <c r="I56" s="2164"/>
      <c r="J56" s="1982"/>
      <c r="K56" s="1939"/>
      <c r="L56" s="1939"/>
      <c r="M56" s="1939"/>
      <c r="N56" s="1939"/>
      <c r="O56" s="1939"/>
      <c r="P56" s="1939"/>
      <c r="Q56" s="1939"/>
      <c r="R56" s="1939"/>
      <c r="S56" s="1939"/>
      <c r="T56" s="1939"/>
      <c r="U56" s="1939"/>
      <c r="V56" s="1939"/>
      <c r="W56" s="1939"/>
      <c r="X56" s="1939"/>
      <c r="Y56" s="1939"/>
      <c r="Z56" s="1939"/>
      <c r="AA56" s="1939"/>
    </row>
    <row r="57" spans="1:27" s="1545" customFormat="1" ht="24.95" customHeight="1">
      <c r="A57" s="1937"/>
      <c r="B57" s="2013"/>
      <c r="C57" s="2149" t="str">
        <f t="array" aca="1" ref="C57" ca="1">LEFT(CELL("filename",A1),SEARCH("[",CELL("filename",A1))-1)</f>
        <v>D:\Données\1.UPRT\0-UPRT.fait\1-UPRT.FR-SITE-WEB\ff-fiches-fabrications\ff.fiches.fabrication.2023\UPRT.23.aout\</v>
      </c>
      <c r="D57" s="2159"/>
      <c r="E57" s="2159"/>
      <c r="F57" s="2159"/>
      <c r="G57" s="2159"/>
      <c r="H57" s="2159"/>
      <c r="I57" s="2150"/>
      <c r="J57" s="1982"/>
      <c r="K57" s="1939"/>
      <c r="L57" s="2152"/>
      <c r="M57" s="2152"/>
      <c r="N57" s="2152"/>
      <c r="O57" s="2152"/>
      <c r="P57" s="1939"/>
      <c r="Q57" s="1939"/>
      <c r="R57" s="1939"/>
      <c r="S57" s="1939"/>
      <c r="T57" s="1939"/>
      <c r="U57" s="1939"/>
      <c r="V57" s="1939"/>
      <c r="W57" s="1939"/>
      <c r="X57" s="1939"/>
      <c r="Y57" s="1939"/>
      <c r="Z57" s="1939"/>
      <c r="AA57" s="1939"/>
    </row>
    <row r="58" spans="1:27" s="1545" customFormat="1" ht="24.95" customHeight="1">
      <c r="A58" s="1937"/>
      <c r="B58" s="2013">
        <f>ROW()</f>
        <v>58</v>
      </c>
      <c r="C58" s="2155" t="str">
        <f ca="1">_xlfn.FORMULATEXT(C57)</f>
        <v>{=GAUCHE(CELLULE("filename";A1);CHERCHE("[";CELLULE("filename";A1))-1)}</v>
      </c>
      <c r="D58" s="2155"/>
      <c r="E58" s="2155"/>
      <c r="F58" s="2155"/>
      <c r="G58" s="2155"/>
      <c r="H58" s="2155"/>
      <c r="I58" s="2155"/>
      <c r="J58" s="1982"/>
      <c r="K58" s="1939"/>
      <c r="L58" s="2155"/>
      <c r="M58" s="2155"/>
      <c r="N58" s="2155"/>
      <c r="O58" s="2152"/>
      <c r="P58" s="1939"/>
      <c r="Q58" s="1939"/>
      <c r="R58" s="1939"/>
      <c r="S58" s="1939"/>
      <c r="T58" s="1939"/>
      <c r="U58" s="1939"/>
      <c r="V58" s="1939"/>
      <c r="W58" s="1939"/>
      <c r="X58" s="1939"/>
      <c r="Y58" s="1939"/>
      <c r="Z58" s="1939"/>
      <c r="AA58" s="1939"/>
    </row>
    <row r="59" spans="1:27" s="1545" customFormat="1" ht="24.95" customHeight="1" thickBot="1">
      <c r="A59" s="1937"/>
      <c r="B59" s="1998"/>
      <c r="C59" s="2054" t="s">
        <v>2728</v>
      </c>
      <c r="D59" s="1985"/>
      <c r="E59" s="1985"/>
      <c r="F59" s="1985"/>
      <c r="G59" s="1985"/>
      <c r="H59" s="1985"/>
      <c r="I59" s="1985"/>
      <c r="J59" s="1986"/>
      <c r="K59" s="1939"/>
      <c r="L59" s="1939"/>
      <c r="M59" s="1939"/>
      <c r="N59" s="1939"/>
      <c r="O59" s="1939"/>
      <c r="P59" s="1939"/>
      <c r="Q59" s="1939"/>
      <c r="R59" s="1939"/>
      <c r="S59" s="1939"/>
      <c r="T59" s="1939"/>
      <c r="U59" s="1939"/>
      <c r="V59" s="1939"/>
      <c r="W59" s="1939"/>
      <c r="X59" s="1939"/>
      <c r="Y59" s="1939"/>
      <c r="Z59" s="1939"/>
      <c r="AA59" s="1939"/>
    </row>
    <row r="60" spans="1:27" s="1545" customFormat="1" ht="24.95" customHeight="1" thickBot="1">
      <c r="A60" s="1937"/>
      <c r="B60" s="1938"/>
      <c r="C60" s="1939"/>
      <c r="D60" s="1940"/>
      <c r="E60" s="1940"/>
      <c r="F60" s="1941"/>
      <c r="G60" s="1941"/>
      <c r="H60" s="1941"/>
      <c r="I60" s="1941"/>
      <c r="J60" s="1950"/>
      <c r="K60" s="1939"/>
      <c r="L60" s="1939"/>
      <c r="M60" s="1939"/>
      <c r="N60" s="1939"/>
      <c r="O60" s="1939"/>
      <c r="P60" s="1939"/>
      <c r="Q60" s="1939"/>
      <c r="R60" s="1939"/>
      <c r="S60" s="1939"/>
      <c r="T60" s="1939"/>
      <c r="U60" s="1939"/>
      <c r="V60" s="1939"/>
      <c r="W60" s="1939"/>
      <c r="X60" s="1939"/>
      <c r="Y60" s="1939"/>
      <c r="Z60" s="1939"/>
      <c r="AA60" s="1939"/>
    </row>
    <row r="61" spans="1:27" s="1545" customFormat="1" ht="24.95" customHeight="1">
      <c r="A61" s="1937"/>
      <c r="B61" s="2009"/>
      <c r="C61" s="1980"/>
      <c r="D61" s="1978"/>
      <c r="E61" s="1978"/>
      <c r="F61" s="1978"/>
      <c r="G61" s="1978"/>
      <c r="H61" s="1978"/>
      <c r="I61" s="1978"/>
      <c r="J61" s="1979"/>
      <c r="K61" s="1980"/>
      <c r="L61" s="1981"/>
      <c r="M61" s="1939"/>
      <c r="N61" s="1939"/>
      <c r="O61" s="1939"/>
      <c r="P61" s="1939"/>
      <c r="Q61" s="1939"/>
      <c r="R61" s="1939"/>
      <c r="S61" s="1939"/>
      <c r="T61" s="1939"/>
      <c r="U61" s="1939"/>
      <c r="V61" s="1939"/>
      <c r="W61" s="1939"/>
      <c r="X61" s="1939"/>
      <c r="Y61" s="1939"/>
      <c r="Z61" s="1939"/>
      <c r="AA61" s="1939"/>
    </row>
    <row r="62" spans="1:27" s="1545" customFormat="1" ht="24.95" customHeight="1">
      <c r="A62" s="1937"/>
      <c r="B62" s="2013" t="s">
        <v>2727</v>
      </c>
      <c r="C62" s="2158" t="s">
        <v>2664</v>
      </c>
      <c r="D62" s="2163"/>
      <c r="E62" s="2015"/>
      <c r="F62" s="2015"/>
      <c r="G62" s="2015"/>
      <c r="H62" s="2015"/>
      <c r="I62" s="2015"/>
      <c r="J62" s="2015"/>
      <c r="K62" s="2015"/>
      <c r="L62" s="1982"/>
      <c r="M62" s="1939"/>
      <c r="N62" s="1939"/>
      <c r="O62" s="1939"/>
      <c r="P62" s="1939"/>
      <c r="Q62" s="1939"/>
      <c r="R62" s="1939"/>
      <c r="S62" s="1939"/>
      <c r="T62" s="1939"/>
      <c r="U62" s="1939"/>
      <c r="V62" s="1939"/>
      <c r="W62" s="1939"/>
      <c r="X62" s="1939"/>
      <c r="Y62" s="1939"/>
      <c r="Z62" s="1939"/>
      <c r="AA62" s="1939"/>
    </row>
    <row r="63" spans="1:27" s="1545" customFormat="1" ht="24.95" customHeight="1">
      <c r="A63" s="1937"/>
      <c r="B63" s="2013"/>
      <c r="C63" s="2149" t="str">
        <f t="array" aca="1" ref="C63" ca="1">LEFT(CELL("filename",A1),SEARCH("]",CELL("filename",A1)))</f>
        <v>D:\Données\1.UPRT\0-UPRT.fait\1-UPRT.FR-SITE-WEB\ff-fiches-fabrications\ff.fiches.fabrication.2023\UPRT.23.aout\[ff-20-CHARCUTERIE-michel-Mariette.BOUDIN.BLANC_-1.xlsx]</v>
      </c>
      <c r="D63" s="2159"/>
      <c r="E63" s="2165"/>
      <c r="F63" s="2165"/>
      <c r="G63" s="2165"/>
      <c r="H63" s="2165"/>
      <c r="I63" s="2165"/>
      <c r="J63" s="2166"/>
      <c r="K63" s="2166"/>
      <c r="L63" s="2066"/>
      <c r="M63" s="1939"/>
      <c r="N63" s="2152"/>
      <c r="O63" s="2152"/>
      <c r="P63" s="1939"/>
      <c r="Q63" s="1939"/>
      <c r="R63" s="1939"/>
      <c r="S63" s="1939"/>
      <c r="T63" s="1939"/>
      <c r="U63" s="1939"/>
      <c r="V63" s="1939"/>
      <c r="W63" s="1939"/>
      <c r="X63" s="1939"/>
      <c r="Y63" s="1939"/>
      <c r="Z63" s="1939"/>
      <c r="AA63" s="1939"/>
    </row>
    <row r="64" spans="1:27" s="1545" customFormat="1" ht="24.95" customHeight="1">
      <c r="A64" s="1937"/>
      <c r="B64" s="2013">
        <f>ROW()</f>
        <v>64</v>
      </c>
      <c r="C64" s="2155" t="str">
        <f ca="1">_xlfn.FORMULATEXT(C63)</f>
        <v>{=GAUCHE(CELLULE("filename";A1);CHERCHE("]";CELLULE("filename";A1)))}</v>
      </c>
      <c r="D64" s="2155"/>
      <c r="E64" s="2155"/>
      <c r="F64" s="2155"/>
      <c r="G64" s="2155"/>
      <c r="H64" s="2155"/>
      <c r="I64" s="2155"/>
      <c r="J64" s="2155"/>
      <c r="K64" s="2155"/>
      <c r="L64" s="1982"/>
      <c r="M64" s="1939"/>
      <c r="N64" s="2155"/>
      <c r="O64" s="2155"/>
      <c r="P64" s="1939"/>
      <c r="Q64" s="1939"/>
      <c r="R64" s="1939"/>
      <c r="S64" s="1939"/>
      <c r="T64" s="1939"/>
      <c r="U64" s="1939"/>
      <c r="V64" s="1939"/>
      <c r="W64" s="1939"/>
      <c r="X64" s="1939"/>
      <c r="Y64" s="1939"/>
      <c r="Z64" s="1939"/>
      <c r="AA64" s="1939"/>
    </row>
    <row r="65" spans="1:27" s="1545" customFormat="1" ht="24.95" customHeight="1" thickBot="1">
      <c r="A65" s="1937"/>
      <c r="B65" s="1999"/>
      <c r="C65" s="2054" t="s">
        <v>2728</v>
      </c>
      <c r="D65" s="1985"/>
      <c r="E65" s="1985"/>
      <c r="F65" s="1985"/>
      <c r="G65" s="1985"/>
      <c r="H65" s="1985"/>
      <c r="I65" s="1985"/>
      <c r="J65" s="1985"/>
      <c r="K65" s="1985"/>
      <c r="L65" s="1986"/>
      <c r="M65" s="1939"/>
      <c r="N65" s="1939"/>
      <c r="O65" s="1939"/>
      <c r="P65" s="1939"/>
      <c r="Q65" s="1939"/>
      <c r="R65" s="1939"/>
      <c r="S65" s="1939"/>
      <c r="T65" s="1939"/>
      <c r="U65" s="1939"/>
      <c r="V65" s="1939"/>
      <c r="W65" s="1939"/>
      <c r="X65" s="1939"/>
      <c r="Y65" s="1939"/>
      <c r="Z65" s="1939"/>
      <c r="AA65" s="1939"/>
    </row>
    <row r="66" spans="1:27" s="1545" customFormat="1" ht="24.95" customHeight="1" thickBot="1">
      <c r="A66" s="1937"/>
      <c r="B66" s="1938"/>
      <c r="C66" s="1939"/>
      <c r="D66" s="1940"/>
      <c r="E66" s="1940"/>
      <c r="F66" s="1941"/>
      <c r="G66" s="1941"/>
      <c r="H66" s="1941"/>
      <c r="I66" s="1941"/>
      <c r="J66" s="1950"/>
      <c r="K66" s="1939"/>
      <c r="L66" s="1939"/>
      <c r="M66" s="1939"/>
      <c r="N66" s="1939"/>
      <c r="O66" s="1939"/>
      <c r="P66" s="1939"/>
      <c r="Q66" s="1939"/>
      <c r="R66" s="1939"/>
      <c r="S66" s="1939"/>
      <c r="T66" s="1939"/>
      <c r="U66" s="1939"/>
      <c r="V66" s="1939"/>
      <c r="W66" s="1939"/>
      <c r="X66" s="1939"/>
      <c r="Y66" s="1939"/>
      <c r="Z66" s="1939"/>
      <c r="AA66" s="1939"/>
    </row>
    <row r="67" spans="1:27" s="1545" customFormat="1" ht="24.95" customHeight="1">
      <c r="A67" s="1937"/>
      <c r="B67" s="2007"/>
      <c r="C67" s="1990"/>
      <c r="D67" s="1987"/>
      <c r="E67" s="1987"/>
      <c r="F67" s="1988"/>
      <c r="G67" s="1988"/>
      <c r="H67" s="1988"/>
      <c r="I67" s="2010"/>
      <c r="J67" s="1950"/>
      <c r="K67" s="1939"/>
      <c r="L67" s="1939"/>
      <c r="M67" s="1939"/>
      <c r="N67" s="1939"/>
      <c r="O67" s="1939"/>
      <c r="P67" s="1939"/>
      <c r="Q67" s="1939"/>
      <c r="R67" s="1939"/>
      <c r="S67" s="1939"/>
      <c r="T67" s="1939"/>
      <c r="U67" s="1939"/>
      <c r="V67" s="1939"/>
      <c r="W67" s="1939"/>
      <c r="X67" s="1939"/>
      <c r="Y67" s="1939"/>
      <c r="Z67" s="1939"/>
      <c r="AA67" s="1939"/>
    </row>
    <row r="68" spans="1:27" s="1545" customFormat="1" ht="24.95" customHeight="1">
      <c r="A68" s="1937"/>
      <c r="B68" s="2013" t="s">
        <v>2727</v>
      </c>
      <c r="C68" s="2158" t="s">
        <v>2711</v>
      </c>
      <c r="D68" s="1939"/>
      <c r="E68" s="1940"/>
      <c r="F68" s="1941"/>
      <c r="G68" s="1941"/>
      <c r="H68" s="1941"/>
      <c r="I68" s="2011"/>
      <c r="J68" s="1950"/>
      <c r="K68" s="1939"/>
      <c r="L68" s="1939"/>
      <c r="M68" s="1939"/>
      <c r="N68" s="1939"/>
      <c r="O68" s="1939"/>
      <c r="P68" s="1939"/>
      <c r="Q68" s="1939"/>
      <c r="R68" s="1939"/>
      <c r="S68" s="1939"/>
      <c r="T68" s="1939"/>
      <c r="U68" s="1939"/>
      <c r="V68" s="1939"/>
      <c r="W68" s="1939"/>
      <c r="X68" s="1939"/>
      <c r="Y68" s="1939"/>
      <c r="Z68" s="1939"/>
      <c r="AA68" s="1939"/>
    </row>
    <row r="69" spans="1:27" s="1545" customFormat="1" ht="24.95" customHeight="1">
      <c r="A69" s="1937"/>
      <c r="B69" s="2013">
        <f>ROW()</f>
        <v>69</v>
      </c>
      <c r="C69" s="2167" t="s">
        <v>2712</v>
      </c>
      <c r="D69" s="2168"/>
      <c r="E69" s="1940"/>
      <c r="F69" s="1941"/>
      <c r="G69" s="1941"/>
      <c r="H69" s="1941"/>
      <c r="I69" s="2011"/>
      <c r="J69" s="1950"/>
      <c r="K69" s="1939"/>
      <c r="L69" s="1939"/>
      <c r="M69" s="1939"/>
      <c r="N69" s="1939"/>
      <c r="O69" s="1939"/>
      <c r="P69" s="1939"/>
      <c r="Q69" s="1939"/>
      <c r="R69" s="1939"/>
      <c r="S69" s="1939"/>
      <c r="T69" s="1939"/>
      <c r="U69" s="1939"/>
      <c r="V69" s="1939"/>
      <c r="W69" s="1939"/>
      <c r="X69" s="1939"/>
      <c r="Y69" s="1939"/>
      <c r="Z69" s="1939"/>
      <c r="AA69" s="1939"/>
    </row>
    <row r="70" spans="1:27" s="1545" customFormat="1" ht="24.95" customHeight="1" thickBot="1">
      <c r="A70" s="1937"/>
      <c r="B70" s="1998"/>
      <c r="C70" s="2054" t="s">
        <v>2731</v>
      </c>
      <c r="D70" s="1996"/>
      <c r="E70" s="1993"/>
      <c r="F70" s="1994"/>
      <c r="G70" s="1994"/>
      <c r="H70" s="1994"/>
      <c r="I70" s="2012"/>
      <c r="J70" s="1950"/>
      <c r="K70" s="1939"/>
      <c r="L70" s="1939"/>
      <c r="M70" s="1939"/>
      <c r="N70" s="1939"/>
      <c r="O70" s="1939"/>
      <c r="P70" s="1939"/>
      <c r="Q70" s="1939"/>
      <c r="R70" s="1939"/>
      <c r="S70" s="1939"/>
      <c r="T70" s="1939"/>
      <c r="U70" s="1939"/>
      <c r="V70" s="1939"/>
      <c r="W70" s="1939"/>
      <c r="X70" s="1939"/>
      <c r="Y70" s="1939"/>
      <c r="Z70" s="1939"/>
      <c r="AA70" s="1939"/>
    </row>
    <row r="71" spans="1:27" s="1545" customFormat="1" ht="24.95" customHeight="1">
      <c r="A71" s="1937"/>
      <c r="B71" s="1938"/>
      <c r="C71" s="1939"/>
      <c r="D71" s="1940"/>
      <c r="E71" s="1940"/>
      <c r="F71" s="1941"/>
      <c r="G71" s="1941"/>
      <c r="H71" s="1941"/>
      <c r="I71" s="1941"/>
      <c r="J71" s="1950"/>
      <c r="K71" s="1939"/>
      <c r="L71" s="1939"/>
      <c r="M71" s="1939"/>
      <c r="N71" s="1939"/>
      <c r="O71" s="1939"/>
      <c r="P71" s="1939"/>
      <c r="Q71" s="1939"/>
      <c r="R71" s="1939"/>
      <c r="S71" s="1939"/>
      <c r="T71" s="1939"/>
      <c r="U71" s="1939"/>
      <c r="V71" s="1939"/>
      <c r="W71" s="1939"/>
      <c r="X71" s="1939"/>
      <c r="Y71" s="1939"/>
      <c r="Z71" s="1939"/>
      <c r="AA71" s="1939"/>
    </row>
    <row r="72" spans="1:27" s="1545" customFormat="1" ht="24.95" customHeight="1">
      <c r="A72" s="1930"/>
      <c r="B72" s="1931"/>
      <c r="C72" s="1932"/>
      <c r="D72" s="1933"/>
      <c r="E72" s="1933"/>
      <c r="F72" s="1934"/>
      <c r="G72" s="1934"/>
      <c r="H72" s="1934"/>
      <c r="I72" s="1934"/>
      <c r="J72" s="1935"/>
      <c r="K72" s="1932"/>
      <c r="L72" s="1932"/>
      <c r="M72" s="1932"/>
      <c r="N72" s="1932"/>
      <c r="O72" s="1932"/>
      <c r="P72" s="1932"/>
      <c r="Q72" s="1932"/>
      <c r="R72" s="1932"/>
      <c r="S72" s="1932"/>
      <c r="T72" s="1932"/>
      <c r="U72" s="1932"/>
      <c r="V72" s="1932"/>
      <c r="W72" s="1932"/>
      <c r="X72" s="1932"/>
      <c r="Y72" s="1932"/>
      <c r="Z72" s="1932"/>
      <c r="AA72" s="1932"/>
    </row>
    <row r="73" spans="1:27" s="1545" customFormat="1" ht="24.95" customHeight="1">
      <c r="A73" s="1937"/>
      <c r="B73" s="1938"/>
      <c r="C73" s="1939"/>
      <c r="D73" s="1940"/>
      <c r="E73" s="1940"/>
      <c r="F73" s="1941"/>
      <c r="G73" s="1941"/>
      <c r="H73" s="1941"/>
      <c r="I73" s="1941"/>
      <c r="J73" s="1950"/>
      <c r="K73" s="1939"/>
      <c r="L73" s="1939"/>
      <c r="M73" s="1939"/>
      <c r="N73" s="1939"/>
      <c r="O73" s="1939"/>
      <c r="P73" s="1939"/>
      <c r="Q73" s="1939"/>
      <c r="R73" s="1939"/>
      <c r="S73" s="1939"/>
      <c r="T73" s="1939"/>
      <c r="U73" s="1939"/>
      <c r="V73" s="1939"/>
      <c r="W73" s="1939"/>
      <c r="X73" s="1939"/>
      <c r="Y73" s="1939"/>
      <c r="Z73" s="1939"/>
      <c r="AA73" s="1939"/>
    </row>
    <row r="74" spans="1:27" s="1545" customFormat="1" ht="24.95" customHeight="1" thickBot="1">
      <c r="A74" s="1937"/>
      <c r="B74" s="1938"/>
      <c r="C74" s="1939"/>
      <c r="D74" s="1940"/>
      <c r="E74" s="1940"/>
      <c r="F74" s="1941"/>
      <c r="G74" s="1941"/>
      <c r="H74" s="1941"/>
      <c r="I74" s="1941"/>
      <c r="J74" s="1950"/>
      <c r="K74" s="1939"/>
      <c r="L74" s="1939"/>
      <c r="M74" s="1939"/>
      <c r="N74" s="1939"/>
      <c r="O74" s="1939"/>
      <c r="P74" s="1939"/>
      <c r="Q74" s="1939"/>
      <c r="R74" s="1939"/>
      <c r="S74" s="1939"/>
      <c r="T74" s="1939"/>
      <c r="U74" s="1939"/>
      <c r="V74" s="1939"/>
      <c r="W74" s="1939"/>
      <c r="X74" s="1939"/>
      <c r="Y74" s="1939"/>
      <c r="Z74" s="1939"/>
      <c r="AA74" s="1939"/>
    </row>
    <row r="75" spans="1:27" s="1545" customFormat="1" ht="24.95" customHeight="1">
      <c r="A75" s="1937"/>
      <c r="B75" s="2009"/>
      <c r="C75" s="1980"/>
      <c r="D75" s="1978"/>
      <c r="E75" s="1978"/>
      <c r="F75" s="1978"/>
      <c r="G75" s="1978"/>
      <c r="H75" s="1978"/>
      <c r="I75" s="1978"/>
      <c r="J75" s="1979"/>
      <c r="K75" s="1980"/>
      <c r="L75" s="1980"/>
      <c r="M75" s="1981"/>
      <c r="N75" s="1939"/>
      <c r="O75" s="1939"/>
      <c r="P75" s="1939"/>
      <c r="Q75" s="1939"/>
      <c r="R75" s="1939"/>
      <c r="S75" s="1939"/>
      <c r="T75" s="1939"/>
      <c r="U75" s="1939"/>
      <c r="V75" s="1939"/>
      <c r="W75" s="1939"/>
      <c r="X75" s="1939"/>
      <c r="Y75" s="1939"/>
      <c r="Z75" s="1939"/>
      <c r="AA75" s="1939"/>
    </row>
    <row r="76" spans="1:27" s="1545" customFormat="1" ht="24.95" customHeight="1">
      <c r="A76" s="1937"/>
      <c r="B76" s="2013" t="s">
        <v>2727</v>
      </c>
      <c r="C76" s="2158" t="s">
        <v>2665</v>
      </c>
      <c r="D76" s="2016"/>
      <c r="E76" s="2016"/>
      <c r="F76" s="2016"/>
      <c r="G76" s="2016"/>
      <c r="H76" s="2016"/>
      <c r="I76" s="2016"/>
      <c r="J76" s="2017"/>
      <c r="K76" s="2015"/>
      <c r="L76" s="2015"/>
      <c r="M76" s="1982"/>
      <c r="N76" s="1939"/>
      <c r="O76" s="1939"/>
      <c r="P76" s="1939"/>
      <c r="Q76" s="1939"/>
      <c r="R76" s="1939"/>
      <c r="S76" s="1939"/>
      <c r="T76" s="1939"/>
      <c r="U76" s="1939"/>
      <c r="V76" s="1939"/>
      <c r="W76" s="1939"/>
      <c r="X76" s="1939"/>
      <c r="Y76" s="1939"/>
      <c r="Z76" s="1939"/>
      <c r="AA76" s="1939"/>
    </row>
    <row r="77" spans="1:27" s="1545" customFormat="1" ht="24.95" customHeight="1">
      <c r="A77" s="1937"/>
      <c r="B77" s="2013">
        <f>ROW()</f>
        <v>77</v>
      </c>
      <c r="C77" s="2149" t="str">
        <f ca="1">CELL("nomfichier")</f>
        <v>D:\Données\1.UPRT\0-UPRT.fait\1-UPRT.FR-SITE-WEB\ff-fiches-fabrications\ff.fiches.fabrication.2023\UPRT.23.aout\[ff-20-CHARCUTERIE-michel-Mariette.BOUDIN.BLANC_-1.xlsx]Exemples Michel Mariette</v>
      </c>
      <c r="D77" s="2159"/>
      <c r="E77" s="2159"/>
      <c r="F77" s="2159"/>
      <c r="G77" s="2159"/>
      <c r="H77" s="2159"/>
      <c r="I77" s="2159"/>
      <c r="J77" s="2169"/>
      <c r="K77" s="2169"/>
      <c r="L77" s="2170"/>
      <c r="M77" s="2072"/>
      <c r="N77" s="1939" t="s">
        <v>2</v>
      </c>
      <c r="O77" s="2152"/>
      <c r="P77" s="1939"/>
      <c r="Q77" s="1939"/>
      <c r="R77" s="1939"/>
      <c r="S77" s="1939"/>
      <c r="T77" s="1939"/>
      <c r="U77" s="1939"/>
      <c r="V77" s="1939"/>
      <c r="W77" s="1939"/>
      <c r="X77" s="1939"/>
      <c r="Y77" s="1939"/>
      <c r="Z77" s="1939"/>
      <c r="AA77" s="1939"/>
    </row>
    <row r="78" spans="1:27" s="1545" customFormat="1" ht="24.95" customHeight="1">
      <c r="A78" s="1937"/>
      <c r="B78" s="2006"/>
      <c r="C78" s="2155" t="str">
        <f ca="1">_xlfn.FORMULATEXT(C77)</f>
        <v>=@CELLULE("nomfichier")</v>
      </c>
      <c r="D78" s="2155"/>
      <c r="E78" s="2155"/>
      <c r="F78" s="2155"/>
      <c r="G78" s="2155"/>
      <c r="H78" s="2155"/>
      <c r="I78" s="2155"/>
      <c r="J78" s="2155"/>
      <c r="K78" s="2155"/>
      <c r="L78" s="2155"/>
      <c r="M78" s="1982"/>
      <c r="N78" s="1939"/>
      <c r="O78" s="2155"/>
      <c r="P78" s="1939"/>
      <c r="Q78" s="1939"/>
      <c r="R78" s="1939"/>
      <c r="S78" s="1939"/>
      <c r="T78" s="1939"/>
      <c r="U78" s="1939"/>
      <c r="V78" s="1939"/>
      <c r="W78" s="1939"/>
      <c r="X78" s="1939"/>
      <c r="Y78" s="1939"/>
      <c r="Z78" s="1939"/>
      <c r="AA78" s="1939"/>
    </row>
    <row r="79" spans="1:27" s="1545" customFormat="1" ht="24.95" customHeight="1" thickBot="1">
      <c r="A79" s="1937"/>
      <c r="B79" s="1999"/>
      <c r="C79" s="2057" t="s">
        <v>2730</v>
      </c>
      <c r="D79" s="1983"/>
      <c r="E79" s="1983"/>
      <c r="F79" s="1983"/>
      <c r="G79" s="1983"/>
      <c r="H79" s="1983"/>
      <c r="I79" s="1983"/>
      <c r="J79" s="1984"/>
      <c r="K79" s="1985"/>
      <c r="L79" s="1985"/>
      <c r="M79" s="1986"/>
      <c r="N79" s="1939"/>
      <c r="O79" s="1939"/>
      <c r="P79" s="1939"/>
      <c r="Q79" s="1939"/>
      <c r="R79" s="1939"/>
      <c r="S79" s="1939"/>
      <c r="T79" s="1939"/>
      <c r="U79" s="1939"/>
      <c r="V79" s="1939"/>
      <c r="W79" s="1939"/>
      <c r="X79" s="1939"/>
      <c r="Y79" s="1939"/>
      <c r="Z79" s="1939"/>
      <c r="AA79" s="1939"/>
    </row>
    <row r="80" spans="1:27" s="1545" customFormat="1" ht="24.95" customHeight="1" thickBot="1">
      <c r="A80" s="1937"/>
      <c r="B80" s="1938"/>
      <c r="C80" s="1939"/>
      <c r="D80" s="1940"/>
      <c r="E80" s="1940"/>
      <c r="F80" s="1941"/>
      <c r="G80" s="1941"/>
      <c r="H80" s="1941"/>
      <c r="I80" s="1941"/>
      <c r="J80" s="1950"/>
      <c r="K80" s="1939"/>
      <c r="L80" s="1939"/>
      <c r="M80" s="1939"/>
      <c r="N80" s="1939"/>
      <c r="O80" s="1939"/>
      <c r="P80" s="1939"/>
      <c r="Q80" s="1939"/>
      <c r="R80" s="1939"/>
      <c r="S80" s="1939"/>
      <c r="T80" s="1939"/>
      <c r="U80" s="1939"/>
      <c r="V80" s="1939"/>
      <c r="W80" s="1939"/>
      <c r="X80" s="1939"/>
      <c r="Y80" s="1939"/>
      <c r="Z80" s="1939"/>
      <c r="AA80" s="1939"/>
    </row>
    <row r="81" spans="1:27" s="1545" customFormat="1" ht="24.95" customHeight="1">
      <c r="A81" s="1937"/>
      <c r="B81" s="2009"/>
      <c r="C81" s="1980"/>
      <c r="D81" s="1978"/>
      <c r="E81" s="1978"/>
      <c r="F81" s="1978"/>
      <c r="G81" s="1978"/>
      <c r="H81" s="1978"/>
      <c r="I81" s="1978"/>
      <c r="J81" s="1979"/>
      <c r="K81" s="1981"/>
      <c r="L81" s="1939"/>
      <c r="M81" s="1939"/>
      <c r="N81" s="1939"/>
      <c r="O81" s="1939"/>
      <c r="P81" s="1939"/>
      <c r="Q81" s="1939"/>
      <c r="R81" s="1939"/>
      <c r="S81" s="1939"/>
      <c r="T81" s="1939"/>
      <c r="U81" s="1939"/>
      <c r="V81" s="1939"/>
      <c r="W81" s="1939"/>
      <c r="X81" s="1939"/>
      <c r="Y81" s="1939"/>
      <c r="Z81" s="1939"/>
      <c r="AA81" s="1939"/>
    </row>
    <row r="82" spans="1:27" s="1545" customFormat="1" ht="24.95" customHeight="1">
      <c r="A82" s="1937"/>
      <c r="B82" s="2013" t="s">
        <v>2727</v>
      </c>
      <c r="C82" s="2158" t="s">
        <v>2667</v>
      </c>
      <c r="D82" s="2016"/>
      <c r="E82" s="2016"/>
      <c r="F82" s="2016"/>
      <c r="G82" s="2016"/>
      <c r="H82" s="2016"/>
      <c r="I82" s="2016"/>
      <c r="J82" s="2017"/>
      <c r="K82" s="1982"/>
      <c r="L82" s="1939"/>
      <c r="M82" s="1939"/>
      <c r="N82" s="1939"/>
      <c r="O82" s="1939"/>
      <c r="P82" s="1939"/>
      <c r="Q82" s="1939"/>
      <c r="R82" s="1939"/>
      <c r="S82" s="1939"/>
      <c r="T82" s="1939"/>
      <c r="U82" s="1939"/>
      <c r="V82" s="1939"/>
      <c r="W82" s="1939"/>
      <c r="X82" s="1939"/>
      <c r="Y82" s="1939"/>
      <c r="Z82" s="1939"/>
      <c r="AA82" s="1939"/>
    </row>
    <row r="83" spans="1:27" s="1545" customFormat="1" ht="24.95" customHeight="1">
      <c r="A83" s="1937"/>
      <c r="B83" s="2013">
        <f>ROW()</f>
        <v>83</v>
      </c>
      <c r="C83" s="2171" t="s">
        <v>2715</v>
      </c>
      <c r="D83" s="2172"/>
      <c r="E83" s="2172"/>
      <c r="F83" s="2172"/>
      <c r="G83" s="2172"/>
      <c r="H83" s="2172"/>
      <c r="I83" s="2172"/>
      <c r="J83" s="2172"/>
      <c r="K83" s="1982"/>
      <c r="L83" s="1939"/>
      <c r="M83" s="1939"/>
      <c r="N83" s="1939"/>
      <c r="O83" s="1939"/>
      <c r="P83" s="1939"/>
      <c r="Q83" s="1939"/>
      <c r="R83" s="1939"/>
      <c r="S83" s="1939"/>
      <c r="T83" s="1939"/>
      <c r="U83" s="1939"/>
      <c r="V83" s="1939"/>
      <c r="W83" s="1939"/>
      <c r="X83" s="1939"/>
      <c r="Y83" s="1939"/>
      <c r="Z83" s="1939"/>
      <c r="AA83" s="1939"/>
    </row>
    <row r="84" spans="1:27" s="1545" customFormat="1" ht="24.95" customHeight="1" thickBot="1">
      <c r="A84" s="1937"/>
      <c r="B84" s="1999"/>
      <c r="C84" s="2057" t="s">
        <v>2729</v>
      </c>
      <c r="D84" s="1983"/>
      <c r="E84" s="1983"/>
      <c r="F84" s="1983"/>
      <c r="G84" s="1983"/>
      <c r="H84" s="1983"/>
      <c r="I84" s="1983"/>
      <c r="J84" s="1984"/>
      <c r="K84" s="1986"/>
      <c r="L84" s="1939"/>
      <c r="M84" s="1939"/>
      <c r="N84" s="1939"/>
      <c r="O84" s="1939"/>
      <c r="P84" s="1939"/>
      <c r="Q84" s="1939"/>
      <c r="R84" s="1939"/>
      <c r="S84" s="1939"/>
      <c r="T84" s="1939"/>
      <c r="U84" s="1939"/>
      <c r="V84" s="1939"/>
      <c r="W84" s="1939"/>
      <c r="X84" s="1939"/>
      <c r="Y84" s="1939"/>
      <c r="Z84" s="1939"/>
      <c r="AA84" s="1939"/>
    </row>
    <row r="85" spans="1:27" s="1545" customFormat="1" ht="24.95" customHeight="1" thickBot="1">
      <c r="A85" s="1937"/>
      <c r="B85" s="1938"/>
      <c r="C85" s="1939"/>
      <c r="D85" s="1940"/>
      <c r="E85" s="1940"/>
      <c r="F85" s="1941"/>
      <c r="G85" s="1941"/>
      <c r="H85" s="1941"/>
      <c r="I85" s="1941"/>
      <c r="J85" s="1950"/>
      <c r="K85" s="1939"/>
      <c r="L85" s="1939"/>
      <c r="M85" s="1939"/>
      <c r="N85" s="1939"/>
      <c r="O85" s="1939"/>
      <c r="P85" s="1939"/>
      <c r="Q85" s="1939"/>
      <c r="R85" s="1939"/>
      <c r="S85" s="1939"/>
      <c r="T85" s="1939"/>
      <c r="U85" s="1939"/>
      <c r="V85" s="1939"/>
      <c r="W85" s="1939"/>
      <c r="X85" s="1939"/>
      <c r="Y85" s="1939"/>
      <c r="Z85" s="1939"/>
      <c r="AA85" s="1939"/>
    </row>
    <row r="86" spans="1:27" s="1545" customFormat="1" ht="24.95" customHeight="1">
      <c r="A86" s="1937"/>
      <c r="B86" s="2009"/>
      <c r="C86" s="1980"/>
      <c r="D86" s="1978"/>
      <c r="E86" s="1978"/>
      <c r="F86" s="1978"/>
      <c r="G86" s="1978"/>
      <c r="H86" s="1978"/>
      <c r="I86" s="1978"/>
      <c r="J86" s="1979"/>
      <c r="K86" s="1980"/>
      <c r="L86" s="1980"/>
      <c r="M86" s="1980"/>
      <c r="N86" s="1980"/>
      <c r="O86" s="1980"/>
      <c r="P86" s="1981"/>
      <c r="Q86" s="1939"/>
      <c r="R86" s="1939"/>
      <c r="S86" s="1939"/>
      <c r="T86" s="1939"/>
      <c r="U86" s="1939"/>
      <c r="V86" s="1939"/>
      <c r="W86" s="1939"/>
      <c r="X86" s="1939"/>
      <c r="Y86" s="1939"/>
      <c r="Z86" s="1939"/>
      <c r="AA86" s="1939"/>
    </row>
    <row r="87" spans="1:27" s="1545" customFormat="1" ht="24.95" customHeight="1">
      <c r="A87" s="1937"/>
      <c r="B87" s="2013" t="s">
        <v>2727</v>
      </c>
      <c r="C87" s="2158" t="s">
        <v>2666</v>
      </c>
      <c r="D87" s="2163"/>
      <c r="E87" s="2015"/>
      <c r="F87" s="2015"/>
      <c r="G87" s="2015"/>
      <c r="H87" s="2015"/>
      <c r="I87" s="2015"/>
      <c r="J87" s="2015"/>
      <c r="K87" s="2015"/>
      <c r="L87" s="2015"/>
      <c r="M87" s="2015"/>
      <c r="N87" s="2015"/>
      <c r="O87" s="2015"/>
      <c r="P87" s="1982"/>
      <c r="Q87" s="1921"/>
      <c r="R87" s="1939"/>
      <c r="S87" s="1939"/>
      <c r="T87" s="1939"/>
      <c r="U87" s="1939"/>
      <c r="V87" s="1939"/>
      <c r="W87" s="1939"/>
      <c r="X87" s="1939"/>
      <c r="Y87" s="1939"/>
      <c r="Z87" s="1939"/>
      <c r="AA87" s="1939"/>
    </row>
    <row r="88" spans="1:27" s="1545" customFormat="1" ht="24.95" customHeight="1">
      <c r="A88" s="1937"/>
      <c r="B88" s="2013"/>
      <c r="C88" s="2149" t="str">
        <f ca="1">SUBSTITUTE(SUBSTITUTE(RIGHT(CELL("filename",A1),LEN(CELL("filename",A1))-SEARCH("[",CELL("filename",A1))+1),"[",""),"]"," ")</f>
        <v>ff-20-CHARCUTERIE-michel-Mariette.BOUDIN.BLANC_-1.xlsx Formats-Formules-Fonctions</v>
      </c>
      <c r="D88" s="2159"/>
      <c r="E88" s="2159"/>
      <c r="F88" s="2159"/>
      <c r="G88" s="2159"/>
      <c r="H88" s="2159"/>
      <c r="I88" s="2159"/>
      <c r="J88" s="2151"/>
      <c r="K88" s="2151"/>
      <c r="L88" s="2152"/>
      <c r="M88" s="2152"/>
      <c r="N88" s="2152"/>
      <c r="O88" s="2152"/>
      <c r="P88" s="2061"/>
      <c r="Q88" s="1921"/>
      <c r="R88" s="1939"/>
      <c r="S88" s="1939"/>
      <c r="T88" s="1939"/>
      <c r="U88" s="1939"/>
      <c r="V88" s="1939"/>
      <c r="W88" s="1939"/>
      <c r="X88" s="1939"/>
      <c r="Y88" s="1939"/>
      <c r="Z88" s="1939"/>
      <c r="AA88" s="1939"/>
    </row>
    <row r="89" spans="1:27" s="1545" customFormat="1" ht="24.95" customHeight="1">
      <c r="A89" s="1937"/>
      <c r="B89" s="2013">
        <f>ROW()</f>
        <v>89</v>
      </c>
      <c r="C89" s="2155" t="str">
        <f ca="1">_xlfn.FORMULATEXT(C88)</f>
        <v>=SUBSTITUE(SUBSTITUE(DROITE(@CELLULE("filename";A1);NBCAR(@CELLULE("filename";A1))-CHERCHE("[";@CELLULE("filename";A1))+1);"[";"");"]";" ")</v>
      </c>
      <c r="D89" s="2155"/>
      <c r="E89" s="2155"/>
      <c r="F89" s="2155"/>
      <c r="G89" s="2155"/>
      <c r="H89" s="2155"/>
      <c r="I89" s="2155"/>
      <c r="J89" s="2155"/>
      <c r="K89" s="2155"/>
      <c r="L89" s="2155"/>
      <c r="M89" s="2155"/>
      <c r="N89" s="2155"/>
      <c r="O89" s="2155"/>
      <c r="P89" s="2062"/>
      <c r="Q89" s="1921"/>
      <c r="R89" s="1939"/>
      <c r="S89" s="1939"/>
      <c r="T89" s="1939"/>
      <c r="U89" s="1939"/>
      <c r="V89" s="1939"/>
      <c r="W89" s="1939"/>
      <c r="X89" s="1939"/>
      <c r="Y89" s="1939"/>
      <c r="Z89" s="1939"/>
      <c r="AA89" s="1939"/>
    </row>
    <row r="90" spans="1:27" s="1545" customFormat="1" ht="24.95" customHeight="1" thickBot="1">
      <c r="A90" s="1937"/>
      <c r="B90" s="1999"/>
      <c r="C90" s="2054" t="s">
        <v>2728</v>
      </c>
      <c r="D90" s="2018"/>
      <c r="E90" s="1983"/>
      <c r="F90" s="1983"/>
      <c r="G90" s="1983"/>
      <c r="H90" s="1983"/>
      <c r="I90" s="1983"/>
      <c r="J90" s="1985"/>
      <c r="K90" s="1985"/>
      <c r="L90" s="1985"/>
      <c r="M90" s="1985"/>
      <c r="N90" s="1985"/>
      <c r="O90" s="1985"/>
      <c r="P90" s="1986"/>
      <c r="Q90" s="1921"/>
      <c r="R90" s="1939"/>
      <c r="S90" s="1939"/>
      <c r="T90" s="1939"/>
      <c r="U90" s="1939"/>
      <c r="V90" s="1939"/>
      <c r="W90" s="1939"/>
      <c r="X90" s="1939"/>
      <c r="Y90" s="1939"/>
      <c r="Z90" s="1939"/>
      <c r="AA90" s="1939"/>
    </row>
    <row r="91" spans="1:27" s="1545" customFormat="1" ht="24.95" customHeight="1" thickBot="1">
      <c r="A91" s="1937"/>
      <c r="B91" s="1938"/>
      <c r="C91" s="1939"/>
      <c r="D91" s="1940"/>
      <c r="E91" s="1940"/>
      <c r="F91" s="1941"/>
      <c r="G91" s="1941"/>
      <c r="H91" s="1941"/>
      <c r="I91" s="1941"/>
      <c r="J91" s="1950"/>
      <c r="K91" s="1939"/>
      <c r="L91" s="1939"/>
      <c r="M91" s="1939"/>
      <c r="N91" s="1939"/>
      <c r="O91" s="1939"/>
      <c r="P91" s="1939"/>
      <c r="Q91" s="1939"/>
      <c r="R91" s="1939"/>
      <c r="S91" s="1939"/>
      <c r="T91" s="1939"/>
      <c r="U91" s="1939"/>
      <c r="V91" s="1939"/>
      <c r="W91" s="1939"/>
      <c r="X91" s="1939"/>
      <c r="Y91" s="1939"/>
      <c r="Z91" s="1939"/>
      <c r="AA91" s="1939"/>
    </row>
    <row r="92" spans="1:27" s="1545" customFormat="1" ht="24.95" customHeight="1">
      <c r="A92" s="1937"/>
      <c r="B92" s="2007"/>
      <c r="C92" s="1990"/>
      <c r="D92" s="1987"/>
      <c r="E92" s="1987"/>
      <c r="F92" s="1988"/>
      <c r="G92" s="1988"/>
      <c r="H92" s="1988"/>
      <c r="I92" s="1988"/>
      <c r="J92" s="1989"/>
      <c r="K92" s="1990"/>
      <c r="L92" s="1990"/>
      <c r="M92" s="1991"/>
      <c r="N92" s="1939"/>
      <c r="O92" s="1939"/>
      <c r="P92" s="1939"/>
      <c r="Q92" s="1939"/>
      <c r="R92" s="1939"/>
      <c r="S92" s="1939"/>
      <c r="T92" s="1939"/>
      <c r="U92" s="1939"/>
      <c r="V92" s="1939"/>
      <c r="W92" s="1939"/>
      <c r="X92" s="1939"/>
      <c r="Y92" s="1939"/>
      <c r="Z92" s="1939"/>
      <c r="AA92" s="1939"/>
    </row>
    <row r="93" spans="1:27" s="1545" customFormat="1" ht="24.95" customHeight="1">
      <c r="A93" s="1937"/>
      <c r="B93" s="2013" t="s">
        <v>2727</v>
      </c>
      <c r="C93" s="2158" t="s">
        <v>2668</v>
      </c>
      <c r="D93" s="1942"/>
      <c r="E93" s="1939"/>
      <c r="F93" s="1939"/>
      <c r="G93" s="1939"/>
      <c r="H93" s="1939"/>
      <c r="I93" s="1939"/>
      <c r="J93" s="1939"/>
      <c r="K93" s="1939"/>
      <c r="L93" s="1939"/>
      <c r="M93" s="1982"/>
      <c r="N93" s="1939"/>
      <c r="O93" s="1939"/>
      <c r="P93" s="1939"/>
      <c r="Q93" s="1939"/>
      <c r="R93" s="1939"/>
      <c r="S93" s="1939"/>
      <c r="T93" s="1939"/>
      <c r="U93" s="1939"/>
      <c r="V93" s="1939"/>
      <c r="W93" s="1939"/>
      <c r="X93" s="1939"/>
      <c r="Y93" s="1939"/>
      <c r="Z93" s="1939"/>
      <c r="AA93" s="1939"/>
    </row>
    <row r="94" spans="1:27" s="1545" customFormat="1" ht="24.95" customHeight="1">
      <c r="A94" s="1937"/>
      <c r="B94" s="2013"/>
      <c r="C94" s="2149" t="str">
        <f ca="1">SUBSTITUTE(SUBSTITUTE(LEFT(CELL("filename",A1),SEARCH("]",CELL("filename",A1))),"[",""),"]","")</f>
        <v>D:\Données\1.UPRT\0-UPRT.fait\1-UPRT.FR-SITE-WEB\ff-fiches-fabrications\ff.fiches.fabrication.2023\UPRT.23.aout\ff-20-CHARCUTERIE-michel-Mariette.BOUDIN.BLANC_-1.xlsx</v>
      </c>
      <c r="D94" s="2159"/>
      <c r="E94" s="2159"/>
      <c r="F94" s="2159"/>
      <c r="G94" s="2159"/>
      <c r="H94" s="2159"/>
      <c r="I94" s="2159"/>
      <c r="J94" s="2159"/>
      <c r="K94" s="2159"/>
      <c r="L94" s="2159"/>
      <c r="M94" s="1982"/>
      <c r="N94" s="1939"/>
      <c r="O94" s="2152"/>
      <c r="P94" s="1939"/>
      <c r="Q94" s="1939"/>
      <c r="R94" s="1939"/>
      <c r="S94" s="1939"/>
      <c r="T94" s="1939"/>
      <c r="U94" s="1939"/>
      <c r="V94" s="1939"/>
      <c r="W94" s="1939"/>
      <c r="X94" s="1939"/>
      <c r="Y94" s="1939"/>
      <c r="Z94" s="1939"/>
      <c r="AA94" s="1939"/>
    </row>
    <row r="95" spans="1:27" s="1545" customFormat="1" ht="24.95" customHeight="1">
      <c r="A95" s="1937"/>
      <c r="B95" s="2013">
        <f>ROW()</f>
        <v>95</v>
      </c>
      <c r="C95" s="2155" t="str">
        <f ca="1">_xlfn.FORMULATEXT(C94)</f>
        <v>=SUBSTITUE(SUBSTITUE(GAUCHE(@CELLULE("filename";A1);CHERCHE("]";@CELLULE("filename";A1)));"[";"");"]";"")</v>
      </c>
      <c r="D95" s="2155"/>
      <c r="E95" s="2155"/>
      <c r="F95" s="2155"/>
      <c r="G95" s="2155"/>
      <c r="H95" s="2155"/>
      <c r="I95" s="2155"/>
      <c r="J95" s="2155"/>
      <c r="K95" s="2155"/>
      <c r="L95" s="2155"/>
      <c r="M95" s="1982"/>
      <c r="N95" s="1939"/>
      <c r="O95" s="2155"/>
      <c r="P95" s="1939"/>
      <c r="Q95" s="1939"/>
      <c r="R95" s="1939"/>
      <c r="S95" s="1939"/>
      <c r="T95" s="1939"/>
      <c r="U95" s="1939"/>
      <c r="V95" s="1939"/>
      <c r="W95" s="1939"/>
      <c r="X95" s="1939"/>
      <c r="Y95" s="1939"/>
      <c r="Z95" s="1939"/>
      <c r="AA95" s="1939"/>
    </row>
    <row r="96" spans="1:27" s="1545" customFormat="1" ht="24.95" customHeight="1" thickBot="1">
      <c r="A96" s="1937"/>
      <c r="B96" s="1998"/>
      <c r="C96" s="2054" t="s">
        <v>2728</v>
      </c>
      <c r="D96" s="2018"/>
      <c r="E96" s="1983"/>
      <c r="F96" s="1983"/>
      <c r="G96" s="1983"/>
      <c r="H96" s="1983"/>
      <c r="I96" s="1983"/>
      <c r="J96" s="1995"/>
      <c r="K96" s="1996"/>
      <c r="L96" s="1996"/>
      <c r="M96" s="1997"/>
      <c r="N96" s="1939"/>
      <c r="O96" s="1939"/>
      <c r="P96" s="1939"/>
      <c r="Q96" s="1939"/>
      <c r="R96" s="1939"/>
      <c r="S96" s="1939"/>
      <c r="T96" s="1939"/>
      <c r="U96" s="1939"/>
      <c r="V96" s="1939"/>
      <c r="W96" s="1939"/>
      <c r="X96" s="1939"/>
      <c r="Y96" s="1939"/>
      <c r="Z96" s="1939"/>
      <c r="AA96" s="1939"/>
    </row>
    <row r="97" spans="1:27" s="1545" customFormat="1" ht="24.95" customHeight="1" thickBot="1">
      <c r="A97" s="1937"/>
      <c r="B97" s="1938"/>
      <c r="C97" s="1939"/>
      <c r="D97" s="1940"/>
      <c r="E97" s="1940"/>
      <c r="F97" s="1941"/>
      <c r="G97" s="1941"/>
      <c r="H97" s="1941"/>
      <c r="I97" s="1941"/>
      <c r="J97" s="1950"/>
      <c r="K97" s="1939"/>
      <c r="L97" s="1939"/>
      <c r="M97" s="1939"/>
      <c r="N97" s="1939"/>
      <c r="O97" s="1939"/>
      <c r="P97" s="1939"/>
      <c r="Q97" s="1939"/>
      <c r="R97" s="1939"/>
      <c r="S97" s="1939"/>
      <c r="T97" s="1939"/>
      <c r="U97" s="1939"/>
      <c r="V97" s="1939"/>
      <c r="W97" s="1939"/>
      <c r="X97" s="1939"/>
      <c r="Y97" s="1939"/>
      <c r="Z97" s="1939"/>
      <c r="AA97" s="1939"/>
    </row>
    <row r="98" spans="1:27" s="1545" customFormat="1" ht="24.95" customHeight="1">
      <c r="A98" s="1937"/>
      <c r="B98" s="2020"/>
      <c r="C98" s="2021"/>
      <c r="D98" s="2002"/>
      <c r="E98" s="2002"/>
      <c r="F98" s="2022"/>
      <c r="G98" s="2022"/>
      <c r="H98" s="2022"/>
      <c r="I98" s="2022"/>
      <c r="J98" s="2023"/>
      <c r="K98" s="2021"/>
      <c r="L98" s="2021"/>
      <c r="M98" s="2021"/>
      <c r="N98" s="2021"/>
      <c r="O98" s="2021"/>
      <c r="P98" s="2060"/>
      <c r="Q98" s="1939"/>
      <c r="R98" s="1939"/>
      <c r="S98" s="1939"/>
      <c r="T98" s="1939"/>
      <c r="U98" s="1939"/>
      <c r="V98" s="1939"/>
      <c r="W98" s="1939"/>
      <c r="X98" s="1939"/>
      <c r="Y98" s="1939"/>
      <c r="Z98" s="1939"/>
      <c r="AA98" s="1939"/>
    </row>
    <row r="99" spans="1:27" s="1545" customFormat="1" ht="24.95" customHeight="1">
      <c r="A99" s="1937"/>
      <c r="B99" s="2013" t="s">
        <v>2727</v>
      </c>
      <c r="C99" s="2158" t="s">
        <v>2720</v>
      </c>
      <c r="D99" s="2016"/>
      <c r="E99" s="2016"/>
      <c r="F99" s="2173"/>
      <c r="G99" s="2173"/>
      <c r="H99" s="2173"/>
      <c r="I99" s="2173"/>
      <c r="J99" s="2174"/>
      <c r="K99" s="2152"/>
      <c r="L99" s="2152"/>
      <c r="M99" s="2152"/>
      <c r="N99" s="2152"/>
      <c r="O99" s="2152"/>
      <c r="P99" s="2061"/>
      <c r="Q99" s="1939"/>
      <c r="R99" s="1939"/>
      <c r="S99" s="1939"/>
      <c r="T99" s="1939"/>
      <c r="U99" s="1939"/>
      <c r="V99" s="1939"/>
      <c r="W99" s="1939"/>
      <c r="X99" s="1939"/>
      <c r="Y99" s="1939"/>
      <c r="Z99" s="1939"/>
      <c r="AA99" s="1939"/>
    </row>
    <row r="100" spans="1:27" s="1545" customFormat="1" ht="24.95" customHeight="1">
      <c r="A100" s="1937"/>
      <c r="B100" s="2013"/>
      <c r="C100" s="2149" t="str">
        <f ca="1">IF(CELL("nomfichier",C55)="\\rcg006bur\usei_cartographie\[ff-29-formats-formules-pourcentages.xlsx]sites","","ff-29-formats-formules-pourcentages COPIE")</f>
        <v>ff-29-formats-formules-pourcentages COPIE</v>
      </c>
      <c r="D100" s="2159"/>
      <c r="E100" s="2159"/>
      <c r="F100" s="2159"/>
      <c r="G100" s="2150"/>
      <c r="H100" s="2150"/>
      <c r="I100" s="2150"/>
      <c r="J100" s="2151"/>
      <c r="K100" s="2151"/>
      <c r="L100" s="2152"/>
      <c r="M100" s="2152"/>
      <c r="N100" s="2152"/>
      <c r="O100" s="2152"/>
      <c r="P100" s="2061"/>
      <c r="Q100" s="1939"/>
      <c r="R100" s="1939"/>
      <c r="S100" s="1939"/>
      <c r="T100" s="1939"/>
      <c r="U100" s="1939"/>
      <c r="V100" s="1939"/>
      <c r="W100" s="1939"/>
      <c r="X100" s="1939"/>
      <c r="Y100" s="1939"/>
      <c r="Z100" s="1939"/>
      <c r="AA100" s="1939"/>
    </row>
    <row r="101" spans="1:27" s="1545" customFormat="1" ht="24.95" customHeight="1">
      <c r="A101" s="1937"/>
      <c r="B101" s="2013">
        <f>ROW()</f>
        <v>101</v>
      </c>
      <c r="C101" s="2155" t="str">
        <f ca="1">_xlfn.FORMULATEXT(C100)</f>
        <v>=SI(@CELLULE("nomfichier";C55)="\\rcg006bur\usei_cartographie\[ff-29-formats-formules-pourcentages.xlsx]sites";"";"ff-29-formats-formules-pourcentages COPIE")</v>
      </c>
      <c r="D101" s="2155"/>
      <c r="E101" s="2155"/>
      <c r="F101" s="2155"/>
      <c r="G101" s="2155"/>
      <c r="H101" s="2155"/>
      <c r="I101" s="2155"/>
      <c r="J101" s="2155"/>
      <c r="K101" s="2155"/>
      <c r="L101" s="2155"/>
      <c r="M101" s="2155"/>
      <c r="N101" s="2155"/>
      <c r="O101" s="2155"/>
      <c r="P101" s="2062"/>
      <c r="Q101" s="1939"/>
      <c r="R101" s="1939"/>
      <c r="S101" s="1939"/>
      <c r="T101" s="1939"/>
      <c r="U101" s="1939"/>
      <c r="V101" s="1939"/>
      <c r="W101" s="1939"/>
      <c r="X101" s="1939"/>
      <c r="Y101" s="1939"/>
      <c r="Z101" s="1939"/>
      <c r="AA101" s="1939"/>
    </row>
    <row r="102" spans="1:27" s="1545" customFormat="1" ht="24.95" customHeight="1" thickBot="1">
      <c r="A102" s="1937"/>
      <c r="B102" s="2024"/>
      <c r="C102" s="2056" t="s">
        <v>2732</v>
      </c>
      <c r="D102" s="2058"/>
      <c r="E102" s="2058"/>
      <c r="F102" s="2059"/>
      <c r="G102" s="2059"/>
      <c r="H102" s="2059"/>
      <c r="I102" s="2059"/>
      <c r="J102" s="2025"/>
      <c r="K102" s="2025"/>
      <c r="L102" s="2025"/>
      <c r="M102" s="2025"/>
      <c r="N102" s="2025"/>
      <c r="O102" s="2025"/>
      <c r="P102" s="2063"/>
      <c r="Q102" s="1939"/>
      <c r="R102" s="1939"/>
      <c r="S102" s="1939"/>
      <c r="T102" s="1939"/>
      <c r="U102" s="1939"/>
      <c r="V102" s="1939"/>
      <c r="W102" s="1939"/>
      <c r="X102" s="1939"/>
      <c r="Y102" s="1939"/>
      <c r="Z102" s="1939"/>
      <c r="AA102" s="1939"/>
    </row>
    <row r="103" spans="1:27" s="1545" customFormat="1" ht="24.95" customHeight="1" thickBot="1">
      <c r="A103" s="1937"/>
      <c r="B103" s="1938"/>
      <c r="C103" s="1939"/>
      <c r="D103" s="1940"/>
      <c r="E103" s="1940"/>
      <c r="F103" s="1941"/>
      <c r="G103" s="1941"/>
      <c r="H103" s="1941"/>
      <c r="I103" s="1941"/>
      <c r="J103" s="1950"/>
      <c r="K103" s="1939"/>
      <c r="L103" s="1939"/>
      <c r="M103" s="1939"/>
      <c r="N103" s="1939"/>
      <c r="O103" s="1939"/>
      <c r="P103" s="1939"/>
      <c r="Q103" s="1939"/>
      <c r="R103" s="1939"/>
      <c r="S103" s="1939"/>
      <c r="T103" s="1939"/>
      <c r="U103" s="1939"/>
      <c r="V103" s="1939"/>
      <c r="W103" s="1939"/>
      <c r="X103" s="1939"/>
      <c r="Y103" s="1939"/>
      <c r="Z103" s="1939"/>
      <c r="AA103" s="1939"/>
    </row>
    <row r="104" spans="1:27" s="1545" customFormat="1" ht="24.95" customHeight="1">
      <c r="A104" s="1937"/>
      <c r="B104" s="2009"/>
      <c r="C104" s="1980"/>
      <c r="D104" s="1978"/>
      <c r="E104" s="1978"/>
      <c r="F104" s="1978"/>
      <c r="G104" s="1978"/>
      <c r="H104" s="1978"/>
      <c r="I104" s="1978"/>
      <c r="J104" s="1979"/>
      <c r="K104" s="1980"/>
      <c r="L104" s="1981"/>
      <c r="M104" s="1939"/>
      <c r="N104" s="1939"/>
      <c r="O104" s="1939"/>
      <c r="P104" s="1939"/>
      <c r="Q104" s="1939"/>
      <c r="R104" s="1939"/>
      <c r="S104" s="1939"/>
      <c r="T104" s="1939"/>
      <c r="U104" s="1939"/>
      <c r="V104" s="1939"/>
      <c r="W104" s="1939"/>
      <c r="X104" s="1939"/>
      <c r="Y104" s="1939"/>
      <c r="Z104" s="1939"/>
      <c r="AA104" s="1939"/>
    </row>
    <row r="105" spans="1:27" s="1545" customFormat="1" ht="24.95" customHeight="1">
      <c r="A105" s="1937"/>
      <c r="B105" s="2006"/>
      <c r="C105" s="2158" t="s">
        <v>2672</v>
      </c>
      <c r="D105" s="2175"/>
      <c r="E105" s="2176"/>
      <c r="F105" s="2016"/>
      <c r="G105" s="2016"/>
      <c r="H105" s="2016"/>
      <c r="I105" s="2016"/>
      <c r="J105" s="2017"/>
      <c r="K105" s="2015"/>
      <c r="L105" s="1982"/>
      <c r="M105" s="1939"/>
      <c r="N105" s="1939"/>
      <c r="O105" s="1939"/>
      <c r="P105" s="1939"/>
      <c r="Q105" s="1939"/>
      <c r="R105" s="1939"/>
      <c r="S105" s="1939"/>
      <c r="T105" s="1939"/>
      <c r="U105" s="1939"/>
      <c r="V105" s="1939"/>
      <c r="W105" s="1939"/>
      <c r="X105" s="1939"/>
      <c r="Y105" s="1939"/>
      <c r="Z105" s="1939"/>
      <c r="AA105" s="1939"/>
    </row>
    <row r="106" spans="1:27" s="1545" customFormat="1" ht="24.95" customHeight="1" thickBot="1">
      <c r="A106" s="1937"/>
      <c r="B106" s="2013" t="s">
        <v>2727</v>
      </c>
      <c r="C106" s="2177" t="s">
        <v>2674</v>
      </c>
      <c r="D106" s="2175"/>
      <c r="E106" s="2176"/>
      <c r="F106" s="2016"/>
      <c r="G106" s="2016"/>
      <c r="H106" s="2016"/>
      <c r="I106" s="2016"/>
      <c r="J106" s="2017"/>
      <c r="K106" s="2015"/>
      <c r="L106" s="1982"/>
      <c r="M106" s="1939"/>
      <c r="N106" s="1939"/>
      <c r="O106" s="1939"/>
      <c r="P106" s="1939"/>
      <c r="Q106" s="1939"/>
      <c r="R106" s="1939"/>
      <c r="S106" s="1939"/>
      <c r="T106" s="1939"/>
      <c r="U106" s="1939"/>
      <c r="V106" s="1939"/>
      <c r="W106" s="1939"/>
      <c r="X106" s="1939"/>
      <c r="Y106" s="1939"/>
      <c r="Z106" s="1939"/>
      <c r="AA106" s="1939"/>
    </row>
    <row r="107" spans="1:27" s="1545" customFormat="1" ht="24.95" customHeight="1" thickBot="1">
      <c r="A107" s="1937"/>
      <c r="B107" s="2013">
        <f>ROW()</f>
        <v>107</v>
      </c>
      <c r="C107" s="2067" t="s">
        <v>2675</v>
      </c>
      <c r="D107" s="2068"/>
      <c r="E107" s="2069" t="str">
        <f>RIGHT(C107,LEN(C107)-SEARCH(" ",C107))&amp;" "&amp;LEFT(C107,SEARCH(" ",C107))</f>
        <v xml:space="preserve">paul  legendre </v>
      </c>
      <c r="F107" s="2070"/>
      <c r="G107" s="2150"/>
      <c r="H107" s="2150"/>
      <c r="I107" s="2150"/>
      <c r="J107" s="2150"/>
      <c r="K107" s="2150"/>
      <c r="L107" s="1982"/>
      <c r="M107" s="1939"/>
      <c r="N107" s="2152"/>
      <c r="O107" s="2152"/>
      <c r="P107" s="2152"/>
      <c r="Q107" s="2152"/>
      <c r="R107" s="1939"/>
      <c r="S107" s="1939"/>
      <c r="T107" s="1939"/>
      <c r="U107" s="1939"/>
      <c r="V107" s="1939"/>
      <c r="W107" s="1939"/>
      <c r="X107" s="1939"/>
      <c r="Y107" s="1939"/>
      <c r="Z107" s="1939"/>
      <c r="AA107" s="1939"/>
    </row>
    <row r="108" spans="1:27" s="1545" customFormat="1" ht="24.95" customHeight="1">
      <c r="A108" s="1937"/>
      <c r="B108" s="2006"/>
      <c r="C108" s="2015"/>
      <c r="D108" s="2016"/>
      <c r="E108" s="2155" t="str">
        <f ca="1">_xlfn.FORMULATEXT(E107)</f>
        <v>=DROITE(C107;NBCAR(C107)-CHERCHE(" ";C107))&amp;" "&amp;GAUCHE(C107;CHERCHE(" ";C107))</v>
      </c>
      <c r="F108" s="2155"/>
      <c r="G108" s="2155"/>
      <c r="H108" s="2155"/>
      <c r="I108" s="2155"/>
      <c r="J108" s="2155"/>
      <c r="K108" s="2155"/>
      <c r="L108" s="1982"/>
      <c r="M108" s="1939"/>
      <c r="N108" s="2155"/>
      <c r="O108" s="2155"/>
      <c r="P108" s="2155"/>
      <c r="Q108" s="2155"/>
      <c r="R108" s="1939"/>
      <c r="S108" s="1939"/>
      <c r="T108" s="1939"/>
      <c r="U108" s="1939"/>
      <c r="V108" s="1939"/>
      <c r="W108" s="1939"/>
      <c r="X108" s="1939"/>
      <c r="Y108" s="1939"/>
      <c r="Z108" s="1939"/>
      <c r="AA108" s="1939"/>
    </row>
    <row r="109" spans="1:27" s="1545" customFormat="1" ht="24.95" customHeight="1" thickBot="1">
      <c r="A109" s="1937"/>
      <c r="B109" s="1999"/>
      <c r="C109" s="1985"/>
      <c r="D109" s="1983"/>
      <c r="E109" s="2054" t="s">
        <v>2737</v>
      </c>
      <c r="F109" s="1983"/>
      <c r="G109" s="1983"/>
      <c r="H109" s="1983"/>
      <c r="I109" s="1983"/>
      <c r="J109" s="1984"/>
      <c r="K109" s="1985"/>
      <c r="L109" s="1986"/>
      <c r="M109" s="1939"/>
      <c r="N109" s="1939"/>
      <c r="O109" s="1939"/>
      <c r="P109" s="1939"/>
      <c r="Q109" s="1939"/>
      <c r="R109" s="1939"/>
      <c r="S109" s="1939"/>
      <c r="T109" s="1939"/>
      <c r="U109" s="1939"/>
      <c r="V109" s="1939"/>
      <c r="W109" s="1939"/>
      <c r="X109" s="1939"/>
      <c r="Y109" s="1939"/>
      <c r="Z109" s="1939"/>
      <c r="AA109" s="1939"/>
    </row>
    <row r="110" spans="1:27" s="1545" customFormat="1" ht="24.95" customHeight="1" thickBot="1">
      <c r="A110" s="1937"/>
      <c r="B110" s="1938"/>
      <c r="C110" s="1939"/>
      <c r="D110" s="1940"/>
      <c r="E110" s="1940"/>
      <c r="F110" s="1941"/>
      <c r="G110" s="1941"/>
      <c r="H110" s="1941"/>
      <c r="I110" s="1941"/>
      <c r="J110" s="1950"/>
      <c r="K110" s="1939"/>
      <c r="L110" s="1939"/>
      <c r="M110" s="1939"/>
      <c r="N110" s="1939"/>
      <c r="O110" s="1939"/>
      <c r="P110" s="1939"/>
      <c r="Q110" s="1939"/>
      <c r="R110" s="1939"/>
      <c r="S110" s="1939"/>
      <c r="T110" s="1939"/>
      <c r="U110" s="1939"/>
      <c r="V110" s="1939"/>
      <c r="W110" s="1939"/>
      <c r="X110" s="1939"/>
      <c r="Y110" s="1939"/>
      <c r="Z110" s="1939"/>
      <c r="AA110" s="1939"/>
    </row>
    <row r="111" spans="1:27" s="1545" customFormat="1" ht="24.95" customHeight="1">
      <c r="A111" s="1937"/>
      <c r="B111" s="2009"/>
      <c r="C111" s="1980"/>
      <c r="D111" s="1978"/>
      <c r="E111" s="1978"/>
      <c r="F111" s="1978"/>
      <c r="G111" s="1978"/>
      <c r="H111" s="1978"/>
      <c r="I111" s="1978"/>
      <c r="J111" s="1989"/>
      <c r="K111" s="1991"/>
      <c r="L111" s="1939"/>
      <c r="M111" s="1939"/>
      <c r="N111" s="1939"/>
      <c r="O111" s="1939"/>
      <c r="P111" s="1939"/>
      <c r="Q111" s="1939"/>
      <c r="R111" s="1939"/>
      <c r="S111" s="1939"/>
      <c r="T111" s="1939"/>
      <c r="U111" s="1939"/>
      <c r="V111" s="1939"/>
      <c r="W111" s="1939"/>
      <c r="X111" s="1939"/>
      <c r="Y111" s="1939"/>
      <c r="Z111" s="1939"/>
      <c r="AA111" s="1939"/>
    </row>
    <row r="112" spans="1:27" s="1545" customFormat="1" ht="24.95" customHeight="1">
      <c r="A112" s="1937"/>
      <c r="B112" s="2006"/>
      <c r="C112" s="2158" t="s">
        <v>2676</v>
      </c>
      <c r="D112" s="2016"/>
      <c r="E112" s="2016"/>
      <c r="F112" s="2016"/>
      <c r="G112" s="2016"/>
      <c r="H112" s="2016"/>
      <c r="I112" s="2016"/>
      <c r="J112" s="1950"/>
      <c r="K112" s="1992"/>
      <c r="L112" s="1939"/>
      <c r="M112" s="1939"/>
      <c r="N112" s="1939"/>
      <c r="O112" s="1939"/>
      <c r="P112" s="1939"/>
      <c r="Q112" s="1939"/>
      <c r="R112" s="1939"/>
      <c r="S112" s="1939"/>
      <c r="T112" s="1939"/>
      <c r="U112" s="1939"/>
      <c r="V112" s="1939"/>
      <c r="W112" s="1939"/>
      <c r="X112" s="1939"/>
      <c r="Y112" s="1939"/>
      <c r="Z112" s="1939"/>
      <c r="AA112" s="1939"/>
    </row>
    <row r="113" spans="1:27" s="1545" customFormat="1" ht="24.95" customHeight="1">
      <c r="A113" s="1937"/>
      <c r="B113" s="2013" t="s">
        <v>2727</v>
      </c>
      <c r="C113" s="2016"/>
      <c r="D113" s="2016"/>
      <c r="E113" s="2016"/>
      <c r="F113" s="2016"/>
      <c r="G113" s="2016"/>
      <c r="H113" s="2016"/>
      <c r="I113" s="2016"/>
      <c r="J113" s="1950"/>
      <c r="K113" s="1992"/>
      <c r="L113" s="1939"/>
      <c r="M113" s="1939"/>
      <c r="N113" s="1939"/>
      <c r="O113" s="1939"/>
      <c r="P113" s="1939"/>
      <c r="Q113" s="1939"/>
      <c r="R113" s="1939"/>
      <c r="S113" s="1939"/>
      <c r="T113" s="1939"/>
      <c r="U113" s="1939"/>
      <c r="V113" s="1939"/>
      <c r="W113" s="1939"/>
      <c r="X113" s="1939"/>
      <c r="Y113" s="1939"/>
      <c r="Z113" s="1939"/>
      <c r="AA113" s="1939"/>
    </row>
    <row r="114" spans="1:27" s="1545" customFormat="1" ht="24.95" customHeight="1">
      <c r="A114" s="1937"/>
      <c r="B114" s="2013">
        <f>ROW()</f>
        <v>114</v>
      </c>
      <c r="C114" s="2178">
        <v>5</v>
      </c>
      <c r="D114" s="2179">
        <f>RANK(C114,C114:C118,0)</f>
        <v>3</v>
      </c>
      <c r="E114" s="2155" t="str">
        <f ca="1">_xlfn.FORMULATEXT(D114)</f>
        <v>=RANG(C114;C114:C118;0)</v>
      </c>
      <c r="F114" s="2176"/>
      <c r="G114" s="2016"/>
      <c r="H114" s="1940"/>
      <c r="I114" s="2016"/>
      <c r="J114" s="1950"/>
      <c r="K114" s="1992"/>
      <c r="L114" s="1939"/>
      <c r="M114" s="1939"/>
      <c r="N114" s="1939"/>
      <c r="O114" s="1939"/>
      <c r="P114" s="1939"/>
      <c r="Q114" s="1939"/>
      <c r="R114" s="1939"/>
      <c r="S114" s="1939"/>
      <c r="T114" s="1939"/>
      <c r="U114" s="1939"/>
      <c r="V114" s="1939"/>
      <c r="W114" s="1939"/>
      <c r="X114" s="1939"/>
      <c r="Y114" s="1939"/>
      <c r="Z114" s="1939"/>
      <c r="AA114" s="1939"/>
    </row>
    <row r="115" spans="1:27" s="1545" customFormat="1" ht="24.95" customHeight="1">
      <c r="A115" s="1937"/>
      <c r="B115" s="2006"/>
      <c r="C115" s="2178">
        <v>8</v>
      </c>
      <c r="D115" s="2179">
        <f>RANK(C115,C114:C118,0)</f>
        <v>1</v>
      </c>
      <c r="E115" s="2028" t="s">
        <v>2679</v>
      </c>
      <c r="F115" s="2176"/>
      <c r="G115" s="2016"/>
      <c r="H115" s="2016"/>
      <c r="I115" s="2016"/>
      <c r="J115" s="1950"/>
      <c r="K115" s="1992"/>
      <c r="L115" s="1939"/>
      <c r="M115" s="1939"/>
      <c r="N115" s="1939"/>
      <c r="O115" s="1939"/>
      <c r="P115" s="1939"/>
      <c r="Q115" s="1939"/>
      <c r="R115" s="1939"/>
      <c r="S115" s="1939"/>
      <c r="T115" s="1939"/>
      <c r="U115" s="1939"/>
      <c r="V115" s="1939"/>
      <c r="W115" s="1939"/>
      <c r="X115" s="1939"/>
      <c r="Y115" s="1939"/>
      <c r="Z115" s="1939"/>
      <c r="AA115" s="1939"/>
    </row>
    <row r="116" spans="1:27" s="1545" customFormat="1" ht="24.95" customHeight="1">
      <c r="A116" s="1937"/>
      <c r="B116" s="2006"/>
      <c r="C116" s="2178">
        <v>4</v>
      </c>
      <c r="D116" s="2179">
        <f>RANK(C116,C114:C118,0)</f>
        <v>4</v>
      </c>
      <c r="E116" s="2175"/>
      <c r="F116" s="2176"/>
      <c r="G116" s="2016"/>
      <c r="H116" s="2016"/>
      <c r="I116" s="2016"/>
      <c r="J116" s="1950"/>
      <c r="K116" s="1992"/>
      <c r="L116" s="1939"/>
      <c r="M116" s="1939"/>
      <c r="N116" s="1939"/>
      <c r="O116" s="1939"/>
      <c r="P116" s="1939"/>
      <c r="Q116" s="1939"/>
      <c r="R116" s="1939"/>
      <c r="S116" s="1939"/>
      <c r="T116" s="1939"/>
      <c r="U116" s="1939"/>
      <c r="V116" s="1939"/>
      <c r="W116" s="1939"/>
      <c r="X116" s="1939"/>
      <c r="Y116" s="1939"/>
      <c r="Z116" s="1939"/>
      <c r="AA116" s="1939"/>
    </row>
    <row r="117" spans="1:27" s="1545" customFormat="1" ht="24.95" customHeight="1">
      <c r="A117" s="1937"/>
      <c r="B117" s="2006"/>
      <c r="C117" s="2178">
        <v>1</v>
      </c>
      <c r="D117" s="2179">
        <f>RANK(C117,C114:C118,0)</f>
        <v>5</v>
      </c>
      <c r="E117" s="2175"/>
      <c r="F117" s="2176"/>
      <c r="G117" s="2016"/>
      <c r="H117" s="2016"/>
      <c r="I117" s="2016"/>
      <c r="J117" s="1950"/>
      <c r="K117" s="1992"/>
      <c r="L117" s="1939"/>
      <c r="M117" s="1939"/>
      <c r="N117" s="1939"/>
      <c r="O117" s="1939"/>
      <c r="P117" s="1939"/>
      <c r="Q117" s="1939"/>
      <c r="R117" s="1939"/>
      <c r="S117" s="1939"/>
      <c r="T117" s="1939"/>
      <c r="U117" s="1939"/>
      <c r="V117" s="1939"/>
      <c r="W117" s="1939"/>
      <c r="X117" s="1939"/>
      <c r="Y117" s="1939"/>
      <c r="Z117" s="1939"/>
      <c r="AA117" s="1939"/>
    </row>
    <row r="118" spans="1:27" s="1545" customFormat="1" ht="24.95" customHeight="1">
      <c r="A118" s="1937"/>
      <c r="B118" s="2006"/>
      <c r="C118" s="2178">
        <v>7</v>
      </c>
      <c r="D118" s="2179">
        <f>RANK(C118,C114:C118,0)</f>
        <v>2</v>
      </c>
      <c r="E118" s="2175"/>
      <c r="F118" s="2176"/>
      <c r="G118" s="2016"/>
      <c r="H118" s="2016"/>
      <c r="I118" s="2016"/>
      <c r="J118" s="1950"/>
      <c r="K118" s="1992"/>
      <c r="L118" s="1939"/>
      <c r="M118" s="1939"/>
      <c r="N118" s="1939"/>
      <c r="O118" s="1939"/>
      <c r="P118" s="1939"/>
      <c r="Q118" s="1939"/>
      <c r="R118" s="1939"/>
      <c r="S118" s="1939"/>
      <c r="T118" s="1939"/>
      <c r="U118" s="1939"/>
      <c r="V118" s="1939"/>
      <c r="W118" s="1939"/>
      <c r="X118" s="1939"/>
      <c r="Y118" s="1939"/>
      <c r="Z118" s="1939"/>
      <c r="AA118" s="1939"/>
    </row>
    <row r="119" spans="1:27" s="1545" customFormat="1" ht="24.95" customHeight="1" thickBot="1">
      <c r="A119" s="1937"/>
      <c r="B119" s="2071" t="s">
        <v>2783</v>
      </c>
      <c r="C119" s="1985"/>
      <c r="D119" s="1983"/>
      <c r="E119" s="1983"/>
      <c r="F119" s="1983"/>
      <c r="G119" s="1983"/>
      <c r="H119" s="1983"/>
      <c r="I119" s="1983"/>
      <c r="J119" s="1995"/>
      <c r="K119" s="1997"/>
      <c r="L119" s="1939"/>
      <c r="M119" s="1939"/>
      <c r="N119" s="1939"/>
      <c r="O119" s="1939"/>
      <c r="P119" s="1939"/>
      <c r="Q119" s="1939"/>
      <c r="R119" s="1939"/>
      <c r="S119" s="1939"/>
      <c r="T119" s="1939"/>
      <c r="U119" s="1939"/>
      <c r="V119" s="1939"/>
      <c r="W119" s="1939"/>
      <c r="X119" s="1939"/>
      <c r="Y119" s="1939"/>
      <c r="Z119" s="1939"/>
      <c r="AA119" s="1939"/>
    </row>
    <row r="120" spans="1:27" s="1545" customFormat="1" ht="24.95" customHeight="1" thickBot="1">
      <c r="A120" s="1937"/>
      <c r="B120" s="1938"/>
      <c r="C120" s="1939"/>
      <c r="D120" s="1940"/>
      <c r="E120" s="1940"/>
      <c r="F120" s="1941"/>
      <c r="G120" s="1941"/>
      <c r="H120" s="1941"/>
      <c r="I120" s="1941"/>
      <c r="J120" s="1950"/>
      <c r="K120" s="1939"/>
      <c r="L120" s="1939"/>
      <c r="M120" s="1939"/>
      <c r="N120" s="1939"/>
      <c r="O120" s="1939"/>
      <c r="P120" s="1939"/>
      <c r="Q120" s="1939"/>
      <c r="R120" s="1939"/>
      <c r="S120" s="1939"/>
      <c r="T120" s="1939"/>
      <c r="U120" s="1939"/>
      <c r="V120" s="1939"/>
      <c r="W120" s="1939"/>
      <c r="X120" s="1939"/>
      <c r="Y120" s="1939"/>
      <c r="Z120" s="1939"/>
      <c r="AA120" s="1939"/>
    </row>
    <row r="121" spans="1:27" s="1545" customFormat="1" ht="24.95" customHeight="1">
      <c r="A121" s="1937"/>
      <c r="B121" s="2009"/>
      <c r="C121" s="1980"/>
      <c r="D121" s="1978"/>
      <c r="E121" s="1978"/>
      <c r="F121" s="1978"/>
      <c r="G121" s="1978"/>
      <c r="H121" s="1978"/>
      <c r="I121" s="1978"/>
      <c r="J121" s="1979"/>
      <c r="K121" s="1981"/>
      <c r="L121" s="1939"/>
      <c r="M121" s="1939"/>
      <c r="N121" s="1939"/>
      <c r="O121" s="1939"/>
      <c r="P121" s="1939"/>
      <c r="Q121" s="1939"/>
      <c r="R121" s="1939"/>
      <c r="S121" s="1939"/>
      <c r="T121" s="1939"/>
      <c r="U121" s="1939"/>
      <c r="V121" s="1939"/>
      <c r="W121" s="1939"/>
      <c r="X121" s="1939"/>
      <c r="Y121" s="1939"/>
      <c r="Z121" s="1939"/>
      <c r="AA121" s="1939"/>
    </row>
    <row r="122" spans="1:27" s="1545" customFormat="1" ht="24.95" customHeight="1">
      <c r="A122" s="1937"/>
      <c r="B122" s="2006"/>
      <c r="C122" s="2158" t="s">
        <v>2681</v>
      </c>
      <c r="D122" s="2180"/>
      <c r="E122" s="2175"/>
      <c r="F122" s="2176"/>
      <c r="G122" s="2016"/>
      <c r="H122" s="2016"/>
      <c r="I122" s="2016"/>
      <c r="J122" s="2017"/>
      <c r="K122" s="1982"/>
      <c r="L122" s="1939"/>
      <c r="M122" s="1939"/>
      <c r="N122" s="1939"/>
      <c r="O122" s="1939"/>
      <c r="P122" s="1939"/>
      <c r="Q122" s="1939"/>
      <c r="R122" s="1939"/>
      <c r="S122" s="1939"/>
      <c r="T122" s="1939"/>
      <c r="U122" s="1939"/>
      <c r="V122" s="1939"/>
      <c r="W122" s="1939"/>
      <c r="X122" s="1939"/>
      <c r="Y122" s="1939"/>
      <c r="Z122" s="1939"/>
      <c r="AA122" s="1939"/>
    </row>
    <row r="123" spans="1:27" s="1545" customFormat="1" ht="24.95" customHeight="1">
      <c r="A123" s="1937"/>
      <c r="B123" s="2006"/>
      <c r="C123" s="2177" t="s">
        <v>2682</v>
      </c>
      <c r="D123" s="2015"/>
      <c r="E123" s="2175"/>
      <c r="F123" s="2176"/>
      <c r="G123" s="2016"/>
      <c r="H123" s="2016"/>
      <c r="I123" s="2016"/>
      <c r="J123" s="2017"/>
      <c r="K123" s="1982"/>
      <c r="L123" s="1939"/>
      <c r="M123" s="1939"/>
      <c r="N123" s="1939"/>
      <c r="O123" s="1939"/>
      <c r="P123" s="1939"/>
      <c r="Q123" s="1939"/>
      <c r="R123" s="1939"/>
      <c r="S123" s="1939"/>
      <c r="T123" s="1939"/>
      <c r="U123" s="1939"/>
      <c r="V123" s="1939"/>
      <c r="W123" s="1939"/>
      <c r="X123" s="1939"/>
      <c r="Y123" s="1939"/>
      <c r="Z123" s="1939"/>
      <c r="AA123" s="1939"/>
    </row>
    <row r="124" spans="1:27" s="1545" customFormat="1" ht="24.95" customHeight="1">
      <c r="A124" s="1937"/>
      <c r="B124" s="2006"/>
      <c r="C124" s="2177" t="s">
        <v>2683</v>
      </c>
      <c r="D124" s="2015"/>
      <c r="E124" s="2175"/>
      <c r="F124" s="2176"/>
      <c r="G124" s="2016"/>
      <c r="H124" s="2016"/>
      <c r="I124" s="2016"/>
      <c r="J124" s="2017"/>
      <c r="K124" s="1982"/>
      <c r="L124" s="1939"/>
      <c r="M124" s="1939"/>
      <c r="N124" s="1939"/>
      <c r="O124" s="1939"/>
      <c r="P124" s="1939"/>
      <c r="Q124" s="1939"/>
      <c r="R124" s="1939"/>
      <c r="S124" s="1939"/>
      <c r="T124" s="1939"/>
      <c r="U124" s="1939"/>
      <c r="V124" s="1939"/>
      <c r="W124" s="1939"/>
      <c r="X124" s="1939"/>
      <c r="Y124" s="1939"/>
      <c r="Z124" s="1939"/>
      <c r="AA124" s="1939"/>
    </row>
    <row r="125" spans="1:27" s="1545" customFormat="1" ht="24.95" customHeight="1">
      <c r="A125" s="1937"/>
      <c r="B125" s="2006"/>
      <c r="C125" s="2180" t="s">
        <v>2684</v>
      </c>
      <c r="D125" s="2015"/>
      <c r="E125" s="2175"/>
      <c r="F125" s="2176"/>
      <c r="G125" s="2016"/>
      <c r="H125" s="2016"/>
      <c r="I125" s="2016"/>
      <c r="J125" s="2017"/>
      <c r="K125" s="1982"/>
      <c r="L125" s="1939"/>
      <c r="M125" s="1939"/>
      <c r="N125" s="1939"/>
      <c r="O125" s="1939"/>
      <c r="P125" s="1939"/>
      <c r="Q125" s="1939"/>
      <c r="R125" s="1939"/>
      <c r="S125" s="1939"/>
      <c r="T125" s="1939"/>
      <c r="U125" s="1939"/>
      <c r="V125" s="1939"/>
      <c r="W125" s="1939"/>
      <c r="X125" s="1939"/>
      <c r="Y125" s="1939"/>
      <c r="Z125" s="1939"/>
      <c r="AA125" s="1939"/>
    </row>
    <row r="126" spans="1:27" s="1545" customFormat="1" ht="24.95" customHeight="1">
      <c r="A126" s="1937"/>
      <c r="B126" s="2013" t="s">
        <v>2727</v>
      </c>
      <c r="C126" s="2016"/>
      <c r="D126" s="2016"/>
      <c r="E126" s="2016"/>
      <c r="F126" s="2016"/>
      <c r="G126" s="2016"/>
      <c r="H126" s="2016"/>
      <c r="I126" s="2016"/>
      <c r="J126" s="2017"/>
      <c r="K126" s="1982"/>
      <c r="L126" s="1939"/>
      <c r="M126" s="1939"/>
      <c r="N126" s="1939"/>
      <c r="O126" s="1939"/>
      <c r="P126" s="1939"/>
      <c r="Q126" s="1939"/>
      <c r="R126" s="1939"/>
      <c r="S126" s="1939"/>
      <c r="T126" s="1939"/>
      <c r="U126" s="1939"/>
      <c r="V126" s="1939"/>
      <c r="W126" s="1939"/>
      <c r="X126" s="1939"/>
      <c r="Y126" s="1939"/>
      <c r="Z126" s="1939"/>
      <c r="AA126" s="1939"/>
    </row>
    <row r="127" spans="1:27" s="1545" customFormat="1" ht="24.95" customHeight="1">
      <c r="A127" s="1937"/>
      <c r="B127" s="2013">
        <f>ROW()</f>
        <v>127</v>
      </c>
      <c r="C127" s="2178">
        <v>5</v>
      </c>
      <c r="D127" s="2181" t="str">
        <f>REPT(CHAR(7),RANK(C127,C127:C131,1))</f>
        <v>_x0007__x0007__x0007_</v>
      </c>
      <c r="E127" s="2155" t="str">
        <f ca="1">_xlfn.FORMULATEXT(D127)</f>
        <v>=REPT(CAR(7);RANG(C127;C127:C131;1))</v>
      </c>
      <c r="F127" s="2176"/>
      <c r="G127" s="2176"/>
      <c r="H127" s="2176"/>
      <c r="I127" s="2016"/>
      <c r="J127" s="2017"/>
      <c r="K127" s="1982"/>
      <c r="L127" s="1939"/>
      <c r="M127" s="1939"/>
      <c r="N127" s="1939"/>
      <c r="O127" s="1939"/>
      <c r="P127" s="1939"/>
      <c r="Q127" s="1939"/>
      <c r="R127" s="1939"/>
      <c r="S127" s="1939"/>
      <c r="T127" s="1939"/>
      <c r="U127" s="1939"/>
      <c r="V127" s="1939"/>
      <c r="W127" s="1939"/>
      <c r="X127" s="1939"/>
      <c r="Y127" s="1939"/>
      <c r="Z127" s="1939"/>
      <c r="AA127" s="1939"/>
    </row>
    <row r="128" spans="1:27" s="1545" customFormat="1" ht="24.95" customHeight="1">
      <c r="A128" s="1937"/>
      <c r="B128" s="2006"/>
      <c r="C128" s="2178">
        <v>8</v>
      </c>
      <c r="D128" s="2181" t="str">
        <f>REPT(CHAR(7),RANK(C128,C127:C131,1))</f>
        <v>_x0007__x0007__x0007__x0007__x0007_</v>
      </c>
      <c r="E128" s="2175"/>
      <c r="F128" s="2176"/>
      <c r="G128" s="2016"/>
      <c r="H128" s="2016"/>
      <c r="I128" s="2016"/>
      <c r="J128" s="2017"/>
      <c r="K128" s="1982"/>
      <c r="L128" s="1939"/>
      <c r="M128" s="1939"/>
      <c r="N128" s="1939"/>
      <c r="O128" s="1939"/>
      <c r="P128" s="1939"/>
      <c r="Q128" s="1939"/>
      <c r="R128" s="1939"/>
      <c r="S128" s="1939"/>
      <c r="T128" s="1939"/>
      <c r="U128" s="1939"/>
      <c r="V128" s="1939"/>
      <c r="W128" s="1939"/>
      <c r="X128" s="1939"/>
      <c r="Y128" s="1939"/>
      <c r="Z128" s="1939"/>
      <c r="AA128" s="1939"/>
    </row>
    <row r="129" spans="1:27" s="1545" customFormat="1" ht="24.95" customHeight="1">
      <c r="A129" s="1937"/>
      <c r="B129" s="2006"/>
      <c r="C129" s="2178">
        <v>4</v>
      </c>
      <c r="D129" s="2181" t="str">
        <f>REPT(CHAR(7),RANK(C129,C127:C131,1))</f>
        <v>_x0007__x0007_</v>
      </c>
      <c r="E129" s="2175"/>
      <c r="F129" s="2176"/>
      <c r="G129" s="2016"/>
      <c r="H129" s="2016"/>
      <c r="I129" s="2016"/>
      <c r="J129" s="2017"/>
      <c r="K129" s="1982"/>
      <c r="L129" s="1939"/>
      <c r="M129" s="1939"/>
      <c r="N129" s="1939"/>
      <c r="O129" s="1939"/>
      <c r="P129" s="1939"/>
      <c r="Q129" s="1939"/>
      <c r="R129" s="1939"/>
      <c r="S129" s="1939"/>
      <c r="T129" s="1939"/>
      <c r="U129" s="1939"/>
      <c r="V129" s="1939"/>
      <c r="W129" s="1939"/>
      <c r="X129" s="1939"/>
      <c r="Y129" s="1939"/>
      <c r="Z129" s="1939"/>
      <c r="AA129" s="1939"/>
    </row>
    <row r="130" spans="1:27" s="1545" customFormat="1" ht="24.95" customHeight="1">
      <c r="A130" s="1937"/>
      <c r="B130" s="2006"/>
      <c r="C130" s="2178">
        <v>1</v>
      </c>
      <c r="D130" s="2181" t="str">
        <f>REPT(CHAR(7),RANK(C130,C127:C131,1))</f>
        <v>_x0007_</v>
      </c>
      <c r="E130" s="2175"/>
      <c r="F130" s="2176"/>
      <c r="G130" s="2016"/>
      <c r="H130" s="2016"/>
      <c r="I130" s="2016"/>
      <c r="J130" s="2017"/>
      <c r="K130" s="1982"/>
      <c r="L130" s="1939"/>
      <c r="M130" s="1939"/>
      <c r="N130" s="1939"/>
      <c r="O130" s="1939"/>
      <c r="P130" s="1939"/>
      <c r="Q130" s="1939"/>
      <c r="R130" s="1939"/>
      <c r="S130" s="1939"/>
      <c r="T130" s="1939"/>
      <c r="U130" s="1939"/>
      <c r="V130" s="1939"/>
      <c r="W130" s="1939"/>
      <c r="X130" s="1939"/>
      <c r="Y130" s="1939"/>
      <c r="Z130" s="1939"/>
      <c r="AA130" s="1939"/>
    </row>
    <row r="131" spans="1:27" s="1545" customFormat="1" ht="24.95" customHeight="1">
      <c r="A131" s="1937"/>
      <c r="B131" s="2006"/>
      <c r="C131" s="2178">
        <v>7</v>
      </c>
      <c r="D131" s="2181" t="str">
        <f>REPT(CHAR(7),RANK(C131,C127:C131,1))</f>
        <v>_x0007__x0007__x0007__x0007_</v>
      </c>
      <c r="E131" s="2175"/>
      <c r="F131" s="2176"/>
      <c r="G131" s="2016"/>
      <c r="H131" s="2016"/>
      <c r="I131" s="2016"/>
      <c r="J131" s="2017"/>
      <c r="K131" s="1982"/>
      <c r="L131" s="1939"/>
      <c r="M131" s="1939"/>
      <c r="N131" s="1939"/>
      <c r="O131" s="1939"/>
      <c r="P131" s="1939"/>
      <c r="Q131" s="1939"/>
      <c r="R131" s="1939"/>
      <c r="S131" s="1939"/>
      <c r="T131" s="1939"/>
      <c r="U131" s="1939"/>
      <c r="V131" s="1939"/>
      <c r="W131" s="1939"/>
      <c r="X131" s="1939"/>
      <c r="Y131" s="1939"/>
      <c r="Z131" s="1939"/>
      <c r="AA131" s="1939"/>
    </row>
    <row r="132" spans="1:27" s="1545" customFormat="1" ht="24.95" customHeight="1" thickBot="1">
      <c r="A132" s="1937"/>
      <c r="B132" s="2071" t="s">
        <v>2783</v>
      </c>
      <c r="C132" s="1985"/>
      <c r="D132" s="2026"/>
      <c r="E132" s="2026"/>
      <c r="F132" s="2026"/>
      <c r="G132" s="1983"/>
      <c r="H132" s="1983"/>
      <c r="I132" s="1983"/>
      <c r="J132" s="1984"/>
      <c r="K132" s="1986"/>
      <c r="L132" s="1939"/>
      <c r="M132" s="1939"/>
      <c r="N132" s="1939"/>
      <c r="O132" s="1939"/>
      <c r="P132" s="1939"/>
      <c r="Q132" s="1939"/>
      <c r="R132" s="1939"/>
      <c r="S132" s="1939"/>
      <c r="T132" s="1939"/>
      <c r="U132" s="1939"/>
      <c r="V132" s="1939"/>
      <c r="W132" s="1939"/>
      <c r="X132" s="1939"/>
      <c r="Y132" s="1939"/>
      <c r="Z132" s="1939"/>
      <c r="AA132" s="1939"/>
    </row>
    <row r="133" spans="1:27" s="1545" customFormat="1" ht="24.95" customHeight="1" thickBot="1">
      <c r="A133" s="1937"/>
      <c r="B133" s="1938"/>
      <c r="C133" s="1939"/>
      <c r="D133" s="1940"/>
      <c r="E133" s="1940"/>
      <c r="F133" s="1941"/>
      <c r="G133" s="1941"/>
      <c r="H133" s="1941"/>
      <c r="I133" s="1941"/>
      <c r="J133" s="1950"/>
      <c r="K133" s="1939"/>
      <c r="L133" s="1939"/>
      <c r="M133" s="1939"/>
      <c r="N133" s="1939"/>
      <c r="O133" s="1939"/>
      <c r="P133" s="1939"/>
      <c r="Q133" s="1939"/>
      <c r="R133" s="1939"/>
      <c r="S133" s="1939"/>
      <c r="T133" s="1939"/>
      <c r="U133" s="1939"/>
      <c r="V133" s="1939"/>
      <c r="W133" s="1939"/>
      <c r="X133" s="1939"/>
      <c r="Y133" s="1939"/>
      <c r="Z133" s="1939"/>
      <c r="AA133" s="1939"/>
    </row>
    <row r="134" spans="1:27" s="1545" customFormat="1" ht="24.95" customHeight="1">
      <c r="A134" s="2014"/>
      <c r="B134" s="2030"/>
      <c r="C134" s="2003"/>
      <c r="D134" s="2002"/>
      <c r="E134" s="2002"/>
      <c r="F134" s="2002"/>
      <c r="G134" s="2002"/>
      <c r="H134" s="2002"/>
      <c r="I134" s="2031"/>
      <c r="J134" s="2017"/>
      <c r="K134" s="2015"/>
      <c r="L134" s="2015"/>
      <c r="M134" s="1939"/>
      <c r="N134" s="1939"/>
      <c r="O134" s="1939"/>
      <c r="P134" s="1939"/>
      <c r="Q134" s="1939"/>
      <c r="R134" s="1939"/>
      <c r="S134" s="1939"/>
      <c r="T134" s="1939"/>
      <c r="U134" s="1939"/>
      <c r="V134" s="1939"/>
      <c r="W134" s="1939"/>
      <c r="X134" s="1939"/>
      <c r="Y134" s="1939"/>
      <c r="Z134" s="1939"/>
      <c r="AA134" s="1939"/>
    </row>
    <row r="135" spans="1:27" s="1545" customFormat="1" ht="24.95" customHeight="1">
      <c r="A135" s="2014"/>
      <c r="B135" s="2032"/>
      <c r="C135" s="2158" t="s">
        <v>2670</v>
      </c>
      <c r="D135" s="2016"/>
      <c r="E135" s="2016"/>
      <c r="F135" s="2016"/>
      <c r="G135" s="2016"/>
      <c r="H135" s="2016"/>
      <c r="I135" s="2033"/>
      <c r="J135" s="2017"/>
      <c r="K135" s="2015"/>
      <c r="L135" s="2015"/>
      <c r="M135" s="1939"/>
      <c r="N135" s="1939"/>
      <c r="O135" s="1939"/>
      <c r="P135" s="1939"/>
      <c r="Q135" s="1939"/>
      <c r="R135" s="1939"/>
      <c r="S135" s="1939"/>
      <c r="T135" s="1939"/>
      <c r="U135" s="1939"/>
      <c r="V135" s="1939"/>
      <c r="W135" s="1939"/>
      <c r="X135" s="1939"/>
      <c r="Y135" s="1939"/>
      <c r="Z135" s="1939"/>
      <c r="AA135" s="1939"/>
    </row>
    <row r="136" spans="1:27" s="1545" customFormat="1" ht="24.95" customHeight="1">
      <c r="A136" s="2014"/>
      <c r="B136" s="2013" t="s">
        <v>2726</v>
      </c>
      <c r="C136" s="2015"/>
      <c r="D136" s="2015"/>
      <c r="E136" s="2016"/>
      <c r="F136" s="2016"/>
      <c r="G136" s="2182"/>
      <c r="H136" s="2015"/>
      <c r="I136" s="2004"/>
      <c r="J136" s="2015"/>
      <c r="K136" s="2015"/>
      <c r="L136" s="2015"/>
      <c r="M136" s="1939"/>
      <c r="N136" s="1939"/>
      <c r="O136" s="1939"/>
      <c r="P136" s="1939"/>
      <c r="Q136" s="1939"/>
      <c r="R136" s="1939"/>
      <c r="S136" s="1939"/>
      <c r="T136" s="1939"/>
      <c r="U136" s="1939"/>
      <c r="V136" s="1939"/>
      <c r="W136" s="1939"/>
      <c r="X136" s="1939"/>
      <c r="Y136" s="1939"/>
      <c r="Z136" s="1939"/>
      <c r="AA136" s="1939"/>
    </row>
    <row r="137" spans="1:27" s="1545" customFormat="1" ht="24.95" customHeight="1">
      <c r="A137" s="2014"/>
      <c r="B137" s="2019">
        <f>ROW()</f>
        <v>137</v>
      </c>
      <c r="C137" s="10230">
        <f ca="1">TODAY()</f>
        <v>46257</v>
      </c>
      <c r="D137" s="10230"/>
      <c r="E137" s="10230"/>
      <c r="F137" s="2028"/>
      <c r="G137" s="2155" t="str">
        <f ca="1">_xlfn.FORMULATEXT(C137)</f>
        <v>=AUJOURDHUI()</v>
      </c>
      <c r="H137" s="2015"/>
      <c r="I137" s="2004"/>
      <c r="J137" s="2015"/>
      <c r="K137" s="2015"/>
      <c r="L137" s="2015"/>
      <c r="M137" s="1939"/>
      <c r="N137" s="1939"/>
      <c r="O137" s="1939"/>
      <c r="P137" s="1939"/>
      <c r="Q137" s="1939"/>
      <c r="R137" s="1939"/>
      <c r="S137" s="1939"/>
      <c r="T137" s="1939"/>
      <c r="U137" s="1939"/>
      <c r="V137" s="1939"/>
      <c r="W137" s="1939"/>
      <c r="X137" s="1939"/>
      <c r="Y137" s="1939"/>
      <c r="Z137" s="1939"/>
      <c r="AA137" s="1939"/>
    </row>
    <row r="138" spans="1:27" s="1545" customFormat="1" ht="24.95" customHeight="1">
      <c r="A138" s="2014"/>
      <c r="B138" s="2032"/>
      <c r="C138" s="2028" t="s">
        <v>2673</v>
      </c>
      <c r="D138" s="2176"/>
      <c r="E138" s="2176"/>
      <c r="F138" s="2176"/>
      <c r="G138" s="2176"/>
      <c r="H138" s="2015"/>
      <c r="I138" s="2004"/>
      <c r="J138" s="2015"/>
      <c r="K138" s="2015"/>
      <c r="L138" s="2015"/>
      <c r="M138" s="1939"/>
      <c r="N138" s="1939"/>
      <c r="O138" s="1939"/>
      <c r="P138" s="1939"/>
      <c r="Q138" s="1939"/>
      <c r="R138" s="1939"/>
      <c r="S138" s="1939"/>
      <c r="T138" s="1939"/>
      <c r="U138" s="1939"/>
      <c r="V138" s="1939"/>
      <c r="W138" s="1939"/>
      <c r="X138" s="1939"/>
      <c r="Y138" s="1939"/>
      <c r="Z138" s="1939"/>
      <c r="AA138" s="1939"/>
    </row>
    <row r="139" spans="1:27" s="1545" customFormat="1" ht="24.95" customHeight="1">
      <c r="A139" s="2014"/>
      <c r="B139" s="2032"/>
      <c r="C139" s="2028"/>
      <c r="D139" s="2176"/>
      <c r="E139" s="2176"/>
      <c r="F139" s="2176"/>
      <c r="G139" s="2176"/>
      <c r="H139" s="2015"/>
      <c r="I139" s="2004"/>
      <c r="J139" s="2015"/>
      <c r="K139" s="2015"/>
      <c r="L139" s="2015"/>
      <c r="M139" s="1939"/>
      <c r="N139" s="1939"/>
      <c r="O139" s="1939"/>
      <c r="P139" s="1939"/>
      <c r="Q139" s="1939"/>
      <c r="R139" s="1939"/>
      <c r="S139" s="1939"/>
      <c r="T139" s="1939"/>
      <c r="U139" s="1939"/>
      <c r="V139" s="1939"/>
      <c r="W139" s="1939"/>
      <c r="X139" s="1939"/>
      <c r="Y139" s="1939"/>
      <c r="Z139" s="1939"/>
      <c r="AA139" s="1939"/>
    </row>
    <row r="140" spans="1:27" s="1545" customFormat="1" ht="24.95" customHeight="1">
      <c r="A140" s="2014"/>
      <c r="B140" s="2019">
        <f>ROW()</f>
        <v>140</v>
      </c>
      <c r="C140" s="10230">
        <f ca="1">NOW()</f>
        <v>46257.633905902781</v>
      </c>
      <c r="D140" s="10230"/>
      <c r="E140" s="10230"/>
      <c r="F140" s="2028"/>
      <c r="G140" s="2155" t="str">
        <f ca="1">_xlfn.FORMULATEXT(C140)</f>
        <v>=MAINTENANT()</v>
      </c>
      <c r="H140" s="2015"/>
      <c r="I140" s="2004"/>
      <c r="J140" s="2015"/>
      <c r="K140" s="2015"/>
      <c r="L140" s="2015"/>
      <c r="M140" s="1939"/>
      <c r="N140" s="1939"/>
      <c r="O140" s="1939"/>
      <c r="P140" s="1939"/>
      <c r="Q140" s="1939"/>
      <c r="R140" s="1939"/>
      <c r="S140" s="1939"/>
      <c r="T140" s="1939"/>
      <c r="U140" s="1939"/>
      <c r="V140" s="1939"/>
      <c r="W140" s="1939"/>
      <c r="X140" s="1939"/>
      <c r="Y140" s="1939"/>
      <c r="Z140" s="1939"/>
      <c r="AA140" s="1939"/>
    </row>
    <row r="141" spans="1:27" s="1545" customFormat="1" ht="24.95" customHeight="1">
      <c r="A141" s="2014"/>
      <c r="B141" s="2032"/>
      <c r="C141" s="2028" t="s">
        <v>2673</v>
      </c>
      <c r="D141" s="2176"/>
      <c r="E141" s="2176"/>
      <c r="F141" s="2176"/>
      <c r="G141" s="2176"/>
      <c r="H141" s="2015"/>
      <c r="I141" s="2004"/>
      <c r="J141" s="2015"/>
      <c r="K141" s="2015"/>
      <c r="L141" s="2015"/>
      <c r="M141" s="1939"/>
      <c r="N141" s="1939"/>
      <c r="O141" s="1939"/>
      <c r="P141" s="1939"/>
      <c r="Q141" s="1939"/>
      <c r="R141" s="1939"/>
      <c r="S141" s="1939"/>
      <c r="T141" s="1939"/>
      <c r="U141" s="1939"/>
      <c r="V141" s="1939"/>
      <c r="W141" s="1939"/>
      <c r="X141" s="1939"/>
      <c r="Y141" s="1939"/>
      <c r="Z141" s="1939"/>
      <c r="AA141" s="1939"/>
    </row>
    <row r="142" spans="1:27" s="1545" customFormat="1" ht="24.95" customHeight="1">
      <c r="A142" s="2014"/>
      <c r="B142" s="2032"/>
      <c r="C142" s="2176"/>
      <c r="D142" s="2176"/>
      <c r="E142" s="2176"/>
      <c r="F142" s="2176"/>
      <c r="G142" s="2176"/>
      <c r="H142" s="2015"/>
      <c r="I142" s="2004"/>
      <c r="J142" s="2015"/>
      <c r="K142" s="2015"/>
      <c r="L142" s="2015"/>
      <c r="M142" s="1939"/>
      <c r="N142" s="1939"/>
      <c r="O142" s="1939"/>
      <c r="P142" s="1939"/>
      <c r="Q142" s="1939"/>
      <c r="R142" s="1939"/>
      <c r="S142" s="1939"/>
      <c r="T142" s="1939"/>
      <c r="U142" s="1939"/>
      <c r="V142" s="1939"/>
      <c r="W142" s="1939"/>
      <c r="X142" s="1939"/>
      <c r="Y142" s="1939"/>
      <c r="Z142" s="1939"/>
      <c r="AA142" s="1939"/>
    </row>
    <row r="143" spans="1:27" s="1545" customFormat="1" ht="24.95" customHeight="1">
      <c r="A143" s="2014"/>
      <c r="B143" s="2019">
        <f>ROW()</f>
        <v>143</v>
      </c>
      <c r="C143" s="10231">
        <f ca="1">NOW()</f>
        <v>46257.633905902781</v>
      </c>
      <c r="D143" s="10231"/>
      <c r="E143" s="10231"/>
      <c r="F143" s="2028"/>
      <c r="G143" s="2155" t="str">
        <f ca="1">_xlfn.FORMULATEXT(C143)</f>
        <v>=MAINTENANT()</v>
      </c>
      <c r="H143" s="2015"/>
      <c r="I143" s="2004"/>
      <c r="J143" s="2015"/>
      <c r="K143" s="2015"/>
      <c r="L143" s="2015"/>
      <c r="M143" s="1939"/>
      <c r="N143" s="1939"/>
      <c r="O143" s="1939"/>
      <c r="P143" s="1939"/>
      <c r="Q143" s="1939"/>
      <c r="R143" s="1939"/>
      <c r="S143" s="1939"/>
      <c r="T143" s="1939"/>
      <c r="U143" s="1939"/>
      <c r="V143" s="1939"/>
      <c r="W143" s="1939"/>
      <c r="X143" s="1939"/>
      <c r="Y143" s="1939"/>
      <c r="Z143" s="1939"/>
      <c r="AA143" s="1939"/>
    </row>
    <row r="144" spans="1:27" s="1545" customFormat="1" ht="24.95" customHeight="1">
      <c r="A144" s="2014"/>
      <c r="B144" s="2032"/>
      <c r="C144" s="2028"/>
      <c r="D144" s="2183" t="s">
        <v>2677</v>
      </c>
      <c r="E144" s="2184" t="s">
        <v>2678</v>
      </c>
      <c r="F144" s="2176"/>
      <c r="G144" s="2176"/>
      <c r="H144" s="2015"/>
      <c r="I144" s="2004"/>
      <c r="J144" s="2015"/>
      <c r="K144" s="2015"/>
      <c r="L144" s="2015"/>
      <c r="M144" s="1939"/>
      <c r="N144" s="1939"/>
      <c r="O144" s="1939"/>
      <c r="P144" s="1939"/>
      <c r="Q144" s="1939"/>
      <c r="R144" s="1939"/>
      <c r="S144" s="1939"/>
      <c r="T144" s="1939"/>
      <c r="U144" s="1939"/>
      <c r="V144" s="1939"/>
      <c r="W144" s="1939"/>
      <c r="X144" s="1939"/>
      <c r="Y144" s="1939"/>
      <c r="Z144" s="1939"/>
      <c r="AA144" s="1939"/>
    </row>
    <row r="145" spans="1:27" s="1545" customFormat="1" ht="24.95" customHeight="1">
      <c r="A145" s="2014"/>
      <c r="B145" s="2032"/>
      <c r="C145" s="2028"/>
      <c r="D145" s="2176"/>
      <c r="E145" s="2176"/>
      <c r="F145" s="2176"/>
      <c r="G145" s="2176"/>
      <c r="H145" s="2015"/>
      <c r="I145" s="2004"/>
      <c r="J145" s="2015"/>
      <c r="K145" s="2015"/>
      <c r="L145" s="2015"/>
      <c r="M145" s="1939"/>
      <c r="N145" s="1939"/>
      <c r="O145" s="1939"/>
      <c r="P145" s="1939"/>
      <c r="Q145" s="1939"/>
      <c r="R145" s="1939"/>
      <c r="S145" s="1939"/>
      <c r="T145" s="1939"/>
      <c r="U145" s="1939"/>
      <c r="V145" s="1939"/>
      <c r="W145" s="1939"/>
      <c r="X145" s="1939"/>
      <c r="Y145" s="1939"/>
      <c r="Z145" s="1939"/>
      <c r="AA145" s="1939"/>
    </row>
    <row r="146" spans="1:27" s="1545" customFormat="1" ht="24.95" customHeight="1">
      <c r="A146" s="2014"/>
      <c r="B146" s="2019">
        <f>ROW()</f>
        <v>146</v>
      </c>
      <c r="C146" s="2185">
        <f ca="1">NOW()</f>
        <v>46257.633905902781</v>
      </c>
      <c r="D146" s="2175"/>
      <c r="E146" s="2015"/>
      <c r="F146" s="2028"/>
      <c r="G146" s="2155" t="str">
        <f ca="1">_xlfn.FORMULATEXT(C146)</f>
        <v>=MAINTENANT()</v>
      </c>
      <c r="H146" s="2015"/>
      <c r="I146" s="2004"/>
      <c r="J146" s="2015"/>
      <c r="K146" s="2015"/>
      <c r="L146" s="2015"/>
      <c r="M146" s="1939"/>
      <c r="N146" s="1939"/>
      <c r="O146" s="1939"/>
      <c r="P146" s="1939"/>
      <c r="Q146" s="1939"/>
      <c r="R146" s="1939"/>
      <c r="S146" s="1939"/>
      <c r="T146" s="1939"/>
      <c r="U146" s="1939"/>
      <c r="V146" s="1939"/>
      <c r="W146" s="1939"/>
      <c r="X146" s="1939"/>
      <c r="Y146" s="1939"/>
      <c r="Z146" s="1939"/>
      <c r="AA146" s="1939"/>
    </row>
    <row r="147" spans="1:27" s="1545" customFormat="1" ht="24.95" customHeight="1">
      <c r="A147" s="2014"/>
      <c r="B147" s="2032"/>
      <c r="C147" s="2028" t="s">
        <v>2680</v>
      </c>
      <c r="D147" s="2175"/>
      <c r="E147" s="2176"/>
      <c r="F147" s="2186"/>
      <c r="G147" s="2186"/>
      <c r="H147" s="2015"/>
      <c r="I147" s="2004"/>
      <c r="J147" s="2015"/>
      <c r="K147" s="2015"/>
      <c r="L147" s="2015"/>
      <c r="M147" s="1939"/>
      <c r="N147" s="1939"/>
      <c r="O147" s="1939"/>
      <c r="P147" s="1939"/>
      <c r="Q147" s="1939"/>
      <c r="R147" s="1939"/>
      <c r="S147" s="1939"/>
      <c r="T147" s="1939"/>
      <c r="U147" s="1939"/>
      <c r="V147" s="1939"/>
      <c r="W147" s="1939"/>
      <c r="X147" s="1939"/>
      <c r="Y147" s="1939"/>
      <c r="Z147" s="1939"/>
      <c r="AA147" s="1939"/>
    </row>
    <row r="148" spans="1:27" s="1545" customFormat="1" ht="24.95" customHeight="1">
      <c r="A148" s="2014"/>
      <c r="B148" s="2032"/>
      <c r="C148" s="2014"/>
      <c r="D148" s="2014"/>
      <c r="E148" s="2014"/>
      <c r="F148" s="2014"/>
      <c r="G148" s="2014"/>
      <c r="H148" s="2014"/>
      <c r="I148" s="2034"/>
      <c r="J148" s="2014"/>
      <c r="K148" s="2014"/>
      <c r="L148" s="2014"/>
      <c r="M148" s="1937"/>
      <c r="N148" s="1937"/>
      <c r="O148" s="1937"/>
      <c r="P148" s="1937"/>
      <c r="Q148" s="1937"/>
      <c r="R148" s="1939"/>
      <c r="S148" s="1939"/>
      <c r="T148" s="1939"/>
      <c r="U148" s="1939"/>
      <c r="V148" s="1939"/>
      <c r="W148" s="1939"/>
      <c r="X148" s="1939"/>
      <c r="Y148" s="1939"/>
      <c r="Z148" s="1939"/>
      <c r="AA148" s="1939"/>
    </row>
    <row r="149" spans="1:27" s="1545" customFormat="1" ht="24.95" customHeight="1">
      <c r="A149" s="2014"/>
      <c r="B149" s="2019">
        <f>ROW()</f>
        <v>149</v>
      </c>
      <c r="C149" s="10211">
        <f ca="1">TODAY()</f>
        <v>46257</v>
      </c>
      <c r="D149" s="10211"/>
      <c r="E149" s="2014"/>
      <c r="F149" s="2014"/>
      <c r="G149" s="2155" t="str">
        <f ca="1">_xlfn.FORMULATEXT(C149)</f>
        <v>=AUJOURDHUI()</v>
      </c>
      <c r="H149" s="2015"/>
      <c r="I149" s="2004"/>
      <c r="J149" s="2015"/>
      <c r="K149" s="2015"/>
      <c r="L149" s="2015"/>
      <c r="M149" s="1939"/>
      <c r="N149" s="1921"/>
      <c r="O149" s="1921"/>
      <c r="P149" s="1921"/>
      <c r="Q149" s="1921"/>
      <c r="R149" s="1939"/>
      <c r="S149" s="1939"/>
      <c r="T149" s="1939"/>
      <c r="U149" s="1939"/>
      <c r="V149" s="1939"/>
      <c r="W149" s="1939"/>
      <c r="X149" s="1939"/>
      <c r="Y149" s="1939"/>
      <c r="Z149" s="1939"/>
      <c r="AA149" s="1939"/>
    </row>
    <row r="150" spans="1:27" s="1545" customFormat="1" ht="24.95" customHeight="1">
      <c r="A150" s="2014"/>
      <c r="B150" s="2032"/>
      <c r="C150" s="2028" t="s">
        <v>2673</v>
      </c>
      <c r="D150" s="2017"/>
      <c r="E150" s="2028"/>
      <c r="F150" s="2017"/>
      <c r="G150" s="2017"/>
      <c r="H150" s="2017"/>
      <c r="I150" s="2035"/>
      <c r="J150" s="2015"/>
      <c r="K150" s="2015"/>
      <c r="L150" s="2015"/>
      <c r="M150" s="1939"/>
      <c r="N150" s="1921"/>
      <c r="O150" s="1921"/>
      <c r="P150" s="1921"/>
      <c r="Q150" s="1921"/>
      <c r="R150" s="1939"/>
      <c r="S150" s="1939"/>
      <c r="T150" s="1939"/>
      <c r="U150" s="1939"/>
      <c r="V150" s="1939"/>
      <c r="W150" s="1939"/>
      <c r="X150" s="1939"/>
      <c r="Y150" s="1939"/>
      <c r="Z150" s="1939"/>
      <c r="AA150" s="1939"/>
    </row>
    <row r="151" spans="1:27" s="1545" customFormat="1" ht="24.95" customHeight="1" thickBot="1">
      <c r="A151" s="2014"/>
      <c r="B151" s="2036"/>
      <c r="C151" s="2037"/>
      <c r="D151" s="2005"/>
      <c r="E151" s="2037"/>
      <c r="F151" s="2005"/>
      <c r="G151" s="2005"/>
      <c r="H151" s="2005"/>
      <c r="I151" s="2038"/>
      <c r="J151" s="2015"/>
      <c r="K151" s="2015"/>
      <c r="L151" s="2015"/>
      <c r="M151" s="1939"/>
      <c r="N151" s="1921"/>
      <c r="O151" s="1921"/>
      <c r="P151" s="1921"/>
      <c r="Q151" s="1921"/>
      <c r="R151" s="1939"/>
      <c r="S151" s="1939"/>
      <c r="T151" s="1939"/>
      <c r="U151" s="1939"/>
      <c r="V151" s="1939"/>
      <c r="W151" s="1939"/>
      <c r="X151" s="1939"/>
      <c r="Y151" s="1939"/>
      <c r="Z151" s="1939"/>
      <c r="AA151" s="1939"/>
    </row>
    <row r="152" spans="1:27" s="1545" customFormat="1" ht="24.95" customHeight="1" thickBot="1">
      <c r="A152" s="2014"/>
      <c r="B152" s="2014"/>
      <c r="C152" s="2028"/>
      <c r="D152" s="2017"/>
      <c r="E152" s="2028"/>
      <c r="F152" s="2017"/>
      <c r="G152" s="2017"/>
      <c r="H152" s="2017"/>
      <c r="I152" s="2017"/>
      <c r="J152" s="2015"/>
      <c r="K152" s="2015"/>
      <c r="L152" s="2015"/>
      <c r="M152" s="1939"/>
      <c r="N152" s="1921"/>
      <c r="O152" s="1921"/>
      <c r="P152" s="1921"/>
      <c r="Q152" s="1921"/>
      <c r="R152" s="1939"/>
      <c r="S152" s="1939"/>
      <c r="T152" s="1939"/>
      <c r="U152" s="1939"/>
      <c r="V152" s="1939"/>
      <c r="W152" s="1939"/>
      <c r="X152" s="1939"/>
      <c r="Y152" s="1939"/>
      <c r="Z152" s="1939"/>
      <c r="AA152" s="1939"/>
    </row>
    <row r="153" spans="1:27" s="1545" customFormat="1" ht="24.95" customHeight="1">
      <c r="A153" s="2014"/>
      <c r="B153" s="2009"/>
      <c r="C153" s="1980"/>
      <c r="D153" s="1979"/>
      <c r="E153" s="1979"/>
      <c r="F153" s="1979"/>
      <c r="G153" s="1979"/>
      <c r="H153" s="1979"/>
      <c r="I153" s="1979"/>
      <c r="J153" s="1980"/>
      <c r="K153" s="1980"/>
      <c r="L153" s="1981"/>
      <c r="M153" s="1939"/>
      <c r="N153" s="1921"/>
      <c r="O153" s="1921"/>
      <c r="P153" s="1921"/>
      <c r="Q153" s="1921"/>
      <c r="R153" s="1939"/>
      <c r="S153" s="1939"/>
      <c r="T153" s="1939"/>
      <c r="U153" s="1939"/>
      <c r="V153" s="1939"/>
      <c r="W153" s="1939"/>
      <c r="X153" s="1939"/>
      <c r="Y153" s="1939"/>
      <c r="Z153" s="1939"/>
      <c r="AA153" s="1939"/>
    </row>
    <row r="154" spans="1:27" s="1545" customFormat="1" ht="24.95" customHeight="1">
      <c r="A154" s="2014"/>
      <c r="B154" s="2006"/>
      <c r="C154" s="2158" t="s">
        <v>2724</v>
      </c>
      <c r="D154" s="2187"/>
      <c r="E154" s="2016"/>
      <c r="F154" s="2016"/>
      <c r="G154" s="2016"/>
      <c r="H154" s="2016"/>
      <c r="I154" s="2016"/>
      <c r="J154" s="2015"/>
      <c r="K154" s="2015"/>
      <c r="L154" s="1982"/>
      <c r="M154" s="1939"/>
      <c r="N154" s="1921"/>
      <c r="O154" s="1921"/>
      <c r="P154" s="1921"/>
      <c r="Q154" s="1921"/>
      <c r="R154" s="1939"/>
      <c r="S154" s="1939"/>
      <c r="T154" s="1939"/>
      <c r="U154" s="1939"/>
      <c r="V154" s="1939"/>
      <c r="W154" s="1939"/>
      <c r="X154" s="1939"/>
      <c r="Y154" s="1939"/>
      <c r="Z154" s="1939"/>
      <c r="AA154" s="1939"/>
    </row>
    <row r="155" spans="1:27" s="1545" customFormat="1" ht="24.95" customHeight="1">
      <c r="A155" s="2014"/>
      <c r="B155" s="2013" t="s">
        <v>2726</v>
      </c>
      <c r="C155" s="2188" t="s">
        <v>2725</v>
      </c>
      <c r="D155" s="2187"/>
      <c r="E155" s="2016"/>
      <c r="F155" s="2016"/>
      <c r="G155" s="2016"/>
      <c r="H155" s="2016"/>
      <c r="I155" s="2016"/>
      <c r="J155" s="2015"/>
      <c r="K155" s="2015"/>
      <c r="L155" s="1982"/>
      <c r="M155" s="1939"/>
      <c r="N155" s="1921"/>
      <c r="O155" s="1921"/>
      <c r="P155" s="1921"/>
      <c r="Q155" s="1921"/>
      <c r="R155" s="1939"/>
      <c r="S155" s="1939"/>
      <c r="T155" s="1939"/>
      <c r="U155" s="1939"/>
      <c r="V155" s="1939"/>
      <c r="W155" s="1939"/>
      <c r="X155" s="1939"/>
      <c r="Y155" s="1939"/>
      <c r="Z155" s="1939"/>
      <c r="AA155" s="1939"/>
    </row>
    <row r="156" spans="1:27" s="1545" customFormat="1" ht="24.95" customHeight="1">
      <c r="A156" s="2014"/>
      <c r="B156" s="2013">
        <f>ROW()</f>
        <v>156</v>
      </c>
      <c r="C156" s="2189">
        <f ca="1">INT((C149-(DATE(YEAR(C149-WEEKDAY(C149-1)+4),1,3)-WEEKDAY(DATE(YEAR(C149 -WEEKDAY(C149-1)+4),1,3)))+5)/7)</f>
        <v>34</v>
      </c>
      <c r="D156" s="2190"/>
      <c r="E156" s="2016"/>
      <c r="F156" s="2016"/>
      <c r="G156" s="2016"/>
      <c r="H156" s="2016"/>
      <c r="I156" s="2016"/>
      <c r="J156" s="2015"/>
      <c r="K156" s="2015"/>
      <c r="L156" s="1982"/>
      <c r="M156" s="1939"/>
      <c r="N156" s="1921"/>
      <c r="O156" s="1921"/>
      <c r="P156" s="1921"/>
      <c r="Q156" s="1921"/>
      <c r="R156" s="1939"/>
      <c r="S156" s="1939"/>
      <c r="T156" s="1939"/>
      <c r="U156" s="1939"/>
      <c r="V156" s="1939"/>
      <c r="W156" s="1939"/>
      <c r="X156" s="1939"/>
      <c r="Y156" s="1939"/>
      <c r="Z156" s="1939"/>
      <c r="AA156" s="1939"/>
    </row>
    <row r="157" spans="1:27" s="1545" customFormat="1" ht="24.95" customHeight="1">
      <c r="A157" s="2014"/>
      <c r="B157" s="2006"/>
      <c r="C157" s="2155" t="str">
        <f ca="1">_xlfn.FORMULATEXT(C156)</f>
        <v>=ENT((C149-(DATE(ANNEE(C149-JOURSEM(C149-1)+4);1;3)-JOURSEM(DATE(ANNEE(C149 -JOURSEM(C149-1)+4);1;3)))+5)/7)</v>
      </c>
      <c r="D157" s="2016"/>
      <c r="E157" s="2016"/>
      <c r="F157" s="2016"/>
      <c r="G157" s="2016"/>
      <c r="H157" s="2016"/>
      <c r="I157" s="2016"/>
      <c r="J157" s="2015"/>
      <c r="K157" s="2015"/>
      <c r="L157" s="1982"/>
      <c r="M157" s="1939"/>
      <c r="N157" s="1921"/>
      <c r="O157" s="1921"/>
      <c r="P157" s="1921"/>
      <c r="Q157" s="1921"/>
      <c r="R157" s="1939"/>
      <c r="S157" s="1939"/>
      <c r="T157" s="1939"/>
      <c r="U157" s="1939"/>
      <c r="V157" s="1939"/>
      <c r="W157" s="1939"/>
      <c r="X157" s="1939"/>
      <c r="Y157" s="1939"/>
      <c r="Z157" s="1939"/>
      <c r="AA157" s="1939"/>
    </row>
    <row r="158" spans="1:27" s="1545" customFormat="1" ht="24.95" customHeight="1">
      <c r="A158" s="2014"/>
      <c r="B158" s="2006"/>
      <c r="C158" s="2014"/>
      <c r="D158" s="2014"/>
      <c r="E158" s="2016"/>
      <c r="F158" s="2016"/>
      <c r="G158" s="2016"/>
      <c r="H158" s="2016"/>
      <c r="I158" s="2016"/>
      <c r="J158" s="2015"/>
      <c r="K158" s="2015"/>
      <c r="L158" s="1982"/>
      <c r="M158" s="1939"/>
      <c r="N158" s="1939"/>
      <c r="O158" s="1939"/>
      <c r="P158" s="1939"/>
      <c r="Q158" s="1939"/>
      <c r="R158" s="1939"/>
      <c r="S158" s="1939"/>
      <c r="T158" s="1939"/>
      <c r="U158" s="1939"/>
      <c r="V158" s="1939"/>
      <c r="W158" s="1939"/>
      <c r="X158" s="1939"/>
      <c r="Y158" s="1939"/>
      <c r="Z158" s="1939"/>
      <c r="AA158" s="1939"/>
    </row>
    <row r="159" spans="1:27" s="1545" customFormat="1" ht="24.95" customHeight="1">
      <c r="A159" s="2014"/>
      <c r="B159" s="2013">
        <f>ROW()</f>
        <v>159</v>
      </c>
      <c r="C159" s="10205">
        <f ca="1">C156</f>
        <v>34</v>
      </c>
      <c r="D159" s="10205"/>
      <c r="E159" s="2016"/>
      <c r="F159" s="2016"/>
      <c r="G159" s="2016"/>
      <c r="H159" s="2016"/>
      <c r="I159" s="2016"/>
      <c r="J159" s="2017"/>
      <c r="K159" s="2015"/>
      <c r="L159" s="1982"/>
      <c r="M159" s="1939"/>
      <c r="N159" s="1939"/>
      <c r="O159" s="1939"/>
      <c r="P159" s="1939"/>
      <c r="Q159" s="1939"/>
      <c r="R159" s="1939"/>
      <c r="S159" s="1939"/>
      <c r="T159" s="1939"/>
      <c r="U159" s="1939"/>
      <c r="V159" s="1939"/>
      <c r="W159" s="1939"/>
      <c r="X159" s="1939"/>
      <c r="Y159" s="1939"/>
      <c r="Z159" s="1939"/>
      <c r="AA159" s="1939"/>
    </row>
    <row r="160" spans="1:27" s="1545" customFormat="1" ht="24.95" customHeight="1">
      <c r="A160" s="2014"/>
      <c r="B160" s="2006"/>
      <c r="C160" s="2155" t="str">
        <f ca="1">_xlfn.FORMULATEXT(C159)</f>
        <v>=C156</v>
      </c>
      <c r="D160" s="2028" t="s">
        <v>2685</v>
      </c>
      <c r="E160" s="2016"/>
      <c r="F160" s="2016"/>
      <c r="G160" s="2016"/>
      <c r="H160" s="2016"/>
      <c r="I160" s="2016"/>
      <c r="J160" s="2017"/>
      <c r="K160" s="2015"/>
      <c r="L160" s="1982"/>
      <c r="M160" s="1939"/>
      <c r="N160" s="1939"/>
      <c r="O160" s="1939"/>
      <c r="P160" s="1939"/>
      <c r="Q160" s="1939"/>
      <c r="R160" s="1939"/>
      <c r="S160" s="1939"/>
      <c r="T160" s="1939"/>
      <c r="U160" s="1939"/>
      <c r="V160" s="1939"/>
      <c r="W160" s="1939"/>
      <c r="X160" s="1939"/>
      <c r="Y160" s="1939"/>
      <c r="Z160" s="1939"/>
      <c r="AA160" s="1939"/>
    </row>
    <row r="161" spans="1:27" s="1545" customFormat="1" ht="24.95" customHeight="1" thickBot="1">
      <c r="A161" s="2014"/>
      <c r="B161" s="1999"/>
      <c r="C161" s="1985"/>
      <c r="D161" s="1983"/>
      <c r="E161" s="1983"/>
      <c r="F161" s="1983"/>
      <c r="G161" s="1983"/>
      <c r="H161" s="1983"/>
      <c r="I161" s="1983"/>
      <c r="J161" s="1984"/>
      <c r="K161" s="1985"/>
      <c r="L161" s="1986"/>
      <c r="M161" s="1939"/>
      <c r="N161" s="1939"/>
      <c r="O161" s="1939"/>
      <c r="P161" s="1939"/>
      <c r="Q161" s="1939"/>
      <c r="R161" s="1939"/>
      <c r="S161" s="1939"/>
      <c r="T161" s="1939"/>
      <c r="U161" s="1939"/>
      <c r="V161" s="1939"/>
      <c r="W161" s="1939"/>
      <c r="X161" s="1939"/>
      <c r="Y161" s="1939"/>
      <c r="Z161" s="1939"/>
      <c r="AA161" s="1939"/>
    </row>
    <row r="162" spans="1:27" s="1545" customFormat="1" ht="24.95" customHeight="1" thickBot="1">
      <c r="A162" s="2014"/>
      <c r="B162" s="2014"/>
      <c r="C162" s="2015"/>
      <c r="D162" s="2016"/>
      <c r="E162" s="2016"/>
      <c r="F162" s="2016"/>
      <c r="G162" s="2016"/>
      <c r="H162" s="2016"/>
      <c r="I162" s="2016"/>
      <c r="J162" s="2017"/>
      <c r="K162" s="2015"/>
      <c r="L162" s="2015"/>
      <c r="M162" s="1939"/>
      <c r="N162" s="1939"/>
      <c r="O162" s="1939"/>
      <c r="P162" s="1939"/>
      <c r="Q162" s="1939"/>
      <c r="R162" s="1939"/>
      <c r="S162" s="1939"/>
      <c r="T162" s="1939"/>
      <c r="U162" s="1939"/>
      <c r="V162" s="1939"/>
      <c r="W162" s="1939"/>
      <c r="X162" s="1939"/>
      <c r="Y162" s="1939"/>
      <c r="Z162" s="1939"/>
      <c r="AA162" s="1939"/>
    </row>
    <row r="163" spans="1:27" s="1545" customFormat="1" ht="24.95" customHeight="1">
      <c r="A163" s="2014"/>
      <c r="B163" s="2009"/>
      <c r="C163" s="1980"/>
      <c r="D163" s="1978"/>
      <c r="E163" s="1978"/>
      <c r="F163" s="1978"/>
      <c r="G163" s="1978"/>
      <c r="H163" s="1978"/>
      <c r="I163" s="1978"/>
      <c r="J163" s="2008"/>
      <c r="K163" s="2015"/>
      <c r="L163" s="2015"/>
      <c r="M163" s="1939"/>
      <c r="N163" s="1939"/>
      <c r="O163" s="1939"/>
      <c r="P163" s="1939"/>
      <c r="Q163" s="1939"/>
      <c r="R163" s="1939"/>
      <c r="S163" s="1939"/>
      <c r="T163" s="1939"/>
      <c r="U163" s="1939"/>
      <c r="V163" s="1939"/>
      <c r="W163" s="1939"/>
      <c r="X163" s="1939"/>
      <c r="Y163" s="1939"/>
      <c r="Z163" s="1939"/>
      <c r="AA163" s="1939"/>
    </row>
    <row r="164" spans="1:27" s="1545" customFormat="1" ht="24.95" customHeight="1">
      <c r="A164" s="2014"/>
      <c r="B164" s="2006"/>
      <c r="C164" s="2158" t="s">
        <v>2723</v>
      </c>
      <c r="D164" s="2015"/>
      <c r="E164" s="2015"/>
      <c r="F164" s="2015"/>
      <c r="G164" s="2015"/>
      <c r="H164" s="2015"/>
      <c r="I164" s="2015"/>
      <c r="J164" s="1982"/>
      <c r="K164" s="2015"/>
      <c r="L164" s="2015"/>
      <c r="M164" s="1939"/>
      <c r="N164" s="1939"/>
      <c r="O164" s="1939"/>
      <c r="P164" s="1939"/>
      <c r="Q164" s="1939"/>
      <c r="R164" s="1939"/>
      <c r="S164" s="1939"/>
      <c r="T164" s="1939"/>
      <c r="U164" s="1939"/>
      <c r="V164" s="1939"/>
      <c r="W164" s="1939"/>
      <c r="X164" s="1939"/>
      <c r="Y164" s="1939"/>
      <c r="Z164" s="1939"/>
      <c r="AA164" s="1939"/>
    </row>
    <row r="165" spans="1:27" s="1545" customFormat="1" ht="24.95" customHeight="1">
      <c r="A165" s="2014"/>
      <c r="B165" s="2013" t="s">
        <v>2726</v>
      </c>
      <c r="C165" s="2188" t="s">
        <v>2725</v>
      </c>
      <c r="D165" s="2016"/>
      <c r="E165" s="2015"/>
      <c r="F165" s="2015"/>
      <c r="G165" s="2015"/>
      <c r="H165" s="2015"/>
      <c r="I165" s="2015"/>
      <c r="J165" s="1982"/>
      <c r="K165" s="2015"/>
      <c r="L165" s="2015"/>
      <c r="M165" s="1939"/>
      <c r="N165" s="1939"/>
      <c r="O165" s="1939"/>
      <c r="P165" s="1939"/>
      <c r="Q165" s="1939"/>
      <c r="R165" s="1939"/>
      <c r="S165" s="1939"/>
      <c r="T165" s="1939"/>
      <c r="U165" s="1939"/>
      <c r="V165" s="1939"/>
      <c r="W165" s="1939"/>
      <c r="X165" s="1939"/>
      <c r="Y165" s="1939"/>
      <c r="Z165" s="1939"/>
      <c r="AA165" s="1939"/>
    </row>
    <row r="166" spans="1:27" s="1545" customFormat="1" ht="24.95" customHeight="1">
      <c r="A166" s="2014"/>
      <c r="B166" s="2013">
        <f>ROW()</f>
        <v>166</v>
      </c>
      <c r="C166" s="10206">
        <v>44140</v>
      </c>
      <c r="D166" s="10206"/>
      <c r="E166" s="2015"/>
      <c r="F166" s="2015"/>
      <c r="G166" s="2015"/>
      <c r="H166" s="2015"/>
      <c r="I166" s="2015"/>
      <c r="J166" s="1982"/>
      <c r="K166" s="2015"/>
      <c r="L166" s="2015"/>
      <c r="M166" s="1939"/>
      <c r="N166" s="1939"/>
      <c r="O166" s="1939"/>
      <c r="P166" s="1939"/>
      <c r="Q166" s="1939"/>
      <c r="R166" s="1939"/>
      <c r="S166" s="1939"/>
      <c r="T166" s="1939"/>
      <c r="U166" s="1939"/>
      <c r="V166" s="1939"/>
      <c r="W166" s="1939"/>
      <c r="X166" s="1939"/>
      <c r="Y166" s="1939"/>
      <c r="Z166" s="1939"/>
      <c r="AA166" s="1939"/>
    </row>
    <row r="167" spans="1:27" s="1545" customFormat="1" ht="24.95" customHeight="1">
      <c r="A167" s="2014"/>
      <c r="B167" s="2013">
        <f>ROW()</f>
        <v>167</v>
      </c>
      <c r="C167" s="10207">
        <f>DATE(YEAR(C166),MONTH(C166)+1,1)-WEEKDAY(DATE(YEAR(C166),MONTH(C166)+1,2))</f>
        <v>44162</v>
      </c>
      <c r="D167" s="10207"/>
      <c r="E167" s="2015"/>
      <c r="F167" s="2015"/>
      <c r="G167" s="2015"/>
      <c r="H167" s="2015"/>
      <c r="I167" s="2015"/>
      <c r="J167" s="1982"/>
      <c r="K167" s="2015"/>
      <c r="L167" s="2015"/>
      <c r="M167" s="1939"/>
      <c r="N167" s="1939"/>
      <c r="O167" s="1939"/>
      <c r="P167" s="1939"/>
      <c r="Q167" s="1939"/>
      <c r="R167" s="1939"/>
      <c r="S167" s="1939"/>
      <c r="T167" s="1939"/>
      <c r="U167" s="1939"/>
      <c r="V167" s="1939"/>
      <c r="W167" s="1939"/>
      <c r="X167" s="1939"/>
      <c r="Y167" s="1939"/>
      <c r="Z167" s="1939"/>
      <c r="AA167" s="1939"/>
    </row>
    <row r="168" spans="1:27" s="1545" customFormat="1" ht="24.95" customHeight="1">
      <c r="A168" s="2014"/>
      <c r="B168" s="2006"/>
      <c r="C168" s="2155" t="str">
        <f ca="1">_xlfn.FORMULATEXT(C167)</f>
        <v>=DATE(ANNEE(C166);MOIS(C166)+1;1)-JOURSEM(DATE(ANNEE(C166);MOIS(C166)+1;2))</v>
      </c>
      <c r="D168" s="2191"/>
      <c r="E168" s="2016"/>
      <c r="F168" s="2016"/>
      <c r="G168" s="2155"/>
      <c r="H168" s="2016"/>
      <c r="I168" s="2016"/>
      <c r="J168" s="2029"/>
      <c r="K168" s="2015"/>
      <c r="L168" s="2015"/>
      <c r="M168" s="1939"/>
      <c r="N168" s="1939"/>
      <c r="O168" s="1939"/>
      <c r="P168" s="1939"/>
      <c r="Q168" s="1939"/>
      <c r="R168" s="1939"/>
      <c r="S168" s="1939"/>
      <c r="T168" s="1939"/>
      <c r="U168" s="1939"/>
      <c r="V168" s="1939"/>
      <c r="W168" s="1939"/>
      <c r="X168" s="1939"/>
      <c r="Y168" s="1939"/>
      <c r="Z168" s="1939"/>
      <c r="AA168" s="1939"/>
    </row>
    <row r="169" spans="1:27" s="1545" customFormat="1" ht="24.95" customHeight="1">
      <c r="A169" s="2014"/>
      <c r="B169" s="2006"/>
      <c r="C169" s="2015"/>
      <c r="D169" s="2015"/>
      <c r="E169" s="2015"/>
      <c r="F169" s="2015"/>
      <c r="G169" s="2015"/>
      <c r="H169" s="2015"/>
      <c r="I169" s="2015"/>
      <c r="J169" s="1982"/>
      <c r="K169" s="2015"/>
      <c r="L169" s="2015"/>
      <c r="M169" s="1939"/>
      <c r="N169" s="1939"/>
      <c r="O169" s="1939"/>
      <c r="P169" s="1939"/>
      <c r="Q169" s="1939"/>
      <c r="R169" s="1939"/>
      <c r="S169" s="1939"/>
      <c r="T169" s="1939"/>
      <c r="U169" s="1939"/>
      <c r="V169" s="1939"/>
      <c r="W169" s="1939"/>
      <c r="X169" s="1939"/>
      <c r="Y169" s="1939"/>
      <c r="Z169" s="1939"/>
      <c r="AA169" s="1939"/>
    </row>
    <row r="170" spans="1:27" s="1545" customFormat="1" ht="24.95" customHeight="1">
      <c r="A170" s="2014"/>
      <c r="B170" s="2013">
        <f>ROW()</f>
        <v>170</v>
      </c>
      <c r="C170" s="10208">
        <f>DATE(YEAR(C166),MONTH(C166)+1,1)-WEEKDAY(DATE(YEAR(C166),MONTH(C166)+1,2))</f>
        <v>44162</v>
      </c>
      <c r="D170" s="10208"/>
      <c r="E170" s="10208"/>
      <c r="F170" s="10208"/>
      <c r="G170" s="2015"/>
      <c r="H170" s="2015"/>
      <c r="I170" s="2015"/>
      <c r="J170" s="1982"/>
      <c r="K170" s="2015"/>
      <c r="L170" s="2015"/>
      <c r="M170" s="1939"/>
      <c r="N170" s="1939"/>
      <c r="O170" s="1939"/>
      <c r="P170" s="1939"/>
      <c r="Q170" s="1939"/>
      <c r="R170" s="1939"/>
      <c r="S170" s="1939"/>
      <c r="T170" s="1939"/>
      <c r="U170" s="1939"/>
      <c r="V170" s="1939"/>
      <c r="W170" s="1939"/>
      <c r="X170" s="1939"/>
      <c r="Y170" s="1939"/>
      <c r="Z170" s="1939"/>
      <c r="AA170" s="1939"/>
    </row>
    <row r="171" spans="1:27" s="1545" customFormat="1" ht="24.95" customHeight="1">
      <c r="A171" s="2014"/>
      <c r="B171" s="2006"/>
      <c r="C171" s="2155" t="str">
        <f ca="1">_xlfn.FORMULATEXT(C170)</f>
        <v>=DATE(ANNEE(C166);MOIS(C166)+1;1)-JOURSEM(DATE(ANNEE(C166);MOIS(C166)+1;2))</v>
      </c>
      <c r="D171" s="2016"/>
      <c r="E171" s="2016"/>
      <c r="F171" s="2016"/>
      <c r="G171" s="2155"/>
      <c r="H171" s="2016"/>
      <c r="I171" s="2016"/>
      <c r="J171" s="2029"/>
      <c r="K171" s="2015"/>
      <c r="L171" s="2015"/>
      <c r="M171" s="1939"/>
      <c r="N171" s="1939"/>
      <c r="O171" s="1939"/>
      <c r="P171" s="1939"/>
      <c r="Q171" s="1939"/>
      <c r="R171" s="1939"/>
      <c r="S171" s="1939"/>
      <c r="T171" s="1939"/>
      <c r="U171" s="1939"/>
      <c r="V171" s="1939"/>
      <c r="W171" s="1939"/>
      <c r="X171" s="1939"/>
      <c r="Y171" s="1939"/>
      <c r="Z171" s="1939"/>
      <c r="AA171" s="1939"/>
    </row>
    <row r="172" spans="1:27" s="1545" customFormat="1" ht="24.95" customHeight="1">
      <c r="A172" s="2014"/>
      <c r="B172" s="2006"/>
      <c r="C172" s="2186" t="s">
        <v>2688</v>
      </c>
      <c r="D172" s="2186"/>
      <c r="E172" s="2186" t="s">
        <v>2689</v>
      </c>
      <c r="F172" s="2186"/>
      <c r="G172" s="2016"/>
      <c r="H172" s="2016"/>
      <c r="I172" s="2016"/>
      <c r="J172" s="2029"/>
      <c r="K172" s="2015"/>
      <c r="L172" s="2015"/>
      <c r="M172" s="1939"/>
      <c r="N172" s="1939"/>
      <c r="O172" s="1939"/>
      <c r="P172" s="1939"/>
      <c r="Q172" s="1939"/>
      <c r="R172" s="1939"/>
      <c r="S172" s="1939"/>
      <c r="T172" s="1939"/>
      <c r="U172" s="1939"/>
      <c r="V172" s="1939"/>
      <c r="W172" s="1939"/>
      <c r="X172" s="1939"/>
      <c r="Y172" s="1939"/>
      <c r="Z172" s="1939"/>
      <c r="AA172" s="1939"/>
    </row>
    <row r="173" spans="1:27" s="1545" customFormat="1" ht="24.95" customHeight="1">
      <c r="A173" s="2014"/>
      <c r="B173" s="2006"/>
      <c r="C173" s="2186" t="s">
        <v>2692</v>
      </c>
      <c r="D173" s="2186"/>
      <c r="E173" s="2186" t="s">
        <v>2693</v>
      </c>
      <c r="F173" s="2186"/>
      <c r="G173" s="2015"/>
      <c r="H173" s="2015"/>
      <c r="I173" s="2015"/>
      <c r="J173" s="1982"/>
      <c r="K173" s="2015"/>
      <c r="L173" s="2015"/>
      <c r="M173" s="1939"/>
      <c r="N173" s="1939"/>
      <c r="O173" s="1939"/>
      <c r="P173" s="1939"/>
      <c r="Q173" s="1939"/>
      <c r="R173" s="1939"/>
      <c r="S173" s="1939"/>
      <c r="T173" s="1939"/>
      <c r="U173" s="1939"/>
      <c r="V173" s="1939"/>
      <c r="W173" s="1939"/>
      <c r="X173" s="1939"/>
      <c r="Y173" s="1939"/>
      <c r="Z173" s="1939"/>
      <c r="AA173" s="1939"/>
    </row>
    <row r="174" spans="1:27" s="1545" customFormat="1" ht="24.95" customHeight="1">
      <c r="A174" s="2014"/>
      <c r="B174" s="2006"/>
      <c r="C174" s="2186" t="s">
        <v>2694</v>
      </c>
      <c r="D174" s="2186"/>
      <c r="E174" s="2186" t="s">
        <v>2695</v>
      </c>
      <c r="F174" s="2186"/>
      <c r="G174" s="2015"/>
      <c r="H174" s="2015"/>
      <c r="I174" s="2015"/>
      <c r="J174" s="1982"/>
      <c r="K174" s="2015"/>
      <c r="L174" s="2015"/>
      <c r="M174" s="1939"/>
      <c r="N174" s="1939"/>
      <c r="O174" s="1939"/>
      <c r="P174" s="1939"/>
      <c r="Q174" s="1939"/>
      <c r="R174" s="1939"/>
      <c r="S174" s="1939"/>
      <c r="T174" s="1939"/>
      <c r="U174" s="1939"/>
      <c r="V174" s="1939"/>
      <c r="W174" s="1939"/>
      <c r="X174" s="1939"/>
      <c r="Y174" s="1939"/>
      <c r="Z174" s="1939"/>
      <c r="AA174" s="1939"/>
    </row>
    <row r="175" spans="1:27" s="1545" customFormat="1" ht="24.95" customHeight="1">
      <c r="A175" s="2014"/>
      <c r="B175" s="2006"/>
      <c r="C175" s="2186" t="s">
        <v>2698</v>
      </c>
      <c r="D175" s="2186"/>
      <c r="E175" s="2186"/>
      <c r="F175" s="2186"/>
      <c r="G175" s="2015"/>
      <c r="H175" s="2015"/>
      <c r="I175" s="2015"/>
      <c r="J175" s="1982"/>
      <c r="K175" s="2015"/>
      <c r="L175" s="2015"/>
      <c r="M175" s="1939"/>
      <c r="N175" s="1939"/>
      <c r="O175" s="1939"/>
      <c r="P175" s="1939"/>
      <c r="Q175" s="1939"/>
      <c r="R175" s="1939"/>
      <c r="S175" s="1939"/>
      <c r="T175" s="1939"/>
      <c r="U175" s="1939"/>
      <c r="V175" s="1939"/>
      <c r="W175" s="1939"/>
      <c r="X175" s="1939"/>
      <c r="Y175" s="1939"/>
      <c r="Z175" s="1939"/>
      <c r="AA175" s="1939"/>
    </row>
    <row r="176" spans="1:27" s="1545" customFormat="1" ht="24.95" customHeight="1" thickBot="1">
      <c r="A176" s="2014"/>
      <c r="B176" s="1999"/>
      <c r="C176" s="1985"/>
      <c r="D176" s="1985"/>
      <c r="E176" s="1985"/>
      <c r="F176" s="1985"/>
      <c r="G176" s="1985"/>
      <c r="H176" s="1985"/>
      <c r="I176" s="1985"/>
      <c r="J176" s="1986"/>
      <c r="K176" s="2015"/>
      <c r="L176" s="2015"/>
      <c r="M176" s="1939"/>
      <c r="N176" s="1939"/>
      <c r="O176" s="1939"/>
      <c r="P176" s="1939"/>
      <c r="Q176" s="1939"/>
      <c r="R176" s="1939"/>
      <c r="S176" s="1939"/>
      <c r="T176" s="1939"/>
      <c r="U176" s="1939"/>
      <c r="V176" s="1939"/>
      <c r="W176" s="1939"/>
      <c r="X176" s="1939"/>
      <c r="Y176" s="1939"/>
      <c r="Z176" s="1939"/>
      <c r="AA176" s="1939"/>
    </row>
    <row r="177" spans="1:27" s="1545" customFormat="1" ht="24.95" customHeight="1" thickBot="1">
      <c r="A177" s="2014"/>
      <c r="B177" s="2014"/>
      <c r="C177" s="2015"/>
      <c r="D177" s="2015"/>
      <c r="E177" s="2015"/>
      <c r="F177" s="2015"/>
      <c r="G177" s="2015"/>
      <c r="H177" s="2015"/>
      <c r="I177" s="2015"/>
      <c r="J177" s="2015"/>
      <c r="K177" s="2015"/>
      <c r="L177" s="2015"/>
      <c r="M177" s="1939"/>
      <c r="N177" s="1939"/>
      <c r="O177" s="1939"/>
      <c r="P177" s="1939"/>
      <c r="Q177" s="1939"/>
      <c r="R177" s="1939"/>
      <c r="S177" s="1939"/>
      <c r="T177" s="1939"/>
      <c r="U177" s="1939"/>
      <c r="V177" s="1939"/>
      <c r="W177" s="1939"/>
      <c r="X177" s="1939"/>
      <c r="Y177" s="1939"/>
      <c r="Z177" s="1939"/>
      <c r="AA177" s="1939"/>
    </row>
    <row r="178" spans="1:27" s="1545" customFormat="1" ht="24.95" customHeight="1">
      <c r="A178" s="2014"/>
      <c r="B178" s="2009"/>
      <c r="C178" s="1980"/>
      <c r="D178" s="1980"/>
      <c r="E178" s="1980"/>
      <c r="F178" s="1980"/>
      <c r="G178" s="1980"/>
      <c r="H178" s="1980"/>
      <c r="I178" s="1980"/>
      <c r="J178" s="1980"/>
      <c r="K178" s="1980"/>
      <c r="L178" s="1980"/>
      <c r="M178" s="1990"/>
      <c r="N178" s="1991"/>
      <c r="O178" s="1939"/>
      <c r="P178" s="1939"/>
      <c r="Q178" s="1939"/>
      <c r="R178" s="1939"/>
      <c r="S178" s="1939"/>
      <c r="T178" s="1939"/>
      <c r="U178" s="1939"/>
      <c r="V178" s="1939"/>
      <c r="W178" s="1939"/>
      <c r="X178" s="1939"/>
      <c r="Y178" s="1939"/>
      <c r="Z178" s="1939"/>
      <c r="AA178" s="1939"/>
    </row>
    <row r="179" spans="1:27" s="1545" customFormat="1" ht="24.95" customHeight="1">
      <c r="A179" s="2014"/>
      <c r="B179" s="2013" t="s">
        <v>2726</v>
      </c>
      <c r="C179" s="2158" t="s">
        <v>2700</v>
      </c>
      <c r="D179" s="1939"/>
      <c r="E179" s="1939"/>
      <c r="F179" s="1939"/>
      <c r="G179" s="1939"/>
      <c r="H179" s="1939"/>
      <c r="I179" s="1939"/>
      <c r="J179" s="1939"/>
      <c r="K179" s="1939"/>
      <c r="L179" s="2015"/>
      <c r="M179" s="1939"/>
      <c r="N179" s="2039"/>
      <c r="O179" s="1928"/>
      <c r="P179" s="1928"/>
      <c r="Q179" s="1928"/>
      <c r="R179" s="1928"/>
      <c r="S179" s="1928"/>
      <c r="T179" s="1928"/>
      <c r="U179" s="1591"/>
      <c r="V179" s="1928"/>
      <c r="W179" s="1939"/>
      <c r="X179" s="1939"/>
      <c r="Y179" s="1939"/>
      <c r="Z179" s="1939"/>
      <c r="AA179" s="1939"/>
    </row>
    <row r="180" spans="1:27" s="1545" customFormat="1" ht="24.95" customHeight="1">
      <c r="A180" s="1937"/>
      <c r="B180" s="2013">
        <f>ROW()</f>
        <v>180</v>
      </c>
      <c r="C180" s="10209">
        <v>44190</v>
      </c>
      <c r="D180" s="10209"/>
      <c r="E180" s="1940"/>
      <c r="F180" s="1941"/>
      <c r="G180" s="1941"/>
      <c r="H180" s="1941"/>
      <c r="I180" s="1941"/>
      <c r="J180" s="1950"/>
      <c r="K180" s="1939"/>
      <c r="L180" s="1939"/>
      <c r="M180" s="1939"/>
      <c r="N180" s="1992"/>
      <c r="O180" s="1939"/>
      <c r="P180" s="1939"/>
      <c r="Q180" s="1939"/>
      <c r="R180" s="1939"/>
      <c r="S180" s="1939"/>
      <c r="T180" s="1939"/>
      <c r="U180" s="1939"/>
      <c r="V180" s="1939"/>
      <c r="W180" s="1939"/>
      <c r="X180" s="1939"/>
      <c r="Y180" s="1939"/>
      <c r="Z180" s="1939"/>
      <c r="AA180" s="1939"/>
    </row>
    <row r="181" spans="1:27" s="1545" customFormat="1" ht="24.95" customHeight="1">
      <c r="A181" s="1937"/>
      <c r="B181" s="2013">
        <f>ROW()</f>
        <v>181</v>
      </c>
      <c r="C181" s="10210">
        <f>DATE(YEAR(C180),MONTH(C180)+1,1)-MOD(DATE(YEAR(C180),MONTH(C180)+1,1)+5,7)-3</f>
        <v>44190</v>
      </c>
      <c r="D181" s="10210"/>
      <c r="E181" s="1940"/>
      <c r="F181" s="1941"/>
      <c r="G181" s="2155" t="str">
        <f t="shared" ref="G181:G182" ca="1" si="2">_xlfn.FORMULATEXT(C181)</f>
        <v>=DATE(ANNEE(C180);MOIS(C180)+1;1)-MOD(DATE(ANNEE(C180);MOIS(C180)+1;1)+5;7)-3</v>
      </c>
      <c r="H181" s="1941"/>
      <c r="I181" s="1941"/>
      <c r="J181" s="1950"/>
      <c r="K181" s="1939"/>
      <c r="L181" s="1939"/>
      <c r="M181" s="1939"/>
      <c r="N181" s="1992"/>
      <c r="O181" s="1939"/>
      <c r="P181" s="1939"/>
      <c r="Q181" s="1939"/>
      <c r="R181" s="1939"/>
      <c r="S181" s="1939"/>
      <c r="T181" s="1939"/>
      <c r="U181" s="1939"/>
      <c r="V181" s="1939"/>
      <c r="W181" s="1939"/>
      <c r="X181" s="1939"/>
      <c r="Y181" s="1939"/>
      <c r="Z181" s="1939"/>
      <c r="AA181" s="1939"/>
    </row>
    <row r="182" spans="1:27" s="1545" customFormat="1" ht="24.95" customHeight="1">
      <c r="A182" s="1937"/>
      <c r="B182" s="2013">
        <f>ROW()</f>
        <v>182</v>
      </c>
      <c r="C182" s="10204">
        <f>DATE(YEAR(C180),MONTH(C180)+1,1)-MOD(DATE(YEAR(C180),MONTH(C180)+1,1)+5,7)-3</f>
        <v>44190</v>
      </c>
      <c r="D182" s="10204"/>
      <c r="E182" s="10204"/>
      <c r="F182" s="1941"/>
      <c r="G182" s="2155" t="str">
        <f t="shared" ca="1" si="2"/>
        <v>=DATE(ANNEE(C180);MOIS(C180)+1;1)-MOD(DATE(ANNEE(C180);MOIS(C180)+1;1)+5;7)-3</v>
      </c>
      <c r="H182" s="1941"/>
      <c r="I182" s="1941"/>
      <c r="J182" s="1950"/>
      <c r="K182" s="1939"/>
      <c r="L182" s="1939"/>
      <c r="M182" s="1939"/>
      <c r="N182" s="1992"/>
      <c r="O182" s="1939"/>
      <c r="P182" s="1939"/>
      <c r="Q182" s="1939"/>
      <c r="R182" s="1939"/>
      <c r="S182" s="1939"/>
      <c r="T182" s="1939"/>
      <c r="U182" s="1939"/>
      <c r="V182" s="1939"/>
      <c r="W182" s="1939"/>
      <c r="X182" s="1939"/>
      <c r="Y182" s="1939"/>
      <c r="Z182" s="1939"/>
      <c r="AA182" s="1939"/>
    </row>
    <row r="183" spans="1:27" s="1545" customFormat="1" ht="24.95" customHeight="1" thickBot="1">
      <c r="A183" s="1937"/>
      <c r="B183" s="1998"/>
      <c r="C183" s="2055" t="s">
        <v>2725</v>
      </c>
      <c r="D183" s="1993"/>
      <c r="E183" s="1993"/>
      <c r="F183" s="1994"/>
      <c r="G183" s="1994"/>
      <c r="H183" s="1994"/>
      <c r="I183" s="1994"/>
      <c r="J183" s="1995"/>
      <c r="K183" s="1996"/>
      <c r="L183" s="1996"/>
      <c r="M183" s="1996"/>
      <c r="N183" s="1997"/>
      <c r="O183" s="1939"/>
      <c r="P183" s="1939"/>
      <c r="Q183" s="1939"/>
      <c r="R183" s="1939"/>
      <c r="S183" s="1939"/>
      <c r="T183" s="1939"/>
      <c r="U183" s="1939"/>
      <c r="V183" s="1939"/>
      <c r="W183" s="1939"/>
      <c r="X183" s="1939"/>
      <c r="Y183" s="1939"/>
      <c r="Z183" s="1939"/>
      <c r="AA183" s="1939"/>
    </row>
    <row r="184" spans="1:27" s="1545" customFormat="1" ht="24.95" customHeight="1">
      <c r="A184" s="1937"/>
      <c r="B184" s="1938"/>
      <c r="C184" s="1939"/>
      <c r="D184" s="1940"/>
      <c r="E184" s="1940"/>
      <c r="F184" s="1941"/>
      <c r="G184" s="1941"/>
      <c r="H184" s="1941"/>
      <c r="I184" s="1941"/>
      <c r="J184" s="1950"/>
      <c r="K184" s="1939"/>
      <c r="L184" s="1939"/>
      <c r="M184" s="1939"/>
      <c r="N184" s="1939"/>
      <c r="O184" s="1939"/>
      <c r="P184" s="1939"/>
      <c r="Q184" s="1939"/>
      <c r="R184" s="1939"/>
      <c r="S184" s="1939"/>
      <c r="T184" s="1939"/>
      <c r="U184" s="1939"/>
      <c r="V184" s="1939"/>
      <c r="W184" s="1939"/>
      <c r="X184" s="1939"/>
      <c r="Y184" s="1939"/>
      <c r="Z184" s="1939"/>
      <c r="AA184" s="1939"/>
    </row>
    <row r="185" spans="1:27" s="1545" customFormat="1" ht="24.95" customHeight="1">
      <c r="A185" s="1937"/>
      <c r="B185" s="1938"/>
      <c r="C185" s="1939"/>
      <c r="D185" s="1940"/>
      <c r="E185" s="1940"/>
      <c r="F185" s="1941"/>
      <c r="G185" s="1941"/>
      <c r="H185" s="1941"/>
      <c r="I185" s="1941"/>
      <c r="J185" s="1950"/>
      <c r="K185" s="1939"/>
      <c r="L185" s="1939"/>
      <c r="M185" s="1939"/>
      <c r="N185" s="1939"/>
      <c r="O185" s="1939"/>
      <c r="P185" s="1939"/>
      <c r="Q185" s="1939"/>
      <c r="R185" s="1939"/>
      <c r="S185" s="1939"/>
      <c r="T185" s="1939"/>
      <c r="U185" s="1939"/>
      <c r="V185" s="1939"/>
      <c r="W185" s="1939"/>
      <c r="X185" s="1939"/>
      <c r="Y185" s="1939"/>
      <c r="Z185" s="1939"/>
      <c r="AA185" s="1939"/>
    </row>
    <row r="186" spans="1:27" s="1545" customFormat="1" ht="24.95" customHeight="1">
      <c r="A186" s="1937"/>
      <c r="B186" s="1938"/>
      <c r="C186" s="1939"/>
      <c r="D186" s="1940"/>
      <c r="E186" s="1940"/>
      <c r="F186" s="1941"/>
      <c r="G186" s="1941"/>
      <c r="H186" s="1941"/>
      <c r="I186" s="1941"/>
      <c r="J186" s="1950"/>
      <c r="K186" s="1939"/>
      <c r="L186" s="1939"/>
      <c r="M186" s="1939"/>
      <c r="N186" s="1939"/>
      <c r="O186" s="1939"/>
      <c r="P186" s="1939"/>
      <c r="Q186" s="1939"/>
      <c r="R186" s="1939"/>
      <c r="S186" s="1939"/>
      <c r="T186" s="1939"/>
      <c r="U186" s="1939"/>
      <c r="V186" s="1939"/>
      <c r="W186" s="1939"/>
      <c r="X186" s="1939"/>
      <c r="Y186" s="1939"/>
      <c r="Z186" s="1939"/>
      <c r="AA186" s="1939"/>
    </row>
    <row r="187" spans="1:27" s="1545" customFormat="1" ht="24.95" customHeight="1">
      <c r="A187" s="1930"/>
      <c r="B187" s="1931"/>
      <c r="C187" s="1932"/>
      <c r="D187" s="1933"/>
      <c r="E187" s="1933"/>
      <c r="F187" s="1934"/>
      <c r="G187" s="1934"/>
      <c r="H187" s="1934"/>
      <c r="I187" s="1934"/>
      <c r="J187" s="1935"/>
      <c r="K187" s="1932"/>
      <c r="L187" s="1932"/>
      <c r="M187" s="1932"/>
      <c r="N187" s="1932"/>
      <c r="O187" s="1932"/>
      <c r="P187" s="1932"/>
      <c r="Q187" s="1932"/>
      <c r="R187" s="1932"/>
      <c r="S187" s="1932"/>
      <c r="T187" s="1932"/>
      <c r="U187" s="1932"/>
      <c r="V187" s="1932"/>
      <c r="W187" s="1932"/>
      <c r="X187" s="1932"/>
      <c r="Y187" s="1932"/>
      <c r="Z187" s="1932"/>
      <c r="AA187" s="1932"/>
    </row>
    <row r="188" spans="1:27" s="1545" customFormat="1" ht="24.95" customHeight="1">
      <c r="A188" s="1937"/>
      <c r="B188" s="1938"/>
      <c r="C188" s="1939"/>
      <c r="D188" s="1940"/>
      <c r="E188" s="1940"/>
      <c r="F188" s="1941"/>
      <c r="G188" s="1941"/>
      <c r="H188" s="1941"/>
      <c r="I188" s="1941"/>
      <c r="J188" s="1950"/>
      <c r="K188" s="1939"/>
      <c r="L188" s="1939"/>
      <c r="M188" s="1939"/>
      <c r="N188" s="1939"/>
      <c r="O188" s="1939"/>
      <c r="P188" s="1939"/>
      <c r="Q188" s="1939"/>
      <c r="R188" s="1928"/>
      <c r="S188" s="1928"/>
      <c r="T188" s="1928"/>
      <c r="U188" s="1928"/>
      <c r="V188" s="1928"/>
      <c r="W188" s="1928"/>
      <c r="X188" s="1928"/>
      <c r="Y188" s="1591"/>
      <c r="Z188" s="1928"/>
      <c r="AA188" s="1591"/>
    </row>
    <row r="189" spans="1:27" s="1929" customFormat="1" ht="24.95" customHeight="1">
      <c r="A189" s="1925"/>
      <c r="B189" s="1926"/>
      <c r="C189" s="1927"/>
      <c r="D189" s="1925"/>
      <c r="E189" s="1927"/>
      <c r="F189" s="1925"/>
      <c r="G189" s="1925"/>
      <c r="H189" s="1936"/>
      <c r="I189" s="1936"/>
      <c r="J189" s="1936"/>
      <c r="K189" s="1936"/>
      <c r="L189" s="1936"/>
      <c r="M189" s="1936"/>
      <c r="N189" s="1928"/>
      <c r="O189" s="1928"/>
      <c r="P189" s="1928"/>
      <c r="Q189" s="1928"/>
      <c r="R189" s="1928"/>
      <c r="S189" s="1928"/>
      <c r="T189" s="1928"/>
      <c r="U189" s="1928"/>
      <c r="V189" s="1928"/>
      <c r="W189" s="1928"/>
      <c r="X189" s="1928"/>
      <c r="Y189" s="1591"/>
      <c r="Z189" s="1928"/>
      <c r="AA189" s="1591"/>
    </row>
    <row r="190" spans="1:27" s="1929" customFormat="1" ht="24.95" customHeight="1">
      <c r="A190" s="1925"/>
      <c r="B190" s="1926"/>
      <c r="C190" s="1927"/>
      <c r="D190" s="1925"/>
      <c r="E190" s="1927"/>
      <c r="F190" s="1925"/>
      <c r="G190" s="1925"/>
      <c r="H190" s="1936"/>
      <c r="I190" s="1936"/>
      <c r="J190" s="1936"/>
      <c r="K190" s="1936"/>
      <c r="L190" s="1936"/>
      <c r="M190" s="1936"/>
      <c r="N190" s="1928"/>
      <c r="O190" s="1928"/>
      <c r="P190" s="1928"/>
      <c r="Q190" s="1928"/>
      <c r="R190" s="1928"/>
      <c r="S190" s="1928"/>
      <c r="T190" s="1928"/>
      <c r="U190" s="1928"/>
      <c r="V190" s="1928"/>
      <c r="W190" s="1928"/>
      <c r="X190" s="1928"/>
      <c r="Y190" s="1591"/>
      <c r="Z190" s="1928"/>
      <c r="AA190" s="1591"/>
    </row>
    <row r="191" spans="1:27" s="1929" customFormat="1" ht="24.95" customHeight="1">
      <c r="A191" s="1925"/>
      <c r="B191" s="1926"/>
      <c r="C191" s="1927"/>
      <c r="D191" s="1925"/>
      <c r="E191" s="1927"/>
      <c r="F191" s="1925"/>
      <c r="G191" s="1925"/>
      <c r="H191" s="1936"/>
      <c r="I191" s="1936"/>
      <c r="J191" s="1936"/>
      <c r="K191" s="1936"/>
      <c r="L191" s="1936"/>
      <c r="M191" s="1936"/>
      <c r="N191" s="1928"/>
      <c r="O191" s="1928"/>
      <c r="P191" s="1928"/>
      <c r="Q191" s="1928"/>
      <c r="R191" s="1928"/>
      <c r="S191" s="1928"/>
      <c r="T191" s="1928"/>
      <c r="U191" s="1928"/>
      <c r="V191" s="1928"/>
      <c r="W191" s="1928"/>
      <c r="X191" s="1928"/>
      <c r="Y191" s="1591"/>
      <c r="Z191" s="1928"/>
      <c r="AA191" s="1591"/>
    </row>
    <row r="192" spans="1:27" s="1929" customFormat="1" ht="24.95" customHeight="1">
      <c r="A192" s="1925"/>
      <c r="B192" s="1926"/>
      <c r="C192" s="1927"/>
      <c r="D192" s="1925"/>
      <c r="E192" s="1927"/>
      <c r="F192" s="1925"/>
      <c r="G192" s="1925"/>
      <c r="H192" s="1936"/>
      <c r="I192" s="1936"/>
      <c r="J192" s="1936"/>
      <c r="K192" s="1936"/>
      <c r="L192" s="1936"/>
      <c r="M192" s="1936"/>
      <c r="N192" s="1928"/>
      <c r="O192" s="1928"/>
      <c r="P192" s="1928"/>
      <c r="Q192" s="1928"/>
      <c r="R192" s="1928"/>
      <c r="S192" s="1928"/>
      <c r="T192" s="1928"/>
      <c r="U192" s="1928"/>
      <c r="V192" s="1928"/>
      <c r="W192" s="1928"/>
      <c r="X192" s="1928"/>
      <c r="Y192" s="1591"/>
      <c r="Z192" s="1928"/>
      <c r="AA192" s="1591"/>
    </row>
    <row r="193" spans="1:27" s="1929" customFormat="1" ht="24.95" customHeight="1">
      <c r="A193" s="1925"/>
      <c r="B193" s="1926"/>
      <c r="C193" s="1927"/>
      <c r="D193" s="1925"/>
      <c r="E193" s="1927"/>
      <c r="F193" s="1925"/>
      <c r="G193" s="1925"/>
      <c r="H193" s="1936"/>
      <c r="I193" s="1936"/>
      <c r="J193" s="1936"/>
      <c r="K193" s="1936"/>
      <c r="L193" s="1936"/>
      <c r="M193" s="1936"/>
      <c r="N193" s="1928"/>
      <c r="O193" s="1928"/>
      <c r="P193" s="1928"/>
      <c r="Q193" s="1928"/>
      <c r="R193" s="1928"/>
      <c r="S193" s="1928"/>
      <c r="T193" s="1928"/>
      <c r="U193" s="1928"/>
      <c r="V193" s="1928"/>
      <c r="W193" s="1928"/>
      <c r="X193" s="1928"/>
      <c r="Y193" s="1591"/>
      <c r="Z193" s="1928"/>
      <c r="AA193" s="1591"/>
    </row>
    <row r="194" spans="1:27" s="1929" customFormat="1" ht="24.95" customHeight="1">
      <c r="A194" s="1925"/>
      <c r="B194" s="1926"/>
      <c r="C194" s="1927"/>
      <c r="D194" s="1925"/>
      <c r="E194" s="1927"/>
      <c r="F194" s="1925"/>
      <c r="G194" s="1925"/>
      <c r="H194" s="1936"/>
      <c r="I194" s="1936"/>
      <c r="J194" s="1936"/>
      <c r="K194" s="1936"/>
      <c r="L194" s="1936"/>
      <c r="M194" s="1936"/>
      <c r="N194" s="1928"/>
      <c r="O194" s="1928"/>
      <c r="P194" s="1928"/>
      <c r="Q194" s="1928"/>
      <c r="R194" s="1928"/>
      <c r="S194" s="1928"/>
      <c r="T194" s="1928"/>
      <c r="U194" s="1928"/>
      <c r="V194" s="1928"/>
      <c r="W194" s="1928"/>
      <c r="X194" s="1928"/>
      <c r="Y194" s="1591"/>
      <c r="Z194" s="1928"/>
      <c r="AA194" s="1591"/>
    </row>
    <row r="195" spans="1:27" s="1929" customFormat="1" ht="24.95" customHeight="1">
      <c r="A195" s="1925"/>
      <c r="B195" s="1926"/>
      <c r="C195" s="1927" t="s">
        <v>2701</v>
      </c>
      <c r="D195" s="1925"/>
      <c r="E195" s="1927"/>
      <c r="F195" s="1925"/>
      <c r="G195" s="1925"/>
      <c r="H195" s="1936"/>
      <c r="I195" s="1936"/>
      <c r="J195" s="1936"/>
      <c r="K195" s="1936"/>
      <c r="L195" s="1936"/>
      <c r="M195" s="1936"/>
      <c r="N195" s="1928"/>
      <c r="O195" s="1928"/>
      <c r="P195" s="1928"/>
      <c r="Q195" s="1928"/>
      <c r="R195" s="1928"/>
      <c r="S195" s="1928"/>
      <c r="T195" s="1928"/>
      <c r="U195" s="1928"/>
      <c r="V195" s="1928"/>
      <c r="W195" s="1928"/>
      <c r="X195" s="1928"/>
      <c r="Y195" s="1591"/>
      <c r="Z195" s="1928"/>
      <c r="AA195" s="1591"/>
    </row>
    <row r="196" spans="1:27" s="1929" customFormat="1" ht="24.95" customHeight="1">
      <c r="A196" s="1925"/>
      <c r="B196" s="1926"/>
      <c r="C196" s="1927" t="s">
        <v>2702</v>
      </c>
      <c r="D196" s="1925"/>
      <c r="E196" s="1927"/>
      <c r="F196" s="1925"/>
      <c r="G196" s="1925"/>
      <c r="H196" s="1936"/>
      <c r="I196" s="1936"/>
      <c r="J196" s="1936"/>
      <c r="K196" s="1936"/>
      <c r="L196" s="1936"/>
      <c r="M196" s="1936"/>
      <c r="N196" s="1928"/>
      <c r="O196" s="1928"/>
      <c r="P196" s="1928"/>
      <c r="Q196" s="1928"/>
      <c r="R196" s="1928"/>
      <c r="S196" s="1928"/>
      <c r="T196" s="1928"/>
      <c r="U196" s="1928"/>
      <c r="V196" s="1928"/>
      <c r="W196" s="1928"/>
      <c r="X196" s="1928"/>
      <c r="Y196" s="1591"/>
      <c r="Z196" s="1928"/>
      <c r="AA196" s="1591"/>
    </row>
    <row r="197" spans="1:27" s="1929" customFormat="1" ht="24.95" customHeight="1">
      <c r="A197" s="1925"/>
      <c r="B197" s="1926"/>
      <c r="C197" s="1927" t="s">
        <v>2703</v>
      </c>
      <c r="D197" s="1925"/>
      <c r="E197" s="1927"/>
      <c r="F197" s="1925"/>
      <c r="G197" s="1925"/>
      <c r="H197" s="1936"/>
      <c r="I197" s="1936"/>
      <c r="J197" s="1936"/>
      <c r="K197" s="1936"/>
      <c r="L197" s="1936"/>
      <c r="M197" s="1936"/>
      <c r="N197" s="1928"/>
      <c r="O197" s="1928"/>
      <c r="P197" s="1928"/>
      <c r="Q197" s="1928"/>
      <c r="R197" s="1928"/>
      <c r="S197" s="1928"/>
      <c r="T197" s="1928"/>
      <c r="U197" s="1928"/>
      <c r="V197" s="1928"/>
      <c r="W197" s="1928"/>
      <c r="X197" s="1928"/>
      <c r="Y197" s="1591"/>
      <c r="Z197" s="1928"/>
      <c r="AA197" s="1591"/>
    </row>
    <row r="198" spans="1:27" s="1929" customFormat="1" ht="24.95" customHeight="1">
      <c r="A198" s="1925"/>
      <c r="B198" s="1926"/>
      <c r="C198" s="1927" t="s">
        <v>2704</v>
      </c>
      <c r="D198" s="1925"/>
      <c r="E198" s="1927"/>
      <c r="F198" s="1925"/>
      <c r="G198" s="1925"/>
      <c r="H198" s="1936"/>
      <c r="I198" s="1936"/>
      <c r="J198" s="1936"/>
      <c r="K198" s="1936"/>
      <c r="L198" s="1936"/>
      <c r="M198" s="1936"/>
      <c r="N198" s="1928"/>
      <c r="O198" s="1928"/>
      <c r="P198" s="1928"/>
      <c r="Q198" s="1928"/>
      <c r="R198" s="1928"/>
      <c r="S198" s="1928"/>
      <c r="T198" s="1928"/>
      <c r="U198" s="1928"/>
      <c r="V198" s="1928"/>
      <c r="W198" s="1928"/>
      <c r="X198" s="1928"/>
      <c r="Y198" s="1591"/>
      <c r="Z198" s="1928"/>
      <c r="AA198" s="1591"/>
    </row>
    <row r="199" spans="1:27" s="1545" customFormat="1" ht="24.95" customHeight="1">
      <c r="A199" s="1937"/>
      <c r="B199" s="1938"/>
      <c r="C199" s="1955"/>
      <c r="D199" s="1956"/>
      <c r="E199" s="1957"/>
      <c r="F199" s="1958"/>
      <c r="G199" s="1959"/>
      <c r="H199" s="1959"/>
      <c r="I199" s="1959"/>
      <c r="J199" s="1960"/>
      <c r="K199" s="1961"/>
      <c r="L199" s="1921"/>
      <c r="M199" s="1921"/>
      <c r="N199" s="1921"/>
      <c r="O199" s="1921"/>
      <c r="P199" s="1921"/>
      <c r="Q199" s="1962"/>
      <c r="R199" s="1963"/>
      <c r="S199" s="1964"/>
      <c r="T199" s="1965"/>
      <c r="U199" s="1963"/>
      <c r="V199" s="1936"/>
      <c r="W199" s="1936"/>
      <c r="X199" s="1937"/>
      <c r="Y199" s="1937"/>
      <c r="Z199" s="1937"/>
      <c r="AA199" s="1937"/>
    </row>
    <row r="200" spans="1:27" s="1545" customFormat="1" ht="24.95" customHeight="1">
      <c r="A200" s="1937"/>
      <c r="B200" s="1938"/>
      <c r="C200" s="1955"/>
      <c r="D200" s="1956"/>
      <c r="E200" s="1957"/>
      <c r="F200" s="1958"/>
      <c r="G200" s="1959"/>
      <c r="H200" s="1959"/>
      <c r="I200" s="1959"/>
      <c r="J200" s="1960"/>
      <c r="K200" s="1961"/>
      <c r="L200" s="1921"/>
      <c r="M200" s="1921"/>
      <c r="N200" s="1921"/>
      <c r="O200" s="1921"/>
      <c r="P200" s="1921"/>
      <c r="Q200" s="1962"/>
      <c r="R200" s="1963"/>
      <c r="S200" s="1964"/>
      <c r="T200" s="1965"/>
      <c r="U200" s="1963"/>
      <c r="V200" s="1936"/>
      <c r="W200" s="1936"/>
      <c r="X200" s="1937"/>
      <c r="Y200" s="1937"/>
      <c r="Z200" s="1937"/>
      <c r="AA200" s="1937"/>
    </row>
    <row r="201" spans="1:27" s="1545" customFormat="1" ht="24.95" customHeight="1">
      <c r="A201" s="1937"/>
      <c r="B201" s="1938"/>
      <c r="C201" s="1955"/>
      <c r="D201" s="1956"/>
      <c r="E201" s="1957"/>
      <c r="F201" s="1958"/>
      <c r="G201" s="1959"/>
      <c r="H201" s="1959"/>
      <c r="I201" s="1959"/>
      <c r="J201" s="1960"/>
      <c r="K201" s="1961"/>
      <c r="L201" s="1921"/>
      <c r="M201" s="1921"/>
      <c r="N201" s="1921"/>
      <c r="O201" s="1921"/>
      <c r="P201" s="1921"/>
      <c r="Q201" s="1962"/>
      <c r="R201" s="1963"/>
      <c r="S201" s="1964"/>
      <c r="T201" s="1965"/>
      <c r="U201" s="1963"/>
      <c r="V201" s="1936"/>
      <c r="W201" s="1936"/>
      <c r="X201" s="1937"/>
      <c r="Y201" s="1937"/>
      <c r="Z201" s="1937"/>
      <c r="AA201" s="1937"/>
    </row>
    <row r="202" spans="1:27" s="1545" customFormat="1" ht="24.95" customHeight="1">
      <c r="A202" s="1937"/>
      <c r="B202" s="1938"/>
      <c r="C202" s="1955"/>
      <c r="D202" s="1956"/>
      <c r="E202" s="1957"/>
      <c r="F202" s="1958"/>
      <c r="G202" s="1959"/>
      <c r="H202" s="1959"/>
      <c r="I202" s="1959"/>
      <c r="J202" s="1960"/>
      <c r="K202" s="1961"/>
      <c r="L202" s="1921"/>
      <c r="M202" s="1921"/>
      <c r="N202" s="1921"/>
      <c r="O202" s="1921"/>
      <c r="P202" s="1921"/>
      <c r="Q202" s="1962"/>
      <c r="R202" s="1963"/>
      <c r="S202" s="1964"/>
      <c r="T202" s="1965"/>
      <c r="U202" s="1963"/>
      <c r="V202" s="1936"/>
      <c r="W202" s="1936"/>
      <c r="X202" s="1937"/>
      <c r="Y202" s="1937"/>
      <c r="Z202" s="1937"/>
      <c r="AA202" s="1937"/>
    </row>
    <row r="203" spans="1:27" s="1545" customFormat="1" ht="24.95" customHeight="1">
      <c r="A203" s="1937"/>
      <c r="B203" s="1938"/>
      <c r="C203" s="1955"/>
      <c r="D203" s="1956"/>
      <c r="E203" s="1957"/>
      <c r="F203" s="1958"/>
      <c r="G203" s="1959"/>
      <c r="H203" s="1959"/>
      <c r="I203" s="1959"/>
      <c r="J203" s="1960"/>
      <c r="K203" s="1961"/>
      <c r="L203" s="1921"/>
      <c r="M203" s="1921"/>
      <c r="N203" s="1921"/>
      <c r="O203" s="1921"/>
      <c r="P203" s="1921"/>
      <c r="Q203" s="1962"/>
      <c r="R203" s="1963"/>
      <c r="S203" s="1964"/>
      <c r="T203" s="1965"/>
      <c r="U203" s="1963"/>
      <c r="V203" s="1936"/>
      <c r="W203" s="1936"/>
      <c r="X203" s="1937"/>
      <c r="Y203" s="1937"/>
      <c r="Z203" s="1937"/>
      <c r="AA203" s="1937"/>
    </row>
    <row r="204" spans="1:27" s="1545" customFormat="1" ht="24.95" customHeight="1">
      <c r="A204" s="1937"/>
      <c r="B204" s="1938"/>
      <c r="C204" s="1955"/>
      <c r="D204" s="1956"/>
      <c r="E204" s="1957"/>
      <c r="F204" s="1958"/>
      <c r="G204" s="1959"/>
      <c r="H204" s="1959"/>
      <c r="I204" s="1959"/>
      <c r="J204" s="1960"/>
      <c r="K204" s="1961"/>
      <c r="L204" s="1921"/>
      <c r="M204" s="1921"/>
      <c r="N204" s="1921"/>
      <c r="O204" s="1921"/>
      <c r="P204" s="1921"/>
      <c r="Q204" s="1962"/>
      <c r="R204" s="1963"/>
      <c r="S204" s="1964"/>
      <c r="T204" s="1965"/>
      <c r="U204" s="1963"/>
      <c r="V204" s="1936"/>
      <c r="W204" s="1936"/>
      <c r="X204" s="1937"/>
      <c r="Y204" s="1937"/>
      <c r="Z204" s="1937"/>
      <c r="AA204" s="1937"/>
    </row>
    <row r="205" spans="1:27" s="1545" customFormat="1" ht="24.95" customHeight="1">
      <c r="A205" s="1937"/>
      <c r="B205" s="1938"/>
      <c r="C205" s="1955"/>
      <c r="D205" s="1956"/>
      <c r="E205" s="1957"/>
      <c r="F205" s="1958"/>
      <c r="G205" s="1959"/>
      <c r="H205" s="1959"/>
      <c r="I205" s="1959"/>
      <c r="J205" s="1960"/>
      <c r="K205" s="1961"/>
      <c r="L205" s="1921"/>
      <c r="M205" s="1921"/>
      <c r="N205" s="1921"/>
      <c r="O205" s="1921"/>
      <c r="P205" s="1921"/>
      <c r="Q205" s="1962"/>
      <c r="R205" s="1963"/>
      <c r="S205" s="1964"/>
      <c r="T205" s="1965"/>
      <c r="U205" s="1963"/>
      <c r="V205" s="1936"/>
      <c r="W205" s="1936"/>
      <c r="X205" s="1937"/>
      <c r="Y205" s="1937"/>
      <c r="Z205" s="1937"/>
      <c r="AA205" s="1937"/>
    </row>
    <row r="206" spans="1:27" s="1545" customFormat="1" ht="24.95" customHeight="1">
      <c r="A206" s="1937"/>
      <c r="B206" s="1938"/>
      <c r="C206" s="1955"/>
      <c r="D206" s="1956"/>
      <c r="E206" s="1957"/>
      <c r="F206" s="1958"/>
      <c r="G206" s="1959"/>
      <c r="H206" s="1959"/>
      <c r="I206" s="1959"/>
      <c r="J206" s="1960"/>
      <c r="K206" s="1966" t="s">
        <v>2705</v>
      </c>
      <c r="L206" s="2042"/>
      <c r="M206" s="1944"/>
      <c r="N206" s="1921"/>
      <c r="O206" s="1921"/>
      <c r="P206" s="1921"/>
      <c r="Q206" s="1962"/>
      <c r="R206" s="1963"/>
      <c r="S206" s="1964"/>
      <c r="T206" s="1965"/>
      <c r="U206" s="1963"/>
      <c r="V206" s="1936"/>
      <c r="W206" s="1936"/>
      <c r="X206" s="1937"/>
      <c r="Y206" s="1937"/>
      <c r="Z206" s="1937"/>
      <c r="AA206" s="1937"/>
    </row>
    <row r="207" spans="1:27" s="1545" customFormat="1" ht="24.95" customHeight="1">
      <c r="A207" s="1937"/>
      <c r="B207" s="1938"/>
      <c r="C207" s="1955"/>
      <c r="D207" s="1956"/>
      <c r="E207" s="1957"/>
      <c r="F207" s="1958"/>
      <c r="G207" s="1959"/>
      <c r="H207" s="1959"/>
      <c r="I207" s="1959"/>
      <c r="J207" s="1960"/>
      <c r="K207" s="1921"/>
      <c r="L207" s="1921"/>
      <c r="M207" s="1921"/>
      <c r="N207" s="1921"/>
      <c r="O207" s="1921"/>
      <c r="P207" s="1921"/>
      <c r="Q207" s="1962"/>
      <c r="R207" s="1963"/>
      <c r="S207" s="1964"/>
      <c r="T207" s="1965"/>
      <c r="U207" s="1963"/>
      <c r="V207" s="1936"/>
      <c r="W207" s="1936"/>
      <c r="X207" s="1937"/>
      <c r="Y207" s="1937"/>
      <c r="Z207" s="1937"/>
      <c r="AA207" s="1937"/>
    </row>
    <row r="208" spans="1:27" s="1545" customFormat="1" ht="24.95" customHeight="1">
      <c r="A208" s="1937"/>
      <c r="B208" s="1938"/>
      <c r="C208" s="1955"/>
      <c r="D208" s="1956"/>
      <c r="E208" s="1957"/>
      <c r="F208" s="1958"/>
      <c r="G208" s="1959"/>
      <c r="H208" s="1959"/>
      <c r="I208" s="1959"/>
      <c r="J208" s="1960"/>
      <c r="K208" s="1967" t="s">
        <v>1283</v>
      </c>
      <c r="L208" s="2040" t="s">
        <v>2706</v>
      </c>
      <c r="M208" s="1944"/>
      <c r="N208" s="1944"/>
      <c r="O208" s="1944"/>
      <c r="P208" s="1944"/>
      <c r="Q208" s="2041"/>
      <c r="R208" s="1963"/>
      <c r="S208" s="1964"/>
      <c r="T208" s="1965"/>
      <c r="U208" s="1963"/>
      <c r="V208" s="1936"/>
      <c r="W208" s="1936"/>
      <c r="X208" s="1937"/>
      <c r="Y208" s="1937"/>
      <c r="Z208" s="1937"/>
      <c r="AA208" s="1937"/>
    </row>
    <row r="209" spans="1:27" s="1545" customFormat="1" ht="24.95" customHeight="1">
      <c r="A209" s="1937"/>
      <c r="B209" s="1938"/>
      <c r="C209" s="1955"/>
      <c r="D209" s="1956"/>
      <c r="E209" s="1957"/>
      <c r="F209" s="1958"/>
      <c r="G209" s="1959"/>
      <c r="H209" s="1959"/>
      <c r="I209" s="1959"/>
      <c r="J209" s="1960"/>
      <c r="K209" s="1961"/>
      <c r="L209" s="1921"/>
      <c r="M209" s="1963"/>
      <c r="N209" s="1963"/>
      <c r="O209" s="1963"/>
      <c r="P209" s="1963"/>
      <c r="Q209" s="1963"/>
      <c r="R209" s="1963"/>
      <c r="S209" s="1963"/>
      <c r="T209" s="1963"/>
      <c r="U209" s="1963"/>
      <c r="V209" s="1936"/>
      <c r="W209" s="1936"/>
      <c r="X209" s="1937"/>
      <c r="Y209" s="1937"/>
      <c r="Z209" s="1937"/>
      <c r="AA209" s="1937"/>
    </row>
    <row r="210" spans="1:27" s="1545" customFormat="1" ht="24.95" customHeight="1">
      <c r="A210" s="1937"/>
      <c r="B210" s="1938"/>
      <c r="C210" s="1955"/>
      <c r="D210" s="1956"/>
      <c r="E210" s="1957"/>
      <c r="F210" s="1958"/>
      <c r="G210" s="1959"/>
      <c r="H210" s="1959"/>
      <c r="I210" s="1959"/>
      <c r="J210" s="1960"/>
      <c r="K210" s="1961"/>
      <c r="L210" s="1921"/>
      <c r="M210" s="1963"/>
      <c r="N210" s="1963"/>
      <c r="O210" s="1963"/>
      <c r="P210" s="1963"/>
      <c r="Q210" s="1963"/>
      <c r="R210" s="1963"/>
      <c r="S210" s="1963"/>
      <c r="T210" s="1963"/>
      <c r="U210" s="1963"/>
      <c r="V210" s="1936"/>
      <c r="W210" s="1936"/>
      <c r="X210" s="1937"/>
      <c r="Y210" s="1937"/>
      <c r="Z210" s="1937"/>
      <c r="AA210" s="1937"/>
    </row>
    <row r="211" spans="1:27" s="1545" customFormat="1" ht="24.95" customHeight="1">
      <c r="A211" s="1937"/>
      <c r="B211" s="1938"/>
      <c r="C211" s="1955"/>
      <c r="D211" s="1956"/>
      <c r="E211" s="1957"/>
      <c r="F211" s="1958"/>
      <c r="G211" s="1959"/>
      <c r="H211" s="1959"/>
      <c r="I211" s="1959"/>
      <c r="J211" s="1960"/>
      <c r="K211" s="1961"/>
      <c r="L211" s="1921"/>
      <c r="M211" s="1963"/>
      <c r="N211" s="1963"/>
      <c r="O211" s="1963"/>
      <c r="P211" s="1963"/>
      <c r="Q211" s="1963"/>
      <c r="R211" s="1963"/>
      <c r="S211" s="1963"/>
      <c r="T211" s="1963"/>
      <c r="U211" s="1963"/>
      <c r="V211" s="1936"/>
      <c r="W211" s="1936"/>
      <c r="X211" s="1937"/>
      <c r="Y211" s="1937"/>
      <c r="Z211" s="1937"/>
      <c r="AA211" s="1937"/>
    </row>
    <row r="212" spans="1:27" s="1545" customFormat="1" ht="24.95" customHeight="1">
      <c r="A212" s="1937"/>
      <c r="B212" s="1938"/>
      <c r="C212" s="1955"/>
      <c r="D212" s="1956"/>
      <c r="E212" s="1957"/>
      <c r="F212" s="1958"/>
      <c r="G212" s="1959"/>
      <c r="H212" s="1959"/>
      <c r="I212" s="1959"/>
      <c r="J212" s="1960"/>
      <c r="K212" s="1961"/>
      <c r="L212" s="1921"/>
      <c r="M212" s="1963"/>
      <c r="N212" s="1963"/>
      <c r="O212" s="1963"/>
      <c r="P212" s="1963"/>
      <c r="Q212" s="1963"/>
      <c r="R212" s="1963"/>
      <c r="S212" s="1963"/>
      <c r="T212" s="1963"/>
      <c r="U212" s="1963"/>
      <c r="V212" s="1936"/>
      <c r="W212" s="1936"/>
      <c r="X212" s="1937"/>
      <c r="Y212" s="1937"/>
      <c r="Z212" s="1937"/>
      <c r="AA212" s="1937"/>
    </row>
    <row r="213" spans="1:27" s="1545" customFormat="1" ht="24.95" customHeight="1">
      <c r="A213" s="1937"/>
      <c r="B213" s="1938"/>
      <c r="C213" s="1955"/>
      <c r="D213" s="1956"/>
      <c r="E213" s="1957"/>
      <c r="F213" s="1958"/>
      <c r="G213" s="1959"/>
      <c r="H213" s="1959"/>
      <c r="I213" s="1959"/>
      <c r="J213" s="1960"/>
      <c r="K213" s="1961"/>
      <c r="L213" s="1921"/>
      <c r="M213" s="1963"/>
      <c r="N213" s="1963"/>
      <c r="O213" s="1963"/>
      <c r="P213" s="1963"/>
      <c r="Q213" s="1963"/>
      <c r="R213" s="1963"/>
      <c r="S213" s="1963"/>
      <c r="T213" s="1963"/>
      <c r="U213" s="1963"/>
      <c r="V213" s="1936"/>
      <c r="W213" s="1936"/>
      <c r="X213" s="1937"/>
      <c r="Y213" s="1937"/>
      <c r="Z213" s="1937"/>
      <c r="AA213" s="1937"/>
    </row>
    <row r="214" spans="1:27" s="1545" customFormat="1" ht="24.95" customHeight="1">
      <c r="A214" s="1937"/>
      <c r="B214" s="1938"/>
      <c r="C214" s="1955"/>
      <c r="D214" s="1956"/>
      <c r="E214" s="1957"/>
      <c r="F214" s="1958"/>
      <c r="G214" s="1959"/>
      <c r="H214" s="1959"/>
      <c r="I214" s="1959"/>
      <c r="J214" s="1960"/>
      <c r="K214" s="1961"/>
      <c r="L214" s="1921"/>
      <c r="M214" s="1921"/>
      <c r="N214" s="1921"/>
      <c r="O214" s="1921"/>
      <c r="P214" s="1921"/>
      <c r="Q214" s="1962"/>
      <c r="R214" s="1963"/>
      <c r="S214" s="1964"/>
      <c r="T214" s="1965"/>
      <c r="U214" s="1963"/>
      <c r="V214" s="1936"/>
      <c r="W214" s="1936"/>
      <c r="X214" s="1937"/>
      <c r="Y214" s="1937"/>
      <c r="Z214" s="1937"/>
      <c r="AA214" s="1937"/>
    </row>
    <row r="215" spans="1:27" s="1545" customFormat="1" ht="24.95" customHeight="1">
      <c r="A215" s="1937"/>
      <c r="B215" s="1938"/>
      <c r="C215" s="1955"/>
      <c r="D215" s="1956"/>
      <c r="E215" s="1957"/>
      <c r="F215" s="1958"/>
      <c r="G215" s="1959"/>
      <c r="H215" s="1959"/>
      <c r="I215" s="1959"/>
      <c r="J215" s="1960"/>
      <c r="K215" s="1961"/>
      <c r="L215" s="1921"/>
      <c r="M215" s="1921"/>
      <c r="N215" s="1921"/>
      <c r="O215" s="1921"/>
      <c r="P215" s="1921"/>
      <c r="Q215" s="1962"/>
      <c r="R215" s="1963"/>
      <c r="S215" s="1964"/>
      <c r="T215" s="1965"/>
      <c r="U215" s="1963"/>
      <c r="V215" s="1936"/>
      <c r="W215" s="1936"/>
      <c r="X215" s="1937"/>
      <c r="Y215" s="1937"/>
      <c r="Z215" s="1937"/>
      <c r="AA215" s="1937"/>
    </row>
    <row r="216" spans="1:27" s="1545" customFormat="1" ht="24.95" customHeight="1">
      <c r="A216" s="1937"/>
      <c r="B216" s="1938"/>
      <c r="C216" s="1955"/>
      <c r="D216" s="1956"/>
      <c r="E216" s="1957"/>
      <c r="F216" s="1958"/>
      <c r="G216" s="1959"/>
      <c r="H216" s="1959"/>
      <c r="I216" s="1959"/>
      <c r="J216" s="1960"/>
      <c r="K216" s="1961"/>
      <c r="L216" s="1921"/>
      <c r="M216" s="1921"/>
      <c r="N216" s="1921"/>
      <c r="O216" s="1921"/>
      <c r="P216" s="1921"/>
      <c r="Q216" s="1962"/>
      <c r="R216" s="1963"/>
      <c r="S216" s="1964"/>
      <c r="T216" s="1965"/>
      <c r="U216" s="1963"/>
      <c r="V216" s="1936"/>
      <c r="W216" s="1936"/>
      <c r="X216" s="1937"/>
      <c r="Y216" s="1937"/>
      <c r="Z216" s="1937"/>
      <c r="AA216" s="1937"/>
    </row>
    <row r="217" spans="1:27" s="1545" customFormat="1" ht="24.95" customHeight="1">
      <c r="A217" s="1937"/>
      <c r="B217" s="1938"/>
      <c r="C217" s="1955"/>
      <c r="D217" s="1956"/>
      <c r="E217" s="1957"/>
      <c r="F217" s="1958"/>
      <c r="G217" s="1959"/>
      <c r="H217" s="1959"/>
      <c r="I217" s="1959"/>
      <c r="J217" s="1960"/>
      <c r="K217" s="1961"/>
      <c r="L217" s="1921"/>
      <c r="M217" s="1921"/>
      <c r="N217" s="1921"/>
      <c r="O217" s="1921"/>
      <c r="P217" s="1921"/>
      <c r="Q217" s="1962"/>
      <c r="R217" s="1963"/>
      <c r="S217" s="1964"/>
      <c r="T217" s="1965"/>
      <c r="U217" s="1963"/>
      <c r="V217" s="1936"/>
      <c r="W217" s="1936"/>
      <c r="X217" s="1937"/>
      <c r="Y217" s="1937"/>
      <c r="Z217" s="1937"/>
      <c r="AA217" s="1937"/>
    </row>
    <row r="218" spans="1:27" s="1545" customFormat="1" ht="24.95" customHeight="1">
      <c r="A218" s="1937"/>
      <c r="B218" s="1938"/>
      <c r="C218" s="1955"/>
      <c r="D218" s="1956"/>
      <c r="E218" s="1957"/>
      <c r="F218" s="1958"/>
      <c r="G218" s="1959"/>
      <c r="H218" s="1959"/>
      <c r="I218" s="1959"/>
      <c r="J218" s="1960"/>
      <c r="K218" s="1961"/>
      <c r="L218" s="1921"/>
      <c r="M218" s="1921"/>
      <c r="N218" s="1921"/>
      <c r="O218" s="1921"/>
      <c r="P218" s="1921"/>
      <c r="Q218" s="1962"/>
      <c r="R218" s="1963"/>
      <c r="S218" s="1964"/>
      <c r="T218" s="1965"/>
      <c r="U218" s="1963"/>
      <c r="V218" s="1936"/>
      <c r="W218" s="1936"/>
      <c r="X218" s="1937"/>
      <c r="Y218" s="1937"/>
      <c r="Z218" s="1937"/>
      <c r="AA218" s="1937"/>
    </row>
    <row r="219" spans="1:27" s="1545" customFormat="1" ht="24.95" customHeight="1">
      <c r="A219" s="1937"/>
      <c r="B219" s="1938"/>
      <c r="C219" s="1955"/>
      <c r="D219" s="1956"/>
      <c r="E219" s="1957"/>
      <c r="F219" s="1958"/>
      <c r="G219" s="1959"/>
      <c r="H219" s="1959"/>
      <c r="I219" s="1959"/>
      <c r="J219" s="1960"/>
      <c r="K219" s="1961"/>
      <c r="L219" s="1921"/>
      <c r="M219" s="1921"/>
      <c r="N219" s="1921"/>
      <c r="O219" s="1921"/>
      <c r="P219" s="1921"/>
      <c r="Q219" s="1962"/>
      <c r="R219" s="1963"/>
      <c r="S219" s="1964"/>
      <c r="T219" s="1965"/>
      <c r="U219" s="1963"/>
      <c r="V219" s="1936"/>
      <c r="W219" s="1936"/>
      <c r="X219" s="1937"/>
      <c r="Y219" s="1937"/>
      <c r="Z219" s="1937"/>
      <c r="AA219" s="1937"/>
    </row>
    <row r="220" spans="1:27" s="1545" customFormat="1" ht="24.95" customHeight="1">
      <c r="A220" s="1937"/>
      <c r="B220" s="1938"/>
      <c r="C220" s="1955"/>
      <c r="D220" s="1956"/>
      <c r="E220" s="1957"/>
      <c r="F220" s="1958"/>
      <c r="G220" s="1959"/>
      <c r="H220" s="1959"/>
      <c r="I220" s="1959"/>
      <c r="J220" s="1960"/>
      <c r="K220" s="1961"/>
      <c r="L220" s="1921"/>
      <c r="M220" s="1921"/>
      <c r="N220" s="1921"/>
      <c r="O220" s="1921"/>
      <c r="P220" s="1921"/>
      <c r="Q220" s="1962"/>
      <c r="R220" s="1963"/>
      <c r="S220" s="1964"/>
      <c r="T220" s="1965"/>
      <c r="U220" s="1963"/>
      <c r="V220" s="1936"/>
      <c r="W220" s="1936"/>
      <c r="X220" s="1937"/>
      <c r="Y220" s="1937"/>
      <c r="Z220" s="1937"/>
      <c r="AA220" s="1937"/>
    </row>
    <row r="221" spans="1:27" s="1545" customFormat="1" ht="24.95" customHeight="1">
      <c r="A221" s="1937"/>
      <c r="B221" s="1938"/>
      <c r="C221" s="1955"/>
      <c r="D221" s="1956"/>
      <c r="E221" s="1957"/>
      <c r="F221" s="1958"/>
      <c r="G221" s="1959"/>
      <c r="H221" s="1959"/>
      <c r="I221" s="1959"/>
      <c r="J221" s="1960"/>
      <c r="K221" s="1961"/>
      <c r="L221" s="1921"/>
      <c r="M221" s="1921"/>
      <c r="N221" s="1921"/>
      <c r="O221" s="1921"/>
      <c r="P221" s="1921"/>
      <c r="Q221" s="1962"/>
      <c r="R221" s="1963"/>
      <c r="S221" s="1964"/>
      <c r="T221" s="1965"/>
      <c r="U221" s="1963"/>
      <c r="V221" s="1936"/>
      <c r="W221" s="1936"/>
      <c r="X221" s="1937"/>
      <c r="Y221" s="1937"/>
      <c r="Z221" s="1937"/>
      <c r="AA221" s="1937"/>
    </row>
    <row r="222" spans="1:27" s="1546" customFormat="1" ht="24.95" customHeight="1">
      <c r="A222" s="1543"/>
      <c r="B222" s="1971"/>
      <c r="C222" s="1593"/>
      <c r="D222" s="1596"/>
      <c r="E222" s="1596"/>
      <c r="F222" s="1596"/>
      <c r="G222" s="1596"/>
      <c r="H222" s="1596"/>
      <c r="I222" s="1596"/>
      <c r="J222" s="1596"/>
      <c r="K222" s="1596"/>
      <c r="L222" s="1936"/>
      <c r="M222" s="1936"/>
      <c r="N222" s="1936"/>
      <c r="O222" s="1936"/>
      <c r="P222" s="1936"/>
      <c r="Q222" s="1544"/>
      <c r="R222" s="1544"/>
      <c r="S222" s="1544"/>
      <c r="T222" s="1544"/>
      <c r="U222" s="1544"/>
      <c r="V222" s="1544"/>
      <c r="W222" s="1544"/>
      <c r="X222" s="1544"/>
      <c r="Y222" s="1544"/>
      <c r="Z222" s="1544"/>
      <c r="AA222" s="1544"/>
    </row>
    <row r="223" spans="1:27" s="1545" customFormat="1" ht="24.95" customHeight="1">
      <c r="A223" s="1543"/>
      <c r="B223" s="1972" t="s">
        <v>506</v>
      </c>
      <c r="C223" s="1543"/>
      <c r="D223" s="1543"/>
      <c r="E223" s="1543"/>
      <c r="F223" s="1543"/>
      <c r="G223" s="1543"/>
      <c r="H223" s="1543"/>
      <c r="I223" s="1543"/>
      <c r="J223" s="1543"/>
      <c r="K223" s="1543"/>
      <c r="L223" s="1543"/>
      <c r="M223" s="1543"/>
      <c r="N223" s="1543"/>
      <c r="O223" s="1543"/>
      <c r="P223" s="1543"/>
      <c r="Q223" s="1543"/>
      <c r="R223" s="1543"/>
      <c r="S223" s="1544"/>
      <c r="T223" s="1544"/>
      <c r="U223" s="1544"/>
      <c r="V223" s="1544"/>
      <c r="W223" s="1544"/>
      <c r="X223" s="1544"/>
      <c r="Y223" s="1544"/>
      <c r="Z223" s="1544"/>
      <c r="AA223" s="1544"/>
    </row>
    <row r="224" spans="1:27" s="1545" customFormat="1" ht="24.95" customHeight="1">
      <c r="A224" s="1543"/>
      <c r="B224" s="1973" t="s">
        <v>507</v>
      </c>
      <c r="C224" s="1543"/>
      <c r="D224" s="1543"/>
      <c r="E224" s="1543"/>
      <c r="F224" s="1543"/>
      <c r="G224" s="1543"/>
      <c r="H224" s="1543"/>
      <c r="I224" s="1543"/>
      <c r="J224" s="1543"/>
      <c r="K224" s="1543"/>
      <c r="L224" s="1543"/>
      <c r="M224" s="1543"/>
      <c r="N224" s="1543"/>
      <c r="O224" s="1543"/>
      <c r="P224" s="1543"/>
      <c r="Q224" s="1543"/>
      <c r="R224" s="1543"/>
      <c r="S224" s="1544"/>
      <c r="T224" s="1544"/>
      <c r="U224" s="1544"/>
      <c r="V224" s="1544"/>
      <c r="W224" s="1544"/>
      <c r="X224" s="1544"/>
      <c r="Y224" s="1544"/>
      <c r="Z224" s="1544"/>
      <c r="AA224" s="1544"/>
    </row>
    <row r="225" spans="1:44" s="1545" customFormat="1" ht="24.95" customHeight="1">
      <c r="A225" s="1543"/>
      <c r="B225" s="1973"/>
      <c r="C225" s="1543"/>
      <c r="D225" s="1543"/>
      <c r="E225" s="1543"/>
      <c r="F225" s="1543"/>
      <c r="G225" s="1543"/>
      <c r="H225" s="1543"/>
      <c r="I225" s="1543"/>
      <c r="J225" s="1543"/>
      <c r="K225" s="1543"/>
      <c r="L225" s="1543"/>
      <c r="M225" s="1543"/>
      <c r="N225" s="1543"/>
      <c r="O225" s="1543"/>
      <c r="P225" s="1543"/>
      <c r="Q225" s="1543"/>
      <c r="R225" s="1543"/>
      <c r="S225" s="1544"/>
      <c r="T225" s="1544"/>
      <c r="U225" s="1544"/>
      <c r="V225" s="1544"/>
      <c r="W225" s="1544"/>
      <c r="X225" s="1544"/>
      <c r="Y225" s="1544"/>
      <c r="Z225" s="1544"/>
      <c r="AA225" s="1544"/>
    </row>
    <row r="226" spans="1:44" s="1546" customFormat="1" ht="24.95" customHeight="1">
      <c r="A226" s="1543"/>
      <c r="B226" s="1974" t="s">
        <v>2314</v>
      </c>
      <c r="C226" s="1975"/>
      <c r="D226" s="1543"/>
      <c r="E226" s="1543"/>
      <c r="F226" s="1543"/>
      <c r="G226" s="1543"/>
      <c r="H226" s="1543"/>
      <c r="I226" s="1936"/>
      <c r="J226" s="1543"/>
      <c r="K226" s="1543"/>
      <c r="L226" s="1936"/>
      <c r="M226" s="1936"/>
      <c r="N226" s="1936"/>
      <c r="O226" s="1936"/>
      <c r="P226" s="1936"/>
      <c r="Q226" s="1544"/>
      <c r="R226" s="1544"/>
      <c r="S226" s="1544"/>
      <c r="T226" s="1544"/>
      <c r="U226" s="1544"/>
      <c r="V226" s="1544"/>
      <c r="W226" s="1950"/>
      <c r="X226" s="1544"/>
      <c r="Y226" s="1976"/>
      <c r="Z226" s="1544"/>
      <c r="AA226" s="1544"/>
      <c r="AB226" s="1545"/>
      <c r="AC226" s="1545"/>
      <c r="AD226" s="1545"/>
      <c r="AE226" s="1545"/>
      <c r="AF226" s="1545"/>
      <c r="AG226" s="1545"/>
      <c r="AH226" s="1545"/>
      <c r="AI226" s="1545"/>
      <c r="AJ226" s="1545"/>
      <c r="AK226" s="1545"/>
      <c r="AL226" s="1545"/>
      <c r="AM226" s="1545"/>
      <c r="AN226" s="1545"/>
      <c r="AO226" s="1545"/>
      <c r="AP226" s="1545"/>
      <c r="AQ226" s="1545"/>
      <c r="AR226" s="1545"/>
    </row>
    <row r="227" spans="1:44" s="1546" customFormat="1" ht="24.95" customHeight="1">
      <c r="A227" s="1543"/>
      <c r="B227" s="1547"/>
      <c r="C227" s="1543"/>
      <c r="D227" s="1543"/>
      <c r="E227" s="1543"/>
      <c r="F227" s="1543"/>
      <c r="G227" s="1543"/>
      <c r="H227" s="1543"/>
      <c r="I227" s="1936"/>
      <c r="J227" s="1543"/>
      <c r="K227" s="1543"/>
      <c r="L227" s="1936"/>
      <c r="M227" s="1936"/>
      <c r="N227" s="1936"/>
      <c r="O227" s="1936"/>
      <c r="P227" s="1936"/>
      <c r="Q227" s="1544"/>
      <c r="R227" s="1544"/>
      <c r="S227" s="1544"/>
      <c r="T227" s="1544"/>
      <c r="U227" s="1544"/>
      <c r="V227" s="1544"/>
      <c r="W227" s="1544"/>
      <c r="X227" s="1544"/>
      <c r="Y227" s="1544"/>
      <c r="Z227" s="1544"/>
      <c r="AA227" s="1544"/>
      <c r="AB227" s="1545"/>
      <c r="AC227" s="1545"/>
      <c r="AD227" s="1545"/>
      <c r="AE227" s="1545"/>
      <c r="AF227" s="1545"/>
      <c r="AG227" s="1545"/>
      <c r="AH227" s="1545"/>
      <c r="AI227" s="1545"/>
      <c r="AJ227" s="1545"/>
      <c r="AK227" s="1545"/>
      <c r="AL227" s="1545"/>
      <c r="AM227" s="1545"/>
      <c r="AN227" s="1545"/>
      <c r="AO227" s="1545"/>
      <c r="AP227" s="1545"/>
      <c r="AQ227" s="1545"/>
      <c r="AR227" s="1545"/>
    </row>
  </sheetData>
  <mergeCells count="75">
    <mergeCell ref="B20:O23"/>
    <mergeCell ref="Q31:AA32"/>
    <mergeCell ref="Q33:T33"/>
    <mergeCell ref="X33:X34"/>
    <mergeCell ref="Y33:Y34"/>
    <mergeCell ref="Z33:Z34"/>
    <mergeCell ref="AA33:AA34"/>
    <mergeCell ref="Q34:Q36"/>
    <mergeCell ref="R34:R36"/>
    <mergeCell ref="S34:S36"/>
    <mergeCell ref="Z35:Z36"/>
    <mergeCell ref="AA35:AA36"/>
    <mergeCell ref="Y35:Y36"/>
    <mergeCell ref="Q37:Q38"/>
    <mergeCell ref="R37:R38"/>
    <mergeCell ref="S37:S38"/>
    <mergeCell ref="T37:T38"/>
    <mergeCell ref="U37:U38"/>
    <mergeCell ref="X37:X38"/>
    <mergeCell ref="T34:T36"/>
    <mergeCell ref="U35:U36"/>
    <mergeCell ref="V35:V36"/>
    <mergeCell ref="W35:W36"/>
    <mergeCell ref="X35:X36"/>
    <mergeCell ref="Y37:Y38"/>
    <mergeCell ref="Z37:Z38"/>
    <mergeCell ref="AA37:AA38"/>
    <mergeCell ref="Q39:Q40"/>
    <mergeCell ref="R39:R40"/>
    <mergeCell ref="S39:S40"/>
    <mergeCell ref="T39:T40"/>
    <mergeCell ref="U39:U40"/>
    <mergeCell ref="V39:V40"/>
    <mergeCell ref="W39:W40"/>
    <mergeCell ref="X39:X40"/>
    <mergeCell ref="Y39:Y40"/>
    <mergeCell ref="Z39:Z40"/>
    <mergeCell ref="AA39:AA40"/>
    <mergeCell ref="V37:V38"/>
    <mergeCell ref="W37:W38"/>
    <mergeCell ref="Q41:Q42"/>
    <mergeCell ref="R41:R42"/>
    <mergeCell ref="S41:S42"/>
    <mergeCell ref="T41:T42"/>
    <mergeCell ref="U41:U42"/>
    <mergeCell ref="V41:V42"/>
    <mergeCell ref="Z43:Z44"/>
    <mergeCell ref="AA43:AA44"/>
    <mergeCell ref="W41:W42"/>
    <mergeCell ref="X41:X42"/>
    <mergeCell ref="Y41:Y42"/>
    <mergeCell ref="Z41:Z42"/>
    <mergeCell ref="AA41:AA42"/>
    <mergeCell ref="C149:D149"/>
    <mergeCell ref="V43:V44"/>
    <mergeCell ref="W43:W44"/>
    <mergeCell ref="X43:X44"/>
    <mergeCell ref="Y43:Y44"/>
    <mergeCell ref="Q43:Q44"/>
    <mergeCell ref="R43:R44"/>
    <mergeCell ref="S43:S44"/>
    <mergeCell ref="T43:T44"/>
    <mergeCell ref="U43:U44"/>
    <mergeCell ref="Q45:Q46"/>
    <mergeCell ref="R45:AA46"/>
    <mergeCell ref="C137:E137"/>
    <mergeCell ref="C140:E140"/>
    <mergeCell ref="C143:E143"/>
    <mergeCell ref="C182:E182"/>
    <mergeCell ref="C159:D159"/>
    <mergeCell ref="C166:D166"/>
    <mergeCell ref="C167:D167"/>
    <mergeCell ref="C170:F170"/>
    <mergeCell ref="C180:D180"/>
    <mergeCell ref="C181:D181"/>
  </mergeCells>
  <hyperlinks>
    <hyperlink ref="E28" r:id="rId1" xr:uid="{4B6220CB-ECA7-4E7E-BB87-7D1BA5D392ED}"/>
    <hyperlink ref="L208" r:id="rId2" xr:uid="{28423AA6-4D27-4503-91C4-3CB314DCC5CE}"/>
    <hyperlink ref="R45" r:id="rId3" xr:uid="{64CE2626-9E65-4531-A648-06089205A878}"/>
  </hyperlinks>
  <pageMargins left="0.7" right="0.7" top="0.75" bottom="0.75" header="0.3" footer="0.3"/>
  <pageSetup paperSize="9" orientation="portrait" r:id="rId4"/>
  <drawing r:id="rId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33666-1A29-46BA-8B3A-B35CEA49656C}">
  <dimension ref="A1:P285"/>
  <sheetViews>
    <sheetView workbookViewId="0">
      <selection activeCell="L13" sqref="L13"/>
    </sheetView>
  </sheetViews>
  <sheetFormatPr baseColWidth="10" defaultRowHeight="15.75"/>
  <cols>
    <col min="1" max="1" width="3.28515625" style="2697" customWidth="1"/>
    <col min="2" max="2" width="11.42578125" style="2697"/>
    <col min="3" max="3" width="11.7109375" style="2697" customWidth="1"/>
    <col min="4" max="13" width="11.42578125" style="2697"/>
    <col min="14" max="14" width="15" style="2697" customWidth="1"/>
    <col min="15" max="16384" width="11.42578125" style="2697"/>
  </cols>
  <sheetData>
    <row r="1" spans="1:16" ht="16.5" thickBot="1"/>
    <row r="2" spans="1:16" ht="15.75" customHeight="1">
      <c r="B2" s="10267" t="s">
        <v>6869</v>
      </c>
      <c r="C2" s="10268"/>
      <c r="D2" s="10268"/>
      <c r="E2" s="10268"/>
      <c r="F2" s="10268"/>
      <c r="G2" s="10268"/>
      <c r="H2" s="10268"/>
      <c r="I2" s="10268"/>
      <c r="J2" s="10268"/>
      <c r="K2" s="10268"/>
      <c r="L2" s="10268"/>
      <c r="M2" s="10268"/>
      <c r="N2" s="10268"/>
      <c r="O2" s="10268"/>
      <c r="P2" s="10269"/>
    </row>
    <row r="3" spans="1:16" ht="15.75" customHeight="1">
      <c r="B3" s="10270"/>
      <c r="C3" s="10271"/>
      <c r="D3" s="10271"/>
      <c r="E3" s="10271"/>
      <c r="F3" s="10271"/>
      <c r="G3" s="10271"/>
      <c r="H3" s="10271"/>
      <c r="I3" s="10271"/>
      <c r="J3" s="10271"/>
      <c r="K3" s="10271"/>
      <c r="L3" s="10271"/>
      <c r="M3" s="10271"/>
      <c r="N3" s="10271"/>
      <c r="O3" s="10271"/>
      <c r="P3" s="10272"/>
    </row>
    <row r="4" spans="1:16" ht="15.75" customHeight="1">
      <c r="B4" s="10270"/>
      <c r="C4" s="10271"/>
      <c r="D4" s="10271"/>
      <c r="E4" s="10271"/>
      <c r="F4" s="10271"/>
      <c r="G4" s="10271"/>
      <c r="H4" s="10271"/>
      <c r="I4" s="10271"/>
      <c r="J4" s="10271"/>
      <c r="K4" s="10271"/>
      <c r="L4" s="10271"/>
      <c r="M4" s="10271"/>
      <c r="N4" s="10271"/>
      <c r="O4" s="10271"/>
      <c r="P4" s="10272"/>
    </row>
    <row r="5" spans="1:16" ht="15.75" customHeight="1">
      <c r="B5" s="10273" t="s">
        <v>6870</v>
      </c>
      <c r="C5" s="10274"/>
      <c r="D5" s="10274"/>
      <c r="E5" s="10274"/>
      <c r="F5" s="10274"/>
      <c r="G5" s="10274"/>
      <c r="H5" s="10274"/>
      <c r="I5" s="10274"/>
      <c r="J5" s="10274"/>
      <c r="K5" s="10274"/>
      <c r="L5" s="10274"/>
      <c r="M5" s="10274"/>
      <c r="N5" s="10274"/>
      <c r="O5" s="10274"/>
      <c r="P5" s="10275"/>
    </row>
    <row r="6" spans="1:16" ht="15.75" customHeight="1">
      <c r="B6" s="10273"/>
      <c r="C6" s="10274"/>
      <c r="D6" s="10274"/>
      <c r="E6" s="10274"/>
      <c r="F6" s="10274"/>
      <c r="G6" s="10274"/>
      <c r="H6" s="10274"/>
      <c r="I6" s="10274"/>
      <c r="J6" s="10274"/>
      <c r="K6" s="10274"/>
      <c r="L6" s="10274"/>
      <c r="M6" s="10274"/>
      <c r="N6" s="10274"/>
      <c r="O6" s="10274"/>
      <c r="P6" s="10275"/>
    </row>
    <row r="7" spans="1:16" ht="15.75" customHeight="1" thickBot="1">
      <c r="B7" s="10276"/>
      <c r="C7" s="10277"/>
      <c r="D7" s="10277"/>
      <c r="E7" s="10277"/>
      <c r="F7" s="10277"/>
      <c r="G7" s="10277"/>
      <c r="H7" s="10277"/>
      <c r="I7" s="10277"/>
      <c r="J7" s="10277"/>
      <c r="K7" s="10277"/>
      <c r="L7" s="10277"/>
      <c r="M7" s="10277"/>
      <c r="N7" s="10277"/>
      <c r="O7" s="10277"/>
      <c r="P7" s="10278"/>
    </row>
    <row r="8" spans="1:16">
      <c r="B8" s="2693"/>
      <c r="C8" s="2693"/>
      <c r="D8" s="2693"/>
      <c r="E8" s="2693"/>
      <c r="F8" s="2693"/>
      <c r="G8" s="2693"/>
      <c r="H8" s="2693"/>
      <c r="I8" s="2693"/>
      <c r="J8" s="2693"/>
      <c r="K8" s="2693"/>
      <c r="L8" s="2693"/>
      <c r="M8" s="2693"/>
      <c r="N8" s="2693"/>
      <c r="O8" s="2700" t="str">
        <f ca="1">"Page "&amp;_xlfn.SHEET()&amp;" sur "&amp;_xlfn.SHEETS()</f>
        <v>Page 41 sur 41</v>
      </c>
    </row>
    <row r="9" spans="1:16" s="1545" customFormat="1" ht="21.75" customHeight="1">
      <c r="A9" s="2697"/>
      <c r="B9" s="2693"/>
      <c r="C9" s="2701" t="s">
        <v>2721</v>
      </c>
      <c r="D9" s="2044"/>
      <c r="E9" s="1544"/>
      <c r="F9" s="1544"/>
      <c r="G9" s="1544"/>
      <c r="H9" s="1544"/>
      <c r="I9" s="1544"/>
      <c r="J9" s="1544"/>
      <c r="K9" s="1544"/>
      <c r="L9" s="1544"/>
      <c r="M9" s="1544"/>
      <c r="N9" s="1544"/>
      <c r="O9" s="1544"/>
      <c r="P9" s="1544"/>
    </row>
    <row r="10" spans="1:16" ht="28.5">
      <c r="B10" s="2693"/>
      <c r="C10" s="2702" t="s">
        <v>6871</v>
      </c>
      <c r="D10" s="2693"/>
      <c r="E10" s="2693"/>
      <c r="F10" s="2693"/>
      <c r="G10" s="2693"/>
      <c r="H10" s="2693"/>
      <c r="I10" s="2693"/>
      <c r="J10" s="2693"/>
      <c r="K10" s="2693"/>
      <c r="L10" s="2693"/>
      <c r="M10" s="2693"/>
      <c r="N10" s="2693"/>
      <c r="O10" s="2693"/>
      <c r="P10" s="2693"/>
    </row>
    <row r="11" spans="1:16" ht="23.25">
      <c r="B11" s="2693"/>
      <c r="C11" s="2703" t="s">
        <v>5262</v>
      </c>
      <c r="D11" s="2693"/>
      <c r="E11" s="2693"/>
      <c r="F11" s="2693"/>
      <c r="G11" s="2693"/>
      <c r="H11" s="2693"/>
      <c r="I11" s="2693"/>
      <c r="J11" s="2693"/>
      <c r="K11" s="2693"/>
      <c r="L11" s="2693"/>
      <c r="M11" s="2693"/>
      <c r="N11" s="2693"/>
      <c r="O11" s="2693"/>
      <c r="P11" s="2693"/>
    </row>
    <row r="12" spans="1:16" ht="18.75">
      <c r="B12" s="2692" t="s">
        <v>6872</v>
      </c>
      <c r="C12" s="2693"/>
      <c r="D12" s="2693"/>
      <c r="E12" s="2693"/>
      <c r="F12" s="2693"/>
      <c r="G12" s="2693"/>
      <c r="H12" s="2693"/>
      <c r="I12" s="2693"/>
      <c r="J12" s="2693"/>
      <c r="K12" s="2693"/>
      <c r="L12" s="2693"/>
      <c r="M12" s="2693"/>
      <c r="N12" s="2693"/>
      <c r="O12" s="2693"/>
      <c r="P12" s="2693"/>
    </row>
    <row r="13" spans="1:16">
      <c r="B13" s="2704" t="s">
        <v>2686</v>
      </c>
      <c r="C13" s="2705" t="s">
        <v>6873</v>
      </c>
      <c r="D13" s="2693"/>
      <c r="E13" s="2693"/>
      <c r="F13" s="2693"/>
      <c r="G13" s="2693"/>
      <c r="H13" s="2693"/>
      <c r="I13" s="2693"/>
      <c r="J13" s="2693"/>
      <c r="K13" s="2693"/>
      <c r="L13" s="2693"/>
      <c r="M13" s="2693"/>
      <c r="N13" s="2693"/>
      <c r="O13" s="2693"/>
      <c r="P13" s="2693"/>
    </row>
    <row r="14" spans="1:16">
      <c r="B14" s="2693"/>
      <c r="C14" s="2693"/>
      <c r="D14" s="2693"/>
      <c r="E14" s="2693"/>
      <c r="F14" s="2693"/>
      <c r="G14" s="2693"/>
      <c r="H14" s="2693"/>
      <c r="I14" s="2693"/>
      <c r="J14" s="2693"/>
      <c r="K14" s="2693"/>
      <c r="L14" s="2693"/>
      <c r="M14" s="2693"/>
      <c r="N14" s="2693"/>
      <c r="O14" s="2693"/>
      <c r="P14" s="2693"/>
    </row>
    <row r="15" spans="1:16" ht="18.75">
      <c r="B15" s="2692" t="s">
        <v>6874</v>
      </c>
      <c r="C15" s="2693"/>
      <c r="D15" s="2693"/>
      <c r="E15" s="2693"/>
      <c r="F15" s="2693"/>
      <c r="G15" s="2693"/>
      <c r="H15" s="2693"/>
      <c r="I15" s="2693"/>
      <c r="J15" s="2693"/>
      <c r="K15" s="2693"/>
      <c r="L15" s="2693"/>
      <c r="M15" s="2693"/>
      <c r="N15" s="2693"/>
      <c r="O15" s="2693"/>
      <c r="P15" s="2693"/>
    </row>
    <row r="16" spans="1:16">
      <c r="B16" s="2704" t="s">
        <v>2686</v>
      </c>
      <c r="C16" s="2706" t="s">
        <v>6875</v>
      </c>
      <c r="D16" s="2693"/>
      <c r="E16" s="2693"/>
      <c r="F16" s="2693"/>
      <c r="G16" s="2693"/>
      <c r="H16" s="2693"/>
      <c r="I16" s="2693"/>
      <c r="J16" s="2693"/>
      <c r="K16" s="2693"/>
      <c r="L16" s="2693"/>
      <c r="M16" s="2693"/>
      <c r="N16" s="2693"/>
      <c r="O16" s="2693"/>
      <c r="P16" s="2693"/>
    </row>
    <row r="17" spans="2:16">
      <c r="B17" s="2693"/>
      <c r="C17" s="2693"/>
      <c r="D17" s="2693"/>
      <c r="E17" s="2693"/>
      <c r="F17" s="2693"/>
      <c r="G17" s="2693"/>
      <c r="H17" s="2693"/>
      <c r="I17" s="2693"/>
      <c r="J17" s="2693"/>
      <c r="K17" s="2693"/>
      <c r="L17" s="2693"/>
      <c r="M17" s="2693"/>
      <c r="N17" s="2693"/>
      <c r="O17" s="2693"/>
      <c r="P17" s="2693"/>
    </row>
    <row r="18" spans="2:16">
      <c r="B18" s="2704" t="s">
        <v>2686</v>
      </c>
      <c r="C18" s="2706" t="s">
        <v>6876</v>
      </c>
      <c r="D18" s="2693"/>
      <c r="E18" s="2693"/>
      <c r="F18" s="2693"/>
      <c r="G18" s="2693"/>
      <c r="H18" s="2693"/>
      <c r="I18" s="2693"/>
      <c r="J18" s="2693"/>
      <c r="K18" s="2693"/>
      <c r="L18" s="2693"/>
      <c r="M18" s="2693"/>
      <c r="N18" s="2693"/>
      <c r="O18" s="2693"/>
      <c r="P18" s="2693"/>
    </row>
    <row r="19" spans="2:16">
      <c r="B19" s="2693"/>
      <c r="C19" s="2693"/>
      <c r="D19" s="2693"/>
      <c r="E19" s="2693"/>
      <c r="F19" s="2693"/>
      <c r="G19" s="2693"/>
      <c r="H19" s="2693"/>
      <c r="I19" s="2693"/>
      <c r="J19" s="2693"/>
      <c r="K19" s="2693"/>
      <c r="L19" s="2693"/>
      <c r="M19" s="2693"/>
      <c r="N19" s="2693"/>
      <c r="O19" s="2693"/>
      <c r="P19" s="2693"/>
    </row>
    <row r="20" spans="2:16">
      <c r="B20" s="2693"/>
      <c r="C20" s="2707" t="s">
        <v>6877</v>
      </c>
      <c r="D20" s="2693"/>
      <c r="E20" s="2693"/>
      <c r="F20" s="2693"/>
      <c r="G20" s="2693"/>
      <c r="H20" s="2693"/>
      <c r="I20" s="2693"/>
      <c r="J20" s="2693"/>
      <c r="K20" s="2693"/>
      <c r="L20" s="2693"/>
      <c r="M20" s="2693"/>
      <c r="N20" s="2693"/>
      <c r="O20" s="2693"/>
      <c r="P20" s="2693"/>
    </row>
    <row r="21" spans="2:16">
      <c r="B21" s="2693"/>
      <c r="C21" s="2707" t="s">
        <v>6878</v>
      </c>
      <c r="D21" s="2693"/>
      <c r="E21" s="2693"/>
      <c r="F21" s="2693"/>
      <c r="G21" s="2693"/>
      <c r="H21" s="2693"/>
      <c r="I21" s="2693"/>
      <c r="J21" s="2693"/>
      <c r="K21" s="2693"/>
      <c r="L21" s="2693"/>
      <c r="M21" s="2693"/>
      <c r="N21" s="2693"/>
      <c r="O21" s="2693"/>
      <c r="P21" s="2693"/>
    </row>
    <row r="22" spans="2:16">
      <c r="B22" s="2693"/>
      <c r="C22" s="2707" t="s">
        <v>6879</v>
      </c>
      <c r="D22" s="2693"/>
      <c r="E22" s="2693"/>
      <c r="F22" s="2693"/>
      <c r="G22" s="2693"/>
      <c r="H22" s="2693"/>
      <c r="I22" s="2693"/>
      <c r="J22" s="2693"/>
      <c r="K22" s="2693"/>
      <c r="L22" s="2693"/>
      <c r="M22" s="2693"/>
      <c r="N22" s="2693"/>
      <c r="O22" s="2693"/>
      <c r="P22" s="2693"/>
    </row>
    <row r="23" spans="2:16">
      <c r="B23" s="2693"/>
      <c r="C23" s="2693"/>
      <c r="D23" s="2693"/>
      <c r="E23" s="2693"/>
      <c r="F23" s="2693"/>
      <c r="G23" s="2693"/>
      <c r="H23" s="2693"/>
      <c r="I23" s="2693"/>
      <c r="J23" s="2693"/>
      <c r="K23" s="2693"/>
      <c r="L23" s="2693"/>
      <c r="M23" s="2693"/>
      <c r="N23" s="2693"/>
      <c r="O23" s="2693"/>
      <c r="P23" s="2693"/>
    </row>
    <row r="24" spans="2:16">
      <c r="B24" s="2693"/>
      <c r="C24" s="2707" t="s">
        <v>6880</v>
      </c>
      <c r="D24" s="2693"/>
      <c r="E24" s="2693"/>
      <c r="F24" s="2693"/>
      <c r="G24" s="2693"/>
      <c r="H24" s="2693"/>
      <c r="I24" s="2693"/>
      <c r="J24" s="2693"/>
      <c r="K24" s="2693"/>
      <c r="L24" s="2693"/>
      <c r="M24" s="2693"/>
      <c r="N24" s="2693"/>
      <c r="O24" s="2693"/>
      <c r="P24" s="2693"/>
    </row>
    <row r="25" spans="2:16">
      <c r="B25" s="2693"/>
      <c r="C25" s="2707" t="s">
        <v>6881</v>
      </c>
      <c r="D25" s="2693"/>
      <c r="E25" s="2693"/>
      <c r="F25" s="2693"/>
      <c r="G25" s="2693"/>
      <c r="H25" s="2693"/>
      <c r="I25" s="2693"/>
      <c r="J25" s="2693"/>
      <c r="K25" s="2693"/>
      <c r="L25" s="2693"/>
      <c r="M25" s="2693"/>
      <c r="N25" s="2693"/>
      <c r="O25" s="2693"/>
      <c r="P25" s="2693"/>
    </row>
    <row r="26" spans="2:16">
      <c r="B26" s="2693"/>
      <c r="C26" s="2707" t="s">
        <v>6882</v>
      </c>
      <c r="D26" s="2693"/>
      <c r="E26" s="2693"/>
      <c r="F26" s="2693"/>
      <c r="G26" s="2693"/>
      <c r="H26" s="2693"/>
      <c r="I26" s="2693"/>
      <c r="J26" s="2693"/>
      <c r="K26" s="2693"/>
      <c r="L26" s="2693"/>
      <c r="M26" s="2693"/>
      <c r="N26" s="2693"/>
      <c r="O26" s="2693"/>
      <c r="P26" s="2693"/>
    </row>
    <row r="27" spans="2:16">
      <c r="B27" s="2693"/>
      <c r="C27" s="2707" t="s">
        <v>6883</v>
      </c>
      <c r="D27" s="2693"/>
      <c r="E27" s="2693"/>
      <c r="F27" s="2693"/>
      <c r="G27" s="2693"/>
      <c r="H27" s="2693"/>
      <c r="I27" s="2693"/>
      <c r="J27" s="2693"/>
      <c r="K27" s="2693"/>
      <c r="L27" s="2693"/>
      <c r="M27" s="2693"/>
      <c r="N27" s="2693"/>
      <c r="O27" s="2693"/>
      <c r="P27" s="2693"/>
    </row>
    <row r="28" spans="2:16">
      <c r="B28" s="2693"/>
      <c r="C28" s="2707" t="s">
        <v>6884</v>
      </c>
      <c r="D28" s="2693"/>
      <c r="E28" s="2693"/>
      <c r="F28" s="2693"/>
      <c r="G28" s="2693"/>
      <c r="H28" s="2693"/>
      <c r="I28" s="2693"/>
      <c r="J28" s="2693"/>
      <c r="K28" s="2693"/>
      <c r="L28" s="2693"/>
      <c r="M28" s="2693"/>
      <c r="N28" s="2693"/>
      <c r="O28" s="2693"/>
      <c r="P28" s="2693"/>
    </row>
    <row r="29" spans="2:16">
      <c r="B29" s="2693"/>
      <c r="C29" s="2707" t="s">
        <v>6885</v>
      </c>
      <c r="D29" s="2693"/>
      <c r="E29" s="2693"/>
      <c r="F29" s="2693"/>
      <c r="G29" s="2693"/>
      <c r="H29" s="2693"/>
      <c r="I29" s="2693"/>
      <c r="J29" s="2693"/>
      <c r="K29" s="2693"/>
      <c r="L29" s="2693"/>
      <c r="M29" s="2693"/>
      <c r="N29" s="2693"/>
      <c r="O29" s="2693"/>
      <c r="P29" s="2693"/>
    </row>
    <row r="30" spans="2:16">
      <c r="B30" s="2693"/>
      <c r="C30" s="2693"/>
      <c r="D30" s="2693"/>
      <c r="E30" s="2693"/>
      <c r="F30" s="2693"/>
      <c r="G30" s="2693"/>
      <c r="H30" s="2693"/>
      <c r="I30" s="2693"/>
      <c r="J30" s="2693"/>
      <c r="K30" s="2693"/>
      <c r="L30" s="2693"/>
      <c r="M30" s="2693"/>
      <c r="N30" s="2693"/>
      <c r="O30" s="2693"/>
      <c r="P30" s="2693"/>
    </row>
    <row r="31" spans="2:16">
      <c r="B31" s="2693"/>
      <c r="C31" s="2707" t="s">
        <v>6886</v>
      </c>
      <c r="D31" s="2693"/>
      <c r="E31" s="2693"/>
      <c r="F31" s="2693"/>
      <c r="G31" s="2693"/>
      <c r="H31" s="2693"/>
      <c r="I31" s="2693"/>
      <c r="J31" s="2693"/>
      <c r="K31" s="2693"/>
      <c r="L31" s="2693"/>
      <c r="M31" s="2693"/>
      <c r="N31" s="2693"/>
      <c r="O31" s="2693"/>
      <c r="P31" s="2693"/>
    </row>
    <row r="32" spans="2:16">
      <c r="B32" s="2693"/>
      <c r="C32" s="2707" t="s">
        <v>6887</v>
      </c>
      <c r="D32" s="2693"/>
      <c r="E32" s="2693"/>
      <c r="F32" s="2693"/>
      <c r="G32" s="2693"/>
      <c r="H32" s="2693"/>
      <c r="I32" s="2693"/>
      <c r="J32" s="2693"/>
      <c r="K32" s="2693"/>
      <c r="L32" s="2693"/>
      <c r="M32" s="2693"/>
      <c r="N32" s="2693"/>
      <c r="O32" s="2693"/>
      <c r="P32" s="2693"/>
    </row>
    <row r="33" spans="2:16">
      <c r="B33" s="2693"/>
      <c r="C33" s="2707" t="s">
        <v>6888</v>
      </c>
      <c r="D33" s="2693"/>
      <c r="E33" s="2693"/>
      <c r="F33" s="2693"/>
      <c r="G33" s="2693"/>
      <c r="H33" s="2693"/>
      <c r="I33" s="2693"/>
      <c r="J33" s="2693"/>
      <c r="K33" s="2693"/>
      <c r="L33" s="2693"/>
      <c r="M33" s="2693"/>
      <c r="N33" s="2693"/>
      <c r="O33" s="2693"/>
      <c r="P33" s="2693"/>
    </row>
    <row r="34" spans="2:16">
      <c r="B34" s="2693"/>
      <c r="C34" s="2693"/>
      <c r="D34" s="2693"/>
      <c r="E34" s="2693"/>
      <c r="F34" s="2693"/>
      <c r="G34" s="2693"/>
      <c r="H34" s="2693"/>
      <c r="I34" s="2693"/>
      <c r="J34" s="2693"/>
      <c r="K34" s="2693"/>
      <c r="L34" s="2693"/>
      <c r="M34" s="2693"/>
      <c r="N34" s="2693"/>
      <c r="O34" s="2693"/>
      <c r="P34" s="2693"/>
    </row>
    <row r="35" spans="2:16" ht="18.75">
      <c r="B35" s="2692" t="s">
        <v>6889</v>
      </c>
      <c r="C35" s="2693"/>
      <c r="D35" s="2693"/>
      <c r="E35" s="2693"/>
      <c r="F35" s="2693"/>
      <c r="G35" s="2693"/>
      <c r="H35" s="2693"/>
      <c r="I35" s="2693"/>
      <c r="J35" s="2693"/>
      <c r="K35" s="2693"/>
      <c r="L35" s="2693"/>
      <c r="M35" s="2693"/>
      <c r="N35" s="2693"/>
      <c r="O35" s="2693"/>
      <c r="P35" s="2693"/>
    </row>
    <row r="36" spans="2:16">
      <c r="B36" s="2704" t="s">
        <v>2686</v>
      </c>
      <c r="C36" s="2706" t="s">
        <v>6890</v>
      </c>
      <c r="D36" s="2693"/>
      <c r="E36" s="2693"/>
      <c r="F36" s="2693"/>
      <c r="G36" s="2693"/>
      <c r="H36" s="2693"/>
      <c r="I36" s="2693"/>
      <c r="J36" s="2693"/>
      <c r="K36" s="2693"/>
      <c r="L36" s="2693"/>
      <c r="M36" s="2693"/>
      <c r="N36" s="2693"/>
      <c r="O36" s="2693"/>
      <c r="P36" s="2693"/>
    </row>
    <row r="37" spans="2:16">
      <c r="B37" s="2693"/>
      <c r="C37" s="2693"/>
      <c r="D37" s="2693"/>
      <c r="E37" s="2693"/>
      <c r="F37" s="2693"/>
      <c r="G37" s="2693"/>
      <c r="H37" s="2693"/>
      <c r="I37" s="2693"/>
      <c r="J37" s="2693"/>
      <c r="K37" s="2693"/>
      <c r="L37" s="2693"/>
      <c r="M37" s="2693"/>
      <c r="N37" s="2693"/>
      <c r="O37" s="2693"/>
      <c r="P37" s="2693"/>
    </row>
    <row r="38" spans="2:16" ht="18.75">
      <c r="B38" s="2692" t="s">
        <v>6891</v>
      </c>
      <c r="C38" s="2693"/>
      <c r="D38" s="2693"/>
      <c r="E38" s="2693"/>
      <c r="F38" s="2693"/>
      <c r="G38" s="2693"/>
      <c r="H38" s="2693"/>
      <c r="I38" s="2693"/>
      <c r="J38" s="2693"/>
      <c r="K38" s="2693"/>
      <c r="L38" s="2693"/>
      <c r="M38" s="2693"/>
      <c r="N38" s="2693"/>
      <c r="O38" s="2693"/>
      <c r="P38" s="2693"/>
    </row>
    <row r="39" spans="2:16">
      <c r="B39" s="2704" t="s">
        <v>2686</v>
      </c>
      <c r="C39" s="2706" t="s">
        <v>6892</v>
      </c>
      <c r="D39" s="2693"/>
      <c r="E39" s="2693"/>
      <c r="F39" s="2693"/>
      <c r="G39" s="2693"/>
      <c r="H39" s="2693"/>
      <c r="I39" s="2693"/>
      <c r="J39" s="2693"/>
      <c r="K39" s="2693"/>
      <c r="L39" s="2693"/>
      <c r="M39" s="2693"/>
      <c r="N39" s="2693"/>
      <c r="O39" s="2693"/>
      <c r="P39" s="2693"/>
    </row>
    <row r="40" spans="2:16">
      <c r="B40" s="2706"/>
      <c r="C40" s="2706"/>
      <c r="D40" s="2693"/>
      <c r="E40" s="2693"/>
      <c r="F40" s="2693"/>
      <c r="G40" s="2693"/>
      <c r="H40" s="2693"/>
      <c r="I40" s="2693"/>
      <c r="J40" s="2693"/>
      <c r="K40" s="2693"/>
      <c r="L40" s="2693"/>
      <c r="M40" s="2693"/>
      <c r="N40" s="2693"/>
      <c r="O40" s="2693"/>
      <c r="P40" s="2693"/>
    </row>
    <row r="41" spans="2:16" ht="18.75">
      <c r="B41" s="2692" t="s">
        <v>6893</v>
      </c>
      <c r="C41" s="2693"/>
      <c r="D41" s="2693"/>
      <c r="E41" s="2693"/>
      <c r="F41" s="2693"/>
      <c r="G41" s="2693"/>
      <c r="H41" s="2693"/>
      <c r="I41" s="2693"/>
      <c r="J41" s="2693"/>
      <c r="K41" s="2693"/>
      <c r="L41" s="2693"/>
      <c r="M41" s="2693"/>
      <c r="N41" s="2693"/>
      <c r="O41" s="2693"/>
      <c r="P41" s="2693"/>
    </row>
    <row r="42" spans="2:16">
      <c r="B42" s="2704" t="s">
        <v>2686</v>
      </c>
      <c r="C42" s="2705" t="s">
        <v>6894</v>
      </c>
      <c r="D42" s="2693"/>
      <c r="E42" s="2693"/>
      <c r="F42" s="2693"/>
      <c r="G42" s="2693"/>
      <c r="H42" s="2693"/>
      <c r="I42" s="2693"/>
      <c r="J42" s="2693"/>
      <c r="K42" s="2693"/>
      <c r="L42" s="2693"/>
      <c r="M42" s="2693"/>
      <c r="N42" s="2693"/>
      <c r="O42" s="2693"/>
      <c r="P42" s="2693"/>
    </row>
    <row r="43" spans="2:16">
      <c r="B43" s="2693"/>
      <c r="C43" s="2693"/>
      <c r="D43" s="2693"/>
      <c r="E43" s="2693"/>
      <c r="F43" s="2693"/>
      <c r="G43" s="2693"/>
      <c r="H43" s="2693"/>
      <c r="I43" s="2693"/>
      <c r="J43" s="2693"/>
      <c r="K43" s="2693"/>
      <c r="L43" s="2693"/>
      <c r="M43" s="2693"/>
      <c r="N43" s="2693"/>
      <c r="O43" s="2693"/>
      <c r="P43" s="2693"/>
    </row>
    <row r="44" spans="2:16" ht="18.75">
      <c r="B44" s="2692" t="s">
        <v>6895</v>
      </c>
      <c r="C44" s="2693"/>
      <c r="D44" s="2693"/>
      <c r="E44" s="2693"/>
      <c r="F44" s="2693"/>
      <c r="G44" s="2693"/>
      <c r="H44" s="2693"/>
      <c r="I44" s="2693"/>
      <c r="J44" s="2693"/>
      <c r="K44" s="2693"/>
      <c r="L44" s="2693"/>
      <c r="M44" s="2693"/>
      <c r="N44" s="2693"/>
      <c r="O44" s="2693"/>
      <c r="P44" s="2693"/>
    </row>
    <row r="45" spans="2:16">
      <c r="B45" s="2704" t="s">
        <v>2686</v>
      </c>
      <c r="C45" s="2706" t="s">
        <v>6896</v>
      </c>
      <c r="D45" s="2693"/>
      <c r="E45" s="2693"/>
      <c r="F45" s="2693"/>
      <c r="G45" s="2693"/>
      <c r="H45" s="2693"/>
      <c r="I45" s="2693"/>
      <c r="J45" s="2693"/>
      <c r="K45" s="2693"/>
      <c r="L45" s="2693"/>
      <c r="M45" s="2693"/>
      <c r="N45" s="2693"/>
      <c r="O45" s="2693"/>
      <c r="P45" s="2693"/>
    </row>
    <row r="46" spans="2:16">
      <c r="B46" s="2693"/>
      <c r="C46" s="2693"/>
      <c r="D46" s="2693"/>
      <c r="E46" s="2693"/>
      <c r="F46" s="2693"/>
      <c r="G46" s="2693"/>
      <c r="H46" s="2693"/>
      <c r="I46" s="2693"/>
      <c r="J46" s="2693"/>
      <c r="K46" s="2693"/>
      <c r="L46" s="2693"/>
      <c r="M46" s="2693"/>
      <c r="N46" s="2693"/>
      <c r="O46" s="2693"/>
      <c r="P46" s="2693"/>
    </row>
    <row r="47" spans="2:16">
      <c r="B47" s="2693"/>
      <c r="C47" s="2693" t="s">
        <v>6897</v>
      </c>
      <c r="D47" s="2693"/>
      <c r="E47" s="2693"/>
      <c r="F47" s="2693"/>
      <c r="G47" s="2693"/>
      <c r="H47" s="2693"/>
      <c r="I47" s="2693"/>
      <c r="J47" s="2693"/>
      <c r="K47" s="2693"/>
      <c r="L47" s="2693"/>
      <c r="M47" s="2693"/>
      <c r="N47" s="2693"/>
      <c r="O47" s="2693"/>
      <c r="P47" s="2693"/>
    </row>
    <row r="48" spans="2:16">
      <c r="B48" s="2693"/>
      <c r="C48" s="2693" t="s">
        <v>6898</v>
      </c>
      <c r="D48" s="2693"/>
      <c r="E48" s="2693"/>
      <c r="F48" s="2693"/>
      <c r="G48" s="2693"/>
      <c r="H48" s="2693"/>
      <c r="I48" s="2693"/>
      <c r="J48" s="2693"/>
      <c r="K48" s="2693"/>
      <c r="L48" s="2693"/>
      <c r="M48" s="2693"/>
      <c r="N48" s="2693"/>
      <c r="O48" s="2693"/>
      <c r="P48" s="2693"/>
    </row>
    <row r="49" spans="1:16">
      <c r="B49" s="2693"/>
      <c r="C49" s="2693" t="s">
        <v>6899</v>
      </c>
      <c r="D49" s="2693"/>
      <c r="E49" s="2693"/>
      <c r="F49" s="2693"/>
      <c r="G49" s="2693"/>
      <c r="H49" s="2693"/>
      <c r="I49" s="2693"/>
      <c r="J49" s="2693"/>
      <c r="K49" s="2693"/>
      <c r="L49" s="2693"/>
      <c r="M49" s="2693"/>
      <c r="N49" s="2693"/>
      <c r="O49" s="2693"/>
      <c r="P49" s="2693"/>
    </row>
    <row r="50" spans="1:16">
      <c r="B50" s="2693"/>
      <c r="C50" s="2693"/>
      <c r="D50" s="2693"/>
      <c r="E50" s="2693"/>
      <c r="F50" s="2693"/>
      <c r="G50" s="2693"/>
      <c r="H50" s="2693"/>
      <c r="I50" s="2693"/>
      <c r="J50" s="2693"/>
      <c r="K50" s="2693"/>
      <c r="L50" s="2693"/>
      <c r="M50" s="2693"/>
      <c r="N50" s="2693"/>
      <c r="O50" s="2693"/>
      <c r="P50" s="2693"/>
    </row>
    <row r="51" spans="1:16">
      <c r="B51" s="2693"/>
      <c r="C51" s="2707" t="s">
        <v>6900</v>
      </c>
      <c r="D51" s="2693"/>
      <c r="E51" s="2693"/>
      <c r="F51" s="2693"/>
      <c r="G51" s="2693"/>
      <c r="H51" s="2693"/>
      <c r="I51" s="2693"/>
      <c r="J51" s="2693"/>
      <c r="K51" s="2693"/>
      <c r="L51" s="2693"/>
      <c r="M51" s="2693"/>
      <c r="N51" s="2693"/>
      <c r="O51" s="2693"/>
      <c r="P51" s="2693"/>
    </row>
    <row r="52" spans="1:16">
      <c r="B52" s="2693"/>
      <c r="C52" s="2707" t="s">
        <v>6901</v>
      </c>
      <c r="D52" s="2693"/>
      <c r="E52" s="2693"/>
      <c r="F52" s="2693"/>
      <c r="G52" s="2693"/>
      <c r="H52" s="2693"/>
      <c r="I52" s="2693"/>
      <c r="J52" s="2693"/>
      <c r="K52" s="2693"/>
      <c r="L52" s="2693"/>
      <c r="M52" s="2693"/>
      <c r="N52" s="2693"/>
      <c r="O52" s="2693"/>
      <c r="P52" s="2693"/>
    </row>
    <row r="53" spans="1:16">
      <c r="B53" s="2693"/>
      <c r="C53" s="2707" t="s">
        <v>6902</v>
      </c>
      <c r="D53" s="2693"/>
      <c r="E53" s="2693"/>
      <c r="F53" s="2693"/>
      <c r="G53" s="2693"/>
      <c r="H53" s="2693"/>
      <c r="I53" s="2693"/>
      <c r="J53" s="2693"/>
      <c r="K53" s="2693"/>
      <c r="L53" s="2693"/>
      <c r="M53" s="2693"/>
      <c r="N53" s="2693"/>
      <c r="O53" s="2693"/>
      <c r="P53" s="2693"/>
    </row>
    <row r="54" spans="1:16">
      <c r="B54" s="2693"/>
      <c r="C54" s="2707" t="s">
        <v>6903</v>
      </c>
      <c r="D54" s="2693"/>
      <c r="E54" s="2693"/>
      <c r="F54" s="2693"/>
      <c r="G54" s="2693"/>
      <c r="H54" s="2693"/>
      <c r="I54" s="2693"/>
      <c r="J54" s="2693"/>
      <c r="K54" s="2693"/>
      <c r="L54" s="2693"/>
      <c r="M54" s="2693"/>
      <c r="N54" s="2693"/>
      <c r="O54" s="2693"/>
      <c r="P54" s="2693"/>
    </row>
    <row r="55" spans="1:16">
      <c r="B55" s="2693"/>
      <c r="C55" s="2693"/>
      <c r="D55" s="2693"/>
      <c r="E55" s="2693"/>
      <c r="F55" s="2693"/>
      <c r="G55" s="2693"/>
      <c r="H55" s="2693"/>
      <c r="I55" s="2693"/>
      <c r="J55" s="2693"/>
      <c r="K55" s="2693"/>
      <c r="L55" s="2693"/>
      <c r="M55" s="2693"/>
      <c r="N55" s="2693"/>
      <c r="O55" s="2693"/>
      <c r="P55" s="2693"/>
    </row>
    <row r="56" spans="1:16">
      <c r="B56" s="2693"/>
      <c r="C56" s="2707" t="s">
        <v>6904</v>
      </c>
      <c r="D56" s="2693"/>
      <c r="E56" s="2693"/>
      <c r="F56" s="2693"/>
      <c r="G56" s="2693"/>
      <c r="H56" s="2693"/>
      <c r="I56" s="2693"/>
      <c r="J56" s="2693"/>
      <c r="K56" s="2693"/>
      <c r="L56" s="2693"/>
      <c r="M56" s="2693"/>
      <c r="N56" s="2693"/>
      <c r="O56" s="2693"/>
      <c r="P56" s="2693"/>
    </row>
    <row r="57" spans="1:16">
      <c r="B57" s="2693"/>
      <c r="C57" s="2707" t="s">
        <v>6905</v>
      </c>
      <c r="D57" s="2693"/>
      <c r="E57" s="2693"/>
      <c r="F57" s="2693"/>
      <c r="G57" s="2693"/>
      <c r="H57" s="2693"/>
      <c r="I57" s="2693"/>
      <c r="J57" s="2693"/>
      <c r="K57" s="2693"/>
      <c r="L57" s="2693"/>
      <c r="M57" s="2693"/>
      <c r="N57" s="2693"/>
      <c r="O57" s="2693"/>
      <c r="P57" s="2693"/>
    </row>
    <row r="58" spans="1:16">
      <c r="B58" s="2693"/>
      <c r="C58" s="2707" t="s">
        <v>6906</v>
      </c>
      <c r="D58" s="2693"/>
      <c r="E58" s="2693"/>
      <c r="F58" s="2693"/>
      <c r="G58" s="2693"/>
      <c r="H58" s="2693"/>
      <c r="I58" s="2693"/>
      <c r="J58" s="2693"/>
      <c r="K58" s="2693"/>
      <c r="L58" s="2693"/>
      <c r="M58" s="2693"/>
      <c r="N58" s="2693"/>
      <c r="O58" s="2693"/>
      <c r="P58" s="2693"/>
    </row>
    <row r="59" spans="1:16">
      <c r="B59" s="2693"/>
      <c r="C59" s="2693"/>
      <c r="D59" s="2693"/>
      <c r="E59" s="2693"/>
      <c r="F59" s="2693"/>
      <c r="G59" s="2693"/>
      <c r="H59" s="2693"/>
      <c r="I59" s="2693"/>
      <c r="J59" s="2693"/>
      <c r="K59" s="2693"/>
      <c r="L59" s="2693"/>
      <c r="M59" s="2693"/>
      <c r="N59" s="2693"/>
      <c r="O59" s="2693"/>
      <c r="P59" s="2693"/>
    </row>
    <row r="60" spans="1:16">
      <c r="A60" s="2708"/>
      <c r="B60" s="2708"/>
      <c r="C60" s="2708"/>
      <c r="D60" s="2708"/>
      <c r="E60" s="2708"/>
      <c r="F60" s="2708"/>
      <c r="G60" s="2708"/>
      <c r="H60" s="2708"/>
      <c r="I60" s="2708"/>
      <c r="J60" s="2708"/>
      <c r="K60" s="2708"/>
      <c r="L60" s="2708"/>
      <c r="M60" s="2708"/>
      <c r="N60" s="2708"/>
      <c r="O60" s="2708"/>
      <c r="P60" s="2708"/>
    </row>
    <row r="61" spans="1:16">
      <c r="B61" s="2693"/>
      <c r="C61" s="2693"/>
      <c r="D61" s="2693"/>
      <c r="E61" s="2693"/>
      <c r="F61" s="2693"/>
      <c r="G61" s="2693"/>
      <c r="H61" s="2693"/>
      <c r="I61" s="2693"/>
      <c r="J61" s="2693"/>
      <c r="K61" s="2693"/>
      <c r="L61" s="2693"/>
      <c r="M61" s="2693"/>
      <c r="N61" s="2693"/>
      <c r="O61" s="2693"/>
      <c r="P61" s="2693"/>
    </row>
    <row r="62" spans="1:16">
      <c r="B62" s="2704" t="s">
        <v>2686</v>
      </c>
      <c r="C62" s="2705" t="s">
        <v>6907</v>
      </c>
      <c r="D62" s="2693"/>
      <c r="E62" s="2693"/>
      <c r="F62" s="2693"/>
      <c r="G62" s="2693"/>
      <c r="H62" s="2693"/>
      <c r="I62" s="2693"/>
      <c r="J62" s="2693"/>
      <c r="K62" s="2693"/>
      <c r="L62" s="2693"/>
      <c r="M62" s="2693"/>
      <c r="N62" s="2693"/>
      <c r="O62" s="2693"/>
      <c r="P62" s="2693"/>
    </row>
    <row r="63" spans="1:16">
      <c r="B63" s="2693"/>
      <c r="C63" s="2693"/>
      <c r="D63" s="2693"/>
      <c r="E63" s="2693"/>
      <c r="F63" s="2693"/>
      <c r="G63" s="2693"/>
      <c r="H63" s="2693"/>
      <c r="I63" s="2693"/>
      <c r="J63" s="2693"/>
      <c r="K63" s="2693"/>
      <c r="L63" s="2693"/>
      <c r="M63" s="2693"/>
      <c r="N63" s="2693"/>
      <c r="O63" s="2693"/>
      <c r="P63" s="2693"/>
    </row>
    <row r="64" spans="1:16">
      <c r="B64" s="2693"/>
      <c r="C64" s="2693" t="s">
        <v>6908</v>
      </c>
      <c r="D64" s="2693"/>
      <c r="E64" s="2693"/>
      <c r="F64" s="2693"/>
      <c r="G64" s="2693"/>
      <c r="H64" s="2693"/>
      <c r="I64" s="2693"/>
      <c r="J64" s="2693"/>
      <c r="K64" s="2693"/>
      <c r="L64" s="2693"/>
      <c r="M64" s="2693"/>
      <c r="N64" s="2693"/>
      <c r="O64" s="2693"/>
      <c r="P64" s="2693"/>
    </row>
    <row r="65" spans="2:16">
      <c r="B65" s="2693"/>
      <c r="C65" s="2693" t="s">
        <v>6909</v>
      </c>
      <c r="D65" s="2693"/>
      <c r="E65" s="2693"/>
      <c r="F65" s="2693"/>
      <c r="G65" s="2693"/>
      <c r="H65" s="2693"/>
      <c r="I65" s="2693"/>
      <c r="J65" s="2693"/>
      <c r="K65" s="2693"/>
      <c r="L65" s="2693"/>
      <c r="M65" s="2693"/>
      <c r="N65" s="2693"/>
      <c r="O65" s="2693"/>
      <c r="P65" s="2693"/>
    </row>
    <row r="66" spans="2:16">
      <c r="B66" s="2693"/>
      <c r="C66" s="2693"/>
      <c r="D66" s="2693"/>
      <c r="E66" s="2693"/>
      <c r="F66" s="2693"/>
      <c r="G66" s="2693"/>
      <c r="H66" s="2693"/>
      <c r="I66" s="2693"/>
      <c r="J66" s="2693"/>
      <c r="K66" s="2693"/>
      <c r="L66" s="2693"/>
      <c r="M66" s="2693"/>
      <c r="N66" s="2693"/>
      <c r="O66" s="2693"/>
      <c r="P66" s="2693"/>
    </row>
    <row r="67" spans="2:16">
      <c r="B67" s="2693"/>
      <c r="C67" s="2693" t="s">
        <v>6910</v>
      </c>
      <c r="D67" s="2693"/>
      <c r="E67" s="2693"/>
      <c r="F67" s="2693"/>
      <c r="G67" s="2693"/>
      <c r="H67" s="2693"/>
      <c r="I67" s="2693"/>
      <c r="J67" s="2693"/>
      <c r="K67" s="2693"/>
      <c r="L67" s="2693"/>
      <c r="M67" s="2693"/>
      <c r="N67" s="2693"/>
      <c r="O67" s="2693"/>
      <c r="P67" s="2693"/>
    </row>
    <row r="68" spans="2:16">
      <c r="B68" s="2693"/>
      <c r="C68" s="2693" t="s">
        <v>6911</v>
      </c>
      <c r="D68" s="2693"/>
      <c r="E68" s="2693"/>
      <c r="F68" s="2693"/>
      <c r="G68" s="2693"/>
      <c r="H68" s="2693"/>
      <c r="I68" s="2693"/>
      <c r="J68" s="2693"/>
      <c r="K68" s="2693"/>
      <c r="L68" s="2693"/>
      <c r="M68" s="2693"/>
      <c r="N68" s="2693"/>
      <c r="O68" s="2693"/>
      <c r="P68" s="2693"/>
    </row>
    <row r="69" spans="2:16">
      <c r="B69" s="2693"/>
      <c r="C69" s="2693" t="s">
        <v>6912</v>
      </c>
      <c r="D69" s="2693"/>
      <c r="E69" s="2693"/>
      <c r="F69" s="2693"/>
      <c r="G69" s="2693"/>
      <c r="H69" s="2693"/>
      <c r="I69" s="2693"/>
      <c r="J69" s="2693"/>
      <c r="K69" s="2693"/>
      <c r="L69" s="2693"/>
      <c r="M69" s="2693"/>
      <c r="N69" s="2693"/>
      <c r="O69" s="2693"/>
      <c r="P69" s="2693"/>
    </row>
    <row r="70" spans="2:16">
      <c r="B70" s="2693"/>
      <c r="C70" s="2693" t="s">
        <v>6913</v>
      </c>
      <c r="D70" s="2693"/>
      <c r="E70" s="2693"/>
      <c r="F70" s="2693"/>
      <c r="G70" s="2693"/>
      <c r="H70" s="2693"/>
      <c r="I70" s="2693"/>
      <c r="J70" s="2693"/>
      <c r="K70" s="2693"/>
      <c r="L70" s="2693"/>
      <c r="M70" s="2693"/>
      <c r="N70" s="2693"/>
      <c r="O70" s="2693"/>
      <c r="P70" s="2693"/>
    </row>
    <row r="71" spans="2:16">
      <c r="B71" s="2693"/>
      <c r="C71" s="2693" t="s">
        <v>6914</v>
      </c>
      <c r="D71" s="2693"/>
      <c r="E71" s="2693"/>
      <c r="F71" s="2693"/>
      <c r="G71" s="2693"/>
      <c r="H71" s="2693"/>
      <c r="I71" s="2693"/>
      <c r="J71" s="2693"/>
      <c r="K71" s="2693"/>
      <c r="L71" s="2693"/>
      <c r="M71" s="2693"/>
      <c r="N71" s="2693"/>
      <c r="O71" s="2693"/>
      <c r="P71" s="2693"/>
    </row>
    <row r="72" spans="2:16">
      <c r="B72" s="2693"/>
      <c r="C72" s="2693" t="s">
        <v>6915</v>
      </c>
      <c r="D72" s="2693"/>
      <c r="E72" s="2693"/>
      <c r="F72" s="2693"/>
      <c r="G72" s="2693"/>
      <c r="H72" s="2693"/>
      <c r="I72" s="2693"/>
      <c r="J72" s="2693"/>
      <c r="K72" s="2693"/>
      <c r="L72" s="2693"/>
      <c r="M72" s="2693"/>
      <c r="N72" s="2693"/>
      <c r="O72" s="2693"/>
      <c r="P72" s="2693"/>
    </row>
    <row r="73" spans="2:16">
      <c r="B73" s="2693"/>
      <c r="C73" s="2693" t="s">
        <v>6916</v>
      </c>
      <c r="D73" s="2693"/>
      <c r="E73" s="2693"/>
      <c r="F73" s="2693"/>
      <c r="G73" s="2693"/>
      <c r="H73" s="2693"/>
      <c r="I73" s="2693"/>
      <c r="J73" s="2693"/>
      <c r="K73" s="2693"/>
      <c r="L73" s="2693"/>
      <c r="M73" s="2693"/>
      <c r="N73" s="2693"/>
      <c r="O73" s="2693"/>
      <c r="P73" s="2693"/>
    </row>
    <row r="74" spans="2:16">
      <c r="B74" s="2693"/>
      <c r="C74" s="2693" t="s">
        <v>6917</v>
      </c>
      <c r="D74" s="2693"/>
      <c r="E74" s="2693"/>
      <c r="F74" s="2693"/>
      <c r="G74" s="2693"/>
      <c r="H74" s="2693"/>
      <c r="I74" s="2693"/>
      <c r="J74" s="2693"/>
      <c r="K74" s="2693"/>
      <c r="L74" s="2693"/>
      <c r="M74" s="2693"/>
      <c r="N74" s="2693"/>
      <c r="O74" s="2693"/>
      <c r="P74" s="2693"/>
    </row>
    <row r="75" spans="2:16">
      <c r="B75" s="2693"/>
      <c r="C75" s="2693" t="s">
        <v>6918</v>
      </c>
      <c r="D75" s="2693"/>
      <c r="E75" s="2693"/>
      <c r="F75" s="2693"/>
      <c r="G75" s="2693"/>
      <c r="H75" s="2693"/>
      <c r="I75" s="2693"/>
      <c r="J75" s="2693"/>
      <c r="K75" s="2693"/>
      <c r="L75" s="2693"/>
      <c r="M75" s="2693"/>
      <c r="N75" s="2693"/>
      <c r="O75" s="2693"/>
      <c r="P75" s="2693"/>
    </row>
    <row r="76" spans="2:16">
      <c r="B76" s="2693"/>
      <c r="C76" s="2693" t="s">
        <v>6919</v>
      </c>
      <c r="D76" s="2693"/>
      <c r="E76" s="2693"/>
      <c r="F76" s="2693"/>
      <c r="G76" s="2693"/>
      <c r="H76" s="2693"/>
      <c r="I76" s="2693"/>
      <c r="J76" s="2693"/>
      <c r="K76" s="2693"/>
      <c r="L76" s="2693"/>
      <c r="M76" s="2693"/>
      <c r="N76" s="2693"/>
      <c r="O76" s="2693"/>
      <c r="P76" s="2693"/>
    </row>
    <row r="77" spans="2:16">
      <c r="B77" s="2693"/>
      <c r="C77" s="2693" t="s">
        <v>6920</v>
      </c>
      <c r="D77" s="2693"/>
      <c r="E77" s="2693"/>
      <c r="F77" s="2693"/>
      <c r="G77" s="2693"/>
      <c r="H77" s="2693"/>
      <c r="I77" s="2693"/>
      <c r="J77" s="2693"/>
      <c r="K77" s="2693"/>
      <c r="L77" s="2693"/>
      <c r="M77" s="2693"/>
      <c r="N77" s="2693"/>
      <c r="O77" s="2693"/>
      <c r="P77" s="2693"/>
    </row>
    <row r="78" spans="2:16">
      <c r="B78" s="2693"/>
      <c r="C78" s="2693" t="s">
        <v>6921</v>
      </c>
      <c r="D78" s="2693"/>
      <c r="E78" s="2693"/>
      <c r="F78" s="2693"/>
      <c r="G78" s="2693"/>
      <c r="H78" s="2693"/>
      <c r="I78" s="2693"/>
      <c r="J78" s="2693"/>
      <c r="K78" s="2693"/>
      <c r="L78" s="2693"/>
      <c r="M78" s="2693"/>
      <c r="N78" s="2693"/>
      <c r="O78" s="2693"/>
      <c r="P78" s="2693"/>
    </row>
    <row r="79" spans="2:16">
      <c r="B79" s="2693"/>
      <c r="C79" s="2693" t="s">
        <v>6922</v>
      </c>
      <c r="D79" s="2693"/>
      <c r="E79" s="2693"/>
      <c r="F79" s="2693"/>
      <c r="G79" s="2693"/>
      <c r="H79" s="2693"/>
      <c r="I79" s="2693"/>
      <c r="J79" s="2693"/>
      <c r="K79" s="2693"/>
      <c r="L79" s="2693"/>
      <c r="M79" s="2693"/>
      <c r="N79" s="2693"/>
      <c r="O79" s="2693"/>
      <c r="P79" s="2693"/>
    </row>
    <row r="80" spans="2:16">
      <c r="B80" s="2693"/>
      <c r="C80" s="2693" t="s">
        <v>6923</v>
      </c>
      <c r="D80" s="2693"/>
      <c r="E80" s="2693"/>
      <c r="F80" s="2693"/>
      <c r="G80" s="2693"/>
      <c r="H80" s="2693"/>
      <c r="I80" s="2693"/>
      <c r="J80" s="2693"/>
      <c r="K80" s="2693"/>
      <c r="L80" s="2693"/>
      <c r="M80" s="2693"/>
      <c r="N80" s="2693"/>
      <c r="O80" s="2693"/>
      <c r="P80" s="2693"/>
    </row>
    <row r="81" spans="2:16">
      <c r="B81" s="2693"/>
      <c r="C81" s="2693"/>
      <c r="D81" s="2693"/>
      <c r="E81" s="2693"/>
      <c r="F81" s="2693"/>
      <c r="G81" s="2693"/>
      <c r="H81" s="2693"/>
      <c r="I81" s="2693"/>
      <c r="J81" s="2693"/>
      <c r="K81" s="2693"/>
      <c r="L81" s="2693"/>
      <c r="M81" s="2693"/>
      <c r="N81" s="2693"/>
      <c r="O81" s="2693"/>
      <c r="P81" s="2693"/>
    </row>
    <row r="82" spans="2:16">
      <c r="B82" s="2693"/>
      <c r="C82" s="2693" t="s">
        <v>6924</v>
      </c>
      <c r="D82" s="2693"/>
      <c r="E82" s="2693"/>
      <c r="F82" s="2693"/>
      <c r="G82" s="2693"/>
      <c r="H82" s="2693"/>
      <c r="I82" s="2693"/>
      <c r="J82" s="2693"/>
      <c r="K82" s="2693"/>
      <c r="L82" s="2693"/>
      <c r="M82" s="2693"/>
      <c r="N82" s="2693"/>
      <c r="O82" s="2693"/>
      <c r="P82" s="2693"/>
    </row>
    <row r="83" spans="2:16">
      <c r="B83" s="2693"/>
      <c r="C83" s="2693" t="s">
        <v>6925</v>
      </c>
      <c r="D83" s="2693"/>
      <c r="E83" s="2693"/>
      <c r="F83" s="2693"/>
      <c r="G83" s="2693"/>
      <c r="H83" s="2693"/>
      <c r="I83" s="2693"/>
      <c r="J83" s="2693"/>
      <c r="K83" s="2693"/>
      <c r="L83" s="2693"/>
      <c r="M83" s="2693"/>
      <c r="N83" s="2693"/>
      <c r="O83" s="2693"/>
      <c r="P83" s="2693"/>
    </row>
    <row r="84" spans="2:16">
      <c r="B84" s="2693"/>
      <c r="C84" s="2693"/>
      <c r="D84" s="2693"/>
      <c r="E84" s="2693"/>
      <c r="F84" s="2693"/>
      <c r="G84" s="2693"/>
      <c r="H84" s="2693"/>
      <c r="I84" s="2693"/>
      <c r="J84" s="2693"/>
      <c r="K84" s="2693"/>
      <c r="L84" s="2693"/>
      <c r="M84" s="2693"/>
      <c r="N84" s="2693"/>
      <c r="O84" s="2693"/>
      <c r="P84" s="2693"/>
    </row>
    <row r="85" spans="2:16">
      <c r="B85" s="2693"/>
      <c r="C85" s="2693"/>
      <c r="D85" s="2693"/>
      <c r="E85" s="2693"/>
      <c r="F85" s="2693"/>
      <c r="G85" s="2693"/>
      <c r="H85" s="2693"/>
      <c r="I85" s="2693"/>
      <c r="J85" s="2693"/>
      <c r="K85" s="2693"/>
      <c r="L85" s="2693"/>
      <c r="M85" s="2693"/>
      <c r="N85" s="2693"/>
      <c r="O85" s="2693"/>
      <c r="P85" s="2693"/>
    </row>
    <row r="86" spans="2:16" ht="18.75">
      <c r="B86" s="2692" t="s">
        <v>6926</v>
      </c>
      <c r="C86" s="2693"/>
      <c r="D86" s="2693"/>
      <c r="E86" s="2693"/>
      <c r="F86" s="2693"/>
      <c r="G86" s="2693"/>
      <c r="H86" s="2693"/>
      <c r="I86" s="2693"/>
      <c r="J86" s="2693"/>
      <c r="K86" s="2693"/>
      <c r="L86" s="2693"/>
      <c r="M86" s="2693"/>
      <c r="N86" s="2693"/>
      <c r="O86" s="2693"/>
      <c r="P86" s="2693"/>
    </row>
    <row r="87" spans="2:16">
      <c r="B87" s="2704" t="s">
        <v>2686</v>
      </c>
      <c r="C87" s="2705" t="s">
        <v>6927</v>
      </c>
      <c r="D87" s="2693"/>
      <c r="E87" s="2693"/>
      <c r="F87" s="2693"/>
      <c r="G87" s="2693"/>
      <c r="H87" s="2693"/>
      <c r="I87" s="2693"/>
      <c r="J87" s="2693"/>
      <c r="K87" s="2693"/>
      <c r="L87" s="2693"/>
      <c r="M87" s="2693"/>
      <c r="N87" s="2693"/>
      <c r="O87" s="2693"/>
      <c r="P87" s="2693"/>
    </row>
    <row r="88" spans="2:16">
      <c r="B88" s="2693"/>
      <c r="C88" s="2693"/>
      <c r="D88" s="2693"/>
      <c r="E88" s="2693"/>
      <c r="F88" s="2693"/>
      <c r="G88" s="2693"/>
      <c r="H88" s="2693"/>
      <c r="I88" s="2693"/>
      <c r="J88" s="2693"/>
      <c r="K88" s="2693"/>
      <c r="L88" s="2693"/>
      <c r="M88" s="2693"/>
      <c r="N88" s="2693"/>
      <c r="O88" s="2693"/>
      <c r="P88" s="2693"/>
    </row>
    <row r="89" spans="2:16" ht="18.75">
      <c r="B89" s="2704" t="s">
        <v>2686</v>
      </c>
      <c r="C89" s="2709" t="s">
        <v>2468</v>
      </c>
      <c r="D89" s="2693"/>
      <c r="E89" s="2693"/>
      <c r="F89" s="2693"/>
      <c r="G89" s="2693"/>
      <c r="H89" s="2693"/>
      <c r="I89" s="2693"/>
      <c r="J89" s="2693"/>
      <c r="K89" s="2693"/>
      <c r="L89" s="2693"/>
      <c r="M89" s="2693"/>
      <c r="N89" s="2693"/>
      <c r="O89" s="2693"/>
      <c r="P89" s="2693"/>
    </row>
    <row r="90" spans="2:16">
      <c r="B90" s="2693"/>
      <c r="C90" s="2693"/>
      <c r="D90" s="2693"/>
      <c r="E90" s="2693"/>
      <c r="F90" s="2693"/>
      <c r="G90" s="2693"/>
      <c r="H90" s="2693"/>
      <c r="I90" s="2693"/>
      <c r="J90" s="2693"/>
      <c r="K90" s="2693"/>
      <c r="L90" s="2693"/>
      <c r="M90" s="2693"/>
      <c r="N90" s="2693"/>
      <c r="O90" s="2693"/>
      <c r="P90" s="2693"/>
    </row>
    <row r="91" spans="2:16" ht="18.75">
      <c r="B91" s="2692" t="s">
        <v>6928</v>
      </c>
      <c r="C91" s="2693"/>
      <c r="D91" s="2693"/>
      <c r="E91" s="2693"/>
      <c r="F91" s="2693"/>
      <c r="G91" s="2693"/>
      <c r="H91" s="2693"/>
      <c r="I91" s="2693"/>
      <c r="J91" s="2693"/>
      <c r="K91" s="2693"/>
      <c r="L91" s="2693"/>
      <c r="M91" s="2693"/>
      <c r="N91" s="2693"/>
      <c r="O91" s="2693"/>
      <c r="P91" s="2693"/>
    </row>
    <row r="92" spans="2:16">
      <c r="B92" s="2704" t="s">
        <v>2686</v>
      </c>
      <c r="C92" s="2705" t="s">
        <v>6929</v>
      </c>
      <c r="D92" s="2693"/>
      <c r="E92" s="2693"/>
      <c r="F92" s="2693"/>
      <c r="G92" s="2693"/>
      <c r="H92" s="2693"/>
      <c r="I92" s="2693"/>
      <c r="J92" s="2693"/>
      <c r="K92" s="2693"/>
      <c r="L92" s="2693"/>
      <c r="M92" s="2693"/>
      <c r="N92" s="2693"/>
      <c r="O92" s="2693"/>
      <c r="P92" s="2693"/>
    </row>
    <row r="93" spans="2:16">
      <c r="B93" s="2693"/>
      <c r="C93" s="2693"/>
      <c r="D93" s="2693"/>
      <c r="E93" s="2693"/>
      <c r="F93" s="2693"/>
      <c r="G93" s="2693"/>
      <c r="H93" s="2693"/>
      <c r="I93" s="2693"/>
      <c r="J93" s="2693"/>
      <c r="K93" s="2693"/>
      <c r="L93" s="2693"/>
      <c r="M93" s="2693"/>
      <c r="N93" s="2693"/>
      <c r="O93" s="2693"/>
      <c r="P93" s="2693"/>
    </row>
    <row r="94" spans="2:16" ht="18.75">
      <c r="B94" s="2692" t="s">
        <v>6930</v>
      </c>
      <c r="C94" s="2693"/>
      <c r="D94" s="2693"/>
      <c r="E94" s="2693"/>
      <c r="F94" s="2693"/>
      <c r="G94" s="2693"/>
      <c r="H94" s="2693"/>
      <c r="I94" s="2693"/>
      <c r="J94" s="2693"/>
      <c r="K94" s="2693"/>
      <c r="L94" s="2693"/>
      <c r="M94" s="2693"/>
      <c r="N94" s="2693"/>
      <c r="O94" s="2693"/>
      <c r="P94" s="2693"/>
    </row>
    <row r="95" spans="2:16">
      <c r="B95" s="2704" t="s">
        <v>2686</v>
      </c>
      <c r="C95" s="2705" t="s">
        <v>6931</v>
      </c>
      <c r="D95" s="2693"/>
      <c r="E95" s="2693"/>
      <c r="F95" s="2693"/>
      <c r="G95" s="2693"/>
      <c r="H95" s="2693"/>
      <c r="I95" s="2693"/>
      <c r="J95" s="2693"/>
      <c r="K95" s="2693"/>
      <c r="L95" s="2693"/>
      <c r="M95" s="2693"/>
      <c r="N95" s="2693"/>
      <c r="O95" s="2693"/>
      <c r="P95" s="2693"/>
    </row>
    <row r="96" spans="2:16">
      <c r="B96" s="2693"/>
      <c r="C96" s="2693"/>
      <c r="D96" s="2693"/>
      <c r="E96" s="2693"/>
      <c r="F96" s="2693"/>
      <c r="G96" s="2693"/>
      <c r="H96" s="2693"/>
      <c r="I96" s="2693"/>
      <c r="J96" s="2693"/>
      <c r="K96" s="2693"/>
      <c r="L96" s="2693"/>
      <c r="M96" s="2693"/>
      <c r="N96" s="2693"/>
      <c r="O96" s="2693"/>
      <c r="P96" s="2693"/>
    </row>
    <row r="97" spans="1:16" ht="18.75">
      <c r="B97" s="2692" t="s">
        <v>6932</v>
      </c>
      <c r="C97" s="2693"/>
      <c r="D97" s="2693"/>
      <c r="E97" s="2693"/>
      <c r="F97" s="2693"/>
      <c r="G97" s="2693"/>
      <c r="H97" s="2693"/>
      <c r="I97" s="2693"/>
      <c r="J97" s="2693"/>
      <c r="K97" s="2693"/>
      <c r="L97" s="2693"/>
      <c r="M97" s="2693"/>
      <c r="N97" s="2705"/>
      <c r="O97" s="2693"/>
      <c r="P97" s="2693"/>
    </row>
    <row r="98" spans="1:16">
      <c r="B98" s="2704" t="s">
        <v>2686</v>
      </c>
      <c r="C98" s="2705" t="s">
        <v>6933</v>
      </c>
      <c r="D98" s="2693"/>
      <c r="E98" s="2693"/>
      <c r="F98" s="2693"/>
      <c r="G98" s="2693"/>
      <c r="H98" s="2693"/>
      <c r="I98" s="2693"/>
      <c r="J98" s="2693"/>
      <c r="K98" s="2693"/>
      <c r="L98" s="2693"/>
      <c r="M98" s="2693"/>
      <c r="N98" s="2705"/>
      <c r="O98" s="2693"/>
      <c r="P98" s="2693"/>
    </row>
    <row r="99" spans="1:16">
      <c r="B99" s="2693"/>
      <c r="C99" s="2693"/>
      <c r="D99" s="2693"/>
      <c r="E99" s="2693"/>
      <c r="F99" s="2693"/>
      <c r="G99" s="2693"/>
      <c r="H99" s="2693"/>
      <c r="I99" s="2693"/>
      <c r="J99" s="2693"/>
      <c r="K99" s="2693"/>
      <c r="L99" s="2693"/>
      <c r="M99" s="2693"/>
      <c r="N99" s="2705"/>
      <c r="O99" s="2693"/>
      <c r="P99" s="2693"/>
    </row>
    <row r="100" spans="1:16" ht="18.75">
      <c r="B100" s="2692" t="s">
        <v>6928</v>
      </c>
      <c r="C100" s="2705"/>
      <c r="D100" s="2693"/>
      <c r="E100" s="2693"/>
      <c r="F100" s="2693"/>
      <c r="G100" s="2693"/>
      <c r="H100" s="2693"/>
      <c r="I100" s="2693"/>
      <c r="J100" s="2693"/>
      <c r="K100" s="2693"/>
      <c r="L100" s="2693"/>
      <c r="M100" s="2710"/>
      <c r="N100" s="2711"/>
      <c r="O100" s="2693"/>
      <c r="P100" s="2693"/>
    </row>
    <row r="101" spans="1:16">
      <c r="B101" s="2704" t="s">
        <v>2686</v>
      </c>
      <c r="C101" s="2705" t="s">
        <v>6929</v>
      </c>
      <c r="D101" s="2693"/>
      <c r="E101" s="2693"/>
      <c r="F101" s="2693"/>
      <c r="G101" s="2693"/>
      <c r="H101" s="2693"/>
      <c r="I101" s="2693"/>
      <c r="J101" s="2693"/>
      <c r="K101" s="2693"/>
      <c r="L101" s="2693"/>
      <c r="M101" s="2710"/>
      <c r="N101" s="2710"/>
      <c r="O101" s="2710"/>
      <c r="P101" s="2710"/>
    </row>
    <row r="102" spans="1:16">
      <c r="B102" s="2693"/>
      <c r="C102" s="2693"/>
      <c r="D102" s="2693"/>
      <c r="E102" s="2693"/>
      <c r="F102" s="2693"/>
      <c r="G102" s="2693"/>
      <c r="H102" s="2693"/>
      <c r="I102" s="2693"/>
      <c r="J102" s="2693"/>
      <c r="K102" s="2693"/>
      <c r="L102" s="2693"/>
      <c r="M102" s="2693"/>
      <c r="N102" s="2705"/>
      <c r="O102" s="2693"/>
      <c r="P102" s="2693"/>
    </row>
    <row r="103" spans="1:16" ht="18.75">
      <c r="B103" s="2704" t="s">
        <v>2686</v>
      </c>
      <c r="C103" s="2709" t="s">
        <v>2709</v>
      </c>
      <c r="D103" s="2693"/>
      <c r="E103" s="2693"/>
      <c r="F103" s="2693"/>
      <c r="G103" s="2693"/>
      <c r="H103" s="2693"/>
      <c r="I103" s="2693"/>
      <c r="J103" s="2693"/>
      <c r="K103" s="2693"/>
      <c r="L103" s="2693"/>
      <c r="M103" s="2693"/>
      <c r="N103" s="2693"/>
      <c r="O103" s="2693"/>
      <c r="P103" s="2693"/>
    </row>
    <row r="104" spans="1:16">
      <c r="B104" s="2693"/>
      <c r="C104" s="2693"/>
      <c r="D104" s="2693"/>
      <c r="E104" s="2693"/>
      <c r="F104" s="2693"/>
      <c r="G104" s="2693"/>
      <c r="H104" s="2693"/>
      <c r="I104" s="2693"/>
      <c r="J104" s="2693"/>
      <c r="K104" s="2693"/>
      <c r="L104" s="2693"/>
      <c r="M104" s="2693"/>
      <c r="N104" s="2705"/>
      <c r="O104" s="2693"/>
      <c r="P104" s="2693"/>
    </row>
    <row r="105" spans="1:16" ht="18.75">
      <c r="B105" s="2704" t="s">
        <v>2686</v>
      </c>
      <c r="C105" s="2709" t="s">
        <v>6934</v>
      </c>
      <c r="D105" s="2693"/>
      <c r="E105" s="2693"/>
      <c r="F105" s="2693"/>
      <c r="G105" s="2693"/>
      <c r="H105" s="2693"/>
      <c r="I105" s="2693"/>
      <c r="J105" s="2693"/>
      <c r="K105" s="2693"/>
      <c r="L105" s="2693"/>
      <c r="M105" s="2693"/>
      <c r="N105" s="2693"/>
      <c r="O105" s="2693"/>
      <c r="P105" s="2693"/>
    </row>
    <row r="106" spans="1:16">
      <c r="B106" s="2693"/>
      <c r="C106" s="2693"/>
      <c r="D106" s="2693"/>
      <c r="E106" s="2693"/>
      <c r="F106" s="2693"/>
      <c r="G106" s="2693"/>
      <c r="H106" s="2693"/>
      <c r="I106" s="2693"/>
      <c r="J106" s="2693"/>
      <c r="K106" s="2693"/>
      <c r="L106" s="2693"/>
      <c r="M106" s="2693"/>
      <c r="N106" s="2693"/>
      <c r="O106" s="2693"/>
      <c r="P106" s="2693"/>
    </row>
    <row r="107" spans="1:16" s="1545" customFormat="1" ht="21.75" customHeight="1">
      <c r="A107" s="2697"/>
      <c r="B107" s="2704" t="s">
        <v>2686</v>
      </c>
      <c r="C107" s="2709" t="s">
        <v>2699</v>
      </c>
      <c r="E107" s="1943"/>
      <c r="F107" s="1943"/>
      <c r="G107" s="1943"/>
      <c r="H107" s="1943"/>
      <c r="I107" s="1943"/>
      <c r="J107" s="1954"/>
      <c r="K107" s="2027"/>
      <c r="L107" s="2027"/>
      <c r="M107" s="2027"/>
      <c r="N107" s="2710"/>
      <c r="O107" s="2710"/>
      <c r="P107" s="2710"/>
    </row>
    <row r="108" spans="1:16">
      <c r="B108" s="2693"/>
      <c r="C108" s="2693"/>
      <c r="D108" s="2693"/>
      <c r="E108" s="2693"/>
      <c r="F108" s="2693"/>
      <c r="G108" s="2693"/>
      <c r="H108" s="2693"/>
      <c r="I108" s="2693"/>
      <c r="J108" s="2693"/>
      <c r="K108" s="2693"/>
      <c r="L108" s="2693"/>
      <c r="M108" s="2710"/>
      <c r="N108" s="2711"/>
      <c r="O108" s="2693"/>
      <c r="P108" s="2693"/>
    </row>
    <row r="109" spans="1:16" ht="18.75">
      <c r="B109" s="2692" t="s">
        <v>6935</v>
      </c>
      <c r="C109" s="2693"/>
      <c r="D109" s="2693"/>
      <c r="E109" s="2693"/>
      <c r="F109" s="2693"/>
      <c r="G109" s="2693"/>
      <c r="H109" s="2693"/>
      <c r="I109" s="2693"/>
      <c r="J109" s="2693"/>
      <c r="K109" s="2693"/>
      <c r="L109" s="2693"/>
      <c r="M109" s="2710"/>
      <c r="N109" s="2710"/>
      <c r="O109" s="2710"/>
      <c r="P109" s="2710"/>
    </row>
    <row r="110" spans="1:16">
      <c r="B110" s="2704" t="s">
        <v>2686</v>
      </c>
      <c r="C110" s="2705" t="s">
        <v>6936</v>
      </c>
      <c r="D110" s="2693"/>
      <c r="E110" s="2693"/>
      <c r="F110" s="2693"/>
      <c r="G110" s="2693"/>
      <c r="H110" s="2693"/>
      <c r="I110" s="2693"/>
      <c r="J110" s="2693"/>
      <c r="K110" s="2693"/>
      <c r="L110" s="2693"/>
      <c r="M110" s="2710"/>
      <c r="N110" s="2710"/>
      <c r="O110" s="2710"/>
      <c r="P110" s="2710"/>
    </row>
    <row r="111" spans="1:16">
      <c r="B111" s="2693"/>
      <c r="C111" s="2693"/>
      <c r="D111" s="2693"/>
      <c r="E111" s="2693"/>
      <c r="F111" s="2693"/>
      <c r="G111" s="2693"/>
      <c r="H111" s="2693"/>
      <c r="I111" s="2693"/>
      <c r="J111" s="2693"/>
      <c r="K111" s="2693"/>
      <c r="L111" s="2693"/>
      <c r="M111" s="2710"/>
      <c r="N111" s="2710"/>
      <c r="O111" s="2710"/>
      <c r="P111" s="2710"/>
    </row>
    <row r="112" spans="1:16">
      <c r="A112" s="2708"/>
      <c r="B112" s="2708"/>
      <c r="C112" s="2708"/>
      <c r="D112" s="2708"/>
      <c r="E112" s="2708"/>
      <c r="F112" s="2708"/>
      <c r="G112" s="2708"/>
      <c r="H112" s="2708"/>
      <c r="I112" s="2708"/>
      <c r="J112" s="2708"/>
      <c r="K112" s="2708"/>
      <c r="L112" s="2708"/>
      <c r="M112" s="2712"/>
      <c r="N112" s="2712"/>
      <c r="O112" s="2712"/>
      <c r="P112" s="2712"/>
    </row>
    <row r="113" spans="1:16">
      <c r="B113" s="2693"/>
      <c r="C113" s="2693"/>
      <c r="D113" s="2693"/>
      <c r="E113" s="2693"/>
      <c r="F113" s="2693"/>
      <c r="G113" s="2693"/>
      <c r="H113" s="2693"/>
      <c r="I113" s="2693"/>
      <c r="J113" s="2693"/>
      <c r="K113" s="2693"/>
      <c r="L113" s="2693"/>
      <c r="M113" s="2710"/>
      <c r="N113" s="2710"/>
      <c r="O113" s="2710"/>
      <c r="P113" s="2710"/>
    </row>
    <row r="114" spans="1:16" ht="18.75">
      <c r="B114" s="2692" t="s">
        <v>6937</v>
      </c>
      <c r="C114" s="2693"/>
      <c r="D114" s="2693"/>
      <c r="E114" s="2693"/>
      <c r="F114" s="2693"/>
      <c r="G114" s="2693"/>
      <c r="H114" s="2693"/>
      <c r="I114" s="2693"/>
      <c r="J114" s="2693"/>
      <c r="K114" s="2693"/>
      <c r="L114" s="2693"/>
      <c r="M114" s="2693"/>
      <c r="N114" s="2693"/>
      <c r="O114" s="2693"/>
      <c r="P114" s="2693"/>
    </row>
    <row r="115" spans="1:16">
      <c r="B115" s="2704" t="s">
        <v>2686</v>
      </c>
      <c r="C115" s="2705" t="s">
        <v>6938</v>
      </c>
      <c r="D115" s="2693"/>
      <c r="E115" s="2693"/>
      <c r="F115" s="2693"/>
      <c r="G115" s="2693"/>
      <c r="H115" s="2693"/>
      <c r="I115" s="2693"/>
      <c r="J115" s="2693"/>
      <c r="K115" s="2693"/>
      <c r="L115" s="2693"/>
      <c r="M115" s="2693"/>
      <c r="N115" s="2693"/>
      <c r="O115" s="2693"/>
      <c r="P115" s="2693"/>
    </row>
    <row r="116" spans="1:16">
      <c r="B116" s="2693"/>
      <c r="C116" s="2693"/>
      <c r="D116" s="2693"/>
      <c r="E116" s="2693"/>
      <c r="F116" s="2693"/>
      <c r="G116" s="2693"/>
      <c r="H116" s="2693"/>
      <c r="I116" s="2693"/>
      <c r="J116" s="2693"/>
      <c r="K116" s="2693"/>
      <c r="L116" s="2693"/>
      <c r="M116" s="2710"/>
      <c r="N116" s="2710"/>
      <c r="O116" s="2710"/>
      <c r="P116" s="2710"/>
    </row>
    <row r="117" spans="1:16" ht="18.75">
      <c r="B117" s="2692" t="s">
        <v>6939</v>
      </c>
      <c r="C117" s="2693"/>
      <c r="D117" s="2693"/>
      <c r="E117" s="2693"/>
      <c r="F117" s="2693"/>
      <c r="G117" s="2693"/>
      <c r="H117" s="2693"/>
      <c r="I117" s="2693"/>
      <c r="J117" s="2693"/>
      <c r="K117" s="2693"/>
      <c r="L117" s="2693"/>
      <c r="M117" s="2710"/>
      <c r="N117" s="2710"/>
      <c r="O117" s="2710"/>
      <c r="P117" s="2710"/>
    </row>
    <row r="118" spans="1:16">
      <c r="B118" s="2704" t="s">
        <v>2686</v>
      </c>
      <c r="C118" s="2705" t="s">
        <v>6940</v>
      </c>
      <c r="D118" s="2693"/>
      <c r="E118" s="2693"/>
      <c r="F118" s="2693"/>
      <c r="G118" s="2693"/>
      <c r="H118" s="2693"/>
      <c r="I118" s="2693"/>
      <c r="J118" s="2693"/>
      <c r="K118" s="2693"/>
      <c r="L118" s="2693"/>
      <c r="M118" s="2710"/>
      <c r="N118" s="2710"/>
      <c r="O118" s="2710"/>
      <c r="P118" s="2710"/>
    </row>
    <row r="119" spans="1:16">
      <c r="A119" s="2705"/>
      <c r="B119" s="2705"/>
      <c r="C119" s="2705"/>
      <c r="D119" s="2693"/>
      <c r="E119" s="2693"/>
      <c r="F119" s="2693"/>
      <c r="G119" s="2693"/>
      <c r="H119" s="2693"/>
      <c r="I119" s="2693"/>
      <c r="J119" s="2693"/>
      <c r="K119" s="2693"/>
      <c r="L119" s="2693"/>
      <c r="M119" s="2710"/>
      <c r="N119" s="2710"/>
      <c r="O119" s="2710"/>
      <c r="P119" s="2710"/>
    </row>
    <row r="120" spans="1:16" ht="18.75">
      <c r="B120" s="2692" t="s">
        <v>2697</v>
      </c>
      <c r="C120" s="2705"/>
      <c r="D120" s="2693"/>
      <c r="E120" s="2693"/>
      <c r="F120" s="2693"/>
      <c r="G120" s="2693"/>
      <c r="H120" s="2693"/>
      <c r="I120" s="2693"/>
      <c r="J120" s="2693"/>
      <c r="K120" s="2693"/>
      <c r="L120" s="2693"/>
      <c r="M120" s="2710"/>
      <c r="N120" s="2710"/>
      <c r="O120" s="2710"/>
      <c r="P120" s="2710"/>
    </row>
    <row r="121" spans="1:16">
      <c r="B121" s="2704" t="s">
        <v>2686</v>
      </c>
      <c r="C121" s="2705" t="s">
        <v>2696</v>
      </c>
      <c r="D121" s="2693"/>
      <c r="E121" s="2693"/>
      <c r="F121" s="2693"/>
      <c r="G121" s="2693"/>
      <c r="H121" s="2693"/>
      <c r="I121" s="2693"/>
      <c r="J121" s="2693"/>
      <c r="K121" s="2693"/>
      <c r="L121" s="2693"/>
      <c r="M121" s="2710"/>
      <c r="N121" s="2710"/>
      <c r="O121" s="2710"/>
      <c r="P121" s="2710"/>
    </row>
    <row r="122" spans="1:16" ht="18">
      <c r="A122" s="2705"/>
      <c r="B122" s="2705"/>
      <c r="C122" s="2713"/>
      <c r="D122" s="2693"/>
      <c r="E122" s="2693"/>
      <c r="F122" s="2693"/>
      <c r="G122" s="2693"/>
      <c r="H122" s="2693"/>
      <c r="I122" s="2693"/>
      <c r="J122" s="2693"/>
      <c r="K122" s="2693"/>
      <c r="L122" s="2693"/>
      <c r="M122" s="2710"/>
      <c r="N122" s="2710"/>
      <c r="O122" s="2710"/>
      <c r="P122" s="2710"/>
    </row>
    <row r="123" spans="1:16" ht="23.25">
      <c r="B123" s="2704" t="s">
        <v>2686</v>
      </c>
      <c r="C123" s="2709" t="s">
        <v>6941</v>
      </c>
      <c r="D123" s="2693"/>
      <c r="E123" s="2693"/>
      <c r="F123" s="1943"/>
      <c r="G123" s="2693"/>
      <c r="H123" s="2693"/>
      <c r="I123" s="2693"/>
      <c r="J123" s="2693"/>
      <c r="K123" s="2693"/>
      <c r="L123" s="2693"/>
      <c r="M123" s="2710"/>
      <c r="N123" s="2710"/>
      <c r="O123" s="2710"/>
      <c r="P123" s="2710"/>
    </row>
    <row r="124" spans="1:16" ht="18">
      <c r="B124" s="2693"/>
      <c r="C124" s="2713"/>
      <c r="D124" s="2693"/>
      <c r="E124" s="2693"/>
      <c r="F124" s="2693"/>
      <c r="G124" s="2693"/>
      <c r="H124" s="2693"/>
      <c r="I124" s="2693"/>
      <c r="J124" s="2693"/>
      <c r="K124" s="2693"/>
      <c r="L124" s="2693"/>
      <c r="M124" s="2710"/>
      <c r="N124" s="2710"/>
      <c r="O124" s="2710"/>
      <c r="P124" s="2710"/>
    </row>
    <row r="125" spans="1:16" ht="23.25">
      <c r="B125" s="2704" t="s">
        <v>2686</v>
      </c>
      <c r="C125" s="2709" t="s">
        <v>6942</v>
      </c>
      <c r="F125" s="1943"/>
      <c r="G125" s="2693"/>
      <c r="H125" s="2693"/>
      <c r="I125" s="2693"/>
      <c r="J125" s="2693"/>
      <c r="K125" s="2693"/>
      <c r="L125" s="2693"/>
      <c r="M125" s="2710"/>
      <c r="N125" s="2710"/>
      <c r="O125" s="2710"/>
      <c r="P125" s="2710"/>
    </row>
    <row r="126" spans="1:16">
      <c r="B126" s="2693"/>
      <c r="C126" s="2705"/>
      <c r="D126" s="2693"/>
      <c r="E126" s="2693"/>
      <c r="F126" s="2693"/>
      <c r="G126" s="2693"/>
      <c r="H126" s="2693"/>
      <c r="I126" s="2693"/>
      <c r="J126" s="2693"/>
      <c r="K126" s="2693"/>
      <c r="L126" s="2693"/>
      <c r="M126" s="2710"/>
      <c r="N126" s="2710"/>
      <c r="O126" s="2710"/>
      <c r="P126" s="2710"/>
    </row>
    <row r="127" spans="1:16" ht="18.75">
      <c r="B127" s="2692" t="s">
        <v>6943</v>
      </c>
      <c r="C127" s="2705"/>
      <c r="D127" s="2693"/>
      <c r="E127" s="2693"/>
      <c r="F127" s="2693"/>
      <c r="G127" s="2693"/>
      <c r="H127" s="2693"/>
      <c r="I127" s="2693"/>
      <c r="J127" s="2693"/>
      <c r="K127" s="2693"/>
      <c r="L127" s="2693"/>
      <c r="M127" s="2693"/>
      <c r="N127" s="2693"/>
      <c r="O127" s="2693"/>
      <c r="P127" s="2693"/>
    </row>
    <row r="128" spans="1:16">
      <c r="B128" s="2704" t="s">
        <v>2686</v>
      </c>
      <c r="C128" s="2705" t="s">
        <v>6944</v>
      </c>
      <c r="D128" s="2693"/>
      <c r="E128" s="2693"/>
      <c r="F128" s="2693"/>
      <c r="G128" s="2693"/>
      <c r="H128" s="2693"/>
      <c r="I128" s="2693"/>
      <c r="J128" s="2693"/>
      <c r="K128" s="2693"/>
      <c r="L128" s="2693"/>
      <c r="M128" s="2693"/>
      <c r="N128" s="2693"/>
      <c r="O128" s="2693"/>
      <c r="P128" s="2693"/>
    </row>
    <row r="129" spans="2:16">
      <c r="B129" s="2693"/>
      <c r="C129" s="2705"/>
      <c r="D129" s="2693"/>
      <c r="E129" s="2693"/>
      <c r="F129" s="2693"/>
      <c r="G129" s="2693"/>
      <c r="H129" s="2693"/>
      <c r="I129" s="2693"/>
      <c r="J129" s="2693"/>
      <c r="K129" s="2693"/>
      <c r="L129" s="2693"/>
      <c r="M129" s="2693"/>
      <c r="N129" s="2693"/>
      <c r="O129" s="2693"/>
      <c r="P129" s="2693"/>
    </row>
    <row r="130" spans="2:16" ht="18.75">
      <c r="B130" s="2692" t="s">
        <v>6945</v>
      </c>
      <c r="C130" s="2693"/>
      <c r="D130" s="2693"/>
      <c r="E130" s="2693"/>
      <c r="F130" s="2693"/>
      <c r="G130" s="2693"/>
      <c r="H130" s="2693"/>
      <c r="I130" s="2693"/>
      <c r="J130" s="2693"/>
      <c r="K130" s="2693"/>
      <c r="L130" s="2693"/>
      <c r="M130" s="2693"/>
      <c r="N130" s="2693"/>
      <c r="O130" s="2693"/>
      <c r="P130" s="2693"/>
    </row>
    <row r="131" spans="2:16">
      <c r="B131" s="2704" t="s">
        <v>2686</v>
      </c>
      <c r="C131" s="2705" t="s">
        <v>6946</v>
      </c>
      <c r="D131" s="2693"/>
      <c r="E131" s="2693"/>
      <c r="F131" s="2693"/>
      <c r="G131" s="2693"/>
      <c r="H131" s="2693"/>
      <c r="I131" s="2693"/>
      <c r="J131" s="2693"/>
      <c r="K131" s="2693"/>
      <c r="L131" s="2693"/>
      <c r="M131" s="2693"/>
      <c r="N131" s="2693"/>
      <c r="O131" s="2693"/>
      <c r="P131" s="2693"/>
    </row>
    <row r="132" spans="2:16">
      <c r="B132" s="2693"/>
      <c r="C132" s="2705"/>
      <c r="D132" s="2693"/>
      <c r="E132" s="2693"/>
      <c r="F132" s="2693"/>
      <c r="G132" s="2693"/>
      <c r="H132" s="2693"/>
      <c r="I132" s="2693"/>
      <c r="J132" s="2693"/>
      <c r="K132" s="2693"/>
      <c r="L132" s="2693"/>
      <c r="M132" s="2693"/>
      <c r="N132" s="2693"/>
      <c r="O132" s="2693"/>
      <c r="P132" s="2693"/>
    </row>
    <row r="133" spans="2:16" ht="18.75">
      <c r="B133" s="2692" t="s">
        <v>6947</v>
      </c>
      <c r="C133" s="2693"/>
      <c r="D133" s="2693"/>
      <c r="E133" s="2693"/>
      <c r="F133" s="2693"/>
      <c r="G133" s="2693"/>
      <c r="H133" s="2693"/>
      <c r="I133" s="2693"/>
      <c r="J133" s="2693"/>
      <c r="K133" s="2693"/>
      <c r="L133" s="2693"/>
      <c r="M133" s="2693"/>
      <c r="N133" s="2693"/>
      <c r="O133" s="2693"/>
      <c r="P133" s="2693"/>
    </row>
    <row r="134" spans="2:16">
      <c r="B134" s="2704" t="s">
        <v>2686</v>
      </c>
      <c r="C134" s="2705" t="s">
        <v>6948</v>
      </c>
      <c r="D134" s="2693"/>
      <c r="E134" s="2693"/>
      <c r="F134" s="2693"/>
      <c r="G134" s="2693"/>
      <c r="H134" s="2693"/>
      <c r="I134" s="2693"/>
      <c r="J134" s="2693"/>
      <c r="K134" s="2693"/>
      <c r="L134" s="2693"/>
      <c r="M134" s="2693"/>
      <c r="N134" s="2693"/>
      <c r="O134" s="2693"/>
      <c r="P134" s="2693"/>
    </row>
    <row r="135" spans="2:16">
      <c r="B135" s="2693"/>
      <c r="C135" s="2693"/>
      <c r="D135" s="2693"/>
      <c r="E135" s="2693"/>
      <c r="F135" s="2693"/>
      <c r="G135" s="2693"/>
      <c r="H135" s="2693"/>
      <c r="I135" s="2693"/>
      <c r="J135" s="2693"/>
      <c r="K135" s="2693"/>
      <c r="L135" s="2693"/>
      <c r="M135" s="2693"/>
      <c r="N135" s="2693"/>
      <c r="O135" s="2693"/>
      <c r="P135" s="2693"/>
    </row>
    <row r="136" spans="2:16" ht="18.75">
      <c r="B136" s="2692" t="s">
        <v>6949</v>
      </c>
      <c r="C136" s="2693"/>
      <c r="D136" s="2693"/>
      <c r="E136" s="2693"/>
      <c r="F136" s="2693"/>
      <c r="G136" s="2693"/>
      <c r="H136" s="2693"/>
      <c r="I136" s="2693"/>
      <c r="J136" s="2693"/>
      <c r="K136" s="2693"/>
      <c r="L136" s="2693"/>
      <c r="M136" s="2693"/>
      <c r="N136" s="2693"/>
      <c r="O136" s="2693"/>
      <c r="P136" s="2693"/>
    </row>
    <row r="137" spans="2:16">
      <c r="B137" s="2704" t="s">
        <v>2686</v>
      </c>
      <c r="C137" s="2705" t="s">
        <v>6950</v>
      </c>
      <c r="D137" s="2693"/>
      <c r="E137" s="2693"/>
      <c r="F137" s="2693"/>
      <c r="G137" s="2693"/>
      <c r="H137" s="2693"/>
      <c r="I137" s="2693"/>
      <c r="J137" s="2693"/>
      <c r="K137" s="2693"/>
      <c r="L137" s="2693"/>
      <c r="M137" s="2693"/>
      <c r="N137" s="2693"/>
      <c r="O137" s="2693"/>
      <c r="P137" s="2693"/>
    </row>
    <row r="138" spans="2:16">
      <c r="B138" s="2693"/>
      <c r="C138" s="2693"/>
      <c r="D138" s="2693"/>
      <c r="E138" s="2693"/>
      <c r="F138" s="2693"/>
      <c r="G138" s="2693"/>
      <c r="H138" s="2693"/>
      <c r="I138" s="2693"/>
      <c r="J138" s="2693"/>
      <c r="K138" s="2693"/>
      <c r="L138" s="2693"/>
      <c r="M138" s="2693"/>
      <c r="N138" s="2693"/>
      <c r="O138" s="2693"/>
      <c r="P138" s="2693"/>
    </row>
    <row r="139" spans="2:16" ht="18.75">
      <c r="B139" s="2692" t="s">
        <v>6951</v>
      </c>
      <c r="C139" s="2693"/>
      <c r="D139" s="2693"/>
      <c r="E139" s="2693"/>
      <c r="F139" s="2693"/>
      <c r="G139" s="2693"/>
      <c r="H139" s="2693"/>
      <c r="I139" s="2693"/>
      <c r="J139" s="2693"/>
      <c r="K139" s="2693"/>
      <c r="L139" s="2693"/>
      <c r="M139" s="2693"/>
      <c r="N139" s="2693"/>
      <c r="O139" s="2693"/>
      <c r="P139" s="2693"/>
    </row>
    <row r="140" spans="2:16">
      <c r="B140" s="2704" t="s">
        <v>2686</v>
      </c>
      <c r="C140" s="2705" t="s">
        <v>6952</v>
      </c>
      <c r="D140" s="2693"/>
      <c r="E140" s="2693"/>
      <c r="F140" s="2693"/>
      <c r="G140" s="2693"/>
      <c r="H140" s="2693"/>
      <c r="I140" s="2693"/>
      <c r="J140" s="2693"/>
      <c r="K140" s="2693"/>
      <c r="L140" s="2693"/>
      <c r="M140" s="2693"/>
      <c r="N140" s="2693"/>
      <c r="O140" s="2693"/>
      <c r="P140" s="2693"/>
    </row>
    <row r="141" spans="2:16">
      <c r="B141" s="2693"/>
      <c r="C141" s="2693"/>
      <c r="D141" s="2693"/>
      <c r="E141" s="2693"/>
      <c r="F141" s="2693"/>
      <c r="G141" s="2693"/>
      <c r="H141" s="2693"/>
      <c r="I141" s="2693"/>
      <c r="J141" s="2693"/>
      <c r="K141" s="2693"/>
      <c r="L141" s="2693"/>
      <c r="M141" s="2693"/>
      <c r="N141" s="2693"/>
      <c r="O141" s="2693"/>
      <c r="P141" s="2693"/>
    </row>
    <row r="142" spans="2:16" ht="18.75">
      <c r="B142" s="2692" t="s">
        <v>6953</v>
      </c>
      <c r="C142" s="2693"/>
      <c r="D142" s="2693"/>
      <c r="E142" s="2693"/>
      <c r="F142" s="2693"/>
      <c r="G142" s="2693"/>
      <c r="H142" s="2693"/>
      <c r="I142" s="2693"/>
      <c r="J142" s="2693"/>
      <c r="K142" s="2693"/>
      <c r="L142" s="2693"/>
      <c r="M142" s="2693"/>
      <c r="N142" s="2693"/>
      <c r="O142" s="2693"/>
      <c r="P142" s="2693"/>
    </row>
    <row r="143" spans="2:16">
      <c r="B143" s="2704" t="s">
        <v>2686</v>
      </c>
      <c r="C143" s="2705" t="s">
        <v>6954</v>
      </c>
      <c r="D143" s="2693"/>
      <c r="E143" s="2693"/>
      <c r="F143" s="2693"/>
      <c r="G143" s="2693"/>
      <c r="H143" s="2693"/>
      <c r="I143" s="2693"/>
      <c r="J143" s="2693"/>
      <c r="K143" s="2693"/>
      <c r="L143" s="2693"/>
      <c r="M143" s="2693"/>
      <c r="N143" s="2693"/>
      <c r="O143" s="2693"/>
      <c r="P143" s="2693"/>
    </row>
    <row r="144" spans="2:16">
      <c r="B144" s="2693"/>
      <c r="C144" s="2693"/>
      <c r="D144" s="2693"/>
      <c r="E144" s="2693"/>
      <c r="F144" s="2693"/>
      <c r="G144" s="2693"/>
      <c r="H144" s="2693"/>
      <c r="I144" s="2693"/>
      <c r="J144" s="2693"/>
      <c r="K144" s="2693"/>
      <c r="L144" s="2693"/>
      <c r="M144" s="2693"/>
      <c r="N144" s="2693"/>
      <c r="O144" s="2693"/>
      <c r="P144" s="2693"/>
    </row>
    <row r="145" spans="2:16" ht="18.75">
      <c r="B145" s="2692" t="s">
        <v>6955</v>
      </c>
      <c r="C145" s="2693"/>
      <c r="D145" s="2693"/>
      <c r="E145" s="2693"/>
      <c r="F145" s="2693"/>
      <c r="G145" s="2693"/>
      <c r="H145" s="2693"/>
      <c r="I145" s="2693"/>
      <c r="J145" s="2693"/>
      <c r="K145" s="2693"/>
      <c r="L145" s="2693"/>
      <c r="M145" s="2693"/>
      <c r="N145" s="2693"/>
      <c r="O145" s="2693"/>
      <c r="P145" s="2693"/>
    </row>
    <row r="146" spans="2:16">
      <c r="B146" s="2704" t="s">
        <v>2686</v>
      </c>
      <c r="C146" s="2705" t="s">
        <v>6956</v>
      </c>
      <c r="D146" s="2693"/>
      <c r="E146" s="2693"/>
      <c r="F146" s="2693"/>
      <c r="G146" s="2693"/>
      <c r="H146" s="2693"/>
      <c r="I146" s="2693"/>
      <c r="J146" s="2693"/>
      <c r="K146" s="2693"/>
      <c r="L146" s="2693"/>
      <c r="M146" s="2693"/>
      <c r="N146" s="2693"/>
      <c r="O146" s="2693"/>
      <c r="P146" s="2693"/>
    </row>
    <row r="147" spans="2:16">
      <c r="B147" s="2693"/>
      <c r="C147" s="2693"/>
      <c r="D147" s="2693"/>
      <c r="E147" s="2693"/>
      <c r="F147" s="2693"/>
      <c r="G147" s="2693"/>
      <c r="H147" s="2693"/>
      <c r="I147" s="2693"/>
      <c r="J147" s="2693"/>
      <c r="K147" s="2693"/>
      <c r="L147" s="2693"/>
      <c r="M147" s="2693"/>
      <c r="N147" s="2693"/>
      <c r="O147" s="2693"/>
      <c r="P147" s="2693"/>
    </row>
    <row r="148" spans="2:16" ht="18.75">
      <c r="B148" s="2692" t="s">
        <v>6957</v>
      </c>
      <c r="C148" s="2693"/>
      <c r="D148" s="2693"/>
      <c r="E148" s="2693"/>
      <c r="F148" s="2693"/>
      <c r="G148" s="2693"/>
      <c r="H148" s="2693"/>
      <c r="I148" s="2693"/>
      <c r="J148" s="2693"/>
      <c r="K148" s="2693"/>
      <c r="L148" s="2693"/>
      <c r="M148" s="2693"/>
      <c r="N148" s="2693"/>
      <c r="O148" s="2693"/>
      <c r="P148" s="2693"/>
    </row>
    <row r="149" spans="2:16">
      <c r="B149" s="2704" t="s">
        <v>2686</v>
      </c>
      <c r="C149" s="2705" t="s">
        <v>6958</v>
      </c>
      <c r="D149" s="2693"/>
      <c r="E149" s="2693"/>
      <c r="F149" s="2693"/>
      <c r="G149" s="2693"/>
      <c r="H149" s="2693"/>
      <c r="I149" s="2693"/>
      <c r="J149" s="2693"/>
      <c r="K149" s="2693"/>
      <c r="L149" s="2693"/>
      <c r="M149" s="2693"/>
      <c r="N149" s="2693"/>
      <c r="O149" s="2693"/>
      <c r="P149" s="2693"/>
    </row>
    <row r="150" spans="2:16">
      <c r="B150" s="2693"/>
      <c r="C150" s="2693"/>
      <c r="D150" s="2693"/>
      <c r="E150" s="2693"/>
      <c r="F150" s="2693"/>
      <c r="G150" s="2693"/>
      <c r="H150" s="2693"/>
      <c r="I150" s="2693"/>
      <c r="J150" s="2693"/>
      <c r="K150" s="2693"/>
      <c r="L150" s="2693"/>
      <c r="M150" s="2693"/>
      <c r="N150" s="2693"/>
      <c r="O150" s="2693"/>
      <c r="P150" s="2693"/>
    </row>
    <row r="151" spans="2:16" ht="18.75">
      <c r="B151" s="2692" t="s">
        <v>6959</v>
      </c>
      <c r="C151" s="2692"/>
      <c r="D151" s="2693"/>
      <c r="E151" s="2693"/>
      <c r="F151" s="2693"/>
      <c r="G151" s="2693"/>
      <c r="H151" s="2693"/>
      <c r="I151" s="2693"/>
      <c r="J151" s="2693"/>
      <c r="K151" s="2693"/>
      <c r="L151" s="2693"/>
      <c r="M151" s="2693"/>
      <c r="N151" s="2693"/>
      <c r="O151" s="2693"/>
      <c r="P151" s="2693"/>
    </row>
    <row r="152" spans="2:16">
      <c r="B152" s="2704" t="s">
        <v>2686</v>
      </c>
      <c r="C152" s="2705" t="s">
        <v>6960</v>
      </c>
      <c r="D152" s="2693"/>
      <c r="E152" s="2693"/>
      <c r="F152" s="2693"/>
      <c r="G152" s="2693"/>
      <c r="H152" s="2693"/>
      <c r="I152" s="2693"/>
      <c r="J152" s="2693"/>
      <c r="K152" s="2693"/>
      <c r="L152" s="2693"/>
      <c r="M152" s="2693"/>
      <c r="N152" s="2693"/>
      <c r="O152" s="2693"/>
      <c r="P152" s="2693"/>
    </row>
    <row r="153" spans="2:16">
      <c r="B153" s="2693"/>
      <c r="C153" s="2693"/>
      <c r="D153" s="2693"/>
      <c r="E153" s="2693"/>
      <c r="F153" s="2693"/>
      <c r="G153" s="2693"/>
      <c r="H153" s="2693"/>
      <c r="I153" s="2693"/>
      <c r="J153" s="2693"/>
      <c r="K153" s="2693"/>
      <c r="L153" s="2693"/>
      <c r="M153" s="2693"/>
      <c r="N153" s="2693"/>
      <c r="O153" s="2693"/>
      <c r="P153" s="2693"/>
    </row>
    <row r="154" spans="2:16" ht="18.75">
      <c r="B154" s="2692" t="s">
        <v>6961</v>
      </c>
      <c r="C154" s="2692"/>
      <c r="D154" s="2693"/>
      <c r="E154" s="2693"/>
      <c r="F154" s="2693"/>
      <c r="G154" s="2693"/>
      <c r="H154" s="2693"/>
      <c r="I154" s="2693"/>
      <c r="J154" s="2693"/>
      <c r="K154" s="2693"/>
      <c r="L154" s="2693"/>
      <c r="M154" s="2693"/>
      <c r="N154" s="2693"/>
      <c r="O154" s="2693"/>
      <c r="P154" s="2693"/>
    </row>
    <row r="155" spans="2:16">
      <c r="B155" s="2704" t="s">
        <v>2686</v>
      </c>
      <c r="C155" s="2705" t="s">
        <v>6962</v>
      </c>
      <c r="D155" s="2693"/>
      <c r="E155" s="2693"/>
      <c r="F155" s="2693"/>
      <c r="G155" s="2693"/>
      <c r="H155" s="2693"/>
      <c r="I155" s="2693"/>
      <c r="J155" s="2693"/>
      <c r="K155" s="2693"/>
      <c r="L155" s="2693"/>
      <c r="M155" s="2693"/>
      <c r="N155" s="2693"/>
      <c r="O155" s="2693"/>
      <c r="P155" s="2693"/>
    </row>
    <row r="156" spans="2:16">
      <c r="B156" s="2693"/>
      <c r="C156" s="2693"/>
      <c r="D156" s="2693"/>
      <c r="E156" s="2693"/>
      <c r="F156" s="2693"/>
      <c r="G156" s="2693"/>
      <c r="H156" s="2693"/>
      <c r="I156" s="2693"/>
      <c r="J156" s="2693"/>
      <c r="K156" s="2693"/>
      <c r="L156" s="2693"/>
      <c r="M156" s="2693"/>
      <c r="N156" s="2693"/>
      <c r="O156" s="2693"/>
      <c r="P156" s="2693"/>
    </row>
    <row r="157" spans="2:16" ht="18.75">
      <c r="B157" s="2692" t="s">
        <v>6963</v>
      </c>
      <c r="C157" s="2692"/>
      <c r="D157" s="2693"/>
      <c r="E157" s="2693"/>
      <c r="F157" s="2693"/>
      <c r="G157" s="2693"/>
      <c r="H157" s="2693"/>
      <c r="I157" s="2693"/>
      <c r="J157" s="2693"/>
      <c r="K157" s="2693"/>
      <c r="L157" s="2693"/>
      <c r="M157" s="2693"/>
      <c r="N157" s="2693"/>
      <c r="O157" s="2693"/>
      <c r="P157" s="2693"/>
    </row>
    <row r="158" spans="2:16">
      <c r="B158" s="2704" t="s">
        <v>2686</v>
      </c>
      <c r="C158" s="2705" t="s">
        <v>6964</v>
      </c>
      <c r="D158" s="2693"/>
      <c r="E158" s="2693"/>
      <c r="F158" s="2693"/>
      <c r="G158" s="2693"/>
      <c r="H158" s="2693"/>
      <c r="I158" s="2693"/>
      <c r="J158" s="2693"/>
      <c r="K158" s="2693"/>
      <c r="L158" s="2693"/>
      <c r="M158" s="2693"/>
      <c r="N158" s="2693"/>
      <c r="O158" s="2693"/>
      <c r="P158" s="2693"/>
    </row>
    <row r="159" spans="2:16">
      <c r="B159" s="2693"/>
      <c r="C159" s="2693"/>
      <c r="D159" s="2693"/>
      <c r="E159" s="2693"/>
      <c r="F159" s="2693"/>
      <c r="G159" s="2693"/>
      <c r="H159" s="2693"/>
      <c r="I159" s="2693"/>
      <c r="J159" s="2693"/>
      <c r="K159" s="2693"/>
      <c r="L159" s="2693"/>
      <c r="M159" s="2693"/>
      <c r="N159" s="2693"/>
      <c r="O159" s="2693"/>
      <c r="P159" s="2693"/>
    </row>
    <row r="160" spans="2:16" ht="18.75">
      <c r="B160" s="2692" t="s">
        <v>6965</v>
      </c>
      <c r="C160" s="2692"/>
      <c r="D160" s="2693"/>
      <c r="E160" s="2693"/>
      <c r="F160" s="2693"/>
      <c r="G160" s="2693"/>
      <c r="H160" s="2693"/>
      <c r="I160" s="2693"/>
      <c r="J160" s="2693"/>
      <c r="K160" s="2693"/>
      <c r="L160" s="2693"/>
      <c r="M160" s="2693"/>
      <c r="N160" s="2693"/>
      <c r="O160" s="2693"/>
      <c r="P160" s="2693"/>
    </row>
    <row r="161" spans="1:16">
      <c r="B161" s="2704" t="s">
        <v>2686</v>
      </c>
      <c r="C161" s="2705" t="s">
        <v>6966</v>
      </c>
      <c r="D161" s="2693"/>
      <c r="E161" s="2693"/>
      <c r="F161" s="2693"/>
      <c r="G161" s="2693"/>
      <c r="H161" s="2693"/>
      <c r="I161" s="2693"/>
      <c r="J161" s="2693"/>
      <c r="K161" s="2693"/>
      <c r="L161" s="2693"/>
      <c r="M161" s="2693"/>
      <c r="N161" s="2693"/>
      <c r="O161" s="2693"/>
      <c r="P161" s="2693"/>
    </row>
    <row r="162" spans="1:16">
      <c r="B162" s="2693"/>
      <c r="C162" s="2693"/>
      <c r="D162" s="2693"/>
      <c r="E162" s="2693"/>
      <c r="F162" s="2693"/>
      <c r="G162" s="2693"/>
      <c r="H162" s="2693"/>
      <c r="I162" s="2693"/>
      <c r="J162" s="2693"/>
      <c r="K162" s="2693"/>
      <c r="L162" s="2693"/>
      <c r="M162" s="2693"/>
      <c r="N162" s="2693"/>
      <c r="O162" s="2693"/>
      <c r="P162" s="2693"/>
    </row>
    <row r="163" spans="1:16">
      <c r="A163" s="2708"/>
      <c r="B163" s="2708"/>
      <c r="C163" s="2708"/>
      <c r="D163" s="2708"/>
      <c r="E163" s="2708"/>
      <c r="F163" s="2708"/>
      <c r="G163" s="2708"/>
      <c r="H163" s="2708"/>
      <c r="I163" s="2708"/>
      <c r="J163" s="2708"/>
      <c r="K163" s="2708"/>
      <c r="L163" s="2708"/>
      <c r="M163" s="2708"/>
      <c r="N163" s="2708"/>
      <c r="O163" s="2708"/>
      <c r="P163" s="2708"/>
    </row>
    <row r="164" spans="1:16">
      <c r="B164" s="2693"/>
      <c r="C164" s="2693"/>
      <c r="D164" s="2693"/>
      <c r="E164" s="2693"/>
      <c r="F164" s="2693"/>
      <c r="G164" s="2693"/>
      <c r="H164" s="2693"/>
      <c r="I164" s="2693"/>
      <c r="J164" s="2693"/>
      <c r="K164" s="2693"/>
      <c r="L164" s="2693"/>
      <c r="M164" s="2693"/>
      <c r="N164" s="2693"/>
      <c r="O164" s="2693"/>
      <c r="P164" s="2693"/>
    </row>
    <row r="165" spans="1:16" ht="18.75">
      <c r="B165" s="2692" t="s">
        <v>6967</v>
      </c>
      <c r="C165" s="2693"/>
      <c r="D165" s="2693"/>
      <c r="E165" s="2693"/>
      <c r="F165" s="2693"/>
      <c r="G165" s="2693"/>
      <c r="H165" s="2693"/>
      <c r="I165" s="2693"/>
      <c r="J165" s="2693"/>
      <c r="K165" s="2693"/>
      <c r="L165" s="2693"/>
      <c r="M165" s="2693"/>
      <c r="N165" s="2693"/>
      <c r="O165" s="2693"/>
      <c r="P165" s="2693"/>
    </row>
    <row r="166" spans="1:16">
      <c r="B166" s="2704" t="s">
        <v>2686</v>
      </c>
      <c r="C166" s="2705" t="s">
        <v>6968</v>
      </c>
      <c r="D166" s="2693"/>
      <c r="E166" s="2693"/>
      <c r="F166" s="2693"/>
      <c r="G166" s="2693"/>
      <c r="H166" s="2693"/>
      <c r="I166" s="2693"/>
      <c r="J166" s="2693"/>
      <c r="K166" s="2693"/>
      <c r="L166" s="2693"/>
      <c r="M166" s="2693"/>
      <c r="N166" s="2693"/>
      <c r="O166" s="2693"/>
      <c r="P166" s="2693"/>
    </row>
    <row r="167" spans="1:16">
      <c r="B167" s="2693"/>
      <c r="C167" s="2693"/>
      <c r="D167" s="2693"/>
      <c r="E167" s="2693"/>
      <c r="F167" s="2693"/>
      <c r="G167" s="2693"/>
      <c r="H167" s="2693"/>
      <c r="I167" s="2693"/>
      <c r="J167" s="2693"/>
      <c r="K167" s="2693"/>
      <c r="L167" s="2693"/>
      <c r="M167" s="2693"/>
      <c r="N167" s="2693"/>
      <c r="O167" s="2693"/>
      <c r="P167" s="2693"/>
    </row>
    <row r="168" spans="1:16" ht="18.75">
      <c r="B168" s="2692" t="s">
        <v>6969</v>
      </c>
      <c r="C168" s="2693"/>
      <c r="D168" s="2693"/>
      <c r="E168" s="2693"/>
      <c r="F168" s="2693"/>
      <c r="G168" s="2693"/>
      <c r="H168" s="2693"/>
      <c r="I168" s="2693"/>
      <c r="J168" s="2693"/>
      <c r="K168" s="2693"/>
      <c r="L168" s="2693"/>
      <c r="M168" s="2693"/>
      <c r="N168" s="2693"/>
      <c r="O168" s="2693"/>
      <c r="P168" s="2693"/>
    </row>
    <row r="169" spans="1:16">
      <c r="B169" s="2704" t="s">
        <v>2686</v>
      </c>
      <c r="C169" s="2705" t="s">
        <v>6970</v>
      </c>
      <c r="D169" s="2693"/>
      <c r="E169" s="2693"/>
      <c r="F169" s="2693"/>
      <c r="G169" s="2693"/>
      <c r="H169" s="2693"/>
      <c r="I169" s="2693"/>
      <c r="J169" s="2693"/>
      <c r="K169" s="2693"/>
      <c r="L169" s="2693"/>
      <c r="M169" s="2693"/>
      <c r="N169" s="2693"/>
      <c r="O169" s="2693"/>
      <c r="P169" s="2693"/>
    </row>
    <row r="170" spans="1:16" ht="18.75">
      <c r="B170" s="2692" t="s">
        <v>6971</v>
      </c>
      <c r="C170" s="2692"/>
      <c r="D170" s="2693"/>
      <c r="E170" s="2693"/>
      <c r="F170" s="2693"/>
      <c r="G170" s="2693"/>
      <c r="H170" s="2693"/>
      <c r="I170" s="2693"/>
      <c r="J170" s="2693"/>
      <c r="K170" s="2693"/>
      <c r="L170" s="2693"/>
      <c r="M170" s="2693"/>
      <c r="N170" s="2693"/>
      <c r="O170" s="2693"/>
      <c r="P170" s="2693"/>
    </row>
    <row r="171" spans="1:16">
      <c r="B171" s="2704" t="s">
        <v>2686</v>
      </c>
      <c r="C171" s="2705" t="s">
        <v>6972</v>
      </c>
      <c r="D171" s="2693"/>
      <c r="E171" s="2693"/>
      <c r="F171" s="2693"/>
      <c r="G171" s="2693"/>
      <c r="H171" s="2693"/>
      <c r="I171" s="2693"/>
      <c r="J171" s="2693"/>
      <c r="K171" s="2693"/>
      <c r="L171" s="2693"/>
      <c r="M171" s="2693"/>
      <c r="N171" s="2693"/>
      <c r="O171" s="2693"/>
      <c r="P171" s="2693"/>
    </row>
    <row r="172" spans="1:16">
      <c r="B172" s="2693"/>
      <c r="C172" s="2693"/>
      <c r="D172" s="2693"/>
      <c r="E172" s="2693"/>
      <c r="F172" s="2693"/>
      <c r="G172" s="2693"/>
      <c r="H172" s="2693"/>
      <c r="I172" s="2693"/>
      <c r="J172" s="2693"/>
      <c r="K172" s="2693"/>
      <c r="L172" s="2693"/>
      <c r="M172" s="2693"/>
      <c r="N172" s="2693"/>
      <c r="O172" s="2693"/>
      <c r="P172" s="2693"/>
    </row>
    <row r="173" spans="1:16" ht="18.75">
      <c r="B173" s="2692" t="s">
        <v>6973</v>
      </c>
      <c r="C173" s="2692"/>
      <c r="D173" s="2693"/>
      <c r="E173" s="2693"/>
      <c r="F173" s="2693"/>
      <c r="G173" s="2693"/>
      <c r="H173" s="2693"/>
      <c r="I173" s="2693"/>
      <c r="J173" s="2693"/>
      <c r="K173" s="2693"/>
      <c r="L173" s="2693"/>
      <c r="M173" s="2693"/>
      <c r="N173" s="2693"/>
      <c r="O173" s="2693"/>
      <c r="P173" s="2693"/>
    </row>
    <row r="174" spans="1:16">
      <c r="B174" s="2704" t="s">
        <v>2686</v>
      </c>
      <c r="C174" s="2705" t="s">
        <v>6974</v>
      </c>
      <c r="D174" s="2693"/>
      <c r="E174" s="2693"/>
      <c r="F174" s="2693"/>
      <c r="G174" s="2693"/>
      <c r="H174" s="2693"/>
      <c r="I174" s="2693"/>
      <c r="J174" s="2693"/>
      <c r="K174" s="2693"/>
      <c r="L174" s="2693"/>
      <c r="M174" s="2693"/>
      <c r="N174" s="2693"/>
      <c r="O174" s="2693"/>
      <c r="P174" s="2693"/>
    </row>
    <row r="175" spans="1:16">
      <c r="B175" s="2693"/>
      <c r="C175" s="2693"/>
      <c r="D175" s="2693"/>
      <c r="E175" s="2693"/>
      <c r="F175" s="2693"/>
      <c r="G175" s="2693"/>
      <c r="H175" s="2693"/>
      <c r="I175" s="2693"/>
      <c r="J175" s="2693"/>
      <c r="K175" s="2693"/>
      <c r="L175" s="2693"/>
      <c r="M175" s="2693"/>
      <c r="N175" s="2693"/>
      <c r="O175" s="2693"/>
      <c r="P175" s="2693"/>
    </row>
    <row r="176" spans="1:16" ht="18.75">
      <c r="B176" s="2692" t="s">
        <v>6975</v>
      </c>
      <c r="C176" s="2692"/>
      <c r="D176" s="2693"/>
      <c r="E176" s="2693"/>
      <c r="F176" s="2693"/>
      <c r="G176" s="2693"/>
      <c r="H176" s="2693"/>
      <c r="I176" s="2693"/>
      <c r="J176" s="2693"/>
      <c r="K176" s="2693"/>
      <c r="L176" s="2693"/>
      <c r="M176" s="2693"/>
      <c r="N176" s="2693"/>
      <c r="O176" s="2693"/>
      <c r="P176" s="2693"/>
    </row>
    <row r="177" spans="2:16">
      <c r="B177" s="2704" t="s">
        <v>2686</v>
      </c>
      <c r="C177" s="2705" t="s">
        <v>6976</v>
      </c>
      <c r="D177" s="2693"/>
      <c r="E177" s="2693"/>
      <c r="F177" s="2693"/>
      <c r="G177" s="2693"/>
      <c r="H177" s="2693"/>
      <c r="I177" s="2693"/>
      <c r="J177" s="2693"/>
      <c r="K177" s="2693"/>
      <c r="L177" s="2693"/>
      <c r="M177" s="2693"/>
      <c r="N177" s="2693"/>
      <c r="O177" s="2693"/>
      <c r="P177" s="2693"/>
    </row>
    <row r="178" spans="2:16">
      <c r="B178" s="2693"/>
      <c r="C178" s="2693"/>
      <c r="D178" s="2693"/>
      <c r="E178" s="2693"/>
      <c r="F178" s="2693"/>
      <c r="G178" s="2693"/>
      <c r="H178" s="2693"/>
      <c r="I178" s="2693"/>
      <c r="J178" s="2693"/>
      <c r="K178" s="2693"/>
      <c r="L178" s="2693"/>
      <c r="M178" s="2693"/>
      <c r="N178" s="2693"/>
      <c r="O178" s="2693"/>
      <c r="P178" s="2693"/>
    </row>
    <row r="179" spans="2:16" ht="18.75">
      <c r="B179" s="2692" t="s">
        <v>6977</v>
      </c>
      <c r="C179" s="2692"/>
      <c r="D179" s="2693"/>
      <c r="E179" s="2693"/>
      <c r="F179" s="2693"/>
      <c r="G179" s="2693"/>
      <c r="H179" s="2693"/>
      <c r="I179" s="2693"/>
      <c r="J179" s="2693"/>
      <c r="K179" s="2693"/>
      <c r="L179" s="2693"/>
      <c r="M179" s="2693"/>
      <c r="N179" s="2693"/>
      <c r="O179" s="2693"/>
      <c r="P179" s="2693"/>
    </row>
    <row r="180" spans="2:16">
      <c r="B180" s="2704" t="s">
        <v>2686</v>
      </c>
      <c r="C180" s="2705" t="s">
        <v>6978</v>
      </c>
      <c r="D180" s="2693"/>
      <c r="E180" s="2693"/>
      <c r="F180" s="2693"/>
      <c r="G180" s="2693"/>
      <c r="H180" s="2693"/>
      <c r="I180" s="2693"/>
      <c r="J180" s="2693"/>
      <c r="K180" s="2693"/>
      <c r="L180" s="2693"/>
      <c r="M180" s="2693"/>
      <c r="N180" s="2693"/>
      <c r="O180" s="2693"/>
      <c r="P180" s="2693"/>
    </row>
    <row r="181" spans="2:16">
      <c r="B181" s="2693"/>
      <c r="C181" s="2693"/>
      <c r="D181" s="2693"/>
      <c r="E181" s="2693"/>
      <c r="F181" s="2693"/>
      <c r="G181" s="2693"/>
      <c r="H181" s="2693"/>
      <c r="I181" s="2693"/>
      <c r="J181" s="2693"/>
      <c r="K181" s="2693"/>
      <c r="L181" s="2693"/>
      <c r="M181" s="2693"/>
      <c r="N181" s="2693"/>
      <c r="O181" s="2693"/>
      <c r="P181" s="2693"/>
    </row>
    <row r="182" spans="2:16" ht="18.75">
      <c r="B182" s="2692" t="s">
        <v>6979</v>
      </c>
      <c r="C182" s="2692"/>
      <c r="D182" s="2693"/>
      <c r="E182" s="2693"/>
      <c r="F182" s="2693"/>
      <c r="G182" s="2693"/>
      <c r="H182" s="2693"/>
      <c r="I182" s="2693"/>
      <c r="J182" s="2693"/>
      <c r="K182" s="2693"/>
      <c r="L182" s="2693"/>
      <c r="M182" s="2693"/>
      <c r="N182" s="2693"/>
      <c r="O182" s="2693"/>
      <c r="P182" s="2693"/>
    </row>
    <row r="183" spans="2:16">
      <c r="B183" s="2704" t="s">
        <v>2686</v>
      </c>
      <c r="C183" s="2705" t="s">
        <v>6980</v>
      </c>
      <c r="D183" s="2693"/>
      <c r="E183" s="2693"/>
      <c r="F183" s="2693"/>
      <c r="G183" s="2693"/>
      <c r="H183" s="2693"/>
      <c r="I183" s="2693"/>
      <c r="J183" s="2693"/>
      <c r="K183" s="2693"/>
      <c r="L183" s="2693"/>
      <c r="M183" s="2693"/>
      <c r="N183" s="2693"/>
      <c r="O183" s="2693"/>
      <c r="P183" s="2693"/>
    </row>
    <row r="184" spans="2:16">
      <c r="B184" s="2693"/>
      <c r="C184" s="2693"/>
      <c r="D184" s="2693"/>
      <c r="E184" s="2693"/>
      <c r="F184" s="2693"/>
      <c r="G184" s="2693"/>
      <c r="H184" s="2693"/>
      <c r="I184" s="2693"/>
      <c r="J184" s="2693"/>
      <c r="K184" s="2693"/>
      <c r="L184" s="2693"/>
      <c r="M184" s="2693"/>
      <c r="N184" s="2693"/>
      <c r="O184" s="2693"/>
      <c r="P184" s="2693"/>
    </row>
    <row r="185" spans="2:16">
      <c r="B185" s="2708"/>
      <c r="C185" s="2708"/>
      <c r="D185" s="2708"/>
      <c r="E185" s="2708"/>
      <c r="F185" s="2708"/>
      <c r="G185" s="2708"/>
      <c r="H185" s="2708"/>
      <c r="I185" s="2708"/>
      <c r="J185" s="2708"/>
      <c r="K185" s="2708"/>
      <c r="L185" s="2708"/>
      <c r="M185" s="2708"/>
      <c r="N185" s="2708"/>
      <c r="O185" s="2708"/>
      <c r="P185" s="2708"/>
    </row>
    <row r="186" spans="2:16">
      <c r="B186" s="2693"/>
      <c r="C186" s="2693"/>
      <c r="D186" s="2693"/>
      <c r="E186" s="2693"/>
      <c r="F186" s="2693"/>
      <c r="G186" s="2693"/>
      <c r="H186" s="2693"/>
      <c r="I186" s="2693"/>
      <c r="J186" s="2693"/>
      <c r="K186" s="2693"/>
      <c r="L186" s="2693"/>
      <c r="M186" s="2693"/>
      <c r="N186" s="2693"/>
      <c r="O186" s="2693"/>
      <c r="P186" s="2693"/>
    </row>
    <row r="187" spans="2:16" ht="18.75">
      <c r="B187" s="2692" t="s">
        <v>6981</v>
      </c>
      <c r="C187" s="2693"/>
      <c r="D187" s="2693"/>
      <c r="E187" s="2693"/>
      <c r="F187" s="2693"/>
      <c r="G187" s="2693"/>
      <c r="H187" s="2693"/>
      <c r="I187" s="2693"/>
      <c r="J187" s="2693"/>
      <c r="K187" s="2693"/>
      <c r="L187" s="2693"/>
      <c r="M187" s="2693"/>
      <c r="N187" s="2693"/>
      <c r="O187" s="2693"/>
      <c r="P187" s="2693"/>
    </row>
    <row r="188" spans="2:16">
      <c r="B188" s="2704" t="s">
        <v>2686</v>
      </c>
      <c r="C188" s="2706" t="s">
        <v>6982</v>
      </c>
      <c r="D188" s="2693"/>
      <c r="E188" s="2693"/>
      <c r="F188" s="2693"/>
      <c r="G188" s="2693"/>
      <c r="H188" s="2693"/>
      <c r="I188" s="2693"/>
      <c r="J188" s="2693"/>
      <c r="K188" s="2693"/>
      <c r="L188" s="2693"/>
      <c r="M188" s="2693"/>
      <c r="N188" s="2693"/>
      <c r="O188" s="2693"/>
      <c r="P188" s="2693"/>
    </row>
    <row r="189" spans="2:16">
      <c r="B189" s="10279" t="s">
        <v>6983</v>
      </c>
      <c r="C189" s="10279"/>
      <c r="D189" s="2706" t="s">
        <v>6984</v>
      </c>
      <c r="E189" s="2693"/>
      <c r="F189" s="2693"/>
      <c r="G189" s="2693"/>
      <c r="H189" s="2693"/>
      <c r="I189" s="2693"/>
      <c r="J189" s="2693"/>
      <c r="K189" s="2693"/>
      <c r="L189" s="2693"/>
      <c r="M189" s="2693"/>
      <c r="N189" s="2693"/>
      <c r="O189" s="2693"/>
      <c r="P189" s="2693"/>
    </row>
    <row r="190" spans="2:16">
      <c r="B190" s="2693"/>
      <c r="C190" s="2693"/>
      <c r="D190" s="2693"/>
      <c r="E190" s="2693"/>
      <c r="F190" s="2693"/>
      <c r="G190" s="2693"/>
      <c r="H190" s="2693"/>
      <c r="I190" s="2693"/>
      <c r="J190" s="2693"/>
      <c r="K190" s="2693"/>
      <c r="L190" s="2693"/>
      <c r="M190" s="2693"/>
      <c r="N190" s="2693"/>
      <c r="O190" s="2693"/>
      <c r="P190" s="2693"/>
    </row>
    <row r="191" spans="2:16" ht="18.75">
      <c r="B191" s="2692" t="s">
        <v>6985</v>
      </c>
      <c r="C191" s="2692"/>
      <c r="D191" s="2693"/>
      <c r="E191" s="2693"/>
      <c r="F191" s="2693"/>
      <c r="G191" s="2693"/>
      <c r="H191" s="2693"/>
      <c r="I191" s="2693"/>
      <c r="J191" s="2693"/>
      <c r="K191" s="2693"/>
      <c r="L191" s="2693"/>
      <c r="M191" s="2693"/>
      <c r="N191" s="2693"/>
      <c r="O191" s="2693"/>
      <c r="P191" s="2693"/>
    </row>
    <row r="192" spans="2:16">
      <c r="B192" s="2704" t="s">
        <v>2686</v>
      </c>
      <c r="C192" s="2705" t="s">
        <v>6986</v>
      </c>
      <c r="D192" s="2693"/>
      <c r="E192" s="2693"/>
      <c r="F192" s="2693"/>
      <c r="G192" s="2693"/>
      <c r="H192" s="2693"/>
      <c r="I192" s="2693"/>
      <c r="J192" s="2693"/>
      <c r="K192" s="2693"/>
      <c r="L192" s="2693"/>
      <c r="M192" s="2693"/>
      <c r="N192" s="2693"/>
      <c r="O192" s="2693"/>
      <c r="P192" s="2693"/>
    </row>
    <row r="193" spans="2:16">
      <c r="B193" s="2693"/>
      <c r="C193" s="2693"/>
      <c r="D193" s="2693"/>
      <c r="E193" s="2693"/>
      <c r="F193" s="2693"/>
      <c r="G193" s="2693"/>
      <c r="H193" s="2693"/>
      <c r="I193" s="2693"/>
      <c r="J193" s="2693"/>
      <c r="K193" s="2693"/>
      <c r="L193" s="2693"/>
      <c r="M193" s="2693"/>
      <c r="N193" s="2693"/>
      <c r="O193" s="2693"/>
      <c r="P193" s="2693"/>
    </row>
    <row r="194" spans="2:16" ht="18.75">
      <c r="B194" s="2692" t="s">
        <v>6987</v>
      </c>
      <c r="C194" s="2692"/>
      <c r="D194" s="2693"/>
      <c r="E194" s="2693"/>
      <c r="F194" s="2693"/>
      <c r="G194" s="2693"/>
      <c r="H194" s="2693"/>
      <c r="I194" s="2693"/>
      <c r="J194" s="2693"/>
      <c r="K194" s="2693"/>
      <c r="L194" s="2693"/>
      <c r="M194" s="2693"/>
      <c r="N194" s="2693"/>
      <c r="O194" s="2693"/>
      <c r="P194" s="2693"/>
    </row>
    <row r="195" spans="2:16">
      <c r="B195" s="2704" t="s">
        <v>2686</v>
      </c>
      <c r="C195" s="2705" t="s">
        <v>6988</v>
      </c>
      <c r="D195" s="2693"/>
      <c r="E195" s="2693"/>
      <c r="F195" s="2693"/>
      <c r="G195" s="2693"/>
      <c r="H195" s="2693"/>
      <c r="I195" s="2693"/>
      <c r="J195" s="2693"/>
      <c r="K195" s="2693"/>
      <c r="L195" s="2693"/>
      <c r="M195" s="2693"/>
      <c r="N195" s="2693"/>
      <c r="O195" s="2693"/>
      <c r="P195" s="2693"/>
    </row>
    <row r="196" spans="2:16">
      <c r="B196" s="2693"/>
      <c r="C196" s="2693"/>
      <c r="D196" s="2693"/>
      <c r="E196" s="2693"/>
      <c r="F196" s="2693"/>
      <c r="G196" s="2693"/>
      <c r="H196" s="2693"/>
      <c r="I196" s="2693"/>
      <c r="J196" s="2693"/>
      <c r="K196" s="2693"/>
      <c r="L196" s="2693"/>
      <c r="M196" s="2693"/>
      <c r="N196" s="2693"/>
      <c r="O196" s="2693"/>
      <c r="P196" s="2693"/>
    </row>
    <row r="197" spans="2:16" ht="18.75">
      <c r="B197" s="2692" t="s">
        <v>6989</v>
      </c>
      <c r="C197" s="2692"/>
      <c r="D197" s="2693"/>
      <c r="E197" s="2693"/>
      <c r="F197" s="2693"/>
      <c r="G197" s="2693"/>
      <c r="H197" s="2693"/>
      <c r="I197" s="2693"/>
      <c r="J197" s="2693"/>
      <c r="K197" s="2693"/>
      <c r="L197" s="2693"/>
      <c r="M197" s="2693"/>
      <c r="N197" s="2693"/>
      <c r="O197" s="2693"/>
      <c r="P197" s="2693"/>
    </row>
    <row r="198" spans="2:16">
      <c r="B198" s="2704" t="s">
        <v>2686</v>
      </c>
      <c r="C198" s="2705" t="s">
        <v>6990</v>
      </c>
      <c r="D198" s="2693"/>
      <c r="E198" s="2693"/>
      <c r="F198" s="2693"/>
      <c r="G198" s="2693"/>
      <c r="H198" s="2693"/>
      <c r="I198" s="2693"/>
      <c r="J198" s="2693"/>
      <c r="K198" s="2693"/>
      <c r="L198" s="2693"/>
      <c r="M198" s="2693"/>
      <c r="N198" s="2693"/>
      <c r="O198" s="2693"/>
      <c r="P198" s="2693"/>
    </row>
    <row r="199" spans="2:16">
      <c r="B199" s="2693"/>
      <c r="C199" s="2693"/>
      <c r="D199" s="2693"/>
      <c r="E199" s="2693"/>
      <c r="F199" s="2693"/>
      <c r="G199" s="2693"/>
      <c r="H199" s="2693"/>
      <c r="I199" s="2693"/>
      <c r="J199" s="2693"/>
      <c r="K199" s="2693"/>
      <c r="L199" s="2693"/>
      <c r="M199" s="2693"/>
      <c r="N199" s="2693"/>
      <c r="O199" s="2693"/>
      <c r="P199" s="2693"/>
    </row>
    <row r="200" spans="2:16" ht="18.75">
      <c r="B200" s="2692" t="s">
        <v>6991</v>
      </c>
      <c r="C200" s="2692"/>
      <c r="D200" s="2693"/>
      <c r="E200" s="2693"/>
      <c r="F200" s="2693"/>
      <c r="G200" s="2693"/>
      <c r="H200" s="2693"/>
      <c r="I200" s="2693"/>
      <c r="J200" s="2693"/>
      <c r="K200" s="2693"/>
      <c r="L200" s="2693"/>
      <c r="M200" s="2693"/>
      <c r="N200" s="2693"/>
      <c r="O200" s="2693"/>
      <c r="P200" s="2693"/>
    </row>
    <row r="201" spans="2:16">
      <c r="B201" s="2704" t="s">
        <v>2686</v>
      </c>
      <c r="C201" s="2705" t="s">
        <v>6992</v>
      </c>
      <c r="D201" s="2693"/>
      <c r="E201" s="2693"/>
      <c r="F201" s="2693"/>
      <c r="G201" s="2693"/>
      <c r="H201" s="2693"/>
      <c r="I201" s="2693"/>
      <c r="J201" s="2693"/>
      <c r="K201" s="2693"/>
      <c r="L201" s="2693"/>
      <c r="M201" s="2693"/>
      <c r="N201" s="2693"/>
      <c r="O201" s="2693"/>
      <c r="P201" s="2693"/>
    </row>
    <row r="202" spans="2:16">
      <c r="B202" s="2693"/>
      <c r="C202" s="2693"/>
      <c r="D202" s="2693"/>
      <c r="E202" s="2693"/>
      <c r="F202" s="2693"/>
      <c r="G202" s="2693"/>
      <c r="H202" s="2693"/>
      <c r="I202" s="2693"/>
      <c r="J202" s="2693"/>
      <c r="K202" s="2693"/>
      <c r="L202" s="2693"/>
      <c r="M202" s="2693"/>
      <c r="N202" s="2693"/>
      <c r="O202" s="2693"/>
      <c r="P202" s="2693"/>
    </row>
    <row r="203" spans="2:16">
      <c r="B203" s="2693" t="s">
        <v>6993</v>
      </c>
      <c r="C203" s="2693"/>
      <c r="D203" s="2693"/>
      <c r="E203" s="2693"/>
      <c r="F203" s="2693"/>
      <c r="G203" s="2693"/>
      <c r="H203" s="2693"/>
      <c r="I203" s="2693"/>
      <c r="J203" s="2693"/>
      <c r="K203" s="2693"/>
      <c r="L203" s="2693"/>
      <c r="M203" s="2693"/>
      <c r="N203" s="2693"/>
      <c r="O203" s="2693"/>
      <c r="P203" s="2693"/>
    </row>
    <row r="204" spans="2:16">
      <c r="B204" s="2693" t="s">
        <v>6994</v>
      </c>
      <c r="C204" s="2693"/>
      <c r="D204" s="2693"/>
      <c r="E204" s="2693"/>
      <c r="F204" s="2693"/>
      <c r="G204" s="2693"/>
      <c r="H204" s="2693"/>
      <c r="I204" s="2693"/>
      <c r="J204" s="2693"/>
      <c r="K204" s="2693"/>
      <c r="L204" s="2693"/>
      <c r="M204" s="2693"/>
      <c r="N204" s="2693"/>
      <c r="O204" s="2693"/>
      <c r="P204" s="2693"/>
    </row>
    <row r="205" spans="2:16">
      <c r="B205" s="2693" t="s">
        <v>6995</v>
      </c>
      <c r="C205" s="2693"/>
      <c r="D205" s="2693"/>
      <c r="E205" s="2705"/>
      <c r="F205" s="2693"/>
      <c r="G205" s="2693"/>
      <c r="H205" s="2693"/>
      <c r="I205" s="2693"/>
      <c r="J205" s="2693"/>
      <c r="K205" s="2693"/>
      <c r="L205" s="2693"/>
      <c r="M205" s="2693"/>
      <c r="N205" s="2693"/>
      <c r="O205" s="2693"/>
      <c r="P205" s="2693"/>
    </row>
    <row r="206" spans="2:16">
      <c r="B206" s="2693" t="s">
        <v>6996</v>
      </c>
      <c r="C206" s="2693"/>
      <c r="D206" s="2693"/>
      <c r="E206" s="2693"/>
      <c r="F206" s="2693"/>
      <c r="G206" s="2693"/>
      <c r="H206" s="2693"/>
      <c r="I206" s="2693"/>
      <c r="J206" s="2693"/>
      <c r="K206" s="2693"/>
      <c r="L206" s="2693"/>
      <c r="M206" s="2693"/>
      <c r="N206" s="2693"/>
      <c r="O206" s="2693"/>
      <c r="P206" s="2693"/>
    </row>
    <row r="207" spans="2:16">
      <c r="B207" s="2693"/>
      <c r="C207" s="2693"/>
      <c r="D207" s="2693"/>
      <c r="E207" s="2693"/>
      <c r="F207" s="2693"/>
      <c r="G207" s="2693"/>
      <c r="H207" s="2693"/>
      <c r="I207" s="2693"/>
      <c r="J207" s="2693"/>
      <c r="K207" s="2693"/>
      <c r="L207" s="2693"/>
      <c r="M207" s="2693"/>
      <c r="N207" s="2693"/>
      <c r="O207" s="2693"/>
      <c r="P207" s="2693"/>
    </row>
    <row r="208" spans="2:16" ht="18.75">
      <c r="B208" s="2692" t="s">
        <v>6997</v>
      </c>
      <c r="C208" s="2692"/>
      <c r="D208" s="2693"/>
      <c r="E208" s="2693"/>
      <c r="F208" s="2693"/>
      <c r="G208" s="2693"/>
      <c r="H208" s="2693"/>
      <c r="I208" s="2693"/>
      <c r="J208" s="2693"/>
      <c r="K208" s="2693"/>
      <c r="L208" s="2693"/>
      <c r="M208" s="2693"/>
      <c r="N208" s="2693"/>
      <c r="O208" s="2693"/>
      <c r="P208" s="2693"/>
    </row>
    <row r="209" spans="2:16">
      <c r="B209" s="2704" t="s">
        <v>2686</v>
      </c>
      <c r="C209" s="2705" t="s">
        <v>6998</v>
      </c>
      <c r="D209" s="2693"/>
      <c r="E209" s="2693"/>
      <c r="F209" s="2693"/>
      <c r="G209" s="2693"/>
      <c r="H209" s="2693"/>
      <c r="I209" s="2693"/>
      <c r="J209" s="2693"/>
      <c r="K209" s="2693"/>
      <c r="L209" s="2693"/>
      <c r="M209" s="2693"/>
      <c r="N209" s="2693"/>
      <c r="O209" s="2693"/>
      <c r="P209" s="2693"/>
    </row>
    <row r="210" spans="2:16">
      <c r="B210" s="2693"/>
      <c r="C210" s="2693"/>
      <c r="D210" s="2693"/>
      <c r="E210" s="2693"/>
      <c r="F210" s="2693"/>
      <c r="G210" s="2693"/>
      <c r="H210" s="2693"/>
      <c r="I210" s="2693"/>
      <c r="J210" s="2693"/>
      <c r="K210" s="2693"/>
      <c r="L210" s="2693"/>
      <c r="M210" s="2693"/>
      <c r="N210" s="2693"/>
      <c r="O210" s="2693"/>
      <c r="P210" s="2693"/>
    </row>
    <row r="211" spans="2:16" ht="18.75">
      <c r="B211" s="2692" t="s">
        <v>6985</v>
      </c>
      <c r="C211" s="2692"/>
      <c r="D211" s="2693"/>
      <c r="E211" s="2693"/>
      <c r="F211" s="2693"/>
      <c r="G211" s="2693"/>
      <c r="H211" s="2693"/>
      <c r="I211" s="2693"/>
      <c r="J211" s="2693"/>
      <c r="K211" s="2693"/>
      <c r="L211" s="2693"/>
      <c r="M211" s="2693"/>
      <c r="N211" s="2693"/>
      <c r="O211" s="2693"/>
      <c r="P211" s="2693"/>
    </row>
    <row r="212" spans="2:16">
      <c r="B212" s="2704" t="s">
        <v>2686</v>
      </c>
      <c r="C212" s="2705" t="s">
        <v>6986</v>
      </c>
      <c r="D212" s="2693"/>
      <c r="E212" s="2693"/>
      <c r="F212" s="2693"/>
      <c r="G212" s="2693"/>
      <c r="H212" s="2693"/>
      <c r="I212" s="2693"/>
      <c r="J212" s="2693"/>
      <c r="K212" s="2693"/>
      <c r="L212" s="2693"/>
      <c r="M212" s="2693"/>
      <c r="N212" s="2693"/>
      <c r="O212" s="2693"/>
      <c r="P212" s="2693"/>
    </row>
    <row r="213" spans="2:16">
      <c r="B213" s="2693"/>
      <c r="C213" s="2693"/>
      <c r="D213" s="2693"/>
      <c r="E213" s="2693"/>
      <c r="F213" s="2693"/>
      <c r="G213" s="2693"/>
      <c r="H213" s="2693"/>
      <c r="I213" s="2693"/>
      <c r="J213" s="2693"/>
      <c r="K213" s="2693"/>
      <c r="L213" s="2693"/>
      <c r="M213" s="2693"/>
      <c r="N213" s="2693"/>
      <c r="O213" s="2693"/>
      <c r="P213" s="2693"/>
    </row>
    <row r="214" spans="2:16" ht="18.75">
      <c r="B214" s="2692" t="s">
        <v>6999</v>
      </c>
      <c r="C214" s="2692"/>
      <c r="D214" s="2693"/>
      <c r="E214" s="2693"/>
      <c r="F214" s="2693"/>
      <c r="G214" s="2693"/>
      <c r="H214" s="2693"/>
      <c r="I214" s="2693"/>
      <c r="J214" s="2693"/>
      <c r="K214" s="2693"/>
      <c r="L214" s="2693"/>
      <c r="M214" s="2693"/>
      <c r="N214" s="2693"/>
      <c r="O214" s="2693"/>
      <c r="P214" s="2693"/>
    </row>
    <row r="215" spans="2:16">
      <c r="B215" s="2704" t="s">
        <v>2686</v>
      </c>
      <c r="C215" s="2705" t="s">
        <v>7000</v>
      </c>
      <c r="D215" s="2693"/>
      <c r="E215" s="2693"/>
      <c r="F215" s="2693"/>
      <c r="G215" s="2693"/>
      <c r="H215" s="2693"/>
      <c r="I215" s="2693"/>
      <c r="J215" s="2693"/>
      <c r="K215" s="2693"/>
      <c r="L215" s="2693"/>
      <c r="M215" s="2693"/>
      <c r="N215" s="2693"/>
      <c r="O215" s="2693"/>
      <c r="P215" s="2693"/>
    </row>
    <row r="216" spans="2:16">
      <c r="B216" s="2693"/>
      <c r="C216" s="2693"/>
      <c r="D216" s="2693"/>
      <c r="E216" s="2693"/>
      <c r="F216" s="2693"/>
      <c r="G216" s="2693"/>
      <c r="H216" s="2693"/>
      <c r="I216" s="2693"/>
      <c r="J216" s="2693"/>
      <c r="K216" s="2693"/>
      <c r="L216" s="2693"/>
      <c r="M216" s="2693"/>
      <c r="N216" s="2693"/>
      <c r="O216" s="2693"/>
      <c r="P216" s="2693"/>
    </row>
    <row r="217" spans="2:16" ht="18.75">
      <c r="B217" s="2692" t="s">
        <v>7001</v>
      </c>
      <c r="C217" s="2693"/>
      <c r="D217" s="2693"/>
      <c r="E217" s="2693"/>
      <c r="F217" s="2693"/>
      <c r="G217" s="2693"/>
      <c r="H217" s="2693"/>
      <c r="I217" s="2693"/>
      <c r="J217" s="2693"/>
      <c r="K217" s="2693"/>
      <c r="L217" s="2693"/>
      <c r="M217" s="2693"/>
      <c r="N217" s="2693"/>
      <c r="O217" s="2693"/>
      <c r="P217" s="2693"/>
    </row>
    <row r="218" spans="2:16">
      <c r="B218" s="2704" t="s">
        <v>2686</v>
      </c>
      <c r="C218" s="2706" t="s">
        <v>7002</v>
      </c>
      <c r="D218" s="2693"/>
      <c r="E218" s="2693"/>
      <c r="F218" s="2693"/>
      <c r="G218" s="2693"/>
      <c r="H218" s="2693"/>
      <c r="I218" s="2693"/>
      <c r="J218" s="2693"/>
      <c r="K218" s="2693"/>
      <c r="L218" s="2693"/>
      <c r="M218" s="2693"/>
      <c r="N218" s="2693"/>
      <c r="O218" s="2693"/>
      <c r="P218" s="2693"/>
    </row>
    <row r="219" spans="2:16">
      <c r="B219" s="10266" t="s">
        <v>7003</v>
      </c>
      <c r="C219" s="10266"/>
      <c r="D219" s="2705" t="s">
        <v>7004</v>
      </c>
      <c r="E219" s="2693"/>
      <c r="F219" s="2693"/>
      <c r="G219" s="2693"/>
      <c r="H219" s="2693"/>
      <c r="I219" s="2693"/>
      <c r="J219" s="2693"/>
      <c r="K219" s="2693"/>
      <c r="L219" s="2693"/>
      <c r="M219" s="2693"/>
      <c r="N219" s="2693"/>
      <c r="O219" s="2693"/>
      <c r="P219" s="2693"/>
    </row>
    <row r="220" spans="2:16">
      <c r="B220" s="2693"/>
      <c r="C220" s="2693"/>
      <c r="D220" s="2693"/>
      <c r="E220" s="2693"/>
      <c r="F220" s="2693"/>
      <c r="G220" s="2693"/>
      <c r="H220" s="2693"/>
      <c r="I220" s="2693"/>
      <c r="J220" s="2693"/>
      <c r="K220" s="2693"/>
      <c r="L220" s="2693"/>
      <c r="M220" s="2693"/>
      <c r="N220" s="2693"/>
      <c r="O220" s="2693"/>
      <c r="P220" s="2693"/>
    </row>
    <row r="221" spans="2:16" ht="18.75">
      <c r="B221" s="2692" t="s">
        <v>7005</v>
      </c>
      <c r="C221" s="2693"/>
      <c r="D221" s="2693"/>
      <c r="E221" s="2693"/>
      <c r="F221" s="2693"/>
      <c r="G221" s="2693"/>
      <c r="H221" s="2693"/>
      <c r="I221" s="2693"/>
      <c r="J221" s="2693"/>
      <c r="K221" s="2693"/>
      <c r="L221" s="2693"/>
      <c r="M221" s="2693"/>
      <c r="N221" s="2693"/>
      <c r="O221" s="2693"/>
      <c r="P221" s="2693"/>
    </row>
    <row r="222" spans="2:16">
      <c r="B222" s="2704" t="s">
        <v>2686</v>
      </c>
      <c r="C222" s="2705" t="s">
        <v>7006</v>
      </c>
      <c r="D222" s="2693"/>
      <c r="E222" s="2693"/>
      <c r="F222" s="2693"/>
      <c r="G222" s="2693"/>
      <c r="H222" s="2693"/>
      <c r="I222" s="2693"/>
      <c r="J222" s="2693"/>
      <c r="K222" s="2693"/>
      <c r="L222" s="2693"/>
      <c r="M222" s="2693"/>
      <c r="N222" s="2693"/>
      <c r="O222" s="2693"/>
      <c r="P222" s="2693"/>
    </row>
    <row r="223" spans="2:16">
      <c r="B223" s="10266" t="s">
        <v>7007</v>
      </c>
      <c r="C223" s="10266"/>
      <c r="D223" s="2705" t="s">
        <v>7008</v>
      </c>
      <c r="E223" s="2693"/>
      <c r="F223" s="2693"/>
      <c r="G223" s="2693"/>
      <c r="H223" s="2693"/>
      <c r="I223" s="2693"/>
      <c r="J223" s="2693"/>
      <c r="K223" s="2693"/>
      <c r="L223" s="2693"/>
      <c r="M223" s="2693"/>
      <c r="N223" s="2693"/>
      <c r="O223" s="2693"/>
      <c r="P223" s="2693"/>
    </row>
    <row r="224" spans="2:16">
      <c r="B224" s="2693"/>
      <c r="C224" s="2693"/>
      <c r="D224" s="2693"/>
      <c r="E224" s="2693"/>
      <c r="F224" s="2693"/>
      <c r="G224" s="2693"/>
      <c r="H224" s="2693"/>
      <c r="I224" s="2693"/>
      <c r="J224" s="2693"/>
      <c r="K224" s="2693"/>
      <c r="L224" s="2693"/>
      <c r="M224" s="2693"/>
      <c r="N224" s="2693"/>
      <c r="O224" s="2693"/>
      <c r="P224" s="2693"/>
    </row>
    <row r="225" spans="1:16" ht="18.75">
      <c r="B225" s="2692" t="s">
        <v>7009</v>
      </c>
      <c r="C225" s="2692"/>
      <c r="D225" s="2693"/>
      <c r="E225" s="2693"/>
      <c r="F225" s="2693"/>
      <c r="G225" s="2693"/>
      <c r="H225" s="2693"/>
      <c r="I225" s="2693"/>
      <c r="J225" s="2693"/>
      <c r="K225" s="2693"/>
      <c r="L225" s="2693"/>
      <c r="M225" s="2693"/>
      <c r="N225" s="2693"/>
      <c r="O225" s="2693"/>
      <c r="P225" s="2693"/>
    </row>
    <row r="226" spans="1:16">
      <c r="B226" s="2704" t="s">
        <v>2686</v>
      </c>
      <c r="C226" s="2705" t="s">
        <v>7010</v>
      </c>
      <c r="D226" s="2693"/>
      <c r="E226" s="2693"/>
      <c r="F226" s="2693"/>
      <c r="G226" s="2693"/>
      <c r="H226" s="2693"/>
      <c r="I226" s="2693"/>
      <c r="J226" s="2693"/>
      <c r="K226" s="2693"/>
      <c r="L226" s="2693"/>
      <c r="M226" s="2693"/>
      <c r="N226" s="2693"/>
      <c r="O226" s="2693"/>
      <c r="P226" s="2693"/>
    </row>
    <row r="227" spans="1:16">
      <c r="B227" s="2693"/>
      <c r="C227" s="2693"/>
      <c r="D227" s="2693"/>
      <c r="E227" s="2693"/>
      <c r="F227" s="2693"/>
      <c r="G227" s="2693"/>
      <c r="H227" s="2693"/>
      <c r="I227" s="2693"/>
      <c r="J227" s="2693"/>
      <c r="K227" s="2693"/>
      <c r="L227" s="2693"/>
      <c r="M227" s="2693"/>
      <c r="N227" s="2693"/>
      <c r="O227" s="2693"/>
      <c r="P227" s="2693"/>
    </row>
    <row r="228" spans="1:16" ht="18.75">
      <c r="A228" s="2693"/>
      <c r="B228" s="2692" t="s">
        <v>7011</v>
      </c>
      <c r="C228" s="2692"/>
      <c r="D228" s="2693"/>
      <c r="E228" s="2693"/>
      <c r="F228" s="2693"/>
      <c r="G228" s="2693"/>
      <c r="H228" s="2693"/>
      <c r="I228" s="2693"/>
      <c r="J228" s="2693"/>
      <c r="K228" s="2693"/>
      <c r="L228" s="2693"/>
      <c r="M228" s="2693"/>
      <c r="N228" s="2693"/>
      <c r="O228" s="2693"/>
      <c r="P228" s="2693"/>
    </row>
    <row r="229" spans="1:16">
      <c r="A229" s="2693"/>
      <c r="B229" s="2704" t="s">
        <v>2686</v>
      </c>
      <c r="C229" s="2705" t="s">
        <v>7012</v>
      </c>
      <c r="D229" s="2693"/>
      <c r="E229" s="2693"/>
      <c r="F229" s="2693"/>
      <c r="G229" s="2693"/>
      <c r="H229" s="2693"/>
      <c r="I229" s="2693"/>
      <c r="J229" s="2693"/>
      <c r="K229" s="2693"/>
      <c r="L229" s="2693"/>
      <c r="M229" s="2693"/>
      <c r="N229" s="2693"/>
      <c r="O229" s="2693"/>
      <c r="P229" s="2693"/>
    </row>
    <row r="230" spans="1:16">
      <c r="B230" s="2693"/>
      <c r="C230" s="2693"/>
      <c r="D230" s="2693"/>
      <c r="E230" s="2693"/>
      <c r="F230" s="2693"/>
      <c r="G230" s="2693"/>
      <c r="H230" s="2693"/>
      <c r="I230" s="2693"/>
      <c r="J230" s="2693"/>
      <c r="K230" s="2693"/>
      <c r="L230" s="2693"/>
      <c r="M230" s="2693"/>
      <c r="N230" s="2693"/>
      <c r="O230" s="2693"/>
      <c r="P230" s="2693"/>
    </row>
    <row r="231" spans="1:16" ht="18.75">
      <c r="B231" s="2692" t="s">
        <v>7013</v>
      </c>
      <c r="C231" s="2693"/>
      <c r="D231" s="2693"/>
      <c r="E231" s="2693"/>
      <c r="F231" s="2693"/>
      <c r="G231" s="2693"/>
      <c r="H231" s="2693"/>
      <c r="I231" s="2693"/>
      <c r="J231" s="2693"/>
      <c r="K231" s="2693"/>
      <c r="L231" s="2693"/>
      <c r="M231" s="2693"/>
      <c r="N231" s="2693"/>
      <c r="O231" s="2693"/>
      <c r="P231" s="2693"/>
    </row>
    <row r="232" spans="1:16">
      <c r="B232" s="2704" t="s">
        <v>2686</v>
      </c>
      <c r="C232" s="2705" t="s">
        <v>7014</v>
      </c>
      <c r="D232" s="2693"/>
      <c r="E232" s="2693"/>
      <c r="F232" s="2693"/>
      <c r="G232" s="2693"/>
      <c r="H232" s="2693"/>
      <c r="I232" s="2693"/>
      <c r="J232" s="2693"/>
      <c r="K232" s="2693"/>
      <c r="L232" s="2693"/>
      <c r="M232" s="2693"/>
      <c r="N232" s="2693"/>
      <c r="O232" s="2693"/>
      <c r="P232" s="2693"/>
    </row>
    <row r="233" spans="1:16">
      <c r="B233" s="10266" t="s">
        <v>7015</v>
      </c>
      <c r="C233" s="10266"/>
      <c r="D233" s="2705" t="s">
        <v>7016</v>
      </c>
      <c r="E233" s="2693"/>
      <c r="F233" s="2693"/>
      <c r="G233" s="2693"/>
      <c r="H233" s="2693"/>
      <c r="I233" s="2693"/>
      <c r="J233" s="2693"/>
      <c r="K233" s="2693"/>
      <c r="L233" s="2693"/>
      <c r="M233" s="2693"/>
      <c r="N233" s="2693"/>
      <c r="O233" s="2693"/>
      <c r="P233" s="2693"/>
    </row>
    <row r="234" spans="1:16">
      <c r="B234" s="2693"/>
      <c r="C234" s="2693"/>
      <c r="D234" s="2693"/>
      <c r="E234" s="2693"/>
      <c r="F234" s="2693"/>
      <c r="G234" s="2693"/>
      <c r="H234" s="2693"/>
      <c r="I234" s="2693"/>
      <c r="J234" s="2693"/>
      <c r="K234" s="2693"/>
      <c r="L234" s="2693"/>
      <c r="M234" s="2693"/>
      <c r="N234" s="2693"/>
      <c r="O234" s="2693"/>
      <c r="P234" s="2693"/>
    </row>
    <row r="235" spans="1:16">
      <c r="B235" s="2693" t="s">
        <v>7017</v>
      </c>
      <c r="C235" s="2693"/>
      <c r="D235" s="2693"/>
      <c r="E235" s="2693"/>
      <c r="F235" s="2693"/>
      <c r="G235" s="2693"/>
      <c r="H235" s="2693"/>
      <c r="I235" s="2693"/>
      <c r="J235" s="2693"/>
      <c r="K235" s="2693"/>
      <c r="L235" s="2693"/>
      <c r="M235" s="2693" t="s">
        <v>6966</v>
      </c>
      <c r="N235" s="2693"/>
      <c r="O235" s="2693"/>
      <c r="P235" s="2693"/>
    </row>
    <row r="236" spans="1:16">
      <c r="B236" s="2693" t="s">
        <v>7018</v>
      </c>
      <c r="C236" s="2693"/>
      <c r="D236" s="2693"/>
      <c r="E236" s="2693"/>
      <c r="F236" s="2693"/>
      <c r="G236" s="2693"/>
      <c r="H236" s="2693"/>
      <c r="I236" s="2693"/>
      <c r="J236" s="2693"/>
      <c r="K236" s="2693"/>
      <c r="L236" s="2693"/>
      <c r="M236" s="2693"/>
      <c r="N236" s="2693"/>
      <c r="O236" s="2693"/>
      <c r="P236" s="2693"/>
    </row>
    <row r="237" spans="1:16">
      <c r="B237" s="2693" t="s">
        <v>7019</v>
      </c>
      <c r="C237" s="2693"/>
      <c r="D237" s="2693"/>
      <c r="E237" s="2693"/>
      <c r="F237" s="2693"/>
      <c r="G237" s="2693"/>
      <c r="H237" s="2693"/>
      <c r="I237" s="2693"/>
      <c r="J237" s="2693"/>
      <c r="K237" s="2693"/>
      <c r="L237" s="2693"/>
      <c r="M237" s="2693"/>
      <c r="N237" s="2693"/>
      <c r="O237" s="2693"/>
      <c r="P237" s="2693"/>
    </row>
    <row r="238" spans="1:16">
      <c r="B238" s="2693" t="s">
        <v>7020</v>
      </c>
      <c r="C238" s="2693"/>
      <c r="D238" s="2693"/>
      <c r="E238" s="2693"/>
      <c r="F238" s="2693"/>
      <c r="G238" s="2693"/>
      <c r="H238" s="2693"/>
      <c r="I238" s="2693"/>
      <c r="J238" s="2693"/>
      <c r="K238" s="2693"/>
      <c r="L238" s="2693"/>
      <c r="M238" s="2693"/>
      <c r="N238" s="2693"/>
      <c r="O238" s="2693"/>
      <c r="P238" s="2693"/>
    </row>
    <row r="239" spans="1:16">
      <c r="B239" s="2693" t="s">
        <v>7021</v>
      </c>
      <c r="C239" s="2693"/>
      <c r="D239" s="2693"/>
      <c r="E239" s="2693"/>
      <c r="F239" s="2693"/>
      <c r="G239" s="2693"/>
      <c r="H239" s="2693"/>
      <c r="I239" s="2693"/>
      <c r="J239" s="2693"/>
      <c r="K239" s="2693"/>
      <c r="L239" s="2693"/>
      <c r="M239" s="2693"/>
      <c r="N239" s="2693"/>
      <c r="O239" s="2693"/>
      <c r="P239" s="2693"/>
    </row>
    <row r="240" spans="1:16">
      <c r="B240" s="2693" t="s">
        <v>7022</v>
      </c>
      <c r="C240" s="2693"/>
      <c r="D240" s="2693"/>
      <c r="E240" s="2693"/>
      <c r="F240" s="2693"/>
      <c r="G240" s="2693"/>
      <c r="H240" s="2693"/>
      <c r="I240" s="2693"/>
      <c r="J240" s="2693"/>
      <c r="K240" s="2693"/>
      <c r="L240" s="2693"/>
      <c r="M240" s="2693" t="s">
        <v>7008</v>
      </c>
      <c r="N240" s="2693"/>
      <c r="O240" s="2693"/>
      <c r="P240" s="2693"/>
    </row>
    <row r="241" spans="1:16">
      <c r="B241" s="2693"/>
      <c r="C241" s="2693"/>
      <c r="D241" s="2693"/>
      <c r="E241" s="2693"/>
      <c r="F241" s="2693"/>
      <c r="G241" s="2693"/>
      <c r="H241" s="2693"/>
      <c r="I241" s="2693"/>
      <c r="J241" s="2693"/>
      <c r="K241" s="2693"/>
      <c r="L241" s="2693"/>
      <c r="M241" s="2693"/>
      <c r="N241" s="2693"/>
      <c r="O241" s="2693"/>
      <c r="P241" s="2693"/>
    </row>
    <row r="242" spans="1:16">
      <c r="B242" s="2693"/>
      <c r="C242" s="2693"/>
      <c r="D242" s="2693"/>
      <c r="E242" s="2693"/>
      <c r="F242" s="2693"/>
      <c r="G242" s="2693"/>
      <c r="H242" s="2693"/>
      <c r="I242" s="2693"/>
      <c r="J242" s="2693"/>
      <c r="K242" s="2693"/>
      <c r="L242" s="2693"/>
      <c r="M242" s="2693"/>
      <c r="N242" s="2693"/>
      <c r="O242" s="2693"/>
      <c r="P242" s="2693"/>
    </row>
    <row r="243" spans="1:16" s="1545" customFormat="1" ht="21.75" customHeight="1">
      <c r="A243" s="2697"/>
      <c r="B243" s="2701"/>
      <c r="C243" s="2701" t="s">
        <v>2449</v>
      </c>
      <c r="D243" s="2044"/>
      <c r="E243" s="1544"/>
      <c r="F243" s="1544"/>
      <c r="G243" s="1544"/>
      <c r="H243" s="1544"/>
      <c r="I243" s="1544"/>
      <c r="J243" s="1544"/>
      <c r="K243" s="1544"/>
      <c r="L243" s="1544"/>
      <c r="M243" s="1544"/>
      <c r="N243" s="1544"/>
      <c r="O243" s="1544"/>
      <c r="P243" s="1544"/>
    </row>
    <row r="244" spans="1:16" ht="18">
      <c r="B244" s="2693"/>
      <c r="C244" s="2713"/>
      <c r="D244" s="2693"/>
      <c r="E244" s="2693"/>
      <c r="F244" s="2693"/>
      <c r="G244" s="2693"/>
      <c r="H244" s="2693"/>
      <c r="I244" s="2693"/>
      <c r="J244" s="2693"/>
      <c r="K244" s="2693"/>
      <c r="L244" s="2693"/>
      <c r="M244" s="2693"/>
      <c r="N244" s="2693"/>
      <c r="O244" s="2693"/>
      <c r="P244" s="2693"/>
    </row>
    <row r="245" spans="1:16" ht="18.75">
      <c r="B245" s="2692" t="s">
        <v>2382</v>
      </c>
      <c r="C245" s="2693"/>
      <c r="D245" s="2693"/>
      <c r="E245" s="2693"/>
      <c r="F245" s="2693"/>
      <c r="G245" s="2693"/>
      <c r="H245" s="2693"/>
      <c r="I245" s="2693"/>
      <c r="J245" s="2693"/>
      <c r="K245" s="2693"/>
      <c r="L245" s="2693"/>
      <c r="M245" s="2693"/>
      <c r="N245" s="2693"/>
      <c r="O245" s="2693"/>
      <c r="P245" s="2693"/>
    </row>
    <row r="246" spans="1:16" ht="18.75">
      <c r="B246" s="2704" t="s">
        <v>2450</v>
      </c>
      <c r="C246" s="2709" t="s">
        <v>7023</v>
      </c>
      <c r="D246" s="2693"/>
      <c r="E246" s="2693"/>
      <c r="F246" s="2693"/>
      <c r="G246" s="2693"/>
      <c r="H246" s="2693"/>
      <c r="I246" s="2693"/>
      <c r="J246" s="2693"/>
      <c r="K246" s="2693"/>
      <c r="L246" s="2693"/>
      <c r="M246" s="2693"/>
      <c r="N246" s="2693"/>
      <c r="O246" s="2693"/>
      <c r="P246" s="2693"/>
    </row>
    <row r="247" spans="1:16" ht="18">
      <c r="B247" s="2693"/>
      <c r="C247" s="2713"/>
      <c r="D247" s="2693"/>
      <c r="E247" s="2693"/>
      <c r="F247" s="2693"/>
      <c r="G247" s="2693"/>
      <c r="H247" s="2693"/>
      <c r="I247" s="2693"/>
      <c r="J247" s="2693"/>
      <c r="K247" s="2693"/>
      <c r="L247" s="2693"/>
      <c r="M247" s="2693"/>
      <c r="N247" s="2693"/>
      <c r="O247" s="2693"/>
      <c r="P247" s="2693"/>
    </row>
    <row r="248" spans="1:16" ht="18.75">
      <c r="B248" s="2692" t="s">
        <v>7024</v>
      </c>
      <c r="C248" s="2693"/>
      <c r="D248" s="2693"/>
      <c r="E248" s="2693"/>
      <c r="F248" s="2693"/>
      <c r="G248" s="2693"/>
      <c r="H248" s="2693"/>
      <c r="I248" s="2693"/>
      <c r="J248" s="2693"/>
      <c r="K248" s="2693"/>
      <c r="L248" s="2693"/>
      <c r="M248" s="2693"/>
      <c r="N248" s="2693"/>
      <c r="O248" s="2693"/>
      <c r="P248" s="2693"/>
    </row>
    <row r="249" spans="1:16" ht="18.75">
      <c r="B249" s="2704" t="s">
        <v>2450</v>
      </c>
      <c r="C249" s="2709" t="s">
        <v>7025</v>
      </c>
      <c r="D249" s="2693"/>
      <c r="E249" s="2693"/>
      <c r="F249" s="2693"/>
      <c r="G249" s="2693"/>
      <c r="H249" s="2693"/>
      <c r="I249" s="2693"/>
      <c r="J249" s="2693"/>
      <c r="K249" s="2693"/>
      <c r="L249" s="2693"/>
      <c r="M249" s="2693"/>
      <c r="N249" s="2693"/>
      <c r="O249" s="2693"/>
      <c r="P249" s="2693"/>
    </row>
    <row r="250" spans="1:16" ht="18">
      <c r="B250" s="2693"/>
      <c r="C250" s="2713"/>
      <c r="D250" s="2693"/>
      <c r="E250" s="2693"/>
      <c r="F250" s="2693"/>
      <c r="G250" s="2693"/>
      <c r="H250" s="2693"/>
      <c r="I250" s="2693"/>
      <c r="J250" s="2693"/>
      <c r="K250" s="2693"/>
      <c r="L250" s="2693"/>
      <c r="M250" s="2693"/>
      <c r="N250" s="2693"/>
      <c r="O250" s="2693"/>
      <c r="P250" s="2693"/>
    </row>
    <row r="251" spans="1:16" ht="18.75">
      <c r="B251" s="2704" t="s">
        <v>2450</v>
      </c>
      <c r="C251" s="2709" t="s">
        <v>2452</v>
      </c>
      <c r="D251" s="2693"/>
      <c r="E251" s="2693"/>
      <c r="F251" s="2693"/>
      <c r="G251" s="2693"/>
      <c r="H251" s="2693"/>
      <c r="I251" s="2693"/>
      <c r="J251" s="2693"/>
      <c r="K251" s="2693" t="s">
        <v>2451</v>
      </c>
      <c r="L251" s="2693"/>
      <c r="M251" s="2693"/>
      <c r="N251" s="2693"/>
      <c r="O251" s="2693"/>
      <c r="P251" s="2693"/>
    </row>
    <row r="252" spans="1:16" ht="18">
      <c r="B252" s="2693"/>
      <c r="C252" s="2713"/>
      <c r="D252" s="2693"/>
      <c r="E252" s="2693"/>
      <c r="F252" s="2693"/>
      <c r="G252" s="2693"/>
      <c r="H252" s="2693"/>
      <c r="I252" s="2693"/>
      <c r="J252" s="2693"/>
      <c r="K252" s="2693"/>
      <c r="L252" s="2693"/>
      <c r="M252" s="2693"/>
      <c r="N252" s="2693"/>
      <c r="O252" s="2693"/>
      <c r="P252" s="2693"/>
    </row>
    <row r="253" spans="1:16" ht="18.75">
      <c r="B253" s="2704" t="s">
        <v>2686</v>
      </c>
      <c r="C253" s="2709" t="s">
        <v>2453</v>
      </c>
      <c r="D253" s="2693"/>
      <c r="E253" s="2693"/>
      <c r="F253" s="2693"/>
      <c r="G253" s="2693"/>
      <c r="H253" s="2693"/>
      <c r="I253" s="2693"/>
      <c r="J253" s="2693"/>
      <c r="K253" s="2693"/>
      <c r="L253" s="2693"/>
      <c r="M253" s="2693"/>
      <c r="N253" s="2693"/>
      <c r="O253" s="2693"/>
      <c r="P253" s="2693"/>
    </row>
    <row r="254" spans="1:16" ht="18">
      <c r="B254" s="2693"/>
      <c r="C254" s="2713"/>
      <c r="D254" s="2693"/>
      <c r="E254" s="2693"/>
      <c r="F254" s="2693"/>
      <c r="G254" s="2693"/>
      <c r="H254" s="2693"/>
      <c r="I254" s="2693"/>
      <c r="J254" s="2693"/>
      <c r="K254" s="2693"/>
      <c r="L254" s="2693"/>
      <c r="M254" s="2693"/>
      <c r="N254" s="2693"/>
      <c r="O254" s="2693"/>
      <c r="P254" s="2693"/>
    </row>
    <row r="255" spans="1:16" ht="18.75">
      <c r="B255" s="2704" t="s">
        <v>2686</v>
      </c>
      <c r="C255" s="2709" t="s">
        <v>2457</v>
      </c>
      <c r="D255" s="2693"/>
      <c r="E255" s="2693"/>
      <c r="F255" s="2693"/>
      <c r="G255" s="2693"/>
      <c r="H255" s="2693"/>
      <c r="I255" s="2693"/>
      <c r="J255" s="2693"/>
      <c r="K255" s="2693" t="s">
        <v>2456</v>
      </c>
      <c r="L255" s="2693"/>
      <c r="M255" s="2693"/>
      <c r="N255" s="2693"/>
      <c r="O255" s="2693"/>
      <c r="P255" s="2693"/>
    </row>
    <row r="256" spans="1:16" ht="18">
      <c r="B256" s="2693"/>
      <c r="C256" s="2713"/>
      <c r="D256" s="2693"/>
      <c r="E256" s="2693"/>
      <c r="F256" s="2693"/>
      <c r="G256" s="2693"/>
      <c r="H256" s="2693"/>
      <c r="I256" s="2693"/>
      <c r="J256" s="2693"/>
      <c r="K256" s="2693"/>
      <c r="L256" s="2693"/>
      <c r="M256" s="2693"/>
      <c r="N256" s="2693"/>
      <c r="O256" s="2693"/>
      <c r="P256" s="2693"/>
    </row>
    <row r="257" spans="2:16" ht="18.75">
      <c r="B257" s="2704" t="s">
        <v>2686</v>
      </c>
      <c r="C257" s="2709" t="s">
        <v>2459</v>
      </c>
      <c r="D257" s="2693"/>
      <c r="E257" s="2693"/>
      <c r="F257" s="2693"/>
      <c r="G257" s="2693"/>
      <c r="H257" s="2693"/>
      <c r="I257" s="2693"/>
      <c r="J257" s="2693"/>
      <c r="K257" s="2693" t="s">
        <v>2458</v>
      </c>
      <c r="L257" s="2693"/>
      <c r="M257" s="2693"/>
      <c r="N257" s="2693"/>
      <c r="O257" s="2693"/>
      <c r="P257" s="2693"/>
    </row>
    <row r="258" spans="2:16" ht="18">
      <c r="B258" s="2693"/>
      <c r="C258" s="2713"/>
      <c r="D258" s="2693"/>
      <c r="E258" s="2693"/>
      <c r="F258" s="2693"/>
      <c r="G258" s="2693"/>
      <c r="H258" s="2693"/>
      <c r="I258" s="2693"/>
      <c r="J258" s="2693"/>
      <c r="K258" s="2693"/>
      <c r="L258" s="2693"/>
      <c r="M258" s="2693"/>
      <c r="N258" s="2693"/>
      <c r="O258" s="2693"/>
      <c r="P258" s="2693"/>
    </row>
    <row r="259" spans="2:16" ht="18.75">
      <c r="B259" s="2704" t="s">
        <v>2686</v>
      </c>
      <c r="C259" s="2709" t="s">
        <v>2461</v>
      </c>
      <c r="D259" s="2693"/>
      <c r="E259" s="2693"/>
      <c r="F259" s="2693"/>
      <c r="G259" s="2693"/>
      <c r="H259" s="2693"/>
      <c r="I259" s="2693"/>
      <c r="J259" s="2693"/>
      <c r="K259" s="2693" t="s">
        <v>2460</v>
      </c>
      <c r="L259" s="2693"/>
      <c r="M259" s="2693"/>
      <c r="N259" s="2693"/>
      <c r="O259" s="2693"/>
      <c r="P259" s="2693"/>
    </row>
    <row r="260" spans="2:16" ht="18">
      <c r="B260" s="2693"/>
      <c r="C260" s="2713"/>
      <c r="D260" s="2693"/>
      <c r="E260" s="2693"/>
      <c r="F260" s="2693"/>
      <c r="G260" s="2693"/>
      <c r="H260" s="2693"/>
      <c r="I260" s="2693"/>
      <c r="J260" s="2693"/>
      <c r="K260" s="2693"/>
      <c r="L260" s="2693"/>
      <c r="M260" s="2693"/>
      <c r="N260" s="2693"/>
      <c r="O260" s="2693"/>
      <c r="P260" s="2693"/>
    </row>
    <row r="261" spans="2:16" ht="18.75">
      <c r="B261" s="2704" t="s">
        <v>2686</v>
      </c>
      <c r="C261" s="2709" t="s">
        <v>2463</v>
      </c>
      <c r="D261" s="2693"/>
      <c r="E261" s="2693"/>
      <c r="F261" s="2693"/>
      <c r="G261" s="2693"/>
      <c r="H261" s="2693"/>
      <c r="I261" s="2693"/>
      <c r="J261" s="2693"/>
      <c r="K261" s="2693" t="s">
        <v>2462</v>
      </c>
      <c r="L261" s="2693"/>
      <c r="M261" s="2693"/>
      <c r="N261" s="2693"/>
      <c r="O261" s="2693"/>
      <c r="P261" s="2693"/>
    </row>
    <row r="262" spans="2:16" ht="18">
      <c r="B262" s="2693"/>
      <c r="C262" s="2713"/>
      <c r="D262" s="2693"/>
      <c r="E262" s="2693"/>
      <c r="F262" s="2693"/>
      <c r="G262" s="2693"/>
      <c r="H262" s="2693"/>
      <c r="I262" s="2693"/>
      <c r="J262" s="2693"/>
      <c r="K262" s="2693"/>
      <c r="L262" s="2693"/>
      <c r="M262" s="2693"/>
      <c r="N262" s="2693"/>
      <c r="O262" s="2693"/>
      <c r="P262" s="2693"/>
    </row>
    <row r="263" spans="2:16" ht="18.75">
      <c r="B263" s="2704" t="s">
        <v>2686</v>
      </c>
      <c r="C263" s="2709" t="s">
        <v>2455</v>
      </c>
      <c r="D263" s="2693"/>
      <c r="E263" s="2693"/>
      <c r="F263" s="2693"/>
      <c r="G263" s="2693"/>
      <c r="H263" s="2693"/>
      <c r="I263" s="2693"/>
      <c r="J263" s="2693"/>
      <c r="K263" s="2693" t="s">
        <v>2454</v>
      </c>
      <c r="L263" s="2693"/>
      <c r="M263" s="2693"/>
      <c r="N263" s="2693"/>
      <c r="O263" s="2693"/>
      <c r="P263" s="2693"/>
    </row>
    <row r="264" spans="2:16" ht="18">
      <c r="B264" s="2693"/>
      <c r="C264" s="2713"/>
      <c r="D264" s="2693"/>
      <c r="E264" s="2693"/>
      <c r="F264" s="2693"/>
      <c r="G264" s="2693"/>
      <c r="H264" s="2693"/>
      <c r="I264" s="2693"/>
      <c r="J264" s="2693"/>
      <c r="K264" s="2693"/>
      <c r="L264" s="2693"/>
      <c r="M264" s="2693"/>
      <c r="N264" s="2693"/>
      <c r="O264" s="2693"/>
      <c r="P264" s="2693"/>
    </row>
    <row r="265" spans="2:16" ht="18.75">
      <c r="B265" s="2704" t="s">
        <v>2686</v>
      </c>
      <c r="C265" s="2709" t="s">
        <v>2465</v>
      </c>
      <c r="D265" s="2693"/>
      <c r="E265" s="2693"/>
      <c r="F265" s="2693"/>
      <c r="G265" s="2693"/>
      <c r="H265" s="2693"/>
      <c r="I265" s="2693"/>
      <c r="J265" s="2693"/>
      <c r="K265" s="2693" t="s">
        <v>2464</v>
      </c>
      <c r="L265" s="2693"/>
      <c r="M265" s="2693"/>
      <c r="N265" s="2693"/>
      <c r="O265" s="2693"/>
      <c r="P265" s="2693"/>
    </row>
    <row r="266" spans="2:16" ht="18">
      <c r="B266" s="2693"/>
      <c r="C266" s="2713"/>
      <c r="D266" s="2693"/>
      <c r="E266" s="2693"/>
      <c r="F266" s="2693"/>
      <c r="G266" s="2693"/>
      <c r="H266" s="2693"/>
      <c r="I266" s="2693"/>
      <c r="J266" s="2693"/>
      <c r="K266" s="2693"/>
      <c r="L266" s="2693"/>
      <c r="M266" s="2693"/>
      <c r="N266" s="2693"/>
      <c r="O266" s="2693"/>
      <c r="P266" s="2693"/>
    </row>
    <row r="267" spans="2:16" ht="18.75">
      <c r="B267" s="2704" t="s">
        <v>2450</v>
      </c>
      <c r="C267" s="2709" t="s">
        <v>2466</v>
      </c>
      <c r="D267" s="2693"/>
      <c r="E267" s="2693"/>
      <c r="F267" s="2693"/>
      <c r="G267" s="2693"/>
      <c r="H267" s="2693"/>
      <c r="I267" s="2693"/>
      <c r="J267" s="2693"/>
      <c r="K267" s="2693"/>
      <c r="L267" s="2693"/>
      <c r="M267" s="2693"/>
      <c r="N267" s="2693"/>
      <c r="O267" s="2693"/>
      <c r="P267" s="2693"/>
    </row>
    <row r="268" spans="2:16" ht="18">
      <c r="B268" s="2693"/>
      <c r="C268" s="2713"/>
      <c r="D268" s="2693"/>
      <c r="E268" s="2693"/>
      <c r="F268" s="2693"/>
      <c r="G268" s="2693"/>
      <c r="H268" s="2693"/>
      <c r="I268" s="2693"/>
      <c r="J268" s="2693"/>
      <c r="K268" s="2693"/>
      <c r="L268" s="2693"/>
      <c r="M268" s="2693"/>
      <c r="N268" s="2693"/>
      <c r="O268" s="2693"/>
      <c r="P268" s="2693"/>
    </row>
    <row r="269" spans="2:16" ht="18.75">
      <c r="B269" s="2704" t="s">
        <v>2686</v>
      </c>
      <c r="C269" s="2709" t="s">
        <v>2467</v>
      </c>
      <c r="D269" s="2693"/>
      <c r="E269" s="2693"/>
      <c r="F269" s="2693"/>
      <c r="G269" s="2693"/>
      <c r="H269" s="2693"/>
      <c r="I269" s="2693"/>
      <c r="J269" s="2693"/>
      <c r="K269" s="2693"/>
      <c r="L269" s="2693"/>
      <c r="M269" s="2693"/>
      <c r="N269" s="2693"/>
      <c r="O269" s="2693"/>
      <c r="P269" s="2693"/>
    </row>
    <row r="270" spans="2:16" ht="18">
      <c r="B270" s="2693"/>
      <c r="C270" s="2713"/>
      <c r="D270" s="2693"/>
      <c r="E270" s="2693"/>
      <c r="F270" s="2693"/>
      <c r="G270" s="2693"/>
      <c r="H270" s="2693"/>
      <c r="I270" s="2693"/>
      <c r="J270" s="2693"/>
      <c r="K270" s="2693"/>
      <c r="L270" s="2693"/>
      <c r="M270" s="2693"/>
      <c r="N270" s="2693"/>
      <c r="O270" s="2693"/>
      <c r="P270" s="2693"/>
    </row>
    <row r="271" spans="2:16" ht="18.75">
      <c r="B271" s="2704" t="s">
        <v>2686</v>
      </c>
      <c r="C271" s="2709" t="s">
        <v>2707</v>
      </c>
      <c r="D271" s="2693"/>
      <c r="E271" s="2693"/>
      <c r="F271" s="2693"/>
      <c r="G271" s="2693"/>
      <c r="H271" s="2693"/>
      <c r="I271" s="2693"/>
      <c r="J271" s="2693"/>
      <c r="K271" s="2693"/>
      <c r="L271" s="2693"/>
      <c r="M271" s="2693"/>
      <c r="N271" s="2693"/>
      <c r="O271" s="2693"/>
      <c r="P271" s="2693"/>
    </row>
    <row r="272" spans="2:16" ht="18">
      <c r="B272" s="2693"/>
      <c r="C272" s="2713"/>
      <c r="D272" s="2693"/>
      <c r="E272" s="2693"/>
      <c r="F272" s="2693"/>
      <c r="G272" s="2693"/>
      <c r="H272" s="2693"/>
      <c r="I272" s="2693"/>
      <c r="J272" s="2693"/>
      <c r="K272" s="2693"/>
      <c r="L272" s="2693"/>
      <c r="M272" s="2693"/>
      <c r="N272" s="2693"/>
      <c r="O272" s="2693"/>
      <c r="P272" s="2693"/>
    </row>
    <row r="273" spans="1:16" ht="18.75">
      <c r="B273" s="2704" t="s">
        <v>2686</v>
      </c>
      <c r="C273" s="2709" t="s">
        <v>2708</v>
      </c>
      <c r="D273" s="2693"/>
      <c r="E273" s="2693"/>
      <c r="F273" s="2693"/>
      <c r="G273" s="2693"/>
      <c r="H273" s="2693"/>
      <c r="I273" s="2693"/>
      <c r="J273" s="2693"/>
      <c r="K273" s="2693"/>
      <c r="L273" s="2693"/>
      <c r="M273" s="2693"/>
      <c r="N273" s="2693"/>
      <c r="O273" s="2693"/>
      <c r="P273" s="2693"/>
    </row>
    <row r="274" spans="1:16" ht="18">
      <c r="B274" s="2693"/>
      <c r="C274" s="2713"/>
      <c r="D274" s="2693"/>
      <c r="E274" s="2693"/>
      <c r="F274" s="2693"/>
      <c r="G274" s="2693"/>
      <c r="H274" s="2693"/>
      <c r="I274" s="2693"/>
      <c r="J274" s="2693"/>
      <c r="K274" s="2693"/>
      <c r="L274" s="2693"/>
      <c r="M274" s="2693"/>
      <c r="N274" s="2693"/>
      <c r="O274" s="2693"/>
      <c r="P274" s="2693"/>
    </row>
    <row r="275" spans="1:16" ht="18.75">
      <c r="B275" s="2704" t="s">
        <v>2686</v>
      </c>
      <c r="C275" s="2709" t="s">
        <v>2710</v>
      </c>
      <c r="D275" s="2693"/>
      <c r="E275" s="2693"/>
      <c r="F275" s="2693"/>
      <c r="G275" s="2693"/>
      <c r="H275" s="2693"/>
      <c r="I275" s="2693"/>
      <c r="J275" s="2693"/>
      <c r="K275" s="2693"/>
      <c r="L275" s="2693"/>
      <c r="M275" s="2693"/>
      <c r="N275" s="2693"/>
      <c r="O275" s="2693"/>
      <c r="P275" s="2693"/>
    </row>
    <row r="276" spans="1:16" ht="18">
      <c r="B276" s="2693"/>
      <c r="C276" s="2713"/>
      <c r="D276" s="2693"/>
      <c r="E276" s="2693"/>
      <c r="F276" s="2693"/>
      <c r="G276" s="2693"/>
      <c r="H276" s="2693"/>
      <c r="I276" s="2693"/>
      <c r="J276" s="2693"/>
      <c r="K276" s="2693"/>
      <c r="L276" s="2693"/>
      <c r="M276" s="2693"/>
      <c r="N276" s="2693"/>
      <c r="O276" s="2693"/>
      <c r="P276" s="2693"/>
    </row>
    <row r="277" spans="1:16" ht="18.75">
      <c r="B277" s="2704" t="s">
        <v>2686</v>
      </c>
      <c r="C277" s="2709" t="s">
        <v>2687</v>
      </c>
      <c r="D277" s="2693"/>
      <c r="E277" s="2693"/>
      <c r="F277" s="2693"/>
      <c r="G277" s="2693"/>
      <c r="H277" s="2693"/>
      <c r="I277" s="2693"/>
      <c r="J277" s="2693"/>
      <c r="K277" s="2693"/>
      <c r="L277" s="2693"/>
      <c r="M277" s="2693"/>
      <c r="N277" s="2693" t="s">
        <v>2</v>
      </c>
      <c r="O277" s="2693"/>
      <c r="P277" s="2693"/>
    </row>
    <row r="278" spans="1:16">
      <c r="B278" s="2693"/>
      <c r="C278" s="2693"/>
      <c r="D278" s="2693"/>
      <c r="E278" s="2693"/>
      <c r="F278" s="2693"/>
      <c r="G278" s="2693"/>
      <c r="H278" s="2693"/>
      <c r="I278" s="2693"/>
      <c r="J278" s="2693"/>
      <c r="K278" s="2693"/>
      <c r="L278" s="2693"/>
      <c r="M278" s="2693"/>
      <c r="N278" s="2693"/>
      <c r="O278" s="2693"/>
      <c r="P278" s="2693"/>
    </row>
    <row r="279" spans="1:16" ht="18">
      <c r="B279" s="2704" t="s">
        <v>2686</v>
      </c>
      <c r="C279" s="2713" t="s">
        <v>2690</v>
      </c>
      <c r="D279" s="2693"/>
      <c r="E279" s="2693"/>
      <c r="F279" s="2693"/>
      <c r="G279" s="2693"/>
      <c r="H279" s="2693"/>
      <c r="I279" s="2693"/>
      <c r="J279" s="2693"/>
      <c r="K279" s="2693"/>
      <c r="L279" s="2693"/>
      <c r="M279" s="2693" t="s">
        <v>2691</v>
      </c>
      <c r="N279" s="2693"/>
      <c r="O279" s="2693"/>
      <c r="P279" s="2693"/>
    </row>
    <row r="280" spans="1:16" ht="18">
      <c r="B280" s="2693"/>
      <c r="C280" s="2713"/>
      <c r="D280" s="2693"/>
      <c r="E280" s="2693"/>
      <c r="F280" s="2693"/>
      <c r="G280" s="2693"/>
      <c r="H280" s="2693"/>
      <c r="I280" s="2693"/>
      <c r="J280" s="2693"/>
      <c r="K280" s="2693"/>
      <c r="L280" s="2693"/>
      <c r="M280" s="2693"/>
      <c r="N280" s="2693"/>
      <c r="O280" s="2693"/>
      <c r="P280" s="2693"/>
    </row>
    <row r="281" spans="1:16" ht="18.75">
      <c r="B281" s="2704" t="s">
        <v>1283</v>
      </c>
      <c r="C281" s="2709" t="s">
        <v>2662</v>
      </c>
      <c r="D281" s="2693"/>
      <c r="E281" s="2693"/>
      <c r="F281" s="2693"/>
      <c r="G281" s="2693"/>
      <c r="H281" s="2693"/>
      <c r="I281" s="2693"/>
      <c r="J281" s="2693"/>
      <c r="K281" s="2693"/>
      <c r="L281" s="2693"/>
      <c r="M281" s="2693"/>
      <c r="N281" s="2693"/>
      <c r="O281" s="2693"/>
      <c r="P281" s="2693"/>
    </row>
    <row r="282" spans="1:16">
      <c r="B282" s="2693"/>
      <c r="C282" s="2693"/>
      <c r="D282" s="2693"/>
      <c r="E282" s="2693"/>
      <c r="F282" s="2693"/>
      <c r="G282" s="2693"/>
      <c r="H282" s="2693"/>
      <c r="I282" s="2693"/>
      <c r="J282" s="2693"/>
      <c r="K282" s="2693"/>
      <c r="L282" s="2693"/>
      <c r="M282" s="2693"/>
      <c r="N282" s="2693"/>
      <c r="O282" s="2693"/>
      <c r="P282" s="2693"/>
    </row>
    <row r="283" spans="1:16" s="1545" customFormat="1" ht="39.950000000000003" customHeight="1">
      <c r="A283" s="1543"/>
      <c r="B283" s="2714" t="s">
        <v>506</v>
      </c>
      <c r="C283" s="1543"/>
      <c r="D283" s="1543"/>
      <c r="E283" s="1543"/>
      <c r="F283" s="1543"/>
      <c r="G283" s="1543"/>
      <c r="H283" s="1543"/>
      <c r="I283" s="1543"/>
      <c r="J283" s="1543"/>
      <c r="K283" s="1543"/>
      <c r="L283" s="1543"/>
      <c r="M283" s="1543"/>
      <c r="N283" s="1543"/>
      <c r="O283" s="1543"/>
      <c r="P283" s="1543"/>
    </row>
    <row r="284" spans="1:16" s="1545" customFormat="1" ht="24" customHeight="1">
      <c r="A284" s="1543"/>
      <c r="B284" s="2715" t="s">
        <v>507</v>
      </c>
      <c r="C284" s="1543"/>
      <c r="D284" s="1543"/>
      <c r="E284" s="1543"/>
      <c r="F284" s="1543"/>
      <c r="G284" s="1543"/>
      <c r="H284" s="1543"/>
      <c r="I284" s="1543"/>
      <c r="J284" s="1543"/>
      <c r="K284" s="1543"/>
      <c r="L284" s="1543"/>
      <c r="M284" s="1543"/>
      <c r="N284" s="1543"/>
      <c r="O284" s="1543"/>
      <c r="P284" s="1543"/>
    </row>
    <row r="285" spans="1:16" s="1546" customFormat="1" ht="39.950000000000003" customHeight="1">
      <c r="A285" s="1543"/>
      <c r="B285" s="2716" t="s">
        <v>2314</v>
      </c>
      <c r="C285" s="1975"/>
      <c r="D285" s="1543"/>
      <c r="E285" s="1543"/>
      <c r="F285" s="1543"/>
      <c r="G285" s="1543"/>
      <c r="H285" s="1543"/>
      <c r="I285" s="1936"/>
      <c r="J285" s="1543"/>
      <c r="K285" s="1543"/>
      <c r="L285" s="1936"/>
      <c r="M285" s="1936"/>
      <c r="N285" s="1936"/>
      <c r="O285" s="1936"/>
      <c r="P285" s="2717" t="s">
        <v>7026</v>
      </c>
    </row>
  </sheetData>
  <mergeCells count="6">
    <mergeCell ref="B233:C233"/>
    <mergeCell ref="B2:P4"/>
    <mergeCell ref="B5:P7"/>
    <mergeCell ref="B189:C189"/>
    <mergeCell ref="B219:C219"/>
    <mergeCell ref="B223:C223"/>
  </mergeCells>
  <hyperlinks>
    <hyperlink ref="C16" r:id="rId1" xr:uid="{F68910DE-A106-47FE-B6C9-683A712F510A}"/>
    <hyperlink ref="C36" r:id="rId2" xr:uid="{CE488D9F-88BE-441F-9C1C-FBB6283AC396}"/>
    <hyperlink ref="C39" r:id="rId3" xr:uid="{33C13EE0-11B6-4D95-96B7-95B8C5194E52}"/>
    <hyperlink ref="C45" r:id="rId4" xr:uid="{E659EBED-6922-4E0B-BEF7-1CF9792C3714}"/>
    <hyperlink ref="C18" r:id="rId5" xr:uid="{F4C9ABB4-8B25-4A34-94DD-EC88CFAF1FED}"/>
    <hyperlink ref="C188" r:id="rId6" xr:uid="{8F203FAA-39A3-4480-B818-775B48CBEC13}"/>
    <hyperlink ref="D189" r:id="rId7" xr:uid="{7FBD2A1C-8D88-4089-B571-2EE9D052846C}"/>
    <hyperlink ref="C218" r:id="rId8" xr:uid="{C600936C-B207-4852-8706-D67613B20055}"/>
    <hyperlink ref="D219" r:id="rId9" xr:uid="{ABD17DAD-3F3F-43CB-8E1A-B06C4BF97882}"/>
    <hyperlink ref="C222" r:id="rId10" xr:uid="{CF6F08D6-6B50-4B61-BB75-AC6661DA8058}"/>
    <hyperlink ref="C232" r:id="rId11" xr:uid="{7A839E4C-1B7A-4BAB-A12E-66060CBB7D9F}"/>
    <hyperlink ref="C149" r:id="rId12" xr:uid="{61F526BA-5E8F-4725-BF0A-86A563BBA6DA}"/>
    <hyperlink ref="C171" r:id="rId13" xr:uid="{B5A51B50-5735-40D5-90A4-DE996842DFDC}"/>
    <hyperlink ref="C174" r:id="rId14" xr:uid="{5065E461-D686-48AB-90F4-CF406ECF6CCA}"/>
    <hyperlink ref="C177" r:id="rId15" xr:uid="{E00220D6-73FB-4084-BEAB-5D52424C3554}"/>
    <hyperlink ref="C183" r:id="rId16" xr:uid="{0F4AD628-49A4-4604-9504-16E61D1845EC}"/>
    <hyperlink ref="C201" r:id="rId17" xr:uid="{674F5408-E3F4-4CE8-83E0-44B6EAF5A819}"/>
    <hyperlink ref="C195" r:id="rId18" xr:uid="{B752166A-0DBE-4844-A3F4-688EEAC858F7}"/>
    <hyperlink ref="C198" r:id="rId19" xr:uid="{6C029EF0-BC0B-4D97-80BC-17A2FD5B8CA2}"/>
    <hyperlink ref="C13" r:id="rId20" xr:uid="{DC0B6ED1-77D6-4DE2-90A8-10D12700F34C}"/>
    <hyperlink ref="C180" r:id="rId21" xr:uid="{C32EE106-3FBF-4096-9614-3851E3860BA9}"/>
    <hyperlink ref="C209" r:id="rId22" xr:uid="{48BF3199-8F0F-49DF-AEAB-C746F1BF9F38}"/>
    <hyperlink ref="C212" r:id="rId23" xr:uid="{40AFA6DA-CF08-4360-BB55-AF11A027637D}"/>
    <hyperlink ref="C215" r:id="rId24" xr:uid="{F400A7C5-2719-4E7B-9FE3-5FE311FF0637}"/>
    <hyperlink ref="C134" r:id="rId25" xr:uid="{3AFA2C9B-BB1B-4AD2-AE02-5240DF57E1C8}"/>
    <hyperlink ref="C110" r:id="rId26" xr:uid="{8E230974-5AE3-4FF3-A037-CF4159F917A7}"/>
    <hyperlink ref="C152" r:id="rId27" xr:uid="{5FE3A4EF-1F4F-40E9-A907-D7D5F2F8D9BD}"/>
    <hyperlink ref="C226" r:id="rId28" xr:uid="{85215A5D-697A-4E79-8891-3C9B794FF624}"/>
    <hyperlink ref="C146" r:id="rId29" xr:uid="{6AF0AC53-4660-43D8-88EB-8762AD95CEA4}"/>
    <hyperlink ref="C140" r:id="rId30" xr:uid="{6376A576-F90D-42E8-8BAC-AEA02E1267AA}"/>
    <hyperlink ref="C137" r:id="rId31" xr:uid="{55A862A3-BC2C-482D-9FCB-50327E1893F4}"/>
    <hyperlink ref="C92" r:id="rId32" xr:uid="{2B2E3493-D66A-41E8-A8AB-737ADA034172}"/>
    <hyperlink ref="C115" r:id="rId33" xr:uid="{5013E464-95A1-4448-AE7A-0A09877BE47F}"/>
    <hyperlink ref="C95" r:id="rId34" xr:uid="{90486F29-B79D-4728-8CFD-0BA87A2C2A6F}"/>
    <hyperlink ref="C101" r:id="rId35" xr:uid="{82AEE163-38A4-461B-9CF0-9C906F60B348}"/>
    <hyperlink ref="C128" r:id="rId36" xr:uid="{A1CAFF6A-1DF7-4D19-91D3-F78E97F8C35B}"/>
    <hyperlink ref="C169" r:id="rId37" xr:uid="{8107A688-22B9-4FC3-97CC-6E484B2DA3DF}"/>
    <hyperlink ref="C192" r:id="rId38" xr:uid="{CF3A43EF-40C6-4FDE-960C-3B68D9F46578}"/>
    <hyperlink ref="C143" r:id="rId39" xr:uid="{C666CAEE-4F8E-46EC-B465-747DED9DC8A3}"/>
    <hyperlink ref="C87" r:id="rId40" xr:uid="{90AD7802-9FE1-45FB-B52C-F9C5EC485736}"/>
    <hyperlink ref="C62" r:id="rId41" xr:uid="{FC3F73C5-0CDF-4BCC-AD05-C528234481C7}"/>
    <hyperlink ref="C166" r:id="rId42" xr:uid="{18F797DF-1074-4EED-8174-499ED11C1B0E}"/>
    <hyperlink ref="D233" r:id="rId43" xr:uid="{77172579-7784-49A5-8608-A0F334FB1AE5}"/>
    <hyperlink ref="C131" r:id="rId44" xr:uid="{999E0D10-C13B-4FD9-8828-A2332B856E9F}"/>
    <hyperlink ref="D223" r:id="rId45" xr:uid="{79921DAE-2879-4DF7-BDE1-8A5FD7D9B40B}"/>
    <hyperlink ref="C42" r:id="rId46" xr:uid="{459EAA37-E1A7-469B-8DE7-0CBD7BC92E0F}"/>
    <hyperlink ref="C118" r:id="rId47" xr:uid="{2C956530-F6DE-4D78-9C8E-A4B43111E809}"/>
    <hyperlink ref="C155" r:id="rId48" xr:uid="{3DF333D2-91DC-4B49-A3A2-F55A7CF95B7D}"/>
    <hyperlink ref="C158" r:id="rId49" xr:uid="{0AEFA3B3-97E5-48AD-A2CC-25F0710E0CDE}"/>
    <hyperlink ref="C161" r:id="rId50" xr:uid="{2DF3BC08-A22C-4248-AD3C-2058388152FD}"/>
    <hyperlink ref="C105" r:id="rId51" display="Faire des SI imbriqués dans Excel" xr:uid="{90BE6B98-2F53-45E0-9F48-B14FC9A7C20A}"/>
    <hyperlink ref="C251" r:id="rId52" xr:uid="{F455884A-02A7-4FCB-9317-77A0F038D868}"/>
    <hyperlink ref="C275" r:id="rId53" xr:uid="{26D5693F-6487-46E4-A63F-5ED276E5931A}"/>
    <hyperlink ref="C103" r:id="rId54" xr:uid="{CF8689AC-1C75-4E70-9ABF-19B638C858B5}"/>
    <hyperlink ref="C273" r:id="rId55" xr:uid="{70A59A2F-3C8C-4B3D-9D87-30F4DFD4CC62}"/>
    <hyperlink ref="C271" r:id="rId56" xr:uid="{CDAE9CE1-3897-42B6-9EA7-9D2996DF800C}"/>
    <hyperlink ref="C89" r:id="rId57" xr:uid="{8048D2A9-A097-4FE7-8D67-562A356AD34C}"/>
    <hyperlink ref="C269" r:id="rId58" xr:uid="{4652C663-B686-441E-8321-93FA9164549B}"/>
    <hyperlink ref="C267" r:id="rId59" xr:uid="{D97E97B7-8ED9-4A68-A2A9-1E34B2C72817}"/>
    <hyperlink ref="C281" r:id="rId60" xr:uid="{FF0A294C-2085-47B2-A239-567D5BD6A6EE}"/>
    <hyperlink ref="C107" r:id="rId61" xr:uid="{8BC28718-6EA5-4084-8E11-0D84A4947C95}"/>
    <hyperlink ref="C277" r:id="rId62" xr:uid="{4BF99B97-D265-400A-AD28-430B28E2B333}"/>
    <hyperlink ref="C121" r:id="rId63" xr:uid="{5E707716-73C8-4FA5-87F2-88EBAE3DFDD1}"/>
    <hyperlink ref="C279" r:id="rId64" xr:uid="{14279B61-44C3-4A9C-B57C-9A8EAF8ECCA6}"/>
    <hyperlink ref="C263" r:id="rId65" xr:uid="{EF6959CA-C3B4-4A83-A367-EC5899556A10}"/>
    <hyperlink ref="C253" r:id="rId66" xr:uid="{CB759ACE-484C-4067-8FF6-CA5543EEC993}"/>
    <hyperlink ref="C265" r:id="rId67" xr:uid="{F7854326-CFC4-44AB-9E42-421A0EA2ED64}"/>
    <hyperlink ref="C261" r:id="rId68" xr:uid="{7704D525-E3CC-4BDB-AE2A-E9F77E1782C4}"/>
    <hyperlink ref="C259" r:id="rId69" xr:uid="{A566431E-E13A-4C4D-81B6-E775F5376E25}"/>
    <hyperlink ref="C257" r:id="rId70" xr:uid="{F5584EF6-3D84-43E9-80F6-33D350B62190}"/>
    <hyperlink ref="C255" r:id="rId71" xr:uid="{D622133B-5F8D-4888-9EB8-D0196CBFCA5C}"/>
    <hyperlink ref="C123" r:id="rId72" xr:uid="{4B717EE6-E811-4FB1-9BD7-0D88C51B3F1A}"/>
    <hyperlink ref="C125" r:id="rId73" xr:uid="{C10A783E-558E-4FFF-9EBA-95E2EBBA64F9}"/>
    <hyperlink ref="C246" r:id="rId74" xr:uid="{CBF74099-99D2-4850-9B23-231BB8C44988}"/>
    <hyperlink ref="C249" r:id="rId75" xr:uid="{00DB7FA4-9188-436E-BA01-6211D83AB6A6}"/>
  </hyperlinks>
  <pageMargins left="0.7" right="0.7" top="0.75" bottom="0.75" header="0.3" footer="0.3"/>
  <pageSetup paperSize="9" orientation="portrait" r:id="rId7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D114F-BC39-4C98-92F6-E3941823238C}">
  <dimension ref="A1:BF239"/>
  <sheetViews>
    <sheetView zoomScaleNormal="100" workbookViewId="0">
      <selection activeCell="N15" sqref="N15"/>
    </sheetView>
  </sheetViews>
  <sheetFormatPr baseColWidth="10" defaultRowHeight="15.75"/>
  <cols>
    <col min="1" max="1" width="3" style="5227" customWidth="1"/>
    <col min="2" max="2" width="4.140625" style="5227" customWidth="1"/>
    <col min="3" max="3" width="13.28515625" style="5227" customWidth="1"/>
    <col min="4" max="4" width="21.28515625" style="5227" customWidth="1"/>
    <col min="5" max="8" width="13.28515625" style="5227" customWidth="1"/>
    <col min="9" max="9" width="17.140625" style="5227" customWidth="1"/>
    <col min="10" max="10" width="19" style="5227" customWidth="1"/>
    <col min="11" max="12" width="16.7109375" style="5227" customWidth="1"/>
    <col min="13" max="13" width="18.28515625" style="5227" customWidth="1"/>
    <col min="14" max="16" width="16.7109375" style="5227" customWidth="1"/>
    <col min="17" max="21" width="11.42578125" style="5227"/>
    <col min="22" max="22" width="13.7109375" style="5227" customWidth="1"/>
    <col min="23" max="23" width="21.7109375" style="5227" customWidth="1"/>
    <col min="24" max="27" width="13.7109375" style="5227" customWidth="1"/>
    <col min="28" max="28" width="16.7109375" style="5227" customWidth="1"/>
    <col min="29" max="29" width="18.7109375" style="5227" customWidth="1"/>
    <col min="30" max="31" width="16.7109375" style="5227" customWidth="1"/>
    <col min="32" max="32" width="18.7109375" style="5227" customWidth="1"/>
    <col min="33" max="35" width="16.7109375" style="5227" customWidth="1"/>
    <col min="36" max="36" width="11.7109375" style="5227" customWidth="1"/>
    <col min="37" max="37" width="14.42578125" style="5227" customWidth="1"/>
    <col min="38" max="38" width="13.7109375" style="5227" customWidth="1"/>
    <col min="39" max="39" width="21.7109375" style="5227" customWidth="1"/>
    <col min="40" max="43" width="13.7109375" style="5227" customWidth="1"/>
    <col min="44" max="44" width="16.7109375" style="5227" customWidth="1"/>
    <col min="45" max="45" width="18.7109375" style="5227" customWidth="1"/>
    <col min="46" max="47" width="16.7109375" style="5227" customWidth="1"/>
    <col min="48" max="48" width="18.7109375" style="5227" customWidth="1"/>
    <col min="49" max="51" width="16.7109375" style="5227" customWidth="1"/>
    <col min="52" max="52" width="11.7109375" style="5227" customWidth="1"/>
    <col min="53" max="57" width="11.42578125" style="5227"/>
    <col min="58" max="58" width="80.28515625" style="5227" customWidth="1"/>
    <col min="59" max="16384" width="11.42578125" style="5227"/>
  </cols>
  <sheetData>
    <row r="1" spans="1:58" s="6150" customFormat="1" thickTop="1">
      <c r="A1" s="2732" t="str">
        <f>ADDRESS(ROW(),COLUMN(),4)</f>
        <v>A1</v>
      </c>
      <c r="B1" s="6148"/>
      <c r="C1" s="2952" t="str">
        <f t="shared" ref="C1:T1" si="0">SUBSTITUTE(ADDRESS(1,COLUMN(),4),"1","")</f>
        <v>C</v>
      </c>
      <c r="D1" s="2952" t="str">
        <f t="shared" si="0"/>
        <v>D</v>
      </c>
      <c r="E1" s="2952" t="str">
        <f t="shared" si="0"/>
        <v>E</v>
      </c>
      <c r="F1" s="2952" t="str">
        <f t="shared" si="0"/>
        <v>F</v>
      </c>
      <c r="G1" s="2952" t="str">
        <f t="shared" si="0"/>
        <v>G</v>
      </c>
      <c r="H1" s="2952" t="str">
        <f t="shared" si="0"/>
        <v>H</v>
      </c>
      <c r="I1" s="2952" t="str">
        <f t="shared" si="0"/>
        <v>I</v>
      </c>
      <c r="J1" s="2952" t="str">
        <f t="shared" si="0"/>
        <v>J</v>
      </c>
      <c r="K1" s="2952" t="str">
        <f t="shared" si="0"/>
        <v>K</v>
      </c>
      <c r="L1" s="2952" t="str">
        <f t="shared" si="0"/>
        <v>L</v>
      </c>
      <c r="M1" s="2952" t="str">
        <f t="shared" si="0"/>
        <v>M</v>
      </c>
      <c r="N1" s="2952" t="str">
        <f t="shared" si="0"/>
        <v>N</v>
      </c>
      <c r="O1" s="2952" t="str">
        <f t="shared" si="0"/>
        <v>O</v>
      </c>
      <c r="P1" s="2952" t="str">
        <f t="shared" si="0"/>
        <v>P</v>
      </c>
      <c r="Q1" s="2952" t="str">
        <f t="shared" si="0"/>
        <v>Q</v>
      </c>
      <c r="R1" s="2952" t="str">
        <f t="shared" si="0"/>
        <v>R</v>
      </c>
      <c r="S1" s="2952" t="str">
        <f t="shared" si="0"/>
        <v>S</v>
      </c>
      <c r="T1" s="2952" t="str">
        <f t="shared" si="0"/>
        <v>T</v>
      </c>
      <c r="U1" s="6149"/>
      <c r="V1" s="2952" t="str">
        <f t="shared" ref="V1:AJ1" si="1">SUBSTITUTE(ADDRESS(1,COLUMN(),4),"1","")</f>
        <v>V</v>
      </c>
      <c r="W1" s="2952" t="str">
        <f t="shared" si="1"/>
        <v>W</v>
      </c>
      <c r="X1" s="2952" t="str">
        <f t="shared" si="1"/>
        <v>X</v>
      </c>
      <c r="Y1" s="2952" t="str">
        <f t="shared" si="1"/>
        <v>Y</v>
      </c>
      <c r="Z1" s="2952" t="str">
        <f t="shared" si="1"/>
        <v>Z</v>
      </c>
      <c r="AA1" s="2952" t="str">
        <f t="shared" si="1"/>
        <v>AA</v>
      </c>
      <c r="AB1" s="2952" t="str">
        <f t="shared" si="1"/>
        <v>AB</v>
      </c>
      <c r="AC1" s="2952" t="str">
        <f t="shared" si="1"/>
        <v>AC</v>
      </c>
      <c r="AD1" s="2952" t="str">
        <f t="shared" si="1"/>
        <v>AD</v>
      </c>
      <c r="AE1" s="2952" t="str">
        <f t="shared" si="1"/>
        <v>AE</v>
      </c>
      <c r="AF1" s="2952" t="str">
        <f t="shared" si="1"/>
        <v>AF</v>
      </c>
      <c r="AG1" s="2952" t="str">
        <f t="shared" si="1"/>
        <v>AG</v>
      </c>
      <c r="AH1" s="2952" t="str">
        <f t="shared" si="1"/>
        <v>AH</v>
      </c>
      <c r="AI1" s="2952" t="str">
        <f t="shared" si="1"/>
        <v>AI</v>
      </c>
      <c r="AJ1" s="2952" t="str">
        <f t="shared" si="1"/>
        <v>AJ</v>
      </c>
      <c r="AK1" s="2893"/>
      <c r="AL1" s="2952" t="str">
        <f t="shared" ref="AL1:AZ1" si="2">SUBSTITUTE(ADDRESS(1,COLUMN(),4),"1","")</f>
        <v>AL</v>
      </c>
      <c r="AM1" s="2952" t="str">
        <f t="shared" si="2"/>
        <v>AM</v>
      </c>
      <c r="AN1" s="2952" t="str">
        <f t="shared" si="2"/>
        <v>AN</v>
      </c>
      <c r="AO1" s="2952" t="str">
        <f t="shared" si="2"/>
        <v>AO</v>
      </c>
      <c r="AP1" s="2952" t="str">
        <f t="shared" si="2"/>
        <v>AP</v>
      </c>
      <c r="AQ1" s="2952" t="str">
        <f t="shared" si="2"/>
        <v>AQ</v>
      </c>
      <c r="AR1" s="2952" t="str">
        <f t="shared" si="2"/>
        <v>AR</v>
      </c>
      <c r="AS1" s="2952" t="str">
        <f t="shared" si="2"/>
        <v>AS</v>
      </c>
      <c r="AT1" s="2952" t="str">
        <f t="shared" si="2"/>
        <v>AT</v>
      </c>
      <c r="AU1" s="2952" t="str">
        <f t="shared" si="2"/>
        <v>AU</v>
      </c>
      <c r="AV1" s="2952" t="str">
        <f t="shared" si="2"/>
        <v>AV</v>
      </c>
      <c r="AW1" s="2952" t="str">
        <f t="shared" si="2"/>
        <v>AW</v>
      </c>
      <c r="AX1" s="2952" t="str">
        <f t="shared" si="2"/>
        <v>AX</v>
      </c>
      <c r="AY1" s="2952" t="str">
        <f t="shared" si="2"/>
        <v>AY</v>
      </c>
      <c r="AZ1" s="2952" t="str">
        <f t="shared" si="2"/>
        <v>AZ</v>
      </c>
      <c r="BA1" s="2893"/>
      <c r="BB1" s="2893"/>
      <c r="BC1" s="2893"/>
      <c r="BD1" s="2730">
        <v>1</v>
      </c>
      <c r="BE1" s="2953" t="str">
        <f>SUBSTITUTE(ADDRESS(1,COLUMN(),4),"1","")</f>
        <v>BE</v>
      </c>
      <c r="BF1" s="2954" t="str">
        <f>SUBSTITUTE(ADDRESS(1,COLUMN(),4),"1","")</f>
        <v>BF</v>
      </c>
    </row>
    <row r="2" spans="1:58" s="6150" customFormat="1" ht="15">
      <c r="A2" s="6148"/>
      <c r="B2" s="6148"/>
      <c r="C2" s="2727">
        <f t="shared" ref="C2:T2" ca="1" si="3">CELL("largeur",C2)</f>
        <v>13</v>
      </c>
      <c r="D2" s="2727">
        <f t="shared" ca="1" si="3"/>
        <v>21</v>
      </c>
      <c r="E2" s="2727">
        <f t="shared" ca="1" si="3"/>
        <v>13</v>
      </c>
      <c r="F2" s="2727">
        <f t="shared" ca="1" si="3"/>
        <v>13</v>
      </c>
      <c r="G2" s="2727">
        <f t="shared" ca="1" si="3"/>
        <v>13</v>
      </c>
      <c r="H2" s="2727">
        <f t="shared" ca="1" si="3"/>
        <v>13</v>
      </c>
      <c r="I2" s="2727">
        <f t="shared" ca="1" si="3"/>
        <v>16</v>
      </c>
      <c r="J2" s="2727">
        <f t="shared" ca="1" si="3"/>
        <v>18</v>
      </c>
      <c r="K2" s="2727">
        <f t="shared" ca="1" si="3"/>
        <v>16</v>
      </c>
      <c r="L2" s="2727">
        <f t="shared" ca="1" si="3"/>
        <v>16</v>
      </c>
      <c r="M2" s="2727">
        <f t="shared" ca="1" si="3"/>
        <v>18</v>
      </c>
      <c r="N2" s="2727">
        <f t="shared" ca="1" si="3"/>
        <v>16</v>
      </c>
      <c r="O2" s="2727">
        <f t="shared" ca="1" si="3"/>
        <v>16</v>
      </c>
      <c r="P2" s="2727">
        <f t="shared" ca="1" si="3"/>
        <v>16</v>
      </c>
      <c r="Q2" s="2727">
        <f t="shared" ca="1" si="3"/>
        <v>11</v>
      </c>
      <c r="R2" s="2727">
        <f t="shared" ca="1" si="3"/>
        <v>11</v>
      </c>
      <c r="S2" s="2727">
        <f t="shared" ca="1" si="3"/>
        <v>11</v>
      </c>
      <c r="T2" s="2727">
        <f t="shared" ca="1" si="3"/>
        <v>11</v>
      </c>
      <c r="U2" s="6149"/>
      <c r="V2" s="2727">
        <f t="shared" ref="V2:AJ2" ca="1" si="4">CELL("largeur",V2)</f>
        <v>13</v>
      </c>
      <c r="W2" s="2727">
        <f t="shared" ca="1" si="4"/>
        <v>21</v>
      </c>
      <c r="X2" s="2727">
        <f t="shared" ca="1" si="4"/>
        <v>13</v>
      </c>
      <c r="Y2" s="2727">
        <f t="shared" ca="1" si="4"/>
        <v>13</v>
      </c>
      <c r="Z2" s="2727">
        <f t="shared" ca="1" si="4"/>
        <v>13</v>
      </c>
      <c r="AA2" s="2727">
        <f t="shared" ca="1" si="4"/>
        <v>13</v>
      </c>
      <c r="AB2" s="2727">
        <f t="shared" ca="1" si="4"/>
        <v>16</v>
      </c>
      <c r="AC2" s="2727">
        <f t="shared" ca="1" si="4"/>
        <v>18</v>
      </c>
      <c r="AD2" s="2727">
        <f t="shared" ca="1" si="4"/>
        <v>16</v>
      </c>
      <c r="AE2" s="2727">
        <f t="shared" ca="1" si="4"/>
        <v>16</v>
      </c>
      <c r="AF2" s="2727">
        <f t="shared" ca="1" si="4"/>
        <v>18</v>
      </c>
      <c r="AG2" s="2727">
        <f t="shared" ca="1" si="4"/>
        <v>16</v>
      </c>
      <c r="AH2" s="2727">
        <f t="shared" ca="1" si="4"/>
        <v>16</v>
      </c>
      <c r="AI2" s="2727">
        <f t="shared" ca="1" si="4"/>
        <v>16</v>
      </c>
      <c r="AJ2" s="2727">
        <f t="shared" ca="1" si="4"/>
        <v>11</v>
      </c>
      <c r="AK2" s="2893"/>
      <c r="AL2" s="2727">
        <f t="shared" ref="AL2:AZ2" ca="1" si="5">CELL("largeur",AL2)</f>
        <v>13</v>
      </c>
      <c r="AM2" s="2727">
        <f t="shared" ca="1" si="5"/>
        <v>21</v>
      </c>
      <c r="AN2" s="2727">
        <f t="shared" ca="1" si="5"/>
        <v>13</v>
      </c>
      <c r="AO2" s="2727">
        <f t="shared" ca="1" si="5"/>
        <v>13</v>
      </c>
      <c r="AP2" s="2727">
        <f t="shared" ca="1" si="5"/>
        <v>13</v>
      </c>
      <c r="AQ2" s="2727">
        <f t="shared" ca="1" si="5"/>
        <v>13</v>
      </c>
      <c r="AR2" s="2727">
        <f t="shared" ca="1" si="5"/>
        <v>16</v>
      </c>
      <c r="AS2" s="2727">
        <f t="shared" ca="1" si="5"/>
        <v>18</v>
      </c>
      <c r="AT2" s="2727">
        <f t="shared" ca="1" si="5"/>
        <v>16</v>
      </c>
      <c r="AU2" s="2727">
        <f t="shared" ca="1" si="5"/>
        <v>16</v>
      </c>
      <c r="AV2" s="2727">
        <f t="shared" ca="1" si="5"/>
        <v>18</v>
      </c>
      <c r="AW2" s="2727">
        <f t="shared" ca="1" si="5"/>
        <v>16</v>
      </c>
      <c r="AX2" s="2727">
        <f t="shared" ca="1" si="5"/>
        <v>16</v>
      </c>
      <c r="AY2" s="2727">
        <f t="shared" ca="1" si="5"/>
        <v>16</v>
      </c>
      <c r="AZ2" s="2727">
        <f t="shared" ca="1" si="5"/>
        <v>11</v>
      </c>
      <c r="BA2" s="2893"/>
      <c r="BB2" s="2893"/>
      <c r="BC2" s="2893"/>
      <c r="BD2" s="2730">
        <v>1</v>
      </c>
      <c r="BE2" s="2955" t="s">
        <v>7185</v>
      </c>
      <c r="BF2" s="2956"/>
    </row>
    <row r="3" spans="1:58" s="6150" customFormat="1">
      <c r="A3" s="6148"/>
      <c r="B3" s="6148"/>
      <c r="C3" s="2728">
        <v>13</v>
      </c>
      <c r="D3" s="2728">
        <v>21</v>
      </c>
      <c r="E3" s="2728">
        <v>13</v>
      </c>
      <c r="F3" s="2728">
        <v>13</v>
      </c>
      <c r="G3" s="2728">
        <v>13</v>
      </c>
      <c r="H3" s="2728">
        <v>13</v>
      </c>
      <c r="I3" s="2728">
        <v>16</v>
      </c>
      <c r="J3" s="2728">
        <v>18</v>
      </c>
      <c r="K3" s="2728">
        <v>16</v>
      </c>
      <c r="L3" s="2728">
        <v>16</v>
      </c>
      <c r="M3" s="2728">
        <v>18</v>
      </c>
      <c r="N3" s="2728">
        <v>16</v>
      </c>
      <c r="O3" s="2728">
        <v>16</v>
      </c>
      <c r="P3" s="2728">
        <v>16</v>
      </c>
      <c r="Q3" s="2728">
        <v>11</v>
      </c>
      <c r="R3" s="2728">
        <v>11</v>
      </c>
      <c r="S3" s="2728">
        <v>11</v>
      </c>
      <c r="T3" s="2728">
        <v>11</v>
      </c>
      <c r="U3" s="6149"/>
      <c r="V3" s="2728">
        <v>13</v>
      </c>
      <c r="W3" s="2728">
        <v>21</v>
      </c>
      <c r="X3" s="2728">
        <v>13</v>
      </c>
      <c r="Y3" s="2728">
        <v>13</v>
      </c>
      <c r="Z3" s="2728">
        <v>13</v>
      </c>
      <c r="AA3" s="2728">
        <v>13</v>
      </c>
      <c r="AB3" s="2728">
        <v>16</v>
      </c>
      <c r="AC3" s="2728">
        <v>18</v>
      </c>
      <c r="AD3" s="2728">
        <v>16</v>
      </c>
      <c r="AE3" s="2728">
        <v>16</v>
      </c>
      <c r="AF3" s="2728">
        <v>18</v>
      </c>
      <c r="AG3" s="2728">
        <v>16</v>
      </c>
      <c r="AH3" s="2728">
        <v>16</v>
      </c>
      <c r="AI3" s="2728">
        <v>16</v>
      </c>
      <c r="AJ3" s="2728">
        <v>11</v>
      </c>
      <c r="AK3" s="2893"/>
      <c r="AL3" s="2728">
        <v>13</v>
      </c>
      <c r="AM3" s="2728">
        <v>21</v>
      </c>
      <c r="AN3" s="2728">
        <v>13</v>
      </c>
      <c r="AO3" s="2728">
        <v>13</v>
      </c>
      <c r="AP3" s="2728">
        <v>13</v>
      </c>
      <c r="AQ3" s="2728">
        <v>13</v>
      </c>
      <c r="AR3" s="2728">
        <v>16</v>
      </c>
      <c r="AS3" s="2728">
        <v>18</v>
      </c>
      <c r="AT3" s="2728">
        <v>16</v>
      </c>
      <c r="AU3" s="2728">
        <v>16</v>
      </c>
      <c r="AV3" s="2728">
        <v>18</v>
      </c>
      <c r="AW3" s="2728">
        <v>16</v>
      </c>
      <c r="AX3" s="2728">
        <v>16</v>
      </c>
      <c r="AY3" s="2728">
        <v>16</v>
      </c>
      <c r="AZ3" s="2728">
        <v>11</v>
      </c>
      <c r="BA3" s="2893"/>
      <c r="BB3" s="2893"/>
      <c r="BC3" s="2893"/>
      <c r="BD3" s="2730">
        <v>1</v>
      </c>
      <c r="BE3" s="2958">
        <f ca="1">COUNTA(A1:BD239) + COUNTBLANK(A1:BD239)</f>
        <v>13388</v>
      </c>
      <c r="BF3" s="2959" t="str">
        <f>"cellules entre -cells -celdas  "&amp;" " &amp;A1&amp;" et  "&amp;BD239</f>
        <v>cellules entre -cells -celdas   A1 et  BD239</v>
      </c>
    </row>
    <row r="4" spans="1:58" s="6150" customFormat="1" ht="21" customHeight="1">
      <c r="A4" s="6148"/>
      <c r="B4" s="6148"/>
      <c r="C4" s="6148"/>
      <c r="D4" s="6148"/>
      <c r="E4" s="6148"/>
      <c r="F4" s="6148"/>
      <c r="G4" s="6148"/>
      <c r="H4" s="6148"/>
      <c r="I4" s="6148"/>
      <c r="J4" s="6148"/>
      <c r="K4" s="6148"/>
      <c r="L4" s="6148"/>
      <c r="M4" s="6148"/>
      <c r="N4" s="6148"/>
      <c r="O4" s="6148"/>
      <c r="P4" s="6148"/>
      <c r="Q4" s="6148"/>
      <c r="R4" s="6149"/>
      <c r="S4" s="6149"/>
      <c r="T4" s="6149"/>
      <c r="U4" s="6149"/>
      <c r="V4" s="2893"/>
      <c r="W4" s="2893"/>
      <c r="X4" s="2893"/>
      <c r="Y4" s="2893"/>
      <c r="Z4" s="2893"/>
      <c r="AA4" s="2893"/>
      <c r="AB4" s="2893"/>
      <c r="AC4" s="2893"/>
      <c r="AD4" s="2893"/>
      <c r="AE4" s="2893"/>
      <c r="AF4" s="2893"/>
      <c r="AG4" s="2893"/>
      <c r="AH4" s="2893"/>
      <c r="AI4" s="2893"/>
      <c r="AJ4" s="2893"/>
      <c r="AK4" s="2893"/>
      <c r="AL4" s="2893"/>
      <c r="AM4" s="2893"/>
      <c r="AN4" s="2893"/>
      <c r="AO4" s="2893"/>
      <c r="AP4" s="2893"/>
      <c r="AQ4" s="2893"/>
      <c r="AR4" s="2893"/>
      <c r="AS4" s="2893"/>
      <c r="AT4" s="2893"/>
      <c r="AU4" s="2893"/>
      <c r="AV4" s="2893"/>
      <c r="AW4" s="2893"/>
      <c r="AX4" s="2893"/>
      <c r="AY4" s="2893"/>
      <c r="AZ4" s="2893"/>
      <c r="BA4" s="2893"/>
      <c r="BB4" s="2893"/>
      <c r="BC4" s="2893"/>
      <c r="BD4" s="2730">
        <v>1</v>
      </c>
      <c r="BE4" s="2958">
        <f ca="1">COUNTA(A1:BD239)</f>
        <v>1415</v>
      </c>
      <c r="BF4" s="2959" t="s">
        <v>7190</v>
      </c>
    </row>
    <row r="5" spans="1:58" s="6150" customFormat="1" ht="21" customHeight="1">
      <c r="A5" s="6148"/>
      <c r="B5" s="6148"/>
      <c r="C5" s="6148"/>
      <c r="D5" s="6148"/>
      <c r="E5" s="6148"/>
      <c r="F5" s="6148"/>
      <c r="G5" s="6148"/>
      <c r="H5" s="6148"/>
      <c r="I5" s="6148"/>
      <c r="J5" s="6148"/>
      <c r="K5" s="6148"/>
      <c r="L5" s="6148"/>
      <c r="M5" s="6148"/>
      <c r="N5" s="6148"/>
      <c r="O5" s="6148"/>
      <c r="P5" s="6148"/>
      <c r="Q5" s="6148"/>
      <c r="R5" s="6149"/>
      <c r="S5" s="6149"/>
      <c r="T5" s="6149"/>
      <c r="U5" s="6149"/>
      <c r="V5" s="2893"/>
      <c r="W5" s="2893"/>
      <c r="X5" s="2893"/>
      <c r="Y5" s="2893"/>
      <c r="Z5" s="2893"/>
      <c r="AA5" s="2893"/>
      <c r="AB5" s="2893"/>
      <c r="AC5" s="2893"/>
      <c r="AD5" s="2893"/>
      <c r="AE5" s="2893"/>
      <c r="AF5" s="2893"/>
      <c r="AG5" s="2893"/>
      <c r="AH5" s="2893"/>
      <c r="AI5" s="2893"/>
      <c r="AJ5" s="2893"/>
      <c r="AK5" s="2893"/>
      <c r="AL5" s="2893"/>
      <c r="AM5" s="2893"/>
      <c r="AN5" s="2893"/>
      <c r="AO5" s="2893"/>
      <c r="AP5" s="2893"/>
      <c r="AQ5" s="2893"/>
      <c r="AR5" s="2893"/>
      <c r="AS5" s="2893"/>
      <c r="AT5" s="2893"/>
      <c r="AU5" s="2893"/>
      <c r="AV5" s="2893"/>
      <c r="AW5" s="2893"/>
      <c r="AX5" s="2893"/>
      <c r="AY5" s="2893"/>
      <c r="AZ5" s="2893"/>
      <c r="BA5" s="2893"/>
      <c r="BB5" s="6151" t="s">
        <v>7196</v>
      </c>
      <c r="BC5" s="2732" t="str">
        <f>$BD$239</f>
        <v>BD239</v>
      </c>
      <c r="BD5" s="2730">
        <v>1</v>
      </c>
      <c r="BE5" s="2958">
        <f ca="1">COUNTBLANK(A1:BD239)</f>
        <v>11973</v>
      </c>
      <c r="BF5" s="2959" t="s">
        <v>7191</v>
      </c>
    </row>
    <row r="6" spans="1:58" s="6150" customFormat="1" ht="30" customHeight="1">
      <c r="A6" s="6148"/>
      <c r="B6" s="6148"/>
      <c r="C6" s="6152" t="s">
        <v>15261</v>
      </c>
      <c r="D6" s="6148"/>
      <c r="E6" s="6148"/>
      <c r="F6" s="6148"/>
      <c r="G6" s="6148"/>
      <c r="H6" s="6148"/>
      <c r="I6" s="6148"/>
      <c r="J6" s="6148"/>
      <c r="K6" s="6148"/>
      <c r="L6" s="6148"/>
      <c r="M6" s="6148"/>
      <c r="N6" s="6148"/>
      <c r="O6" s="6148"/>
      <c r="P6" s="6148"/>
      <c r="Q6" s="6148"/>
      <c r="R6" s="6149"/>
      <c r="S6" s="6149"/>
      <c r="T6" s="6149"/>
      <c r="U6" s="6149"/>
      <c r="V6" s="6152" t="s">
        <v>15262</v>
      </c>
      <c r="W6" s="2893"/>
      <c r="X6" s="2893"/>
      <c r="Y6" s="2893"/>
      <c r="Z6" s="2893"/>
      <c r="AA6" s="2893"/>
      <c r="AB6" s="2893"/>
      <c r="AC6" s="2893"/>
      <c r="AD6" s="2893"/>
      <c r="AE6" s="2893"/>
      <c r="AF6" s="2893"/>
      <c r="AG6" s="2893"/>
      <c r="AH6" s="2893"/>
      <c r="AI6" s="2893"/>
      <c r="AJ6" s="2893"/>
      <c r="AK6" s="2893"/>
      <c r="AL6" s="6152" t="s">
        <v>15263</v>
      </c>
      <c r="AM6" s="2893"/>
      <c r="AN6" s="2893"/>
      <c r="AO6" s="2893"/>
      <c r="AP6" s="2893"/>
      <c r="AQ6" s="2893"/>
      <c r="AR6" s="2893"/>
      <c r="AS6" s="2893"/>
      <c r="AT6" s="2893"/>
      <c r="AU6" s="2893"/>
      <c r="AV6" s="2893"/>
      <c r="AW6" s="2893"/>
      <c r="AX6" s="2893"/>
      <c r="AY6" s="2893"/>
      <c r="AZ6" s="2893"/>
      <c r="BA6" s="2893"/>
      <c r="BB6" s="2893"/>
      <c r="BC6" s="2893"/>
      <c r="BD6" s="2730">
        <v>1</v>
      </c>
      <c r="BE6" s="2958">
        <f>SUM(BD1:BD237)+2</f>
        <v>239</v>
      </c>
      <c r="BF6" s="2959" t="s">
        <v>7194</v>
      </c>
    </row>
    <row r="7" spans="1:58" s="6150" customFormat="1" ht="30" customHeight="1">
      <c r="A7" s="6148"/>
      <c r="B7" s="6148"/>
      <c r="C7" s="6152" t="s">
        <v>15264</v>
      </c>
      <c r="D7" s="6149"/>
      <c r="E7" s="6149"/>
      <c r="F7" s="6149"/>
      <c r="G7" s="6149"/>
      <c r="H7" s="6149"/>
      <c r="I7" s="6149"/>
      <c r="J7" s="6149"/>
      <c r="K7" s="6149"/>
      <c r="L7" s="6149"/>
      <c r="M7" s="6149"/>
      <c r="N7" s="6149"/>
      <c r="O7" s="6149"/>
      <c r="P7" s="6149"/>
      <c r="Q7" s="6148"/>
      <c r="R7" s="6149"/>
      <c r="S7" s="6149"/>
      <c r="T7" s="6149"/>
      <c r="U7" s="6149"/>
      <c r="V7" s="6152" t="s">
        <v>15265</v>
      </c>
      <c r="W7" s="6149"/>
      <c r="X7" s="6149"/>
      <c r="Y7" s="6149"/>
      <c r="Z7" s="6149"/>
      <c r="AA7" s="6149"/>
      <c r="AB7" s="6149"/>
      <c r="AC7" s="6149"/>
      <c r="AD7" s="6149"/>
      <c r="AE7" s="6149"/>
      <c r="AF7" s="2893"/>
      <c r="AG7" s="6149"/>
      <c r="AH7" s="6149"/>
      <c r="AI7" s="6149"/>
      <c r="AJ7" s="6149"/>
      <c r="AK7" s="6149"/>
      <c r="AL7" s="6152" t="s">
        <v>15266</v>
      </c>
      <c r="AM7" s="6149"/>
      <c r="AN7" s="6149"/>
      <c r="AO7" s="6149"/>
      <c r="AP7" s="6149"/>
      <c r="AQ7" s="6149"/>
      <c r="AR7" s="6149"/>
      <c r="AS7" s="2893"/>
      <c r="AT7" s="2893"/>
      <c r="AU7" s="2893"/>
      <c r="AV7" s="2893"/>
      <c r="AW7" s="2893"/>
      <c r="AX7" s="2893"/>
      <c r="AY7" s="2893"/>
      <c r="AZ7" s="2893"/>
      <c r="BA7" s="2893"/>
      <c r="BB7" s="2893"/>
      <c r="BC7" s="2893"/>
      <c r="BD7" s="2730">
        <v>1</v>
      </c>
      <c r="BE7" s="2958">
        <f>SUM(A239:BC239)+1</f>
        <v>56</v>
      </c>
      <c r="BF7" s="2959" t="s">
        <v>7197</v>
      </c>
    </row>
    <row r="8" spans="1:58" s="6150" customFormat="1" ht="30" customHeight="1">
      <c r="A8" s="6148"/>
      <c r="B8" s="6148"/>
      <c r="C8" s="6152" t="s">
        <v>15267</v>
      </c>
      <c r="D8" s="6153"/>
      <c r="E8" s="6153"/>
      <c r="F8" s="6153"/>
      <c r="G8" s="6153"/>
      <c r="H8" s="6153"/>
      <c r="I8" s="6153"/>
      <c r="J8" s="6153"/>
      <c r="K8" s="6153"/>
      <c r="L8" s="6149"/>
      <c r="M8" s="6149"/>
      <c r="N8" s="6149"/>
      <c r="O8" s="6149"/>
      <c r="P8" s="6149"/>
      <c r="Q8" s="6148"/>
      <c r="R8" s="6149"/>
      <c r="S8" s="6149"/>
      <c r="T8" s="6149"/>
      <c r="U8" s="6149"/>
      <c r="V8" s="6152" t="s">
        <v>15268</v>
      </c>
      <c r="W8" s="6153"/>
      <c r="X8" s="6153"/>
      <c r="Y8" s="6153"/>
      <c r="Z8" s="6153"/>
      <c r="AA8" s="6153"/>
      <c r="AB8" s="6153"/>
      <c r="AC8" s="6153"/>
      <c r="AD8" s="6153"/>
      <c r="AE8" s="6149"/>
      <c r="AF8" s="2893"/>
      <c r="AG8" s="6149"/>
      <c r="AH8" s="6149"/>
      <c r="AI8" s="6149"/>
      <c r="AJ8" s="6149"/>
      <c r="AK8" s="6149"/>
      <c r="AL8" s="6152" t="s">
        <v>15269</v>
      </c>
      <c r="AM8" s="6153"/>
      <c r="AN8" s="6153"/>
      <c r="AO8" s="6153"/>
      <c r="AP8" s="6153"/>
      <c r="AQ8" s="6153"/>
      <c r="AR8" s="6153"/>
      <c r="AS8" s="2893"/>
      <c r="AT8" s="2893"/>
      <c r="AU8" s="2893"/>
      <c r="AV8" s="2893"/>
      <c r="AW8" s="2893"/>
      <c r="AX8" s="2893"/>
      <c r="AY8" s="2893"/>
      <c r="AZ8" s="2893"/>
      <c r="BA8" s="2893"/>
      <c r="BB8" s="2893"/>
      <c r="BC8" s="2893"/>
      <c r="BD8" s="2730">
        <v>1</v>
      </c>
    </row>
    <row r="9" spans="1:58" s="6150" customFormat="1" ht="30" customHeight="1">
      <c r="A9" s="6148"/>
      <c r="B9" s="6148"/>
      <c r="C9" s="6152" t="s">
        <v>15270</v>
      </c>
      <c r="D9" s="6153"/>
      <c r="E9" s="6153"/>
      <c r="F9" s="6153"/>
      <c r="G9" s="6153"/>
      <c r="H9" s="6153"/>
      <c r="I9" s="6153"/>
      <c r="J9" s="6153"/>
      <c r="K9" s="6153"/>
      <c r="L9" s="6149"/>
      <c r="M9" s="6149"/>
      <c r="N9" s="6149"/>
      <c r="O9" s="6149"/>
      <c r="P9" s="6149"/>
      <c r="Q9" s="6149"/>
      <c r="R9" s="6149"/>
      <c r="S9" s="6149"/>
      <c r="T9" s="6149"/>
      <c r="U9" s="6149"/>
      <c r="V9" s="6152" t="s">
        <v>15271</v>
      </c>
      <c r="W9" s="6153"/>
      <c r="X9" s="6153"/>
      <c r="Y9" s="6153"/>
      <c r="Z9" s="6153"/>
      <c r="AA9" s="6153"/>
      <c r="AB9" s="6153"/>
      <c r="AC9" s="6153"/>
      <c r="AD9" s="6153"/>
      <c r="AE9" s="6149"/>
      <c r="AF9" s="2893"/>
      <c r="AG9" s="6149"/>
      <c r="AH9" s="6149"/>
      <c r="AI9" s="6149"/>
      <c r="AJ9" s="6149"/>
      <c r="AK9" s="6149"/>
      <c r="AL9" s="6152" t="s">
        <v>15272</v>
      </c>
      <c r="AM9" s="6153"/>
      <c r="AN9" s="6153"/>
      <c r="AO9" s="6153"/>
      <c r="AP9" s="6153"/>
      <c r="AQ9" s="6153"/>
      <c r="AR9" s="6153"/>
      <c r="AS9" s="2893"/>
      <c r="AT9" s="2893"/>
      <c r="AU9" s="2893"/>
      <c r="AV9" s="2893"/>
      <c r="AW9" s="2893"/>
      <c r="AX9" s="2893"/>
      <c r="AY9" s="2893"/>
      <c r="AZ9" s="2893"/>
      <c r="BA9" s="2893"/>
      <c r="BB9" s="2893"/>
      <c r="BC9" s="2893"/>
      <c r="BD9" s="2730">
        <v>1</v>
      </c>
    </row>
    <row r="10" spans="1:58" s="6150" customFormat="1" ht="30" customHeight="1">
      <c r="A10" s="6148"/>
      <c r="B10" s="6148"/>
      <c r="C10" s="6152"/>
      <c r="D10" s="6154"/>
      <c r="E10" s="6154"/>
      <c r="F10" s="6154"/>
      <c r="G10" s="6154"/>
      <c r="H10" s="6154"/>
      <c r="I10" s="6154"/>
      <c r="J10" s="6154"/>
      <c r="K10" s="6154"/>
      <c r="L10" s="6154"/>
      <c r="M10" s="6154"/>
      <c r="N10" s="6154"/>
      <c r="O10" s="6154"/>
      <c r="P10" s="6154"/>
      <c r="Q10" s="6154"/>
      <c r="R10" s="6154"/>
      <c r="S10" s="6154"/>
      <c r="T10" s="6154"/>
      <c r="U10" s="6154"/>
      <c r="V10" s="6152"/>
      <c r="W10" s="6154"/>
      <c r="X10" s="6154"/>
      <c r="Y10" s="6154"/>
      <c r="Z10" s="6154"/>
      <c r="AA10" s="6154"/>
      <c r="AB10" s="6154"/>
      <c r="AC10" s="6154"/>
      <c r="AD10" s="6154"/>
      <c r="AE10" s="6154"/>
      <c r="AF10" s="2893"/>
      <c r="AG10" s="6154"/>
      <c r="AH10" s="6154"/>
      <c r="AI10" s="6154"/>
      <c r="AJ10" s="6154"/>
      <c r="AK10" s="6154"/>
      <c r="AL10" s="6152"/>
      <c r="AM10" s="6154"/>
      <c r="AN10" s="6154"/>
      <c r="AO10" s="6154"/>
      <c r="AP10" s="6154"/>
      <c r="AQ10" s="6154"/>
      <c r="AR10" s="6154"/>
      <c r="AS10" s="2893"/>
      <c r="AT10" s="2893"/>
      <c r="AU10" s="2893"/>
      <c r="AV10" s="2893"/>
      <c r="AW10" s="2893"/>
      <c r="AX10" s="2893"/>
      <c r="AY10" s="2893"/>
      <c r="AZ10" s="2893"/>
      <c r="BA10" s="2893"/>
      <c r="BB10" s="2893"/>
      <c r="BC10" s="2893"/>
      <c r="BD10" s="2730">
        <v>1</v>
      </c>
    </row>
    <row r="11" spans="1:58" s="6150" customFormat="1" ht="30" customHeight="1">
      <c r="A11" s="6148"/>
      <c r="B11" s="6148"/>
      <c r="C11" s="6152" t="s">
        <v>15273</v>
      </c>
      <c r="D11" s="6154"/>
      <c r="E11" s="6154"/>
      <c r="F11" s="6154"/>
      <c r="G11" s="6154"/>
      <c r="H11" s="6154"/>
      <c r="I11" s="6154"/>
      <c r="J11" s="6154"/>
      <c r="K11" s="6154"/>
      <c r="L11" s="6154"/>
      <c r="M11" s="6154"/>
      <c r="N11" s="6154"/>
      <c r="O11" s="6154"/>
      <c r="P11" s="6154"/>
      <c r="Q11" s="6154"/>
      <c r="R11" s="6154"/>
      <c r="S11" s="6154"/>
      <c r="T11" s="6154"/>
      <c r="U11" s="6154"/>
      <c r="V11" s="6152" t="s">
        <v>15274</v>
      </c>
      <c r="W11" s="6154"/>
      <c r="X11" s="6154"/>
      <c r="Y11" s="6154"/>
      <c r="Z11" s="6154"/>
      <c r="AA11" s="6154"/>
      <c r="AB11" s="6154"/>
      <c r="AC11" s="6154"/>
      <c r="AD11" s="6154"/>
      <c r="AE11" s="6154"/>
      <c r="AF11" s="2893"/>
      <c r="AG11" s="6154"/>
      <c r="AH11" s="6154"/>
      <c r="AI11" s="6154"/>
      <c r="AJ11" s="6154"/>
      <c r="AK11" s="6154"/>
      <c r="AL11" s="6152" t="s">
        <v>15275</v>
      </c>
      <c r="AM11" s="6154"/>
      <c r="AN11" s="6154"/>
      <c r="AO11" s="6154"/>
      <c r="AP11" s="6154"/>
      <c r="AQ11" s="6154"/>
      <c r="AR11" s="6154"/>
      <c r="AS11" s="2893"/>
      <c r="AT11" s="2893"/>
      <c r="AU11" s="2893"/>
      <c r="AV11" s="2893"/>
      <c r="AW11" s="2893"/>
      <c r="AX11" s="2893"/>
      <c r="AY11" s="2893"/>
      <c r="AZ11" s="2893"/>
      <c r="BA11" s="2893"/>
      <c r="BB11" s="2893"/>
      <c r="BC11" s="2893"/>
      <c r="BD11" s="2730">
        <v>1</v>
      </c>
    </row>
    <row r="12" spans="1:58" s="6150" customFormat="1" ht="30" customHeight="1">
      <c r="A12" s="6148"/>
      <c r="B12" s="6148"/>
      <c r="C12" s="6152" t="s">
        <v>15276</v>
      </c>
      <c r="D12" s="6154"/>
      <c r="E12" s="6154"/>
      <c r="F12" s="6154"/>
      <c r="G12" s="6154"/>
      <c r="H12" s="6154"/>
      <c r="I12" s="6154"/>
      <c r="J12" s="6154"/>
      <c r="K12" s="6154"/>
      <c r="L12" s="6154"/>
      <c r="M12" s="6154"/>
      <c r="N12" s="6154"/>
      <c r="O12" s="6154"/>
      <c r="P12" s="6154"/>
      <c r="Q12" s="6154"/>
      <c r="R12" s="6154"/>
      <c r="S12" s="6154"/>
      <c r="T12" s="6154"/>
      <c r="U12" s="6154"/>
      <c r="V12" s="6152" t="s">
        <v>15277</v>
      </c>
      <c r="W12" s="6154"/>
      <c r="X12" s="6154"/>
      <c r="Y12" s="6154"/>
      <c r="Z12" s="6154"/>
      <c r="AA12" s="6154"/>
      <c r="AB12" s="6154"/>
      <c r="AC12" s="6154"/>
      <c r="AD12" s="6154"/>
      <c r="AE12" s="6154"/>
      <c r="AF12" s="2893"/>
      <c r="AG12" s="6154"/>
      <c r="AH12" s="6154"/>
      <c r="AI12" s="6154"/>
      <c r="AJ12" s="6154"/>
      <c r="AK12" s="6154"/>
      <c r="AL12" s="6152" t="s">
        <v>15278</v>
      </c>
      <c r="AM12" s="6154"/>
      <c r="AN12" s="6154"/>
      <c r="AO12" s="6154"/>
      <c r="AP12" s="6154"/>
      <c r="AQ12" s="6154"/>
      <c r="AR12" s="6154"/>
      <c r="AS12" s="2893"/>
      <c r="AT12" s="2893"/>
      <c r="AU12" s="2893"/>
      <c r="AV12" s="2893"/>
      <c r="AW12" s="2893"/>
      <c r="AX12" s="2893"/>
      <c r="AY12" s="2893"/>
      <c r="AZ12" s="2893"/>
      <c r="BA12" s="2893"/>
      <c r="BB12" s="2893"/>
      <c r="BC12" s="2893"/>
      <c r="BD12" s="2730">
        <v>1</v>
      </c>
    </row>
    <row r="13" spans="1:58" s="6150" customFormat="1" ht="30" customHeight="1">
      <c r="A13" s="6148"/>
      <c r="B13" s="6148"/>
      <c r="C13" s="6152"/>
      <c r="D13" s="6154"/>
      <c r="E13" s="6154"/>
      <c r="F13" s="6154"/>
      <c r="G13" s="6154"/>
      <c r="H13" s="6154"/>
      <c r="I13" s="6154"/>
      <c r="J13" s="6154"/>
      <c r="K13" s="6154"/>
      <c r="L13" s="6154"/>
      <c r="M13" s="6154"/>
      <c r="N13" s="6154"/>
      <c r="O13" s="6154"/>
      <c r="P13" s="6154"/>
      <c r="Q13" s="6154"/>
      <c r="R13" s="6154"/>
      <c r="S13" s="6154"/>
      <c r="T13" s="6154"/>
      <c r="U13" s="6154"/>
      <c r="V13" s="6152"/>
      <c r="W13" s="6154"/>
      <c r="X13" s="6154"/>
      <c r="Y13" s="6154"/>
      <c r="Z13" s="6154"/>
      <c r="AA13" s="6154"/>
      <c r="AB13" s="6154"/>
      <c r="AC13" s="6154"/>
      <c r="AD13" s="6154"/>
      <c r="AE13" s="6154"/>
      <c r="AF13" s="2893"/>
      <c r="AG13" s="6154"/>
      <c r="AH13" s="6154"/>
      <c r="AI13" s="6154"/>
      <c r="AJ13" s="6154"/>
      <c r="AK13" s="6154"/>
      <c r="AL13" s="6152"/>
      <c r="AM13" s="6154"/>
      <c r="AN13" s="6154"/>
      <c r="AO13" s="6154"/>
      <c r="AP13" s="6154"/>
      <c r="AQ13" s="6154"/>
      <c r="AR13" s="6154"/>
      <c r="AS13" s="2893"/>
      <c r="AT13" s="2893"/>
      <c r="AU13" s="2893"/>
      <c r="AV13" s="2893"/>
      <c r="AW13" s="2893"/>
      <c r="AX13" s="2893"/>
      <c r="AY13" s="2893"/>
      <c r="AZ13" s="2893"/>
      <c r="BA13" s="2893"/>
      <c r="BB13" s="2893"/>
      <c r="BC13" s="2893"/>
      <c r="BD13" s="2730">
        <v>1</v>
      </c>
    </row>
    <row r="14" spans="1:58" s="6150" customFormat="1" ht="30" customHeight="1">
      <c r="A14" s="6148"/>
      <c r="B14" s="6148"/>
      <c r="C14" s="6152" t="s">
        <v>15279</v>
      </c>
      <c r="D14" s="6154"/>
      <c r="E14" s="6154"/>
      <c r="F14" s="6154"/>
      <c r="G14" s="6154"/>
      <c r="H14" s="6154"/>
      <c r="I14" s="6154"/>
      <c r="J14" s="6154"/>
      <c r="K14" s="6154"/>
      <c r="L14" s="6154"/>
      <c r="M14" s="6154"/>
      <c r="N14" s="6154"/>
      <c r="O14" s="6154"/>
      <c r="P14" s="6154"/>
      <c r="Q14" s="6154"/>
      <c r="R14" s="6154"/>
      <c r="S14" s="6154"/>
      <c r="T14" s="6154"/>
      <c r="U14" s="6154"/>
      <c r="V14" s="6152" t="s">
        <v>15280</v>
      </c>
      <c r="W14" s="6154"/>
      <c r="X14" s="6154"/>
      <c r="Y14" s="6154"/>
      <c r="Z14" s="6154"/>
      <c r="AA14" s="6154"/>
      <c r="AB14" s="6154"/>
      <c r="AC14" s="6154"/>
      <c r="AD14" s="6154"/>
      <c r="AE14" s="6154"/>
      <c r="AF14" s="2893"/>
      <c r="AG14" s="6154"/>
      <c r="AH14" s="6154"/>
      <c r="AI14" s="6154"/>
      <c r="AJ14" s="6154"/>
      <c r="AK14" s="6154"/>
      <c r="AL14" s="6152" t="s">
        <v>15281</v>
      </c>
      <c r="AM14" s="6154"/>
      <c r="AN14" s="6154"/>
      <c r="AO14" s="6154"/>
      <c r="AP14" s="6154"/>
      <c r="AQ14" s="6154"/>
      <c r="AR14" s="6154"/>
      <c r="AS14" s="2893"/>
      <c r="AT14" s="2893"/>
      <c r="AU14" s="2893"/>
      <c r="AV14" s="2893"/>
      <c r="AW14" s="2893"/>
      <c r="AX14" s="2893"/>
      <c r="AY14" s="2893"/>
      <c r="AZ14" s="2893"/>
      <c r="BA14" s="2893"/>
      <c r="BB14" s="2893"/>
      <c r="BC14" s="2893"/>
      <c r="BD14" s="2730">
        <v>1</v>
      </c>
    </row>
    <row r="15" spans="1:58" s="6150" customFormat="1" ht="30" customHeight="1">
      <c r="A15" s="6148"/>
      <c r="B15" s="6148"/>
      <c r="C15" s="6152" t="s">
        <v>15282</v>
      </c>
      <c r="D15" s="6154"/>
      <c r="E15" s="6154"/>
      <c r="F15" s="6154"/>
      <c r="G15" s="6154"/>
      <c r="H15" s="6154"/>
      <c r="I15" s="6154"/>
      <c r="J15" s="6154"/>
      <c r="K15" s="6154"/>
      <c r="L15" s="6154"/>
      <c r="M15" s="6154"/>
      <c r="N15" s="6154"/>
      <c r="O15" s="6154"/>
      <c r="P15" s="6154"/>
      <c r="Q15" s="6154"/>
      <c r="R15" s="6154"/>
      <c r="S15" s="6154"/>
      <c r="T15" s="6154"/>
      <c r="U15" s="6154"/>
      <c r="V15" s="6152" t="s">
        <v>15283</v>
      </c>
      <c r="W15" s="6154"/>
      <c r="X15" s="6154"/>
      <c r="Y15" s="6154"/>
      <c r="Z15" s="6154"/>
      <c r="AA15" s="6154"/>
      <c r="AB15" s="6154"/>
      <c r="AC15" s="6154"/>
      <c r="AD15" s="6154"/>
      <c r="AE15" s="6154"/>
      <c r="AF15" s="2893"/>
      <c r="AG15" s="6154"/>
      <c r="AH15" s="6154"/>
      <c r="AI15" s="6154"/>
      <c r="AJ15" s="6154"/>
      <c r="AK15" s="6154"/>
      <c r="AL15" s="6152" t="s">
        <v>15284</v>
      </c>
      <c r="AM15" s="6154"/>
      <c r="AN15" s="6154"/>
      <c r="AO15" s="6154"/>
      <c r="AP15" s="6154"/>
      <c r="AQ15" s="6154"/>
      <c r="AR15" s="6154"/>
      <c r="AS15" s="2893"/>
      <c r="AT15" s="2893"/>
      <c r="AU15" s="2893"/>
      <c r="AV15" s="2893"/>
      <c r="AW15" s="2893"/>
      <c r="AX15" s="2893"/>
      <c r="AY15" s="2893"/>
      <c r="AZ15" s="2893"/>
      <c r="BA15" s="2893"/>
      <c r="BB15" s="2893"/>
      <c r="BC15" s="2893"/>
      <c r="BD15" s="2730">
        <v>1</v>
      </c>
    </row>
    <row r="16" spans="1:58" s="6150" customFormat="1" ht="30" customHeight="1">
      <c r="A16" s="6148"/>
      <c r="B16" s="6148"/>
      <c r="C16" s="6152"/>
      <c r="D16" s="6154"/>
      <c r="E16" s="6154"/>
      <c r="F16" s="6154"/>
      <c r="G16" s="6154"/>
      <c r="H16" s="6154"/>
      <c r="I16" s="6154"/>
      <c r="J16" s="6154"/>
      <c r="K16" s="6154"/>
      <c r="L16" s="6154"/>
      <c r="M16" s="6154"/>
      <c r="N16" s="6154"/>
      <c r="O16" s="6154"/>
      <c r="P16" s="6154"/>
      <c r="Q16" s="6154"/>
      <c r="R16" s="6154"/>
      <c r="S16" s="6154"/>
      <c r="T16" s="6154"/>
      <c r="U16" s="6154"/>
      <c r="V16" s="6152"/>
      <c r="W16" s="6154"/>
      <c r="X16" s="6154"/>
      <c r="Y16" s="6154"/>
      <c r="Z16" s="6154"/>
      <c r="AA16" s="6154"/>
      <c r="AB16" s="6154"/>
      <c r="AC16" s="6154"/>
      <c r="AD16" s="6154"/>
      <c r="AE16" s="6154"/>
      <c r="AF16" s="2893"/>
      <c r="AG16" s="6154"/>
      <c r="AH16" s="6154"/>
      <c r="AI16" s="6154"/>
      <c r="AJ16" s="6154"/>
      <c r="AK16" s="6154"/>
      <c r="AL16" s="6152"/>
      <c r="AM16" s="6154"/>
      <c r="AN16" s="6154"/>
      <c r="AO16" s="6154"/>
      <c r="AP16" s="6154"/>
      <c r="AQ16" s="6154"/>
      <c r="AR16" s="6154"/>
      <c r="AS16" s="2893"/>
      <c r="AT16" s="2893"/>
      <c r="AU16" s="2893"/>
      <c r="AV16" s="2893"/>
      <c r="AW16" s="2893"/>
      <c r="AX16" s="2893"/>
      <c r="AY16" s="2893"/>
      <c r="AZ16" s="2893"/>
      <c r="BA16" s="2893"/>
      <c r="BB16" s="2893"/>
      <c r="BC16" s="2893"/>
      <c r="BD16" s="2730">
        <v>1</v>
      </c>
    </row>
    <row r="17" spans="1:58" s="6150" customFormat="1" ht="30" customHeight="1">
      <c r="A17" s="6148"/>
      <c r="B17" s="6148"/>
      <c r="C17" s="6152" t="s">
        <v>15285</v>
      </c>
      <c r="D17" s="6154"/>
      <c r="E17" s="6154"/>
      <c r="F17" s="6154"/>
      <c r="G17" s="6154"/>
      <c r="H17" s="6154"/>
      <c r="I17" s="6154"/>
      <c r="J17" s="6154"/>
      <c r="K17" s="6154"/>
      <c r="L17" s="6154"/>
      <c r="M17" s="6154"/>
      <c r="N17" s="6154"/>
      <c r="O17" s="6154"/>
      <c r="P17" s="6154"/>
      <c r="Q17" s="6154"/>
      <c r="R17" s="6154"/>
      <c r="S17" s="6154"/>
      <c r="T17" s="6154"/>
      <c r="U17" s="6154"/>
      <c r="V17" s="6152" t="s">
        <v>15286</v>
      </c>
      <c r="W17" s="6154"/>
      <c r="X17" s="6154"/>
      <c r="Y17" s="6154"/>
      <c r="Z17" s="6154"/>
      <c r="AA17" s="6154"/>
      <c r="AB17" s="6154"/>
      <c r="AC17" s="6154"/>
      <c r="AD17" s="6154"/>
      <c r="AE17" s="6154"/>
      <c r="AF17" s="2893"/>
      <c r="AG17" s="6154"/>
      <c r="AH17" s="6154"/>
      <c r="AI17" s="6154"/>
      <c r="AJ17" s="6154"/>
      <c r="AK17" s="6154"/>
      <c r="AL17" s="6152" t="s">
        <v>15287</v>
      </c>
      <c r="AM17" s="6154"/>
      <c r="AN17" s="6154"/>
      <c r="AO17" s="6154"/>
      <c r="AP17" s="6154"/>
      <c r="AQ17" s="6154"/>
      <c r="AR17" s="6154"/>
      <c r="AS17" s="2893"/>
      <c r="AT17" s="2893"/>
      <c r="AU17" s="2893"/>
      <c r="AV17" s="2893"/>
      <c r="AW17" s="2893"/>
      <c r="AX17" s="2893"/>
      <c r="AY17" s="2893"/>
      <c r="AZ17" s="2893"/>
      <c r="BA17" s="2893"/>
      <c r="BB17" s="2893"/>
      <c r="BC17" s="2893"/>
      <c r="BD17" s="2730">
        <v>1</v>
      </c>
    </row>
    <row r="18" spans="1:58" s="6150" customFormat="1" ht="30" customHeight="1">
      <c r="A18" s="6148"/>
      <c r="B18" s="6148"/>
      <c r="C18" s="6152" t="s">
        <v>15288</v>
      </c>
      <c r="D18" s="6154"/>
      <c r="E18" s="6154"/>
      <c r="F18" s="6154"/>
      <c r="G18" s="6154"/>
      <c r="H18" s="6154"/>
      <c r="I18" s="6154"/>
      <c r="J18" s="6154"/>
      <c r="K18" s="6154"/>
      <c r="L18" s="6154"/>
      <c r="M18" s="6154"/>
      <c r="N18" s="6154"/>
      <c r="O18" s="6154"/>
      <c r="P18" s="6154"/>
      <c r="Q18" s="6154"/>
      <c r="R18" s="6154"/>
      <c r="S18" s="6154"/>
      <c r="T18" s="6154"/>
      <c r="U18" s="6154"/>
      <c r="V18" s="6152" t="s">
        <v>15289</v>
      </c>
      <c r="W18" s="6154"/>
      <c r="X18" s="6154"/>
      <c r="Y18" s="6154"/>
      <c r="Z18" s="6154"/>
      <c r="AA18" s="6154"/>
      <c r="AB18" s="6154"/>
      <c r="AC18" s="6154"/>
      <c r="AD18" s="6154"/>
      <c r="AE18" s="6154"/>
      <c r="AF18" s="2893"/>
      <c r="AG18" s="6154"/>
      <c r="AH18" s="6154"/>
      <c r="AI18" s="6154"/>
      <c r="AJ18" s="6154"/>
      <c r="AK18" s="6154"/>
      <c r="AL18" s="6152" t="s">
        <v>15290</v>
      </c>
      <c r="AM18" s="6154"/>
      <c r="AN18" s="6154"/>
      <c r="AO18" s="6154"/>
      <c r="AP18" s="6154"/>
      <c r="AQ18" s="6154"/>
      <c r="AR18" s="6154"/>
      <c r="AS18" s="2893"/>
      <c r="AT18" s="2893"/>
      <c r="AU18" s="2893"/>
      <c r="AV18" s="2893"/>
      <c r="AW18" s="2893"/>
      <c r="AX18" s="2893"/>
      <c r="AY18" s="2893"/>
      <c r="AZ18" s="2893"/>
      <c r="BA18" s="2893"/>
      <c r="BB18" s="2893"/>
      <c r="BC18" s="2893"/>
      <c r="BD18" s="2730">
        <v>1</v>
      </c>
    </row>
    <row r="19" spans="1:58" s="6150" customFormat="1" ht="30" customHeight="1">
      <c r="A19" s="6148"/>
      <c r="B19" s="6148"/>
      <c r="C19" s="6152"/>
      <c r="D19" s="6154"/>
      <c r="E19" s="6154"/>
      <c r="F19" s="6154"/>
      <c r="G19" s="6154"/>
      <c r="H19" s="6154"/>
      <c r="I19" s="6154"/>
      <c r="J19" s="6154"/>
      <c r="K19" s="6154"/>
      <c r="L19" s="6154"/>
      <c r="M19" s="6154"/>
      <c r="N19" s="6154"/>
      <c r="O19" s="6154"/>
      <c r="P19" s="6154"/>
      <c r="Q19" s="6154"/>
      <c r="R19" s="6154"/>
      <c r="S19" s="6154"/>
      <c r="T19" s="6154"/>
      <c r="U19" s="6154"/>
      <c r="V19" s="6152"/>
      <c r="W19" s="6154"/>
      <c r="X19" s="6154"/>
      <c r="Y19" s="6154"/>
      <c r="Z19" s="6154"/>
      <c r="AA19" s="6154"/>
      <c r="AB19" s="6154"/>
      <c r="AC19" s="6154"/>
      <c r="AD19" s="6154"/>
      <c r="AE19" s="6154"/>
      <c r="AF19" s="2893"/>
      <c r="AG19" s="6154"/>
      <c r="AH19" s="6154"/>
      <c r="AI19" s="6154"/>
      <c r="AJ19" s="6154"/>
      <c r="AK19" s="6154"/>
      <c r="AL19" s="6152"/>
      <c r="AM19" s="6154"/>
      <c r="AN19" s="6154"/>
      <c r="AO19" s="6154"/>
      <c r="AP19" s="6154"/>
      <c r="AQ19" s="6154"/>
      <c r="AR19" s="6154"/>
      <c r="AS19" s="2893"/>
      <c r="AT19" s="2893"/>
      <c r="AU19" s="2893"/>
      <c r="AV19" s="2893"/>
      <c r="AW19" s="2893"/>
      <c r="AX19" s="2893"/>
      <c r="AY19" s="2893"/>
      <c r="AZ19" s="2893"/>
      <c r="BA19" s="2893"/>
      <c r="BB19" s="2893"/>
      <c r="BC19" s="2893"/>
      <c r="BD19" s="2730">
        <v>1</v>
      </c>
    </row>
    <row r="20" spans="1:58" s="6150" customFormat="1" ht="30" customHeight="1">
      <c r="A20" s="6148"/>
      <c r="B20" s="6148"/>
      <c r="C20" s="6152" t="s">
        <v>15291</v>
      </c>
      <c r="D20" s="6154"/>
      <c r="E20" s="6154"/>
      <c r="F20" s="6154"/>
      <c r="G20" s="6154"/>
      <c r="H20" s="6154"/>
      <c r="I20" s="6154"/>
      <c r="J20" s="6154"/>
      <c r="K20" s="6154"/>
      <c r="L20" s="6154"/>
      <c r="M20" s="6154"/>
      <c r="N20" s="6154"/>
      <c r="O20" s="6154"/>
      <c r="P20" s="6154"/>
      <c r="Q20" s="6154"/>
      <c r="R20" s="6154"/>
      <c r="S20" s="6154"/>
      <c r="T20" s="6154"/>
      <c r="U20" s="6154"/>
      <c r="V20" s="6152" t="s">
        <v>15292</v>
      </c>
      <c r="W20" s="6154"/>
      <c r="X20" s="6154"/>
      <c r="Y20" s="6154"/>
      <c r="Z20" s="6154"/>
      <c r="AA20" s="6154"/>
      <c r="AB20" s="6154"/>
      <c r="AC20" s="6154"/>
      <c r="AD20" s="6154"/>
      <c r="AE20" s="6154"/>
      <c r="AF20" s="2893"/>
      <c r="AG20" s="6154"/>
      <c r="AH20" s="6154"/>
      <c r="AI20" s="6154"/>
      <c r="AJ20" s="6154"/>
      <c r="AK20" s="6154"/>
      <c r="AL20" s="6152" t="s">
        <v>15293</v>
      </c>
      <c r="AM20" s="6154"/>
      <c r="AN20" s="6154"/>
      <c r="AO20" s="6154"/>
      <c r="AP20" s="6154"/>
      <c r="AQ20" s="6154"/>
      <c r="AR20" s="6154"/>
      <c r="AS20" s="2893"/>
      <c r="AT20" s="2893"/>
      <c r="AU20" s="2893"/>
      <c r="AV20" s="2893"/>
      <c r="AW20" s="2893"/>
      <c r="AX20" s="2893"/>
      <c r="AY20" s="2893"/>
      <c r="AZ20" s="2893"/>
      <c r="BA20" s="2893"/>
      <c r="BB20" s="2893"/>
      <c r="BC20" s="2893"/>
      <c r="BD20" s="2730">
        <v>1</v>
      </c>
    </row>
    <row r="21" spans="1:58" s="6150" customFormat="1" ht="30" customHeight="1">
      <c r="A21" s="6148"/>
      <c r="B21" s="6148"/>
      <c r="C21" s="6152"/>
      <c r="D21" s="6154"/>
      <c r="E21" s="6154"/>
      <c r="F21" s="6154"/>
      <c r="G21" s="6154"/>
      <c r="H21" s="6154"/>
      <c r="I21" s="6154"/>
      <c r="J21" s="6154"/>
      <c r="K21" s="6154"/>
      <c r="L21" s="6154"/>
      <c r="M21" s="6154"/>
      <c r="N21" s="6154"/>
      <c r="O21" s="6154"/>
      <c r="P21" s="6154"/>
      <c r="Q21" s="6154"/>
      <c r="R21" s="6154"/>
      <c r="S21" s="6154"/>
      <c r="T21" s="6154"/>
      <c r="U21" s="6154"/>
      <c r="V21" s="6152"/>
      <c r="W21" s="6154"/>
      <c r="X21" s="6154"/>
      <c r="Y21" s="6154"/>
      <c r="Z21" s="6154"/>
      <c r="AA21" s="6154"/>
      <c r="AB21" s="6154"/>
      <c r="AC21" s="6154"/>
      <c r="AD21" s="6154"/>
      <c r="AE21" s="6154"/>
      <c r="AF21" s="2893"/>
      <c r="AG21" s="6154"/>
      <c r="AH21" s="6154"/>
      <c r="AI21" s="6154"/>
      <c r="AJ21" s="6154"/>
      <c r="AK21" s="6154"/>
      <c r="AL21" s="6152"/>
      <c r="AM21" s="6154"/>
      <c r="AN21" s="6154"/>
      <c r="AO21" s="6154"/>
      <c r="AP21" s="6154"/>
      <c r="AQ21" s="6154"/>
      <c r="AR21" s="6154"/>
      <c r="AS21" s="2893"/>
      <c r="AT21" s="2893"/>
      <c r="AU21" s="2893"/>
      <c r="AV21" s="2893"/>
      <c r="AW21" s="2893"/>
      <c r="AX21" s="2893"/>
      <c r="AY21" s="2893"/>
      <c r="AZ21" s="2893"/>
      <c r="BA21" s="2893"/>
      <c r="BB21" s="2893"/>
      <c r="BC21" s="2893"/>
      <c r="BD21" s="2730">
        <v>1</v>
      </c>
    </row>
    <row r="22" spans="1:58" s="6150" customFormat="1" ht="30" customHeight="1">
      <c r="A22" s="6148"/>
      <c r="B22" s="6148"/>
      <c r="C22" s="6152" t="s">
        <v>15294</v>
      </c>
      <c r="D22" s="6154"/>
      <c r="E22" s="6154"/>
      <c r="F22" s="6154"/>
      <c r="G22" s="6154"/>
      <c r="H22" s="6154"/>
      <c r="I22" s="6154"/>
      <c r="J22" s="6154"/>
      <c r="K22" s="6154"/>
      <c r="L22" s="6154"/>
      <c r="M22" s="6154"/>
      <c r="N22" s="6154"/>
      <c r="O22" s="6154"/>
      <c r="P22" s="6154"/>
      <c r="Q22" s="6154"/>
      <c r="R22" s="6154"/>
      <c r="S22" s="6154"/>
      <c r="T22" s="6154"/>
      <c r="U22" s="6154"/>
      <c r="V22" s="6152" t="s">
        <v>15295</v>
      </c>
      <c r="W22" s="6154"/>
      <c r="X22" s="6154"/>
      <c r="Y22" s="6154"/>
      <c r="Z22" s="6154"/>
      <c r="AA22" s="6154"/>
      <c r="AB22" s="6154"/>
      <c r="AC22" s="6154"/>
      <c r="AD22" s="6154"/>
      <c r="AE22" s="6154"/>
      <c r="AF22" s="2893"/>
      <c r="AG22" s="6154"/>
      <c r="AH22" s="6154"/>
      <c r="AI22" s="6154"/>
      <c r="AJ22" s="6154"/>
      <c r="AK22" s="6154"/>
      <c r="AL22" s="6152" t="s">
        <v>15296</v>
      </c>
      <c r="AM22" s="6154"/>
      <c r="AN22" s="6154"/>
      <c r="AO22" s="6154"/>
      <c r="AP22" s="6154"/>
      <c r="AQ22" s="6154"/>
      <c r="AR22" s="6154"/>
      <c r="AS22" s="2893"/>
      <c r="AT22" s="2893"/>
      <c r="AU22" s="2893"/>
      <c r="AV22" s="2893"/>
      <c r="AW22" s="2893"/>
      <c r="AX22" s="2893"/>
      <c r="AY22" s="2893"/>
      <c r="AZ22" s="2893"/>
      <c r="BA22" s="2893"/>
      <c r="BB22" s="2893"/>
      <c r="BC22" s="2893"/>
      <c r="BD22" s="2730">
        <v>1</v>
      </c>
    </row>
    <row r="23" spans="1:58" s="6150" customFormat="1" ht="30" customHeight="1">
      <c r="A23" s="6148"/>
      <c r="B23" s="6148"/>
      <c r="C23" s="6152"/>
      <c r="D23" s="6154"/>
      <c r="E23" s="6154"/>
      <c r="F23" s="6154"/>
      <c r="G23" s="6154"/>
      <c r="H23" s="6154"/>
      <c r="I23" s="6154"/>
      <c r="J23" s="6154"/>
      <c r="K23" s="6154"/>
      <c r="L23" s="6154"/>
      <c r="M23" s="6154"/>
      <c r="N23" s="6154"/>
      <c r="O23" s="6154"/>
      <c r="P23" s="6154"/>
      <c r="Q23" s="6154"/>
      <c r="R23" s="6154"/>
      <c r="S23" s="6154"/>
      <c r="T23" s="6154"/>
      <c r="U23" s="6154"/>
      <c r="V23" s="6152"/>
      <c r="W23" s="6154"/>
      <c r="X23" s="6154"/>
      <c r="Y23" s="6154"/>
      <c r="Z23" s="6154"/>
      <c r="AA23" s="6154"/>
      <c r="AB23" s="6154"/>
      <c r="AC23" s="6154"/>
      <c r="AD23" s="6154"/>
      <c r="AE23" s="6154"/>
      <c r="AF23" s="2893"/>
      <c r="AG23" s="6154"/>
      <c r="AH23" s="6154"/>
      <c r="AI23" s="6154"/>
      <c r="AJ23" s="6154"/>
      <c r="AK23" s="6154"/>
      <c r="AL23" s="6152"/>
      <c r="AM23" s="6154"/>
      <c r="AN23" s="6154"/>
      <c r="AO23" s="6154"/>
      <c r="AP23" s="6154"/>
      <c r="AQ23" s="6154"/>
      <c r="AR23" s="6154"/>
      <c r="AS23" s="2893"/>
      <c r="AT23" s="2893"/>
      <c r="AU23" s="2893"/>
      <c r="AV23" s="2893"/>
      <c r="AW23" s="2893"/>
      <c r="AX23" s="2893"/>
      <c r="AY23" s="2893"/>
      <c r="AZ23" s="2893"/>
      <c r="BA23" s="2893"/>
      <c r="BB23" s="2893"/>
      <c r="BC23" s="2893"/>
      <c r="BD23" s="2730">
        <v>1</v>
      </c>
    </row>
    <row r="24" spans="1:58" s="6150" customFormat="1" ht="21" customHeight="1">
      <c r="A24" s="6148"/>
      <c r="B24" s="6148"/>
      <c r="C24" s="6155" t="s">
        <v>7</v>
      </c>
      <c r="D24" s="6156" t="str">
        <f ca="1">CELL("nomfichier")</f>
        <v>D:\Données\1.UPRT\0-UPRT.fait\1-UPRT.FR-SITE-WEB\ff-fiches-fabrications\ff.fiches.fabrication.2023\UPRT.23.aout\[ff-20-CHARCUTERIE-michel-Mariette.BOUDIN.BLANC_-1.xlsx]Exemples Michel Mariette</v>
      </c>
      <c r="E24" s="6154"/>
      <c r="F24" s="6154"/>
      <c r="G24" s="6154"/>
      <c r="H24" s="6154"/>
      <c r="I24" s="6154"/>
      <c r="J24" s="6154"/>
      <c r="K24" s="6154"/>
      <c r="L24" s="6154"/>
      <c r="M24" s="6154"/>
      <c r="N24" s="6154"/>
      <c r="O24" s="6154"/>
      <c r="P24" s="6154"/>
      <c r="Q24" s="6154"/>
      <c r="R24" s="6154"/>
      <c r="S24" s="6154"/>
      <c r="T24" s="6154"/>
      <c r="U24" s="6154"/>
      <c r="V24" s="6152"/>
      <c r="W24" s="6154"/>
      <c r="X24" s="6154"/>
      <c r="Y24" s="6154"/>
      <c r="Z24" s="6154"/>
      <c r="AA24" s="6154"/>
      <c r="AB24" s="6154"/>
      <c r="AC24" s="6154"/>
      <c r="AD24" s="6154"/>
      <c r="AE24" s="6154"/>
      <c r="AF24" s="2893"/>
      <c r="AG24" s="6154"/>
      <c r="AH24" s="6154"/>
      <c r="AI24" s="6154"/>
      <c r="AJ24" s="6154"/>
      <c r="AK24" s="6154"/>
      <c r="AL24" s="6152"/>
      <c r="AM24" s="6154"/>
      <c r="AN24" s="6154"/>
      <c r="AO24" s="6154"/>
      <c r="AP24" s="6154"/>
      <c r="AQ24" s="6154"/>
      <c r="AR24" s="6154"/>
      <c r="AS24" s="2893"/>
      <c r="AT24" s="2893"/>
      <c r="AU24" s="2893"/>
      <c r="AV24" s="2893"/>
      <c r="AW24" s="2893"/>
      <c r="AX24" s="2893"/>
      <c r="AY24" s="2893"/>
      <c r="AZ24" s="2893"/>
      <c r="BA24" s="2893"/>
      <c r="BB24" s="2893"/>
      <c r="BC24" s="2893"/>
      <c r="BD24" s="2730">
        <v>1</v>
      </c>
    </row>
    <row r="25" spans="1:58" s="6150" customFormat="1" ht="21" customHeight="1">
      <c r="A25" s="6148"/>
      <c r="B25" s="6148"/>
      <c r="C25" s="6156"/>
      <c r="D25" s="6156"/>
      <c r="E25" s="6154"/>
      <c r="F25" s="6154"/>
      <c r="G25" s="6154"/>
      <c r="H25" s="6154"/>
      <c r="I25" s="6154"/>
      <c r="J25" s="6154"/>
      <c r="K25" s="6154"/>
      <c r="L25" s="6154"/>
      <c r="M25" s="6154"/>
      <c r="N25" s="6154"/>
      <c r="O25" s="6154"/>
      <c r="P25" s="6154"/>
      <c r="Q25" s="6154"/>
      <c r="R25" s="6154"/>
      <c r="S25" s="6154"/>
      <c r="T25" s="6154"/>
      <c r="U25" s="6154"/>
      <c r="V25" s="6157"/>
      <c r="W25" s="6154"/>
      <c r="X25" s="6154"/>
      <c r="Y25" s="6154"/>
      <c r="Z25" s="6154"/>
      <c r="AA25" s="6154"/>
      <c r="AB25" s="6154"/>
      <c r="AC25" s="6154"/>
      <c r="AD25" s="6154"/>
      <c r="AE25" s="6154"/>
      <c r="AF25" s="2893"/>
      <c r="AG25" s="6154"/>
      <c r="AH25" s="6154"/>
      <c r="AI25" s="6154"/>
      <c r="AJ25" s="6154"/>
      <c r="AK25" s="6154"/>
      <c r="AL25" s="6157"/>
      <c r="AM25" s="6154"/>
      <c r="AN25" s="6154"/>
      <c r="AO25" s="6154"/>
      <c r="AP25" s="6154"/>
      <c r="AQ25" s="6154"/>
      <c r="AR25" s="6154"/>
      <c r="AS25" s="2893"/>
      <c r="AT25" s="2893"/>
      <c r="AU25" s="2893"/>
      <c r="AV25" s="2893"/>
      <c r="AW25" s="2893"/>
      <c r="AX25" s="2893"/>
      <c r="AY25" s="2893"/>
      <c r="AZ25" s="2893"/>
      <c r="BA25" s="2893"/>
      <c r="BB25" s="2893"/>
      <c r="BC25" s="2893"/>
      <c r="BD25" s="2730">
        <v>1</v>
      </c>
    </row>
    <row r="26" spans="1:58" s="6150" customFormat="1" ht="21" customHeight="1">
      <c r="A26" s="6148"/>
      <c r="B26" s="6148"/>
      <c r="C26" s="6158"/>
      <c r="D26" s="6156"/>
      <c r="E26" s="6154"/>
      <c r="F26" s="6154"/>
      <c r="G26" s="6154"/>
      <c r="H26" s="6154"/>
      <c r="I26" s="6159" t="s">
        <v>15297</v>
      </c>
      <c r="J26" s="2450" t="s">
        <v>15298</v>
      </c>
      <c r="K26" s="6154"/>
      <c r="L26" s="6154"/>
      <c r="M26" s="6154"/>
      <c r="N26" s="6154"/>
      <c r="O26" s="6154"/>
      <c r="P26" s="6154"/>
      <c r="Q26" s="6154"/>
      <c r="R26" s="6154"/>
      <c r="S26" s="6154"/>
      <c r="T26" s="6154"/>
      <c r="U26" s="6154"/>
      <c r="V26" s="6152"/>
      <c r="W26" s="6154"/>
      <c r="X26" s="6154"/>
      <c r="Y26" s="6154"/>
      <c r="Z26" s="6154"/>
      <c r="AA26" s="6154"/>
      <c r="AB26" s="6154"/>
      <c r="AC26" s="6154"/>
      <c r="AD26" s="6154"/>
      <c r="AE26" s="6154"/>
      <c r="AF26" s="2893"/>
      <c r="AG26" s="6154"/>
      <c r="AH26" s="6154"/>
      <c r="AI26" s="6154"/>
      <c r="AJ26" s="6154"/>
      <c r="AK26" s="6154"/>
      <c r="AL26" s="6152"/>
      <c r="AM26" s="6154"/>
      <c r="AN26" s="6154"/>
      <c r="AO26" s="6154"/>
      <c r="AP26" s="6154"/>
      <c r="AQ26" s="6154"/>
      <c r="AR26" s="6154"/>
      <c r="AS26" s="2893"/>
      <c r="AT26" s="2893"/>
      <c r="AU26" s="2893"/>
      <c r="AV26" s="2893"/>
      <c r="AW26" s="2893"/>
      <c r="AX26" s="2893"/>
      <c r="AY26" s="2893"/>
      <c r="AZ26" s="2893"/>
      <c r="BA26" s="2893"/>
      <c r="BB26" s="2893"/>
      <c r="BC26" s="2893"/>
      <c r="BD26" s="2730">
        <v>1</v>
      </c>
    </row>
    <row r="27" spans="1:58" s="6150" customFormat="1" ht="21" customHeight="1">
      <c r="A27" s="6148"/>
      <c r="B27" s="6148"/>
      <c r="C27" s="6156"/>
      <c r="D27" s="6156"/>
      <c r="E27" s="6154"/>
      <c r="F27" s="6154"/>
      <c r="G27" s="6154"/>
      <c r="H27" s="6154"/>
      <c r="I27" s="6154"/>
      <c r="J27" s="6154"/>
      <c r="K27" s="6154"/>
      <c r="L27" s="6154"/>
      <c r="M27" s="6154"/>
      <c r="N27" s="6154"/>
      <c r="O27" s="6154"/>
      <c r="P27" s="6154"/>
      <c r="Q27" s="6154"/>
      <c r="R27" s="6154"/>
      <c r="S27" s="6154"/>
      <c r="T27" s="6154"/>
      <c r="U27" s="6154"/>
      <c r="V27" s="6152"/>
      <c r="W27" s="6154"/>
      <c r="X27" s="6154"/>
      <c r="Y27" s="6154"/>
      <c r="Z27" s="6154"/>
      <c r="AA27" s="6154"/>
      <c r="AB27" s="6154"/>
      <c r="AC27" s="6154"/>
      <c r="AD27" s="6154"/>
      <c r="AE27" s="6154"/>
      <c r="AF27" s="2893"/>
      <c r="AG27" s="6154"/>
      <c r="AH27" s="6154"/>
      <c r="AI27" s="6154"/>
      <c r="AJ27" s="6154"/>
      <c r="AK27" s="6154"/>
      <c r="AL27" s="6152"/>
      <c r="AM27" s="6154"/>
      <c r="AN27" s="6154"/>
      <c r="AO27" s="6154"/>
      <c r="AP27" s="6154"/>
      <c r="AQ27" s="6154"/>
      <c r="AR27" s="6154"/>
      <c r="AS27" s="2893"/>
      <c r="AT27" s="2893"/>
      <c r="AU27" s="2893"/>
      <c r="AV27" s="2893"/>
      <c r="AW27" s="2893"/>
      <c r="AX27" s="2893"/>
      <c r="AY27" s="2893"/>
      <c r="AZ27" s="2893"/>
      <c r="BA27" s="2893"/>
      <c r="BB27" s="2893"/>
      <c r="BC27" s="2893"/>
      <c r="BD27" s="2730">
        <v>1</v>
      </c>
    </row>
    <row r="28" spans="1:58" s="6150" customFormat="1" ht="21" customHeight="1">
      <c r="A28" s="6148">
        <v>1</v>
      </c>
      <c r="B28" s="6148"/>
      <c r="C28" s="6152" t="s">
        <v>15299</v>
      </c>
      <c r="D28" s="6154"/>
      <c r="E28" s="6154"/>
      <c r="F28" s="6154"/>
      <c r="G28" s="6154"/>
      <c r="H28" s="6154"/>
      <c r="I28" s="6154"/>
      <c r="J28" s="6154"/>
      <c r="K28" s="6154"/>
      <c r="L28" s="6154"/>
      <c r="M28" s="6154"/>
      <c r="N28" s="6154"/>
      <c r="O28" s="6154"/>
      <c r="P28" s="6154"/>
      <c r="Q28" s="6154"/>
      <c r="R28" s="6154"/>
      <c r="S28" s="6154"/>
      <c r="T28" s="6154"/>
      <c r="U28" s="6154"/>
      <c r="V28" s="6152"/>
      <c r="W28" s="6154"/>
      <c r="X28" s="6154"/>
      <c r="Y28" s="6154"/>
      <c r="Z28" s="6154"/>
      <c r="AA28" s="6154"/>
      <c r="AB28" s="6154"/>
      <c r="AC28" s="6154"/>
      <c r="AD28" s="6154"/>
      <c r="AE28" s="6154"/>
      <c r="AF28" s="2893"/>
      <c r="AG28" s="6154"/>
      <c r="AH28" s="6154"/>
      <c r="AI28" s="6154"/>
      <c r="AJ28" s="6154"/>
      <c r="AK28" s="6154"/>
      <c r="AL28" s="6152"/>
      <c r="AM28" s="6154"/>
      <c r="AN28" s="6154"/>
      <c r="AO28" s="6154"/>
      <c r="AP28" s="6154"/>
      <c r="AQ28" s="6154"/>
      <c r="AR28" s="6154"/>
      <c r="AS28" s="2893"/>
      <c r="AT28" s="2893"/>
      <c r="AU28" s="2893"/>
      <c r="AV28" s="2893"/>
      <c r="AW28" s="2893"/>
      <c r="AX28" s="2893"/>
      <c r="AY28" s="2893"/>
      <c r="AZ28" s="2893"/>
      <c r="BA28" s="2893"/>
      <c r="BB28" s="2893"/>
      <c r="BC28" s="2893"/>
      <c r="BD28" s="2730">
        <v>1</v>
      </c>
    </row>
    <row r="29" spans="1:58" s="6150" customFormat="1" ht="21" customHeight="1">
      <c r="A29" s="6148"/>
      <c r="B29" s="6148"/>
      <c r="C29" s="6152"/>
      <c r="D29" s="6152" t="s">
        <v>15300</v>
      </c>
      <c r="E29" s="6154"/>
      <c r="F29" s="6154"/>
      <c r="G29" s="6154"/>
      <c r="H29" s="6154"/>
      <c r="I29" s="6154"/>
      <c r="J29" s="6154"/>
      <c r="K29" s="6154"/>
      <c r="L29" s="6154"/>
      <c r="M29" s="6154"/>
      <c r="N29" s="6154"/>
      <c r="O29" s="6154"/>
      <c r="P29" s="6154"/>
      <c r="Q29" s="6154"/>
      <c r="R29" s="6154"/>
      <c r="S29" s="6154"/>
      <c r="T29" s="6154"/>
      <c r="U29" s="6154"/>
      <c r="V29" s="6152"/>
      <c r="W29" s="6154"/>
      <c r="X29" s="6154"/>
      <c r="Y29" s="6154"/>
      <c r="Z29" s="6154"/>
      <c r="AA29" s="6154"/>
      <c r="AB29" s="6154"/>
      <c r="AC29" s="6154"/>
      <c r="AD29" s="6154"/>
      <c r="AE29" s="6154"/>
      <c r="AF29" s="2893"/>
      <c r="AG29" s="6154"/>
      <c r="AH29" s="6154"/>
      <c r="AI29" s="6154"/>
      <c r="AJ29" s="6154"/>
      <c r="AK29" s="6154"/>
      <c r="AL29" s="6152"/>
      <c r="AM29" s="6154"/>
      <c r="AN29" s="6154"/>
      <c r="AO29" s="6154"/>
      <c r="AP29" s="6154"/>
      <c r="AQ29" s="6154"/>
      <c r="AR29" s="6154"/>
      <c r="AS29" s="2893"/>
      <c r="AT29" s="2893"/>
      <c r="AU29" s="2893"/>
      <c r="AV29" s="2893"/>
      <c r="AW29" s="2893"/>
      <c r="AX29" s="2893"/>
      <c r="AY29" s="2893"/>
      <c r="AZ29" s="2893"/>
      <c r="BA29" s="2893"/>
      <c r="BB29" s="2893"/>
      <c r="BC29" s="2893"/>
      <c r="BD29" s="2730">
        <v>1</v>
      </c>
    </row>
    <row r="30" spans="1:58" ht="21" customHeight="1">
      <c r="A30" s="6148">
        <v>1</v>
      </c>
      <c r="B30" s="6148">
        <v>1</v>
      </c>
      <c r="C30" s="6160" t="s">
        <v>15301</v>
      </c>
      <c r="D30" s="6148"/>
      <c r="E30" s="6148"/>
      <c r="F30" s="6148"/>
      <c r="G30" s="6148"/>
      <c r="H30" s="6148"/>
      <c r="I30" s="6148"/>
      <c r="J30" s="6148"/>
      <c r="K30" s="6148"/>
      <c r="L30" s="6148"/>
      <c r="M30" s="6148"/>
      <c r="N30" s="6148"/>
      <c r="O30" s="6148"/>
      <c r="P30" s="6148"/>
      <c r="Q30" s="6148"/>
      <c r="R30" s="6148">
        <v>1</v>
      </c>
      <c r="S30" s="6148">
        <v>1</v>
      </c>
      <c r="T30" s="6148"/>
      <c r="U30" s="6148"/>
      <c r="V30" s="7840"/>
      <c r="W30" s="7840"/>
      <c r="X30" s="7840"/>
      <c r="Y30" s="7840"/>
      <c r="Z30" s="6154"/>
      <c r="AA30" s="6154"/>
      <c r="AB30" s="6154"/>
      <c r="AC30" s="6154"/>
      <c r="AD30" s="6154"/>
      <c r="AE30" s="6154"/>
      <c r="AF30" s="2893"/>
      <c r="AG30" s="6154"/>
      <c r="AH30" s="6154"/>
      <c r="AI30" s="6154"/>
      <c r="AJ30" s="6154"/>
      <c r="AK30" s="6154"/>
      <c r="AL30" s="7840"/>
      <c r="AM30" s="7840"/>
      <c r="AN30" s="7840"/>
      <c r="AO30" s="7840"/>
      <c r="AP30" s="6154"/>
      <c r="AQ30" s="6154"/>
      <c r="AR30" s="6154"/>
      <c r="AS30" s="5562"/>
      <c r="AT30" s="5562"/>
      <c r="AU30" s="5562"/>
      <c r="AV30" s="5562"/>
      <c r="AW30" s="5562"/>
      <c r="AX30" s="5562"/>
      <c r="AY30" s="5562"/>
      <c r="AZ30" s="5562"/>
      <c r="BA30" s="5562"/>
      <c r="BB30" s="5562"/>
      <c r="BC30" s="5562"/>
      <c r="BD30" s="2730">
        <v>1</v>
      </c>
      <c r="BE30" s="6150"/>
      <c r="BF30" s="6150"/>
    </row>
    <row r="31" spans="1:58" ht="21" customHeight="1">
      <c r="A31" s="6148"/>
      <c r="B31" s="6148"/>
      <c r="C31" s="6160" t="s">
        <v>15302</v>
      </c>
      <c r="D31" s="6148"/>
      <c r="E31" s="6148"/>
      <c r="F31" s="6148"/>
      <c r="G31" s="6148"/>
      <c r="H31" s="6148"/>
      <c r="I31" s="6148"/>
      <c r="J31" s="6148"/>
      <c r="K31" s="6148"/>
      <c r="L31" s="6148"/>
      <c r="M31" s="6148"/>
      <c r="N31" s="6148"/>
      <c r="O31" s="6148"/>
      <c r="P31" s="6148"/>
      <c r="Q31" s="6148"/>
      <c r="R31" s="6148"/>
      <c r="S31" s="6148"/>
      <c r="T31" s="6148"/>
      <c r="U31" s="6148"/>
      <c r="V31" s="6148"/>
      <c r="W31" s="6148"/>
      <c r="X31" s="6148"/>
      <c r="Y31" s="6148"/>
      <c r="Z31" s="6148"/>
      <c r="AA31" s="6148"/>
      <c r="AB31" s="6148"/>
      <c r="AC31" s="6148"/>
      <c r="AD31" s="6148"/>
      <c r="AE31" s="6148"/>
      <c r="AF31" s="6148"/>
      <c r="AG31" s="6148"/>
      <c r="AH31" s="6148"/>
      <c r="AI31" s="6148"/>
      <c r="AJ31" s="6148"/>
      <c r="AK31" s="6148"/>
      <c r="AL31" s="6148"/>
      <c r="AM31" s="6148"/>
      <c r="AN31" s="6148"/>
      <c r="AO31" s="6148"/>
      <c r="AP31" s="6148"/>
      <c r="AQ31" s="6148"/>
      <c r="AR31" s="6148"/>
      <c r="AS31" s="6148"/>
      <c r="AT31" s="6148"/>
      <c r="AU31" s="6148"/>
      <c r="AV31" s="6148"/>
      <c r="AW31" s="6148"/>
      <c r="AX31" s="6148"/>
      <c r="AY31" s="6148"/>
      <c r="AZ31" s="6148"/>
      <c r="BA31" s="6148"/>
      <c r="BB31" s="6148"/>
      <c r="BC31" s="6148"/>
      <c r="BD31" s="2730">
        <v>1</v>
      </c>
      <c r="BE31" s="6150"/>
      <c r="BF31" s="6150"/>
    </row>
    <row r="32" spans="1:58" ht="21" customHeight="1">
      <c r="A32" s="6148"/>
      <c r="B32" s="6148"/>
      <c r="C32" s="6160" t="s">
        <v>15303</v>
      </c>
      <c r="D32" s="6148"/>
      <c r="E32" s="6148"/>
      <c r="F32" s="6148"/>
      <c r="G32" s="6148"/>
      <c r="H32" s="6148"/>
      <c r="I32" s="6148"/>
      <c r="J32" s="6148"/>
      <c r="K32" s="6148"/>
      <c r="L32" s="6148"/>
      <c r="M32" s="6148"/>
      <c r="N32" s="6148"/>
      <c r="O32" s="6148"/>
      <c r="P32" s="6148"/>
      <c r="Q32" s="6148"/>
      <c r="R32" s="6148"/>
      <c r="S32" s="6148"/>
      <c r="T32" s="6148"/>
      <c r="U32" s="6148"/>
      <c r="V32" s="6148"/>
      <c r="W32" s="6148"/>
      <c r="X32" s="6148"/>
      <c r="Y32" s="6148"/>
      <c r="Z32" s="6148"/>
      <c r="AA32" s="6148"/>
      <c r="AB32" s="6148"/>
      <c r="AC32" s="6148"/>
      <c r="AD32" s="6148"/>
      <c r="AE32" s="6148"/>
      <c r="AF32" s="6148"/>
      <c r="AG32" s="6148"/>
      <c r="AH32" s="6148"/>
      <c r="AI32" s="6148"/>
      <c r="AJ32" s="6148"/>
      <c r="AK32" s="6148"/>
      <c r="AL32" s="6148"/>
      <c r="AM32" s="6148"/>
      <c r="AN32" s="6148"/>
      <c r="AO32" s="6148"/>
      <c r="AP32" s="6148"/>
      <c r="AQ32" s="6148"/>
      <c r="AR32" s="6148"/>
      <c r="AS32" s="6148"/>
      <c r="AT32" s="6148"/>
      <c r="AU32" s="6148"/>
      <c r="AV32" s="6148"/>
      <c r="AW32" s="6148"/>
      <c r="AX32" s="6148"/>
      <c r="AY32" s="6148"/>
      <c r="AZ32" s="6148"/>
      <c r="BA32" s="6148"/>
      <c r="BB32" s="6148"/>
      <c r="BC32" s="6148"/>
      <c r="BD32" s="2730">
        <v>1</v>
      </c>
      <c r="BE32" s="6150"/>
      <c r="BF32" s="6150"/>
    </row>
    <row r="33" spans="1:58" ht="21" customHeight="1">
      <c r="A33" s="6148"/>
      <c r="B33" s="6148"/>
      <c r="C33" s="6148"/>
      <c r="D33" s="6148"/>
      <c r="E33" s="6148"/>
      <c r="F33" s="6148"/>
      <c r="G33" s="6148"/>
      <c r="H33" s="6148"/>
      <c r="I33" s="6148"/>
      <c r="J33" s="6148"/>
      <c r="K33" s="6148"/>
      <c r="L33" s="6148"/>
      <c r="M33" s="6148"/>
      <c r="N33" s="6148"/>
      <c r="O33" s="6148"/>
      <c r="P33" s="6148"/>
      <c r="Q33" s="6148"/>
      <c r="R33" s="6148"/>
      <c r="S33" s="6148"/>
      <c r="T33" s="6148"/>
      <c r="U33" s="6148"/>
      <c r="V33" s="6148"/>
      <c r="W33" s="6148"/>
      <c r="X33" s="6148"/>
      <c r="Y33" s="6148"/>
      <c r="Z33" s="6148"/>
      <c r="AA33" s="6148"/>
      <c r="AB33" s="6148"/>
      <c r="AC33" s="6148"/>
      <c r="AD33" s="6148"/>
      <c r="AE33" s="6148"/>
      <c r="AF33" s="6148"/>
      <c r="AG33" s="6148"/>
      <c r="AH33" s="6148"/>
      <c r="AI33" s="6148"/>
      <c r="AJ33" s="6148"/>
      <c r="AK33" s="6148"/>
      <c r="AL33" s="6148"/>
      <c r="AM33" s="6148"/>
      <c r="AN33" s="6148"/>
      <c r="AO33" s="6148"/>
      <c r="AP33" s="6148"/>
      <c r="AQ33" s="6148"/>
      <c r="AR33" s="6148"/>
      <c r="AS33" s="6148"/>
      <c r="AT33" s="6148"/>
      <c r="AU33" s="6148"/>
      <c r="AV33" s="6148"/>
      <c r="AW33" s="6148"/>
      <c r="AX33" s="6148"/>
      <c r="AY33" s="6148"/>
      <c r="AZ33" s="6148"/>
      <c r="BA33" s="6148"/>
      <c r="BB33" s="6148"/>
      <c r="BC33" s="6148"/>
      <c r="BD33" s="2730">
        <v>1</v>
      </c>
      <c r="BE33" s="6150"/>
      <c r="BF33" s="6150"/>
    </row>
    <row r="34" spans="1:58" ht="21" customHeight="1">
      <c r="B34" s="5296" t="s">
        <v>67</v>
      </c>
      <c r="C34" s="2894" t="s">
        <v>15304</v>
      </c>
      <c r="F34" s="2894"/>
      <c r="G34" s="2894"/>
      <c r="H34" s="2894"/>
      <c r="I34" s="6148"/>
      <c r="J34" s="6148"/>
      <c r="K34" s="6148"/>
      <c r="L34" s="6148"/>
      <c r="M34" s="6148"/>
      <c r="N34" s="6148"/>
      <c r="O34" s="6148"/>
      <c r="P34" s="6148"/>
      <c r="Q34" s="6148"/>
      <c r="R34" s="6148"/>
      <c r="S34" s="6148"/>
      <c r="T34" s="6148"/>
      <c r="U34" s="6148"/>
      <c r="V34" s="6148"/>
      <c r="W34" s="6148"/>
      <c r="X34" s="6148"/>
      <c r="Y34" s="6148"/>
      <c r="Z34" s="6148"/>
      <c r="AA34" s="6148"/>
      <c r="AB34" s="6148"/>
      <c r="AC34" s="6148"/>
      <c r="AD34" s="6148"/>
      <c r="AE34" s="6148"/>
      <c r="AF34" s="6148"/>
      <c r="AG34" s="6148"/>
      <c r="AH34" s="6148"/>
      <c r="AI34" s="6148"/>
      <c r="AJ34" s="6148"/>
      <c r="AK34" s="6148"/>
      <c r="AL34" s="6148"/>
      <c r="AM34" s="6148"/>
      <c r="AN34" s="6148"/>
      <c r="AO34" s="6148"/>
      <c r="AP34" s="6148"/>
      <c r="AQ34" s="6148"/>
      <c r="AR34" s="6148"/>
      <c r="AS34" s="6148"/>
      <c r="AT34" s="6148"/>
      <c r="AU34" s="6148"/>
      <c r="AV34" s="6148"/>
      <c r="AW34" s="6148"/>
      <c r="AX34" s="6148"/>
      <c r="AY34" s="6148"/>
      <c r="AZ34" s="6148"/>
      <c r="BA34" s="6148"/>
      <c r="BB34" s="6148"/>
      <c r="BC34" s="6148"/>
      <c r="BD34" s="2730">
        <v>1</v>
      </c>
      <c r="BE34" s="6150"/>
      <c r="BF34" s="6150"/>
    </row>
    <row r="35" spans="1:58" ht="21" customHeight="1" thickBot="1">
      <c r="B35" s="6148">
        <v>1</v>
      </c>
      <c r="C35" s="6148">
        <v>1</v>
      </c>
      <c r="D35" s="6148">
        <v>1</v>
      </c>
      <c r="E35" s="6148">
        <v>1</v>
      </c>
      <c r="F35" s="6148">
        <v>1</v>
      </c>
      <c r="G35" s="6148">
        <v>1</v>
      </c>
      <c r="H35" s="6148">
        <v>1</v>
      </c>
      <c r="I35" s="6148"/>
      <c r="J35" s="6148"/>
      <c r="K35" s="6148"/>
      <c r="L35" s="6148"/>
      <c r="M35" s="6148"/>
      <c r="N35" s="6148"/>
      <c r="O35" s="6148"/>
      <c r="P35" s="6148"/>
      <c r="Q35" s="6148"/>
      <c r="R35" s="6148"/>
      <c r="S35" s="6148"/>
      <c r="T35" s="6148"/>
      <c r="U35" s="6148"/>
      <c r="V35" s="6148"/>
      <c r="W35" s="6148"/>
      <c r="X35" s="6148"/>
      <c r="Y35" s="6148"/>
      <c r="Z35" s="6148"/>
      <c r="AA35" s="6148"/>
      <c r="AB35" s="6148"/>
      <c r="AC35" s="6148"/>
      <c r="AD35" s="6148"/>
      <c r="AE35" s="6148"/>
      <c r="AF35" s="6148"/>
      <c r="AG35" s="6148"/>
      <c r="AH35" s="6148"/>
      <c r="AI35" s="6148"/>
      <c r="AJ35" s="6148"/>
      <c r="AK35" s="6148"/>
      <c r="AL35" s="6148"/>
      <c r="AM35" s="6148"/>
      <c r="AN35" s="6148"/>
      <c r="AO35" s="6148"/>
      <c r="AP35" s="6148"/>
      <c r="AQ35" s="6148"/>
      <c r="AR35" s="6148"/>
      <c r="AS35" s="6148"/>
      <c r="AT35" s="6148"/>
      <c r="AU35" s="6148"/>
      <c r="AV35" s="6148"/>
      <c r="AW35" s="6148"/>
      <c r="AX35" s="6148"/>
      <c r="AY35" s="6148"/>
      <c r="AZ35" s="6148"/>
      <c r="BA35" s="6148"/>
      <c r="BB35" s="6148"/>
      <c r="BC35" s="6148"/>
      <c r="BD35" s="2730">
        <v>1</v>
      </c>
      <c r="BE35" s="6150"/>
      <c r="BF35" s="6150"/>
    </row>
    <row r="36" spans="1:58" ht="21" customHeight="1">
      <c r="B36" s="7807" t="s">
        <v>67</v>
      </c>
      <c r="C36" s="7841" t="s">
        <v>15305</v>
      </c>
      <c r="D36" s="7841"/>
      <c r="E36" s="7841"/>
      <c r="F36" s="7841"/>
      <c r="G36" s="7841"/>
      <c r="H36" s="7842"/>
      <c r="I36" s="6148"/>
      <c r="J36" s="6148"/>
      <c r="K36" s="6148"/>
      <c r="L36" s="6148"/>
      <c r="M36" s="6148"/>
      <c r="N36" s="6148"/>
      <c r="O36" s="6148"/>
      <c r="P36" s="6148"/>
      <c r="Q36" s="6148"/>
      <c r="R36" s="6148"/>
      <c r="S36" s="6148"/>
      <c r="T36" s="6148"/>
      <c r="U36" s="6148"/>
      <c r="V36" s="6148"/>
      <c r="W36" s="6148"/>
      <c r="X36" s="6148"/>
      <c r="Y36" s="6148"/>
      <c r="Z36" s="6148"/>
      <c r="AA36" s="6148"/>
      <c r="AB36" s="6148"/>
      <c r="AC36" s="6148"/>
      <c r="AD36" s="6148"/>
      <c r="AE36" s="6148"/>
      <c r="AF36" s="6148"/>
      <c r="AG36" s="6148"/>
      <c r="AH36" s="6148"/>
      <c r="AI36" s="6148"/>
      <c r="AJ36" s="6148"/>
      <c r="AK36" s="6148"/>
      <c r="AL36" s="6148"/>
      <c r="AM36" s="6148"/>
      <c r="AN36" s="6148"/>
      <c r="AO36" s="6148"/>
      <c r="AP36" s="6148"/>
      <c r="AQ36" s="6148"/>
      <c r="AR36" s="6148"/>
      <c r="AS36" s="6148"/>
      <c r="AT36" s="6148"/>
      <c r="AU36" s="6148"/>
      <c r="AV36" s="6148"/>
      <c r="AW36" s="6148"/>
      <c r="AX36" s="6148"/>
      <c r="AY36" s="6148"/>
      <c r="AZ36" s="6148"/>
      <c r="BA36" s="6148"/>
      <c r="BB36" s="6148"/>
      <c r="BC36" s="6148"/>
      <c r="BD36" s="2730">
        <v>1</v>
      </c>
      <c r="BE36" s="6150"/>
      <c r="BF36" s="6150"/>
    </row>
    <row r="37" spans="1:58" ht="21" customHeight="1">
      <c r="B37" s="7808"/>
      <c r="D37" s="5562"/>
      <c r="E37" s="5562"/>
      <c r="F37" s="5562"/>
      <c r="G37" s="5562"/>
      <c r="H37" s="5723"/>
      <c r="I37" s="6148"/>
      <c r="J37" s="6148"/>
      <c r="K37" s="6148"/>
      <c r="L37" s="6148"/>
      <c r="M37" s="6148"/>
      <c r="N37" s="6162" t="s">
        <v>15306</v>
      </c>
      <c r="O37" s="6148"/>
      <c r="P37" s="6148"/>
      <c r="Q37" s="6148"/>
      <c r="R37" s="6148"/>
      <c r="S37" s="6148"/>
      <c r="T37" s="6148"/>
      <c r="U37" s="6148"/>
      <c r="V37" s="6148"/>
      <c r="W37" s="6148"/>
      <c r="X37" s="6148"/>
      <c r="Y37" s="6148"/>
      <c r="Z37" s="6148"/>
      <c r="AA37" s="6148"/>
      <c r="AB37" s="6148"/>
      <c r="AC37" s="6148"/>
      <c r="AD37" s="6148"/>
      <c r="AE37" s="6148"/>
      <c r="AF37" s="6148"/>
      <c r="AG37" s="6148"/>
      <c r="AH37" s="6148"/>
      <c r="AI37" s="6148"/>
      <c r="AJ37" s="6148"/>
      <c r="AK37" s="6148"/>
      <c r="AL37" s="6148"/>
      <c r="AM37" s="6148"/>
      <c r="AN37" s="6148"/>
      <c r="AO37" s="6148"/>
      <c r="AP37" s="6148"/>
      <c r="AQ37" s="6148"/>
      <c r="AR37" s="6148"/>
      <c r="AS37" s="6148"/>
      <c r="AT37" s="6148"/>
      <c r="AU37" s="6148"/>
      <c r="AV37" s="6148"/>
      <c r="AW37" s="6148"/>
      <c r="AX37" s="6148"/>
      <c r="AY37" s="6148"/>
      <c r="AZ37" s="6148"/>
      <c r="BA37" s="6148"/>
      <c r="BB37" s="6148"/>
      <c r="BC37" s="6148"/>
      <c r="BD37" s="2730">
        <v>1</v>
      </c>
      <c r="BE37" s="6150"/>
      <c r="BF37" s="6150"/>
    </row>
    <row r="38" spans="1:58" ht="21" customHeight="1">
      <c r="B38" s="7843" t="str">
        <f>C36</f>
        <v>Quelques liens hypertexte internes exemple de formules</v>
      </c>
      <c r="C38" s="6163" t="str">
        <f>ADDRESS(ROW(),COLUMN(),4)</f>
        <v>C38</v>
      </c>
      <c r="D38" s="6164" t="str">
        <f>_xlfn.UNICHAR(128269)</f>
        <v>🔍</v>
      </c>
      <c r="E38" s="5562" t="str">
        <f ca="1">_xlfn.FORMULATEXT(D38)</f>
        <v>=UNICAR(128269)</v>
      </c>
      <c r="F38" s="5562"/>
      <c r="G38" s="5562"/>
      <c r="H38" s="5723"/>
      <c r="I38" s="6148"/>
      <c r="J38" s="6148">
        <v>1</v>
      </c>
      <c r="K38" s="6148"/>
      <c r="L38" s="6148"/>
      <c r="M38" s="6148"/>
      <c r="N38" s="6162" t="s">
        <v>15307</v>
      </c>
      <c r="O38" s="6148"/>
      <c r="P38" s="6148"/>
      <c r="Q38" s="6148"/>
      <c r="R38" s="6148"/>
      <c r="S38" s="6148"/>
      <c r="T38" s="6148"/>
      <c r="U38" s="6148"/>
      <c r="V38" s="6148"/>
      <c r="W38" s="6148"/>
      <c r="X38" s="6148"/>
      <c r="Y38" s="6148"/>
      <c r="Z38" s="6148"/>
      <c r="AA38" s="6148"/>
      <c r="AB38" s="6148"/>
      <c r="AC38" s="6148"/>
      <c r="AD38" s="6148"/>
      <c r="AE38" s="6148"/>
      <c r="AF38" s="6148"/>
      <c r="AG38" s="6148"/>
      <c r="AH38" s="6148"/>
      <c r="AI38" s="6148"/>
      <c r="AJ38" s="6148"/>
      <c r="AK38" s="6148"/>
      <c r="AL38" s="6148"/>
      <c r="AM38" s="6148"/>
      <c r="AN38" s="6148"/>
      <c r="AO38" s="6148"/>
      <c r="AP38" s="6148"/>
      <c r="AQ38" s="6148"/>
      <c r="AR38" s="6148"/>
      <c r="AS38" s="6148"/>
      <c r="AT38" s="6148"/>
      <c r="AU38" s="6148"/>
      <c r="AV38" s="6148"/>
      <c r="AW38" s="6148"/>
      <c r="AX38" s="6148"/>
      <c r="AY38" s="6148"/>
      <c r="AZ38" s="6148"/>
      <c r="BA38" s="6148"/>
      <c r="BB38" s="6148"/>
      <c r="BC38" s="6148"/>
      <c r="BD38" s="2730">
        <v>1</v>
      </c>
      <c r="BE38" s="6150"/>
      <c r="BF38" s="6150"/>
    </row>
    <row r="39" spans="1:58" ht="21" customHeight="1">
      <c r="B39" s="7843"/>
      <c r="C39" s="5562" t="s">
        <v>15308</v>
      </c>
      <c r="D39" s="6164"/>
      <c r="E39" s="5562"/>
      <c r="F39" s="5562"/>
      <c r="G39" s="5562"/>
      <c r="H39" s="5723"/>
      <c r="I39" s="6148"/>
      <c r="J39" s="6148">
        <v>1</v>
      </c>
      <c r="K39" s="6148"/>
      <c r="L39" s="6148"/>
      <c r="M39" s="6148"/>
      <c r="N39" s="6162" t="s">
        <v>15309</v>
      </c>
      <c r="O39" s="6148"/>
      <c r="P39" s="6148"/>
      <c r="Q39" s="6148"/>
      <c r="R39" s="6148"/>
      <c r="S39" s="6148"/>
      <c r="T39" s="6148"/>
      <c r="U39" s="6148"/>
      <c r="V39" s="6148"/>
      <c r="W39" s="6148"/>
      <c r="X39" s="6148"/>
      <c r="Y39" s="6148"/>
      <c r="Z39" s="6148"/>
      <c r="AA39" s="6148"/>
      <c r="AB39" s="6148"/>
      <c r="AC39" s="6148"/>
      <c r="AD39" s="6148"/>
      <c r="AE39" s="6148"/>
      <c r="AF39" s="6148"/>
      <c r="AG39" s="6148"/>
      <c r="AH39" s="6148"/>
      <c r="AI39" s="6148"/>
      <c r="AJ39" s="6148"/>
      <c r="AK39" s="6148"/>
      <c r="AL39" s="6148"/>
      <c r="AM39" s="6148"/>
      <c r="AN39" s="6148"/>
      <c r="AO39" s="6148"/>
      <c r="AP39" s="6148"/>
      <c r="AQ39" s="6148"/>
      <c r="AR39" s="6148"/>
      <c r="AS39" s="6148"/>
      <c r="AT39" s="6148"/>
      <c r="AU39" s="6148"/>
      <c r="AV39" s="6148"/>
      <c r="AW39" s="6148"/>
      <c r="AX39" s="6148"/>
      <c r="AY39" s="6148"/>
      <c r="AZ39" s="6148"/>
      <c r="BA39" s="6148"/>
      <c r="BB39" s="6148"/>
      <c r="BC39" s="6148"/>
      <c r="BD39" s="2730">
        <v>1</v>
      </c>
      <c r="BE39" s="6150"/>
      <c r="BF39" s="6150"/>
    </row>
    <row r="40" spans="1:58" ht="21" customHeight="1">
      <c r="B40" s="7843"/>
      <c r="C40" s="5562" t="s">
        <v>15310</v>
      </c>
      <c r="D40" s="6164"/>
      <c r="E40" s="5562"/>
      <c r="F40" s="5562"/>
      <c r="G40" s="5562"/>
      <c r="H40" s="5723"/>
      <c r="I40" s="6148"/>
      <c r="J40" s="6148">
        <v>1</v>
      </c>
      <c r="K40" s="6148"/>
      <c r="L40" s="6148"/>
      <c r="M40" s="6148"/>
      <c r="N40" s="6165" t="s">
        <v>15311</v>
      </c>
      <c r="O40" s="6148"/>
      <c r="P40" s="6148"/>
      <c r="Q40" s="6148"/>
      <c r="R40" s="6148"/>
      <c r="S40" s="6148"/>
      <c r="T40" s="6148"/>
      <c r="U40" s="6148"/>
      <c r="V40" s="6148"/>
      <c r="W40" s="6148"/>
      <c r="X40" s="6148"/>
      <c r="Y40" s="6148"/>
      <c r="Z40" s="6148"/>
      <c r="AA40" s="6148"/>
      <c r="AB40" s="6148"/>
      <c r="AC40" s="6148"/>
      <c r="AD40" s="6148"/>
      <c r="AE40" s="6148"/>
      <c r="AF40" s="6148"/>
      <c r="AG40" s="6148"/>
      <c r="AH40" s="6148"/>
      <c r="AI40" s="6148"/>
      <c r="AJ40" s="6148"/>
      <c r="AK40" s="6148"/>
      <c r="AL40" s="6148"/>
      <c r="AM40" s="6148"/>
      <c r="AN40" s="6148"/>
      <c r="AO40" s="6148"/>
      <c r="AP40" s="6148"/>
      <c r="AQ40" s="6148"/>
      <c r="AR40" s="6148"/>
      <c r="AS40" s="6148"/>
      <c r="AT40" s="6148"/>
      <c r="AU40" s="6148"/>
      <c r="AV40" s="6148"/>
      <c r="AW40" s="6148"/>
      <c r="AX40" s="6148"/>
      <c r="AY40" s="6148"/>
      <c r="AZ40" s="6148"/>
      <c r="BA40" s="6148"/>
      <c r="BB40" s="6148"/>
      <c r="BC40" s="6148"/>
      <c r="BD40" s="2730">
        <v>1</v>
      </c>
      <c r="BE40" s="6150"/>
      <c r="BF40" s="6150"/>
    </row>
    <row r="41" spans="1:58" ht="21" customHeight="1">
      <c r="B41" s="7843"/>
      <c r="C41" s="5557" t="s">
        <v>15312</v>
      </c>
      <c r="D41" s="6164"/>
      <c r="E41" s="5562"/>
      <c r="F41" s="5562"/>
      <c r="G41" s="5562"/>
      <c r="H41" s="5723"/>
      <c r="I41" s="6148"/>
      <c r="J41" s="6148">
        <v>1</v>
      </c>
      <c r="K41" s="6148"/>
      <c r="L41" s="6148"/>
      <c r="M41" s="6148"/>
      <c r="N41" s="6162" t="s">
        <v>15313</v>
      </c>
      <c r="O41" s="6148"/>
      <c r="P41" s="6148"/>
      <c r="Q41" s="6148"/>
      <c r="R41" s="6148"/>
      <c r="S41" s="6148"/>
      <c r="T41" s="6148"/>
      <c r="U41" s="6148"/>
      <c r="V41" s="6148"/>
      <c r="W41" s="6148"/>
      <c r="X41" s="6148"/>
      <c r="Y41" s="6148"/>
      <c r="Z41" s="6148"/>
      <c r="AA41" s="6148"/>
      <c r="AB41" s="6148"/>
      <c r="AC41" s="6148"/>
      <c r="AD41" s="6148"/>
      <c r="AE41" s="6148"/>
      <c r="AF41" s="6148"/>
      <c r="AG41" s="6148"/>
      <c r="AH41" s="6148"/>
      <c r="AI41" s="6148"/>
      <c r="AJ41" s="6148"/>
      <c r="AK41" s="6148"/>
      <c r="AL41" s="6148"/>
      <c r="AM41" s="6148"/>
      <c r="AN41" s="6148"/>
      <c r="AO41" s="6148"/>
      <c r="AP41" s="6148"/>
      <c r="AQ41" s="6148"/>
      <c r="AR41" s="6148"/>
      <c r="AS41" s="6148"/>
      <c r="AT41" s="6148"/>
      <c r="AU41" s="6148"/>
      <c r="AV41" s="6148"/>
      <c r="AW41" s="6148"/>
      <c r="AX41" s="6148"/>
      <c r="AY41" s="6148"/>
      <c r="AZ41" s="6148"/>
      <c r="BA41" s="6148"/>
      <c r="BB41" s="6148"/>
      <c r="BC41" s="6148"/>
      <c r="BD41" s="2730">
        <v>1</v>
      </c>
      <c r="BE41" s="6150"/>
      <c r="BF41" s="6150"/>
    </row>
    <row r="42" spans="1:58" ht="21" customHeight="1">
      <c r="B42" s="7843"/>
      <c r="C42" s="5557"/>
      <c r="D42" s="6164"/>
      <c r="E42" s="5562"/>
      <c r="F42" s="5562"/>
      <c r="G42" s="5562"/>
      <c r="H42" s="5723"/>
      <c r="I42" s="6148"/>
      <c r="J42" s="6148">
        <v>1</v>
      </c>
      <c r="K42" s="6148"/>
      <c r="L42" s="6148"/>
      <c r="M42" s="6148"/>
      <c r="N42" s="6162" t="s">
        <v>15314</v>
      </c>
      <c r="O42" s="6148"/>
      <c r="P42" s="6148"/>
      <c r="Q42" s="6148"/>
      <c r="R42" s="6148"/>
      <c r="S42" s="6148"/>
      <c r="T42" s="6148"/>
      <c r="U42" s="6148"/>
      <c r="V42" s="6148"/>
      <c r="W42" s="6148"/>
      <c r="X42" s="6148"/>
      <c r="Y42" s="6148"/>
      <c r="Z42" s="6148"/>
      <c r="AA42" s="6148"/>
      <c r="AB42" s="6148"/>
      <c r="AC42" s="6148"/>
      <c r="AD42" s="6148"/>
      <c r="AE42" s="6148"/>
      <c r="AF42" s="6148"/>
      <c r="AG42" s="6148"/>
      <c r="AH42" s="6148"/>
      <c r="AI42" s="6148"/>
      <c r="AJ42" s="6148"/>
      <c r="AK42" s="6148"/>
      <c r="AL42" s="6148"/>
      <c r="AM42" s="6148"/>
      <c r="AN42" s="6148"/>
      <c r="AO42" s="6148"/>
      <c r="AP42" s="6148"/>
      <c r="AQ42" s="6148"/>
      <c r="AR42" s="6148"/>
      <c r="AS42" s="6148"/>
      <c r="AT42" s="6148"/>
      <c r="AU42" s="6148"/>
      <c r="AV42" s="6148"/>
      <c r="AW42" s="6148"/>
      <c r="AX42" s="6148"/>
      <c r="AY42" s="6148"/>
      <c r="AZ42" s="6148"/>
      <c r="BA42" s="6148"/>
      <c r="BB42" s="6148"/>
      <c r="BC42" s="6148"/>
      <c r="BD42" s="2730">
        <v>1</v>
      </c>
      <c r="BE42" s="6150"/>
      <c r="BF42" s="6150"/>
    </row>
    <row r="43" spans="1:58" ht="21" customHeight="1">
      <c r="B43" s="7843"/>
      <c r="C43" s="7845" t="s">
        <v>15315</v>
      </c>
      <c r="D43" s="7845"/>
      <c r="E43" s="7845"/>
      <c r="F43" s="7845"/>
      <c r="G43" s="7845"/>
      <c r="H43" s="7846"/>
      <c r="I43" s="6148"/>
      <c r="J43" s="6148">
        <v>1</v>
      </c>
      <c r="K43" s="6148">
        <v>1</v>
      </c>
      <c r="L43" s="6148">
        <v>1</v>
      </c>
      <c r="M43" s="6148"/>
      <c r="N43" s="6148"/>
      <c r="O43" s="6148"/>
      <c r="P43" s="6148"/>
      <c r="Q43" s="6148"/>
      <c r="R43" s="6148"/>
      <c r="S43" s="6148"/>
      <c r="T43" s="6148"/>
      <c r="U43" s="6148"/>
      <c r="V43" s="6148"/>
      <c r="W43" s="6148"/>
      <c r="X43" s="6148"/>
      <c r="Y43" s="6148"/>
      <c r="Z43" s="6148"/>
      <c r="AA43" s="6148"/>
      <c r="AB43" s="6148"/>
      <c r="AC43" s="6148"/>
      <c r="AD43" s="6148"/>
      <c r="AE43" s="6148"/>
      <c r="AF43" s="6148"/>
      <c r="AG43" s="6148"/>
      <c r="AH43" s="6148"/>
      <c r="AI43" s="6148"/>
      <c r="AJ43" s="6148"/>
      <c r="AK43" s="6148"/>
      <c r="AL43" s="6148"/>
      <c r="AM43" s="6148"/>
      <c r="AN43" s="6148"/>
      <c r="AO43" s="6148"/>
      <c r="AP43" s="6148"/>
      <c r="AQ43" s="6148"/>
      <c r="AR43" s="6148"/>
      <c r="AS43" s="6148"/>
      <c r="AT43" s="6148"/>
      <c r="AU43" s="6148"/>
      <c r="AV43" s="6148"/>
      <c r="AW43" s="6148"/>
      <c r="AX43" s="6148"/>
      <c r="AY43" s="6148"/>
      <c r="AZ43" s="6148"/>
      <c r="BA43" s="6148"/>
      <c r="BB43" s="6148"/>
      <c r="BC43" s="6148"/>
      <c r="BD43" s="2730">
        <v>1</v>
      </c>
      <c r="BE43" s="6150"/>
      <c r="BF43" s="6150"/>
    </row>
    <row r="44" spans="1:58" ht="21" customHeight="1">
      <c r="B44" s="7843"/>
      <c r="C44" s="7845"/>
      <c r="D44" s="7845"/>
      <c r="E44" s="7845"/>
      <c r="F44" s="7845"/>
      <c r="G44" s="7845"/>
      <c r="H44" s="7846"/>
      <c r="I44" s="6148"/>
      <c r="J44" s="6148">
        <v>1</v>
      </c>
      <c r="K44" s="6148">
        <v>1</v>
      </c>
      <c r="L44" s="6148">
        <v>1</v>
      </c>
      <c r="M44" s="6148"/>
      <c r="N44" s="6166" t="s">
        <v>15316</v>
      </c>
      <c r="O44" s="6167"/>
      <c r="P44" s="6168" t="s">
        <v>15317</v>
      </c>
      <c r="Q44" s="6167"/>
      <c r="R44" s="6148"/>
      <c r="S44" s="6148"/>
      <c r="T44" s="6148"/>
      <c r="U44" s="6148"/>
      <c r="V44" s="6148"/>
      <c r="W44" s="6148"/>
      <c r="X44" s="6148"/>
      <c r="Y44" s="6148"/>
      <c r="Z44" s="6148"/>
      <c r="AA44" s="6148"/>
      <c r="AB44" s="6148"/>
      <c r="AC44" s="6148"/>
      <c r="AD44" s="6148"/>
      <c r="AE44" s="6148"/>
      <c r="AF44" s="6148"/>
      <c r="AG44" s="6148"/>
      <c r="AH44" s="6148"/>
      <c r="AI44" s="6148"/>
      <c r="AJ44" s="6148"/>
      <c r="AK44" s="6148"/>
      <c r="AL44" s="6148"/>
      <c r="AM44" s="6148"/>
      <c r="AN44" s="6148"/>
      <c r="AO44" s="6148"/>
      <c r="AP44" s="6148"/>
      <c r="AQ44" s="6148"/>
      <c r="AR44" s="6148"/>
      <c r="AS44" s="6148"/>
      <c r="AT44" s="6148"/>
      <c r="AU44" s="6148"/>
      <c r="AV44" s="6148"/>
      <c r="AW44" s="6148"/>
      <c r="AX44" s="6148"/>
      <c r="AY44" s="6148"/>
      <c r="AZ44" s="6148"/>
      <c r="BA44" s="6148"/>
      <c r="BB44" s="6148"/>
      <c r="BC44" s="6148"/>
      <c r="BD44" s="2730">
        <v>1</v>
      </c>
      <c r="BE44" s="6150"/>
      <c r="BF44" s="6150"/>
    </row>
    <row r="45" spans="1:58" ht="21" customHeight="1">
      <c r="B45" s="7843"/>
      <c r="C45" s="6169" t="s">
        <v>15318</v>
      </c>
      <c r="D45" s="5562"/>
      <c r="E45" s="5562" t="s">
        <v>15319</v>
      </c>
      <c r="F45" s="5562"/>
      <c r="G45" s="5562"/>
      <c r="H45" s="5723"/>
      <c r="I45" s="6148"/>
      <c r="J45" s="6148">
        <v>1</v>
      </c>
      <c r="K45" s="6148">
        <v>1</v>
      </c>
      <c r="L45" s="6148">
        <v>1</v>
      </c>
      <c r="M45" s="6148"/>
      <c r="N45" s="6170" t="s">
        <v>15320</v>
      </c>
      <c r="O45" s="6170" t="s">
        <v>15321</v>
      </c>
      <c r="P45" s="6170" t="s">
        <v>15322</v>
      </c>
      <c r="Q45" s="6167" t="s">
        <v>15323</v>
      </c>
      <c r="R45" s="6148"/>
      <c r="S45" s="6148"/>
      <c r="T45" s="6148"/>
      <c r="U45" s="6148"/>
      <c r="V45" s="6148"/>
      <c r="W45" s="6148"/>
      <c r="X45" s="6148"/>
      <c r="Y45" s="6148"/>
      <c r="Z45" s="6148"/>
      <c r="AA45" s="6148"/>
      <c r="AB45" s="6148"/>
      <c r="AC45" s="6148"/>
      <c r="AD45" s="6148"/>
      <c r="AE45" s="6148"/>
      <c r="AF45" s="6148"/>
      <c r="AG45" s="6148"/>
      <c r="AH45" s="6148"/>
      <c r="AI45" s="6148"/>
      <c r="AJ45" s="6148"/>
      <c r="AK45" s="6148"/>
      <c r="AL45" s="6148"/>
      <c r="AM45" s="6148"/>
      <c r="AN45" s="6148"/>
      <c r="AO45" s="6148"/>
      <c r="AP45" s="6148"/>
      <c r="AQ45" s="6148"/>
      <c r="AR45" s="6148"/>
      <c r="AS45" s="6148"/>
      <c r="AT45" s="6148"/>
      <c r="AU45" s="6148"/>
      <c r="AV45" s="6148"/>
      <c r="AW45" s="6148"/>
      <c r="AX45" s="6148"/>
      <c r="AY45" s="6148"/>
      <c r="AZ45" s="6148"/>
      <c r="BA45" s="6148"/>
      <c r="BB45" s="6148"/>
      <c r="BC45" s="6148"/>
      <c r="BD45" s="2730">
        <v>1</v>
      </c>
    </row>
    <row r="46" spans="1:58" ht="21" customHeight="1">
      <c r="B46" s="7843"/>
      <c r="C46" s="6171" t="str">
        <f>HYPERLINK("#"&amp;ADDRESS(ROW(C38),COLUMN(C38),4))</f>
        <v>#C38</v>
      </c>
      <c r="D46" s="6172" t="str">
        <f ca="1">_xlfn.FORMULATEXT(C46)</f>
        <v>=LIEN_HYPERTEXTE("#"&amp;ADRESSE(LIGNE(C38);COLONNE(C38);4))</v>
      </c>
      <c r="E46" s="6172"/>
      <c r="F46" s="6172"/>
      <c r="G46" s="6172"/>
      <c r="H46" s="6173"/>
      <c r="I46" s="6148"/>
      <c r="J46" s="6148">
        <v>1</v>
      </c>
      <c r="K46" s="6148">
        <v>1</v>
      </c>
      <c r="L46" s="6148">
        <v>1</v>
      </c>
      <c r="M46" s="6148"/>
      <c r="N46" s="6167" t="s">
        <v>15324</v>
      </c>
      <c r="O46" s="6167" t="s">
        <v>15325</v>
      </c>
      <c r="P46" s="6174" t="str">
        <f>N46 &amp; " " &amp; O46</f>
        <v>Robert Spière</v>
      </c>
      <c r="Q46" s="6175" t="str">
        <f ca="1">_xlfn.FORMULATEXT(P46)</f>
        <v>=N46 &amp; " " &amp; O46</v>
      </c>
      <c r="R46" s="6148"/>
      <c r="S46" s="6148"/>
      <c r="T46" s="6148"/>
      <c r="U46" s="6148"/>
      <c r="V46" s="6148"/>
      <c r="W46" s="6148"/>
      <c r="X46" s="6148"/>
      <c r="Y46" s="6148"/>
      <c r="Z46" s="6148"/>
      <c r="AA46" s="6148"/>
      <c r="AB46" s="6148"/>
      <c r="AC46" s="6148"/>
      <c r="AD46" s="6148"/>
      <c r="AE46" s="6148"/>
      <c r="AF46" s="6148"/>
      <c r="AG46" s="6148"/>
      <c r="AH46" s="6148"/>
      <c r="AI46" s="6148"/>
      <c r="AJ46" s="6148"/>
      <c r="AK46" s="6148"/>
      <c r="AL46" s="6148"/>
      <c r="AM46" s="6148"/>
      <c r="AN46" s="6148"/>
      <c r="AO46" s="6148"/>
      <c r="AP46" s="6148"/>
      <c r="AQ46" s="6148"/>
      <c r="AR46" s="6148"/>
      <c r="AS46" s="6148"/>
      <c r="AT46" s="6148"/>
      <c r="AU46" s="6148"/>
      <c r="AV46" s="6148"/>
      <c r="AW46" s="6148"/>
      <c r="AX46" s="6148"/>
      <c r="AY46" s="6148"/>
      <c r="AZ46" s="6148"/>
      <c r="BA46" s="6148"/>
      <c r="BB46" s="6148"/>
      <c r="BC46" s="6148"/>
      <c r="BD46" s="2730">
        <v>1</v>
      </c>
    </row>
    <row r="47" spans="1:58" ht="21" customHeight="1">
      <c r="B47" s="7843"/>
      <c r="C47" s="6176"/>
      <c r="D47" s="6172"/>
      <c r="E47" s="6172"/>
      <c r="F47" s="6172"/>
      <c r="G47" s="6172"/>
      <c r="H47" s="6173"/>
      <c r="I47" s="6148"/>
      <c r="J47" s="6148">
        <v>1</v>
      </c>
      <c r="K47" s="6148">
        <v>1</v>
      </c>
      <c r="L47" s="6148">
        <v>1</v>
      </c>
      <c r="M47" s="6148"/>
      <c r="N47" s="6167" t="s">
        <v>15326</v>
      </c>
      <c r="O47" s="6167" t="s">
        <v>15327</v>
      </c>
      <c r="P47" s="6174" t="str">
        <f>_xlfn.CONCAT(N47," ",O47)</f>
        <v>Guillaume Tell</v>
      </c>
      <c r="Q47" s="6175" t="str">
        <f ca="1">_xlfn.FORMULATEXT(P47)</f>
        <v>=CONCAT(N47;" ";O47)</v>
      </c>
      <c r="R47" s="6148"/>
      <c r="S47" s="6148"/>
      <c r="T47" s="6148"/>
      <c r="U47" s="6148"/>
      <c r="V47" s="6148"/>
      <c r="W47" s="6148"/>
      <c r="X47" s="6148"/>
      <c r="Y47" s="6148"/>
      <c r="Z47" s="6148"/>
      <c r="AA47" s="6148"/>
      <c r="AB47" s="6148"/>
      <c r="AC47" s="6148"/>
      <c r="AD47" s="6148"/>
      <c r="AE47" s="6148"/>
      <c r="AF47" s="6148"/>
      <c r="AG47" s="6148"/>
      <c r="AH47" s="6148"/>
      <c r="AI47" s="6148"/>
      <c r="AJ47" s="6148"/>
      <c r="AK47" s="6148"/>
      <c r="AL47" s="6148"/>
      <c r="AM47" s="6148"/>
      <c r="AN47" s="6148"/>
      <c r="AO47" s="6148"/>
      <c r="AP47" s="6148"/>
      <c r="AQ47" s="6148"/>
      <c r="AR47" s="6148"/>
      <c r="AS47" s="6148"/>
      <c r="AT47" s="6148"/>
      <c r="AU47" s="6148"/>
      <c r="AV47" s="6148"/>
      <c r="AW47" s="6148"/>
      <c r="AX47" s="6148"/>
      <c r="AY47" s="6148"/>
      <c r="AZ47" s="6148"/>
      <c r="BA47" s="6148"/>
      <c r="BB47" s="6148"/>
      <c r="BC47" s="6148"/>
      <c r="BD47" s="2730">
        <v>1</v>
      </c>
    </row>
    <row r="48" spans="1:58" ht="21" customHeight="1">
      <c r="B48" s="7843"/>
      <c r="C48" s="6176"/>
      <c r="D48" s="5562"/>
      <c r="E48" s="5562"/>
      <c r="F48" s="5562"/>
      <c r="G48" s="5562"/>
      <c r="H48" s="5723"/>
      <c r="I48" s="6148"/>
      <c r="J48" s="6148">
        <v>1</v>
      </c>
      <c r="K48" s="6148">
        <v>1</v>
      </c>
      <c r="L48" s="6148">
        <v>1</v>
      </c>
      <c r="M48" s="6148"/>
      <c r="N48" s="6148"/>
      <c r="O48" s="6148"/>
      <c r="P48" s="6148"/>
      <c r="Q48" s="6148"/>
      <c r="R48" s="6148"/>
      <c r="S48" s="6148"/>
      <c r="T48" s="6148"/>
      <c r="U48" s="6148"/>
      <c r="V48" s="6148"/>
      <c r="W48" s="6148"/>
      <c r="X48" s="6148"/>
      <c r="Y48" s="6148"/>
      <c r="Z48" s="6148"/>
      <c r="AA48" s="6148"/>
      <c r="AB48" s="6148"/>
      <c r="AC48" s="6148"/>
      <c r="AD48" s="6148"/>
      <c r="AE48" s="6148"/>
      <c r="AF48" s="6148"/>
      <c r="AG48" s="6148"/>
      <c r="AH48" s="6148"/>
      <c r="AI48" s="6148"/>
      <c r="AJ48" s="6148"/>
      <c r="AK48" s="6148"/>
      <c r="AL48" s="6148"/>
      <c r="AM48" s="6148"/>
      <c r="AN48" s="6148"/>
      <c r="AO48" s="6148"/>
      <c r="AP48" s="6148"/>
      <c r="AQ48" s="6148"/>
      <c r="AR48" s="6148"/>
      <c r="AS48" s="6148"/>
      <c r="AT48" s="6148"/>
      <c r="AU48" s="6148"/>
      <c r="AV48" s="6148"/>
      <c r="AW48" s="6148"/>
      <c r="AX48" s="6148"/>
      <c r="AY48" s="6148"/>
      <c r="AZ48" s="6148"/>
      <c r="BA48" s="6148"/>
      <c r="BB48" s="6148"/>
      <c r="BC48" s="6148"/>
      <c r="BD48" s="2730">
        <v>1</v>
      </c>
    </row>
    <row r="49" spans="2:56" ht="21" customHeight="1">
      <c r="B49" s="7843"/>
      <c r="C49" s="6177" t="str">
        <f>HYPERLINK("#"&amp;ADDRESS(ROW(C38),COLUMN(C38),4)," 🔗 Lien")</f>
        <v xml:space="preserve"> 🔗 Lien</v>
      </c>
      <c r="D49" s="7847" t="str">
        <f ca="1">_xlfn.FORMULATEXT(C49)</f>
        <v>=LIEN_HYPERTEXTE("#"&amp;ADRESSE(LIGNE(C38);COLONNE(C38);4);" 🔗 Lien")</v>
      </c>
      <c r="E49" s="7847"/>
      <c r="F49" s="7847"/>
      <c r="G49" s="7847"/>
      <c r="H49" s="7848"/>
      <c r="I49" s="6148"/>
      <c r="J49" s="6148">
        <v>1</v>
      </c>
      <c r="K49" s="6148">
        <v>1</v>
      </c>
      <c r="L49" s="6148">
        <v>1</v>
      </c>
      <c r="M49" s="6148"/>
      <c r="N49" s="6170" t="s">
        <v>15328</v>
      </c>
      <c r="O49" s="6166" t="s">
        <v>15329</v>
      </c>
      <c r="P49" s="6178"/>
      <c r="Q49" s="6167" t="s">
        <v>15323</v>
      </c>
      <c r="R49" s="6148"/>
      <c r="S49" s="6148"/>
      <c r="T49" s="6148"/>
      <c r="U49" s="6148"/>
      <c r="V49" s="6148"/>
      <c r="W49" s="6148"/>
      <c r="X49" s="6148"/>
      <c r="Y49" s="6148"/>
      <c r="Z49" s="6148"/>
      <c r="AA49" s="6148"/>
      <c r="AB49" s="6148"/>
      <c r="AC49" s="6148"/>
      <c r="AD49" s="6148"/>
      <c r="AE49" s="6148"/>
      <c r="AF49" s="6148"/>
      <c r="AG49" s="6148"/>
      <c r="AH49" s="6148"/>
      <c r="AI49" s="6148"/>
      <c r="AJ49" s="6148"/>
      <c r="AK49" s="6148"/>
      <c r="AL49" s="6148"/>
      <c r="AM49" s="6148"/>
      <c r="AN49" s="6148"/>
      <c r="AO49" s="6148"/>
      <c r="AP49" s="6148"/>
      <c r="AQ49" s="6148"/>
      <c r="AR49" s="6148"/>
      <c r="AS49" s="6148"/>
      <c r="AT49" s="6148"/>
      <c r="AU49" s="6148"/>
      <c r="AV49" s="6148"/>
      <c r="AW49" s="6148"/>
      <c r="AX49" s="6148"/>
      <c r="AY49" s="6148"/>
      <c r="AZ49" s="6148"/>
      <c r="BA49" s="6148"/>
      <c r="BB49" s="6148"/>
      <c r="BC49" s="6148"/>
      <c r="BD49" s="2730">
        <v>1</v>
      </c>
    </row>
    <row r="50" spans="2:56" ht="21" customHeight="1">
      <c r="B50" s="7843"/>
      <c r="C50" s="6176"/>
      <c r="D50" s="7847"/>
      <c r="E50" s="7847"/>
      <c r="F50" s="7847"/>
      <c r="G50" s="7847"/>
      <c r="H50" s="7848"/>
      <c r="I50" s="6148"/>
      <c r="J50" s="6148">
        <v>1</v>
      </c>
      <c r="K50" s="6148">
        <v>1</v>
      </c>
      <c r="L50" s="6148">
        <v>1</v>
      </c>
      <c r="M50" s="6148"/>
      <c r="N50" s="6167" t="s">
        <v>15330</v>
      </c>
      <c r="O50" s="6179" t="str">
        <f>LEFT(N50,SEARCH(" ",N50)-1)</f>
        <v>Guillaume</v>
      </c>
      <c r="P50" s="6175" t="s">
        <v>15331</v>
      </c>
      <c r="Q50" s="6148"/>
      <c r="R50" s="6148"/>
      <c r="S50" s="6148"/>
      <c r="T50" s="6148"/>
      <c r="U50" s="6148"/>
      <c r="V50" s="6148"/>
      <c r="W50" s="6148"/>
      <c r="X50" s="6148"/>
      <c r="Y50" s="6148"/>
      <c r="Z50" s="6148"/>
      <c r="AA50" s="6148"/>
      <c r="AB50" s="6148"/>
      <c r="AC50" s="6148"/>
      <c r="AD50" s="6148"/>
      <c r="AE50" s="6148"/>
      <c r="AF50" s="6148"/>
      <c r="AG50" s="6148"/>
      <c r="AH50" s="6148"/>
      <c r="AI50" s="6148"/>
      <c r="AJ50" s="6148"/>
      <c r="AK50" s="6148"/>
      <c r="AL50" s="6148"/>
      <c r="AM50" s="6148"/>
      <c r="AN50" s="6148"/>
      <c r="AO50" s="6148"/>
      <c r="AP50" s="6148"/>
      <c r="AQ50" s="6148"/>
      <c r="AR50" s="6148"/>
      <c r="AS50" s="6148"/>
      <c r="AT50" s="6148"/>
      <c r="AU50" s="6148"/>
      <c r="AV50" s="6148"/>
      <c r="AW50" s="6148"/>
      <c r="AX50" s="6148"/>
      <c r="AY50" s="6148"/>
      <c r="AZ50" s="6148"/>
      <c r="BA50" s="6148"/>
      <c r="BB50" s="6148"/>
      <c r="BC50" s="6148"/>
      <c r="BD50" s="2730">
        <v>1</v>
      </c>
    </row>
    <row r="51" spans="2:56" ht="21" customHeight="1">
      <c r="B51" s="7843"/>
      <c r="C51" s="6176"/>
      <c r="D51" s="6180"/>
      <c r="E51" s="6180"/>
      <c r="F51" s="6180"/>
      <c r="G51" s="6180"/>
      <c r="H51" s="6181"/>
      <c r="I51" s="6148"/>
      <c r="J51" s="6148">
        <v>1</v>
      </c>
      <c r="K51" s="6148">
        <v>1</v>
      </c>
      <c r="L51" s="6148">
        <v>1</v>
      </c>
      <c r="M51" s="6148"/>
      <c r="N51" s="6167" t="s">
        <v>15330</v>
      </c>
      <c r="O51" s="6179" t="str">
        <f>RIGHT(N51,LEN(N51)-SEARCH(" ",N51))</f>
        <v>Tell</v>
      </c>
      <c r="P51" s="6175" t="str">
        <f ca="1">_xlfn.FORMULATEXT(O51)</f>
        <v>=DROITE(N51;NBCAR(N51)-CHERCHE(" ";N51))</v>
      </c>
      <c r="Q51" s="6148"/>
      <c r="R51" s="6148"/>
      <c r="S51" s="6148"/>
      <c r="T51" s="6148"/>
      <c r="U51" s="6148"/>
      <c r="V51" s="6148"/>
      <c r="W51" s="6148"/>
      <c r="X51" s="6148"/>
      <c r="Y51" s="6148"/>
      <c r="Z51" s="6148"/>
      <c r="AA51" s="6148"/>
      <c r="AB51" s="6148"/>
      <c r="AC51" s="6148"/>
      <c r="AD51" s="6148"/>
      <c r="AE51" s="6148"/>
      <c r="AF51" s="6148"/>
      <c r="AG51" s="6148"/>
      <c r="AH51" s="6148"/>
      <c r="AI51" s="6148"/>
      <c r="AJ51" s="6148"/>
      <c r="AK51" s="6148"/>
      <c r="AL51" s="6148"/>
      <c r="AM51" s="6148"/>
      <c r="AN51" s="6148"/>
      <c r="AO51" s="6148"/>
      <c r="AP51" s="6148"/>
      <c r="AQ51" s="6148"/>
      <c r="AR51" s="6148"/>
      <c r="AS51" s="6148"/>
      <c r="AT51" s="6148"/>
      <c r="AU51" s="6148"/>
      <c r="AV51" s="6148"/>
      <c r="AW51" s="6148"/>
      <c r="AX51" s="6148"/>
      <c r="AY51" s="6148"/>
      <c r="AZ51" s="6148"/>
      <c r="BA51" s="6148"/>
      <c r="BB51" s="6148"/>
      <c r="BC51" s="6148"/>
      <c r="BD51" s="2730">
        <v>1</v>
      </c>
    </row>
    <row r="52" spans="2:56" ht="21" customHeight="1">
      <c r="B52" s="7843"/>
      <c r="C52" s="6177" t="str">
        <f>HYPERLINK("#"&amp;ADDRESS(ROW(C38),COLUMN(C38),4)," 🔗 ICI")</f>
        <v xml:space="preserve"> 🔗 ICI</v>
      </c>
      <c r="D52" s="7849" t="str">
        <f ca="1">_xlfn.FORMULATEXT(C52)</f>
        <v>=LIEN_HYPERTEXTE("#"&amp;ADRESSE(LIGNE(C38);COLONNE(C38);4);" 🔗 ICI")</v>
      </c>
      <c r="E52" s="7849"/>
      <c r="F52" s="7849"/>
      <c r="G52" s="7849"/>
      <c r="H52" s="7850"/>
      <c r="I52" s="6148"/>
      <c r="J52" s="6148">
        <v>1</v>
      </c>
      <c r="K52" s="6148">
        <v>1</v>
      </c>
      <c r="L52" s="6148">
        <v>1</v>
      </c>
      <c r="M52" s="6148"/>
      <c r="N52" s="6182" t="s">
        <v>15332</v>
      </c>
      <c r="O52" s="6183" t="str">
        <f>LEFT(N52,SEARCH(",",N52)-1)</f>
        <v>Guillaume</v>
      </c>
      <c r="P52" s="6175" t="str">
        <f ca="1">_xlfn.FORMULATEXT(O52)</f>
        <v>=GAUCHE(N52;CHERCHE(",";N52)-1)</v>
      </c>
      <c r="Q52" s="6175"/>
      <c r="R52" s="6167"/>
      <c r="S52" s="6167"/>
      <c r="T52" s="6167"/>
      <c r="U52" s="6148"/>
      <c r="V52" s="6148"/>
      <c r="W52" s="6148"/>
      <c r="X52" s="6148"/>
      <c r="Y52" s="6148"/>
      <c r="Z52" s="6148"/>
      <c r="AA52" s="6148"/>
      <c r="AB52" s="6148"/>
      <c r="AC52" s="6148"/>
      <c r="AD52" s="6148"/>
      <c r="AE52" s="6148"/>
      <c r="AF52" s="6148"/>
      <c r="AG52" s="6148"/>
      <c r="AH52" s="6148"/>
      <c r="AI52" s="6148"/>
      <c r="AJ52" s="6148"/>
      <c r="AK52" s="6148"/>
      <c r="AL52" s="6148"/>
      <c r="AM52" s="6148"/>
      <c r="AN52" s="6148"/>
      <c r="AO52" s="6148"/>
      <c r="AP52" s="6148"/>
      <c r="AQ52" s="6148"/>
      <c r="AR52" s="6148"/>
      <c r="AS52" s="6148"/>
      <c r="AT52" s="6148"/>
      <c r="AU52" s="6148"/>
      <c r="AV52" s="6148"/>
      <c r="AW52" s="6148"/>
      <c r="AX52" s="6148"/>
      <c r="AY52" s="6148"/>
      <c r="AZ52" s="6148"/>
      <c r="BA52" s="6148"/>
      <c r="BB52" s="6148"/>
      <c r="BC52" s="6148"/>
      <c r="BD52" s="2730">
        <v>1</v>
      </c>
    </row>
    <row r="53" spans="2:56" ht="21" customHeight="1">
      <c r="B53" s="7843"/>
      <c r="C53" s="6176"/>
      <c r="D53" s="7849"/>
      <c r="E53" s="7849"/>
      <c r="F53" s="7849"/>
      <c r="G53" s="7849"/>
      <c r="H53" s="7850"/>
      <c r="I53" s="6148"/>
      <c r="J53" s="6148">
        <v>1</v>
      </c>
      <c r="K53" s="6148">
        <v>1</v>
      </c>
      <c r="L53" s="6148">
        <v>1</v>
      </c>
      <c r="M53" s="6148"/>
      <c r="N53" s="6148">
        <v>1</v>
      </c>
      <c r="O53" s="6183" t="str">
        <f>RIGHT(N52,LEN(N52)-SEARCH(",",N52))</f>
        <v>Tell</v>
      </c>
      <c r="P53" s="6175" t="str">
        <f ca="1">_xlfn.FORMULATEXT(O53)</f>
        <v>=DROITE(N52;NBCAR(N52)-CHERCHE(",";N52))</v>
      </c>
      <c r="U53" s="6148"/>
      <c r="V53" s="6148"/>
      <c r="W53" s="6148"/>
      <c r="X53" s="6148"/>
      <c r="Y53" s="6148"/>
      <c r="Z53" s="6148"/>
      <c r="AA53" s="6148"/>
      <c r="AB53" s="6148"/>
      <c r="AC53" s="6148"/>
      <c r="AD53" s="6148"/>
      <c r="AE53" s="6148"/>
      <c r="AF53" s="6148"/>
      <c r="AG53" s="6148"/>
      <c r="AH53" s="6148"/>
      <c r="AI53" s="6148"/>
      <c r="AJ53" s="6148"/>
      <c r="AK53" s="6148"/>
      <c r="AL53" s="6148"/>
      <c r="AM53" s="6148"/>
      <c r="AN53" s="6148"/>
      <c r="AO53" s="6148"/>
      <c r="AP53" s="6148"/>
      <c r="AQ53" s="6148"/>
      <c r="AR53" s="6148"/>
      <c r="AS53" s="6148"/>
      <c r="AT53" s="6148"/>
      <c r="AU53" s="6148"/>
      <c r="AV53" s="6148"/>
      <c r="AW53" s="6148"/>
      <c r="AX53" s="6148"/>
      <c r="AY53" s="6148"/>
      <c r="AZ53" s="6148"/>
      <c r="BA53" s="6148"/>
      <c r="BB53" s="6148"/>
      <c r="BC53" s="6148"/>
      <c r="BD53" s="2730">
        <v>1</v>
      </c>
    </row>
    <row r="54" spans="2:56" ht="21" customHeight="1">
      <c r="B54" s="7843"/>
      <c r="C54" s="6176"/>
      <c r="D54" s="6175"/>
      <c r="E54" s="6175"/>
      <c r="F54" s="6175"/>
      <c r="G54" s="6175"/>
      <c r="H54" s="6184"/>
      <c r="I54" s="6148"/>
      <c r="J54" s="6148"/>
      <c r="K54" s="6148"/>
      <c r="L54" s="6148"/>
      <c r="M54" s="6148"/>
      <c r="N54" s="6148">
        <v>1</v>
      </c>
      <c r="O54" s="6167" t="s">
        <v>15333</v>
      </c>
      <c r="P54" s="6148"/>
      <c r="Q54" s="6148"/>
      <c r="R54" s="6148"/>
      <c r="S54" s="6148"/>
      <c r="T54" s="6148"/>
      <c r="U54" s="6148"/>
      <c r="V54" s="6148"/>
      <c r="W54" s="6148"/>
      <c r="X54" s="6148"/>
      <c r="Y54" s="6148"/>
      <c r="Z54" s="6148"/>
      <c r="AA54" s="6148"/>
      <c r="AB54" s="6148"/>
      <c r="AC54" s="6148"/>
      <c r="AD54" s="6148"/>
      <c r="AE54" s="6148"/>
      <c r="AF54" s="6148"/>
      <c r="AG54" s="6148"/>
      <c r="AH54" s="6148"/>
      <c r="AI54" s="6148"/>
      <c r="AJ54" s="6148"/>
      <c r="AK54" s="6148"/>
      <c r="AL54" s="6148"/>
      <c r="AM54" s="6148"/>
      <c r="AN54" s="6148"/>
      <c r="AO54" s="6148"/>
      <c r="AP54" s="6148"/>
      <c r="AQ54" s="6148"/>
      <c r="AR54" s="6148"/>
      <c r="AS54" s="6148"/>
      <c r="AT54" s="6148"/>
      <c r="AU54" s="6148"/>
      <c r="AV54" s="6148"/>
      <c r="AW54" s="6148"/>
      <c r="AX54" s="6148"/>
      <c r="AY54" s="6148"/>
      <c r="AZ54" s="6148"/>
      <c r="BA54" s="6148"/>
      <c r="BB54" s="6148"/>
      <c r="BC54" s="6148"/>
      <c r="BD54" s="2730">
        <v>1</v>
      </c>
    </row>
    <row r="55" spans="2:56" ht="21" customHeight="1">
      <c r="B55" s="7843"/>
      <c r="C55" s="6185" t="str">
        <f>HYPERLINK("#"&amp;ADDRESS(ROW(C38),COLUMN(C38),4)," 🔗 "&amp;ADDRESS(ROW(C38),COLUMN(C38),4))</f>
        <v xml:space="preserve"> 🔗 C38</v>
      </c>
      <c r="D55" s="7849" t="str">
        <f ca="1">_xlfn.FORMULATEXT(C55)</f>
        <v>=LIEN_HYPERTEXTE("#"&amp;ADRESSE(LIGNE(C38);COLONNE(C38);4);" 🔗 "&amp;ADRESSE(LIGNE(C38);COLONNE(C38);4))</v>
      </c>
      <c r="E55" s="7849"/>
      <c r="F55" s="7849"/>
      <c r="G55" s="7849"/>
      <c r="H55" s="7850"/>
      <c r="I55" s="6148"/>
      <c r="J55" s="6148"/>
      <c r="K55" s="6148"/>
      <c r="L55" s="6148"/>
      <c r="M55" s="6148"/>
      <c r="O55" s="6148"/>
      <c r="P55" s="6186"/>
      <c r="Q55" s="6187" t="s">
        <v>15334</v>
      </c>
      <c r="R55" s="6188" t="s">
        <v>15335</v>
      </c>
      <c r="S55" s="6186"/>
      <c r="T55" s="6186"/>
      <c r="U55" s="6148"/>
      <c r="V55" s="6148"/>
      <c r="W55" s="6148"/>
      <c r="X55" s="6148"/>
      <c r="Y55" s="6148"/>
      <c r="Z55" s="6148"/>
      <c r="AA55" s="6148"/>
      <c r="AB55" s="6148"/>
      <c r="AC55" s="6148"/>
      <c r="AD55" s="6148"/>
      <c r="AE55" s="6148"/>
      <c r="AF55" s="6148"/>
      <c r="AG55" s="6148"/>
      <c r="AH55" s="6148"/>
      <c r="AI55" s="6148"/>
      <c r="AJ55" s="6148"/>
      <c r="AK55" s="6148"/>
      <c r="AL55" s="6148"/>
      <c r="AM55" s="6148"/>
      <c r="AN55" s="6148"/>
      <c r="AO55" s="6148"/>
      <c r="AP55" s="6148"/>
      <c r="AQ55" s="6148"/>
      <c r="AR55" s="6148"/>
      <c r="AS55" s="6148"/>
      <c r="AT55" s="6148"/>
      <c r="AU55" s="6148"/>
      <c r="AV55" s="6148"/>
      <c r="AW55" s="6148"/>
      <c r="AX55" s="6148"/>
      <c r="AY55" s="6148"/>
      <c r="AZ55" s="6148"/>
      <c r="BA55" s="6148"/>
      <c r="BB55" s="6148"/>
      <c r="BC55" s="6148"/>
      <c r="BD55" s="2730">
        <v>1</v>
      </c>
    </row>
    <row r="56" spans="2:56" ht="21" customHeight="1">
      <c r="B56" s="7843"/>
      <c r="C56" s="6176"/>
      <c r="D56" s="7849"/>
      <c r="E56" s="7849"/>
      <c r="F56" s="7849"/>
      <c r="G56" s="7849"/>
      <c r="H56" s="7850"/>
      <c r="I56" s="6148"/>
      <c r="J56" s="6148"/>
      <c r="K56" s="6148"/>
      <c r="L56" s="6148"/>
      <c r="M56" s="6148"/>
      <c r="N56" s="6148"/>
      <c r="O56" s="6148"/>
      <c r="P56" s="6148"/>
      <c r="Q56" s="6148"/>
      <c r="R56" s="6148"/>
      <c r="S56" s="6148"/>
      <c r="T56" s="6148"/>
      <c r="U56" s="6148"/>
      <c r="V56" s="6148"/>
      <c r="W56" s="6148"/>
      <c r="X56" s="6148"/>
      <c r="Y56" s="6148"/>
      <c r="Z56" s="6148"/>
      <c r="AA56" s="6148"/>
      <c r="AB56" s="6148"/>
      <c r="AC56" s="6148"/>
      <c r="AD56" s="6148"/>
      <c r="AE56" s="6148"/>
      <c r="AF56" s="6148"/>
      <c r="AG56" s="6148"/>
      <c r="AH56" s="6148"/>
      <c r="AI56" s="6148"/>
      <c r="AJ56" s="6148"/>
      <c r="AK56" s="6148"/>
      <c r="AL56" s="6148"/>
      <c r="AM56" s="6148"/>
      <c r="AN56" s="6148"/>
      <c r="AO56" s="6148"/>
      <c r="AP56" s="6148"/>
      <c r="AQ56" s="6148"/>
      <c r="AR56" s="6148"/>
      <c r="AS56" s="6148"/>
      <c r="AT56" s="6148"/>
      <c r="AU56" s="6148"/>
      <c r="AV56" s="6148"/>
      <c r="AW56" s="6148"/>
      <c r="AX56" s="6148"/>
      <c r="AY56" s="6148"/>
      <c r="AZ56" s="6148"/>
      <c r="BA56" s="6148"/>
      <c r="BB56" s="6148"/>
      <c r="BC56" s="6148"/>
      <c r="BD56" s="2730">
        <v>1</v>
      </c>
    </row>
    <row r="57" spans="2:56" ht="21" customHeight="1" thickBot="1">
      <c r="B57" s="7843"/>
      <c r="C57" s="6176"/>
      <c r="D57" s="5562"/>
      <c r="E57" s="5562"/>
      <c r="F57" s="5562"/>
      <c r="G57" s="5562"/>
      <c r="H57" s="5723"/>
      <c r="I57" s="6148"/>
      <c r="J57" s="6148"/>
      <c r="K57" s="6148"/>
      <c r="L57" s="6148"/>
      <c r="M57" s="6148"/>
      <c r="N57" s="6148"/>
      <c r="O57" s="6148"/>
      <c r="P57" s="6148"/>
      <c r="Q57" s="6148"/>
      <c r="R57" s="6148"/>
      <c r="S57" s="6148"/>
      <c r="T57" s="6148"/>
      <c r="U57" s="6148"/>
      <c r="V57" s="6148"/>
      <c r="W57" s="6148"/>
      <c r="X57" s="6148"/>
      <c r="Y57" s="6148"/>
      <c r="Z57" s="6148"/>
      <c r="AA57" s="6148"/>
      <c r="AB57" s="6148"/>
      <c r="AC57" s="6148"/>
      <c r="AD57" s="6148"/>
      <c r="AE57" s="6148"/>
      <c r="AF57" s="6148"/>
      <c r="AG57" s="6148"/>
      <c r="AH57" s="6148"/>
      <c r="AI57" s="6148"/>
      <c r="AJ57" s="6148"/>
      <c r="AK57" s="6148"/>
      <c r="AL57" s="6148"/>
      <c r="AM57" s="6148"/>
      <c r="AN57" s="6148"/>
      <c r="AO57" s="6148"/>
      <c r="AP57" s="6148"/>
      <c r="AQ57" s="6148"/>
      <c r="AR57" s="6148"/>
      <c r="AS57" s="6148"/>
      <c r="AT57" s="6148"/>
      <c r="AU57" s="6148"/>
      <c r="AV57" s="6148"/>
      <c r="AW57" s="6148"/>
      <c r="AX57" s="6148"/>
      <c r="AY57" s="6148"/>
      <c r="AZ57" s="6148"/>
      <c r="BA57" s="6148"/>
      <c r="BB57" s="6148"/>
      <c r="BC57" s="6148"/>
      <c r="BD57" s="2730">
        <v>1</v>
      </c>
    </row>
    <row r="58" spans="2:56" ht="21" customHeight="1">
      <c r="B58" s="7843"/>
      <c r="C58" s="6185" t="str">
        <f>HYPERLINK("#"&amp;ADDRESS(ROW(C38),COLUMN(C38),4),"◀"&amp;ADDRESS(ROW(C38),COLUMN(C38),4))</f>
        <v>◀C38</v>
      </c>
      <c r="D58" s="7851" t="str">
        <f ca="1">_xlfn.FORMULATEXT(C58)</f>
        <v>=LIEN_HYPERTEXTE("#"&amp;ADRESSE(LIGNE(C38);COLONNE(C38);4);"◀"&amp;ADRESSE(LIGNE(C38);COLONNE(C38);4))</v>
      </c>
      <c r="E58" s="7851"/>
      <c r="F58" s="7851"/>
      <c r="G58" s="7851"/>
      <c r="H58" s="7852"/>
      <c r="I58" s="6148"/>
      <c r="J58" s="6189" t="s">
        <v>15336</v>
      </c>
      <c r="K58" s="6190"/>
      <c r="L58" s="6190"/>
      <c r="M58" s="6190"/>
      <c r="N58" s="6190"/>
      <c r="O58" s="6190"/>
      <c r="P58" s="6191"/>
      <c r="Q58" s="6148"/>
      <c r="R58" s="6148"/>
      <c r="S58" s="6148"/>
      <c r="T58" s="6148"/>
      <c r="U58" s="6148"/>
      <c r="V58" s="6148"/>
      <c r="W58" s="6148"/>
      <c r="X58" s="6148"/>
      <c r="Y58" s="6148"/>
      <c r="Z58" s="6148"/>
      <c r="AA58" s="6148"/>
      <c r="AB58" s="6148"/>
      <c r="AC58" s="6148"/>
      <c r="AD58" s="6148"/>
      <c r="AE58" s="6148"/>
      <c r="AF58" s="6148"/>
      <c r="AG58" s="6148"/>
      <c r="AH58" s="6148"/>
      <c r="AI58" s="6148"/>
      <c r="AJ58" s="6148"/>
      <c r="AK58" s="6148"/>
      <c r="AL58" s="6148"/>
      <c r="AM58" s="6148"/>
      <c r="AN58" s="6148"/>
      <c r="AO58" s="6148"/>
      <c r="AP58" s="6148"/>
      <c r="AQ58" s="6148"/>
      <c r="AR58" s="6148"/>
      <c r="AS58" s="6148"/>
      <c r="AT58" s="6148"/>
      <c r="AU58" s="6148"/>
      <c r="AV58" s="6148"/>
      <c r="AW58" s="6148"/>
      <c r="AX58" s="6148"/>
      <c r="AY58" s="6148"/>
      <c r="AZ58" s="6148"/>
      <c r="BA58" s="6148"/>
      <c r="BB58" s="6148"/>
      <c r="BC58" s="6148"/>
      <c r="BD58" s="2730">
        <v>1</v>
      </c>
    </row>
    <row r="59" spans="2:56" ht="21" customHeight="1">
      <c r="B59" s="7843"/>
      <c r="C59" s="6176"/>
      <c r="D59" s="7851"/>
      <c r="E59" s="7851"/>
      <c r="F59" s="7851"/>
      <c r="G59" s="7851"/>
      <c r="H59" s="7852"/>
      <c r="I59" s="6148"/>
      <c r="J59" s="6192" t="s">
        <v>15337</v>
      </c>
      <c r="K59" s="6193"/>
      <c r="L59" s="6193"/>
      <c r="M59" s="6193"/>
      <c r="N59" s="6193"/>
      <c r="O59" s="6193"/>
      <c r="P59" s="6194"/>
      <c r="Q59" s="6148"/>
      <c r="R59" s="6148"/>
      <c r="S59" s="6148"/>
      <c r="T59" s="6148"/>
      <c r="U59" s="6148"/>
      <c r="V59" s="6148"/>
      <c r="W59" s="6148"/>
      <c r="X59" s="6148"/>
      <c r="Y59" s="6148"/>
      <c r="Z59" s="6148"/>
      <c r="AA59" s="6148"/>
      <c r="AB59" s="6148"/>
      <c r="AC59" s="6148"/>
      <c r="AD59" s="6148"/>
      <c r="AE59" s="6148"/>
      <c r="AF59" s="6148"/>
      <c r="AG59" s="6148"/>
      <c r="AH59" s="6148"/>
      <c r="AI59" s="6148"/>
      <c r="AJ59" s="6148"/>
      <c r="AK59" s="6148"/>
      <c r="AL59" s="6148"/>
      <c r="AM59" s="6148"/>
      <c r="AN59" s="6148"/>
      <c r="AO59" s="6148"/>
      <c r="AP59" s="6148"/>
      <c r="AQ59" s="6148"/>
      <c r="AR59" s="6148"/>
      <c r="AS59" s="6148"/>
      <c r="AT59" s="6148"/>
      <c r="AU59" s="6148"/>
      <c r="AV59" s="6148"/>
      <c r="AW59" s="6148"/>
      <c r="AX59" s="6148"/>
      <c r="AY59" s="6148"/>
      <c r="AZ59" s="6148"/>
      <c r="BA59" s="6148"/>
      <c r="BB59" s="6148"/>
      <c r="BC59" s="6148"/>
      <c r="BD59" s="2730">
        <v>1</v>
      </c>
    </row>
    <row r="60" spans="2:56" ht="21" customHeight="1">
      <c r="B60" s="7843"/>
      <c r="C60" s="6176"/>
      <c r="D60" s="6180"/>
      <c r="E60" s="6180"/>
      <c r="F60" s="6180"/>
      <c r="G60" s="6180"/>
      <c r="H60" s="6181"/>
      <c r="I60" s="6148"/>
      <c r="J60" s="6192" t="s">
        <v>15338</v>
      </c>
      <c r="K60" s="6193"/>
      <c r="L60" s="6193"/>
      <c r="M60" s="6193"/>
      <c r="N60" s="6193"/>
      <c r="O60" s="6193"/>
      <c r="P60" s="6194"/>
      <c r="Q60" s="6148"/>
      <c r="R60" s="6148"/>
      <c r="S60" s="6148"/>
      <c r="T60" s="6148"/>
      <c r="U60" s="6148"/>
      <c r="V60" s="6148"/>
      <c r="W60" s="6148"/>
      <c r="X60" s="6148"/>
      <c r="Y60" s="6148"/>
      <c r="Z60" s="6148"/>
      <c r="AA60" s="6148"/>
      <c r="AB60" s="6148"/>
      <c r="AC60" s="6148"/>
      <c r="AD60" s="6148"/>
      <c r="AE60" s="6148"/>
      <c r="AF60" s="6148"/>
      <c r="AG60" s="6148"/>
      <c r="AH60" s="6148"/>
      <c r="AI60" s="6148"/>
      <c r="AJ60" s="6148"/>
      <c r="AK60" s="6148"/>
      <c r="AL60" s="6148"/>
      <c r="AM60" s="6148"/>
      <c r="AN60" s="6148"/>
      <c r="AO60" s="6148"/>
      <c r="AP60" s="6148"/>
      <c r="AQ60" s="6148"/>
      <c r="AR60" s="6148"/>
      <c r="AS60" s="6148"/>
      <c r="AT60" s="6148"/>
      <c r="AU60" s="6148"/>
      <c r="AV60" s="6148"/>
      <c r="AW60" s="6148"/>
      <c r="AX60" s="6148"/>
      <c r="AY60" s="6148"/>
      <c r="AZ60" s="6148"/>
      <c r="BA60" s="6148"/>
      <c r="BB60" s="6148"/>
      <c r="BC60" s="6148"/>
      <c r="BD60" s="2730">
        <v>1</v>
      </c>
    </row>
    <row r="61" spans="2:56" ht="21" customHeight="1">
      <c r="B61" s="7843"/>
      <c r="C61" s="6185" t="str">
        <f>HYPERLINK("#"&amp;ADDRESS(ROW(C38),COLUMN(C38),4),_xlfn.UNICHAR(128269)&amp;ADDRESS(ROW(C38),COLUMN(C38),4))</f>
        <v>🔍C38</v>
      </c>
      <c r="D61" s="7824" t="str">
        <f ca="1">_xlfn.FORMULATEXT(C61)</f>
        <v>=LIEN_HYPERTEXTE("#"&amp;ADRESSE(LIGNE(C38);COLONNE(C38);4);UNICAR(128269)&amp;ADRESSE(LIGNE(C38);COLONNE(C38);4))</v>
      </c>
      <c r="E61" s="7824"/>
      <c r="F61" s="7824"/>
      <c r="G61" s="7824"/>
      <c r="H61" s="7825"/>
      <c r="I61" s="6148"/>
      <c r="J61" s="6192" t="s">
        <v>15339</v>
      </c>
      <c r="K61" s="6193"/>
      <c r="L61" s="6193"/>
      <c r="M61" s="6193"/>
      <c r="N61" s="6193"/>
      <c r="O61" s="6193"/>
      <c r="P61" s="6194"/>
      <c r="Q61" s="6148"/>
      <c r="R61" s="6148"/>
      <c r="S61" s="6148"/>
      <c r="T61" s="6148"/>
      <c r="U61" s="6148"/>
      <c r="V61" s="6148"/>
      <c r="W61" s="6148"/>
      <c r="X61" s="6148"/>
      <c r="Y61" s="6148"/>
      <c r="Z61" s="6148"/>
      <c r="AA61" s="6148"/>
      <c r="AB61" s="6148"/>
      <c r="AC61" s="6148"/>
      <c r="AD61" s="6148"/>
      <c r="AE61" s="6148"/>
      <c r="AF61" s="6148"/>
      <c r="AG61" s="6148"/>
      <c r="AH61" s="6148"/>
      <c r="AI61" s="6148"/>
      <c r="AJ61" s="6148"/>
      <c r="AK61" s="6148"/>
      <c r="AL61" s="6148"/>
      <c r="AM61" s="6148"/>
      <c r="AN61" s="6148"/>
      <c r="AO61" s="6148"/>
      <c r="AP61" s="6148"/>
      <c r="AQ61" s="6148"/>
      <c r="AR61" s="6148"/>
      <c r="AS61" s="6148"/>
      <c r="AT61" s="6148"/>
      <c r="AU61" s="6148"/>
      <c r="AV61" s="6148"/>
      <c r="AW61" s="6148"/>
      <c r="AX61" s="6148"/>
      <c r="AY61" s="6148"/>
      <c r="AZ61" s="6148"/>
      <c r="BA61" s="6148"/>
      <c r="BB61" s="6148"/>
      <c r="BC61" s="6148"/>
      <c r="BD61" s="2730">
        <v>1</v>
      </c>
    </row>
    <row r="62" spans="2:56" ht="21" customHeight="1">
      <c r="B62" s="7843"/>
      <c r="C62" s="6176"/>
      <c r="D62" s="7824"/>
      <c r="E62" s="7824"/>
      <c r="F62" s="7824"/>
      <c r="G62" s="7824"/>
      <c r="H62" s="7825"/>
      <c r="I62" s="6148"/>
      <c r="J62" s="2836" t="s">
        <v>15340</v>
      </c>
      <c r="K62" s="6197"/>
      <c r="L62" s="6197"/>
      <c r="M62" s="6197"/>
      <c r="N62" s="6197"/>
      <c r="O62" s="6197"/>
      <c r="P62" s="6198"/>
      <c r="Q62" s="6148"/>
      <c r="R62" s="6148"/>
      <c r="S62" s="6148"/>
      <c r="T62" s="6148"/>
      <c r="U62" s="6148"/>
      <c r="V62" s="6148"/>
      <c r="W62" s="6148"/>
      <c r="X62" s="6148"/>
      <c r="Y62" s="6148"/>
      <c r="Z62" s="6148"/>
      <c r="AA62" s="6148"/>
      <c r="AB62" s="6148"/>
      <c r="AC62" s="6148"/>
      <c r="AD62" s="6148"/>
      <c r="AE62" s="6148"/>
      <c r="AF62" s="6148"/>
      <c r="AG62" s="6148"/>
      <c r="AH62" s="6148"/>
      <c r="AI62" s="6148"/>
      <c r="AJ62" s="6148"/>
      <c r="AK62" s="6148"/>
      <c r="AL62" s="6148"/>
      <c r="AM62" s="6148"/>
      <c r="AN62" s="6148"/>
      <c r="AO62" s="6148"/>
      <c r="AP62" s="6148"/>
      <c r="AQ62" s="6148"/>
      <c r="AR62" s="6148"/>
      <c r="AS62" s="6148"/>
      <c r="AT62" s="6148"/>
      <c r="AU62" s="6148"/>
      <c r="AV62" s="6148"/>
      <c r="AW62" s="6148"/>
      <c r="AX62" s="6148"/>
      <c r="AY62" s="6148"/>
      <c r="AZ62" s="6148"/>
      <c r="BA62" s="6148"/>
      <c r="BB62" s="6148"/>
      <c r="BC62" s="6148"/>
      <c r="BD62" s="2730">
        <v>1</v>
      </c>
    </row>
    <row r="63" spans="2:56" ht="21" customHeight="1">
      <c r="B63" s="7843"/>
      <c r="C63" s="6176"/>
      <c r="D63" s="6195"/>
      <c r="E63" s="6195"/>
      <c r="F63" s="6195"/>
      <c r="G63" s="6195"/>
      <c r="H63" s="6196"/>
      <c r="I63" s="6148"/>
      <c r="J63" s="6199">
        <v>14</v>
      </c>
      <c r="K63" s="6200">
        <v>14</v>
      </c>
      <c r="L63" s="6200">
        <v>14</v>
      </c>
      <c r="M63" s="6200">
        <v>14</v>
      </c>
      <c r="N63" s="6200">
        <v>14</v>
      </c>
      <c r="O63" s="6200">
        <v>14</v>
      </c>
      <c r="P63" s="6201">
        <v>14</v>
      </c>
      <c r="Q63" s="6202" t="s">
        <v>15341</v>
      </c>
      <c r="R63" s="6148"/>
      <c r="S63" s="6148"/>
      <c r="T63" s="6148"/>
      <c r="U63" s="6148"/>
      <c r="V63" s="6148"/>
      <c r="W63" s="6148"/>
      <c r="X63" s="6148"/>
      <c r="Y63" s="6148"/>
      <c r="Z63" s="6148"/>
      <c r="AA63" s="6148"/>
      <c r="AB63" s="6148"/>
      <c r="AC63" s="6148"/>
      <c r="AD63" s="6148"/>
      <c r="AE63" s="6148"/>
      <c r="AF63" s="6148"/>
      <c r="AG63" s="6148"/>
      <c r="AH63" s="6148"/>
      <c r="AI63" s="6148"/>
      <c r="AJ63" s="6148"/>
      <c r="AK63" s="6148"/>
      <c r="AL63" s="6148"/>
      <c r="AM63" s="6148"/>
      <c r="AN63" s="6148"/>
      <c r="AO63" s="6148"/>
      <c r="AP63" s="6148"/>
      <c r="AQ63" s="6148"/>
      <c r="AR63" s="6148"/>
      <c r="AS63" s="6148"/>
      <c r="AT63" s="6148"/>
      <c r="AU63" s="6148"/>
      <c r="AV63" s="6148"/>
      <c r="AW63" s="6148"/>
      <c r="AX63" s="6148"/>
      <c r="AY63" s="6148"/>
      <c r="AZ63" s="6148"/>
      <c r="BA63" s="6148"/>
      <c r="BB63" s="6148"/>
      <c r="BC63" s="6148"/>
      <c r="BD63" s="2730">
        <v>1</v>
      </c>
    </row>
    <row r="64" spans="2:56" ht="21" customHeight="1" thickBot="1">
      <c r="B64" s="7843"/>
      <c r="C64" s="6203"/>
      <c r="D64" s="6204" t="s">
        <v>15342</v>
      </c>
      <c r="E64" s="6195" t="str">
        <f>C38</f>
        <v>C38</v>
      </c>
      <c r="F64" s="6205" t="s">
        <v>15343</v>
      </c>
      <c r="G64" s="6195"/>
      <c r="H64" s="6196"/>
      <c r="I64" s="6148"/>
      <c r="J64" s="6206">
        <f t="shared" ref="J64:O64" ca="1" si="6">CELL("largeur",J64)</f>
        <v>18</v>
      </c>
      <c r="K64" s="6207">
        <f t="shared" ca="1" si="6"/>
        <v>16</v>
      </c>
      <c r="L64" s="6207">
        <f t="shared" ca="1" si="6"/>
        <v>16</v>
      </c>
      <c r="M64" s="6207">
        <f t="shared" ca="1" si="6"/>
        <v>18</v>
      </c>
      <c r="N64" s="6207">
        <f t="shared" ca="1" si="6"/>
        <v>16</v>
      </c>
      <c r="O64" s="6207">
        <f t="shared" ca="1" si="6"/>
        <v>16</v>
      </c>
      <c r="P64" s="6208">
        <f ca="1">CELL("largeur",P64)</f>
        <v>16</v>
      </c>
      <c r="Q64" s="6202" t="s">
        <v>15344</v>
      </c>
      <c r="R64" s="6148"/>
      <c r="S64" s="6148"/>
      <c r="T64" s="6148"/>
      <c r="U64" s="6148"/>
      <c r="V64" s="6148"/>
      <c r="W64" s="6148"/>
      <c r="X64" s="6148"/>
      <c r="Y64" s="6148"/>
      <c r="Z64" s="6148"/>
      <c r="AA64" s="6148"/>
      <c r="AB64" s="6148"/>
      <c r="AC64" s="6148"/>
      <c r="AD64" s="6148"/>
      <c r="AE64" s="6148"/>
      <c r="AF64" s="6148"/>
      <c r="AG64" s="6148"/>
      <c r="AH64" s="6148"/>
      <c r="AI64" s="6148"/>
      <c r="AJ64" s="6148"/>
      <c r="AK64" s="6148"/>
      <c r="AL64" s="6148"/>
      <c r="AM64" s="6148"/>
      <c r="AN64" s="6148"/>
      <c r="AO64" s="6148"/>
      <c r="AP64" s="6148"/>
      <c r="AQ64" s="6148"/>
      <c r="AR64" s="6148"/>
      <c r="AS64" s="6148"/>
      <c r="AT64" s="6148"/>
      <c r="AU64" s="6148"/>
      <c r="AV64" s="6148"/>
      <c r="AW64" s="6148"/>
      <c r="AX64" s="6148"/>
      <c r="AY64" s="6148"/>
      <c r="AZ64" s="6148"/>
      <c r="BA64" s="6148"/>
      <c r="BB64" s="6148"/>
      <c r="BC64" s="6148"/>
      <c r="BD64" s="2730">
        <v>1</v>
      </c>
    </row>
    <row r="65" spans="2:56" ht="21" customHeight="1">
      <c r="B65" s="7843"/>
      <c r="C65" s="7826" t="s">
        <v>15345</v>
      </c>
      <c r="D65" s="7826"/>
      <c r="E65" s="7826"/>
      <c r="F65" s="7826"/>
      <c r="G65" s="7826"/>
      <c r="H65" s="7827"/>
      <c r="I65" s="6148"/>
      <c r="K65" s="6148"/>
      <c r="L65" s="6148"/>
      <c r="M65" s="6148"/>
      <c r="N65" s="6148"/>
      <c r="O65" s="6148"/>
      <c r="P65" s="6148"/>
      <c r="Q65" s="6148"/>
      <c r="R65" s="6148"/>
      <c r="S65" s="6148"/>
      <c r="T65" s="6148"/>
      <c r="U65" s="6148"/>
      <c r="V65" s="6148"/>
      <c r="W65" s="6148"/>
      <c r="X65" s="6148"/>
      <c r="Y65" s="6148"/>
      <c r="Z65" s="6148"/>
      <c r="AA65" s="6148"/>
      <c r="AB65" s="6148"/>
      <c r="AC65" s="6148"/>
      <c r="AD65" s="6148"/>
      <c r="AE65" s="6148"/>
      <c r="AF65" s="6148"/>
      <c r="AG65" s="6148"/>
      <c r="AH65" s="6148"/>
      <c r="AI65" s="6148"/>
      <c r="AJ65" s="6148"/>
      <c r="AK65" s="6148"/>
      <c r="AL65" s="6148"/>
      <c r="AM65" s="6148"/>
      <c r="AN65" s="6148"/>
      <c r="AO65" s="6148"/>
      <c r="AP65" s="6148"/>
      <c r="AQ65" s="6148"/>
      <c r="AR65" s="6148"/>
      <c r="AS65" s="6148"/>
      <c r="AT65" s="6148"/>
      <c r="AU65" s="6148"/>
      <c r="AV65" s="6148"/>
      <c r="AW65" s="6148"/>
      <c r="AX65" s="6148"/>
      <c r="AY65" s="6148"/>
      <c r="AZ65" s="6148"/>
      <c r="BA65" s="6148"/>
      <c r="BB65" s="6148"/>
      <c r="BC65" s="6148"/>
      <c r="BD65" s="2730">
        <v>1</v>
      </c>
    </row>
    <row r="66" spans="2:56" ht="21" customHeight="1">
      <c r="B66" s="7843"/>
      <c r="C66" s="7826"/>
      <c r="D66" s="7826"/>
      <c r="E66" s="7826"/>
      <c r="F66" s="7826"/>
      <c r="G66" s="7826"/>
      <c r="H66" s="7827"/>
      <c r="I66" s="6148"/>
      <c r="J66" s="6209" t="s">
        <v>15346</v>
      </c>
      <c r="K66" s="6148"/>
      <c r="L66" s="6148"/>
      <c r="M66" s="6148"/>
      <c r="N66" s="6148"/>
      <c r="O66" s="6148"/>
      <c r="P66" s="6148"/>
      <c r="Q66" s="6148"/>
      <c r="R66" s="6148"/>
      <c r="S66" s="6148"/>
      <c r="T66" s="6148"/>
      <c r="U66" s="6148"/>
      <c r="V66" s="6148"/>
      <c r="W66" s="6148"/>
      <c r="X66" s="6148"/>
      <c r="Y66" s="6148"/>
      <c r="Z66" s="6148"/>
      <c r="AA66" s="6148"/>
      <c r="AB66" s="6148"/>
      <c r="AC66" s="6148"/>
      <c r="AD66" s="6148"/>
      <c r="AE66" s="6148"/>
      <c r="AF66" s="6148"/>
      <c r="AG66" s="6148"/>
      <c r="AH66" s="6148"/>
      <c r="AI66" s="6148"/>
      <c r="AJ66" s="6148"/>
      <c r="AK66" s="6148"/>
      <c r="AL66" s="6148"/>
      <c r="AM66" s="6148"/>
      <c r="AN66" s="6148"/>
      <c r="AO66" s="6148"/>
      <c r="AP66" s="6148"/>
      <c r="AQ66" s="6148"/>
      <c r="AR66" s="6148"/>
      <c r="AS66" s="6148"/>
      <c r="AT66" s="6148"/>
      <c r="AU66" s="6148"/>
      <c r="AV66" s="6148"/>
      <c r="AW66" s="6148"/>
      <c r="AX66" s="6148"/>
      <c r="AY66" s="6148"/>
      <c r="AZ66" s="6148"/>
      <c r="BA66" s="6148"/>
      <c r="BB66" s="6148"/>
      <c r="BC66" s="6148"/>
      <c r="BD66" s="2730">
        <v>1</v>
      </c>
    </row>
    <row r="67" spans="2:56" ht="21" customHeight="1">
      <c r="B67" s="7843"/>
      <c r="C67" s="6176"/>
      <c r="D67" s="6210"/>
      <c r="E67" s="6210"/>
      <c r="F67" s="6210"/>
      <c r="G67" s="6210"/>
      <c r="H67" s="6211"/>
      <c r="I67" s="6148"/>
      <c r="J67" s="6212" t="s">
        <v>15347</v>
      </c>
      <c r="K67" s="6148"/>
      <c r="L67" s="6148"/>
      <c r="M67" s="6148"/>
      <c r="O67" s="6213"/>
      <c r="P67" s="6214" t="s">
        <v>15348</v>
      </c>
      <c r="Q67" s="6188" t="s">
        <v>15349</v>
      </c>
      <c r="R67" s="6213"/>
      <c r="S67" s="6213"/>
      <c r="T67" s="6213"/>
      <c r="U67" s="6148"/>
      <c r="V67" s="6148"/>
      <c r="W67" s="6148"/>
      <c r="X67" s="6148"/>
      <c r="Y67" s="6148"/>
      <c r="Z67" s="6148"/>
      <c r="AA67" s="6148"/>
      <c r="AB67" s="6148"/>
      <c r="AC67" s="6148"/>
      <c r="AD67" s="6148"/>
      <c r="AE67" s="6148"/>
      <c r="AF67" s="6148"/>
      <c r="AG67" s="6148"/>
      <c r="AH67" s="6148"/>
      <c r="AI67" s="6148"/>
      <c r="AJ67" s="6148"/>
      <c r="AK67" s="6148"/>
      <c r="AL67" s="6148"/>
      <c r="AM67" s="6148"/>
      <c r="AN67" s="6148"/>
      <c r="AO67" s="6148"/>
      <c r="AP67" s="6148"/>
      <c r="AQ67" s="6148"/>
      <c r="AR67" s="6148"/>
      <c r="AS67" s="6148"/>
      <c r="AT67" s="6148"/>
      <c r="AU67" s="6148"/>
      <c r="AV67" s="6148"/>
      <c r="AW67" s="6148"/>
      <c r="AX67" s="6148"/>
      <c r="AY67" s="6148"/>
      <c r="AZ67" s="6148"/>
      <c r="BA67" s="6148"/>
      <c r="BB67" s="6148"/>
      <c r="BC67" s="6148"/>
      <c r="BD67" s="2730">
        <v>1</v>
      </c>
    </row>
    <row r="68" spans="2:56" ht="21" customHeight="1" thickBot="1">
      <c r="B68" s="7843"/>
      <c r="C68" s="6215" t="s">
        <v>15350</v>
      </c>
      <c r="D68" s="6210"/>
      <c r="E68" s="6210"/>
      <c r="F68" s="6210"/>
      <c r="G68" s="6210"/>
      <c r="H68" s="6211"/>
      <c r="I68" s="6148"/>
      <c r="J68" s="6216" t="s">
        <v>15351</v>
      </c>
      <c r="K68" s="6148"/>
      <c r="L68" s="6148"/>
      <c r="M68" s="6148"/>
      <c r="N68" s="6148"/>
      <c r="O68" s="6148"/>
      <c r="P68" s="6148"/>
      <c r="Q68" s="6148"/>
      <c r="R68" s="6148"/>
      <c r="S68" s="6148"/>
      <c r="T68" s="6148"/>
      <c r="U68" s="6148"/>
      <c r="V68" s="6148"/>
      <c r="W68" s="6148"/>
      <c r="X68" s="6148"/>
      <c r="Y68" s="6148"/>
      <c r="Z68" s="6148"/>
      <c r="AA68" s="6148"/>
      <c r="AB68" s="6148"/>
      <c r="AC68" s="6148"/>
      <c r="AD68" s="6148"/>
      <c r="AE68" s="6148"/>
      <c r="AF68" s="6148"/>
      <c r="AG68" s="6148"/>
      <c r="AH68" s="6148"/>
      <c r="AI68" s="6148"/>
      <c r="AJ68" s="6148"/>
      <c r="AK68" s="6148"/>
      <c r="AL68" s="6148"/>
      <c r="AM68" s="6148"/>
      <c r="AN68" s="6148"/>
      <c r="AO68" s="6148"/>
      <c r="AP68" s="6148"/>
      <c r="AQ68" s="6148"/>
      <c r="AR68" s="6148"/>
      <c r="AS68" s="6148"/>
      <c r="AT68" s="6148"/>
      <c r="AU68" s="6148"/>
      <c r="AV68" s="6148"/>
      <c r="AW68" s="6148"/>
      <c r="AX68" s="6148"/>
      <c r="AY68" s="6148"/>
      <c r="AZ68" s="6148"/>
      <c r="BA68" s="6148"/>
      <c r="BB68" s="6148"/>
      <c r="BC68" s="6148"/>
      <c r="BD68" s="2730">
        <v>1</v>
      </c>
    </row>
    <row r="69" spans="2:56" ht="21" customHeight="1">
      <c r="B69" s="7843"/>
      <c r="C69" s="6217" t="s">
        <v>15352</v>
      </c>
      <c r="D69" s="6210"/>
      <c r="E69" s="6210"/>
      <c r="F69" s="6210"/>
      <c r="G69" s="6210"/>
      <c r="H69" s="6211"/>
      <c r="I69" s="6148"/>
      <c r="J69" s="6218" t="s">
        <v>15353</v>
      </c>
      <c r="K69" s="6148"/>
      <c r="L69" s="6148"/>
      <c r="M69" s="6148"/>
      <c r="N69" s="6219" t="s">
        <v>67</v>
      </c>
      <c r="O69" s="7828" t="s">
        <v>15354</v>
      </c>
      <c r="P69" s="7828"/>
      <c r="Q69" s="7828"/>
      <c r="R69" s="7828"/>
      <c r="S69" s="7829"/>
      <c r="T69" s="6148"/>
      <c r="U69" s="6148"/>
      <c r="V69" s="6148"/>
      <c r="W69" s="6148"/>
      <c r="X69" s="6148"/>
      <c r="Y69" s="6148"/>
      <c r="Z69" s="6148"/>
      <c r="AA69" s="6148"/>
      <c r="AB69" s="6148"/>
      <c r="AC69" s="6148"/>
      <c r="AD69" s="6148"/>
      <c r="AE69" s="6148"/>
      <c r="AF69" s="6148"/>
      <c r="AG69" s="6148"/>
      <c r="AH69" s="6148"/>
      <c r="AI69" s="6148"/>
      <c r="AJ69" s="6148"/>
      <c r="AK69" s="6148"/>
      <c r="AL69" s="6148"/>
      <c r="AM69" s="6148"/>
      <c r="AN69" s="6148"/>
      <c r="AO69" s="6148"/>
      <c r="AP69" s="6148"/>
      <c r="AQ69" s="6148"/>
      <c r="AR69" s="6148"/>
      <c r="AS69" s="6148"/>
      <c r="AT69" s="6148"/>
      <c r="AU69" s="6148"/>
      <c r="AV69" s="6148"/>
      <c r="AW69" s="6148"/>
      <c r="AX69" s="6148"/>
      <c r="AY69" s="6148"/>
      <c r="AZ69" s="6148"/>
      <c r="BA69" s="6148"/>
      <c r="BB69" s="6148"/>
      <c r="BC69" s="6148"/>
      <c r="BD69" s="2730">
        <v>1</v>
      </c>
    </row>
    <row r="70" spans="2:56" ht="21" customHeight="1">
      <c r="B70" s="7843"/>
      <c r="C70" s="7830" t="s">
        <v>15355</v>
      </c>
      <c r="D70" s="7830"/>
      <c r="E70" s="7830"/>
      <c r="F70" s="7830"/>
      <c r="G70" s="7830"/>
      <c r="H70" s="7831"/>
      <c r="I70" s="6148"/>
      <c r="J70" s="6220" t="s">
        <v>15356</v>
      </c>
      <c r="K70" s="6148"/>
      <c r="L70" s="6148"/>
      <c r="M70" s="6148"/>
      <c r="N70" s="7832">
        <v>3</v>
      </c>
      <c r="O70"/>
      <c r="P70" s="710" t="s">
        <v>15357</v>
      </c>
      <c r="Q70" s="6221" t="s">
        <v>15358</v>
      </c>
      <c r="R70" s="6222"/>
      <c r="S70" s="6223"/>
      <c r="T70" s="6148"/>
      <c r="U70" s="6148"/>
      <c r="V70" s="6148"/>
      <c r="W70" s="6148"/>
      <c r="X70" s="6148"/>
      <c r="Y70" s="6148"/>
      <c r="Z70" s="6148"/>
      <c r="AA70" s="6148"/>
      <c r="AB70" s="6148"/>
      <c r="AC70" s="6148"/>
      <c r="AD70" s="6148"/>
      <c r="AE70" s="6148"/>
      <c r="AF70" s="6148"/>
      <c r="AG70" s="6148"/>
      <c r="AH70" s="6148"/>
      <c r="AI70" s="6148"/>
      <c r="AJ70" s="6148"/>
      <c r="AK70" s="6148"/>
      <c r="AL70" s="6148"/>
      <c r="AM70" s="6148"/>
      <c r="AN70" s="6148"/>
      <c r="AO70" s="6148"/>
      <c r="AP70" s="6148"/>
      <c r="AQ70" s="6148"/>
      <c r="AR70" s="6148"/>
      <c r="AS70" s="6148"/>
      <c r="AT70" s="6148"/>
      <c r="AU70" s="6148"/>
      <c r="AV70" s="6148"/>
      <c r="AW70" s="6148"/>
      <c r="AX70" s="6148"/>
      <c r="AY70" s="6148"/>
      <c r="AZ70" s="6148"/>
      <c r="BA70" s="6148"/>
      <c r="BB70" s="6148"/>
      <c r="BC70" s="6148"/>
      <c r="BD70" s="2730">
        <v>1</v>
      </c>
    </row>
    <row r="71" spans="2:56" ht="21" customHeight="1">
      <c r="B71" s="7843"/>
      <c r="C71" s="7830"/>
      <c r="D71" s="7830"/>
      <c r="E71" s="7830"/>
      <c r="F71" s="7830"/>
      <c r="G71" s="7830"/>
      <c r="H71" s="7831"/>
      <c r="I71" s="6148"/>
      <c r="J71" s="6224" t="s">
        <v>15359</v>
      </c>
      <c r="K71" s="6148"/>
      <c r="L71" s="6148"/>
      <c r="M71" s="6148"/>
      <c r="N71" s="7832"/>
      <c r="O71" s="12"/>
      <c r="P71" s="12"/>
      <c r="Q71" s="12"/>
      <c r="R71" s="12"/>
      <c r="S71" s="6225"/>
      <c r="T71" s="6148"/>
      <c r="U71" s="6148"/>
      <c r="V71" s="6148"/>
      <c r="W71" s="6148"/>
      <c r="X71" s="6148"/>
      <c r="Y71" s="6148"/>
      <c r="Z71" s="6148"/>
      <c r="AA71" s="6148"/>
      <c r="AB71" s="6148"/>
      <c r="AC71" s="6148"/>
      <c r="AD71" s="6148"/>
      <c r="AE71" s="6148"/>
      <c r="AF71" s="6148"/>
      <c r="AG71" s="6148"/>
      <c r="AH71" s="6148"/>
      <c r="AI71" s="6148"/>
      <c r="AJ71" s="6148"/>
      <c r="AK71" s="6148"/>
      <c r="AL71" s="6148"/>
      <c r="AM71" s="6148"/>
      <c r="AN71" s="6148"/>
      <c r="AO71" s="6148"/>
      <c r="AP71" s="6148"/>
      <c r="AQ71" s="6148"/>
      <c r="AR71" s="6148"/>
      <c r="AS71" s="6148"/>
      <c r="AT71" s="6148"/>
      <c r="AU71" s="6148"/>
      <c r="AV71" s="6148"/>
      <c r="AW71" s="6148"/>
      <c r="AX71" s="6148"/>
      <c r="AY71" s="6148"/>
      <c r="AZ71" s="6148"/>
      <c r="BA71" s="6148"/>
      <c r="BB71" s="6148"/>
      <c r="BC71" s="6148"/>
      <c r="BD71" s="2730">
        <v>1</v>
      </c>
    </row>
    <row r="72" spans="2:56" ht="21" customHeight="1">
      <c r="B72" s="7843"/>
      <c r="C72" s="6217"/>
      <c r="D72" s="6210"/>
      <c r="E72" s="6210"/>
      <c r="F72" s="6210"/>
      <c r="G72" s="6210"/>
      <c r="H72" s="6211"/>
      <c r="I72" s="6148"/>
      <c r="J72" s="6226" t="s">
        <v>2327</v>
      </c>
      <c r="K72" s="6148"/>
      <c r="L72" s="6148"/>
      <c r="M72" s="6148"/>
      <c r="N72" s="7832"/>
      <c r="O72" s="1"/>
      <c r="P72" s="1"/>
      <c r="Q72" s="6227" t="s">
        <v>15360</v>
      </c>
      <c r="R72" s="6228">
        <v>6</v>
      </c>
      <c r="S72" s="2"/>
      <c r="T72" s="6148"/>
      <c r="U72" s="6148"/>
      <c r="V72" s="6148"/>
      <c r="W72" s="6148"/>
      <c r="X72" s="6148"/>
      <c r="Y72" s="6148"/>
      <c r="Z72" s="6148"/>
      <c r="AA72" s="6148"/>
      <c r="AB72" s="6148"/>
      <c r="AC72" s="6148"/>
      <c r="AD72" s="6148"/>
      <c r="AE72" s="6148"/>
      <c r="AF72" s="6148"/>
      <c r="AG72" s="6148"/>
      <c r="AH72" s="6148"/>
      <c r="AI72" s="6148"/>
      <c r="AJ72" s="6148"/>
      <c r="AK72" s="6148"/>
      <c r="AL72" s="6148"/>
      <c r="AM72" s="6148"/>
      <c r="AN72" s="6148"/>
      <c r="AO72" s="6148"/>
      <c r="AP72" s="6148"/>
      <c r="AQ72" s="6148"/>
      <c r="AR72" s="6148"/>
      <c r="AS72" s="6148"/>
      <c r="AT72" s="6148"/>
      <c r="AU72" s="6148"/>
      <c r="AV72" s="6148"/>
      <c r="AW72" s="6148"/>
      <c r="AX72" s="6148"/>
      <c r="AY72" s="6148"/>
      <c r="AZ72" s="6148"/>
      <c r="BA72" s="6148"/>
      <c r="BB72" s="6148"/>
      <c r="BC72" s="6148"/>
      <c r="BD72" s="2730">
        <v>1</v>
      </c>
    </row>
    <row r="73" spans="2:56" ht="21" customHeight="1">
      <c r="B73" s="7843"/>
      <c r="C73" s="6229" t="str">
        <f>HYPERLINK("# c131",_xlfn.UNICHAR(128269)&amp;" 🔗 Lien")</f>
        <v>🔍 🔗 Lien</v>
      </c>
      <c r="D73" s="6230" t="str">
        <f ca="1">_xlfn.FORMULATEXT(C73)</f>
        <v>=LIEN_HYPERTEXTE("# c131";UNICAR(128269)&amp;" 🔗 Lien")</v>
      </c>
      <c r="E73" s="5562"/>
      <c r="F73" s="5562"/>
      <c r="G73" s="5562"/>
      <c r="H73" s="5723"/>
      <c r="I73" s="6148"/>
      <c r="J73" s="6231" t="s">
        <v>15361</v>
      </c>
      <c r="K73" s="6148"/>
      <c r="L73" s="6148"/>
      <c r="M73" s="6148"/>
      <c r="N73" s="7832"/>
      <c r="O73" s="1"/>
      <c r="P73" s="1"/>
      <c r="Q73" s="6227" t="s">
        <v>15362</v>
      </c>
      <c r="R73" s="6228">
        <v>4</v>
      </c>
      <c r="S73" s="2"/>
      <c r="T73" s="6148"/>
      <c r="U73" s="6148"/>
      <c r="V73" s="6148"/>
      <c r="W73" s="6148"/>
      <c r="X73" s="6148"/>
      <c r="Y73" s="6148"/>
      <c r="Z73" s="6148"/>
      <c r="AA73" s="6148"/>
      <c r="AB73" s="6148"/>
      <c r="AC73" s="6148"/>
      <c r="AD73" s="6148"/>
      <c r="AE73" s="6148"/>
      <c r="AF73" s="6148"/>
      <c r="AG73" s="6148"/>
      <c r="AH73" s="6148"/>
      <c r="AI73" s="6148"/>
      <c r="AJ73" s="6148"/>
      <c r="AK73" s="6148"/>
      <c r="AL73" s="6148"/>
      <c r="AM73" s="6148"/>
      <c r="AN73" s="6148"/>
      <c r="AO73" s="6148"/>
      <c r="AP73" s="6148"/>
      <c r="AQ73" s="6148"/>
      <c r="AR73" s="6148"/>
      <c r="AS73" s="6148"/>
      <c r="AT73" s="6148"/>
      <c r="AU73" s="6148"/>
      <c r="AV73" s="6148"/>
      <c r="AW73" s="6148"/>
      <c r="AX73" s="6148"/>
      <c r="AY73" s="6148"/>
      <c r="AZ73" s="6148"/>
      <c r="BA73" s="6148"/>
      <c r="BB73" s="6148"/>
      <c r="BC73" s="6148"/>
      <c r="BD73" s="2730">
        <v>1</v>
      </c>
    </row>
    <row r="74" spans="2:56" ht="21" customHeight="1">
      <c r="B74" s="7843"/>
      <c r="C74" s="6232"/>
      <c r="D74" s="6230"/>
      <c r="E74" s="5562"/>
      <c r="F74" s="5562"/>
      <c r="G74" s="5562"/>
      <c r="H74" s="5723"/>
      <c r="I74" s="6148"/>
      <c r="J74" s="6233" t="s">
        <v>15363</v>
      </c>
      <c r="K74" s="6148"/>
      <c r="L74" s="6148"/>
      <c r="M74" s="6148"/>
      <c r="N74" s="7832"/>
      <c r="O74" s="1"/>
      <c r="P74" s="1"/>
      <c r="Q74" s="1" t="s">
        <v>11530</v>
      </c>
      <c r="R74" s="674" t="str">
        <f>MID(Q70,R72,R73)</f>
        <v>4522</v>
      </c>
      <c r="S74" s="2"/>
      <c r="T74" s="6148"/>
      <c r="U74" s="6148"/>
      <c r="V74" s="6148"/>
      <c r="W74" s="6148"/>
      <c r="X74" s="6148"/>
      <c r="Y74" s="6148"/>
      <c r="Z74" s="6148"/>
      <c r="AA74" s="6148"/>
      <c r="AB74" s="6148"/>
      <c r="AC74" s="6148"/>
      <c r="AD74" s="6148"/>
      <c r="AE74" s="6148"/>
      <c r="AF74" s="6148"/>
      <c r="AG74" s="6148"/>
      <c r="AH74" s="6148"/>
      <c r="AI74" s="6148"/>
      <c r="AJ74" s="6148"/>
      <c r="AK74" s="6148"/>
      <c r="AL74" s="6148"/>
      <c r="AM74" s="6148"/>
      <c r="AN74" s="6148"/>
      <c r="AO74" s="6148"/>
      <c r="AP74" s="6148"/>
      <c r="AQ74" s="6148"/>
      <c r="AR74" s="6148"/>
      <c r="AS74" s="6148"/>
      <c r="AT74" s="6148"/>
      <c r="AU74" s="6148"/>
      <c r="AV74" s="6148"/>
      <c r="AW74" s="6148"/>
      <c r="AX74" s="6148"/>
      <c r="AY74" s="6148"/>
      <c r="AZ74" s="6148"/>
      <c r="BA74" s="6148"/>
      <c r="BB74" s="6148"/>
      <c r="BC74" s="6148"/>
      <c r="BD74" s="2730">
        <v>1</v>
      </c>
    </row>
    <row r="75" spans="2:56" ht="21" customHeight="1">
      <c r="B75" s="7843"/>
      <c r="C75" s="6229" t="str">
        <f>HYPERLINK("#c131",_xlfn.UNICHAR(128269)&amp;"La bas")</f>
        <v>🔍La bas</v>
      </c>
      <c r="D75" s="6230" t="str">
        <f ca="1">_xlfn.FORMULATEXT(C75)</f>
        <v>=LIEN_HYPERTEXTE("#c131";UNICAR(128269)&amp;"La bas")</v>
      </c>
      <c r="E75" s="5562"/>
      <c r="F75" s="5562"/>
      <c r="G75" s="5562"/>
      <c r="H75" s="5723"/>
      <c r="I75" s="6148"/>
      <c r="J75" s="6234" t="s">
        <v>15364</v>
      </c>
      <c r="K75" s="6148"/>
      <c r="L75" s="6148"/>
      <c r="M75" s="6148"/>
      <c r="N75" s="7832"/>
      <c r="O75" s="1"/>
      <c r="P75" s="1"/>
      <c r="Q75" s="1"/>
      <c r="R75" s="1"/>
      <c r="S75" s="2"/>
      <c r="T75" s="6148"/>
      <c r="U75" s="6148"/>
      <c r="V75" s="6148"/>
      <c r="W75" s="6148"/>
      <c r="X75" s="6148"/>
      <c r="Y75" s="6148"/>
      <c r="Z75" s="6148"/>
      <c r="AA75" s="6148"/>
      <c r="AB75" s="6148"/>
      <c r="AC75" s="6148"/>
      <c r="AD75" s="6148"/>
      <c r="AE75" s="6148"/>
      <c r="AF75" s="6148"/>
      <c r="AG75" s="6148"/>
      <c r="AH75" s="6148"/>
      <c r="AI75" s="6148"/>
      <c r="AJ75" s="6148"/>
      <c r="AK75" s="6148"/>
      <c r="AL75" s="6148"/>
      <c r="AM75" s="6148"/>
      <c r="AN75" s="6148"/>
      <c r="AO75" s="6148"/>
      <c r="AP75" s="6148"/>
      <c r="AQ75" s="6148"/>
      <c r="AR75" s="6148"/>
      <c r="AS75" s="6148"/>
      <c r="AT75" s="6148"/>
      <c r="AU75" s="6148"/>
      <c r="AV75" s="6148"/>
      <c r="AW75" s="6148"/>
      <c r="AX75" s="6148"/>
      <c r="AY75" s="6148"/>
      <c r="AZ75" s="6148"/>
      <c r="BA75" s="6148"/>
      <c r="BB75" s="6148"/>
      <c r="BC75" s="6148"/>
      <c r="BD75" s="2730">
        <v>1</v>
      </c>
    </row>
    <row r="76" spans="2:56" ht="21" customHeight="1">
      <c r="B76" s="7843"/>
      <c r="C76" s="6232"/>
      <c r="D76" s="6230"/>
      <c r="E76" s="5562"/>
      <c r="F76" s="5562"/>
      <c r="G76" s="5562"/>
      <c r="H76" s="5723"/>
      <c r="I76" s="6148"/>
      <c r="J76" s="6235" t="s">
        <v>15365</v>
      </c>
      <c r="K76" s="6148"/>
      <c r="L76" s="6148"/>
      <c r="M76" s="6148"/>
      <c r="N76" s="7832"/>
      <c r="O76" s="7834" t="s">
        <v>15366</v>
      </c>
      <c r="P76" s="7834"/>
      <c r="Q76" s="7834"/>
      <c r="R76" s="7834"/>
      <c r="S76" s="7835"/>
      <c r="T76" s="6148"/>
      <c r="U76" s="6148"/>
      <c r="V76" s="6148"/>
      <c r="W76" s="6148"/>
      <c r="X76" s="6148"/>
      <c r="Y76" s="6148"/>
      <c r="Z76" s="6148"/>
      <c r="AA76" s="6148"/>
      <c r="AB76" s="6148"/>
      <c r="AC76" s="6148"/>
      <c r="AD76" s="6148"/>
      <c r="AE76" s="6148"/>
      <c r="AF76" s="6148"/>
      <c r="AG76" s="6148"/>
      <c r="AH76" s="6148"/>
      <c r="AI76" s="6148"/>
      <c r="AJ76" s="6148"/>
      <c r="AK76" s="6148"/>
      <c r="AL76" s="6148"/>
      <c r="AM76" s="6148"/>
      <c r="AN76" s="6148"/>
      <c r="AO76" s="6148"/>
      <c r="AP76" s="6148"/>
      <c r="AQ76" s="6148"/>
      <c r="AR76" s="6148"/>
      <c r="AS76" s="6148"/>
      <c r="AT76" s="6148"/>
      <c r="AU76" s="6148"/>
      <c r="AV76" s="6148"/>
      <c r="AW76" s="6148"/>
      <c r="AX76" s="6148"/>
      <c r="AY76" s="6148"/>
      <c r="AZ76" s="6148"/>
      <c r="BA76" s="6148"/>
      <c r="BB76" s="6148"/>
      <c r="BC76" s="6148"/>
      <c r="BD76" s="2730">
        <v>1</v>
      </c>
    </row>
    <row r="77" spans="2:56" ht="21" customHeight="1">
      <c r="B77" s="7843"/>
      <c r="C77" s="6236" t="str">
        <f>HYPERLINK("# c131"," 🔗 Cliquez")</f>
        <v xml:space="preserve"> 🔗 Cliquez</v>
      </c>
      <c r="D77" s="6230" t="str">
        <f ca="1">_xlfn.FORMULATEXT(C77)</f>
        <v>=LIEN_HYPERTEXTE("# c131";" 🔗 Cliquez")</v>
      </c>
      <c r="E77" s="5562"/>
      <c r="F77" s="5562"/>
      <c r="G77" s="5562"/>
      <c r="H77" s="5723"/>
      <c r="I77" s="6148"/>
      <c r="J77" s="6237" t="s">
        <v>15367</v>
      </c>
      <c r="K77" s="6148"/>
      <c r="L77" s="6148"/>
      <c r="M77" s="6148"/>
      <c r="N77" s="7832"/>
      <c r="O77" s="7834"/>
      <c r="P77" s="7834"/>
      <c r="Q77" s="7834"/>
      <c r="R77" s="7834"/>
      <c r="S77" s="7835"/>
      <c r="T77" s="6148"/>
      <c r="U77" s="6148"/>
      <c r="V77" s="6148"/>
      <c r="W77" s="6148"/>
      <c r="X77" s="6148"/>
      <c r="Y77" s="6148"/>
      <c r="Z77" s="6148"/>
      <c r="AA77" s="6148"/>
      <c r="AB77" s="6148"/>
      <c r="AC77" s="6148"/>
      <c r="AD77" s="6148"/>
      <c r="AE77" s="6148"/>
      <c r="AF77" s="6148"/>
      <c r="AG77" s="6148"/>
      <c r="AH77" s="6148"/>
      <c r="AI77" s="6148"/>
      <c r="AJ77" s="6148"/>
      <c r="AK77" s="6148"/>
      <c r="AL77" s="6148"/>
      <c r="AM77" s="6148"/>
      <c r="AN77" s="6148"/>
      <c r="AO77" s="6148"/>
      <c r="AP77" s="6148"/>
      <c r="AQ77" s="6148"/>
      <c r="AR77" s="6148"/>
      <c r="AS77" s="6148"/>
      <c r="AT77" s="6148"/>
      <c r="AU77" s="6148"/>
      <c r="AV77" s="6148"/>
      <c r="AW77" s="6148"/>
      <c r="AX77" s="6148"/>
      <c r="AY77" s="6148"/>
      <c r="AZ77" s="6148"/>
      <c r="BA77" s="6148"/>
      <c r="BB77" s="6148"/>
      <c r="BC77" s="6148"/>
      <c r="BD77" s="2730">
        <v>1</v>
      </c>
    </row>
    <row r="78" spans="2:56" ht="21" customHeight="1">
      <c r="B78" s="7843"/>
      <c r="C78" s="5562"/>
      <c r="D78" s="5562"/>
      <c r="E78" s="5562"/>
      <c r="F78" s="5562"/>
      <c r="G78" s="5562"/>
      <c r="H78" s="5723"/>
      <c r="I78" s="6148"/>
      <c r="J78" s="6238" t="s">
        <v>15368</v>
      </c>
      <c r="K78" s="6148"/>
      <c r="L78" s="6148"/>
      <c r="M78" s="6148"/>
      <c r="N78" s="7832"/>
      <c r="O78" s="6239">
        <v>11</v>
      </c>
      <c r="P78" s="6239">
        <v>11</v>
      </c>
      <c r="Q78" s="6239">
        <v>11</v>
      </c>
      <c r="R78" s="6239">
        <v>11</v>
      </c>
      <c r="S78" s="6240">
        <v>11</v>
      </c>
      <c r="T78" s="6148"/>
      <c r="U78" s="6148"/>
      <c r="V78" s="6148"/>
      <c r="W78" s="6148"/>
      <c r="X78" s="6148"/>
      <c r="Y78" s="6148"/>
      <c r="Z78" s="6148"/>
      <c r="AA78" s="6148"/>
      <c r="AB78" s="6148"/>
      <c r="AC78" s="6148"/>
      <c r="AD78" s="6148"/>
      <c r="AE78" s="6148"/>
      <c r="AF78" s="6148"/>
      <c r="AG78" s="6148"/>
      <c r="AH78" s="6148"/>
      <c r="AI78" s="6148"/>
      <c r="AJ78" s="6148"/>
      <c r="AK78" s="6148"/>
      <c r="AL78" s="6148"/>
      <c r="AM78" s="6148"/>
      <c r="AN78" s="6148"/>
      <c r="AO78" s="6148"/>
      <c r="AP78" s="6148"/>
      <c r="AQ78" s="6148"/>
      <c r="AR78" s="6148"/>
      <c r="AS78" s="6148"/>
      <c r="AT78" s="6148"/>
      <c r="AU78" s="6148"/>
      <c r="AV78" s="6148"/>
      <c r="AW78" s="6148"/>
      <c r="AX78" s="6148"/>
      <c r="AY78" s="6148"/>
      <c r="AZ78" s="6148"/>
      <c r="BA78" s="6148"/>
      <c r="BB78" s="6148"/>
      <c r="BC78" s="6148"/>
      <c r="BD78" s="2730">
        <v>1</v>
      </c>
    </row>
    <row r="79" spans="2:56" ht="21" customHeight="1" thickBot="1">
      <c r="B79" s="7843"/>
      <c r="C79" s="5557" t="s">
        <v>15369</v>
      </c>
      <c r="D79" s="5562"/>
      <c r="E79" s="5562"/>
      <c r="F79" s="5562"/>
      <c r="G79" s="5562"/>
      <c r="H79" s="5723"/>
      <c r="I79" s="6148"/>
      <c r="J79" s="6241" t="s">
        <v>15370</v>
      </c>
      <c r="K79" s="6148"/>
      <c r="L79" s="6148"/>
      <c r="M79" s="6148"/>
      <c r="N79" s="7833"/>
      <c r="O79" s="6207">
        <f t="shared" ref="O79:S79" ca="1" si="7">CELL("largeur",O79)</f>
        <v>16</v>
      </c>
      <c r="P79" s="6207">
        <f t="shared" ca="1" si="7"/>
        <v>16</v>
      </c>
      <c r="Q79" s="6207">
        <f t="shared" ca="1" si="7"/>
        <v>11</v>
      </c>
      <c r="R79" s="6207">
        <f t="shared" ca="1" si="7"/>
        <v>11</v>
      </c>
      <c r="S79" s="6208">
        <f t="shared" ca="1" si="7"/>
        <v>11</v>
      </c>
      <c r="T79" s="6148"/>
      <c r="U79" s="6148"/>
      <c r="V79" s="6148"/>
      <c r="W79" s="6148"/>
      <c r="X79" s="6148"/>
      <c r="Y79" s="6148"/>
      <c r="Z79" s="6148"/>
      <c r="AA79" s="6148"/>
      <c r="AB79" s="6148"/>
      <c r="AC79" s="6148"/>
      <c r="AD79" s="6148"/>
      <c r="AE79" s="6148"/>
      <c r="AF79" s="6148"/>
      <c r="AG79" s="6148"/>
      <c r="AH79" s="6148"/>
      <c r="AI79" s="6148"/>
      <c r="AJ79" s="6148"/>
      <c r="AK79" s="6148"/>
      <c r="AL79" s="6148"/>
      <c r="AM79" s="6148"/>
      <c r="AN79" s="6148"/>
      <c r="AO79" s="6148"/>
      <c r="AP79" s="6148"/>
      <c r="AQ79" s="6148"/>
      <c r="AR79" s="6148"/>
      <c r="AS79" s="6148"/>
      <c r="AT79" s="6148"/>
      <c r="AU79" s="6148"/>
      <c r="AV79" s="6148"/>
      <c r="AW79" s="6148"/>
      <c r="AX79" s="6148"/>
      <c r="AY79" s="6148"/>
      <c r="AZ79" s="6148"/>
      <c r="BA79" s="6148"/>
      <c r="BB79" s="6148"/>
      <c r="BC79" s="6148"/>
      <c r="BD79" s="2730">
        <v>1</v>
      </c>
    </row>
    <row r="80" spans="2:56" ht="21" customHeight="1">
      <c r="B80" s="7843"/>
      <c r="C80" s="6242" t="s">
        <v>15371</v>
      </c>
      <c r="D80" s="5562"/>
      <c r="E80" s="5562"/>
      <c r="F80" s="5562"/>
      <c r="G80" s="5562"/>
      <c r="H80" s="5723"/>
      <c r="I80" s="6148"/>
      <c r="J80" s="6243" t="s">
        <v>15372</v>
      </c>
      <c r="K80" s="6148"/>
      <c r="L80" s="6148"/>
      <c r="M80" s="6148"/>
      <c r="N80" s="6148"/>
      <c r="O80" s="6148"/>
      <c r="P80" s="6148"/>
      <c r="Q80" s="6148"/>
      <c r="R80" s="6148"/>
      <c r="S80" s="6148"/>
      <c r="T80" s="6148"/>
      <c r="U80" s="6148"/>
      <c r="V80" s="6148"/>
      <c r="W80" s="6148"/>
      <c r="X80" s="6148"/>
      <c r="Y80" s="6148"/>
      <c r="Z80" s="6148"/>
      <c r="AA80" s="6148"/>
      <c r="AB80" s="6148"/>
      <c r="AC80" s="6148"/>
      <c r="AD80" s="6148"/>
      <c r="AE80" s="6148"/>
      <c r="AF80" s="6148"/>
      <c r="AG80" s="6148"/>
      <c r="AH80" s="6148"/>
      <c r="AI80" s="6148"/>
      <c r="AJ80" s="6148"/>
      <c r="AK80" s="6148"/>
      <c r="AL80" s="6148"/>
      <c r="AM80" s="6148"/>
      <c r="AN80" s="6148"/>
      <c r="AO80" s="6148"/>
      <c r="AP80" s="6148"/>
      <c r="AQ80" s="6148"/>
      <c r="AR80" s="6148"/>
      <c r="AS80" s="6148"/>
      <c r="AT80" s="6148"/>
      <c r="AU80" s="6148"/>
      <c r="AV80" s="6148"/>
      <c r="AW80" s="6148"/>
      <c r="AX80" s="6148"/>
      <c r="AY80" s="6148"/>
      <c r="AZ80" s="6148"/>
      <c r="BA80" s="6148"/>
      <c r="BB80" s="6148"/>
      <c r="BC80" s="6148"/>
      <c r="BD80" s="2730">
        <v>1</v>
      </c>
    </row>
    <row r="81" spans="1:56" ht="21" customHeight="1">
      <c r="B81" s="7843"/>
      <c r="C81" s="6244"/>
      <c r="D81" s="5562"/>
      <c r="E81" s="5562"/>
      <c r="F81" s="5562"/>
      <c r="G81" s="5562"/>
      <c r="H81" s="5723"/>
      <c r="I81" s="6148"/>
      <c r="J81" s="6245" t="s">
        <v>15373</v>
      </c>
      <c r="K81" s="6148"/>
      <c r="L81" s="6148"/>
      <c r="M81" s="6148"/>
      <c r="N81" s="6148"/>
      <c r="O81" s="6148"/>
      <c r="P81" s="6148"/>
      <c r="Q81" s="6148"/>
      <c r="R81" s="6148"/>
      <c r="S81" s="6148"/>
      <c r="T81" s="6148"/>
      <c r="U81" s="6148"/>
      <c r="V81" s="6148"/>
      <c r="W81" s="6148"/>
      <c r="X81" s="6148"/>
      <c r="Y81" s="6148"/>
      <c r="Z81" s="6148"/>
      <c r="AA81" s="6148"/>
      <c r="AB81" s="6148"/>
      <c r="AC81" s="6148"/>
      <c r="AD81" s="6148"/>
      <c r="AE81" s="6148"/>
      <c r="AF81" s="6148"/>
      <c r="AG81" s="6148"/>
      <c r="AH81" s="6148"/>
      <c r="AI81" s="6148"/>
      <c r="AJ81" s="6148"/>
      <c r="AK81" s="6148"/>
      <c r="AL81" s="6148"/>
      <c r="AM81" s="6148"/>
      <c r="AN81" s="6148"/>
      <c r="AO81" s="6148"/>
      <c r="AP81" s="6148"/>
      <c r="AQ81" s="6148"/>
      <c r="AR81" s="6148"/>
      <c r="AS81" s="6148"/>
      <c r="AT81" s="6148"/>
      <c r="AU81" s="6148"/>
      <c r="AV81" s="6148"/>
      <c r="AW81" s="6148"/>
      <c r="AX81" s="6148"/>
      <c r="AY81" s="6148"/>
      <c r="AZ81" s="6148"/>
      <c r="BA81" s="6148"/>
      <c r="BB81" s="6148"/>
      <c r="BC81" s="6148"/>
      <c r="BD81" s="2730">
        <v>1</v>
      </c>
    </row>
    <row r="82" spans="1:56" ht="21" customHeight="1">
      <c r="B82" s="7843"/>
      <c r="C82" s="6246" t="s">
        <v>15374</v>
      </c>
      <c r="D82" s="5562"/>
      <c r="E82" s="5562"/>
      <c r="F82" s="5562"/>
      <c r="G82" s="5562"/>
      <c r="H82" s="5723"/>
      <c r="I82" s="6148"/>
      <c r="J82" s="6247" t="s">
        <v>15375</v>
      </c>
      <c r="K82" s="6148"/>
      <c r="L82" s="6148"/>
      <c r="M82" s="6148"/>
      <c r="N82" s="6248" t="s">
        <v>2686</v>
      </c>
      <c r="O82" s="7836" t="s">
        <v>15376</v>
      </c>
      <c r="P82" s="7836"/>
      <c r="Q82" s="7836"/>
      <c r="R82" s="7836"/>
      <c r="S82" s="7836"/>
      <c r="T82" s="7836"/>
      <c r="U82" s="7836"/>
      <c r="V82" s="6148"/>
      <c r="W82" s="6148"/>
      <c r="X82" s="6148"/>
      <c r="Y82" s="6148"/>
      <c r="Z82" s="6148"/>
      <c r="AA82" s="6148"/>
      <c r="AB82" s="6148"/>
      <c r="AC82" s="6148"/>
      <c r="AD82" s="6148"/>
      <c r="AE82" s="6148"/>
      <c r="AF82" s="6148"/>
      <c r="AG82" s="6148"/>
      <c r="AH82" s="6148"/>
      <c r="AI82" s="6148"/>
      <c r="AJ82" s="6148"/>
      <c r="AK82" s="6148"/>
      <c r="AL82" s="6148"/>
      <c r="AM82" s="6148"/>
      <c r="AN82" s="6148"/>
      <c r="AO82" s="6148"/>
      <c r="AP82" s="6148"/>
      <c r="AQ82" s="6148"/>
      <c r="AR82" s="6148"/>
      <c r="AS82" s="6148"/>
      <c r="AT82" s="6148"/>
      <c r="AU82" s="6148"/>
      <c r="AV82" s="6148"/>
      <c r="AW82" s="6148"/>
      <c r="AX82" s="6148"/>
      <c r="AY82" s="6148"/>
      <c r="AZ82" s="6148"/>
      <c r="BA82" s="6148"/>
      <c r="BB82" s="6148"/>
      <c r="BC82" s="6148"/>
      <c r="BD82" s="2730">
        <v>1</v>
      </c>
    </row>
    <row r="83" spans="1:56" ht="21" customHeight="1">
      <c r="B83" s="7843"/>
      <c r="C83" s="5562"/>
      <c r="D83" s="5562"/>
      <c r="E83" s="5562"/>
      <c r="F83" s="5562"/>
      <c r="G83" s="5562"/>
      <c r="H83" s="5723"/>
      <c r="I83" s="6148"/>
      <c r="J83" s="6249" t="s">
        <v>15377</v>
      </c>
      <c r="K83" s="6148"/>
      <c r="L83" s="6148"/>
      <c r="M83" s="6148"/>
      <c r="N83" s="6248" t="s">
        <v>2686</v>
      </c>
      <c r="O83" s="7836" t="s">
        <v>15378</v>
      </c>
      <c r="P83" s="7836"/>
      <c r="Q83" s="7836"/>
      <c r="R83" s="7836"/>
      <c r="S83" s="7836"/>
      <c r="T83" s="7836"/>
      <c r="U83" s="7836"/>
      <c r="V83" s="6148"/>
      <c r="W83" s="6148"/>
      <c r="X83" s="6148"/>
      <c r="Y83" s="6148"/>
      <c r="Z83" s="6148"/>
      <c r="AA83" s="6148"/>
      <c r="AB83" s="6148"/>
      <c r="AC83" s="6148"/>
      <c r="AD83" s="6148"/>
      <c r="AE83" s="6148"/>
      <c r="AF83" s="6148"/>
      <c r="AG83" s="6148"/>
      <c r="AH83" s="6148"/>
      <c r="AI83" s="6148"/>
      <c r="AJ83" s="6148"/>
      <c r="AK83" s="6148"/>
      <c r="AL83" s="6148"/>
      <c r="AM83" s="6148"/>
      <c r="AN83" s="6148"/>
      <c r="AO83" s="6148"/>
      <c r="AP83" s="6148"/>
      <c r="AQ83" s="6148"/>
      <c r="AR83" s="6148"/>
      <c r="AS83" s="6148"/>
      <c r="AT83" s="6148"/>
      <c r="AU83" s="6148"/>
      <c r="AV83" s="6148"/>
      <c r="AW83" s="6148"/>
      <c r="AX83" s="6148"/>
      <c r="AY83" s="6148"/>
      <c r="AZ83" s="6148"/>
      <c r="BA83" s="6148"/>
      <c r="BB83" s="6148"/>
      <c r="BC83" s="6148"/>
      <c r="BD83" s="2730">
        <v>1</v>
      </c>
    </row>
    <row r="84" spans="1:56" ht="21" customHeight="1">
      <c r="B84" s="7843"/>
      <c r="C84" s="5562" t="s">
        <v>3926</v>
      </c>
      <c r="D84" s="5562" t="s">
        <v>15379</v>
      </c>
      <c r="E84" s="5562"/>
      <c r="F84" s="5562"/>
      <c r="G84" s="5562"/>
      <c r="H84" s="5723"/>
      <c r="I84" s="6148"/>
      <c r="J84" s="6250" t="s">
        <v>15380</v>
      </c>
      <c r="K84" s="6148"/>
      <c r="L84" s="6148"/>
      <c r="M84" s="6148"/>
      <c r="N84" s="6148"/>
      <c r="O84" s="6148"/>
      <c r="P84" s="6148"/>
      <c r="Q84" s="6148"/>
      <c r="R84" s="6148"/>
      <c r="S84" s="6148"/>
      <c r="T84" s="6148"/>
      <c r="U84" s="6148"/>
      <c r="V84" s="6148"/>
      <c r="W84" s="6148"/>
      <c r="X84" s="6148"/>
      <c r="Y84" s="6148"/>
      <c r="Z84" s="6148"/>
      <c r="AA84" s="6148"/>
      <c r="AB84" s="6148"/>
      <c r="AC84" s="6148"/>
      <c r="AD84" s="6148"/>
      <c r="AE84" s="6148"/>
      <c r="AF84" s="6148"/>
      <c r="AG84" s="6148"/>
      <c r="AH84" s="6148"/>
      <c r="AI84" s="6148"/>
      <c r="AJ84" s="6148"/>
      <c r="AK84" s="6148"/>
      <c r="AL84" s="6148"/>
      <c r="AM84" s="6148"/>
      <c r="AN84" s="6148"/>
      <c r="AO84" s="6148"/>
      <c r="AP84" s="6148"/>
      <c r="AQ84" s="6148"/>
      <c r="AR84" s="6148"/>
      <c r="AS84" s="6148"/>
      <c r="AT84" s="6148"/>
      <c r="AU84" s="6148"/>
      <c r="AV84" s="6148"/>
      <c r="AW84" s="6148"/>
      <c r="AX84" s="6148"/>
      <c r="AY84" s="6148"/>
      <c r="AZ84" s="6148"/>
      <c r="BA84" s="6148"/>
      <c r="BB84" s="6148"/>
      <c r="BC84" s="6148"/>
      <c r="BD84" s="2730">
        <v>1</v>
      </c>
    </row>
    <row r="85" spans="1:56" ht="21" customHeight="1">
      <c r="B85" s="7843"/>
      <c r="C85" s="5562"/>
      <c r="D85" s="5562"/>
      <c r="E85" s="5562"/>
      <c r="F85" s="5562"/>
      <c r="G85" s="5562"/>
      <c r="H85" s="5723"/>
      <c r="I85" s="6148"/>
      <c r="J85" s="6251" t="s">
        <v>15381</v>
      </c>
      <c r="K85" s="6148"/>
      <c r="L85" s="6148"/>
      <c r="M85" s="6148"/>
      <c r="N85" s="6148"/>
      <c r="O85" s="6148"/>
      <c r="P85" s="6148"/>
      <c r="Q85" s="6148"/>
      <c r="R85" s="6148"/>
      <c r="S85" s="6148"/>
      <c r="T85" s="6148"/>
      <c r="U85" s="6148"/>
      <c r="V85" s="6148"/>
      <c r="W85" s="6148"/>
      <c r="X85" s="6148"/>
      <c r="Y85" s="6148"/>
      <c r="Z85" s="6148"/>
      <c r="AA85" s="6148"/>
      <c r="AB85" s="6148"/>
      <c r="AC85" s="6148"/>
      <c r="AD85" s="6148"/>
      <c r="AE85" s="6148"/>
      <c r="AF85" s="6148"/>
      <c r="AG85" s="6148"/>
      <c r="AH85" s="6148"/>
      <c r="AI85" s="6148"/>
      <c r="AJ85" s="6148"/>
      <c r="AK85" s="6148"/>
      <c r="AL85" s="6148"/>
      <c r="AM85" s="6148"/>
      <c r="AN85" s="6148"/>
      <c r="AO85" s="6148"/>
      <c r="AP85" s="6148"/>
      <c r="AQ85" s="6148"/>
      <c r="AR85" s="6148"/>
      <c r="AS85" s="6148"/>
      <c r="AT85" s="6148"/>
      <c r="AU85" s="6148"/>
      <c r="AV85" s="6148"/>
      <c r="AW85" s="6148"/>
      <c r="AX85" s="6148"/>
      <c r="AY85" s="6148"/>
      <c r="AZ85" s="6148"/>
      <c r="BA85" s="6148"/>
      <c r="BB85" s="6148"/>
      <c r="BC85" s="6148"/>
      <c r="BD85" s="2730">
        <v>1</v>
      </c>
    </row>
    <row r="86" spans="1:56" ht="21" customHeight="1">
      <c r="B86" s="7843"/>
      <c r="C86" s="5562" t="s">
        <v>15382</v>
      </c>
      <c r="D86" s="5562"/>
      <c r="E86" s="5562"/>
      <c r="F86" s="5562"/>
      <c r="G86" s="5562"/>
      <c r="H86" s="5723"/>
      <c r="I86" s="6148"/>
      <c r="J86" s="6252" t="s">
        <v>15383</v>
      </c>
      <c r="K86" s="6148"/>
      <c r="L86" s="6148"/>
      <c r="M86" s="6148"/>
      <c r="N86" s="6148"/>
      <c r="O86" s="6148"/>
      <c r="P86" s="6148"/>
      <c r="Q86" s="6148"/>
      <c r="R86" s="6148"/>
      <c r="S86" s="6148"/>
      <c r="T86" s="6148"/>
      <c r="U86" s="6148"/>
      <c r="V86" s="6148"/>
      <c r="W86" s="6148"/>
      <c r="X86" s="6148"/>
      <c r="Y86" s="6148"/>
      <c r="Z86" s="6148"/>
      <c r="AA86" s="6148"/>
      <c r="AB86" s="6148"/>
      <c r="AC86" s="6148"/>
      <c r="AD86" s="6148"/>
      <c r="AE86" s="6148"/>
      <c r="AF86" s="6148"/>
      <c r="AG86" s="6148"/>
      <c r="AH86" s="6148"/>
      <c r="AI86" s="6148"/>
      <c r="AJ86" s="6148"/>
      <c r="AK86" s="6148"/>
      <c r="AL86" s="6148"/>
      <c r="AM86" s="6148"/>
      <c r="AN86" s="6148"/>
      <c r="AO86" s="6148"/>
      <c r="AP86" s="6148"/>
      <c r="AQ86" s="6148"/>
      <c r="AR86" s="6148"/>
      <c r="AS86" s="6148"/>
      <c r="AT86" s="6148"/>
      <c r="AU86" s="6148"/>
      <c r="AV86" s="6148"/>
      <c r="AW86" s="6148"/>
      <c r="AX86" s="6148"/>
      <c r="AY86" s="6148"/>
      <c r="AZ86" s="6148"/>
      <c r="BA86" s="6148"/>
      <c r="BB86" s="6148"/>
      <c r="BC86" s="6148"/>
      <c r="BD86" s="2730">
        <v>1</v>
      </c>
    </row>
    <row r="87" spans="1:56" ht="21" customHeight="1">
      <c r="B87" s="7843"/>
      <c r="C87" s="5562"/>
      <c r="D87" s="6253" t="s">
        <v>15384</v>
      </c>
      <c r="E87" s="5562"/>
      <c r="F87" s="6253" t="s">
        <v>15385</v>
      </c>
      <c r="G87" s="5562"/>
      <c r="H87" s="5723" t="s">
        <v>2</v>
      </c>
      <c r="I87" s="6148"/>
      <c r="J87" s="6254" t="s">
        <v>15386</v>
      </c>
      <c r="K87" s="6148"/>
      <c r="L87" s="6148"/>
      <c r="M87" s="6148"/>
      <c r="N87" s="6148"/>
      <c r="O87" s="6148"/>
      <c r="P87" s="6148"/>
      <c r="Q87" s="6148"/>
      <c r="R87" s="6148"/>
      <c r="S87" s="6148"/>
      <c r="T87" s="6148"/>
      <c r="U87" s="6148"/>
      <c r="V87" s="6148"/>
      <c r="W87" s="6148"/>
      <c r="X87" s="6148"/>
      <c r="Y87" s="6148"/>
      <c r="Z87" s="6148"/>
      <c r="AA87" s="6148"/>
      <c r="AB87" s="6148"/>
      <c r="AC87" s="6148"/>
      <c r="AD87" s="6148"/>
      <c r="AE87" s="6148"/>
      <c r="AF87" s="6148"/>
      <c r="AG87" s="6148"/>
      <c r="AH87" s="6148"/>
      <c r="AI87" s="6148"/>
      <c r="AJ87" s="6148"/>
      <c r="AK87" s="6148"/>
      <c r="AL87" s="6148"/>
      <c r="AM87" s="6148"/>
      <c r="AN87" s="6148"/>
      <c r="AO87" s="6148"/>
      <c r="AP87" s="6148"/>
      <c r="AQ87" s="6148"/>
      <c r="AR87" s="6148"/>
      <c r="AS87" s="6148"/>
      <c r="AT87" s="6148"/>
      <c r="AU87" s="6148"/>
      <c r="AV87" s="6148"/>
      <c r="AW87" s="6148"/>
      <c r="AX87" s="6148"/>
      <c r="AY87" s="6148"/>
      <c r="AZ87" s="6148"/>
      <c r="BA87" s="6148"/>
      <c r="BB87" s="6148"/>
      <c r="BC87" s="6148"/>
      <c r="BD87" s="2730">
        <v>1</v>
      </c>
    </row>
    <row r="88" spans="1:56" ht="21" customHeight="1">
      <c r="B88" s="7843"/>
      <c r="C88" s="5562" t="s">
        <v>15387</v>
      </c>
      <c r="D88" s="5562"/>
      <c r="E88" s="5562"/>
      <c r="F88" s="5562"/>
      <c r="G88" s="5562"/>
      <c r="H88" s="5723"/>
      <c r="I88" s="6148"/>
      <c r="J88" s="6255" t="s">
        <v>15388</v>
      </c>
      <c r="K88" s="6148"/>
      <c r="L88" s="6148"/>
      <c r="M88" s="6148"/>
      <c r="N88" s="6148"/>
      <c r="O88" s="6148"/>
      <c r="P88" s="6148"/>
      <c r="Q88" s="6148"/>
      <c r="R88" s="6148"/>
      <c r="S88" s="6148"/>
      <c r="T88" s="6148"/>
      <c r="U88" s="6148"/>
      <c r="V88" s="6148"/>
      <c r="W88" s="6148"/>
      <c r="X88" s="6148"/>
      <c r="Y88" s="6148"/>
      <c r="Z88" s="6148"/>
      <c r="AA88" s="6148"/>
      <c r="AB88" s="6148"/>
      <c r="AC88" s="6148"/>
      <c r="AD88" s="6148"/>
      <c r="AE88" s="6148"/>
      <c r="AF88" s="6148"/>
      <c r="AG88" s="6148"/>
      <c r="AH88" s="6148"/>
      <c r="AI88" s="6148"/>
      <c r="AJ88" s="6148"/>
      <c r="AK88" s="6148"/>
      <c r="AL88" s="6148"/>
      <c r="AM88" s="6148"/>
      <c r="AN88" s="6148"/>
      <c r="AO88" s="6148"/>
      <c r="AP88" s="6148"/>
      <c r="AQ88" s="6148"/>
      <c r="AR88" s="6148"/>
      <c r="AS88" s="6148"/>
      <c r="AT88" s="6148"/>
      <c r="AU88" s="6148"/>
      <c r="AV88" s="6148"/>
      <c r="AW88" s="6148"/>
      <c r="AX88" s="6148"/>
      <c r="AY88" s="6148"/>
      <c r="AZ88" s="6148"/>
      <c r="BA88" s="6148"/>
      <c r="BB88" s="6148"/>
      <c r="BC88" s="6148"/>
      <c r="BD88" s="2730">
        <v>1</v>
      </c>
    </row>
    <row r="89" spans="1:56" ht="21" customHeight="1">
      <c r="B89" s="7843"/>
      <c r="C89" s="5562"/>
      <c r="D89" s="6253" t="s">
        <v>15389</v>
      </c>
      <c r="E89" s="5562"/>
      <c r="F89" s="6253" t="s">
        <v>15390</v>
      </c>
      <c r="G89" s="5562"/>
      <c r="H89" s="5723"/>
      <c r="I89" s="6148"/>
      <c r="J89" s="6256" t="s">
        <v>15391</v>
      </c>
      <c r="K89" s="6148"/>
      <c r="L89" s="6148"/>
      <c r="M89" s="6148"/>
      <c r="N89" s="6148"/>
      <c r="O89" s="6148"/>
      <c r="P89" s="6148"/>
      <c r="Q89" s="6148"/>
      <c r="R89" s="6148"/>
      <c r="S89" s="6148"/>
      <c r="T89" s="6148"/>
      <c r="U89" s="6148"/>
      <c r="V89" s="6148"/>
      <c r="W89" s="6148"/>
      <c r="X89" s="6148"/>
      <c r="Y89" s="6148"/>
      <c r="Z89" s="6148"/>
      <c r="AA89" s="6148"/>
      <c r="AB89" s="6148"/>
      <c r="AC89" s="6148"/>
      <c r="AD89" s="6148"/>
      <c r="AE89" s="6148"/>
      <c r="AF89" s="6148"/>
      <c r="AG89" s="6148"/>
      <c r="AH89" s="6148"/>
      <c r="AI89" s="6148"/>
      <c r="AJ89" s="6148"/>
      <c r="AK89" s="6148"/>
      <c r="AL89" s="6148"/>
      <c r="AM89" s="6148"/>
      <c r="AN89" s="6148"/>
      <c r="AO89" s="6148"/>
      <c r="AP89" s="6148"/>
      <c r="AQ89" s="6148"/>
      <c r="AR89" s="6148"/>
      <c r="AS89" s="6148"/>
      <c r="AT89" s="6148"/>
      <c r="AU89" s="6148"/>
      <c r="AV89" s="6148"/>
      <c r="AW89" s="6148"/>
      <c r="AX89" s="6148"/>
      <c r="AY89" s="6148"/>
      <c r="AZ89" s="6148"/>
      <c r="BA89" s="6148"/>
      <c r="BB89" s="6148"/>
      <c r="BC89" s="6148"/>
      <c r="BD89" s="2730">
        <v>1</v>
      </c>
    </row>
    <row r="90" spans="1:56" ht="21" customHeight="1">
      <c r="B90" s="7843"/>
      <c r="C90" s="5562"/>
      <c r="D90" s="6253"/>
      <c r="E90" s="5562"/>
      <c r="F90" s="6253"/>
      <c r="G90" s="5562"/>
      <c r="H90" s="5723"/>
      <c r="I90" s="6148"/>
      <c r="J90" s="6257" t="s">
        <v>15392</v>
      </c>
      <c r="K90" s="6148"/>
      <c r="L90" s="6148"/>
      <c r="M90" s="6148"/>
      <c r="N90" s="6148"/>
      <c r="O90" s="6148"/>
      <c r="P90" s="6148"/>
      <c r="Q90" s="6148"/>
      <c r="R90" s="6148"/>
      <c r="S90" s="6148"/>
      <c r="T90" s="6148"/>
      <c r="U90" s="6148"/>
      <c r="V90" s="6148"/>
      <c r="W90" s="6148"/>
      <c r="X90" s="6148"/>
      <c r="Y90" s="6148"/>
      <c r="Z90" s="6148"/>
      <c r="AA90" s="6148"/>
      <c r="AB90" s="6148"/>
      <c r="AC90" s="6148"/>
      <c r="AD90" s="6148"/>
      <c r="AE90" s="6148"/>
      <c r="AF90" s="6148"/>
      <c r="AG90" s="6148"/>
      <c r="AH90" s="6148"/>
      <c r="AI90" s="6148"/>
      <c r="AJ90" s="6148"/>
      <c r="AK90" s="6148"/>
      <c r="AL90" s="6148"/>
      <c r="AM90" s="6148"/>
      <c r="AN90" s="6148"/>
      <c r="AO90" s="6148"/>
      <c r="AP90" s="6148"/>
      <c r="AQ90" s="6148"/>
      <c r="AR90" s="6148"/>
      <c r="AS90" s="6148"/>
      <c r="AT90" s="6148"/>
      <c r="AU90" s="6148"/>
      <c r="AV90" s="6148"/>
      <c r="AW90" s="6148"/>
      <c r="AX90" s="6148"/>
      <c r="AY90" s="6148"/>
      <c r="AZ90" s="6148"/>
      <c r="BA90" s="6148"/>
      <c r="BB90" s="6148"/>
      <c r="BC90" s="6148"/>
      <c r="BD90" s="2730">
        <v>1</v>
      </c>
    </row>
    <row r="91" spans="1:56" ht="21" customHeight="1">
      <c r="B91" s="7843"/>
      <c r="C91" s="5562"/>
      <c r="D91" s="6253"/>
      <c r="E91" s="6204" t="s">
        <v>15393</v>
      </c>
      <c r="F91" s="6253" t="s">
        <v>15394</v>
      </c>
      <c r="G91" s="5562"/>
      <c r="H91" s="5723"/>
      <c r="I91" s="6148"/>
      <c r="J91" s="6148"/>
      <c r="K91" s="6148"/>
      <c r="L91" s="6148"/>
      <c r="M91" s="6148"/>
      <c r="N91" s="6148"/>
      <c r="O91" s="6148"/>
      <c r="P91" s="6148"/>
      <c r="Q91" s="6148"/>
      <c r="R91" s="6148"/>
      <c r="S91" s="6148"/>
      <c r="T91" s="6148"/>
      <c r="U91" s="6148"/>
      <c r="V91" s="6148"/>
      <c r="W91" s="6148"/>
      <c r="X91" s="6148"/>
      <c r="Y91" s="6148"/>
      <c r="Z91" s="6148"/>
      <c r="AA91" s="6148"/>
      <c r="AB91" s="6148"/>
      <c r="AC91" s="6148"/>
      <c r="AD91" s="6148"/>
      <c r="AE91" s="6148"/>
      <c r="AF91" s="6148"/>
      <c r="AG91" s="6148"/>
      <c r="AH91" s="6148"/>
      <c r="AI91" s="6148"/>
      <c r="AJ91" s="6148"/>
      <c r="AK91" s="6148"/>
      <c r="AL91" s="6148"/>
      <c r="AM91" s="6148"/>
      <c r="AN91" s="6148"/>
      <c r="AO91" s="6148"/>
      <c r="AP91" s="6148"/>
      <c r="AQ91" s="6148"/>
      <c r="AR91" s="6148"/>
      <c r="AS91" s="6148"/>
      <c r="AT91" s="6148"/>
      <c r="AU91" s="6148"/>
      <c r="AV91" s="6148"/>
      <c r="AW91" s="6148"/>
      <c r="AX91" s="6148"/>
      <c r="AY91" s="6148"/>
      <c r="AZ91" s="6148"/>
      <c r="BA91" s="6148"/>
      <c r="BB91" s="6148"/>
      <c r="BC91" s="6148"/>
      <c r="BD91" s="2730">
        <v>1</v>
      </c>
    </row>
    <row r="92" spans="1:56" ht="21" customHeight="1">
      <c r="B92" s="7843"/>
      <c r="C92" s="5562"/>
      <c r="D92" s="6253"/>
      <c r="E92" s="5562"/>
      <c r="F92" s="6253"/>
      <c r="G92" s="5562"/>
      <c r="H92" s="5723"/>
      <c r="I92" s="6148"/>
      <c r="J92" s="6148"/>
      <c r="K92" s="6148"/>
      <c r="L92" s="6148"/>
      <c r="M92" s="6148"/>
      <c r="N92" s="6148"/>
      <c r="O92" s="6148"/>
      <c r="P92" s="6148"/>
      <c r="Q92" s="6148"/>
      <c r="R92" s="6148"/>
      <c r="S92" s="6148"/>
      <c r="T92" s="6148"/>
      <c r="U92" s="6148"/>
      <c r="V92" s="6148"/>
      <c r="W92" s="6148"/>
      <c r="X92" s="6148"/>
      <c r="Y92" s="6148"/>
      <c r="Z92" s="6148"/>
      <c r="AA92" s="6148"/>
      <c r="AB92" s="6148"/>
      <c r="AC92" s="6148"/>
      <c r="AD92" s="6148"/>
      <c r="AE92" s="6148"/>
      <c r="AF92" s="6148"/>
      <c r="AG92" s="6148"/>
      <c r="AH92" s="6148"/>
      <c r="AI92" s="6148"/>
      <c r="AJ92" s="6148"/>
      <c r="AK92" s="6148"/>
      <c r="AL92" s="6148"/>
      <c r="AM92" s="6148"/>
      <c r="AN92" s="6148"/>
      <c r="AO92" s="6148"/>
      <c r="AP92" s="6148"/>
      <c r="AQ92" s="6148"/>
      <c r="AR92" s="6148"/>
      <c r="AS92" s="6148"/>
      <c r="AT92" s="6148"/>
      <c r="AU92" s="6148"/>
      <c r="AV92" s="6148"/>
      <c r="AW92" s="6148"/>
      <c r="AX92" s="6148"/>
      <c r="AY92" s="6148"/>
      <c r="AZ92" s="6148"/>
      <c r="BA92" s="6148"/>
      <c r="BB92" s="6148"/>
      <c r="BC92" s="6148"/>
      <c r="BD92" s="2730">
        <v>1</v>
      </c>
    </row>
    <row r="93" spans="1:56" ht="21" customHeight="1">
      <c r="B93" s="7843"/>
      <c r="C93" s="5562" t="s">
        <v>15395</v>
      </c>
      <c r="D93" s="6253"/>
      <c r="E93" s="5562"/>
      <c r="F93" s="6253"/>
      <c r="G93" s="5562"/>
      <c r="H93" s="5723"/>
      <c r="I93" s="6148"/>
      <c r="J93" s="6148"/>
      <c r="K93" s="6148"/>
      <c r="L93" s="6148"/>
      <c r="M93" s="6148"/>
      <c r="N93" s="6148"/>
      <c r="O93" s="6148"/>
      <c r="P93" s="6148"/>
      <c r="Q93" s="6148"/>
      <c r="R93" s="6148"/>
      <c r="S93" s="6148"/>
      <c r="T93" s="6148"/>
      <c r="U93" s="6148"/>
      <c r="V93" s="6148"/>
      <c r="W93" s="6148"/>
      <c r="X93" s="6148"/>
      <c r="Y93" s="6148"/>
      <c r="Z93" s="6148"/>
      <c r="AA93" s="6148"/>
      <c r="AB93" s="6148"/>
      <c r="AC93" s="6148"/>
      <c r="AD93" s="6148"/>
      <c r="AE93" s="6148"/>
      <c r="AF93" s="6148"/>
      <c r="AG93" s="6148"/>
      <c r="AH93" s="6148"/>
      <c r="AI93" s="6148"/>
      <c r="AJ93" s="6148"/>
      <c r="AK93" s="6148"/>
      <c r="AL93" s="6148"/>
      <c r="AM93" s="6148"/>
      <c r="AN93" s="6148"/>
      <c r="AO93" s="6148"/>
      <c r="AP93" s="6148"/>
      <c r="AQ93" s="6148"/>
      <c r="AR93" s="6148"/>
      <c r="AS93" s="6148"/>
      <c r="AT93" s="6148"/>
      <c r="AU93" s="6148"/>
      <c r="AV93" s="6148"/>
      <c r="AW93" s="6148"/>
      <c r="AX93" s="6148"/>
      <c r="AY93" s="6148"/>
      <c r="AZ93" s="6148"/>
      <c r="BA93" s="6148"/>
      <c r="BB93" s="6148"/>
      <c r="BC93" s="6148"/>
      <c r="BD93" s="2730">
        <v>1</v>
      </c>
    </row>
    <row r="94" spans="1:56" ht="21" customHeight="1">
      <c r="B94" s="7843"/>
      <c r="C94" s="5562"/>
      <c r="D94" s="6253" t="s">
        <v>15396</v>
      </c>
      <c r="E94" s="5562"/>
      <c r="F94" s="6253"/>
      <c r="G94" s="5562"/>
      <c r="H94" s="5723" t="s">
        <v>2</v>
      </c>
      <c r="I94" s="6148"/>
      <c r="J94" s="6148"/>
      <c r="K94" s="6148"/>
      <c r="L94" s="6148"/>
      <c r="M94" s="6148"/>
      <c r="N94" s="6148"/>
      <c r="O94" s="6148"/>
      <c r="P94" s="6148"/>
      <c r="Q94" s="6148"/>
      <c r="R94" s="6148"/>
      <c r="S94" s="6148"/>
      <c r="T94" s="6148"/>
      <c r="U94" s="6148"/>
      <c r="V94" s="6148"/>
      <c r="W94" s="6148"/>
      <c r="X94" s="6148"/>
      <c r="Y94" s="6148"/>
      <c r="Z94" s="6148"/>
      <c r="AA94" s="6148"/>
      <c r="AB94" s="6148"/>
      <c r="AC94" s="6148"/>
      <c r="AD94" s="6148"/>
      <c r="AE94" s="6148"/>
      <c r="AF94" s="6148"/>
      <c r="AG94" s="6148"/>
      <c r="AH94" s="6148"/>
      <c r="AI94" s="6148"/>
      <c r="AJ94" s="6148"/>
      <c r="AK94" s="6148"/>
      <c r="AL94" s="6148"/>
      <c r="AM94" s="6148"/>
      <c r="AN94" s="6148"/>
      <c r="AO94" s="6148"/>
      <c r="AP94" s="6148"/>
      <c r="AQ94" s="6148"/>
      <c r="AR94" s="6148"/>
      <c r="AS94" s="6148"/>
      <c r="AT94" s="6148"/>
      <c r="AU94" s="6148"/>
      <c r="AV94" s="6148"/>
      <c r="AW94" s="6148"/>
      <c r="AX94" s="6148"/>
      <c r="AY94" s="6148"/>
      <c r="AZ94" s="6148"/>
      <c r="BA94" s="6148"/>
      <c r="BB94" s="6148"/>
      <c r="BC94" s="6148"/>
      <c r="BD94" s="2730">
        <v>1</v>
      </c>
    </row>
    <row r="95" spans="1:56" ht="21" customHeight="1" thickBot="1">
      <c r="B95" s="7844"/>
      <c r="C95" s="5607"/>
      <c r="D95" s="5607"/>
      <c r="E95" s="5607"/>
      <c r="F95" s="5607"/>
      <c r="G95" s="5607"/>
      <c r="H95" s="5676"/>
      <c r="I95" s="6148"/>
      <c r="J95" s="6148"/>
      <c r="K95" s="6148"/>
      <c r="L95" s="6148"/>
      <c r="M95" s="6148"/>
      <c r="N95" s="6148"/>
      <c r="O95" s="6148"/>
      <c r="P95" s="6148"/>
      <c r="Q95" s="6148"/>
      <c r="R95" s="6148"/>
      <c r="S95" s="6148"/>
      <c r="T95" s="6148"/>
      <c r="U95" s="6148"/>
      <c r="V95" s="6148"/>
      <c r="W95" s="6148"/>
      <c r="X95" s="6148"/>
      <c r="Y95" s="6148"/>
      <c r="Z95" s="6148"/>
      <c r="AA95" s="6148"/>
      <c r="AB95" s="6148"/>
      <c r="AC95" s="6148"/>
      <c r="AD95" s="6148"/>
      <c r="AE95" s="6148"/>
      <c r="AF95" s="6148"/>
      <c r="AG95" s="6148"/>
      <c r="AH95" s="6148"/>
      <c r="AI95" s="6148"/>
      <c r="AJ95" s="6148"/>
      <c r="AK95" s="6148"/>
      <c r="AL95" s="6148"/>
      <c r="AM95" s="6148"/>
      <c r="AN95" s="6148"/>
      <c r="AO95" s="6148"/>
      <c r="AP95" s="6148"/>
      <c r="AQ95" s="6148"/>
      <c r="AR95" s="6148"/>
      <c r="AS95" s="6148"/>
      <c r="AT95" s="6148"/>
      <c r="AU95" s="6148"/>
      <c r="AV95" s="6148"/>
      <c r="AW95" s="6148"/>
      <c r="AX95" s="6148"/>
      <c r="AY95" s="6148"/>
      <c r="AZ95" s="6148"/>
      <c r="BA95" s="6148"/>
      <c r="BB95" s="6148"/>
      <c r="BC95" s="6148"/>
      <c r="BD95" s="2730">
        <v>1</v>
      </c>
    </row>
    <row r="96" spans="1:56" ht="21" customHeight="1">
      <c r="A96" s="6148">
        <v>1</v>
      </c>
      <c r="B96" s="6148"/>
      <c r="C96" s="6153"/>
      <c r="D96" s="6153"/>
      <c r="E96" s="6153"/>
      <c r="F96" s="6153"/>
      <c r="G96" s="6153"/>
      <c r="H96" s="6258"/>
      <c r="I96" s="6258"/>
      <c r="J96" s="6259" t="s">
        <v>15397</v>
      </c>
      <c r="K96" s="6148"/>
      <c r="L96" s="6148"/>
      <c r="M96" s="6148"/>
      <c r="N96" s="6148"/>
      <c r="O96" s="6260" t="s">
        <v>15398</v>
      </c>
      <c r="P96" s="6209"/>
      <c r="Q96" s="6209"/>
      <c r="R96" s="6148"/>
      <c r="S96" s="6148">
        <v>1</v>
      </c>
      <c r="T96" s="6148"/>
      <c r="U96" s="6148"/>
      <c r="V96" s="6148"/>
      <c r="W96" s="6148"/>
      <c r="X96" s="6148"/>
      <c r="Y96" s="6148"/>
      <c r="Z96" s="6148"/>
      <c r="AA96" s="6148"/>
      <c r="AB96" s="6148"/>
      <c r="AC96" s="6148"/>
      <c r="AD96" s="6148"/>
      <c r="AE96" s="6148"/>
      <c r="AF96" s="6148"/>
      <c r="AG96" s="6148"/>
      <c r="AH96" s="6148"/>
      <c r="AI96" s="6148"/>
      <c r="AJ96" s="6148"/>
      <c r="AK96" s="6148"/>
      <c r="AL96" s="6148"/>
      <c r="AM96" s="6148"/>
      <c r="AN96" s="6148"/>
      <c r="AO96" s="6148"/>
      <c r="AP96" s="6148"/>
      <c r="AQ96" s="6148"/>
      <c r="AR96" s="6148"/>
      <c r="AS96" s="6148"/>
      <c r="AT96" s="6148"/>
      <c r="AU96" s="6148"/>
      <c r="AV96" s="6148"/>
      <c r="AW96" s="6148"/>
      <c r="AX96" s="6148"/>
      <c r="AY96" s="6148"/>
      <c r="AZ96" s="6148"/>
      <c r="BA96" s="6148"/>
      <c r="BB96" s="6148"/>
      <c r="BC96" s="6148"/>
      <c r="BD96" s="2730">
        <v>1</v>
      </c>
    </row>
    <row r="97" spans="1:56" ht="21" customHeight="1">
      <c r="A97" s="6148">
        <v>1</v>
      </c>
      <c r="B97" s="6148"/>
      <c r="C97" s="6261" t="s">
        <v>15399</v>
      </c>
      <c r="D97" s="6153"/>
      <c r="E97" s="6153"/>
      <c r="F97" s="6153"/>
      <c r="G97" s="6153"/>
      <c r="H97" s="6153"/>
      <c r="I97" s="6153"/>
      <c r="J97" s="6259" t="s">
        <v>15400</v>
      </c>
      <c r="K97" s="6148"/>
      <c r="L97" s="6148"/>
      <c r="M97" s="6148"/>
      <c r="N97" s="6148"/>
      <c r="O97" s="7837" t="s">
        <v>3620</v>
      </c>
      <c r="P97" s="7838" t="s">
        <v>6781</v>
      </c>
      <c r="Q97" s="6148"/>
      <c r="R97" s="6148"/>
      <c r="S97" s="6148"/>
      <c r="T97" s="6148"/>
      <c r="U97" s="6148"/>
      <c r="V97" s="6148"/>
      <c r="W97" s="6148"/>
      <c r="X97" s="6148"/>
      <c r="Y97" s="6148"/>
      <c r="Z97" s="6148"/>
      <c r="AA97" s="6148"/>
      <c r="AB97" s="6148"/>
      <c r="AC97" s="6148"/>
      <c r="AD97" s="6148"/>
      <c r="AE97" s="6148"/>
      <c r="AF97" s="6148"/>
      <c r="AG97" s="6148"/>
      <c r="AH97" s="6148"/>
      <c r="AI97" s="6148"/>
      <c r="AJ97" s="6148"/>
      <c r="AK97" s="6148"/>
      <c r="AL97" s="6148"/>
      <c r="AM97" s="6148"/>
      <c r="AN97" s="6148"/>
      <c r="AO97" s="6148"/>
      <c r="AP97" s="6148"/>
      <c r="AQ97" s="6148"/>
      <c r="AR97" s="6148"/>
      <c r="AS97" s="6148"/>
      <c r="AT97" s="6148"/>
      <c r="AU97" s="6148"/>
      <c r="AV97" s="6148"/>
      <c r="AW97" s="6148"/>
      <c r="AX97" s="6148"/>
      <c r="AY97" s="6148"/>
      <c r="AZ97" s="6148"/>
      <c r="BA97" s="6148"/>
      <c r="BB97" s="6148"/>
      <c r="BC97" s="6148"/>
      <c r="BD97" s="2730">
        <v>1</v>
      </c>
    </row>
    <row r="98" spans="1:56" ht="21" customHeight="1">
      <c r="A98" s="6148">
        <v>1</v>
      </c>
      <c r="B98" s="6148"/>
      <c r="C98" s="6153" t="s">
        <v>15401</v>
      </c>
      <c r="D98" s="6153"/>
      <c r="E98" s="6153"/>
      <c r="F98" s="6153"/>
      <c r="G98" s="6153"/>
      <c r="H98" s="6262" t="s">
        <v>15402</v>
      </c>
      <c r="I98" s="6263">
        <f>IF(H99=D125,E108/(100-F109)*100)</f>
        <v>2.5</v>
      </c>
      <c r="J98" s="6230" t="str">
        <f ca="1">_xlfn.FORMULATEXT(I98)</f>
        <v>=SI(H99=D125;E108/(100-F109)*100)</v>
      </c>
      <c r="K98" s="5557"/>
      <c r="L98" s="6148">
        <v>1</v>
      </c>
      <c r="M98" s="6148">
        <v>1</v>
      </c>
      <c r="N98" s="6148"/>
      <c r="O98" s="7837"/>
      <c r="P98" s="7838"/>
      <c r="Q98" s="6148"/>
      <c r="R98" s="6148"/>
      <c r="S98" s="6148"/>
      <c r="T98" s="6148"/>
      <c r="U98" s="6148"/>
      <c r="V98" s="6148"/>
      <c r="W98" s="6148"/>
      <c r="X98" s="6148"/>
      <c r="Y98" s="6148"/>
      <c r="Z98" s="6148"/>
      <c r="AA98" s="6148"/>
      <c r="AB98" s="6148"/>
      <c r="AC98" s="6148"/>
      <c r="AD98" s="6148"/>
      <c r="AE98" s="6148"/>
      <c r="AF98" s="6148"/>
      <c r="AG98" s="6148"/>
      <c r="AH98" s="6148"/>
      <c r="AI98" s="6148"/>
      <c r="AJ98" s="6148"/>
      <c r="AK98" s="6148"/>
      <c r="AL98" s="6148"/>
      <c r="AM98" s="6148"/>
      <c r="AN98" s="6148"/>
      <c r="AO98" s="6148"/>
      <c r="AP98" s="6148"/>
      <c r="AQ98" s="6148"/>
      <c r="AR98" s="6148"/>
      <c r="AS98" s="6148"/>
      <c r="AT98" s="6148"/>
      <c r="AU98" s="6148"/>
      <c r="AV98" s="6148"/>
      <c r="AW98" s="6148"/>
      <c r="AX98" s="6148"/>
      <c r="AY98" s="6148"/>
      <c r="AZ98" s="6148"/>
      <c r="BA98" s="6148"/>
      <c r="BB98" s="6148"/>
      <c r="BC98" s="6148"/>
      <c r="BD98" s="2730">
        <v>1</v>
      </c>
    </row>
    <row r="99" spans="1:56" ht="21" customHeight="1">
      <c r="A99" s="6148">
        <v>1</v>
      </c>
      <c r="B99" s="6148"/>
      <c r="C99" s="6153" t="s">
        <v>15403</v>
      </c>
      <c r="D99" s="6153"/>
      <c r="E99" s="6153"/>
      <c r="F99" s="6153"/>
      <c r="G99" s="6153"/>
      <c r="H99" s="6264" t="s">
        <v>15404</v>
      </c>
      <c r="I99" s="6263">
        <f>IF(H108=D125,E108-(E108*F109%))</f>
        <v>0.625</v>
      </c>
      <c r="J99" s="6230" t="str">
        <f ca="1">_xlfn.FORMULATEXT(I99)</f>
        <v>=SI(H108=D125;E108-(E108*F109%))</v>
      </c>
      <c r="K99" s="5557"/>
      <c r="L99" s="6148">
        <v>1</v>
      </c>
      <c r="M99" s="6148">
        <v>1</v>
      </c>
      <c r="N99" s="6148"/>
      <c r="O99" s="6148">
        <v>1</v>
      </c>
      <c r="P99" s="6148"/>
      <c r="Q99" s="6148"/>
      <c r="R99" s="6148"/>
      <c r="S99" s="6148"/>
      <c r="T99" s="6148"/>
      <c r="U99" s="6148"/>
      <c r="V99" s="6148"/>
      <c r="W99" s="6148"/>
      <c r="X99" s="6148"/>
      <c r="Y99" s="6148"/>
      <c r="Z99" s="6148"/>
      <c r="AA99" s="6148"/>
      <c r="AB99" s="6148"/>
      <c r="AC99" s="6148"/>
      <c r="AD99" s="6148"/>
      <c r="AE99" s="6148"/>
      <c r="AF99" s="6148"/>
      <c r="AG99" s="6148"/>
      <c r="AH99" s="6148"/>
      <c r="AI99" s="6148"/>
      <c r="AJ99" s="6148"/>
      <c r="AK99" s="6148"/>
      <c r="AL99" s="6148"/>
      <c r="AM99" s="6148"/>
      <c r="AN99" s="6148"/>
      <c r="AO99" s="6148"/>
      <c r="AP99" s="6148"/>
      <c r="AQ99" s="6148"/>
      <c r="AR99" s="6148"/>
      <c r="AS99" s="6148"/>
      <c r="AT99" s="6148"/>
      <c r="AU99" s="6148"/>
      <c r="AV99" s="6148"/>
      <c r="AW99" s="6148"/>
      <c r="AX99" s="6148"/>
      <c r="AY99" s="6148"/>
      <c r="AZ99" s="6148"/>
      <c r="BA99" s="6148"/>
      <c r="BB99" s="6148"/>
      <c r="BC99" s="6148"/>
      <c r="BD99" s="2730">
        <v>1</v>
      </c>
    </row>
    <row r="100" spans="1:56" ht="21" customHeight="1" thickBot="1">
      <c r="A100" s="6148">
        <v>1</v>
      </c>
      <c r="B100" s="6148"/>
      <c r="C100" s="6148">
        <v>1</v>
      </c>
      <c r="D100" s="6148">
        <v>1</v>
      </c>
      <c r="E100" s="6148">
        <v>1</v>
      </c>
      <c r="F100" s="6148">
        <v>1</v>
      </c>
      <c r="G100" s="6148">
        <v>1</v>
      </c>
      <c r="H100" s="6148">
        <v>1</v>
      </c>
      <c r="I100" s="6148">
        <v>1</v>
      </c>
      <c r="J100" s="6265"/>
      <c r="K100" s="6148"/>
      <c r="L100" s="6148">
        <v>1</v>
      </c>
      <c r="M100" s="6148">
        <v>1</v>
      </c>
      <c r="N100" s="6148"/>
      <c r="O100" s="7839" t="s">
        <v>3112</v>
      </c>
      <c r="P100" s="6148"/>
      <c r="Q100" s="6148"/>
      <c r="R100" s="6148"/>
      <c r="S100" s="6148"/>
      <c r="T100" s="6148"/>
      <c r="U100" s="6148"/>
      <c r="V100" s="6148"/>
      <c r="W100" s="6148"/>
      <c r="X100" s="6148"/>
      <c r="Y100" s="6148"/>
      <c r="Z100" s="6148"/>
      <c r="AA100" s="6148"/>
      <c r="AB100" s="6148"/>
      <c r="AC100" s="6148"/>
      <c r="AD100" s="6148"/>
      <c r="AE100" s="6148"/>
      <c r="AF100" s="6148"/>
      <c r="AG100" s="6148"/>
      <c r="AH100" s="6148"/>
      <c r="AI100" s="6148"/>
      <c r="AJ100" s="6148"/>
      <c r="AK100" s="6148"/>
      <c r="AL100" s="6148"/>
      <c r="AM100" s="6148"/>
      <c r="AN100" s="6148"/>
      <c r="AO100" s="6148"/>
      <c r="AP100" s="6148"/>
      <c r="AQ100" s="6148"/>
      <c r="AR100" s="6148"/>
      <c r="AS100" s="6148"/>
      <c r="AT100" s="6148"/>
      <c r="AU100" s="6148"/>
      <c r="AV100" s="6148"/>
      <c r="AW100" s="6148"/>
      <c r="AX100" s="6148"/>
      <c r="AY100" s="6148"/>
      <c r="AZ100" s="6148"/>
      <c r="BA100" s="6148"/>
      <c r="BB100" s="6148"/>
      <c r="BC100" s="6148"/>
      <c r="BD100" s="2730">
        <v>1</v>
      </c>
    </row>
    <row r="101" spans="1:56" ht="21" customHeight="1">
      <c r="A101" s="6148">
        <v>1</v>
      </c>
      <c r="B101" s="7807" t="s">
        <v>67</v>
      </c>
      <c r="C101" s="7823" t="s">
        <v>15405</v>
      </c>
      <c r="D101" s="7823"/>
      <c r="E101" s="7823"/>
      <c r="F101" s="7823"/>
      <c r="G101" s="6266"/>
      <c r="H101" s="6267" t="str">
        <f>E109</f>
        <v>❻ %  de PERTE &gt;</v>
      </c>
      <c r="I101" s="6268" t="str">
        <f>_xlfn.UNICHAR(128269)&amp;"Cliquez sur les loupes"</f>
        <v>🔍Cliquez sur les loupes</v>
      </c>
      <c r="J101" s="6209"/>
      <c r="K101" s="6269" t="s">
        <v>15323</v>
      </c>
      <c r="L101" s="5557"/>
      <c r="M101" s="5557"/>
      <c r="N101" s="5557"/>
      <c r="O101" s="7839"/>
      <c r="P101" s="6148"/>
      <c r="Q101" s="6148"/>
      <c r="R101" s="6148"/>
      <c r="S101" s="6148"/>
      <c r="T101" s="6148"/>
      <c r="U101" s="6148"/>
      <c r="V101" s="6148"/>
      <c r="W101" s="6148"/>
      <c r="X101" s="6148"/>
      <c r="Y101" s="6148"/>
      <c r="Z101" s="6148"/>
      <c r="AA101" s="6148"/>
      <c r="AB101" s="6148"/>
      <c r="AC101" s="6148"/>
      <c r="AD101" s="6148"/>
      <c r="AE101" s="6148"/>
      <c r="AF101" s="6148"/>
      <c r="AG101" s="6148"/>
      <c r="AH101" s="6148"/>
      <c r="AI101" s="6148"/>
      <c r="AJ101" s="6148"/>
      <c r="AK101" s="6148"/>
      <c r="AL101" s="6148"/>
      <c r="AM101" s="6148"/>
      <c r="AN101" s="6148"/>
      <c r="AO101" s="6148"/>
      <c r="AP101" s="6148"/>
      <c r="AQ101" s="6148"/>
      <c r="AR101" s="6148"/>
      <c r="AS101" s="6148"/>
      <c r="AT101" s="6148"/>
      <c r="AU101" s="6148"/>
      <c r="AV101" s="6148"/>
      <c r="AW101" s="6148"/>
      <c r="AX101" s="6148"/>
      <c r="AY101" s="6148"/>
      <c r="AZ101" s="6148"/>
      <c r="BA101" s="6148"/>
      <c r="BB101" s="6148"/>
      <c r="BC101" s="6148"/>
      <c r="BD101" s="2730">
        <v>1</v>
      </c>
    </row>
    <row r="102" spans="1:56" ht="21" customHeight="1">
      <c r="A102" s="6148">
        <v>1</v>
      </c>
      <c r="B102" s="7808"/>
      <c r="C102" s="6270"/>
      <c r="D102" s="6270"/>
      <c r="E102" s="6271"/>
      <c r="F102" s="6272" t="s">
        <v>15406</v>
      </c>
      <c r="G102" s="6273" t="str">
        <f>IF(F108=D124,"CRU- Brut ou à cuire","CUIT - Net à servir")</f>
        <v>CRU- Brut ou à cuire</v>
      </c>
      <c r="H102" s="6274"/>
      <c r="I102" s="6275" t="str">
        <f>HYPERLINK("#"&amp;ADDRESS(ROW(G102),COLUMN(G102),4),_xlfn.UNICHAR(128269)&amp;"cellule "&amp;ADDRESS(ROW(G102),COLUMN(G102),4))</f>
        <v>🔍cellule G102</v>
      </c>
      <c r="J102" s="6276" t="str">
        <f>G102</f>
        <v>CRU- Brut ou à cuire</v>
      </c>
      <c r="K102" s="6230" t="str">
        <f ca="1">_xlfn.FORMULATEXT(G102)</f>
        <v>=SI(F108=D124;"CRU- Brut ou à cuire";"CUIT - Net à servir")</v>
      </c>
      <c r="L102" s="5557"/>
      <c r="M102" s="5557"/>
      <c r="N102" s="5557"/>
      <c r="O102" s="6148"/>
      <c r="P102" s="6148"/>
      <c r="Q102" s="6148"/>
      <c r="R102" s="6148"/>
      <c r="S102" s="6148"/>
      <c r="T102" s="6148"/>
      <c r="U102" s="6148"/>
      <c r="V102" s="6148"/>
      <c r="W102" s="6148"/>
      <c r="X102" s="6148"/>
      <c r="Y102" s="6148"/>
      <c r="Z102" s="6148"/>
      <c r="AA102" s="6148"/>
      <c r="AB102" s="6148"/>
      <c r="AC102" s="6148"/>
      <c r="AD102" s="6148"/>
      <c r="AE102" s="6148"/>
      <c r="AF102" s="6148"/>
      <c r="AG102" s="6148"/>
      <c r="AH102" s="6148"/>
      <c r="AI102" s="6148"/>
      <c r="AJ102" s="6148"/>
      <c r="AK102" s="6148"/>
      <c r="AL102" s="6148"/>
      <c r="AM102" s="6148"/>
      <c r="AN102" s="6148"/>
      <c r="AO102" s="6148"/>
      <c r="AP102" s="6148"/>
      <c r="AQ102" s="6148"/>
      <c r="AR102" s="6148"/>
      <c r="AS102" s="6148"/>
      <c r="AT102" s="6148"/>
      <c r="AU102" s="6148"/>
      <c r="AV102" s="6148"/>
      <c r="AW102" s="6148"/>
      <c r="AX102" s="6148"/>
      <c r="AY102" s="6148"/>
      <c r="AZ102" s="6148"/>
      <c r="BA102" s="6148"/>
      <c r="BB102" s="6148"/>
      <c r="BC102" s="6148"/>
      <c r="BD102" s="2730">
        <v>1</v>
      </c>
    </row>
    <row r="103" spans="1:56" ht="21" customHeight="1">
      <c r="A103" s="6148">
        <v>1</v>
      </c>
      <c r="B103" s="7810">
        <v>3</v>
      </c>
      <c r="C103" s="7799" t="str">
        <f>D105</f>
        <v>Sautés en morceaux service au poids</v>
      </c>
      <c r="D103" s="7799"/>
      <c r="E103" s="7799"/>
      <c r="F103" s="7799"/>
      <c r="G103" s="7799"/>
      <c r="H103" s="7800"/>
      <c r="I103" s="6275" t="str">
        <f>HYPERLINK("#"&amp;ADDRESS(ROW(E104),COLUMN(E104),4),_xlfn.UNICHAR(128269)&amp;"cellule "&amp;ADDRESS(ROW(E104),COLUMN(E104),4))</f>
        <v>🔍cellule E104</v>
      </c>
      <c r="J103" s="6277">
        <f>E104</f>
        <v>46</v>
      </c>
      <c r="K103" s="6230" t="str">
        <f ca="1">_xlfn.FORMULATEXT(E104)</f>
        <v>=ENT(E114/E108)</v>
      </c>
      <c r="L103" s="5557"/>
      <c r="M103" s="5557"/>
      <c r="N103" s="5557"/>
      <c r="O103" s="6148"/>
      <c r="P103" s="6148"/>
      <c r="Q103" s="6148"/>
      <c r="R103" s="6148"/>
      <c r="S103" s="6148"/>
      <c r="T103" s="6148"/>
      <c r="U103" s="6148"/>
      <c r="V103" s="6148"/>
      <c r="W103" s="6148"/>
      <c r="X103" s="6148"/>
      <c r="Y103" s="6148"/>
      <c r="Z103" s="6148"/>
      <c r="AA103" s="6148"/>
      <c r="AB103" s="6148"/>
      <c r="AC103" s="6148"/>
      <c r="AD103" s="6148"/>
      <c r="AE103" s="6148"/>
      <c r="AF103" s="6148"/>
      <c r="AG103" s="6148"/>
      <c r="AH103" s="6148"/>
      <c r="AI103" s="6148"/>
      <c r="AJ103" s="6148"/>
      <c r="AK103" s="6148"/>
      <c r="AL103" s="6148"/>
      <c r="AM103" s="6148"/>
      <c r="AN103" s="6148"/>
      <c r="AO103" s="6148"/>
      <c r="AP103" s="6148"/>
      <c r="AQ103" s="6148"/>
      <c r="AR103" s="6148"/>
      <c r="AS103" s="6148"/>
      <c r="AT103" s="6148"/>
      <c r="AU103" s="6148"/>
      <c r="AV103" s="6148"/>
      <c r="AW103" s="6148"/>
      <c r="AX103" s="6148"/>
      <c r="AY103" s="6148"/>
      <c r="AZ103" s="6148"/>
      <c r="BA103" s="6148"/>
      <c r="BB103" s="6148"/>
      <c r="BC103" s="6148"/>
      <c r="BD103" s="2730">
        <v>1</v>
      </c>
    </row>
    <row r="104" spans="1:56" ht="21" customHeight="1">
      <c r="A104" s="6148">
        <v>1</v>
      </c>
      <c r="B104" s="7810"/>
      <c r="C104" s="6278"/>
      <c r="D104" s="6279" t="s">
        <v>15407</v>
      </c>
      <c r="E104" s="6280">
        <f>INT(E114/E108)</f>
        <v>46</v>
      </c>
      <c r="F104" s="6281">
        <f>IF(E104=0,0,IF(E115=0,0,E108))</f>
        <v>1.25</v>
      </c>
      <c r="G104" s="6282" t="str">
        <f>IF(F104*E104=0,"1 de",IF(E114=0,0,IF(E108=0,0,IF(F104*E104=E114,"",IF(H104&gt;0,"Plus 1 de")))))</f>
        <v>Plus 1 de</v>
      </c>
      <c r="H104" s="6283">
        <f>IF(E108=0,0,IF(F104*E104=E114,"",MOD(E114,E108)))</f>
        <v>0.10000000000000142</v>
      </c>
      <c r="I104" s="6275" t="str">
        <f>HYPERLINK("#"&amp;ADDRESS(ROW(F104),COLUMN(F104),4),_xlfn.UNICHAR(128269)&amp;"cellule "&amp;ADDRESS(ROW(F104),COLUMN(F104),4))</f>
        <v>🔍cellule F104</v>
      </c>
      <c r="J104" s="6284">
        <f>F104</f>
        <v>1.25</v>
      </c>
      <c r="K104" s="6230" t="str">
        <f ca="1">_xlfn.FORMULATEXT(F104)</f>
        <v>=SI(E104=0;0;SI(E115=0;0;E108))</v>
      </c>
      <c r="L104" s="5557"/>
      <c r="M104" s="5557"/>
      <c r="N104" s="5557"/>
      <c r="O104" s="5557"/>
      <c r="P104" s="5557"/>
      <c r="Q104" s="6148"/>
      <c r="R104" s="6148"/>
      <c r="S104" s="6148"/>
      <c r="T104" s="6148"/>
      <c r="U104" s="6148"/>
      <c r="V104" s="6148"/>
      <c r="W104" s="6148"/>
      <c r="X104" s="6148"/>
      <c r="Y104" s="6148"/>
      <c r="Z104" s="6148"/>
      <c r="AA104" s="6148"/>
      <c r="AB104" s="6148"/>
      <c r="AC104" s="6148"/>
      <c r="AD104" s="6148"/>
      <c r="AE104" s="6148"/>
      <c r="AF104" s="6148"/>
      <c r="AG104" s="6148"/>
      <c r="AH104" s="6148"/>
      <c r="AI104" s="6148"/>
      <c r="AJ104" s="6148"/>
      <c r="AK104" s="6148"/>
      <c r="AL104" s="6148"/>
      <c r="AM104" s="6148"/>
      <c r="AN104" s="6148"/>
      <c r="AO104" s="6148"/>
      <c r="AP104" s="6148"/>
      <c r="AQ104" s="6148"/>
      <c r="AR104" s="6148"/>
      <c r="AS104" s="6148"/>
      <c r="AT104" s="6148"/>
      <c r="AU104" s="6148"/>
      <c r="AV104" s="6148"/>
      <c r="AW104" s="6148"/>
      <c r="AX104" s="6148"/>
      <c r="AY104" s="6148"/>
      <c r="AZ104" s="6148"/>
      <c r="BA104" s="6148"/>
      <c r="BB104" s="6148"/>
      <c r="BC104" s="6148"/>
      <c r="BD104" s="2730">
        <v>1</v>
      </c>
    </row>
    <row r="105" spans="1:56" ht="21" customHeight="1">
      <c r="A105" s="6148">
        <v>1</v>
      </c>
      <c r="B105" s="7810"/>
      <c r="C105" s="6285" t="s">
        <v>15408</v>
      </c>
      <c r="D105" s="6286" t="s">
        <v>15409</v>
      </c>
      <c r="E105" s="6287"/>
      <c r="F105" s="5557"/>
      <c r="G105" s="5557"/>
      <c r="H105" s="5738"/>
      <c r="I105" s="6275" t="str">
        <f>HYPERLINK("#"&amp;ADDRESS(ROW(G104),COLUMN(G104),4),_xlfn.UNICHAR(128269)&amp;"cellule "&amp;ADDRESS(ROW(G104),COLUMN(G104),4))</f>
        <v>🔍cellule G104</v>
      </c>
      <c r="J105" s="6288" t="str">
        <f>HYPERLINK("# G31",G104)</f>
        <v>Plus 1 de</v>
      </c>
      <c r="K105" s="6230" t="str">
        <f ca="1">_xlfn.FORMULATEXT(G104)</f>
        <v>=SI(F104*E104=0;"1 de";SI(E114=0;0;SI(E108=0;0;SI(F104*E104=E114;"";SI(H104&gt;0;"Plus 1 de")))))</v>
      </c>
      <c r="L105" s="5557"/>
      <c r="M105" s="5557"/>
      <c r="N105" s="5557"/>
      <c r="O105" s="5557"/>
      <c r="P105" s="5557"/>
      <c r="Q105" s="6148"/>
      <c r="R105" s="6148"/>
      <c r="S105" s="6148"/>
      <c r="T105" s="6148"/>
      <c r="U105" s="6148"/>
      <c r="V105" s="6148"/>
      <c r="W105" s="6148"/>
      <c r="X105" s="6148"/>
      <c r="Y105" s="6148"/>
      <c r="Z105" s="6148"/>
      <c r="AA105" s="6148"/>
      <c r="AB105" s="6148"/>
      <c r="AC105" s="6148"/>
      <c r="AD105" s="6148"/>
      <c r="AE105" s="6148"/>
      <c r="AF105" s="6148"/>
      <c r="AG105" s="6148"/>
      <c r="AH105" s="6148"/>
      <c r="AI105" s="6148"/>
      <c r="AJ105" s="6148"/>
      <c r="AK105" s="6148"/>
      <c r="AL105" s="6148"/>
      <c r="AM105" s="6148"/>
      <c r="AN105" s="6148"/>
      <c r="AO105" s="6148"/>
      <c r="AP105" s="6148"/>
      <c r="AQ105" s="6148"/>
      <c r="AR105" s="6148"/>
      <c r="AS105" s="6148"/>
      <c r="AT105" s="6148"/>
      <c r="AU105" s="6148"/>
      <c r="AV105" s="6148"/>
      <c r="AW105" s="6148"/>
      <c r="AX105" s="6148"/>
      <c r="AY105" s="6148"/>
      <c r="AZ105" s="6148"/>
      <c r="BA105" s="6148"/>
      <c r="BB105" s="6148"/>
      <c r="BC105" s="6148"/>
      <c r="BD105" s="2730">
        <v>1</v>
      </c>
    </row>
    <row r="106" spans="1:56" ht="21" customHeight="1">
      <c r="A106" s="6148">
        <v>1</v>
      </c>
      <c r="B106" s="7810"/>
      <c r="C106" s="5557"/>
      <c r="D106" s="5557"/>
      <c r="E106" s="6289" t="s">
        <v>15410</v>
      </c>
      <c r="F106" s="7812" t="s">
        <v>15411</v>
      </c>
      <c r="G106" s="7812"/>
      <c r="H106" s="7813"/>
      <c r="I106" s="6275" t="str">
        <f>HYPERLINK("#"&amp;ADDRESS(ROW(H104),COLUMN(H104),4),_xlfn.UNICHAR(128269)&amp;"cellule "&amp;ADDRESS(ROW(H104),COLUMN(H104),4))</f>
        <v>🔍cellule H104</v>
      </c>
      <c r="J106" s="6290">
        <f>H104</f>
        <v>0.10000000000000142</v>
      </c>
      <c r="K106" s="6230" t="str">
        <f ca="1">_xlfn.FORMULATEXT(H104)</f>
        <v>=SI(E108=0;0;SI(F104*E104=E114;"";MOD(E114;E108)))</v>
      </c>
      <c r="L106" s="5557"/>
      <c r="M106" s="5557"/>
      <c r="N106" s="5557"/>
      <c r="O106" s="5557"/>
      <c r="P106" s="5557"/>
      <c r="Q106" s="6148"/>
      <c r="R106" s="6148"/>
      <c r="S106" s="6148"/>
      <c r="T106" s="6148"/>
      <c r="U106" s="6148"/>
      <c r="V106" s="6148"/>
      <c r="W106" s="6148"/>
      <c r="X106" s="6148"/>
      <c r="Y106" s="6148"/>
      <c r="Z106" s="6148"/>
      <c r="AA106" s="6148"/>
      <c r="AB106" s="6148"/>
      <c r="AC106" s="6148"/>
      <c r="AD106" s="6148"/>
      <c r="AE106" s="6148"/>
      <c r="AF106" s="6148"/>
      <c r="AG106" s="6148"/>
      <c r="AH106" s="6148"/>
      <c r="AI106" s="6148"/>
      <c r="AJ106" s="6148"/>
      <c r="AK106" s="6148"/>
      <c r="AL106" s="6148"/>
      <c r="AM106" s="6148"/>
      <c r="AN106" s="6148"/>
      <c r="AO106" s="6148"/>
      <c r="AP106" s="6148"/>
      <c r="AQ106" s="6148"/>
      <c r="AR106" s="6148"/>
      <c r="AS106" s="6148"/>
      <c r="AT106" s="6148"/>
      <c r="AU106" s="6148"/>
      <c r="AV106" s="6148"/>
      <c r="AW106" s="6148"/>
      <c r="AX106" s="6148"/>
      <c r="AY106" s="6148"/>
      <c r="AZ106" s="6148"/>
      <c r="BA106" s="6148"/>
      <c r="BB106" s="6148"/>
      <c r="BC106" s="6148"/>
      <c r="BD106" s="2730">
        <v>1</v>
      </c>
    </row>
    <row r="107" spans="1:56" ht="21" customHeight="1">
      <c r="A107" s="6148">
        <v>1</v>
      </c>
      <c r="B107" s="7810"/>
      <c r="C107" s="5557"/>
      <c r="D107" s="6291"/>
      <c r="E107" s="6292"/>
      <c r="F107" s="6293" t="s">
        <v>15412</v>
      </c>
      <c r="G107" s="6291"/>
      <c r="H107" s="5738"/>
      <c r="I107" s="5562"/>
      <c r="J107" s="6294"/>
      <c r="K107" s="5557"/>
      <c r="L107" s="5557"/>
      <c r="M107" s="5557"/>
      <c r="N107" s="5557"/>
      <c r="O107" s="5557"/>
      <c r="P107" s="5557"/>
      <c r="Q107" s="6148"/>
      <c r="R107" s="6148"/>
      <c r="S107" s="6148"/>
      <c r="T107" s="6148"/>
      <c r="U107" s="6148"/>
      <c r="V107" s="6148"/>
      <c r="W107" s="6148"/>
      <c r="X107" s="6148"/>
      <c r="Y107" s="6148"/>
      <c r="Z107" s="6148"/>
      <c r="AA107" s="6148"/>
      <c r="AB107" s="6148"/>
      <c r="AC107" s="6148"/>
      <c r="AD107" s="6148"/>
      <c r="AE107" s="6148"/>
      <c r="AF107" s="6148"/>
      <c r="AG107" s="6148"/>
      <c r="AH107" s="6148"/>
      <c r="AI107" s="6148"/>
      <c r="AJ107" s="6148"/>
      <c r="AK107" s="6148"/>
      <c r="AL107" s="6148"/>
      <c r="AM107" s="6148"/>
      <c r="AN107" s="6148"/>
      <c r="AO107" s="6148"/>
      <c r="AP107" s="6148"/>
      <c r="AQ107" s="6148"/>
      <c r="AR107" s="6148"/>
      <c r="AS107" s="6148"/>
      <c r="AT107" s="6148"/>
      <c r="AU107" s="6148"/>
      <c r="AV107" s="6148"/>
      <c r="AW107" s="6148"/>
      <c r="AX107" s="6148"/>
      <c r="AY107" s="6148"/>
      <c r="AZ107" s="6148"/>
      <c r="BA107" s="6148"/>
      <c r="BB107" s="6148"/>
      <c r="BC107" s="6148"/>
      <c r="BD107" s="2730">
        <v>1</v>
      </c>
    </row>
    <row r="108" spans="1:56" ht="21" customHeight="1">
      <c r="A108" s="6148">
        <v>1</v>
      </c>
      <c r="B108" s="7810"/>
      <c r="C108" s="6295"/>
      <c r="D108" s="6296" t="s">
        <v>15413</v>
      </c>
      <c r="E108" s="6297">
        <v>1.25</v>
      </c>
      <c r="F108" s="6298" t="s">
        <v>15402</v>
      </c>
      <c r="G108" s="6299">
        <f>IF(F108=D124,E108-(E108*F109%),IF(F108=D125,E108/(100-F109)*100))</f>
        <v>0.625</v>
      </c>
      <c r="H108" s="6300" t="str">
        <f>H111</f>
        <v>❺ Kg cuit</v>
      </c>
      <c r="I108" s="6275" t="str">
        <f>HYPERLINK("#"&amp;ADDRESS(ROW(G108),COLUMN(G108),4),_xlfn.UNICHAR(128269)&amp;"cellule "&amp;ADDRESS(ROW(G108),COLUMN(G108),4))</f>
        <v>🔍cellule G108</v>
      </c>
      <c r="J108" s="6263">
        <f>G108</f>
        <v>0.625</v>
      </c>
      <c r="K108" s="6230" t="str">
        <f ca="1">_xlfn.FORMULATEXT(G108)</f>
        <v>=SI(F108=D124;E108-(E108*F109%);SI(F108=D125;E108/(100-F109)*100))</v>
      </c>
      <c r="L108" s="5557"/>
      <c r="M108" s="5557"/>
      <c r="N108" s="5557"/>
      <c r="O108" s="5557"/>
      <c r="P108" s="5557"/>
      <c r="Q108" s="6148"/>
      <c r="R108" s="6148"/>
      <c r="S108" s="6148"/>
      <c r="T108" s="6148"/>
      <c r="U108" s="6148"/>
      <c r="V108" s="6148"/>
      <c r="W108" s="6148"/>
      <c r="X108" s="6148"/>
      <c r="Y108" s="6148"/>
      <c r="Z108" s="6148"/>
      <c r="AA108" s="6148"/>
      <c r="AB108" s="6148"/>
      <c r="AC108" s="6148"/>
      <c r="AD108" s="6148"/>
      <c r="AE108" s="6148"/>
      <c r="AF108" s="6148"/>
      <c r="AG108" s="6148"/>
      <c r="AH108" s="6148"/>
      <c r="AI108" s="6148"/>
      <c r="AJ108" s="6148"/>
      <c r="AK108" s="6148"/>
      <c r="AL108" s="6148"/>
      <c r="AM108" s="6148"/>
      <c r="AN108" s="6148"/>
      <c r="AO108" s="6148"/>
      <c r="AP108" s="6148"/>
      <c r="AQ108" s="6148"/>
      <c r="AR108" s="6148"/>
      <c r="AS108" s="6148"/>
      <c r="AT108" s="6148"/>
      <c r="AU108" s="6148"/>
      <c r="AV108" s="6148"/>
      <c r="AW108" s="6148"/>
      <c r="AX108" s="6148"/>
      <c r="AY108" s="6148"/>
      <c r="AZ108" s="6148"/>
      <c r="BA108" s="6148"/>
      <c r="BB108" s="6148"/>
      <c r="BC108" s="6148"/>
      <c r="BD108" s="2730">
        <v>1</v>
      </c>
    </row>
    <row r="109" spans="1:56" ht="21" customHeight="1">
      <c r="A109" s="6148">
        <v>1</v>
      </c>
      <c r="B109" s="7810"/>
      <c r="C109" s="5557"/>
      <c r="D109" s="6209"/>
      <c r="E109" s="6301" t="str">
        <f>IF(F111=D125,"❻ % de BONI &gt;",IF(F111=D124,"❻ %  de PERTE &gt;",IF(ISBLANK(F109),0)))</f>
        <v>❻ %  de PERTE &gt;</v>
      </c>
      <c r="F109" s="6302">
        <v>50</v>
      </c>
      <c r="G109" s="5557"/>
      <c r="H109" s="5738"/>
      <c r="I109" s="6275" t="str">
        <f>HYPERLINK("#"&amp;ADDRESS(ROW(E109),COLUMN(E109),4),_xlfn.UNICHAR(128269)&amp;"cellule "&amp;ADDRESS(ROW(E109),COLUMN(E109),4))</f>
        <v>🔍cellule E109</v>
      </c>
      <c r="J109" s="6303" t="str">
        <f>E109</f>
        <v>❻ %  de PERTE &gt;</v>
      </c>
      <c r="K109" s="6230" t="str">
        <f ca="1">_xlfn.FORMULATEXT(E109)</f>
        <v>=SI(F111=D125;"❻ % de BONI &gt;";SI(F111=D124;"❻ %  de PERTE &gt;";SI(ESTVIDE(F109);0)))</v>
      </c>
      <c r="L109" s="5557"/>
      <c r="M109" s="5557"/>
      <c r="N109" s="5557"/>
      <c r="O109" s="5557"/>
      <c r="P109" s="5557"/>
      <c r="Q109" s="6148"/>
      <c r="R109" s="6148"/>
      <c r="S109" s="6148"/>
      <c r="T109" s="6148"/>
      <c r="U109" s="6148"/>
      <c r="V109" s="6148"/>
      <c r="W109" s="6148"/>
      <c r="X109" s="6148"/>
      <c r="Y109" s="6148"/>
      <c r="Z109" s="6148"/>
      <c r="AA109" s="6148"/>
      <c r="AB109" s="6148"/>
      <c r="AC109" s="6148"/>
      <c r="AD109" s="6148"/>
      <c r="AE109" s="6148"/>
      <c r="AF109" s="6148"/>
      <c r="AG109" s="6148"/>
      <c r="AH109" s="6148"/>
      <c r="AI109" s="6148"/>
      <c r="AJ109" s="6148"/>
      <c r="AK109" s="6148"/>
      <c r="AL109" s="6148"/>
      <c r="AM109" s="6148"/>
      <c r="AN109" s="6148"/>
      <c r="AO109" s="6148"/>
      <c r="AP109" s="6148"/>
      <c r="AQ109" s="6148"/>
      <c r="AR109" s="6148"/>
      <c r="AS109" s="6148"/>
      <c r="AT109" s="6148"/>
      <c r="AU109" s="6148"/>
      <c r="AV109" s="6148"/>
      <c r="AW109" s="6148"/>
      <c r="AX109" s="6148"/>
      <c r="AY109" s="6148"/>
      <c r="AZ109" s="6148"/>
      <c r="BA109" s="6148"/>
      <c r="BB109" s="6148"/>
      <c r="BC109" s="6148"/>
      <c r="BD109" s="2730">
        <v>1</v>
      </c>
    </row>
    <row r="110" spans="1:56" ht="21" customHeight="1">
      <c r="A110" s="6148">
        <v>1</v>
      </c>
      <c r="B110" s="7810"/>
      <c r="C110" s="5557"/>
      <c r="D110" s="5557"/>
      <c r="E110" s="5557"/>
      <c r="F110" s="5557"/>
      <c r="G110" s="5557"/>
      <c r="H110" s="5738"/>
      <c r="I110" s="5562"/>
      <c r="J110" s="6294"/>
      <c r="K110" s="5557"/>
      <c r="L110" s="5557"/>
      <c r="M110" s="5557"/>
      <c r="N110" s="5557"/>
      <c r="O110" s="5557"/>
      <c r="P110" s="5557"/>
      <c r="Q110" s="6148"/>
      <c r="R110" s="6148"/>
      <c r="S110" s="6148"/>
      <c r="T110" s="6148"/>
      <c r="U110" s="6148"/>
      <c r="V110" s="6148"/>
      <c r="W110" s="6148"/>
      <c r="X110" s="6148"/>
      <c r="Y110" s="6148"/>
      <c r="Z110" s="6148"/>
      <c r="AA110" s="6148"/>
      <c r="AB110" s="6148"/>
      <c r="AC110" s="6148"/>
      <c r="AD110" s="6148"/>
      <c r="AE110" s="6148"/>
      <c r="AF110" s="6148"/>
      <c r="AG110" s="6148"/>
      <c r="AH110" s="6148"/>
      <c r="AI110" s="6148"/>
      <c r="AJ110" s="6148"/>
      <c r="AK110" s="6148"/>
      <c r="AL110" s="6148"/>
      <c r="AM110" s="6148"/>
      <c r="AN110" s="6148"/>
      <c r="AO110" s="6148"/>
      <c r="AP110" s="6148"/>
      <c r="AQ110" s="6148"/>
      <c r="AR110" s="6148"/>
      <c r="AS110" s="6148"/>
      <c r="AT110" s="6148"/>
      <c r="AU110" s="6148"/>
      <c r="AV110" s="6148"/>
      <c r="AW110" s="6148"/>
      <c r="AX110" s="6148"/>
      <c r="AY110" s="6148"/>
      <c r="AZ110" s="6148"/>
      <c r="BA110" s="6148"/>
      <c r="BB110" s="6148"/>
      <c r="BC110" s="6148"/>
      <c r="BD110" s="2730">
        <v>1</v>
      </c>
    </row>
    <row r="111" spans="1:56" ht="21" customHeight="1">
      <c r="A111" s="6148">
        <v>1</v>
      </c>
      <c r="B111" s="7810"/>
      <c r="C111" s="5557"/>
      <c r="D111" s="6304" t="s">
        <v>15414</v>
      </c>
      <c r="E111" s="6305">
        <v>4.8000000000000001E-2</v>
      </c>
      <c r="F111" s="6306" t="str">
        <f>F108</f>
        <v>❹ Kg cru</v>
      </c>
      <c r="G111" s="6299">
        <f>IF(F111=D124,E111-(E111*F109%),IF(F111=D125,E111/(100-F109)*100))</f>
        <v>2.4E-2</v>
      </c>
      <c r="H111" s="6307" t="str">
        <f>IF(F111=D124,D125,D124)</f>
        <v>❺ Kg cuit</v>
      </c>
      <c r="I111" s="6275" t="str">
        <f>HYPERLINK("#"&amp;ADDRESS(ROW(G111),COLUMN(G111),4),_xlfn.UNICHAR(128269)&amp;"cellule "&amp;ADDRESS(ROW(G111),COLUMN(G111),4))</f>
        <v>🔍cellule G111</v>
      </c>
      <c r="J111" s="6263">
        <f>G111</f>
        <v>2.4E-2</v>
      </c>
      <c r="K111" s="6230" t="str">
        <f ca="1">_xlfn.FORMULATEXT(G111)</f>
        <v>=SI(F111=D124;E111-(E111*F109%);SI(F111=D125;E111/(100-F109)*100))</v>
      </c>
      <c r="L111" s="5557"/>
      <c r="M111" s="5557"/>
      <c r="N111" s="5557"/>
      <c r="O111" s="5557"/>
      <c r="P111" s="5557"/>
      <c r="Q111" s="6148"/>
      <c r="R111" s="6148"/>
      <c r="S111" s="6148"/>
      <c r="T111" s="6148"/>
      <c r="U111" s="6148"/>
      <c r="V111" s="6148"/>
      <c r="W111" s="6148"/>
      <c r="X111" s="6148"/>
      <c r="Y111" s="6148"/>
      <c r="Z111" s="6148"/>
      <c r="AA111" s="6148"/>
      <c r="AB111" s="6148"/>
      <c r="AC111" s="6148"/>
      <c r="AD111" s="6148"/>
      <c r="AE111" s="6148"/>
      <c r="AF111" s="6148"/>
      <c r="AG111" s="6148"/>
      <c r="AH111" s="6148"/>
      <c r="AI111" s="6148"/>
      <c r="AJ111" s="6148"/>
      <c r="AK111" s="6148"/>
      <c r="AL111" s="6148"/>
      <c r="AM111" s="6148"/>
      <c r="AN111" s="6148"/>
      <c r="AO111" s="6148"/>
      <c r="AP111" s="6148"/>
      <c r="AQ111" s="6148"/>
      <c r="AR111" s="6148"/>
      <c r="AS111" s="6148"/>
      <c r="AT111" s="6148"/>
      <c r="AU111" s="6148"/>
      <c r="AV111" s="6148"/>
      <c r="AW111" s="6148"/>
      <c r="AX111" s="6148"/>
      <c r="AY111" s="6148"/>
      <c r="AZ111" s="6148"/>
      <c r="BA111" s="6148"/>
      <c r="BB111" s="6148"/>
      <c r="BC111" s="6148"/>
      <c r="BD111" s="2730">
        <v>1</v>
      </c>
    </row>
    <row r="112" spans="1:56" ht="21" customHeight="1">
      <c r="A112" s="6148">
        <v>1</v>
      </c>
      <c r="B112" s="7810"/>
      <c r="C112" s="5557"/>
      <c r="D112" s="6308" t="s">
        <v>15415</v>
      </c>
      <c r="E112" s="6309">
        <v>1200</v>
      </c>
      <c r="F112" s="5629" t="s">
        <v>209</v>
      </c>
      <c r="G112" s="5557"/>
      <c r="H112" s="6310"/>
      <c r="I112" s="5562"/>
      <c r="J112" s="6294"/>
      <c r="K112" s="5557"/>
      <c r="L112" s="5557"/>
      <c r="M112" s="5557"/>
      <c r="N112" s="5557"/>
      <c r="O112" s="5557"/>
      <c r="P112" s="5557"/>
      <c r="Q112" s="6148"/>
      <c r="R112" s="6148"/>
      <c r="S112" s="6148"/>
      <c r="T112" s="6148"/>
      <c r="U112" s="6148"/>
      <c r="V112" s="6148"/>
      <c r="W112" s="6148"/>
      <c r="X112" s="6148"/>
      <c r="Y112" s="6148"/>
      <c r="Z112" s="6148"/>
      <c r="AA112" s="6148"/>
      <c r="AB112" s="6148"/>
      <c r="AC112" s="6148"/>
      <c r="AD112" s="6148"/>
      <c r="AE112" s="6148"/>
      <c r="AF112" s="6148"/>
      <c r="AG112" s="6148"/>
      <c r="AH112" s="6148"/>
      <c r="AI112" s="6148"/>
      <c r="AJ112" s="6148"/>
      <c r="AK112" s="6148"/>
      <c r="AL112" s="6148"/>
      <c r="AM112" s="6148"/>
      <c r="AN112" s="6148"/>
      <c r="AO112" s="6148"/>
      <c r="AP112" s="6148"/>
      <c r="AQ112" s="6148"/>
      <c r="AR112" s="6148"/>
      <c r="AS112" s="6148"/>
      <c r="AT112" s="6148"/>
      <c r="AU112" s="6148"/>
      <c r="AV112" s="6148"/>
      <c r="AW112" s="6148"/>
      <c r="AX112" s="6148"/>
      <c r="AY112" s="6148"/>
      <c r="AZ112" s="6148"/>
      <c r="BA112" s="6148"/>
      <c r="BB112" s="6148"/>
      <c r="BC112" s="6148"/>
      <c r="BD112" s="2730">
        <v>1</v>
      </c>
    </row>
    <row r="113" spans="1:56" ht="21" customHeight="1">
      <c r="A113" s="6148">
        <v>1</v>
      </c>
      <c r="B113" s="7810"/>
      <c r="C113" s="5557"/>
      <c r="D113" s="5557"/>
      <c r="E113" s="5557"/>
      <c r="F113" s="5557"/>
      <c r="G113" s="5557"/>
      <c r="H113" s="5738"/>
      <c r="I113" s="5562"/>
      <c r="J113" s="6294"/>
      <c r="K113" s="5557"/>
      <c r="L113" s="5557"/>
      <c r="M113" s="5557"/>
      <c r="N113" s="5557"/>
      <c r="O113" s="5557"/>
      <c r="P113" s="5557"/>
      <c r="Q113" s="6148"/>
      <c r="R113" s="6148"/>
      <c r="S113" s="6148"/>
      <c r="T113" s="6148"/>
      <c r="U113" s="6148"/>
      <c r="V113" s="6148"/>
      <c r="W113" s="6148"/>
      <c r="X113" s="6148"/>
      <c r="Y113" s="6148"/>
      <c r="Z113" s="6148"/>
      <c r="AA113" s="6148"/>
      <c r="AB113" s="6148"/>
      <c r="AC113" s="6148"/>
      <c r="AD113" s="6148"/>
      <c r="AE113" s="6148"/>
      <c r="AF113" s="6148"/>
      <c r="AG113" s="6148"/>
      <c r="AH113" s="6148"/>
      <c r="AI113" s="6148"/>
      <c r="AJ113" s="6148"/>
      <c r="AK113" s="6148"/>
      <c r="AL113" s="6148"/>
      <c r="AM113" s="6148"/>
      <c r="AN113" s="6148"/>
      <c r="AO113" s="6148"/>
      <c r="AP113" s="6148"/>
      <c r="AQ113" s="6148"/>
      <c r="AR113" s="6148"/>
      <c r="AS113" s="6148"/>
      <c r="AT113" s="6148"/>
      <c r="AU113" s="6148"/>
      <c r="AV113" s="6148"/>
      <c r="AW113" s="6148"/>
      <c r="AX113" s="6148"/>
      <c r="AY113" s="6148"/>
      <c r="AZ113" s="6148"/>
      <c r="BA113" s="6148"/>
      <c r="BB113" s="6148"/>
      <c r="BC113" s="6148"/>
      <c r="BD113" s="2730">
        <v>1</v>
      </c>
    </row>
    <row r="114" spans="1:56" ht="21" customHeight="1">
      <c r="A114" s="6148">
        <v>1</v>
      </c>
      <c r="B114" s="7810"/>
      <c r="C114" s="5557"/>
      <c r="D114" s="6311" t="s">
        <v>15416</v>
      </c>
      <c r="E114" s="6312">
        <f>IF(E108=0,0,E111*E112)</f>
        <v>57.6</v>
      </c>
      <c r="F114" s="6313" t="str">
        <f>F108</f>
        <v>❹ Kg cru</v>
      </c>
      <c r="G114" s="6314">
        <f>IF(E108=0,0,G111*E112)</f>
        <v>28.8</v>
      </c>
      <c r="H114" s="6315" t="str">
        <f>H111</f>
        <v>❺ Kg cuit</v>
      </c>
      <c r="I114" s="6275" t="str">
        <f>HYPERLINK("#"&amp;ADDRESS(ROW(E114),COLUMN(E114),4),_xlfn.UNICHAR(128269)&amp;"cellule "&amp;ADDRESS(ROW(E114),COLUMN(E114),4))</f>
        <v>🔍cellule E114</v>
      </c>
      <c r="J114" s="6312">
        <f>E114</f>
        <v>57.6</v>
      </c>
      <c r="K114" s="6230" t="str">
        <f ca="1">_xlfn.FORMULATEXT(E114)</f>
        <v>=SI(E108=0;0;E111*E112)</v>
      </c>
      <c r="L114" s="5557"/>
      <c r="M114" s="5557"/>
      <c r="N114" s="5557"/>
      <c r="O114" s="5557"/>
      <c r="P114" s="5557"/>
      <c r="Q114" s="6148"/>
      <c r="R114" s="6148"/>
      <c r="S114" s="6148"/>
      <c r="T114" s="6148"/>
      <c r="U114" s="6148"/>
      <c r="V114" s="6148"/>
      <c r="W114" s="6148"/>
      <c r="X114" s="6148"/>
      <c r="Y114" s="6148"/>
      <c r="Z114" s="6148"/>
      <c r="AA114" s="6148"/>
      <c r="AB114" s="6148"/>
      <c r="AC114" s="6148"/>
      <c r="AD114" s="6148"/>
      <c r="AE114" s="6148"/>
      <c r="AF114" s="6148"/>
      <c r="AG114" s="6148"/>
      <c r="AH114" s="6148"/>
      <c r="AI114" s="6148"/>
      <c r="AJ114" s="6148"/>
      <c r="AK114" s="6148"/>
      <c r="AL114" s="6148"/>
      <c r="AM114" s="6148"/>
      <c r="AN114" s="6148"/>
      <c r="AO114" s="6148"/>
      <c r="AP114" s="6148"/>
      <c r="AQ114" s="6148"/>
      <c r="AR114" s="6148"/>
      <c r="AS114" s="6148"/>
      <c r="AT114" s="6148"/>
      <c r="AU114" s="6148"/>
      <c r="AV114" s="6148"/>
      <c r="AW114" s="6148"/>
      <c r="AX114" s="6148"/>
      <c r="AY114" s="6148"/>
      <c r="AZ114" s="6148"/>
      <c r="BA114" s="6148"/>
      <c r="BB114" s="6148"/>
      <c r="BC114" s="6148"/>
      <c r="BD114" s="2730">
        <v>1</v>
      </c>
    </row>
    <row r="115" spans="1:56" ht="21" customHeight="1">
      <c r="A115" s="6148">
        <v>1</v>
      </c>
      <c r="B115" s="7810"/>
      <c r="C115" s="6209"/>
      <c r="D115" s="6316" t="s">
        <v>15417</v>
      </c>
      <c r="E115" s="6317">
        <f>IF(E108=0,0,IF(MOD(E114,E108)&gt;MOD(E114,E108)/2,INT(E114/E108)+1,INT(E114/E108)))</f>
        <v>47</v>
      </c>
      <c r="F115" s="6318" t="s">
        <v>15418</v>
      </c>
      <c r="G115" s="6319">
        <f>IF(ISBLANK(E111),0,E108/E111)</f>
        <v>26.041666666666668</v>
      </c>
      <c r="H115" s="5738"/>
      <c r="I115" s="6275" t="str">
        <f>HYPERLINK("#"&amp;ADDRESS(ROW(E115),COLUMN(E115),4),_xlfn.UNICHAR(128269)&amp;"cellule "&amp;ADDRESS(ROW(E115),COLUMN(E115),4))</f>
        <v>🔍cellule E115</v>
      </c>
      <c r="J115" s="6317">
        <f>E115</f>
        <v>47</v>
      </c>
      <c r="K115" s="6230" t="str">
        <f ca="1">_xlfn.FORMULATEXT(E115)</f>
        <v>=SI(E108=0;0;SI(MOD(E114;E108)&gt;MOD(E114;E108)/2;ENT(E114/E108)+1;ENT(E114/E108)))</v>
      </c>
      <c r="L115" s="5557"/>
      <c r="M115" s="5557"/>
      <c r="N115" s="5557"/>
      <c r="O115" s="5557"/>
      <c r="P115" s="5557"/>
      <c r="Q115" s="6148"/>
      <c r="R115" s="6148"/>
      <c r="S115" s="6148"/>
      <c r="T115" s="6148"/>
      <c r="U115" s="6148"/>
      <c r="V115" s="6148"/>
      <c r="W115" s="6148"/>
      <c r="X115" s="6148"/>
      <c r="Y115" s="6148"/>
      <c r="Z115" s="6148"/>
      <c r="AA115" s="6148"/>
      <c r="AB115" s="6148"/>
      <c r="AC115" s="6148"/>
      <c r="AD115" s="6148"/>
      <c r="AE115" s="6148"/>
      <c r="AF115" s="6148"/>
      <c r="AG115" s="6148"/>
      <c r="AH115" s="6148"/>
      <c r="AI115" s="6148"/>
      <c r="AJ115" s="6148"/>
      <c r="AK115" s="6148"/>
      <c r="AL115" s="6148"/>
      <c r="AM115" s="6148"/>
      <c r="AN115" s="6148"/>
      <c r="AO115" s="6148"/>
      <c r="AP115" s="6148"/>
      <c r="AQ115" s="6148"/>
      <c r="AR115" s="6148"/>
      <c r="AS115" s="6148"/>
      <c r="AT115" s="6148"/>
      <c r="AU115" s="6148"/>
      <c r="AV115" s="6148"/>
      <c r="AW115" s="6148"/>
      <c r="AX115" s="6148"/>
      <c r="AY115" s="6148"/>
      <c r="AZ115" s="6148"/>
      <c r="BA115" s="6148"/>
      <c r="BB115" s="6148"/>
      <c r="BC115" s="6148"/>
      <c r="BD115" s="2730">
        <v>1</v>
      </c>
    </row>
    <row r="116" spans="1:56" ht="21" customHeight="1">
      <c r="A116" s="6148">
        <v>1</v>
      </c>
      <c r="B116" s="7810"/>
      <c r="C116" s="5557"/>
      <c r="D116" s="6316"/>
      <c r="E116" s="6317"/>
      <c r="F116" s="6320"/>
      <c r="G116" s="6319"/>
      <c r="H116" s="5738"/>
      <c r="I116" s="6275" t="str">
        <f>HYPERLINK("#"&amp;ADDRESS(ROW(G115),COLUMN(G115),4),_xlfn.UNICHAR(128269)&amp;"cellule "&amp;ADDRESS(ROW(G115),COLUMN(G115),4))</f>
        <v>🔍cellule G115</v>
      </c>
      <c r="J116" s="6319">
        <f>G115</f>
        <v>26.041666666666668</v>
      </c>
      <c r="K116" s="6230" t="str">
        <f ca="1">_xlfn.FORMULATEXT(G115)</f>
        <v>=SI(ESTVIDE(E111);0;E108/E111)</v>
      </c>
      <c r="L116" s="5557"/>
      <c r="M116" s="5557"/>
      <c r="N116" s="5557"/>
      <c r="O116" s="5557"/>
      <c r="P116" s="5557"/>
      <c r="Q116" s="6148"/>
      <c r="R116" s="6148"/>
      <c r="S116" s="6148"/>
      <c r="T116" s="6148"/>
      <c r="U116" s="6148"/>
      <c r="V116" s="6148"/>
      <c r="W116" s="6148"/>
      <c r="X116" s="6148"/>
      <c r="Y116" s="6148"/>
      <c r="Z116" s="6148"/>
      <c r="AA116" s="6148"/>
      <c r="AB116" s="6148"/>
      <c r="AC116" s="6148"/>
      <c r="AD116" s="6148"/>
      <c r="AE116" s="6148"/>
      <c r="AF116" s="6148"/>
      <c r="AG116" s="6148"/>
      <c r="AH116" s="6148"/>
      <c r="AI116" s="6148"/>
      <c r="AJ116" s="6148"/>
      <c r="AK116" s="6148"/>
      <c r="AL116" s="6148"/>
      <c r="AM116" s="6148"/>
      <c r="AN116" s="6148"/>
      <c r="AO116" s="6148"/>
      <c r="AP116" s="6148"/>
      <c r="AQ116" s="6148"/>
      <c r="AR116" s="6148"/>
      <c r="AS116" s="6148"/>
      <c r="AT116" s="6148"/>
      <c r="AU116" s="6148"/>
      <c r="AV116" s="6148"/>
      <c r="AW116" s="6148"/>
      <c r="AX116" s="6148"/>
      <c r="AY116" s="6148"/>
      <c r="AZ116" s="6148"/>
      <c r="BA116" s="6148"/>
      <c r="BB116" s="6148"/>
      <c r="BC116" s="6148"/>
      <c r="BD116" s="2730">
        <v>1</v>
      </c>
    </row>
    <row r="117" spans="1:56" ht="21" customHeight="1">
      <c r="A117" s="6148">
        <v>1</v>
      </c>
      <c r="B117" s="7810"/>
      <c r="C117" s="7801" t="s">
        <v>14841</v>
      </c>
      <c r="D117" s="7801"/>
      <c r="E117" s="7801"/>
      <c r="F117" s="7801"/>
      <c r="G117" s="7801"/>
      <c r="H117" s="7802"/>
      <c r="I117" s="6148"/>
      <c r="J117" s="6148"/>
      <c r="K117" s="6148"/>
      <c r="L117" s="6148"/>
      <c r="M117" s="6148"/>
      <c r="N117" s="6148"/>
      <c r="O117" s="6148"/>
      <c r="P117" s="6148"/>
      <c r="Q117" s="6148"/>
      <c r="R117" s="6148"/>
      <c r="S117" s="6148"/>
      <c r="T117" s="6148"/>
      <c r="U117" s="6148"/>
      <c r="V117" s="6148"/>
      <c r="W117" s="6148"/>
      <c r="X117" s="6148"/>
      <c r="Y117" s="6148"/>
      <c r="Z117" s="6148"/>
      <c r="AA117" s="6148"/>
      <c r="AB117" s="6148"/>
      <c r="AC117" s="6148"/>
      <c r="AD117" s="6148"/>
      <c r="AE117" s="6148"/>
      <c r="AF117" s="6148"/>
      <c r="AG117" s="6148"/>
      <c r="AH117" s="6148"/>
      <c r="AI117" s="6148"/>
      <c r="AJ117" s="6148"/>
      <c r="AK117" s="6148"/>
      <c r="AL117" s="6148"/>
      <c r="AM117" s="6148"/>
      <c r="AN117" s="6148"/>
      <c r="AO117" s="6148"/>
      <c r="AP117" s="6148"/>
      <c r="AQ117" s="6148"/>
      <c r="AR117" s="6148"/>
      <c r="AS117" s="6148"/>
      <c r="AT117" s="6148"/>
      <c r="AU117" s="6148"/>
      <c r="AV117" s="6148"/>
      <c r="AW117" s="6148"/>
      <c r="AX117" s="6148"/>
      <c r="AY117" s="6148"/>
      <c r="AZ117" s="6148"/>
      <c r="BA117" s="6148"/>
      <c r="BB117" s="6148"/>
      <c r="BC117" s="6148"/>
      <c r="BD117" s="2730">
        <v>1</v>
      </c>
    </row>
    <row r="118" spans="1:56" ht="21" customHeight="1">
      <c r="A118" s="6148">
        <v>1</v>
      </c>
      <c r="B118" s="7810"/>
      <c r="C118" s="7801"/>
      <c r="D118" s="7801"/>
      <c r="E118" s="7801"/>
      <c r="F118" s="7801"/>
      <c r="G118" s="7801"/>
      <c r="H118" s="7802"/>
      <c r="I118" s="6148"/>
      <c r="J118" s="6148"/>
      <c r="K118" s="6148"/>
      <c r="L118" s="6148"/>
      <c r="M118" s="6148"/>
      <c r="N118" s="6148"/>
      <c r="O118" s="6148"/>
      <c r="P118" s="6148"/>
      <c r="Q118" s="6148"/>
      <c r="R118" s="6148"/>
      <c r="S118" s="6148"/>
      <c r="T118" s="6148"/>
      <c r="U118" s="6148"/>
      <c r="V118" s="6148"/>
      <c r="W118" s="6148"/>
      <c r="X118" s="6148"/>
      <c r="Y118" s="6148"/>
      <c r="Z118" s="6148"/>
      <c r="AA118" s="6148"/>
      <c r="AB118" s="6148"/>
      <c r="AC118" s="6148"/>
      <c r="AD118" s="6148"/>
      <c r="AE118" s="6148"/>
      <c r="AF118" s="6148"/>
      <c r="AG118" s="6148"/>
      <c r="AH118" s="6148"/>
      <c r="AI118" s="6148"/>
      <c r="AJ118" s="6148"/>
      <c r="AK118" s="6148"/>
      <c r="AL118" s="6148"/>
      <c r="AM118" s="6148"/>
      <c r="AN118" s="6148"/>
      <c r="AO118" s="6148"/>
      <c r="AP118" s="6148"/>
      <c r="AQ118" s="6148"/>
      <c r="AR118" s="6148"/>
      <c r="AS118" s="6148"/>
      <c r="AT118" s="6148"/>
      <c r="AU118" s="6148"/>
      <c r="AV118" s="6148"/>
      <c r="AW118" s="6148"/>
      <c r="AX118" s="6148"/>
      <c r="AY118" s="6148"/>
      <c r="AZ118" s="6148"/>
      <c r="BA118" s="6148"/>
      <c r="BB118" s="6148"/>
      <c r="BC118" s="6148"/>
      <c r="BD118" s="2730">
        <v>1</v>
      </c>
    </row>
    <row r="119" spans="1:56" ht="21" customHeight="1">
      <c r="A119" s="6148">
        <v>1</v>
      </c>
      <c r="B119" s="7810"/>
      <c r="C119" s="6321" t="s">
        <v>15419</v>
      </c>
      <c r="D119" s="6322"/>
      <c r="E119" s="6322"/>
      <c r="F119" s="6322"/>
      <c r="G119" s="6322"/>
      <c r="H119" s="6323"/>
      <c r="I119" s="6148"/>
      <c r="J119" s="6148"/>
      <c r="K119" s="6148"/>
      <c r="L119" s="6148"/>
      <c r="M119" s="6148"/>
      <c r="N119" s="6148"/>
      <c r="O119" s="6148"/>
      <c r="P119" s="6148"/>
      <c r="Q119" s="6148"/>
      <c r="R119" s="6148"/>
      <c r="S119" s="6148"/>
      <c r="T119" s="6148"/>
      <c r="U119" s="6148"/>
      <c r="V119" s="6148"/>
      <c r="W119" s="6148"/>
      <c r="X119" s="6148"/>
      <c r="Y119" s="6148"/>
      <c r="Z119" s="6148"/>
      <c r="AA119" s="6148"/>
      <c r="AB119" s="6148"/>
      <c r="AC119" s="6148"/>
      <c r="AD119" s="6148"/>
      <c r="AE119" s="6148"/>
      <c r="AF119" s="6148"/>
      <c r="AG119" s="6148"/>
      <c r="AH119" s="6148"/>
      <c r="AI119" s="6148"/>
      <c r="AJ119" s="6148"/>
      <c r="AK119" s="6148"/>
      <c r="AL119" s="6148"/>
      <c r="AM119" s="6148"/>
      <c r="AN119" s="6148"/>
      <c r="AO119" s="6148"/>
      <c r="AP119" s="6148"/>
      <c r="AQ119" s="6148"/>
      <c r="AR119" s="6148"/>
      <c r="AS119" s="6148"/>
      <c r="AT119" s="6148"/>
      <c r="AU119" s="6148"/>
      <c r="AV119" s="6148"/>
      <c r="AW119" s="6148"/>
      <c r="AX119" s="6148"/>
      <c r="AY119" s="6148"/>
      <c r="AZ119" s="6148"/>
      <c r="BA119" s="6148"/>
      <c r="BB119" s="6148"/>
      <c r="BC119" s="6148"/>
      <c r="BD119" s="2730">
        <v>1</v>
      </c>
    </row>
    <row r="120" spans="1:56" ht="21" customHeight="1">
      <c r="A120" s="6148">
        <v>1</v>
      </c>
      <c r="B120" s="7810"/>
      <c r="C120" s="7814" t="s">
        <v>15420</v>
      </c>
      <c r="D120" s="7814"/>
      <c r="E120" s="7814"/>
      <c r="F120" s="7814"/>
      <c r="G120" s="7814"/>
      <c r="H120" s="7815"/>
      <c r="I120" s="6148"/>
      <c r="J120" s="6148"/>
      <c r="K120" s="6148"/>
      <c r="L120" s="6148"/>
      <c r="M120" s="6148"/>
      <c r="N120" s="6148"/>
      <c r="O120" s="6148"/>
      <c r="P120" s="6148"/>
      <c r="Q120" s="6148"/>
      <c r="R120" s="6148"/>
      <c r="S120" s="6148"/>
      <c r="T120" s="6148"/>
      <c r="U120" s="6148"/>
      <c r="V120" s="6148"/>
      <c r="W120" s="6148"/>
      <c r="X120" s="6148"/>
      <c r="Y120" s="6148"/>
      <c r="Z120" s="6148"/>
      <c r="AA120" s="6148"/>
      <c r="AB120" s="6148"/>
      <c r="AC120" s="6148"/>
      <c r="AD120" s="6148"/>
      <c r="AE120" s="6148"/>
      <c r="AF120" s="6148"/>
      <c r="AG120" s="6148"/>
      <c r="AH120" s="6148"/>
      <c r="AI120" s="6148"/>
      <c r="AJ120" s="6148"/>
      <c r="AK120" s="6148"/>
      <c r="AL120" s="6148"/>
      <c r="AM120" s="6148"/>
      <c r="AN120" s="6148"/>
      <c r="AO120" s="6148"/>
      <c r="AP120" s="6148"/>
      <c r="AQ120" s="6148"/>
      <c r="AR120" s="6148"/>
      <c r="AS120" s="6148"/>
      <c r="AT120" s="6148"/>
      <c r="AU120" s="6148"/>
      <c r="AV120" s="6148"/>
      <c r="AW120" s="6148"/>
      <c r="AX120" s="6148"/>
      <c r="AY120" s="6148"/>
      <c r="AZ120" s="6148"/>
      <c r="BA120" s="6148"/>
      <c r="BB120" s="6148"/>
      <c r="BC120" s="6148"/>
      <c r="BD120" s="2730">
        <v>1</v>
      </c>
    </row>
    <row r="121" spans="1:56" ht="21" customHeight="1">
      <c r="A121" s="6148">
        <v>1</v>
      </c>
      <c r="B121" s="7810"/>
      <c r="C121" s="6324" t="s">
        <v>15421</v>
      </c>
      <c r="D121" s="5557"/>
      <c r="E121" s="5557"/>
      <c r="F121" s="6262" t="s">
        <v>15422</v>
      </c>
      <c r="G121" s="5557"/>
      <c r="H121" s="5738"/>
      <c r="I121" s="6148"/>
      <c r="J121" s="6148"/>
      <c r="K121" s="6148"/>
      <c r="L121" s="6148"/>
      <c r="M121" s="6148"/>
      <c r="N121" s="6148"/>
      <c r="O121" s="6148"/>
      <c r="P121" s="6148"/>
      <c r="Q121" s="6148"/>
      <c r="R121" s="6148"/>
      <c r="S121" s="6148"/>
      <c r="T121" s="6148"/>
      <c r="U121" s="6148"/>
      <c r="V121" s="6148"/>
      <c r="W121" s="6148"/>
      <c r="X121" s="6148"/>
      <c r="Y121" s="6148"/>
      <c r="Z121" s="6148"/>
      <c r="AA121" s="6148"/>
      <c r="AB121" s="6148"/>
      <c r="AC121" s="6148"/>
      <c r="AD121" s="6148"/>
      <c r="AE121" s="6148"/>
      <c r="AF121" s="6148"/>
      <c r="AG121" s="6148"/>
      <c r="AH121" s="6148"/>
      <c r="AI121" s="6148"/>
      <c r="AJ121" s="6148"/>
      <c r="AK121" s="6148"/>
      <c r="AL121" s="6148"/>
      <c r="AM121" s="6148"/>
      <c r="AN121" s="6148"/>
      <c r="AO121" s="6148"/>
      <c r="AP121" s="6148"/>
      <c r="AQ121" s="6148"/>
      <c r="AR121" s="6148"/>
      <c r="AS121" s="6148"/>
      <c r="AT121" s="6148"/>
      <c r="AU121" s="6148"/>
      <c r="AV121" s="6148"/>
      <c r="AW121" s="6148"/>
      <c r="AX121" s="6148"/>
      <c r="AY121" s="6148"/>
      <c r="AZ121" s="6148"/>
      <c r="BA121" s="6148"/>
      <c r="BB121" s="6148"/>
      <c r="BC121" s="6148"/>
      <c r="BD121" s="2730">
        <v>1</v>
      </c>
    </row>
    <row r="122" spans="1:56" ht="21" customHeight="1">
      <c r="A122" s="6148">
        <v>1</v>
      </c>
      <c r="B122" s="7810"/>
      <c r="C122" s="6325" t="s">
        <v>15410</v>
      </c>
      <c r="D122" s="5557"/>
      <c r="E122" s="5557"/>
      <c r="F122" s="6326" t="s">
        <v>15423</v>
      </c>
      <c r="G122" s="5557"/>
      <c r="H122" s="5738"/>
      <c r="I122" s="6148"/>
      <c r="J122" s="6148"/>
      <c r="K122" s="6148"/>
      <c r="L122" s="6148"/>
      <c r="M122" s="6148"/>
      <c r="N122" s="6148"/>
      <c r="O122" s="6148"/>
      <c r="P122" s="6148"/>
      <c r="Q122" s="6148"/>
      <c r="R122" s="6148"/>
      <c r="S122" s="6148"/>
      <c r="T122" s="6148"/>
      <c r="U122" s="6148"/>
      <c r="V122" s="6148"/>
      <c r="W122" s="6148"/>
      <c r="X122" s="6148"/>
      <c r="Y122" s="6148"/>
      <c r="Z122" s="6148"/>
      <c r="AA122" s="6148"/>
      <c r="AB122" s="6148"/>
      <c r="AC122" s="6148"/>
      <c r="AD122" s="6148"/>
      <c r="AE122" s="6148"/>
      <c r="AF122" s="6148"/>
      <c r="AG122" s="6148"/>
      <c r="AH122" s="6148"/>
      <c r="AI122" s="6148"/>
      <c r="AJ122" s="6148"/>
      <c r="AK122" s="6148"/>
      <c r="AL122" s="6148"/>
      <c r="AM122" s="6148"/>
      <c r="AN122" s="6148"/>
      <c r="AO122" s="6148"/>
      <c r="AP122" s="6148"/>
      <c r="AQ122" s="6148"/>
      <c r="AR122" s="6148"/>
      <c r="AS122" s="6148"/>
      <c r="AT122" s="6148"/>
      <c r="AU122" s="6148"/>
      <c r="AV122" s="6148"/>
      <c r="AW122" s="6148"/>
      <c r="AX122" s="6148"/>
      <c r="AY122" s="6148"/>
      <c r="AZ122" s="6148"/>
      <c r="BA122" s="6148"/>
      <c r="BB122" s="6148"/>
      <c r="BC122" s="6148"/>
      <c r="BD122" s="2730">
        <v>1</v>
      </c>
    </row>
    <row r="123" spans="1:56" ht="21" customHeight="1">
      <c r="A123" s="6148">
        <v>1</v>
      </c>
      <c r="B123" s="7810"/>
      <c r="C123" s="6327" t="s">
        <v>15424</v>
      </c>
      <c r="D123" s="5557"/>
      <c r="E123" s="5557"/>
      <c r="F123" s="6328" t="s">
        <v>15425</v>
      </c>
      <c r="G123" s="5557"/>
      <c r="H123" s="5738"/>
      <c r="I123" s="6148"/>
      <c r="J123" s="6148"/>
      <c r="K123" s="6148"/>
      <c r="L123" s="6148"/>
      <c r="M123" s="6148"/>
      <c r="N123" s="6148"/>
      <c r="O123" s="6148"/>
      <c r="P123" s="6148"/>
      <c r="Q123" s="6148"/>
      <c r="R123" s="6148"/>
      <c r="S123" s="6148"/>
      <c r="T123" s="6148"/>
      <c r="U123" s="6148"/>
      <c r="V123" s="6148"/>
      <c r="W123" s="6148"/>
      <c r="X123" s="6148"/>
      <c r="Y123" s="6148"/>
      <c r="Z123" s="6148"/>
      <c r="AA123" s="6148"/>
      <c r="AB123" s="6148"/>
      <c r="AC123" s="6148"/>
      <c r="AD123" s="6148"/>
      <c r="AE123" s="6148"/>
      <c r="AF123" s="6148"/>
      <c r="AG123" s="6148"/>
      <c r="AH123" s="6148"/>
      <c r="AI123" s="6148"/>
      <c r="AJ123" s="6148"/>
      <c r="AK123" s="6148"/>
      <c r="AL123" s="6148"/>
      <c r="AM123" s="6148"/>
      <c r="AN123" s="6148"/>
      <c r="AO123" s="6148"/>
      <c r="AP123" s="6148"/>
      <c r="AQ123" s="6148"/>
      <c r="AR123" s="6148"/>
      <c r="AS123" s="6148"/>
      <c r="AT123" s="6148"/>
      <c r="AU123" s="6148"/>
      <c r="AV123" s="6148"/>
      <c r="AW123" s="6148"/>
      <c r="AX123" s="6148"/>
      <c r="AY123" s="6148"/>
      <c r="AZ123" s="6148"/>
      <c r="BA123" s="6148"/>
      <c r="BB123" s="6148"/>
      <c r="BC123" s="6148"/>
      <c r="BD123" s="2730">
        <v>1</v>
      </c>
    </row>
    <row r="124" spans="1:56" ht="21" customHeight="1">
      <c r="A124" s="6148">
        <v>1</v>
      </c>
      <c r="B124" s="7810"/>
      <c r="C124" s="6262"/>
      <c r="D124" s="6298" t="s">
        <v>15402</v>
      </c>
      <c r="E124" s="5557"/>
      <c r="F124" s="6329" t="s">
        <v>15426</v>
      </c>
      <c r="G124" s="5557"/>
      <c r="H124" s="5738"/>
      <c r="I124" s="6148"/>
      <c r="J124" s="6148"/>
      <c r="K124" s="6148"/>
      <c r="L124" s="6148"/>
      <c r="M124" s="6148"/>
      <c r="N124" s="6148"/>
      <c r="O124" s="6148"/>
      <c r="P124" s="6148"/>
      <c r="Q124" s="6148"/>
      <c r="R124" s="6148"/>
      <c r="S124" s="6148"/>
      <c r="T124" s="6330"/>
      <c r="U124" s="6148"/>
      <c r="V124" s="6148"/>
      <c r="W124" s="6148"/>
      <c r="X124" s="6148"/>
      <c r="Y124" s="6148"/>
      <c r="Z124" s="6148"/>
      <c r="AA124" s="6148"/>
      <c r="AB124" s="6148"/>
      <c r="AC124" s="6148"/>
      <c r="AD124" s="6148"/>
      <c r="AE124" s="6148"/>
      <c r="AF124" s="6148"/>
      <c r="AG124" s="6148"/>
      <c r="AH124" s="6148"/>
      <c r="AI124" s="6148"/>
      <c r="AJ124" s="6148"/>
      <c r="AK124" s="6148"/>
      <c r="AL124" s="6148"/>
      <c r="AM124" s="6148"/>
      <c r="AN124" s="6148"/>
      <c r="AO124" s="6148"/>
      <c r="AP124" s="6148"/>
      <c r="AQ124" s="6148"/>
      <c r="AR124" s="6148"/>
      <c r="AS124" s="6148"/>
      <c r="AT124" s="6148"/>
      <c r="AU124" s="6148"/>
      <c r="AV124" s="6148"/>
      <c r="AW124" s="6148"/>
      <c r="AX124" s="6148"/>
      <c r="AY124" s="6148"/>
      <c r="AZ124" s="6148"/>
      <c r="BA124" s="6148"/>
      <c r="BB124" s="6148"/>
      <c r="BC124" s="6148"/>
      <c r="BD124" s="2730">
        <v>1</v>
      </c>
    </row>
    <row r="125" spans="1:56" ht="21" customHeight="1">
      <c r="A125" s="6148">
        <v>1</v>
      </c>
      <c r="B125" s="7810"/>
      <c r="C125" s="6264"/>
      <c r="D125" s="6331" t="s">
        <v>15404</v>
      </c>
      <c r="E125" s="5557"/>
      <c r="F125" s="6332" t="s">
        <v>15427</v>
      </c>
      <c r="G125" s="5557"/>
      <c r="H125" s="5738"/>
      <c r="I125" s="6148"/>
      <c r="J125" s="6148"/>
      <c r="K125" s="6148"/>
      <c r="L125" s="6148"/>
      <c r="M125" s="6148"/>
      <c r="N125" s="6148"/>
      <c r="O125" s="6148"/>
      <c r="P125" s="6148"/>
      <c r="Q125" s="6148"/>
      <c r="R125" s="6148"/>
      <c r="S125" s="6148"/>
      <c r="T125" s="6148"/>
      <c r="U125" s="6148"/>
      <c r="V125" s="6148"/>
      <c r="W125" s="6148"/>
      <c r="X125" s="6148"/>
      <c r="Y125" s="6148"/>
      <c r="Z125" s="6148"/>
      <c r="AA125" s="6148"/>
      <c r="AB125" s="6148"/>
      <c r="AC125" s="6148"/>
      <c r="AD125" s="6148"/>
      <c r="AE125" s="6148"/>
      <c r="AF125" s="6148"/>
      <c r="AG125" s="6148"/>
      <c r="AH125" s="6148"/>
      <c r="AI125" s="6148"/>
      <c r="AJ125" s="6148"/>
      <c r="AK125" s="6148"/>
      <c r="AL125" s="6148"/>
      <c r="AM125" s="6148"/>
      <c r="AN125" s="6148"/>
      <c r="AO125" s="6148"/>
      <c r="AP125" s="6148"/>
      <c r="AQ125" s="6148"/>
      <c r="AR125" s="6148"/>
      <c r="AS125" s="6148"/>
      <c r="AT125" s="6148"/>
      <c r="AU125" s="6148"/>
      <c r="AV125" s="6148"/>
      <c r="AW125" s="6148"/>
      <c r="AX125" s="6148"/>
      <c r="AY125" s="6148"/>
      <c r="AZ125" s="6148"/>
      <c r="BA125" s="6148"/>
      <c r="BB125" s="6148"/>
      <c r="BC125" s="6148"/>
      <c r="BD125" s="2730">
        <v>1</v>
      </c>
    </row>
    <row r="126" spans="1:56" ht="21" customHeight="1">
      <c r="A126" s="6148">
        <v>1</v>
      </c>
      <c r="B126" s="7810"/>
      <c r="C126" s="6333"/>
      <c r="D126" s="5557"/>
      <c r="E126" s="6334" t="s">
        <v>15428</v>
      </c>
      <c r="F126" s="6332"/>
      <c r="G126" s="6333" t="s">
        <v>15429</v>
      </c>
      <c r="H126" s="6335" t="str">
        <f>ADDRESS(ROW(F108),COLUMN(F108),4)</f>
        <v>F108</v>
      </c>
      <c r="I126" s="6148"/>
      <c r="J126" s="6148"/>
      <c r="K126" s="6148"/>
      <c r="L126" s="6148"/>
      <c r="M126" s="6148"/>
      <c r="N126" s="6148"/>
      <c r="O126" s="6148"/>
      <c r="P126" s="6148"/>
      <c r="Q126" s="6148"/>
      <c r="R126" s="6148"/>
      <c r="S126" s="6148"/>
      <c r="T126" s="6148"/>
      <c r="U126" s="6148"/>
      <c r="V126" s="6148"/>
      <c r="W126" s="6148"/>
      <c r="X126" s="6148"/>
      <c r="Y126" s="6148"/>
      <c r="Z126" s="6148"/>
      <c r="AA126" s="6148"/>
      <c r="AB126" s="6148"/>
      <c r="AC126" s="6148"/>
      <c r="AD126" s="6148"/>
      <c r="AE126" s="6148"/>
      <c r="AF126" s="6148"/>
      <c r="AG126" s="6148"/>
      <c r="AH126" s="6148"/>
      <c r="AI126" s="6148"/>
      <c r="AJ126" s="6148"/>
      <c r="AK126" s="6148"/>
      <c r="AL126" s="6148"/>
      <c r="AM126" s="6148"/>
      <c r="AN126" s="6148"/>
      <c r="AO126" s="6148"/>
      <c r="AP126" s="6148"/>
      <c r="AQ126" s="6148"/>
      <c r="AR126" s="6148"/>
      <c r="AS126" s="6148"/>
      <c r="AT126" s="6148"/>
      <c r="AU126" s="6148"/>
      <c r="AV126" s="6148"/>
      <c r="AW126" s="6148"/>
      <c r="AX126" s="6148"/>
      <c r="AY126" s="6148"/>
      <c r="AZ126" s="6148"/>
      <c r="BA126" s="6148"/>
      <c r="BB126" s="6148"/>
      <c r="BC126" s="6148"/>
      <c r="BD126" s="2730">
        <v>1</v>
      </c>
    </row>
    <row r="127" spans="1:56" ht="21" customHeight="1">
      <c r="A127" s="6148">
        <v>1</v>
      </c>
      <c r="B127" s="7810"/>
      <c r="C127" s="6197" t="s">
        <v>15430</v>
      </c>
      <c r="D127" s="6336"/>
      <c r="E127" s="6334"/>
      <c r="F127" s="6197" t="s">
        <v>15431</v>
      </c>
      <c r="G127" s="5557"/>
      <c r="H127" s="5738"/>
      <c r="I127" s="6148"/>
      <c r="J127" s="6148"/>
      <c r="K127" s="6148"/>
      <c r="L127" s="6148"/>
      <c r="M127" s="6148"/>
      <c r="N127" s="6148"/>
      <c r="O127" s="6148"/>
      <c r="U127" s="6148"/>
      <c r="V127" s="6148"/>
      <c r="W127" s="6148"/>
      <c r="X127" s="6148"/>
      <c r="Y127" s="6148"/>
      <c r="Z127" s="6148"/>
      <c r="AA127" s="6148"/>
      <c r="AB127" s="6148"/>
      <c r="AC127" s="6148"/>
      <c r="AD127" s="6148"/>
      <c r="AE127" s="6148"/>
      <c r="AF127" s="6148"/>
      <c r="AG127" s="6148"/>
      <c r="AH127" s="6148"/>
      <c r="AI127" s="6148"/>
      <c r="AJ127" s="6148"/>
      <c r="AK127" s="6148"/>
      <c r="AL127" s="6148"/>
      <c r="AM127" s="6148"/>
      <c r="AN127" s="6148"/>
      <c r="AO127" s="6148"/>
      <c r="AP127" s="6148"/>
      <c r="AQ127" s="6148"/>
      <c r="AR127" s="6148"/>
      <c r="AS127" s="6148"/>
      <c r="AT127" s="6148"/>
      <c r="AU127" s="6148"/>
      <c r="AV127" s="6148"/>
      <c r="AW127" s="6148"/>
      <c r="AX127" s="6148"/>
      <c r="AY127" s="6148"/>
      <c r="AZ127" s="6148"/>
      <c r="BA127" s="6148"/>
      <c r="BB127" s="6148"/>
      <c r="BC127" s="6148"/>
      <c r="BD127" s="2730">
        <v>1</v>
      </c>
    </row>
    <row r="128" spans="1:56" ht="21" customHeight="1">
      <c r="A128" s="6148">
        <v>1</v>
      </c>
      <c r="B128" s="7810"/>
      <c r="C128" s="6200">
        <v>11</v>
      </c>
      <c r="D128" s="6200">
        <v>11</v>
      </c>
      <c r="E128" s="6200">
        <v>11</v>
      </c>
      <c r="F128" s="6200">
        <v>11</v>
      </c>
      <c r="G128" s="6200">
        <v>11</v>
      </c>
      <c r="H128" s="6201">
        <v>11</v>
      </c>
      <c r="I128" s="6202" t="s">
        <v>15341</v>
      </c>
      <c r="J128" s="6209"/>
      <c r="K128" s="6209"/>
      <c r="L128" s="6148"/>
      <c r="M128" s="6148"/>
      <c r="N128" s="6148"/>
      <c r="O128" s="6148"/>
      <c r="P128" s="6148"/>
      <c r="Q128" s="6148"/>
      <c r="R128" s="6148"/>
      <c r="S128" s="6148"/>
      <c r="T128" s="6148"/>
      <c r="U128" s="6148"/>
      <c r="V128" s="6148"/>
      <c r="W128" s="6148"/>
      <c r="X128" s="6148"/>
      <c r="Y128" s="6148"/>
      <c r="Z128" s="6148"/>
      <c r="AA128" s="6148"/>
      <c r="AB128" s="6148"/>
      <c r="AC128" s="6148"/>
      <c r="AD128" s="6148"/>
      <c r="AE128" s="6148"/>
      <c r="AF128" s="6148"/>
      <c r="AG128" s="6148"/>
      <c r="AH128" s="6148"/>
      <c r="AI128" s="6148"/>
      <c r="AJ128" s="6148"/>
      <c r="AK128" s="6148"/>
      <c r="AL128" s="6148"/>
      <c r="AM128" s="6148"/>
      <c r="AN128" s="6148"/>
      <c r="AO128" s="6148"/>
      <c r="AP128" s="6148"/>
      <c r="AQ128" s="6148"/>
      <c r="AR128" s="6148"/>
      <c r="AS128" s="6148"/>
      <c r="AT128" s="6148"/>
      <c r="AU128" s="6148"/>
      <c r="AV128" s="6148"/>
      <c r="AW128" s="6148"/>
      <c r="AX128" s="6148"/>
      <c r="AY128" s="6148"/>
      <c r="AZ128" s="6148"/>
      <c r="BA128" s="6148"/>
      <c r="BB128" s="6148"/>
      <c r="BC128" s="6148"/>
      <c r="BD128" s="2730">
        <v>1</v>
      </c>
    </row>
    <row r="129" spans="1:56" ht="21" customHeight="1" thickBot="1">
      <c r="A129" s="6148">
        <v>1</v>
      </c>
      <c r="B129" s="7811"/>
      <c r="C129" s="6207">
        <f ca="1">CELL("largeur",C129)</f>
        <v>13</v>
      </c>
      <c r="D129" s="6207">
        <f t="shared" ref="D129:H129" ca="1" si="8">CELL("largeur",D129)</f>
        <v>21</v>
      </c>
      <c r="E129" s="6207">
        <f t="shared" ca="1" si="8"/>
        <v>13</v>
      </c>
      <c r="F129" s="6207">
        <f t="shared" ca="1" si="8"/>
        <v>13</v>
      </c>
      <c r="G129" s="6207">
        <f t="shared" ca="1" si="8"/>
        <v>13</v>
      </c>
      <c r="H129" s="6208">
        <f t="shared" ca="1" si="8"/>
        <v>13</v>
      </c>
      <c r="I129" s="6202" t="s">
        <v>15344</v>
      </c>
      <c r="J129" s="6209"/>
      <c r="K129" s="6148"/>
      <c r="L129" s="6148"/>
      <c r="M129" s="6148"/>
      <c r="N129" s="6148"/>
      <c r="O129" s="6148"/>
      <c r="P129" s="6148"/>
      <c r="Q129" s="6148"/>
      <c r="R129" s="6148"/>
      <c r="S129" s="6148"/>
      <c r="T129" s="6148"/>
      <c r="U129" s="6148"/>
      <c r="V129" s="6148"/>
      <c r="W129" s="6148"/>
      <c r="X129" s="6148"/>
      <c r="Y129" s="6148"/>
      <c r="Z129" s="6148"/>
      <c r="AA129" s="6148"/>
      <c r="AB129" s="6148"/>
      <c r="AC129" s="6148"/>
      <c r="AD129" s="6148"/>
      <c r="AE129" s="6148"/>
      <c r="AF129" s="6148"/>
      <c r="AG129" s="6148"/>
      <c r="AH129" s="6148"/>
      <c r="AI129" s="6148"/>
      <c r="AJ129" s="6148"/>
      <c r="AK129" s="6148"/>
      <c r="AL129" s="6148"/>
      <c r="AM129" s="6148"/>
      <c r="AN129" s="6148"/>
      <c r="AO129" s="6148"/>
      <c r="AP129" s="6148"/>
      <c r="AQ129" s="6148"/>
      <c r="AR129" s="6148"/>
      <c r="AS129" s="6148"/>
      <c r="AT129" s="6148"/>
      <c r="AU129" s="6148"/>
      <c r="AV129" s="6148"/>
      <c r="AW129" s="6148"/>
      <c r="AX129" s="6148"/>
      <c r="AY129" s="6148"/>
      <c r="AZ129" s="6148"/>
      <c r="BA129" s="6148"/>
      <c r="BB129" s="6148"/>
      <c r="BC129" s="6148"/>
      <c r="BD129" s="2730">
        <v>1</v>
      </c>
    </row>
    <row r="130" spans="1:56" ht="21" customHeight="1">
      <c r="A130" s="6148"/>
      <c r="B130" s="6148"/>
      <c r="C130" s="6148"/>
      <c r="D130" s="6148"/>
      <c r="E130" s="6148"/>
      <c r="F130" s="6148"/>
      <c r="G130" s="6148"/>
      <c r="H130" s="6148"/>
      <c r="I130" s="6148"/>
      <c r="J130" s="6148">
        <v>1</v>
      </c>
      <c r="K130" s="6337" t="s">
        <v>15397</v>
      </c>
      <c r="L130" s="6148"/>
      <c r="M130" s="6148"/>
      <c r="N130" s="6148"/>
      <c r="O130" s="6148"/>
      <c r="P130" s="6148"/>
      <c r="Q130" s="6148"/>
      <c r="R130" s="6148"/>
      <c r="S130" s="6148"/>
      <c r="T130" s="6148"/>
      <c r="U130" s="6148"/>
      <c r="V130" s="6148"/>
      <c r="W130" s="6148"/>
      <c r="X130" s="6148"/>
      <c r="Y130" s="6148"/>
      <c r="Z130" s="6148"/>
      <c r="AA130" s="6148"/>
      <c r="AB130" s="6148"/>
      <c r="AC130" s="6148"/>
      <c r="AD130" s="6148"/>
      <c r="AE130" s="6148"/>
      <c r="AF130" s="6148"/>
      <c r="AG130" s="6148"/>
      <c r="AH130" s="6148"/>
      <c r="AI130" s="6148"/>
      <c r="AJ130" s="6148"/>
      <c r="AK130" s="6148"/>
      <c r="AL130" s="6148"/>
      <c r="AM130" s="6148"/>
      <c r="AN130" s="6148"/>
      <c r="AO130" s="6148"/>
      <c r="AP130" s="6148"/>
      <c r="AQ130" s="6148"/>
      <c r="AR130" s="6148"/>
      <c r="AS130" s="6148"/>
      <c r="AT130" s="6148"/>
      <c r="AU130" s="6148"/>
      <c r="AV130" s="6148"/>
      <c r="AW130" s="6148"/>
      <c r="AX130" s="6148"/>
      <c r="AY130" s="6148"/>
      <c r="AZ130" s="6148"/>
      <c r="BA130" s="6148"/>
      <c r="BB130" s="6148"/>
      <c r="BC130" s="6148"/>
      <c r="BD130" s="2730">
        <v>1</v>
      </c>
    </row>
    <row r="131" spans="1:56" ht="21" customHeight="1" thickBot="1">
      <c r="A131" s="6148"/>
      <c r="B131" s="2894" t="s">
        <v>15432</v>
      </c>
      <c r="C131" s="2894"/>
      <c r="D131" s="6148"/>
      <c r="E131" s="6148"/>
      <c r="F131" s="6148"/>
      <c r="G131" s="6148"/>
      <c r="H131" s="6148"/>
      <c r="I131" s="6338" t="s">
        <v>15433</v>
      </c>
      <c r="J131" s="6148"/>
      <c r="K131" s="6337" t="s">
        <v>15400</v>
      </c>
      <c r="L131" s="6148"/>
      <c r="M131" s="6148"/>
      <c r="N131" s="6148"/>
      <c r="O131" s="6148"/>
      <c r="P131" s="6148"/>
      <c r="Q131" s="6148"/>
      <c r="R131" s="6148"/>
      <c r="S131" s="6148"/>
      <c r="T131" s="6148"/>
      <c r="U131" s="6148"/>
      <c r="V131" s="6148"/>
      <c r="W131" s="6148"/>
      <c r="X131" s="6148"/>
      <c r="Y131" s="6148"/>
      <c r="Z131" s="6148"/>
      <c r="AA131" s="6148"/>
      <c r="AB131" s="6148"/>
      <c r="AC131" s="6148"/>
      <c r="AD131" s="6148"/>
      <c r="AE131" s="6148"/>
      <c r="AF131" s="6148"/>
      <c r="AG131" s="6148"/>
      <c r="AH131" s="6148"/>
      <c r="AI131" s="6148"/>
      <c r="AJ131" s="6148"/>
      <c r="AK131" s="6148"/>
      <c r="AL131" s="6148"/>
      <c r="AM131" s="6148"/>
      <c r="AN131" s="6148"/>
      <c r="AO131" s="6148"/>
      <c r="AP131" s="6148"/>
      <c r="AQ131" s="6148"/>
      <c r="AR131" s="6148"/>
      <c r="AS131" s="6148"/>
      <c r="AT131" s="6148"/>
      <c r="AU131" s="6148"/>
      <c r="AV131" s="6148"/>
      <c r="AW131" s="6148"/>
      <c r="AX131" s="6148"/>
      <c r="AY131" s="6148"/>
      <c r="AZ131" s="6148"/>
      <c r="BA131" s="6148"/>
      <c r="BB131" s="6148"/>
      <c r="BC131" s="6148"/>
      <c r="BD131" s="2730">
        <v>1</v>
      </c>
    </row>
    <row r="132" spans="1:56" ht="21" customHeight="1">
      <c r="A132" s="6148">
        <v>1</v>
      </c>
      <c r="B132" s="7807" t="s">
        <v>67</v>
      </c>
      <c r="C132" s="7816" t="s">
        <v>15405</v>
      </c>
      <c r="D132" s="7816"/>
      <c r="E132" s="7816"/>
      <c r="F132" s="7816"/>
      <c r="G132" s="6339"/>
      <c r="H132" s="6340" t="str">
        <f>E140</f>
        <v>❻ Foisonnement</v>
      </c>
      <c r="I132" s="6341" t="s">
        <v>15434</v>
      </c>
      <c r="J132" s="6209"/>
      <c r="K132" s="6209"/>
      <c r="L132" s="6269" t="s">
        <v>15323</v>
      </c>
      <c r="M132" s="6148"/>
      <c r="N132" s="6148"/>
      <c r="O132" s="6148"/>
      <c r="P132" s="6148"/>
      <c r="Q132" s="6148"/>
      <c r="R132" s="6148"/>
      <c r="S132" s="6148"/>
      <c r="T132" s="6148"/>
      <c r="U132" s="6148"/>
      <c r="V132" s="6148"/>
      <c r="W132" s="6148"/>
      <c r="X132" s="6148"/>
      <c r="Y132" s="6148"/>
      <c r="Z132" s="6148"/>
      <c r="AA132" s="6148"/>
      <c r="AB132" s="6148"/>
      <c r="AC132" s="6148"/>
      <c r="AD132" s="6148"/>
      <c r="AE132" s="6148"/>
      <c r="AF132" s="6148"/>
      <c r="AG132" s="6148"/>
      <c r="AH132" s="6148"/>
      <c r="AI132" s="6148"/>
      <c r="AJ132" s="6148"/>
      <c r="AK132" s="6148"/>
      <c r="AL132" s="6148"/>
      <c r="AM132" s="6148"/>
      <c r="AN132" s="6148"/>
      <c r="AO132" s="6148"/>
      <c r="AP132" s="6148"/>
      <c r="AQ132" s="6148"/>
      <c r="AR132" s="6148"/>
      <c r="AS132" s="6148"/>
      <c r="AT132" s="6148"/>
      <c r="AU132" s="6148"/>
      <c r="AV132" s="6148"/>
      <c r="AW132" s="6148"/>
      <c r="AX132" s="6148"/>
      <c r="AY132" s="6148"/>
      <c r="AZ132" s="6148"/>
      <c r="BA132" s="6148"/>
      <c r="BB132" s="6148"/>
      <c r="BC132" s="6148"/>
      <c r="BD132" s="2730">
        <v>1</v>
      </c>
    </row>
    <row r="133" spans="1:56" ht="21" customHeight="1">
      <c r="A133" s="6148"/>
      <c r="B133" s="7808"/>
      <c r="C133" s="6342"/>
      <c r="D133" s="6342"/>
      <c r="E133" s="6343"/>
      <c r="F133" s="6344" t="s">
        <v>15435</v>
      </c>
      <c r="G133" s="6345" t="str">
        <f>IF(F139=D155,"CRU- Brut ou à cuire","CUIT - Net à servir")</f>
        <v>CUIT - Net à servir</v>
      </c>
      <c r="H133" s="6346"/>
      <c r="I133" s="6347" t="str">
        <f>HYPERLINK("#"&amp;ADDRESS(ROW(G133),COLUMN(G133),4),"◀"&amp;ADDRESS(ROW(G133),COLUMN(G133),4))</f>
        <v>◀G133</v>
      </c>
      <c r="J133" s="6348" t="str">
        <f>G133</f>
        <v>CUIT - Net à servir</v>
      </c>
      <c r="K133" s="6230" t="str">
        <f ca="1">_xlfn.FORMULATEXT(G133)</f>
        <v>=SI(F139=D155;"CRU- Brut ou à cuire";"CUIT - Net à servir")</v>
      </c>
      <c r="L133" s="6148"/>
      <c r="M133" s="6148"/>
      <c r="N133" s="6148"/>
      <c r="O133" s="6148"/>
      <c r="P133" s="6148"/>
      <c r="Q133" s="6148"/>
      <c r="R133" s="6148"/>
      <c r="S133" s="6148"/>
      <c r="T133" s="6148"/>
      <c r="U133" s="6148"/>
      <c r="V133" s="6148"/>
      <c r="W133" s="6148"/>
      <c r="X133" s="6148"/>
      <c r="Y133" s="6148"/>
      <c r="Z133" s="6148"/>
      <c r="AA133" s="6148"/>
      <c r="AB133" s="6148"/>
      <c r="AC133" s="6148"/>
      <c r="AD133" s="6148"/>
      <c r="AE133" s="6148"/>
      <c r="AF133" s="6148"/>
      <c r="AG133" s="6148"/>
      <c r="AH133" s="6148"/>
      <c r="AI133" s="6148"/>
      <c r="AJ133" s="6148"/>
      <c r="AK133" s="6148"/>
      <c r="AL133" s="6148"/>
      <c r="AM133" s="6148"/>
      <c r="AN133" s="6148"/>
      <c r="AO133" s="6148"/>
      <c r="AP133" s="6148"/>
      <c r="AQ133" s="6148"/>
      <c r="AR133" s="6148"/>
      <c r="AS133" s="6148"/>
      <c r="AT133" s="6148"/>
      <c r="AU133" s="6148"/>
      <c r="AV133" s="6148"/>
      <c r="AW133" s="6148"/>
      <c r="AX133" s="6148"/>
      <c r="AY133" s="6148"/>
      <c r="AZ133" s="6148"/>
      <c r="BA133" s="6148"/>
      <c r="BB133" s="6148"/>
      <c r="BC133" s="6148"/>
      <c r="BD133" s="2730">
        <v>1</v>
      </c>
    </row>
    <row r="134" spans="1:56" ht="21" customHeight="1">
      <c r="A134" s="6148"/>
      <c r="B134" s="7817">
        <v>3</v>
      </c>
      <c r="C134" s="7819" t="str">
        <f>D136</f>
        <v>Semoule (poids cru)</v>
      </c>
      <c r="D134" s="7819"/>
      <c r="E134" s="7819"/>
      <c r="F134" s="7819"/>
      <c r="G134" s="7819"/>
      <c r="H134" s="7820"/>
      <c r="I134" s="6347" t="str">
        <f>HYPERLINK("#"&amp;ADDRESS(ROW(E135),COLUMN(E135),4),"◀"&amp;ADDRESS(ROW(E135),COLUMN(E135),4))</f>
        <v>◀E135</v>
      </c>
      <c r="J134" s="6349">
        <f>E135</f>
        <v>5</v>
      </c>
      <c r="K134" s="6230" t="str">
        <f ca="1">_xlfn.FORMULATEXT(E135)</f>
        <v>=ENT(E145/E139)</v>
      </c>
      <c r="L134" s="6148"/>
      <c r="M134" s="6148"/>
      <c r="N134" s="6148"/>
      <c r="O134" s="6148"/>
      <c r="P134" s="6148"/>
      <c r="Q134" s="6148"/>
      <c r="R134" s="6148"/>
      <c r="S134" s="6148"/>
      <c r="T134" s="6148"/>
      <c r="U134" s="6148"/>
      <c r="V134" s="6148"/>
      <c r="W134" s="6148"/>
      <c r="X134" s="6148"/>
      <c r="Y134" s="6148"/>
      <c r="Z134" s="6148"/>
      <c r="AA134" s="6148"/>
      <c r="AB134" s="6148"/>
      <c r="AC134" s="6148"/>
      <c r="AD134" s="6148"/>
      <c r="AE134" s="6148"/>
      <c r="AF134" s="6148"/>
      <c r="AG134" s="6148"/>
      <c r="AH134" s="6148"/>
      <c r="AI134" s="6148"/>
      <c r="AJ134" s="6148"/>
      <c r="AK134" s="6148"/>
      <c r="AL134" s="6148"/>
      <c r="AM134" s="6148"/>
      <c r="AN134" s="6148"/>
      <c r="AO134" s="6148"/>
      <c r="AP134" s="6148"/>
      <c r="AQ134" s="6148"/>
      <c r="AR134" s="6148"/>
      <c r="AS134" s="6148"/>
      <c r="AT134" s="6148"/>
      <c r="AU134" s="6148"/>
      <c r="AV134" s="6148"/>
      <c r="AW134" s="6148"/>
      <c r="AX134" s="6148"/>
      <c r="AY134" s="6148"/>
      <c r="AZ134" s="6148"/>
      <c r="BA134" s="6148"/>
      <c r="BB134" s="6148"/>
      <c r="BC134" s="6148"/>
      <c r="BD134" s="2730">
        <v>1</v>
      </c>
    </row>
    <row r="135" spans="1:56" ht="21" customHeight="1">
      <c r="A135" s="6148"/>
      <c r="B135" s="7817"/>
      <c r="C135" s="6350"/>
      <c r="D135" s="6351" t="s">
        <v>15407</v>
      </c>
      <c r="E135" s="6352">
        <f>INT(E145/E139)</f>
        <v>5</v>
      </c>
      <c r="F135" s="6353">
        <f>IF(E135=0,0,IF(E146=0,0,E139))</f>
        <v>1</v>
      </c>
      <c r="G135" s="6354" t="str">
        <f>IF(F135*E135=0,"1 de",IF(E145=0,0,IF(E139=0,0,IF(F135*E135=E145,"",IF(H135&gt;0,"Plus 1 de")))))</f>
        <v/>
      </c>
      <c r="H135" s="6355" t="str">
        <f>IF(E139=0,0,IF(F135*E135=E145,"",MOD(E145,E139)))</f>
        <v/>
      </c>
      <c r="I135" s="6347" t="str">
        <f>HYPERLINK("#"&amp;ADDRESS(ROW(F135),COLUMN(F135),4),"◀"&amp;ADDRESS(ROW(F135),COLUMN(F135),4))</f>
        <v>◀F135</v>
      </c>
      <c r="J135" s="6356">
        <f>F135</f>
        <v>1</v>
      </c>
      <c r="K135" s="6230" t="str">
        <f ca="1">_xlfn.FORMULATEXT(F135)</f>
        <v>=SI(E135=0;0;SI(E146=0;0;E139))</v>
      </c>
      <c r="L135" s="6148"/>
      <c r="M135" s="6148"/>
      <c r="N135" s="6148"/>
      <c r="O135" s="6148"/>
      <c r="P135" s="6148"/>
      <c r="Q135" s="6148"/>
      <c r="R135" s="6148"/>
      <c r="S135" s="6148"/>
      <c r="T135" s="6148"/>
      <c r="U135" s="6148"/>
      <c r="V135" s="6148"/>
      <c r="W135" s="6148"/>
      <c r="X135" s="6148"/>
      <c r="Y135" s="6148"/>
      <c r="Z135" s="6148"/>
      <c r="AA135" s="6148"/>
      <c r="AB135" s="6148"/>
      <c r="AC135" s="6148"/>
      <c r="AD135" s="6148"/>
      <c r="AE135" s="6148"/>
      <c r="AF135" s="6148"/>
      <c r="AG135" s="6148"/>
      <c r="AH135" s="6148"/>
      <c r="AI135" s="6148"/>
      <c r="AJ135" s="6148"/>
      <c r="AK135" s="6148"/>
      <c r="AL135" s="6148"/>
      <c r="AM135" s="6148"/>
      <c r="AN135" s="6148"/>
      <c r="AO135" s="6148"/>
      <c r="AP135" s="6148"/>
      <c r="AQ135" s="6148"/>
      <c r="AR135" s="6148"/>
      <c r="AS135" s="6148"/>
      <c r="AT135" s="6148"/>
      <c r="AU135" s="6148"/>
      <c r="AV135" s="6148"/>
      <c r="AW135" s="6148"/>
      <c r="AX135" s="6148"/>
      <c r="AY135" s="6148"/>
      <c r="AZ135" s="6148"/>
      <c r="BA135" s="6148"/>
      <c r="BB135" s="6148"/>
      <c r="BC135" s="6148"/>
      <c r="BD135" s="2730">
        <v>1</v>
      </c>
    </row>
    <row r="136" spans="1:56" ht="21" customHeight="1">
      <c r="A136" s="6148"/>
      <c r="B136" s="7817"/>
      <c r="C136" s="6357" t="s">
        <v>15436</v>
      </c>
      <c r="D136" s="6358" t="s">
        <v>15437</v>
      </c>
      <c r="E136" s="6287"/>
      <c r="F136" s="5557"/>
      <c r="G136" s="5557"/>
      <c r="H136" s="5738"/>
      <c r="I136" s="6347" t="str">
        <f>HYPERLINK("#"&amp;ADDRESS(ROW(G135),COLUMN(G135),4),"◀"&amp;ADDRESS(ROW(G135),COLUMN(G135),4))</f>
        <v>◀G135</v>
      </c>
      <c r="J136" s="6359" t="str">
        <f>G135</f>
        <v/>
      </c>
      <c r="K136" s="6230" t="str">
        <f ca="1">_xlfn.FORMULATEXT(G135)</f>
        <v>=SI(F135*E135=0;"1 de";SI(E145=0;0;SI(E139=0;0;SI(F135*E135=E145;"";SI(H135&gt;0;"Plus 1 de")))))</v>
      </c>
      <c r="L136" s="6148"/>
      <c r="M136" s="6148"/>
      <c r="N136" s="6148"/>
      <c r="O136" s="6148"/>
      <c r="P136" s="6148"/>
      <c r="Q136" s="6148"/>
      <c r="R136" s="6148"/>
      <c r="S136" s="6148"/>
      <c r="T136" s="6148"/>
      <c r="U136" s="6148"/>
      <c r="V136" s="6148"/>
      <c r="W136" s="6148"/>
      <c r="X136" s="6148"/>
      <c r="Y136" s="6148"/>
      <c r="Z136" s="6148"/>
      <c r="AA136" s="6148"/>
      <c r="AB136" s="6148"/>
      <c r="AC136" s="6148"/>
      <c r="AD136" s="6148"/>
      <c r="AE136" s="6148"/>
      <c r="AF136" s="6148"/>
      <c r="AG136" s="6148"/>
      <c r="AH136" s="6148"/>
      <c r="AI136" s="6148"/>
      <c r="AJ136" s="6148"/>
      <c r="AK136" s="6148"/>
      <c r="AL136" s="6148"/>
      <c r="AM136" s="6148"/>
      <c r="AN136" s="6148"/>
      <c r="AO136" s="6148"/>
      <c r="AP136" s="6148"/>
      <c r="AQ136" s="6148"/>
      <c r="AR136" s="6148"/>
      <c r="AS136" s="6148"/>
      <c r="AT136" s="6148"/>
      <c r="AU136" s="6148"/>
      <c r="AV136" s="6148"/>
      <c r="AW136" s="6148"/>
      <c r="AX136" s="6148"/>
      <c r="AY136" s="6148"/>
      <c r="AZ136" s="6148"/>
      <c r="BA136" s="6148"/>
      <c r="BB136" s="6148"/>
      <c r="BC136" s="6148"/>
      <c r="BD136" s="2730">
        <v>1</v>
      </c>
    </row>
    <row r="137" spans="1:56" ht="21" customHeight="1">
      <c r="A137" s="6148"/>
      <c r="B137" s="7817"/>
      <c r="C137" s="5557"/>
      <c r="D137" s="5557"/>
      <c r="E137" s="6289" t="s">
        <v>15410</v>
      </c>
      <c r="F137" s="7812" t="s">
        <v>15411</v>
      </c>
      <c r="G137" s="7812"/>
      <c r="H137" s="7813"/>
      <c r="I137" s="6347" t="str">
        <f>HYPERLINK("#"&amp;ADDRESS(ROW(H135),COLUMN(H135),4),"◀"&amp;ADDRESS(ROW(H135),COLUMN(H135),4))</f>
        <v>◀H135</v>
      </c>
      <c r="J137" s="6360" t="str">
        <f>H135</f>
        <v/>
      </c>
      <c r="K137" s="6230" t="str">
        <f ca="1">_xlfn.FORMULATEXT(H135)</f>
        <v>=SI(E139=0;0;SI(F135*E135=E145;"";MOD(E145;E139)))</v>
      </c>
      <c r="L137" s="6148"/>
      <c r="M137" s="6148"/>
      <c r="N137" s="6148"/>
      <c r="O137" s="6148"/>
      <c r="P137" s="6148"/>
      <c r="Q137" s="6148"/>
      <c r="R137" s="6148"/>
      <c r="S137" s="6148"/>
      <c r="T137" s="6148"/>
      <c r="U137" s="6148"/>
      <c r="V137" s="6148"/>
      <c r="W137" s="6148"/>
      <c r="X137" s="6148"/>
      <c r="Y137" s="6148"/>
      <c r="Z137" s="6148"/>
      <c r="AA137" s="6148"/>
      <c r="AB137" s="6148"/>
      <c r="AC137" s="6148"/>
      <c r="AD137" s="6148"/>
      <c r="AE137" s="6148"/>
      <c r="AF137" s="6148"/>
      <c r="AG137" s="6148"/>
      <c r="AH137" s="6148"/>
      <c r="AI137" s="6148"/>
      <c r="AJ137" s="6148"/>
      <c r="AK137" s="6148"/>
      <c r="AL137" s="6148"/>
      <c r="AM137" s="6148"/>
      <c r="AN137" s="6148"/>
      <c r="AO137" s="6148"/>
      <c r="AP137" s="6148"/>
      <c r="AQ137" s="6148"/>
      <c r="AR137" s="6148"/>
      <c r="AS137" s="6148"/>
      <c r="AT137" s="6148"/>
      <c r="AU137" s="6148"/>
      <c r="AV137" s="6148"/>
      <c r="AW137" s="6148"/>
      <c r="AX137" s="6148"/>
      <c r="AY137" s="6148"/>
      <c r="AZ137" s="6148"/>
      <c r="BA137" s="6148"/>
      <c r="BB137" s="6148"/>
      <c r="BC137" s="6148"/>
      <c r="BD137" s="2730">
        <v>1</v>
      </c>
    </row>
    <row r="138" spans="1:56" ht="21" customHeight="1">
      <c r="A138" s="6148"/>
      <c r="B138" s="7817"/>
      <c r="C138" s="5557"/>
      <c r="D138" s="6291"/>
      <c r="E138" s="6292"/>
      <c r="F138" s="6293" t="s">
        <v>15412</v>
      </c>
      <c r="G138" s="6291"/>
      <c r="H138" s="5738"/>
      <c r="I138" s="6347"/>
      <c r="J138" s="6361"/>
      <c r="K138" s="5557"/>
      <c r="L138" s="6148"/>
      <c r="M138" s="6148"/>
      <c r="N138" s="6148"/>
      <c r="O138" s="6148"/>
      <c r="P138" s="6148"/>
      <c r="Q138" s="6148"/>
      <c r="R138" s="6148"/>
      <c r="S138" s="6148"/>
      <c r="T138" s="6148"/>
      <c r="U138" s="6148"/>
      <c r="V138" s="6148"/>
      <c r="W138" s="6148"/>
      <c r="X138" s="6148"/>
      <c r="Y138" s="6148"/>
      <c r="Z138" s="6148"/>
      <c r="AA138" s="6148"/>
      <c r="AB138" s="6148"/>
      <c r="AC138" s="6148"/>
      <c r="AD138" s="6148"/>
      <c r="AE138" s="6148"/>
      <c r="AF138" s="6148"/>
      <c r="AG138" s="6148"/>
      <c r="AH138" s="6148"/>
      <c r="AI138" s="6148"/>
      <c r="AJ138" s="6148"/>
      <c r="AK138" s="6148"/>
      <c r="AL138" s="6148"/>
      <c r="AM138" s="6148"/>
      <c r="AN138" s="6148"/>
      <c r="AO138" s="6148"/>
      <c r="AP138" s="6148"/>
      <c r="AQ138" s="6148"/>
      <c r="AR138" s="6148"/>
      <c r="AS138" s="6148"/>
      <c r="AT138" s="6148"/>
      <c r="AU138" s="6148"/>
      <c r="AV138" s="6148"/>
      <c r="AW138" s="6148"/>
      <c r="AX138" s="6148"/>
      <c r="AY138" s="6148"/>
      <c r="AZ138" s="6148"/>
      <c r="BA138" s="6148"/>
      <c r="BB138" s="6148"/>
      <c r="BC138" s="6148"/>
      <c r="BD138" s="2730">
        <v>1</v>
      </c>
    </row>
    <row r="139" spans="1:56" ht="21" customHeight="1">
      <c r="A139" s="6148"/>
      <c r="B139" s="7817"/>
      <c r="C139" s="6295"/>
      <c r="D139" s="6296" t="s">
        <v>15413</v>
      </c>
      <c r="E139" s="6362">
        <v>1</v>
      </c>
      <c r="F139" s="6331" t="s">
        <v>15404</v>
      </c>
      <c r="G139" s="6299">
        <f>IF(F139=D155,E139*F140,IF(F139=D156,E139/F140))</f>
        <v>0.5</v>
      </c>
      <c r="H139" s="6300" t="str">
        <f>H142</f>
        <v>❹ Kg cru</v>
      </c>
      <c r="I139" s="6363" t="str">
        <f>HYPERLINK("#"&amp;ADDRESS(ROW(G141),COLUMN(G141),4),"◀"&amp;ADDRESS(ROW(G141),COLUMN(G141),4))</f>
        <v>◀G141</v>
      </c>
      <c r="J139" s="6263">
        <f>G139</f>
        <v>0.5</v>
      </c>
      <c r="K139" s="6230" t="str">
        <f ca="1">_xlfn.FORMULATEXT(G139)</f>
        <v>=SI(F139=D155;E139*F140;SI(F139=D156;E139/F140))</v>
      </c>
      <c r="L139" s="6148"/>
      <c r="M139" s="6148"/>
      <c r="N139" s="6148"/>
      <c r="O139" s="6148"/>
      <c r="P139" s="6148"/>
      <c r="Q139" s="6148"/>
      <c r="R139" s="6148"/>
      <c r="S139" s="6148"/>
      <c r="T139" s="6148"/>
      <c r="U139" s="6148"/>
      <c r="V139" s="6148"/>
      <c r="W139" s="6148"/>
      <c r="X139" s="6148"/>
      <c r="Y139" s="6148"/>
      <c r="Z139" s="6148"/>
      <c r="AA139" s="6148"/>
      <c r="AB139" s="6148"/>
      <c r="AC139" s="6148"/>
      <c r="AD139" s="6148"/>
      <c r="AE139" s="6148"/>
      <c r="AF139" s="6148"/>
      <c r="AG139" s="6148"/>
      <c r="AH139" s="6148"/>
      <c r="AI139" s="6148"/>
      <c r="AJ139" s="6148"/>
      <c r="AK139" s="6148"/>
      <c r="AL139" s="6148"/>
      <c r="AM139" s="6148"/>
      <c r="AN139" s="6148"/>
      <c r="AO139" s="6148"/>
      <c r="AP139" s="6148"/>
      <c r="AQ139" s="6148"/>
      <c r="AR139" s="6148"/>
      <c r="AS139" s="6148"/>
      <c r="AT139" s="6148"/>
      <c r="AU139" s="6148"/>
      <c r="AV139" s="6148"/>
      <c r="AW139" s="6148"/>
      <c r="AX139" s="6148"/>
      <c r="AY139" s="6148"/>
      <c r="AZ139" s="6148"/>
      <c r="BA139" s="6148"/>
      <c r="BB139" s="6148"/>
      <c r="BC139" s="6148"/>
      <c r="BD139" s="2730">
        <v>1</v>
      </c>
    </row>
    <row r="140" spans="1:56" ht="21" customHeight="1">
      <c r="A140" s="6148"/>
      <c r="B140" s="7817"/>
      <c r="C140" s="5557"/>
      <c r="D140" s="6209"/>
      <c r="E140" s="6364" t="s">
        <v>15425</v>
      </c>
      <c r="F140" s="6365">
        <v>2</v>
      </c>
      <c r="G140" s="6366" t="str">
        <f>IF(F139=D155,"cru X par","cuit / par")</f>
        <v>cuit / par</v>
      </c>
      <c r="H140" s="6367">
        <f>F140</f>
        <v>2</v>
      </c>
      <c r="I140" s="6347" t="str">
        <f>HYPERLINK("#"&amp;ADDRESS(ROW(G140),COLUMN(G140),4),"◀"&amp;ADDRESS(ROW(G140),COLUMN(G140),4))</f>
        <v>◀G140</v>
      </c>
      <c r="J140" s="6368" t="str">
        <f>G140</f>
        <v>cuit / par</v>
      </c>
      <c r="K140" s="6230" t="str">
        <f ca="1">_xlfn.FORMULATEXT(G140)</f>
        <v>=SI(F139=D155;"cru X par";"cuit / par")</v>
      </c>
      <c r="L140" s="6148"/>
      <c r="M140" s="6148"/>
      <c r="N140" s="6148"/>
      <c r="O140" s="6148"/>
      <c r="P140" s="6148"/>
      <c r="Q140" s="6148"/>
      <c r="R140" s="6148"/>
      <c r="S140" s="6148"/>
      <c r="T140" s="6148"/>
      <c r="U140" s="6148"/>
      <c r="V140" s="6148"/>
      <c r="W140" s="6148"/>
      <c r="X140" s="6148"/>
      <c r="Y140" s="6148"/>
      <c r="Z140" s="6148"/>
      <c r="AA140" s="6148"/>
      <c r="AB140" s="6148"/>
      <c r="AC140" s="6148"/>
      <c r="AD140" s="6148"/>
      <c r="AE140" s="6148"/>
      <c r="AF140" s="6148"/>
      <c r="AG140" s="6148"/>
      <c r="AH140" s="6148"/>
      <c r="AI140" s="6148"/>
      <c r="AJ140" s="6148"/>
      <c r="AK140" s="6148"/>
      <c r="AL140" s="6148"/>
      <c r="AM140" s="6148"/>
      <c r="AN140" s="6148"/>
      <c r="AO140" s="6148"/>
      <c r="AP140" s="6148"/>
      <c r="AQ140" s="6148"/>
      <c r="AR140" s="6148"/>
      <c r="AS140" s="6148"/>
      <c r="AT140" s="6148"/>
      <c r="AU140" s="6148"/>
      <c r="AV140" s="6148"/>
      <c r="AW140" s="6148"/>
      <c r="AX140" s="6148"/>
      <c r="AY140" s="6148"/>
      <c r="AZ140" s="6148"/>
      <c r="BA140" s="6148"/>
      <c r="BB140" s="6148"/>
      <c r="BC140" s="6148"/>
      <c r="BD140" s="2730">
        <v>1</v>
      </c>
    </row>
    <row r="141" spans="1:56" ht="21" customHeight="1">
      <c r="A141" s="6148"/>
      <c r="B141" s="7817"/>
      <c r="C141" s="5557"/>
      <c r="D141" s="5557"/>
      <c r="E141" s="5557"/>
      <c r="F141" s="5557"/>
      <c r="G141" s="5557"/>
      <c r="H141" s="5738"/>
      <c r="I141" s="6347"/>
      <c r="J141" s="6361"/>
      <c r="K141" s="5557"/>
      <c r="L141" s="6148"/>
      <c r="M141" s="6148"/>
      <c r="N141" s="6148"/>
      <c r="O141" s="6148"/>
      <c r="P141" s="6148"/>
      <c r="Q141" s="6148"/>
      <c r="R141" s="6148"/>
      <c r="S141" s="6148"/>
      <c r="T141" s="6148"/>
      <c r="U141" s="6148"/>
      <c r="V141" s="6148"/>
      <c r="W141" s="6148"/>
      <c r="X141" s="6148"/>
      <c r="Y141" s="6148"/>
      <c r="Z141" s="6148"/>
      <c r="AA141" s="6148"/>
      <c r="AB141" s="6148"/>
      <c r="AC141" s="6148"/>
      <c r="AD141" s="6148"/>
      <c r="AE141" s="6148"/>
      <c r="AF141" s="6148"/>
      <c r="AG141" s="6148"/>
      <c r="AH141" s="6148"/>
      <c r="AI141" s="6148"/>
      <c r="AJ141" s="6148"/>
      <c r="AK141" s="6148"/>
      <c r="AL141" s="6148"/>
      <c r="AM141" s="6148"/>
      <c r="AN141" s="6148"/>
      <c r="AO141" s="6148"/>
      <c r="AP141" s="6148"/>
      <c r="AQ141" s="6148"/>
      <c r="AR141" s="6148"/>
      <c r="AS141" s="6148"/>
      <c r="AT141" s="6148"/>
      <c r="AU141" s="6148"/>
      <c r="AV141" s="6148"/>
      <c r="AW141" s="6148"/>
      <c r="AX141" s="6148"/>
      <c r="AY141" s="6148"/>
      <c r="AZ141" s="6148"/>
      <c r="BA141" s="6148"/>
      <c r="BB141" s="6148"/>
      <c r="BC141" s="6148"/>
      <c r="BD141" s="2730">
        <v>1</v>
      </c>
    </row>
    <row r="142" spans="1:56" ht="21" customHeight="1">
      <c r="A142" s="6148"/>
      <c r="B142" s="7817"/>
      <c r="C142" s="5557"/>
      <c r="D142" s="6304" t="s">
        <v>15414</v>
      </c>
      <c r="E142" s="6369">
        <v>0.05</v>
      </c>
      <c r="F142" s="6306" t="str">
        <f>F139</f>
        <v>❺ Kg cuit</v>
      </c>
      <c r="G142" s="6299">
        <f>IF(F139=D155,E142*F140,IF(F139=D156,E142/F140))</f>
        <v>2.5000000000000001E-2</v>
      </c>
      <c r="H142" s="6307" t="str">
        <f>IF(F142=D155,D156,D155)</f>
        <v>❹ Kg cru</v>
      </c>
      <c r="I142" s="6347" t="str">
        <f>HYPERLINK("#"&amp;ADDRESS(ROW(G142),COLUMN(G142),4),"◀"&amp;ADDRESS(ROW(G142),COLUMN(G142),4))</f>
        <v>◀G142</v>
      </c>
      <c r="J142" s="6263">
        <f>G142</f>
        <v>2.5000000000000001E-2</v>
      </c>
      <c r="K142" s="6370" t="str">
        <f ca="1">_xlfn.FORMULATEXT(G142)</f>
        <v>=SI(F139=D155;E142*F140;SI(F139=D156;E142/F140))</v>
      </c>
      <c r="L142" s="6148"/>
      <c r="M142" s="6148"/>
      <c r="N142" s="6148"/>
      <c r="O142" s="6148"/>
      <c r="P142" s="6148"/>
      <c r="Q142" s="6148"/>
      <c r="R142" s="6148"/>
      <c r="S142" s="6148"/>
      <c r="T142" s="6148"/>
      <c r="U142" s="6148"/>
      <c r="V142" s="6148"/>
      <c r="W142" s="6148"/>
      <c r="X142" s="6148"/>
      <c r="Y142" s="6148"/>
      <c r="Z142" s="6148"/>
      <c r="AA142" s="6148"/>
      <c r="AB142" s="6148"/>
      <c r="AC142" s="6148"/>
      <c r="AD142" s="6148"/>
      <c r="AE142" s="6148"/>
      <c r="AF142" s="6148"/>
      <c r="AG142" s="6148"/>
      <c r="AH142" s="6148"/>
      <c r="AI142" s="6148"/>
      <c r="AJ142" s="6148"/>
      <c r="AK142" s="6148"/>
      <c r="AL142" s="6148"/>
      <c r="AM142" s="6148"/>
      <c r="AN142" s="6148"/>
      <c r="AO142" s="6148"/>
      <c r="AP142" s="6148"/>
      <c r="AQ142" s="6148"/>
      <c r="AR142" s="6148"/>
      <c r="AS142" s="6148"/>
      <c r="AT142" s="6148"/>
      <c r="AU142" s="6148"/>
      <c r="AV142" s="6148"/>
      <c r="AW142" s="6148"/>
      <c r="AX142" s="6148"/>
      <c r="AY142" s="6148"/>
      <c r="AZ142" s="6148"/>
      <c r="BA142" s="6148"/>
      <c r="BB142" s="6148"/>
      <c r="BC142" s="6148"/>
      <c r="BD142" s="2730">
        <v>1</v>
      </c>
    </row>
    <row r="143" spans="1:56" ht="21" customHeight="1">
      <c r="A143" s="6148"/>
      <c r="B143" s="7817"/>
      <c r="C143" s="5557"/>
      <c r="D143" s="6308" t="s">
        <v>15415</v>
      </c>
      <c r="E143" s="6371">
        <v>100</v>
      </c>
      <c r="F143" s="6372" t="s">
        <v>209</v>
      </c>
      <c r="G143" s="5557"/>
      <c r="H143" s="6310"/>
      <c r="I143" s="6347" t="str">
        <f>HYPERLINK("#"&amp;ADDRESS(ROW(H142),COLUMN(H142),4),"◀"&amp;ADDRESS(ROW(H142),COLUMN(H142),4))</f>
        <v>◀H142</v>
      </c>
      <c r="J143" s="6373" t="str">
        <f>H142</f>
        <v>❹ Kg cru</v>
      </c>
      <c r="K143" s="6230" t="str">
        <f ca="1">_xlfn.FORMULATEXT(H142)</f>
        <v>=SI(F142=D155;D156;D155)</v>
      </c>
      <c r="L143" s="6148"/>
      <c r="M143" s="6148"/>
      <c r="N143" s="6148"/>
      <c r="O143" s="6148"/>
      <c r="P143" s="6148"/>
      <c r="Q143" s="6148"/>
      <c r="R143" s="6148"/>
      <c r="S143" s="6148"/>
      <c r="T143" s="6148"/>
      <c r="U143" s="6148"/>
      <c r="V143" s="6148"/>
      <c r="W143" s="6148"/>
      <c r="X143" s="6148"/>
      <c r="Y143" s="6148"/>
      <c r="Z143" s="6148"/>
      <c r="AA143" s="6148"/>
      <c r="AB143" s="6148"/>
      <c r="AC143" s="6148"/>
      <c r="AD143" s="6148"/>
      <c r="AE143" s="6148"/>
      <c r="AF143" s="6148"/>
      <c r="AG143" s="6148"/>
      <c r="AH143" s="6148"/>
      <c r="AI143" s="6148"/>
      <c r="AJ143" s="6148"/>
      <c r="AK143" s="6148"/>
      <c r="AL143" s="6148"/>
      <c r="AM143" s="6148"/>
      <c r="AN143" s="6148"/>
      <c r="AO143" s="6148"/>
      <c r="AP143" s="6148"/>
      <c r="AQ143" s="6148"/>
      <c r="AR143" s="6148"/>
      <c r="AS143" s="6148"/>
      <c r="AT143" s="6148"/>
      <c r="AU143" s="6148"/>
      <c r="AV143" s="6148"/>
      <c r="AW143" s="6148"/>
      <c r="AX143" s="6148"/>
      <c r="AY143" s="6148"/>
      <c r="AZ143" s="6148"/>
      <c r="BA143" s="6148"/>
      <c r="BB143" s="6148"/>
      <c r="BC143" s="6148"/>
      <c r="BD143" s="2730">
        <v>1</v>
      </c>
    </row>
    <row r="144" spans="1:56" ht="21" customHeight="1">
      <c r="A144" s="6148"/>
      <c r="B144" s="7817"/>
      <c r="C144" s="5557"/>
      <c r="D144" s="5557"/>
      <c r="E144" s="5557"/>
      <c r="F144" s="5557"/>
      <c r="G144" s="5557"/>
      <c r="H144" s="5738"/>
      <c r="I144" s="6347"/>
      <c r="J144" s="6361"/>
      <c r="K144" s="5557"/>
      <c r="L144" s="6148"/>
      <c r="M144" s="6148"/>
      <c r="N144" s="6148"/>
      <c r="O144" s="6148"/>
      <c r="P144" s="6148"/>
      <c r="Q144" s="6148"/>
      <c r="R144" s="6148"/>
      <c r="S144" s="6148"/>
      <c r="T144" s="6148"/>
      <c r="U144" s="6148"/>
      <c r="V144" s="6148"/>
      <c r="W144" s="6148"/>
      <c r="X144" s="6148"/>
      <c r="Y144" s="6148"/>
      <c r="Z144" s="6148"/>
      <c r="AA144" s="6148"/>
      <c r="AB144" s="6148"/>
      <c r="AC144" s="6148"/>
      <c r="AD144" s="6148"/>
      <c r="AE144" s="6148"/>
      <c r="AF144" s="6148"/>
      <c r="AG144" s="6148"/>
      <c r="AH144" s="6148"/>
      <c r="AI144" s="6148"/>
      <c r="AJ144" s="6148"/>
      <c r="AK144" s="6148"/>
      <c r="AL144" s="6148"/>
      <c r="AM144" s="6148"/>
      <c r="AN144" s="6148"/>
      <c r="AO144" s="6148"/>
      <c r="AP144" s="6148"/>
      <c r="AQ144" s="6148"/>
      <c r="AR144" s="6148"/>
      <c r="AS144" s="6148"/>
      <c r="AT144" s="6148"/>
      <c r="AU144" s="6148"/>
      <c r="AV144" s="6148"/>
      <c r="AW144" s="6148"/>
      <c r="AX144" s="6148"/>
      <c r="AY144" s="6148"/>
      <c r="AZ144" s="6148"/>
      <c r="BA144" s="6148"/>
      <c r="BB144" s="6148"/>
      <c r="BC144" s="6148"/>
      <c r="BD144" s="2730">
        <v>1</v>
      </c>
    </row>
    <row r="145" spans="1:56" ht="21" customHeight="1">
      <c r="A145" s="6148"/>
      <c r="B145" s="7817"/>
      <c r="C145" s="5557"/>
      <c r="D145" s="6311" t="s">
        <v>15416</v>
      </c>
      <c r="E145" s="6312">
        <f>IF(E139=0,0,E142*E143)</f>
        <v>5</v>
      </c>
      <c r="F145" s="6313" t="str">
        <f>F139</f>
        <v>❺ Kg cuit</v>
      </c>
      <c r="G145" s="6314">
        <f>IF(E139=0,0,G142*E143)</f>
        <v>2.5</v>
      </c>
      <c r="H145" s="6315" t="str">
        <f>H142</f>
        <v>❹ Kg cru</v>
      </c>
      <c r="I145" s="6347" t="str">
        <f>HYPERLINK("#"&amp;ADDRESS(ROW(E145),COLUMN(E145),4),"◀"&amp;ADDRESS(ROW(E145),COLUMN(E145),4))</f>
        <v>◀E145</v>
      </c>
      <c r="J145" s="6312">
        <f>E145</f>
        <v>5</v>
      </c>
      <c r="K145" s="6230" t="str">
        <f ca="1">_xlfn.FORMULATEXT(E145)</f>
        <v>=SI(E139=0;0;E142*E143)</v>
      </c>
      <c r="L145" s="6148"/>
      <c r="M145" s="6374" t="str">
        <f>ADDRESS(ROW(G145),COLUMN(G145),4)</f>
        <v>G145</v>
      </c>
      <c r="N145" s="6230" t="str">
        <f ca="1">_xlfn.FORMULATEXT(G145)</f>
        <v>=SI(E139=0;0;G142*E143)</v>
      </c>
      <c r="O145" s="6148"/>
      <c r="P145" s="6148"/>
      <c r="Q145" s="6148"/>
      <c r="R145" s="6148"/>
      <c r="S145" s="6148"/>
      <c r="T145" s="6148"/>
      <c r="U145" s="6148"/>
      <c r="V145" s="6148"/>
      <c r="W145" s="6148"/>
      <c r="X145" s="6148"/>
      <c r="Y145" s="6148"/>
      <c r="Z145" s="6148"/>
      <c r="AA145" s="6148"/>
      <c r="AB145" s="6148"/>
      <c r="AC145" s="6148"/>
      <c r="AD145" s="6148"/>
      <c r="AE145" s="6148"/>
      <c r="AF145" s="6148"/>
      <c r="AG145" s="6148"/>
      <c r="AH145" s="6148"/>
      <c r="AI145" s="6148"/>
      <c r="AJ145" s="6148"/>
      <c r="AK145" s="6148"/>
      <c r="AL145" s="6148"/>
      <c r="AM145" s="6148"/>
      <c r="AN145" s="6148"/>
      <c r="AO145" s="6148"/>
      <c r="AP145" s="6148"/>
      <c r="AQ145" s="6148"/>
      <c r="AR145" s="6148"/>
      <c r="AS145" s="6148"/>
      <c r="AT145" s="6148"/>
      <c r="AU145" s="6148"/>
      <c r="AV145" s="6148"/>
      <c r="AW145" s="6148"/>
      <c r="AX145" s="6148"/>
      <c r="AY145" s="6148"/>
      <c r="AZ145" s="6148"/>
      <c r="BA145" s="6148"/>
      <c r="BB145" s="6148"/>
      <c r="BC145" s="6148"/>
      <c r="BD145" s="2730">
        <v>1</v>
      </c>
    </row>
    <row r="146" spans="1:56" ht="21" customHeight="1">
      <c r="A146" s="6148"/>
      <c r="B146" s="7817"/>
      <c r="C146" s="5557"/>
      <c r="D146" s="6316" t="s">
        <v>15417</v>
      </c>
      <c r="E146" s="6317">
        <f>IF(E139=0,0,IF(MOD(E145,E139)&gt;MOD(E145,E139)/2,INT(E145/E139)+1,INT(E145/E139)))</f>
        <v>5</v>
      </c>
      <c r="F146" s="6320" t="s">
        <v>15418</v>
      </c>
      <c r="G146" s="6319">
        <f>IF(ISBLANK(E142),0,E139/E142)</f>
        <v>20</v>
      </c>
      <c r="H146" s="5738"/>
      <c r="I146" s="6347" t="str">
        <f>HYPERLINK("#"&amp;ADDRESS(ROW(E146),COLUMN(E146),4),"◀"&amp;ADDRESS(ROW(E146),COLUMN(E146),4))</f>
        <v>◀E146</v>
      </c>
      <c r="J146" s="6317">
        <f>E146</f>
        <v>5</v>
      </c>
      <c r="K146" s="6230" t="str">
        <f ca="1">_xlfn.FORMULATEXT(E146)</f>
        <v>=SI(E139=0;0;SI(MOD(E145;E139)&gt;MOD(E145;E139)/2;ENT(E145/E139)+1;ENT(E145/E139)))</v>
      </c>
      <c r="L146" s="6148"/>
      <c r="M146" s="6148"/>
      <c r="N146" s="6148"/>
      <c r="O146" s="6148"/>
      <c r="P146" s="6148"/>
      <c r="Q146" s="6165"/>
      <c r="R146" s="6165"/>
      <c r="S146" s="6165"/>
      <c r="T146" s="6165"/>
      <c r="U146" s="6148"/>
      <c r="V146" s="6148"/>
      <c r="W146" s="6148"/>
      <c r="X146" s="6148"/>
      <c r="Y146" s="6148"/>
      <c r="Z146" s="6148"/>
      <c r="AA146" s="6148"/>
      <c r="AB146" s="6148"/>
      <c r="AC146" s="6148"/>
      <c r="AD146" s="6148"/>
      <c r="AE146" s="6148"/>
      <c r="AF146" s="6148"/>
      <c r="AG146" s="6148"/>
      <c r="AH146" s="6148"/>
      <c r="AI146" s="6148"/>
      <c r="AJ146" s="6148"/>
      <c r="AK146" s="6148"/>
      <c r="AL146" s="6148"/>
      <c r="AM146" s="6148"/>
      <c r="AN146" s="6148"/>
      <c r="AO146" s="6148"/>
      <c r="AP146" s="6148"/>
      <c r="AQ146" s="6148"/>
      <c r="AR146" s="6148"/>
      <c r="AS146" s="6148"/>
      <c r="AT146" s="6148"/>
      <c r="AU146" s="6148"/>
      <c r="AV146" s="6148"/>
      <c r="AW146" s="6148"/>
      <c r="AX146" s="6148"/>
      <c r="AY146" s="6148"/>
      <c r="AZ146" s="6148"/>
      <c r="BA146" s="6148"/>
      <c r="BB146" s="6148"/>
      <c r="BC146" s="6148"/>
      <c r="BD146" s="2730">
        <v>1</v>
      </c>
    </row>
    <row r="147" spans="1:56" ht="21" customHeight="1">
      <c r="A147" s="6148"/>
      <c r="B147" s="7817"/>
      <c r="C147" s="5557"/>
      <c r="D147" s="6316"/>
      <c r="E147" s="6317"/>
      <c r="F147" s="6320"/>
      <c r="G147" s="6319"/>
      <c r="H147" s="5738"/>
      <c r="I147" s="6347" t="str">
        <f>HYPERLINK("#"&amp;ADDRESS(ROW(G146),COLUMN(G146),4),"◀"&amp;ADDRESS(ROW(G146),COLUMN(G146),4))</f>
        <v>◀G146</v>
      </c>
      <c r="J147" s="6319">
        <f>G146</f>
        <v>20</v>
      </c>
      <c r="K147" s="6230" t="str">
        <f ca="1">_xlfn.FORMULATEXT(G146)</f>
        <v>=SI(ESTVIDE(E142);0;E139/E142)</v>
      </c>
      <c r="L147" s="6148"/>
      <c r="M147" s="6148"/>
      <c r="N147" s="6148"/>
      <c r="O147" s="6148"/>
      <c r="P147" s="6148"/>
      <c r="Q147" s="6165"/>
      <c r="R147" s="6165"/>
      <c r="S147" s="6165"/>
      <c r="T147" s="6165"/>
      <c r="U147" s="6148"/>
      <c r="V147" s="6148"/>
      <c r="W147" s="6148"/>
      <c r="X147" s="6148"/>
      <c r="Y147" s="6148"/>
      <c r="Z147" s="6148"/>
      <c r="AA147" s="6148"/>
      <c r="AB147" s="6148"/>
      <c r="AC147" s="6148"/>
      <c r="AD147" s="6148"/>
      <c r="AE147" s="6148"/>
      <c r="AF147" s="6148"/>
      <c r="AG147" s="6148"/>
      <c r="AH147" s="6148"/>
      <c r="AI147" s="6148"/>
      <c r="AJ147" s="6148"/>
      <c r="AK147" s="6148"/>
      <c r="AL147" s="6148"/>
      <c r="AM147" s="6148"/>
      <c r="AN147" s="6148"/>
      <c r="AO147" s="6148"/>
      <c r="AP147" s="6148"/>
      <c r="AQ147" s="6148"/>
      <c r="AR147" s="6148"/>
      <c r="AS147" s="6148"/>
      <c r="AT147" s="6148"/>
      <c r="AU147" s="6148"/>
      <c r="AV147" s="6148"/>
      <c r="AW147" s="6148"/>
      <c r="AX147" s="6148"/>
      <c r="AY147" s="6148"/>
      <c r="AZ147" s="6148"/>
      <c r="BA147" s="6148"/>
      <c r="BB147" s="6148"/>
      <c r="BC147" s="6148"/>
      <c r="BD147" s="2730">
        <v>1</v>
      </c>
    </row>
    <row r="148" spans="1:56" ht="21" customHeight="1">
      <c r="A148" s="6148"/>
      <c r="B148" s="7817"/>
      <c r="C148" s="7801" t="s">
        <v>14841</v>
      </c>
      <c r="D148" s="7801"/>
      <c r="E148" s="7801"/>
      <c r="F148" s="7801"/>
      <c r="G148" s="7801"/>
      <c r="H148" s="7802"/>
      <c r="I148" s="6148"/>
      <c r="J148" s="6148"/>
      <c r="K148" s="6148"/>
      <c r="L148" s="6148"/>
      <c r="M148" s="6148"/>
      <c r="N148" s="6148"/>
      <c r="O148" s="6148"/>
      <c r="P148" s="6148"/>
      <c r="Q148" s="6165"/>
      <c r="R148" s="6165"/>
      <c r="S148" s="6165"/>
      <c r="T148" s="6165"/>
      <c r="U148" s="6148"/>
      <c r="V148" s="6148"/>
      <c r="W148" s="6148"/>
      <c r="X148" s="6148"/>
      <c r="Y148" s="6148"/>
      <c r="Z148" s="6148"/>
      <c r="AA148" s="6148"/>
      <c r="AB148" s="6148"/>
      <c r="AC148" s="6148"/>
      <c r="AD148" s="6148"/>
      <c r="AE148" s="6148"/>
      <c r="AF148" s="6148"/>
      <c r="AG148" s="6148"/>
      <c r="AH148" s="6148"/>
      <c r="AI148" s="6148"/>
      <c r="AJ148" s="6148"/>
      <c r="AK148" s="6148"/>
      <c r="AL148" s="6148"/>
      <c r="AM148" s="6148"/>
      <c r="AN148" s="6148"/>
      <c r="AO148" s="6148"/>
      <c r="AP148" s="6148"/>
      <c r="AQ148" s="6148"/>
      <c r="AR148" s="6148"/>
      <c r="AS148" s="6148"/>
      <c r="AT148" s="6148"/>
      <c r="AU148" s="6148"/>
      <c r="AV148" s="6148"/>
      <c r="AW148" s="6148"/>
      <c r="AX148" s="6148"/>
      <c r="AY148" s="6148"/>
      <c r="AZ148" s="6148"/>
      <c r="BA148" s="6148"/>
      <c r="BB148" s="6148"/>
      <c r="BC148" s="6148"/>
      <c r="BD148" s="2730">
        <v>1</v>
      </c>
    </row>
    <row r="149" spans="1:56" ht="21" customHeight="1">
      <c r="A149" s="6148"/>
      <c r="B149" s="7817"/>
      <c r="C149" s="7801"/>
      <c r="D149" s="7801"/>
      <c r="E149" s="7801"/>
      <c r="F149" s="7801"/>
      <c r="G149" s="7801"/>
      <c r="H149" s="7802"/>
      <c r="I149" s="6148"/>
      <c r="J149" s="6148"/>
      <c r="K149" s="6148"/>
      <c r="L149" s="6148"/>
      <c r="M149" s="6148"/>
      <c r="N149" s="6148"/>
      <c r="O149" s="6148"/>
      <c r="P149" s="6148"/>
      <c r="Q149" s="6165"/>
      <c r="R149" s="6165"/>
      <c r="S149" s="6165"/>
      <c r="T149" s="6165"/>
      <c r="U149" s="6148"/>
      <c r="V149" s="6148"/>
      <c r="W149" s="6148"/>
      <c r="X149" s="6148"/>
      <c r="Y149" s="6148"/>
      <c r="Z149" s="6148"/>
      <c r="AA149" s="6148"/>
      <c r="AB149" s="6148"/>
      <c r="AC149" s="6148"/>
      <c r="AD149" s="6148"/>
      <c r="AE149" s="6148"/>
      <c r="AF149" s="6148"/>
      <c r="AG149" s="6148"/>
      <c r="AH149" s="6148"/>
      <c r="AI149" s="6148"/>
      <c r="AJ149" s="6148"/>
      <c r="AK149" s="6148"/>
      <c r="AL149" s="6148"/>
      <c r="AM149" s="6148"/>
      <c r="AN149" s="6148"/>
      <c r="AO149" s="6148"/>
      <c r="AP149" s="6148"/>
      <c r="AQ149" s="6148"/>
      <c r="AR149" s="6148"/>
      <c r="AS149" s="6148"/>
      <c r="AT149" s="6148"/>
      <c r="AU149" s="6148"/>
      <c r="AV149" s="6148"/>
      <c r="AW149" s="6148"/>
      <c r="AX149" s="6148"/>
      <c r="AY149" s="6148"/>
      <c r="AZ149" s="6148"/>
      <c r="BA149" s="6148"/>
      <c r="BB149" s="6148"/>
      <c r="BC149" s="6148"/>
      <c r="BD149" s="2730">
        <v>1</v>
      </c>
    </row>
    <row r="150" spans="1:56" ht="21" customHeight="1">
      <c r="A150" s="6148"/>
      <c r="B150" s="7817"/>
      <c r="C150" s="6321" t="s">
        <v>15419</v>
      </c>
      <c r="D150" s="6322"/>
      <c r="E150" s="6322"/>
      <c r="F150" s="6322"/>
      <c r="G150" s="6322"/>
      <c r="H150" s="6323"/>
      <c r="I150" s="6148"/>
      <c r="J150" s="6148"/>
      <c r="K150" s="6148"/>
      <c r="L150" s="6148"/>
      <c r="M150" s="6148"/>
      <c r="N150" s="6148"/>
      <c r="O150" s="6148"/>
      <c r="P150" s="6148"/>
      <c r="Q150" s="6165"/>
      <c r="R150" s="6165"/>
      <c r="S150" s="6165"/>
      <c r="T150" s="6165"/>
      <c r="U150" s="6148"/>
      <c r="V150" s="6148"/>
      <c r="W150" s="6148"/>
      <c r="X150" s="6148"/>
      <c r="Y150" s="6148"/>
      <c r="Z150" s="6148"/>
      <c r="AA150" s="6148"/>
      <c r="AB150" s="6148"/>
      <c r="AC150" s="6148"/>
      <c r="AD150" s="6148"/>
      <c r="AE150" s="6148"/>
      <c r="AF150" s="6148"/>
      <c r="AG150" s="6148"/>
      <c r="AH150" s="6148"/>
      <c r="AI150" s="6148"/>
      <c r="AJ150" s="6148"/>
      <c r="AK150" s="6148"/>
      <c r="AL150" s="6148"/>
      <c r="AM150" s="6148"/>
      <c r="AN150" s="6148"/>
      <c r="AO150" s="6148"/>
      <c r="AP150" s="6148"/>
      <c r="AQ150" s="6148"/>
      <c r="AR150" s="6148"/>
      <c r="AS150" s="6148"/>
      <c r="AT150" s="6148"/>
      <c r="AU150" s="6148"/>
      <c r="AV150" s="6148"/>
      <c r="AW150" s="6148"/>
      <c r="AX150" s="6148"/>
      <c r="AY150" s="6148"/>
      <c r="AZ150" s="6148"/>
      <c r="BA150" s="6148"/>
      <c r="BB150" s="6148"/>
      <c r="BC150" s="6148"/>
      <c r="BD150" s="2730">
        <v>1</v>
      </c>
    </row>
    <row r="151" spans="1:56" ht="21" customHeight="1">
      <c r="A151" s="6148"/>
      <c r="B151" s="7817"/>
      <c r="C151" s="7821" t="s">
        <v>15420</v>
      </c>
      <c r="D151" s="7821"/>
      <c r="E151" s="7821"/>
      <c r="F151" s="7821"/>
      <c r="G151" s="7821"/>
      <c r="H151" s="7822"/>
      <c r="I151" s="6148"/>
      <c r="J151" s="6148"/>
      <c r="K151" s="6148"/>
      <c r="L151" s="6148"/>
      <c r="M151" s="6148"/>
      <c r="N151" s="6148"/>
      <c r="O151" s="6148"/>
      <c r="Q151" s="6148"/>
      <c r="R151" s="6148"/>
      <c r="S151" s="6148"/>
      <c r="T151" s="6148"/>
      <c r="U151" s="6148"/>
      <c r="V151" s="6148"/>
      <c r="W151" s="6148"/>
      <c r="X151" s="6148"/>
      <c r="Y151" s="6148"/>
      <c r="Z151" s="6148"/>
      <c r="AA151" s="6148"/>
      <c r="AB151" s="6148"/>
      <c r="AC151" s="6148"/>
      <c r="AD151" s="6148"/>
      <c r="AE151" s="6148"/>
      <c r="AF151" s="6148"/>
      <c r="AG151" s="6148"/>
      <c r="AH151" s="6148"/>
      <c r="AI151" s="6148"/>
      <c r="AJ151" s="6148"/>
      <c r="AK151" s="6148"/>
      <c r="AL151" s="6148"/>
      <c r="AM151" s="6148"/>
      <c r="AN151" s="6148"/>
      <c r="AO151" s="6148"/>
      <c r="AP151" s="6148"/>
      <c r="AQ151" s="6148"/>
      <c r="AR151" s="6148"/>
      <c r="AS151" s="6148"/>
      <c r="AT151" s="6148"/>
      <c r="AU151" s="6148"/>
      <c r="AV151" s="6148"/>
      <c r="AW151" s="6148"/>
      <c r="AX151" s="6148"/>
      <c r="AY151" s="6148"/>
      <c r="AZ151" s="6148"/>
      <c r="BA151" s="6148"/>
      <c r="BB151" s="6148"/>
      <c r="BC151" s="6148"/>
      <c r="BD151" s="2730">
        <v>1</v>
      </c>
    </row>
    <row r="152" spans="1:56" ht="21" customHeight="1">
      <c r="A152" s="6148"/>
      <c r="B152" s="7817"/>
      <c r="C152" s="6324" t="s">
        <v>15421</v>
      </c>
      <c r="D152" s="5557"/>
      <c r="E152" s="5557"/>
      <c r="F152" s="6328" t="s">
        <v>15425</v>
      </c>
      <c r="G152" s="5557"/>
      <c r="H152" s="5738"/>
      <c r="I152" s="6148"/>
      <c r="J152" s="6148"/>
      <c r="K152" s="6148"/>
      <c r="L152" s="6148"/>
      <c r="M152" s="6148"/>
      <c r="N152" s="6148"/>
      <c r="O152" s="6148"/>
      <c r="P152" s="6148"/>
      <c r="Q152" s="6148"/>
      <c r="R152" s="6148"/>
      <c r="S152" s="6148"/>
      <c r="T152" s="6148"/>
      <c r="U152" s="6148"/>
      <c r="V152" s="6148"/>
      <c r="W152" s="6148"/>
      <c r="X152" s="6148"/>
      <c r="Y152" s="6148"/>
      <c r="Z152" s="6148"/>
      <c r="AA152" s="6148"/>
      <c r="AB152" s="6148"/>
      <c r="AC152" s="6148"/>
      <c r="AD152" s="6148"/>
      <c r="AE152" s="6148"/>
      <c r="AF152" s="6148"/>
      <c r="AG152" s="6148"/>
      <c r="AH152" s="6148"/>
      <c r="AI152" s="6148"/>
      <c r="AJ152" s="6148"/>
      <c r="AK152" s="6148"/>
      <c r="AL152" s="6148"/>
      <c r="AM152" s="6148"/>
      <c r="AN152" s="6148"/>
      <c r="AO152" s="6148"/>
      <c r="AP152" s="6148"/>
      <c r="AQ152" s="6148"/>
      <c r="AR152" s="6148"/>
      <c r="AS152" s="6148"/>
      <c r="AT152" s="6148"/>
      <c r="AU152" s="6148"/>
      <c r="AV152" s="6148"/>
      <c r="AW152" s="6148"/>
      <c r="AX152" s="6148"/>
      <c r="AY152" s="6148"/>
      <c r="AZ152" s="6148"/>
      <c r="BA152" s="6148"/>
      <c r="BB152" s="6148"/>
      <c r="BC152" s="6148"/>
      <c r="BD152" s="2730">
        <v>1</v>
      </c>
    </row>
    <row r="153" spans="1:56" ht="21" customHeight="1">
      <c r="A153" s="6148"/>
      <c r="B153" s="7817"/>
      <c r="C153" s="6325" t="s">
        <v>15410</v>
      </c>
      <c r="D153" s="5557"/>
      <c r="E153" s="5557"/>
      <c r="F153" s="6329" t="s">
        <v>15426</v>
      </c>
      <c r="G153" s="5557"/>
      <c r="H153" s="5738"/>
      <c r="I153" s="6148"/>
      <c r="J153" s="6148"/>
      <c r="K153" s="6148"/>
      <c r="L153" s="6148"/>
      <c r="M153" s="6148"/>
      <c r="N153" s="6148"/>
      <c r="O153" s="6148"/>
      <c r="P153" s="6148"/>
      <c r="Q153" s="6148"/>
      <c r="R153" s="6148"/>
      <c r="S153" s="6148"/>
      <c r="T153" s="6148"/>
      <c r="U153" s="6148"/>
      <c r="V153" s="6148"/>
      <c r="W153" s="6148"/>
      <c r="X153" s="6148"/>
      <c r="Y153" s="6148"/>
      <c r="Z153" s="6148"/>
      <c r="AA153" s="6148"/>
      <c r="AB153" s="6148"/>
      <c r="AC153" s="6148"/>
      <c r="AD153" s="6148"/>
      <c r="AE153" s="6148"/>
      <c r="AF153" s="6148"/>
      <c r="AG153" s="6148"/>
      <c r="AH153" s="6148"/>
      <c r="AI153" s="6148"/>
      <c r="AJ153" s="6148"/>
      <c r="AK153" s="6148"/>
      <c r="AL153" s="6148"/>
      <c r="AM153" s="6148"/>
      <c r="AN153" s="6148"/>
      <c r="AO153" s="6148"/>
      <c r="AP153" s="6148"/>
      <c r="AQ153" s="6148"/>
      <c r="AR153" s="6148"/>
      <c r="AS153" s="6148"/>
      <c r="AT153" s="6148"/>
      <c r="AU153" s="6148"/>
      <c r="AV153" s="6148"/>
      <c r="AW153" s="6148"/>
      <c r="AX153" s="6148"/>
      <c r="AY153" s="6148"/>
      <c r="AZ153" s="6148"/>
      <c r="BA153" s="6148"/>
      <c r="BB153" s="6148"/>
      <c r="BC153" s="6148"/>
      <c r="BD153" s="2730">
        <v>1</v>
      </c>
    </row>
    <row r="154" spans="1:56" ht="21" customHeight="1">
      <c r="A154" s="6148"/>
      <c r="B154" s="7817"/>
      <c r="C154" s="6327" t="s">
        <v>15424</v>
      </c>
      <c r="D154" s="5557"/>
      <c r="E154" s="5557"/>
      <c r="F154" s="6332" t="s">
        <v>15427</v>
      </c>
      <c r="G154" s="5557"/>
      <c r="H154" s="5738"/>
      <c r="I154" s="6148"/>
      <c r="J154" s="6148"/>
      <c r="K154" s="6148"/>
      <c r="L154" s="6148"/>
      <c r="M154" s="6148"/>
      <c r="N154" s="6148"/>
      <c r="O154" s="6148"/>
      <c r="P154" s="6148"/>
      <c r="Q154" s="6148"/>
      <c r="R154" s="6148"/>
      <c r="S154" s="6148"/>
      <c r="T154" s="6148"/>
      <c r="U154" s="6148"/>
      <c r="V154" s="6148"/>
      <c r="W154" s="6148"/>
      <c r="X154" s="6148"/>
      <c r="Y154" s="6148"/>
      <c r="Z154" s="6148"/>
      <c r="AA154" s="6148"/>
      <c r="AB154" s="6148"/>
      <c r="AC154" s="6148"/>
      <c r="AD154" s="6148"/>
      <c r="AE154" s="6148"/>
      <c r="AF154" s="6148"/>
      <c r="AG154" s="6148"/>
      <c r="AH154" s="6148"/>
      <c r="AI154" s="6148"/>
      <c r="AJ154" s="6148"/>
      <c r="AK154" s="6148"/>
      <c r="AL154" s="6148"/>
      <c r="AM154" s="6148"/>
      <c r="AN154" s="6148"/>
      <c r="AO154" s="6148"/>
      <c r="AP154" s="6148"/>
      <c r="AQ154" s="6148"/>
      <c r="AR154" s="6148"/>
      <c r="AS154" s="6148"/>
      <c r="AT154" s="6148"/>
      <c r="AU154" s="6148"/>
      <c r="AV154" s="6148"/>
      <c r="AW154" s="6148"/>
      <c r="AX154" s="6148"/>
      <c r="AY154" s="6148"/>
      <c r="AZ154" s="6148"/>
      <c r="BA154" s="6148"/>
      <c r="BB154" s="6148"/>
      <c r="BC154" s="6148"/>
      <c r="BD154" s="2730">
        <v>1</v>
      </c>
    </row>
    <row r="155" spans="1:56" ht="21" customHeight="1">
      <c r="A155" s="6148"/>
      <c r="B155" s="7817"/>
      <c r="C155" s="6262"/>
      <c r="D155" s="6298" t="s">
        <v>15402</v>
      </c>
      <c r="E155" s="5557"/>
      <c r="F155" s="6329"/>
      <c r="G155" s="5557"/>
      <c r="H155" s="5738"/>
      <c r="I155" s="6148"/>
      <c r="J155" s="6148"/>
      <c r="K155" s="6148"/>
      <c r="L155" s="6148"/>
      <c r="M155" s="6148"/>
      <c r="N155" s="6148"/>
      <c r="O155" s="6148"/>
      <c r="P155" s="6148"/>
      <c r="Q155" s="6148"/>
      <c r="R155" s="6148"/>
      <c r="S155" s="6148"/>
      <c r="T155" s="6148"/>
      <c r="U155" s="6148"/>
      <c r="V155" s="6148"/>
      <c r="W155" s="6148"/>
      <c r="X155" s="6148"/>
      <c r="Y155" s="6148"/>
      <c r="Z155" s="6148"/>
      <c r="AA155" s="6148"/>
      <c r="AB155" s="6148"/>
      <c r="AC155" s="6148"/>
      <c r="AD155" s="6148"/>
      <c r="AE155" s="6148"/>
      <c r="AF155" s="6148"/>
      <c r="AG155" s="6148"/>
      <c r="AH155" s="6148"/>
      <c r="AI155" s="6148"/>
      <c r="AJ155" s="6148"/>
      <c r="AK155" s="6148"/>
      <c r="AL155" s="6148"/>
      <c r="AM155" s="6148"/>
      <c r="AN155" s="6148"/>
      <c r="AO155" s="6148"/>
      <c r="AP155" s="6148"/>
      <c r="AQ155" s="6148"/>
      <c r="AR155" s="6148"/>
      <c r="AS155" s="6148"/>
      <c r="AT155" s="6148"/>
      <c r="AU155" s="6148"/>
      <c r="AV155" s="6148"/>
      <c r="AW155" s="6148"/>
      <c r="AX155" s="6148"/>
      <c r="AY155" s="6148"/>
      <c r="AZ155" s="6148"/>
      <c r="BA155" s="6148"/>
      <c r="BB155" s="6148"/>
      <c r="BC155" s="6148"/>
      <c r="BD155" s="2730">
        <v>1</v>
      </c>
    </row>
    <row r="156" spans="1:56" ht="21" customHeight="1">
      <c r="A156" s="6148"/>
      <c r="B156" s="7817"/>
      <c r="C156" s="6264"/>
      <c r="D156" s="6331" t="s">
        <v>15404</v>
      </c>
      <c r="E156" s="5557"/>
      <c r="F156" s="6332"/>
      <c r="G156" s="5557"/>
      <c r="H156" s="5738"/>
      <c r="I156" s="6148"/>
      <c r="J156" s="6148"/>
      <c r="K156" s="6148"/>
      <c r="L156" s="6148"/>
      <c r="M156" s="6148"/>
      <c r="N156" s="6148"/>
      <c r="O156" s="6148"/>
      <c r="P156" s="6148"/>
      <c r="Q156" s="6148"/>
      <c r="R156" s="6148"/>
      <c r="S156" s="6148"/>
      <c r="T156" s="6148"/>
      <c r="U156" s="6148"/>
      <c r="V156" s="6148"/>
      <c r="W156" s="6148"/>
      <c r="X156" s="6148"/>
      <c r="Y156" s="6148"/>
      <c r="Z156" s="6148"/>
      <c r="AA156" s="6148"/>
      <c r="AB156" s="6148"/>
      <c r="AC156" s="6148"/>
      <c r="AD156" s="6148"/>
      <c r="AE156" s="6148"/>
      <c r="AF156" s="6148"/>
      <c r="AG156" s="6148"/>
      <c r="AH156" s="6148"/>
      <c r="AI156" s="6148"/>
      <c r="AJ156" s="6148"/>
      <c r="AK156" s="6148"/>
      <c r="AL156" s="6148"/>
      <c r="AM156" s="6148"/>
      <c r="AN156" s="6148"/>
      <c r="AO156" s="6148"/>
      <c r="AP156" s="6148"/>
      <c r="AQ156" s="6148"/>
      <c r="AR156" s="6148"/>
      <c r="AS156" s="6148"/>
      <c r="AT156" s="6148"/>
      <c r="AU156" s="6148"/>
      <c r="AV156" s="6148"/>
      <c r="AW156" s="6148"/>
      <c r="AX156" s="6148"/>
      <c r="AY156" s="6148"/>
      <c r="AZ156" s="6148"/>
      <c r="BA156" s="6148"/>
      <c r="BB156" s="6148"/>
      <c r="BC156" s="6148"/>
      <c r="BD156" s="2730">
        <v>1</v>
      </c>
    </row>
    <row r="157" spans="1:56" ht="21" customHeight="1">
      <c r="A157" s="6148"/>
      <c r="B157" s="7817"/>
      <c r="C157" s="6333"/>
      <c r="D157" s="5557"/>
      <c r="E157" s="6334" t="s">
        <v>15428</v>
      </c>
      <c r="F157" s="6332"/>
      <c r="G157" s="6333" t="s">
        <v>15429</v>
      </c>
      <c r="H157" s="6335" t="str">
        <f>ADDRESS(ROW(F139),COLUMN(F139),4)</f>
        <v>F139</v>
      </c>
      <c r="I157" s="6148"/>
      <c r="J157" s="6148"/>
      <c r="K157" s="6148"/>
      <c r="L157" s="6148"/>
      <c r="M157" s="6148"/>
      <c r="N157" s="6148"/>
      <c r="O157" s="6148"/>
      <c r="P157" s="6148"/>
      <c r="Q157" s="6148"/>
      <c r="R157" s="6148"/>
      <c r="S157" s="6148"/>
      <c r="T157" s="6148"/>
      <c r="U157" s="6148"/>
      <c r="V157" s="6148"/>
      <c r="W157" s="6148"/>
      <c r="X157" s="6148"/>
      <c r="Y157" s="6148"/>
      <c r="Z157" s="6148"/>
      <c r="AA157" s="6148"/>
      <c r="AB157" s="6148"/>
      <c r="AC157" s="6148"/>
      <c r="AD157" s="6148"/>
      <c r="AE157" s="6148"/>
      <c r="AF157" s="6148"/>
      <c r="AG157" s="6148"/>
      <c r="AH157" s="6148"/>
      <c r="AI157" s="6148"/>
      <c r="AJ157" s="6148"/>
      <c r="AK157" s="6148"/>
      <c r="AL157" s="6148"/>
      <c r="AM157" s="6148"/>
      <c r="AN157" s="6148"/>
      <c r="AO157" s="6148"/>
      <c r="AP157" s="6148"/>
      <c r="AQ157" s="6148"/>
      <c r="AR157" s="6148"/>
      <c r="AS157" s="6148"/>
      <c r="AT157" s="6148"/>
      <c r="AU157" s="6148"/>
      <c r="AV157" s="6148"/>
      <c r="AW157" s="6148"/>
      <c r="AX157" s="6148"/>
      <c r="AY157" s="6148"/>
      <c r="AZ157" s="6148"/>
      <c r="BA157" s="6148"/>
      <c r="BB157" s="6148"/>
      <c r="BC157" s="6148"/>
      <c r="BD157" s="2730">
        <v>1</v>
      </c>
    </row>
    <row r="158" spans="1:56" ht="21" customHeight="1">
      <c r="A158" s="6148"/>
      <c r="B158" s="7817"/>
      <c r="C158" s="6197" t="s">
        <v>15438</v>
      </c>
      <c r="D158" s="6336"/>
      <c r="E158" s="6334"/>
      <c r="F158" s="6197" t="s">
        <v>15439</v>
      </c>
      <c r="G158" s="5557"/>
      <c r="H158" s="5738"/>
      <c r="I158" s="6148"/>
      <c r="J158" s="6148"/>
      <c r="K158" s="6148"/>
      <c r="L158" s="6148"/>
      <c r="M158" s="6148"/>
      <c r="N158" s="6148"/>
      <c r="O158" s="6148"/>
      <c r="P158" s="6148"/>
      <c r="Q158" s="6148"/>
      <c r="R158" s="6148"/>
      <c r="S158" s="6148"/>
      <c r="T158" s="6148"/>
      <c r="U158" s="6148"/>
      <c r="V158" s="6148"/>
      <c r="W158" s="6148"/>
      <c r="X158" s="6148"/>
      <c r="Y158" s="6148"/>
      <c r="Z158" s="6148"/>
      <c r="AA158" s="6148"/>
      <c r="AB158" s="6148"/>
      <c r="AC158" s="6148"/>
      <c r="AD158" s="6148"/>
      <c r="AE158" s="6148"/>
      <c r="AF158" s="6148"/>
      <c r="AG158" s="6148"/>
      <c r="AH158" s="6148"/>
      <c r="AI158" s="6148"/>
      <c r="AJ158" s="6148"/>
      <c r="AK158" s="6148"/>
      <c r="AL158" s="6148"/>
      <c r="AM158" s="6148"/>
      <c r="AN158" s="6148"/>
      <c r="AO158" s="6148"/>
      <c r="AP158" s="6148"/>
      <c r="AQ158" s="6148"/>
      <c r="AR158" s="6148"/>
      <c r="AS158" s="6148"/>
      <c r="AT158" s="6148"/>
      <c r="AU158" s="6148"/>
      <c r="AV158" s="6148"/>
      <c r="AW158" s="6148"/>
      <c r="AX158" s="6148"/>
      <c r="AY158" s="6148"/>
      <c r="AZ158" s="6148"/>
      <c r="BA158" s="6148"/>
      <c r="BB158" s="6148"/>
      <c r="BC158" s="6148"/>
      <c r="BD158" s="2730">
        <v>1</v>
      </c>
    </row>
    <row r="159" spans="1:56" ht="21" customHeight="1">
      <c r="A159" s="6148"/>
      <c r="B159" s="7817"/>
      <c r="C159" s="6200">
        <v>12</v>
      </c>
      <c r="D159" s="6200">
        <v>11</v>
      </c>
      <c r="E159" s="6200">
        <v>11</v>
      </c>
      <c r="F159" s="6200">
        <v>11</v>
      </c>
      <c r="G159" s="6200">
        <v>11</v>
      </c>
      <c r="H159" s="6201">
        <v>11</v>
      </c>
      <c r="I159" s="6202" t="s">
        <v>15341</v>
      </c>
      <c r="J159" s="6148"/>
      <c r="K159" s="6148"/>
      <c r="L159" s="6148"/>
      <c r="M159" s="6148"/>
      <c r="N159" s="6148"/>
      <c r="O159" s="6148"/>
      <c r="P159" s="6148"/>
      <c r="Q159" s="6148"/>
      <c r="R159" s="6148"/>
      <c r="S159" s="6148"/>
      <c r="T159" s="6148"/>
      <c r="U159" s="6148"/>
      <c r="V159" s="6148"/>
      <c r="W159" s="6148"/>
      <c r="X159" s="6148"/>
      <c r="Y159" s="6148"/>
      <c r="Z159" s="6148"/>
      <c r="AA159" s="6148"/>
      <c r="AB159" s="6148"/>
      <c r="AC159" s="6148"/>
      <c r="AD159" s="6148"/>
      <c r="AE159" s="6148"/>
      <c r="AF159" s="6148"/>
      <c r="AG159" s="6148"/>
      <c r="AH159" s="6148"/>
      <c r="AI159" s="6148"/>
      <c r="AJ159" s="6148"/>
      <c r="AK159" s="6148"/>
      <c r="AL159" s="6148"/>
      <c r="AM159" s="6148"/>
      <c r="AN159" s="6148"/>
      <c r="AO159" s="6148"/>
      <c r="AP159" s="6148"/>
      <c r="AQ159" s="6148"/>
      <c r="AR159" s="6148"/>
      <c r="AS159" s="6148"/>
      <c r="AT159" s="6148"/>
      <c r="AU159" s="6148"/>
      <c r="AV159" s="6148"/>
      <c r="AW159" s="6148"/>
      <c r="AX159" s="6148"/>
      <c r="AY159" s="6148"/>
      <c r="AZ159" s="6148"/>
      <c r="BA159" s="6148"/>
      <c r="BB159" s="6148"/>
      <c r="BC159" s="6148"/>
      <c r="BD159" s="2730">
        <v>1</v>
      </c>
    </row>
    <row r="160" spans="1:56" ht="21" customHeight="1" thickBot="1">
      <c r="A160" s="6148"/>
      <c r="B160" s="7818"/>
      <c r="C160" s="6207">
        <f ca="1">CELL("largeur",C160)</f>
        <v>13</v>
      </c>
      <c r="D160" s="6207">
        <f t="shared" ref="D160:H160" ca="1" si="9">CELL("largeur",D160)</f>
        <v>21</v>
      </c>
      <c r="E160" s="6207">
        <f t="shared" ca="1" si="9"/>
        <v>13</v>
      </c>
      <c r="F160" s="6207">
        <f t="shared" ca="1" si="9"/>
        <v>13</v>
      </c>
      <c r="G160" s="6207">
        <f t="shared" ca="1" si="9"/>
        <v>13</v>
      </c>
      <c r="H160" s="6208">
        <f t="shared" ca="1" si="9"/>
        <v>13</v>
      </c>
      <c r="I160" s="6202" t="s">
        <v>15344</v>
      </c>
      <c r="J160" s="6148"/>
      <c r="K160" s="6148"/>
      <c r="L160" s="6148"/>
      <c r="M160" s="6148"/>
      <c r="N160" s="6148"/>
      <c r="O160" s="6148"/>
      <c r="P160" s="6148"/>
      <c r="Q160" s="6148"/>
      <c r="R160" s="6148"/>
      <c r="S160" s="6148"/>
      <c r="T160" s="6148"/>
      <c r="U160" s="6148"/>
      <c r="V160" s="6148"/>
      <c r="W160" s="6148"/>
      <c r="X160" s="6148"/>
      <c r="Y160" s="6148"/>
      <c r="Z160" s="6148"/>
      <c r="AA160" s="6148"/>
      <c r="AB160" s="6148"/>
      <c r="AC160" s="6148"/>
      <c r="AD160" s="6148"/>
      <c r="AE160" s="6148"/>
      <c r="AF160" s="6148"/>
      <c r="AG160" s="6148"/>
      <c r="AH160" s="6148"/>
      <c r="AI160" s="6148"/>
      <c r="AJ160" s="6148"/>
      <c r="AK160" s="6148"/>
      <c r="AL160" s="6148"/>
      <c r="AM160" s="6148"/>
      <c r="AN160" s="6148"/>
      <c r="AO160" s="6148"/>
      <c r="AP160" s="6148"/>
      <c r="AQ160" s="6148"/>
      <c r="AR160" s="6148"/>
      <c r="AS160" s="6148"/>
      <c r="AT160" s="6148"/>
      <c r="AU160" s="6148"/>
      <c r="AV160" s="6148"/>
      <c r="AW160" s="6148"/>
      <c r="AX160" s="6148"/>
      <c r="AY160" s="6148"/>
      <c r="AZ160" s="6148"/>
      <c r="BA160" s="6148"/>
      <c r="BB160" s="6148"/>
      <c r="BC160" s="6148"/>
      <c r="BD160" s="2730">
        <v>1</v>
      </c>
    </row>
    <row r="161" spans="1:56" ht="21" customHeight="1" thickBot="1">
      <c r="A161" s="6148"/>
      <c r="B161" s="6148"/>
      <c r="C161" s="6148"/>
      <c r="D161" s="6148"/>
      <c r="E161" s="6148"/>
      <c r="F161" s="6148"/>
      <c r="G161" s="6148"/>
      <c r="H161" s="6148"/>
      <c r="I161" s="6148"/>
      <c r="J161" s="6148"/>
      <c r="K161" s="6148"/>
      <c r="L161" s="6148"/>
      <c r="M161" s="6148"/>
      <c r="N161" s="6148"/>
      <c r="O161" s="6148"/>
      <c r="P161" s="6148"/>
      <c r="Q161" s="6148"/>
      <c r="R161" s="6148"/>
      <c r="S161" s="6148"/>
      <c r="T161" s="6148"/>
      <c r="U161" s="6148"/>
      <c r="V161" s="6148"/>
      <c r="W161" s="6148"/>
      <c r="X161" s="6148"/>
      <c r="Y161" s="6148"/>
      <c r="Z161" s="6148"/>
      <c r="AA161" s="6148"/>
      <c r="AB161" s="6148"/>
      <c r="AC161" s="6148"/>
      <c r="AD161" s="6148"/>
      <c r="AE161" s="6148"/>
      <c r="AF161" s="6148"/>
      <c r="AG161" s="6148"/>
      <c r="AH161" s="6148"/>
      <c r="AI161" s="6148"/>
      <c r="AJ161" s="6148"/>
      <c r="AK161" s="6148"/>
      <c r="AL161" s="6148"/>
      <c r="AM161" s="6148"/>
      <c r="AN161" s="6148"/>
      <c r="AO161" s="6148"/>
      <c r="AP161" s="6148"/>
      <c r="AQ161" s="6148"/>
      <c r="AR161" s="6148"/>
      <c r="AS161" s="6148"/>
      <c r="AT161" s="6148"/>
      <c r="AU161" s="6148"/>
      <c r="AV161" s="6148"/>
      <c r="AW161" s="6148"/>
      <c r="AX161" s="6148"/>
      <c r="AY161" s="6148"/>
      <c r="AZ161" s="6148"/>
      <c r="BA161" s="6148"/>
      <c r="BB161" s="6148"/>
      <c r="BC161" s="6148"/>
      <c r="BD161" s="2730">
        <v>1</v>
      </c>
    </row>
    <row r="162" spans="1:56" ht="21" customHeight="1">
      <c r="A162" s="6148"/>
      <c r="B162" s="7807" t="s">
        <v>67</v>
      </c>
      <c r="C162" s="7809" t="s">
        <v>15405</v>
      </c>
      <c r="D162" s="7809"/>
      <c r="E162" s="7809"/>
      <c r="F162" s="7809"/>
      <c r="G162" s="6375"/>
      <c r="H162" s="6376" t="str">
        <f>F170</f>
        <v>Morceaux</v>
      </c>
      <c r="I162" s="6148"/>
      <c r="J162" s="6148"/>
      <c r="K162" s="6148"/>
      <c r="L162" s="6148"/>
      <c r="M162" s="6148"/>
      <c r="N162" s="6148"/>
      <c r="O162" s="6148"/>
      <c r="P162" s="6148"/>
      <c r="Q162" s="6148"/>
      <c r="R162" s="6148"/>
      <c r="S162" s="6148"/>
      <c r="T162" s="6148"/>
      <c r="U162" s="6148"/>
      <c r="V162" s="6148"/>
      <c r="W162" s="6148"/>
      <c r="X162" s="6148"/>
      <c r="Y162" s="6148"/>
      <c r="Z162" s="6148"/>
      <c r="AA162" s="6148"/>
      <c r="AB162" s="6148"/>
      <c r="AC162" s="6148"/>
      <c r="AD162" s="6148"/>
      <c r="AE162" s="6148"/>
      <c r="AF162" s="6148"/>
      <c r="AG162" s="6148"/>
      <c r="AH162" s="6148"/>
      <c r="AI162" s="6148"/>
      <c r="AJ162" s="6148"/>
      <c r="AK162" s="6148"/>
      <c r="AL162" s="6148"/>
      <c r="AM162" s="6148"/>
      <c r="AN162" s="6148"/>
      <c r="AO162" s="6148"/>
      <c r="AP162" s="6148"/>
      <c r="AQ162" s="6148"/>
      <c r="AR162" s="6148"/>
      <c r="AS162" s="6148"/>
      <c r="AT162" s="6148"/>
      <c r="AU162" s="6148"/>
      <c r="AV162" s="6148"/>
      <c r="AW162" s="6148"/>
      <c r="AX162" s="6148"/>
      <c r="AY162" s="6148"/>
      <c r="AZ162" s="6148"/>
      <c r="BA162" s="6148"/>
      <c r="BB162" s="6148"/>
      <c r="BC162" s="6148"/>
      <c r="BD162" s="2730">
        <v>1</v>
      </c>
    </row>
    <row r="163" spans="1:56" ht="21" customHeight="1">
      <c r="A163" s="6148"/>
      <c r="B163" s="7808"/>
      <c r="C163" s="6377"/>
      <c r="D163" s="6377"/>
      <c r="E163" s="6378"/>
      <c r="F163" s="6379" t="s">
        <v>15406</v>
      </c>
      <c r="G163" s="6380" t="str">
        <f>G172</f>
        <v>❹ Cru</v>
      </c>
      <c r="H163" s="6381"/>
      <c r="I163" s="6148"/>
      <c r="J163" s="6148"/>
      <c r="K163" s="6148"/>
      <c r="L163" s="6148"/>
      <c r="M163" s="6148"/>
      <c r="N163" s="6148"/>
      <c r="O163" s="6148"/>
      <c r="P163" s="6148"/>
      <c r="Q163" s="6148"/>
      <c r="R163" s="6148"/>
      <c r="S163" s="6148"/>
      <c r="T163" s="6148"/>
      <c r="U163" s="6148"/>
      <c r="V163" s="6148"/>
      <c r="W163" s="6148"/>
      <c r="X163" s="6148"/>
      <c r="Y163" s="6148"/>
      <c r="Z163" s="6148"/>
      <c r="AA163" s="6148"/>
      <c r="AB163" s="6148"/>
      <c r="AC163" s="6148"/>
      <c r="AD163" s="6148"/>
      <c r="AE163" s="6148"/>
      <c r="AF163" s="6148"/>
      <c r="AG163" s="6148"/>
      <c r="AH163" s="6148"/>
      <c r="AI163" s="6148"/>
      <c r="AJ163" s="6148"/>
      <c r="AK163" s="6148"/>
      <c r="AL163" s="6148"/>
      <c r="AM163" s="6148"/>
      <c r="AN163" s="6148"/>
      <c r="AO163" s="6148"/>
      <c r="AP163" s="6148"/>
      <c r="AQ163" s="6148"/>
      <c r="AR163" s="6148"/>
      <c r="AS163" s="6148"/>
      <c r="AT163" s="6148"/>
      <c r="AU163" s="6148"/>
      <c r="AV163" s="6148"/>
      <c r="AW163" s="6148"/>
      <c r="AX163" s="6148"/>
      <c r="AY163" s="6148"/>
      <c r="AZ163" s="6148"/>
      <c r="BA163" s="6148"/>
      <c r="BB163" s="6148"/>
      <c r="BC163" s="6148"/>
      <c r="BD163" s="2730">
        <v>1</v>
      </c>
    </row>
    <row r="164" spans="1:56" ht="21" customHeight="1">
      <c r="A164" s="6148"/>
      <c r="B164" s="7797">
        <v>3</v>
      </c>
      <c r="C164" s="7799" t="str">
        <f>D168</f>
        <v>Sautés en morceaux service au poids</v>
      </c>
      <c r="D164" s="7799"/>
      <c r="E164" s="7799"/>
      <c r="F164" s="7799"/>
      <c r="G164" s="7799"/>
      <c r="H164" s="7800"/>
      <c r="I164" s="6148"/>
      <c r="J164" s="6148"/>
      <c r="K164" s="6148"/>
      <c r="L164" s="6148"/>
      <c r="M164" s="6148"/>
      <c r="N164" s="6148"/>
      <c r="O164" s="6148"/>
      <c r="P164" s="6148"/>
      <c r="Q164" s="6148"/>
      <c r="R164" s="6148"/>
      <c r="S164" s="6148"/>
      <c r="T164" s="6148"/>
      <c r="U164" s="6148"/>
      <c r="V164" s="6148"/>
      <c r="W164" s="6148"/>
      <c r="X164" s="6148"/>
      <c r="Y164" s="6148"/>
      <c r="Z164" s="6148"/>
      <c r="AA164" s="6148"/>
      <c r="AB164" s="6148"/>
      <c r="AC164" s="6148"/>
      <c r="AD164" s="6148"/>
      <c r="AE164" s="6148"/>
      <c r="AF164" s="6148"/>
      <c r="AG164" s="6148"/>
      <c r="AH164" s="6148"/>
      <c r="AI164" s="6148"/>
      <c r="AJ164" s="6148"/>
      <c r="AK164" s="6148"/>
      <c r="AL164" s="6148"/>
      <c r="AM164" s="6148"/>
      <c r="AN164" s="6148"/>
      <c r="AO164" s="6148"/>
      <c r="AP164" s="6148"/>
      <c r="AQ164" s="6148"/>
      <c r="AR164" s="6148"/>
      <c r="AS164" s="6148"/>
      <c r="AT164" s="6148"/>
      <c r="AU164" s="6148"/>
      <c r="AV164" s="6148"/>
      <c r="AW164" s="6148"/>
      <c r="AX164" s="6148"/>
      <c r="AY164" s="6148"/>
      <c r="AZ164" s="6148"/>
      <c r="BA164" s="6148"/>
      <c r="BB164" s="6148"/>
      <c r="BC164" s="6148"/>
      <c r="BD164" s="2730">
        <v>1</v>
      </c>
    </row>
    <row r="165" spans="1:56" ht="21" customHeight="1">
      <c r="A165" s="6148"/>
      <c r="B165" s="7797"/>
      <c r="C165" s="6382"/>
      <c r="D165" s="6383" t="s">
        <v>15407</v>
      </c>
      <c r="E165" s="6384">
        <f>IF(E172=0,0,IF(MOD(E179,E172)&gt;MOD(E179,E172)/2,INT(E179/E172)+1,INT(E179/E172)))</f>
        <v>86</v>
      </c>
      <c r="F165" s="6385" t="str">
        <f>F169</f>
        <v xml:space="preserve"> GN 1/ 1 = 35 morceaux</v>
      </c>
      <c r="G165" s="6386"/>
      <c r="H165" s="6387"/>
      <c r="I165" s="6148"/>
      <c r="J165" s="6148"/>
      <c r="K165" s="6148"/>
      <c r="L165" s="6148"/>
      <c r="M165" s="6148"/>
      <c r="N165" s="6148"/>
      <c r="O165" s="6148"/>
      <c r="P165" s="6148"/>
      <c r="Q165" s="6148"/>
      <c r="R165" s="6148"/>
      <c r="S165" s="6148"/>
      <c r="T165" s="6148"/>
      <c r="U165" s="6148"/>
      <c r="V165" s="6148"/>
      <c r="W165" s="6148"/>
      <c r="X165" s="6148"/>
      <c r="Y165" s="6148"/>
      <c r="Z165" s="6148"/>
      <c r="AA165" s="6148"/>
      <c r="AB165" s="6148"/>
      <c r="AC165" s="6148"/>
      <c r="AD165" s="6148"/>
      <c r="AE165" s="6148"/>
      <c r="AF165" s="6148"/>
      <c r="AG165" s="6148"/>
      <c r="AH165" s="6148"/>
      <c r="AI165" s="6148"/>
      <c r="AJ165" s="6148"/>
      <c r="AK165" s="6148"/>
      <c r="AL165" s="6148"/>
      <c r="AM165" s="6148"/>
      <c r="AN165" s="6148"/>
      <c r="AO165" s="6148"/>
      <c r="AP165" s="6148"/>
      <c r="AQ165" s="6148"/>
      <c r="AR165" s="6148"/>
      <c r="AS165" s="6148"/>
      <c r="AT165" s="6148"/>
      <c r="AU165" s="6148"/>
      <c r="AV165" s="6148"/>
      <c r="AW165" s="6148"/>
      <c r="AX165" s="6148"/>
      <c r="AY165" s="6148"/>
      <c r="AZ165" s="6148"/>
      <c r="BA165" s="6148"/>
      <c r="BB165" s="6148"/>
      <c r="BC165" s="6148"/>
      <c r="BD165" s="2730">
        <v>1</v>
      </c>
    </row>
    <row r="166" spans="1:56" ht="21" customHeight="1">
      <c r="A166" s="6148"/>
      <c r="B166" s="7797"/>
      <c r="C166" s="6388">
        <f>INT(E179/E172)</f>
        <v>85</v>
      </c>
      <c r="D166" s="6389">
        <f>IF(C166=0,0,IF(E165=0,0,E172))</f>
        <v>21</v>
      </c>
      <c r="E166" s="6390" t="str">
        <f>F172</f>
        <v>Morceaux</v>
      </c>
      <c r="F166" s="6388" t="str">
        <f>IF(D166*C166=0,"1 de",IF(E179=0,0,IF(E172=0,0,IF(D166*C166=E179,"",IF(G166&gt;0,"Plus 1 de")))))</f>
        <v>Plus 1 de</v>
      </c>
      <c r="G166" s="6384">
        <f>IF(E172=0,0,IF(D166*C166=E179,"",MOD(E179,E172)))</f>
        <v>15</v>
      </c>
      <c r="H166" s="6391" t="str">
        <f>E166</f>
        <v>Morceaux</v>
      </c>
      <c r="I166" s="6148"/>
      <c r="J166" s="6148"/>
      <c r="K166" s="6148"/>
      <c r="L166" s="6148"/>
      <c r="M166" s="6148"/>
      <c r="N166" s="6148"/>
      <c r="O166" s="6148"/>
      <c r="P166" s="6148"/>
      <c r="Q166" s="6148"/>
      <c r="R166" s="6148"/>
      <c r="S166" s="6148"/>
      <c r="T166" s="6148"/>
      <c r="U166" s="6148"/>
      <c r="V166" s="6148"/>
      <c r="W166" s="6148"/>
      <c r="X166" s="6148"/>
      <c r="Y166" s="6148"/>
      <c r="Z166" s="6148"/>
      <c r="AA166" s="6148"/>
      <c r="AB166" s="6148"/>
      <c r="AC166" s="6148"/>
      <c r="AD166" s="6148"/>
      <c r="AE166" s="6148"/>
      <c r="AF166" s="6148"/>
      <c r="AG166" s="6148"/>
      <c r="AH166" s="6148"/>
      <c r="AI166" s="6148"/>
      <c r="AJ166" s="6148"/>
      <c r="AK166" s="6148"/>
      <c r="AL166" s="6148"/>
      <c r="AM166" s="6148"/>
      <c r="AN166" s="6148"/>
      <c r="AO166" s="6148"/>
      <c r="AP166" s="6148"/>
      <c r="AQ166" s="6148"/>
      <c r="AR166" s="6148"/>
      <c r="AS166" s="6148"/>
      <c r="AT166" s="6148"/>
      <c r="AU166" s="6148"/>
      <c r="AV166" s="6148"/>
      <c r="AW166" s="6148"/>
      <c r="AX166" s="6148"/>
      <c r="AY166" s="6148"/>
      <c r="AZ166" s="6148"/>
      <c r="BA166" s="6148"/>
      <c r="BB166" s="6148"/>
      <c r="BC166" s="6148"/>
      <c r="BD166" s="2730">
        <v>1</v>
      </c>
    </row>
    <row r="167" spans="1:56" ht="21" customHeight="1">
      <c r="A167" s="6148"/>
      <c r="B167" s="7797"/>
      <c r="C167" s="6392" t="str">
        <f>F179</f>
        <v>Morceaux</v>
      </c>
      <c r="D167" s="6393">
        <f>E179</f>
        <v>1800</v>
      </c>
      <c r="E167" s="6394" t="str">
        <f>H177</f>
        <v>❹ Cru</v>
      </c>
      <c r="F167" s="6395">
        <f>E180</f>
        <v>86.4</v>
      </c>
      <c r="G167" s="6394" t="str">
        <f>H178</f>
        <v>❺ Cuit</v>
      </c>
      <c r="H167" s="6396">
        <f>E181</f>
        <v>43.2</v>
      </c>
      <c r="I167" s="6148"/>
      <c r="J167" s="6148"/>
      <c r="K167" s="6148"/>
      <c r="L167" s="6148"/>
      <c r="M167" s="6148"/>
      <c r="N167" s="6148"/>
      <c r="O167" s="6148"/>
      <c r="P167" s="6148"/>
      <c r="Q167" s="6148"/>
      <c r="R167" s="6148"/>
      <c r="S167" s="6148"/>
      <c r="T167" s="6148"/>
      <c r="U167" s="6148"/>
      <c r="V167" s="6148"/>
      <c r="W167" s="6148"/>
      <c r="X167" s="6148"/>
      <c r="Y167" s="6148"/>
      <c r="Z167" s="6148"/>
      <c r="AA167" s="6148"/>
      <c r="AB167" s="6148"/>
      <c r="AC167" s="6148"/>
      <c r="AD167" s="6148"/>
      <c r="AE167" s="6148"/>
      <c r="AF167" s="6148"/>
      <c r="AG167" s="6148"/>
      <c r="AH167" s="6148"/>
      <c r="AI167" s="6148"/>
      <c r="AJ167" s="6148"/>
      <c r="AK167" s="6148"/>
      <c r="AL167" s="6148"/>
      <c r="AM167" s="6148"/>
      <c r="AN167" s="6148"/>
      <c r="AO167" s="6148"/>
      <c r="AP167" s="6148"/>
      <c r="AQ167" s="6148"/>
      <c r="AR167" s="6148"/>
      <c r="AS167" s="6148"/>
      <c r="AT167" s="6148"/>
      <c r="AU167" s="6148"/>
      <c r="AV167" s="6148"/>
      <c r="AW167" s="6148"/>
      <c r="AX167" s="6148"/>
      <c r="AY167" s="6148"/>
      <c r="AZ167" s="6148"/>
      <c r="BA167" s="6148"/>
      <c r="BB167" s="6148"/>
      <c r="BC167" s="6148"/>
      <c r="BD167" s="2730">
        <v>1</v>
      </c>
    </row>
    <row r="168" spans="1:56" ht="21" customHeight="1">
      <c r="A168" s="6148"/>
      <c r="B168" s="7797"/>
      <c r="C168" s="6285" t="s">
        <v>15408</v>
      </c>
      <c r="D168" s="6286" t="s">
        <v>15409</v>
      </c>
      <c r="E168" s="6287"/>
      <c r="F168" s="5557"/>
      <c r="G168" s="5557"/>
      <c r="H168" s="5738"/>
      <c r="I168" s="6148"/>
      <c r="J168" s="6148"/>
      <c r="K168" s="6148"/>
      <c r="L168" s="6148"/>
      <c r="M168" s="6148"/>
      <c r="N168" s="6148"/>
      <c r="O168" s="6148"/>
      <c r="P168" s="6148"/>
      <c r="Q168" s="6148"/>
      <c r="R168" s="6148"/>
      <c r="S168" s="6148"/>
      <c r="T168" s="6148"/>
      <c r="U168" s="6148"/>
      <c r="V168" s="6148"/>
      <c r="W168" s="6148"/>
      <c r="X168" s="6148"/>
      <c r="Y168" s="6148"/>
      <c r="Z168" s="6148"/>
      <c r="AA168" s="6148"/>
      <c r="AB168" s="6148"/>
      <c r="AC168" s="6148"/>
      <c r="AD168" s="6148"/>
      <c r="AE168" s="6148"/>
      <c r="AF168" s="6148"/>
      <c r="AG168" s="6148"/>
      <c r="AH168" s="6148"/>
      <c r="AI168" s="6148"/>
      <c r="AJ168" s="6148"/>
      <c r="AK168" s="6148"/>
      <c r="AL168" s="6148"/>
      <c r="AM168" s="6148"/>
      <c r="AN168" s="6148"/>
      <c r="AO168" s="6148"/>
      <c r="AP168" s="6148"/>
      <c r="AQ168" s="6148"/>
      <c r="AR168" s="6148"/>
      <c r="AS168" s="6148"/>
      <c r="AT168" s="6148"/>
      <c r="AU168" s="6148"/>
      <c r="AV168" s="6148"/>
      <c r="AW168" s="6148"/>
      <c r="AX168" s="6148"/>
      <c r="AY168" s="6148"/>
      <c r="AZ168" s="6148"/>
      <c r="BA168" s="6148"/>
      <c r="BB168" s="6148"/>
      <c r="BC168" s="6148"/>
      <c r="BD168" s="2730">
        <v>1</v>
      </c>
    </row>
    <row r="169" spans="1:56" ht="21" customHeight="1">
      <c r="A169" s="6148"/>
      <c r="B169" s="7797"/>
      <c r="C169" s="5557"/>
      <c r="D169" s="5557"/>
      <c r="E169" s="6289" t="s">
        <v>15410</v>
      </c>
      <c r="F169" s="6397" t="s">
        <v>15440</v>
      </c>
      <c r="G169" s="6397"/>
      <c r="H169" s="6398"/>
      <c r="I169" s="6148"/>
      <c r="J169" s="6148"/>
      <c r="K169" s="6148"/>
      <c r="L169" s="6148"/>
      <c r="M169" s="6148"/>
      <c r="N169" s="6148"/>
      <c r="O169" s="6148"/>
      <c r="P169" s="6148"/>
      <c r="Q169" s="6148"/>
      <c r="R169" s="6148"/>
      <c r="S169" s="6148"/>
      <c r="T169" s="6148"/>
      <c r="U169" s="6148"/>
      <c r="V169" s="6148"/>
      <c r="W169" s="6148"/>
      <c r="X169" s="6148"/>
      <c r="Y169" s="6148"/>
      <c r="Z169" s="6148"/>
      <c r="AA169" s="6148"/>
      <c r="AB169" s="6148"/>
      <c r="AC169" s="6148"/>
      <c r="AD169" s="6148"/>
      <c r="AE169" s="6148"/>
      <c r="AF169" s="6148"/>
      <c r="AG169" s="6148"/>
      <c r="AH169" s="6148"/>
      <c r="AI169" s="6148"/>
      <c r="AJ169" s="6148"/>
      <c r="AK169" s="6148"/>
      <c r="AL169" s="6148"/>
      <c r="AM169" s="6148"/>
      <c r="AN169" s="6148"/>
      <c r="AO169" s="6148"/>
      <c r="AP169" s="6148"/>
      <c r="AQ169" s="6148"/>
      <c r="AR169" s="6148"/>
      <c r="AS169" s="6148"/>
      <c r="AT169" s="6148"/>
      <c r="AU169" s="6148"/>
      <c r="AV169" s="6148"/>
      <c r="AW169" s="6148"/>
      <c r="AX169" s="6148"/>
      <c r="AY169" s="6148"/>
      <c r="AZ169" s="6148"/>
      <c r="BA169" s="6148"/>
      <c r="BB169" s="6148"/>
      <c r="BC169" s="6148"/>
      <c r="BD169" s="2730">
        <v>1</v>
      </c>
    </row>
    <row r="170" spans="1:56" ht="21" customHeight="1">
      <c r="A170" s="6148"/>
      <c r="B170" s="7797"/>
      <c r="C170" s="5557"/>
      <c r="D170" s="5557"/>
      <c r="E170" s="6399" t="s">
        <v>15441</v>
      </c>
      <c r="F170" s="6400" t="s">
        <v>15442</v>
      </c>
      <c r="G170" s="6401" t="s">
        <v>15443</v>
      </c>
      <c r="H170" s="6402"/>
      <c r="I170" s="6148"/>
      <c r="J170" s="6148"/>
      <c r="K170" s="6148"/>
      <c r="L170" s="6148"/>
      <c r="M170" s="6148"/>
      <c r="N170" s="6148"/>
      <c r="O170" s="6148"/>
      <c r="P170" s="6148"/>
      <c r="Q170" s="6148"/>
      <c r="R170" s="6148"/>
      <c r="S170" s="6148"/>
      <c r="T170" s="6148"/>
      <c r="U170" s="6148"/>
      <c r="V170" s="6148"/>
      <c r="W170" s="6148"/>
      <c r="X170" s="6148"/>
      <c r="Y170" s="6148"/>
      <c r="Z170" s="6148"/>
      <c r="AA170" s="6148"/>
      <c r="AB170" s="6148"/>
      <c r="AC170" s="6148"/>
      <c r="AD170" s="6148"/>
      <c r="AE170" s="6148"/>
      <c r="AF170" s="6148"/>
      <c r="AG170" s="6148"/>
      <c r="AH170" s="6148"/>
      <c r="AI170" s="6148"/>
      <c r="AJ170" s="6148"/>
      <c r="AK170" s="6148"/>
      <c r="AL170" s="6148"/>
      <c r="AM170" s="6148"/>
      <c r="AN170" s="6148"/>
      <c r="AO170" s="6148"/>
      <c r="AP170" s="6148"/>
      <c r="AQ170" s="6148"/>
      <c r="AR170" s="6148"/>
      <c r="AS170" s="6148"/>
      <c r="AT170" s="6148"/>
      <c r="AU170" s="6148"/>
      <c r="AV170" s="6148"/>
      <c r="AW170" s="6148"/>
      <c r="AX170" s="6148"/>
      <c r="AY170" s="6148"/>
      <c r="AZ170" s="6148"/>
      <c r="BA170" s="6148"/>
      <c r="BB170" s="6148"/>
      <c r="BC170" s="6148"/>
      <c r="BD170" s="2730">
        <v>1</v>
      </c>
    </row>
    <row r="171" spans="1:56" ht="21" customHeight="1">
      <c r="A171" s="6148"/>
      <c r="B171" s="7797"/>
      <c r="C171" s="5557"/>
      <c r="D171" s="6291"/>
      <c r="E171" s="6292"/>
      <c r="F171" s="6293"/>
      <c r="G171" s="6293" t="s">
        <v>15412</v>
      </c>
      <c r="H171" s="5738"/>
      <c r="I171" s="6148"/>
      <c r="J171" s="6148"/>
      <c r="K171" s="6148"/>
      <c r="L171" s="6148"/>
      <c r="M171" s="6148"/>
      <c r="N171" s="6148"/>
      <c r="O171" s="6148"/>
      <c r="P171" s="6148"/>
      <c r="Q171" s="6148"/>
      <c r="R171" s="6148"/>
      <c r="S171" s="6148"/>
      <c r="T171" s="6148"/>
      <c r="U171" s="6148"/>
      <c r="V171" s="6148"/>
      <c r="W171" s="6148"/>
      <c r="X171" s="6148"/>
      <c r="Y171" s="6148"/>
      <c r="Z171" s="6148"/>
      <c r="AA171" s="6148"/>
      <c r="AB171" s="6148"/>
      <c r="AC171" s="6148"/>
      <c r="AD171" s="6148"/>
      <c r="AE171" s="6148"/>
      <c r="AF171" s="6148"/>
      <c r="AG171" s="6148"/>
      <c r="AH171" s="6148"/>
      <c r="AI171" s="6148"/>
      <c r="AJ171" s="6148"/>
      <c r="AK171" s="6148"/>
      <c r="AL171" s="6148"/>
      <c r="AM171" s="6148"/>
      <c r="AN171" s="6148"/>
      <c r="AO171" s="6148"/>
      <c r="AP171" s="6148"/>
      <c r="AQ171" s="6148"/>
      <c r="AR171" s="6148"/>
      <c r="AS171" s="6148"/>
      <c r="AT171" s="6148"/>
      <c r="AU171" s="6148"/>
      <c r="AV171" s="6148"/>
      <c r="AW171" s="6148"/>
      <c r="AX171" s="6148"/>
      <c r="AY171" s="6148"/>
      <c r="AZ171" s="6148"/>
      <c r="BA171" s="6148"/>
      <c r="BB171" s="6148"/>
      <c r="BC171" s="6148"/>
      <c r="BD171" s="2730">
        <v>1</v>
      </c>
    </row>
    <row r="172" spans="1:56" ht="21" customHeight="1">
      <c r="A172" s="6148"/>
      <c r="B172" s="7797"/>
      <c r="C172" s="6295"/>
      <c r="D172" s="6296" t="s">
        <v>15413</v>
      </c>
      <c r="E172" s="6403">
        <v>21</v>
      </c>
      <c r="F172" s="12" t="str">
        <f>F170</f>
        <v>Morceaux</v>
      </c>
      <c r="G172" s="6298" t="s">
        <v>15444</v>
      </c>
      <c r="H172" s="279"/>
      <c r="I172" s="6148"/>
      <c r="J172" s="6148"/>
      <c r="K172" s="6148"/>
      <c r="L172" s="6148"/>
      <c r="M172" s="6148"/>
      <c r="N172" s="6148"/>
      <c r="O172" s="6148"/>
      <c r="P172" s="6148"/>
      <c r="Q172" s="6148"/>
      <c r="R172" s="6148"/>
      <c r="S172" s="6148"/>
      <c r="T172" s="6148"/>
      <c r="U172" s="6148"/>
      <c r="V172" s="6148"/>
      <c r="W172" s="6148"/>
      <c r="X172" s="6148"/>
      <c r="Y172" s="6148"/>
      <c r="Z172" s="6148"/>
      <c r="AA172" s="6148"/>
      <c r="AB172" s="6148"/>
      <c r="AC172" s="6148"/>
      <c r="AD172" s="6148"/>
      <c r="AE172" s="6148"/>
      <c r="AF172" s="6148"/>
      <c r="AG172" s="6148"/>
      <c r="AH172" s="6148"/>
      <c r="AI172" s="6148"/>
      <c r="AJ172" s="6148"/>
      <c r="AK172" s="6148"/>
      <c r="AL172" s="6148"/>
      <c r="AM172" s="6148"/>
      <c r="AN172" s="6148"/>
      <c r="AO172" s="6148"/>
      <c r="AP172" s="6148"/>
      <c r="AQ172" s="6148"/>
      <c r="AR172" s="6148"/>
      <c r="AS172" s="6148"/>
      <c r="AT172" s="6148"/>
      <c r="AU172" s="6148"/>
      <c r="AV172" s="6148"/>
      <c r="AW172" s="6148"/>
      <c r="AX172" s="6148"/>
      <c r="AY172" s="6148"/>
      <c r="AZ172" s="6148"/>
      <c r="BA172" s="6148"/>
      <c r="BB172" s="6148"/>
      <c r="BC172" s="6148"/>
      <c r="BD172" s="2730">
        <v>1</v>
      </c>
    </row>
    <row r="173" spans="1:56" ht="21" customHeight="1">
      <c r="A173" s="6148"/>
      <c r="B173" s="7797"/>
      <c r="C173" s="6295"/>
      <c r="D173" s="6404" t="s">
        <v>60</v>
      </c>
      <c r="E173" s="6305">
        <v>4.8000000000000001E-2</v>
      </c>
      <c r="F173" s="6405" t="str">
        <f>G172</f>
        <v>❹ Cru</v>
      </c>
      <c r="G173" s="6263">
        <f>IF(F173=E191,E173-(E173*E174%),IF(F173=E192,E173/(100-E174)*100))</f>
        <v>2.4E-2</v>
      </c>
      <c r="H173" s="6307" t="str">
        <f>IF(F173=E191,E192,E191)</f>
        <v>❺ Cuit</v>
      </c>
      <c r="I173" s="6148"/>
      <c r="J173" s="6148"/>
      <c r="K173" s="6148"/>
      <c r="L173" s="6148"/>
      <c r="M173" s="6148"/>
      <c r="N173" s="6148"/>
      <c r="O173" s="6148"/>
      <c r="P173" s="6148"/>
      <c r="Q173" s="6148"/>
      <c r="R173" s="6148"/>
      <c r="S173" s="6148"/>
      <c r="T173" s="6148"/>
      <c r="U173" s="6148"/>
      <c r="V173" s="6148"/>
      <c r="W173" s="6148"/>
      <c r="X173" s="6148"/>
      <c r="Y173" s="6148"/>
      <c r="Z173" s="6148"/>
      <c r="AA173" s="6148"/>
      <c r="AB173" s="6148"/>
      <c r="AC173" s="6148"/>
      <c r="AD173" s="6148"/>
      <c r="AE173" s="6148"/>
      <c r="AF173" s="6148"/>
      <c r="AG173" s="6148"/>
      <c r="AH173" s="6148"/>
      <c r="AI173" s="6148"/>
      <c r="AJ173" s="6148"/>
      <c r="AK173" s="6148"/>
      <c r="AL173" s="6148"/>
      <c r="AM173" s="6148"/>
      <c r="AN173" s="6148"/>
      <c r="AO173" s="6148"/>
      <c r="AP173" s="6148"/>
      <c r="AQ173" s="6148"/>
      <c r="AR173" s="6148"/>
      <c r="AS173" s="6148"/>
      <c r="AT173" s="6148"/>
      <c r="AU173" s="6148"/>
      <c r="AV173" s="6148"/>
      <c r="AW173" s="6148"/>
      <c r="AX173" s="6148"/>
      <c r="AY173" s="6148"/>
      <c r="AZ173" s="6148"/>
      <c r="BA173" s="6148"/>
      <c r="BB173" s="6148"/>
      <c r="BC173" s="6148"/>
      <c r="BD173" s="2730">
        <v>1</v>
      </c>
    </row>
    <row r="174" spans="1:56" ht="21" customHeight="1">
      <c r="A174" s="6148"/>
      <c r="B174" s="7797"/>
      <c r="C174" s="5557"/>
      <c r="D174" s="6406" t="str">
        <f>IF(G172=E192,"❻ % de BONI &gt;",IF(G172=E191,"❻ %  de PERTE &gt;",IF(ISBLANK(E174),0)))</f>
        <v>❻ %  de PERTE &gt;</v>
      </c>
      <c r="E174" s="6302">
        <v>50</v>
      </c>
      <c r="F174"/>
      <c r="G174" s="6299"/>
      <c r="H174" s="6300"/>
      <c r="I174" s="6148"/>
      <c r="J174" s="6148"/>
      <c r="K174" s="6148"/>
      <c r="L174" s="6148"/>
      <c r="M174" s="6148"/>
      <c r="N174" s="6148"/>
      <c r="O174" s="6148"/>
      <c r="P174" s="6148"/>
      <c r="Q174" s="6148"/>
      <c r="R174" s="6148"/>
      <c r="S174" s="6148"/>
      <c r="T174" s="6148"/>
      <c r="U174" s="6148"/>
      <c r="V174" s="6148"/>
      <c r="W174" s="6148"/>
      <c r="X174" s="6148"/>
      <c r="Y174" s="6148"/>
      <c r="Z174" s="6148"/>
      <c r="AA174" s="6148"/>
      <c r="AB174" s="6148"/>
      <c r="AC174" s="6148"/>
      <c r="AD174" s="6148"/>
      <c r="AE174" s="6148"/>
      <c r="AF174" s="6148"/>
      <c r="AG174" s="6148"/>
      <c r="AH174" s="6148"/>
      <c r="AI174" s="6148"/>
      <c r="AJ174" s="6148"/>
      <c r="AK174" s="6148"/>
      <c r="AL174" s="6148"/>
      <c r="AM174" s="6148"/>
      <c r="AN174" s="6148"/>
      <c r="AO174" s="6148"/>
      <c r="AP174" s="6148"/>
      <c r="AQ174" s="6148"/>
      <c r="AR174" s="6148"/>
      <c r="AS174" s="6148"/>
      <c r="AT174" s="6148"/>
      <c r="AU174" s="6148"/>
      <c r="AV174" s="6148"/>
      <c r="AW174" s="6148"/>
      <c r="AX174" s="6148"/>
      <c r="AY174" s="6148"/>
      <c r="AZ174" s="6148"/>
      <c r="BA174" s="6148"/>
      <c r="BB174" s="6148"/>
      <c r="BC174" s="6148"/>
      <c r="BD174" s="2730">
        <v>1</v>
      </c>
    </row>
    <row r="175" spans="1:56" ht="21" customHeight="1">
      <c r="A175" s="6148"/>
      <c r="B175" s="7797"/>
      <c r="C175" s="5557"/>
      <c r="D175" s="1"/>
      <c r="E175" s="1"/>
      <c r="F175" s="1"/>
      <c r="G175" s="1"/>
      <c r="H175" s="2"/>
      <c r="I175" s="6148"/>
      <c r="J175" s="6148"/>
      <c r="K175" s="6148"/>
      <c r="L175" s="6148"/>
      <c r="M175" s="6148"/>
      <c r="N175" s="6148"/>
      <c r="O175" s="6148"/>
      <c r="P175" s="6148"/>
      <c r="Q175" s="6148"/>
      <c r="R175" s="6148"/>
      <c r="S175" s="6148"/>
      <c r="T175" s="6148"/>
      <c r="U175" s="6148"/>
      <c r="V175" s="6148"/>
      <c r="W175" s="6148"/>
      <c r="X175" s="6148"/>
      <c r="Y175" s="6148"/>
      <c r="Z175" s="6148"/>
      <c r="AA175" s="6148"/>
      <c r="AB175" s="6148"/>
      <c r="AC175" s="6148"/>
      <c r="AD175" s="6148"/>
      <c r="AE175" s="6148"/>
      <c r="AF175" s="6148"/>
      <c r="AG175" s="6148"/>
      <c r="AH175" s="6148"/>
      <c r="AI175" s="6148"/>
      <c r="AJ175" s="6148"/>
      <c r="AK175" s="6148"/>
      <c r="AL175" s="6148"/>
      <c r="AM175" s="6148"/>
      <c r="AN175" s="6148"/>
      <c r="AO175" s="6148"/>
      <c r="AP175" s="6148"/>
      <c r="AQ175" s="6148"/>
      <c r="AR175" s="6148"/>
      <c r="AS175" s="6148"/>
      <c r="AT175" s="6148"/>
      <c r="AU175" s="6148"/>
      <c r="AV175" s="6148"/>
      <c r="AW175" s="6148"/>
      <c r="AX175" s="6148"/>
      <c r="AY175" s="6148"/>
      <c r="AZ175" s="6148"/>
      <c r="BA175" s="6148"/>
      <c r="BB175" s="6148"/>
      <c r="BC175" s="6148"/>
      <c r="BD175" s="2730">
        <v>1</v>
      </c>
    </row>
    <row r="176" spans="1:56" ht="21" customHeight="1">
      <c r="A176" s="6148"/>
      <c r="B176" s="7797"/>
      <c r="C176" s="5557"/>
      <c r="D176" s="6407" t="s">
        <v>15415</v>
      </c>
      <c r="E176" s="6408">
        <v>1200</v>
      </c>
      <c r="F176" s="6409" t="s">
        <v>209</v>
      </c>
      <c r="G176" s="5557"/>
      <c r="H176" s="6310"/>
      <c r="I176" s="6148"/>
      <c r="J176" s="6148"/>
      <c r="K176" s="6148"/>
      <c r="L176" s="6148"/>
      <c r="M176" s="6148"/>
      <c r="N176" s="6148"/>
      <c r="O176" s="6148"/>
      <c r="P176" s="6148"/>
      <c r="Q176" s="6148"/>
      <c r="R176" s="6148"/>
      <c r="S176" s="6148"/>
      <c r="T176" s="6148"/>
      <c r="U176" s="6148"/>
      <c r="V176" s="6148"/>
      <c r="W176" s="6148"/>
      <c r="X176" s="6148"/>
      <c r="Y176" s="6148"/>
      <c r="Z176" s="6148"/>
      <c r="AA176" s="6148"/>
      <c r="AB176" s="6148"/>
      <c r="AC176" s="6148"/>
      <c r="AD176" s="6148"/>
      <c r="AE176" s="6148"/>
      <c r="AF176" s="6148"/>
      <c r="AG176" s="6148"/>
      <c r="AH176" s="6148"/>
      <c r="AI176" s="6148"/>
      <c r="AJ176" s="6148"/>
      <c r="AK176" s="6148"/>
      <c r="AL176" s="6148"/>
      <c r="AM176" s="6148"/>
      <c r="AN176" s="6148"/>
      <c r="AO176" s="6148"/>
      <c r="AP176" s="6148"/>
      <c r="AQ176" s="6148"/>
      <c r="AR176" s="6148"/>
      <c r="AS176" s="6148"/>
      <c r="AT176" s="6148"/>
      <c r="AU176" s="6148"/>
      <c r="AV176" s="6148"/>
      <c r="AW176" s="6148"/>
      <c r="AX176" s="6148"/>
      <c r="AY176" s="6148"/>
      <c r="AZ176" s="6148"/>
      <c r="BA176" s="6148"/>
      <c r="BB176" s="6148"/>
      <c r="BC176" s="6148"/>
      <c r="BD176" s="2730">
        <v>1</v>
      </c>
    </row>
    <row r="177" spans="1:56" ht="21" customHeight="1">
      <c r="A177" s="6148"/>
      <c r="B177" s="7797"/>
      <c r="C177" s="5557"/>
      <c r="D177" s="6304" t="s">
        <v>15445</v>
      </c>
      <c r="E177" s="6410">
        <v>1.5</v>
      </c>
      <c r="F177" t="str">
        <f>F170</f>
        <v>Morceaux</v>
      </c>
      <c r="G177" s="6411">
        <f>E173*E177</f>
        <v>7.2000000000000008E-2</v>
      </c>
      <c r="H177" s="6307" t="str">
        <f>F173</f>
        <v>❹ Cru</v>
      </c>
      <c r="I177" s="6148"/>
      <c r="J177" s="6148"/>
      <c r="K177" s="6148"/>
      <c r="L177" s="6148"/>
      <c r="M177" s="6148"/>
      <c r="N177" s="6148"/>
      <c r="O177" s="6148"/>
      <c r="P177" s="6148"/>
      <c r="Q177" s="6148"/>
      <c r="R177" s="6148"/>
      <c r="S177" s="6148"/>
      <c r="T177" s="6148"/>
      <c r="U177" s="6148"/>
      <c r="V177" s="6148"/>
      <c r="W177" s="6148"/>
      <c r="X177" s="6148"/>
      <c r="Y177" s="6148"/>
      <c r="Z177" s="6148"/>
      <c r="AA177" s="6148"/>
      <c r="AB177" s="6148"/>
      <c r="AC177" s="6148"/>
      <c r="AD177" s="6148"/>
      <c r="AE177" s="6148"/>
      <c r="AF177" s="6148"/>
      <c r="AG177" s="6148"/>
      <c r="AH177" s="6148"/>
      <c r="AI177" s="6148"/>
      <c r="AJ177" s="6148"/>
      <c r="AK177" s="6148"/>
      <c r="AL177" s="6148"/>
      <c r="AM177" s="6148"/>
      <c r="AN177" s="6148"/>
      <c r="AO177" s="6148"/>
      <c r="AP177" s="6148"/>
      <c r="AQ177" s="6148"/>
      <c r="AR177" s="6148"/>
      <c r="AS177" s="6148"/>
      <c r="AT177" s="6148"/>
      <c r="AU177" s="6148"/>
      <c r="AV177" s="6148"/>
      <c r="AW177" s="6148"/>
      <c r="AX177" s="6148"/>
      <c r="AY177" s="6148"/>
      <c r="AZ177" s="6148"/>
      <c r="BA177" s="6148"/>
      <c r="BB177" s="6148"/>
      <c r="BC177" s="6148"/>
      <c r="BD177" s="2730">
        <v>1</v>
      </c>
    </row>
    <row r="178" spans="1:56" ht="21" customHeight="1">
      <c r="A178" s="6148"/>
      <c r="B178" s="7797"/>
      <c r="C178" s="5557"/>
      <c r="D178" s="6304"/>
      <c r="E178" s="6412"/>
      <c r="F178" s="1"/>
      <c r="G178" s="6411">
        <f>G173*E177</f>
        <v>3.6000000000000004E-2</v>
      </c>
      <c r="H178" s="6307" t="str">
        <f>H173</f>
        <v>❺ Cuit</v>
      </c>
      <c r="I178" s="6148"/>
      <c r="J178" s="6148"/>
      <c r="K178" s="6148"/>
      <c r="L178" s="6148"/>
      <c r="M178" s="6148"/>
      <c r="N178" s="6148"/>
      <c r="O178" s="6148"/>
      <c r="P178" s="6148"/>
      <c r="Q178" s="6148"/>
      <c r="R178" s="6148"/>
      <c r="S178" s="6148"/>
      <c r="T178" s="6148"/>
      <c r="U178" s="6148"/>
      <c r="V178" s="6148"/>
      <c r="W178" s="6148"/>
      <c r="X178" s="6148"/>
      <c r="Y178" s="6148"/>
      <c r="Z178" s="6148"/>
      <c r="AA178" s="6148"/>
      <c r="AB178" s="6148"/>
      <c r="AC178" s="6148"/>
      <c r="AD178" s="6148"/>
      <c r="AE178" s="6148"/>
      <c r="AF178" s="6148"/>
      <c r="AG178" s="6148"/>
      <c r="AH178" s="6148"/>
      <c r="AI178" s="6148"/>
      <c r="AJ178" s="6148"/>
      <c r="AK178" s="6148"/>
      <c r="AL178" s="6148"/>
      <c r="AM178" s="6148"/>
      <c r="AN178" s="6148"/>
      <c r="AO178" s="6148"/>
      <c r="AP178" s="6148"/>
      <c r="AQ178" s="6148"/>
      <c r="AR178" s="6148"/>
      <c r="AS178" s="6148"/>
      <c r="AT178" s="6148"/>
      <c r="AU178" s="6148"/>
      <c r="AV178" s="6148"/>
      <c r="AW178" s="6148"/>
      <c r="AX178" s="6148"/>
      <c r="AY178" s="6148"/>
      <c r="AZ178" s="6148"/>
      <c r="BA178" s="6148"/>
      <c r="BB178" s="6148"/>
      <c r="BC178" s="6148"/>
      <c r="BD178" s="2730">
        <v>1</v>
      </c>
    </row>
    <row r="179" spans="1:56" ht="21" customHeight="1">
      <c r="A179" s="6148"/>
      <c r="B179" s="7797"/>
      <c r="C179" s="5557"/>
      <c r="D179" s="6311" t="s">
        <v>15416</v>
      </c>
      <c r="E179" s="674">
        <f>E177*E176</f>
        <v>1800</v>
      </c>
      <c r="F179" s="6413" t="str">
        <f>F170</f>
        <v>Morceaux</v>
      </c>
      <c r="G179" s="6314"/>
      <c r="H179" s="6315"/>
      <c r="I179" s="6148"/>
      <c r="J179" s="6148"/>
      <c r="K179" s="6148"/>
      <c r="L179" s="6148"/>
      <c r="M179" s="6148"/>
      <c r="N179" s="6148"/>
      <c r="O179" s="6148"/>
      <c r="P179" s="6148"/>
      <c r="Q179" s="6148"/>
      <c r="R179" s="6148"/>
      <c r="S179" s="6148"/>
      <c r="T179" s="6148"/>
      <c r="U179" s="6148"/>
      <c r="V179" s="6148"/>
      <c r="W179" s="6148"/>
      <c r="X179" s="6148"/>
      <c r="Y179" s="6148"/>
      <c r="Z179" s="6148"/>
      <c r="AA179" s="6148"/>
      <c r="AB179" s="6148"/>
      <c r="AC179" s="6148"/>
      <c r="AD179" s="6148"/>
      <c r="AE179" s="6148"/>
      <c r="AF179" s="6148"/>
      <c r="AG179" s="6148"/>
      <c r="AH179" s="6148"/>
      <c r="AI179" s="6148"/>
      <c r="AJ179" s="6148"/>
      <c r="AK179" s="6148"/>
      <c r="AL179" s="6148"/>
      <c r="AM179" s="6148"/>
      <c r="AN179" s="6148"/>
      <c r="AO179" s="6148"/>
      <c r="AP179" s="6148"/>
      <c r="AQ179" s="6148"/>
      <c r="AR179" s="6148"/>
      <c r="AS179" s="6148"/>
      <c r="AT179" s="6148"/>
      <c r="AU179" s="6148"/>
      <c r="AV179" s="6148"/>
      <c r="AW179" s="6148"/>
      <c r="AX179" s="6148"/>
      <c r="AY179" s="6148"/>
      <c r="AZ179" s="6148"/>
      <c r="BA179" s="6148"/>
      <c r="BB179" s="6148"/>
      <c r="BC179" s="6148"/>
      <c r="BD179" s="2730">
        <v>1</v>
      </c>
    </row>
    <row r="180" spans="1:56" ht="21" customHeight="1">
      <c r="A180" s="6148"/>
      <c r="B180" s="7797"/>
      <c r="C180" s="5557"/>
      <c r="D180" s="6311"/>
      <c r="E180" s="6414">
        <f>G177*E176</f>
        <v>86.4</v>
      </c>
      <c r="F180" s="6415" t="str">
        <f>F173</f>
        <v>❹ Cru</v>
      </c>
      <c r="G180" s="6314"/>
      <c r="H180" s="6315"/>
      <c r="I180" s="6148"/>
      <c r="J180" s="6148"/>
      <c r="K180" s="6148"/>
      <c r="L180" s="6148"/>
      <c r="M180" s="6148"/>
      <c r="N180" s="6148"/>
      <c r="O180" s="6148"/>
      <c r="P180" s="6148"/>
      <c r="Q180" s="6148"/>
      <c r="R180" s="6148"/>
      <c r="S180" s="6148"/>
      <c r="T180" s="6148"/>
      <c r="U180" s="6148"/>
      <c r="V180" s="6148"/>
      <c r="W180" s="6148"/>
      <c r="X180" s="6148"/>
      <c r="Y180" s="6148"/>
      <c r="Z180" s="6148"/>
      <c r="AA180" s="6148"/>
      <c r="AB180" s="6148"/>
      <c r="AC180" s="6148"/>
      <c r="AD180" s="6148"/>
      <c r="AE180" s="6148"/>
      <c r="AF180" s="6148"/>
      <c r="AG180" s="6148"/>
      <c r="AH180" s="6148"/>
      <c r="AI180" s="6148"/>
      <c r="AJ180" s="6148"/>
      <c r="AK180" s="6148"/>
      <c r="AL180" s="6148"/>
      <c r="AM180" s="6148"/>
      <c r="AN180" s="6148"/>
      <c r="AO180" s="6148"/>
      <c r="AP180" s="6148"/>
      <c r="AQ180" s="6148"/>
      <c r="AR180" s="6148"/>
      <c r="AS180" s="6148"/>
      <c r="AT180" s="6148"/>
      <c r="AU180" s="6148"/>
      <c r="AV180" s="6148"/>
      <c r="AW180" s="6148"/>
      <c r="AX180" s="6148"/>
      <c r="AY180" s="6148"/>
      <c r="AZ180" s="6148"/>
      <c r="BA180" s="6148"/>
      <c r="BB180" s="6148"/>
      <c r="BC180" s="6148"/>
      <c r="BD180" s="2730">
        <v>1</v>
      </c>
    </row>
    <row r="181" spans="1:56" ht="21" customHeight="1">
      <c r="A181" s="6148"/>
      <c r="B181" s="7797"/>
      <c r="C181" s="5557"/>
      <c r="D181" s="6311"/>
      <c r="E181" s="6414">
        <f>G178*E176</f>
        <v>43.2</v>
      </c>
      <c r="F181" s="6405" t="str">
        <f>H173</f>
        <v>❺ Cuit</v>
      </c>
      <c r="G181" s="6314"/>
      <c r="H181" s="6315"/>
      <c r="I181" s="6148"/>
      <c r="J181" s="6148"/>
      <c r="K181" s="6148"/>
      <c r="L181" s="6148"/>
      <c r="M181" s="6148"/>
      <c r="N181" s="6148"/>
      <c r="O181" s="6148"/>
      <c r="P181" s="6148"/>
      <c r="Q181" s="6148"/>
      <c r="R181" s="6148"/>
      <c r="S181" s="6148"/>
      <c r="T181" s="6148"/>
      <c r="U181" s="6148"/>
      <c r="V181" s="6148"/>
      <c r="W181" s="6148"/>
      <c r="X181" s="6148"/>
      <c r="Y181" s="6148"/>
      <c r="Z181" s="6148"/>
      <c r="AA181" s="6148"/>
      <c r="AB181" s="6148"/>
      <c r="AC181" s="6148"/>
      <c r="AD181" s="6148"/>
      <c r="AE181" s="6148"/>
      <c r="AF181" s="6148"/>
      <c r="AG181" s="6148"/>
      <c r="AH181" s="6148"/>
      <c r="AI181" s="6148"/>
      <c r="AJ181" s="6148"/>
      <c r="AK181" s="6148"/>
      <c r="AL181" s="6148"/>
      <c r="AM181" s="6148"/>
      <c r="AN181" s="6148"/>
      <c r="AO181" s="6148"/>
      <c r="AP181" s="6148"/>
      <c r="AQ181" s="6148"/>
      <c r="AR181" s="6148"/>
      <c r="AS181" s="6148"/>
      <c r="AT181" s="6148"/>
      <c r="AU181" s="6148"/>
      <c r="AV181" s="6148"/>
      <c r="AW181" s="6148"/>
      <c r="AX181" s="6148"/>
      <c r="AY181" s="6148"/>
      <c r="AZ181" s="6148"/>
      <c r="BA181" s="6148"/>
      <c r="BB181" s="6148"/>
      <c r="BC181" s="6148"/>
      <c r="BD181" s="2730">
        <v>1</v>
      </c>
    </row>
    <row r="182" spans="1:56" ht="21" customHeight="1">
      <c r="A182" s="6148"/>
      <c r="B182" s="7797"/>
      <c r="C182" s="6209"/>
      <c r="D182" s="6316" t="s">
        <v>15417</v>
      </c>
      <c r="E182" s="6317">
        <f>E165</f>
        <v>86</v>
      </c>
      <c r="F182" s="6318" t="s">
        <v>15418</v>
      </c>
      <c r="G182" s="6319">
        <f>IF(ISBLANK(E177),0,E172/E177)</f>
        <v>14</v>
      </c>
      <c r="H182" s="5738"/>
      <c r="I182" s="6148"/>
      <c r="J182" s="6148"/>
      <c r="K182" s="6148"/>
      <c r="L182" s="6148"/>
      <c r="M182" s="6148"/>
      <c r="N182" s="6148"/>
      <c r="O182" s="6148"/>
      <c r="P182" s="6148"/>
      <c r="Q182" s="6148"/>
      <c r="R182" s="6148"/>
      <c r="S182" s="6148"/>
      <c r="T182" s="6148"/>
      <c r="U182" s="6148"/>
      <c r="V182" s="6148"/>
      <c r="W182" s="6148"/>
      <c r="X182" s="6148"/>
      <c r="Y182" s="6148"/>
      <c r="Z182" s="6148"/>
      <c r="AA182" s="6148"/>
      <c r="AB182" s="6148"/>
      <c r="AC182" s="6148"/>
      <c r="AD182" s="6148"/>
      <c r="AE182" s="6148"/>
      <c r="AF182" s="6148"/>
      <c r="AG182" s="6148"/>
      <c r="AH182" s="6148"/>
      <c r="AI182" s="6148"/>
      <c r="AJ182" s="6148"/>
      <c r="AK182" s="6148"/>
      <c r="AL182" s="6148"/>
      <c r="AM182" s="6148"/>
      <c r="AN182" s="6148"/>
      <c r="AO182" s="6148"/>
      <c r="AP182" s="6148"/>
      <c r="AQ182" s="6148"/>
      <c r="AR182" s="6148"/>
      <c r="AS182" s="6148"/>
      <c r="AT182" s="6148"/>
      <c r="AU182" s="6148"/>
      <c r="AV182" s="6148"/>
      <c r="AW182" s="6148"/>
      <c r="AX182" s="6148"/>
      <c r="AY182" s="6148"/>
      <c r="AZ182" s="6148"/>
      <c r="BA182" s="6148"/>
      <c r="BB182" s="6148"/>
      <c r="BC182" s="6148"/>
      <c r="BD182" s="2730">
        <v>1</v>
      </c>
    </row>
    <row r="183" spans="1:56" ht="21" customHeight="1">
      <c r="A183" s="6148"/>
      <c r="B183" s="7797"/>
      <c r="C183" s="5557"/>
      <c r="D183" s="6316"/>
      <c r="E183" s="6317"/>
      <c r="F183" s="6320"/>
      <c r="G183" s="6319"/>
      <c r="H183" s="5738"/>
      <c r="I183" s="6148"/>
      <c r="J183" s="6148"/>
      <c r="K183" s="6148"/>
      <c r="L183" s="6148"/>
      <c r="M183" s="6148"/>
      <c r="N183" s="6148"/>
      <c r="O183" s="6148"/>
      <c r="P183" s="6148"/>
      <c r="Q183" s="6148"/>
      <c r="R183" s="6148"/>
      <c r="S183" s="6148"/>
      <c r="T183" s="6148"/>
      <c r="U183" s="6148"/>
      <c r="V183" s="6148"/>
      <c r="W183" s="6148"/>
      <c r="X183" s="6148"/>
      <c r="Y183" s="6148"/>
      <c r="Z183" s="6148"/>
      <c r="AA183" s="6148"/>
      <c r="AB183" s="6148"/>
      <c r="AC183" s="6148"/>
      <c r="AD183" s="6148"/>
      <c r="AE183" s="6148"/>
      <c r="AF183" s="6148"/>
      <c r="AG183" s="6148"/>
      <c r="AH183" s="6148"/>
      <c r="AI183" s="6148"/>
      <c r="AJ183" s="6148"/>
      <c r="AK183" s="6148"/>
      <c r="AL183" s="6148"/>
      <c r="AM183" s="6148"/>
      <c r="AN183" s="6148"/>
      <c r="AO183" s="6148"/>
      <c r="AP183" s="6148"/>
      <c r="AQ183" s="6148"/>
      <c r="AR183" s="6148"/>
      <c r="AS183" s="6148"/>
      <c r="AT183" s="6148"/>
      <c r="AU183" s="6148"/>
      <c r="AV183" s="6148"/>
      <c r="AW183" s="6148"/>
      <c r="AX183" s="6148"/>
      <c r="AY183" s="6148"/>
      <c r="AZ183" s="6148"/>
      <c r="BA183" s="6148"/>
      <c r="BB183" s="6148"/>
      <c r="BC183" s="6148"/>
      <c r="BD183" s="2730">
        <v>1</v>
      </c>
    </row>
    <row r="184" spans="1:56" ht="21" customHeight="1">
      <c r="A184" s="6148"/>
      <c r="B184" s="7797"/>
      <c r="C184" s="7801" t="s">
        <v>14841</v>
      </c>
      <c r="D184" s="7801"/>
      <c r="E184" s="7801"/>
      <c r="F184" s="7801"/>
      <c r="G184" s="7801"/>
      <c r="H184" s="7802"/>
      <c r="I184" s="6148"/>
      <c r="J184" s="6148"/>
      <c r="K184" s="6148"/>
      <c r="L184" s="6148"/>
      <c r="M184" s="6148"/>
      <c r="N184" s="6148"/>
      <c r="O184" s="6148"/>
      <c r="P184" s="6148"/>
      <c r="Q184" s="6148"/>
      <c r="R184" s="6148"/>
      <c r="S184" s="6148"/>
      <c r="T184" s="6148"/>
      <c r="U184" s="6148"/>
      <c r="V184" s="6148"/>
      <c r="W184" s="6148"/>
      <c r="X184" s="6148"/>
      <c r="Y184" s="6148"/>
      <c r="Z184" s="6148"/>
      <c r="AA184" s="6148"/>
      <c r="AB184" s="6148"/>
      <c r="AC184" s="6148"/>
      <c r="AD184" s="6148"/>
      <c r="AE184" s="6148"/>
      <c r="AF184" s="6148"/>
      <c r="AG184" s="6148"/>
      <c r="AH184" s="6148"/>
      <c r="AI184" s="6148"/>
      <c r="AJ184" s="6148"/>
      <c r="AK184" s="6148"/>
      <c r="AL184" s="6148"/>
      <c r="AM184" s="6148"/>
      <c r="AN184" s="6148"/>
      <c r="AO184" s="6148"/>
      <c r="AP184" s="6148"/>
      <c r="AQ184" s="6148"/>
      <c r="AR184" s="6148"/>
      <c r="AS184" s="6148"/>
      <c r="AT184" s="6148"/>
      <c r="AU184" s="6148"/>
      <c r="AV184" s="6148"/>
      <c r="AW184" s="6148"/>
      <c r="AX184" s="6148"/>
      <c r="AY184" s="6148"/>
      <c r="AZ184" s="6148"/>
      <c r="BA184" s="6148"/>
      <c r="BB184" s="6148"/>
      <c r="BC184" s="6148"/>
      <c r="BD184" s="2730">
        <v>1</v>
      </c>
    </row>
    <row r="185" spans="1:56" ht="21" customHeight="1">
      <c r="A185" s="6148"/>
      <c r="B185" s="7797"/>
      <c r="C185" s="7801"/>
      <c r="D185" s="7801"/>
      <c r="E185" s="7801"/>
      <c r="F185" s="7801"/>
      <c r="G185" s="7801"/>
      <c r="H185" s="7802"/>
      <c r="I185" s="6148"/>
      <c r="J185" s="6148"/>
      <c r="K185" s="6148"/>
      <c r="L185" s="6148"/>
      <c r="M185" s="6148"/>
      <c r="N185" s="6148"/>
      <c r="O185" s="6148"/>
      <c r="P185" s="6148"/>
      <c r="Q185" s="6148"/>
      <c r="R185" s="6148"/>
      <c r="S185" s="6148"/>
      <c r="T185" s="6148"/>
      <c r="U185" s="6148"/>
      <c r="V185" s="6148"/>
      <c r="W185" s="6148"/>
      <c r="X185" s="6148"/>
      <c r="Y185" s="6148"/>
      <c r="Z185" s="6148"/>
      <c r="AA185" s="6148"/>
      <c r="AB185" s="6148"/>
      <c r="AC185" s="6148"/>
      <c r="AD185" s="6148"/>
      <c r="AE185" s="6148"/>
      <c r="AF185" s="6148"/>
      <c r="AG185" s="6148"/>
      <c r="AH185" s="6148"/>
      <c r="AI185" s="6148"/>
      <c r="AJ185" s="6148"/>
      <c r="AK185" s="6148"/>
      <c r="AL185" s="6148"/>
      <c r="AM185" s="6148"/>
      <c r="AN185" s="6148"/>
      <c r="AO185" s="6148"/>
      <c r="AP185" s="6148"/>
      <c r="AQ185" s="6148"/>
      <c r="AR185" s="6148"/>
      <c r="AS185" s="6148"/>
      <c r="AT185" s="6148"/>
      <c r="AU185" s="6148"/>
      <c r="AV185" s="6148"/>
      <c r="AW185" s="6148"/>
      <c r="AX185" s="6148"/>
      <c r="AY185" s="6148"/>
      <c r="AZ185" s="6148"/>
      <c r="BA185" s="6148"/>
      <c r="BB185" s="6148"/>
      <c r="BC185" s="6148"/>
      <c r="BD185" s="2730">
        <v>1</v>
      </c>
    </row>
    <row r="186" spans="1:56" ht="21" customHeight="1">
      <c r="A186" s="6148"/>
      <c r="B186" s="7797"/>
      <c r="C186" s="6321" t="s">
        <v>15446</v>
      </c>
      <c r="D186" s="6322"/>
      <c r="E186" s="6322"/>
      <c r="F186" s="6322"/>
      <c r="G186" s="6322"/>
      <c r="H186" s="6323"/>
      <c r="I186" s="6148"/>
      <c r="J186" s="6148"/>
      <c r="K186" s="6148"/>
      <c r="L186" s="6148"/>
      <c r="M186" s="6148"/>
      <c r="N186" s="6148"/>
      <c r="O186" s="6148"/>
      <c r="P186" s="6148"/>
      <c r="Q186" s="6148"/>
      <c r="R186" s="6148"/>
      <c r="S186" s="6148"/>
      <c r="T186" s="6148"/>
      <c r="U186" s="6148"/>
      <c r="V186" s="6148"/>
      <c r="W186" s="6148"/>
      <c r="X186" s="6148"/>
      <c r="Y186" s="6148"/>
      <c r="Z186" s="6148"/>
      <c r="AA186" s="6148"/>
      <c r="AB186" s="6148"/>
      <c r="AC186" s="6148"/>
      <c r="AD186" s="6148"/>
      <c r="AE186" s="6148"/>
      <c r="AF186" s="6148"/>
      <c r="AG186" s="6148"/>
      <c r="AH186" s="6148"/>
      <c r="AI186" s="6148"/>
      <c r="AJ186" s="6148"/>
      <c r="AK186" s="6148"/>
      <c r="AL186" s="6148"/>
      <c r="AM186" s="6148"/>
      <c r="AN186" s="6148"/>
      <c r="AO186" s="6148"/>
      <c r="AP186" s="6148"/>
      <c r="AQ186" s="6148"/>
      <c r="AR186" s="6148"/>
      <c r="AS186" s="6148"/>
      <c r="AT186" s="6148"/>
      <c r="AU186" s="6148"/>
      <c r="AV186" s="6148"/>
      <c r="AW186" s="6148"/>
      <c r="AX186" s="6148"/>
      <c r="AY186" s="6148"/>
      <c r="AZ186" s="6148"/>
      <c r="BA186" s="6148"/>
      <c r="BB186" s="6148"/>
      <c r="BC186" s="6148"/>
      <c r="BD186" s="2730">
        <v>1</v>
      </c>
    </row>
    <row r="187" spans="1:56" ht="21" customHeight="1">
      <c r="A187" s="6148"/>
      <c r="B187" s="7797"/>
      <c r="C187" s="7803" t="s">
        <v>15420</v>
      </c>
      <c r="D187" s="7803"/>
      <c r="E187" s="7803"/>
      <c r="F187" s="7803"/>
      <c r="G187" s="7803"/>
      <c r="H187" s="7804"/>
      <c r="I187" s="6148"/>
      <c r="J187" s="6148"/>
      <c r="K187" s="6148"/>
      <c r="L187" s="6148"/>
      <c r="M187" s="6148"/>
      <c r="N187" s="6148"/>
      <c r="O187" s="6148"/>
      <c r="P187" s="6148"/>
      <c r="Q187" s="6148"/>
      <c r="R187" s="6148"/>
      <c r="S187" s="6148"/>
      <c r="T187" s="6148"/>
      <c r="U187" s="6148"/>
      <c r="V187" s="6148"/>
      <c r="W187" s="6148"/>
      <c r="X187" s="6148"/>
      <c r="Y187" s="6148"/>
      <c r="Z187" s="6148"/>
      <c r="AA187" s="6148"/>
      <c r="AB187" s="6148"/>
      <c r="AC187" s="6148"/>
      <c r="AD187" s="6148"/>
      <c r="AE187" s="6148"/>
      <c r="AF187" s="6148"/>
      <c r="AG187" s="6148"/>
      <c r="AH187" s="6148"/>
      <c r="AI187" s="6148"/>
      <c r="AJ187" s="6148"/>
      <c r="AK187" s="6148"/>
      <c r="AL187" s="6148"/>
      <c r="AM187" s="6148"/>
      <c r="AN187" s="6148"/>
      <c r="AO187" s="6148"/>
      <c r="AP187" s="6148"/>
      <c r="AQ187" s="6148"/>
      <c r="AR187" s="6148"/>
      <c r="AS187" s="6148"/>
      <c r="AT187" s="6148"/>
      <c r="AU187" s="6148"/>
      <c r="AV187" s="6148"/>
      <c r="AW187" s="6148"/>
      <c r="AX187" s="6148"/>
      <c r="AY187" s="6148"/>
      <c r="AZ187" s="6148"/>
      <c r="BA187" s="6148"/>
      <c r="BB187" s="6148"/>
      <c r="BC187" s="6148"/>
      <c r="BD187" s="2730">
        <v>1</v>
      </c>
    </row>
    <row r="188" spans="1:56" ht="21" customHeight="1">
      <c r="A188" s="6148"/>
      <c r="B188" s="7797"/>
      <c r="C188" s="6324" t="s">
        <v>15421</v>
      </c>
      <c r="D188" s="5557"/>
      <c r="E188" s="5557"/>
      <c r="F188" s="6262" t="s">
        <v>15422</v>
      </c>
      <c r="G188" s="5557"/>
      <c r="H188" s="5738"/>
      <c r="I188" s="6148"/>
      <c r="J188" s="6148"/>
      <c r="K188" s="6148"/>
      <c r="L188" s="6148"/>
      <c r="M188" s="6148"/>
      <c r="N188" s="6148"/>
      <c r="O188" s="6148"/>
      <c r="P188" s="6148"/>
      <c r="Q188" s="6148"/>
      <c r="R188" s="6148"/>
      <c r="S188" s="6148"/>
      <c r="T188" s="6148"/>
      <c r="U188" s="6148"/>
      <c r="V188" s="6148"/>
      <c r="W188" s="6148"/>
      <c r="X188" s="6148"/>
      <c r="Y188" s="6148"/>
      <c r="Z188" s="6148"/>
      <c r="AA188" s="6148"/>
      <c r="AB188" s="6148"/>
      <c r="AC188" s="6148"/>
      <c r="AD188" s="6148"/>
      <c r="AE188" s="6148"/>
      <c r="AF188" s="6148"/>
      <c r="AG188" s="6148"/>
      <c r="AH188" s="6148"/>
      <c r="AI188" s="6148"/>
      <c r="AJ188" s="6148"/>
      <c r="AK188" s="6148"/>
      <c r="AL188" s="6148"/>
      <c r="AM188" s="6148"/>
      <c r="AN188" s="6148"/>
      <c r="AO188" s="6148"/>
      <c r="AP188" s="6148"/>
      <c r="AQ188" s="6148"/>
      <c r="AR188" s="6148"/>
      <c r="AS188" s="6148"/>
      <c r="AT188" s="6148"/>
      <c r="AU188" s="6148"/>
      <c r="AV188" s="6148"/>
      <c r="AW188" s="6148"/>
      <c r="AX188" s="6148"/>
      <c r="AY188" s="6148"/>
      <c r="AZ188" s="6148"/>
      <c r="BA188" s="6148"/>
      <c r="BB188" s="6148"/>
      <c r="BC188" s="6148"/>
      <c r="BD188" s="2730">
        <v>1</v>
      </c>
    </row>
    <row r="189" spans="1:56" ht="21" customHeight="1">
      <c r="A189" s="6148"/>
      <c r="B189" s="7797"/>
      <c r="C189" s="6325" t="s">
        <v>15410</v>
      </c>
      <c r="D189" s="5557"/>
      <c r="E189" s="5557"/>
      <c r="F189" s="6326" t="s">
        <v>15423</v>
      </c>
      <c r="G189" s="5557"/>
      <c r="H189" s="5738"/>
      <c r="I189" s="6148"/>
      <c r="J189" s="6148"/>
      <c r="K189" s="6148"/>
      <c r="L189" s="6148"/>
      <c r="M189" s="6148"/>
      <c r="N189" s="6148"/>
      <c r="O189" s="6148"/>
      <c r="P189" s="6148"/>
      <c r="Q189" s="6148"/>
      <c r="R189" s="6148"/>
      <c r="S189" s="6148"/>
      <c r="T189" s="6148"/>
      <c r="U189" s="6148"/>
      <c r="V189" s="6148"/>
      <c r="W189" s="6148"/>
      <c r="X189" s="6148"/>
      <c r="Y189" s="6148"/>
      <c r="Z189" s="6148"/>
      <c r="AA189" s="6148"/>
      <c r="AB189" s="6148"/>
      <c r="AC189" s="6148"/>
      <c r="AD189" s="6148"/>
      <c r="AE189" s="6148"/>
      <c r="AF189" s="6148"/>
      <c r="AG189" s="6148"/>
      <c r="AH189" s="6148"/>
      <c r="AI189" s="6148"/>
      <c r="AJ189" s="6148"/>
      <c r="AK189" s="6148"/>
      <c r="AL189" s="6148"/>
      <c r="AM189" s="6148"/>
      <c r="AN189" s="6148"/>
      <c r="AO189" s="6148"/>
      <c r="AP189" s="6148"/>
      <c r="AQ189" s="6148"/>
      <c r="AR189" s="6148"/>
      <c r="AS189" s="6148"/>
      <c r="AT189" s="6148"/>
      <c r="AU189" s="6148"/>
      <c r="AV189" s="6148"/>
      <c r="AW189" s="6148"/>
      <c r="AX189" s="6148"/>
      <c r="AY189" s="6148"/>
      <c r="AZ189" s="6148"/>
      <c r="BA189" s="6148"/>
      <c r="BB189" s="6148"/>
      <c r="BC189" s="6148"/>
      <c r="BD189" s="2730">
        <v>1</v>
      </c>
    </row>
    <row r="190" spans="1:56" ht="21" customHeight="1">
      <c r="A190" s="6148"/>
      <c r="B190" s="7797"/>
      <c r="C190" s="6327" t="s">
        <v>15424</v>
      </c>
      <c r="D190" s="5557"/>
      <c r="E190" s="5557"/>
      <c r="F190" s="6328" t="s">
        <v>15425</v>
      </c>
      <c r="G190" s="5557"/>
      <c r="H190" s="5738"/>
      <c r="I190" s="6148"/>
      <c r="J190" s="6148"/>
      <c r="K190" s="6148"/>
      <c r="L190" s="6148"/>
      <c r="M190" s="6148"/>
      <c r="N190" s="6148"/>
      <c r="O190" s="6148"/>
      <c r="P190" s="6148"/>
      <c r="Q190" s="6148"/>
      <c r="R190" s="6148"/>
      <c r="S190" s="6148"/>
      <c r="T190" s="6148"/>
      <c r="U190" s="6148"/>
      <c r="V190" s="6148"/>
      <c r="W190" s="6148"/>
      <c r="X190" s="6148"/>
      <c r="Y190" s="6148"/>
      <c r="Z190" s="6148"/>
      <c r="AA190" s="6148"/>
      <c r="AB190" s="6148"/>
      <c r="AC190" s="6148"/>
      <c r="AD190" s="6148"/>
      <c r="AE190" s="6148"/>
      <c r="AF190" s="6148"/>
      <c r="AG190" s="6148"/>
      <c r="AH190" s="6148"/>
      <c r="AI190" s="6148"/>
      <c r="AJ190" s="6148"/>
      <c r="AK190" s="6148"/>
      <c r="AL190" s="6148"/>
      <c r="AM190" s="6148"/>
      <c r="AN190" s="6148"/>
      <c r="AO190" s="6148"/>
      <c r="AP190" s="6148"/>
      <c r="AQ190" s="6148"/>
      <c r="AR190" s="6148"/>
      <c r="AS190" s="6148"/>
      <c r="AT190" s="6148"/>
      <c r="AU190" s="6148"/>
      <c r="AV190" s="6148"/>
      <c r="AW190" s="6148"/>
      <c r="AX190" s="6148"/>
      <c r="AY190" s="6148"/>
      <c r="AZ190" s="6148"/>
      <c r="BA190" s="6148"/>
      <c r="BB190" s="6148"/>
      <c r="BC190" s="6148"/>
      <c r="BD190" s="2730">
        <v>1</v>
      </c>
    </row>
    <row r="191" spans="1:56" ht="21" customHeight="1">
      <c r="A191" s="6148"/>
      <c r="B191" s="7797"/>
      <c r="C191" s="6262"/>
      <c r="D191" s="5562"/>
      <c r="E191" s="6298" t="s">
        <v>15444</v>
      </c>
      <c r="F191" s="6329" t="s">
        <v>15447</v>
      </c>
      <c r="G191" s="5557"/>
      <c r="H191" s="5738"/>
      <c r="I191" s="6148"/>
      <c r="J191" s="6148"/>
      <c r="K191" s="6148"/>
      <c r="L191" s="6148"/>
      <c r="M191" s="6148"/>
      <c r="N191" s="6148"/>
      <c r="O191" s="6148"/>
      <c r="P191" s="6148"/>
      <c r="Q191" s="6148"/>
      <c r="R191" s="6148"/>
      <c r="S191" s="6148"/>
      <c r="T191" s="6148"/>
      <c r="U191" s="6148"/>
      <c r="V191" s="6148"/>
      <c r="W191" s="6148"/>
      <c r="X191" s="6148"/>
      <c r="Y191" s="6148"/>
      <c r="Z191" s="6148"/>
      <c r="AA191" s="6148"/>
      <c r="AB191" s="6148"/>
      <c r="AC191" s="6148"/>
      <c r="AD191" s="6148"/>
      <c r="AE191" s="6148"/>
      <c r="AF191" s="6148"/>
      <c r="AG191" s="6148"/>
      <c r="AH191" s="6148"/>
      <c r="AI191" s="6148"/>
      <c r="AJ191" s="6148"/>
      <c r="AK191" s="6148"/>
      <c r="AL191" s="6148"/>
      <c r="AM191" s="6148"/>
      <c r="AN191" s="6148"/>
      <c r="AO191" s="6148"/>
      <c r="AP191" s="6148"/>
      <c r="AQ191" s="6148"/>
      <c r="AR191" s="6148"/>
      <c r="AS191" s="6148"/>
      <c r="AT191" s="6148"/>
      <c r="AU191" s="6148"/>
      <c r="AV191" s="6148"/>
      <c r="AW191" s="6148"/>
      <c r="AX191" s="6148"/>
      <c r="AY191" s="6148"/>
      <c r="AZ191" s="6148"/>
      <c r="BA191" s="6148"/>
      <c r="BB191" s="6148"/>
      <c r="BC191" s="6148"/>
      <c r="BD191" s="2730">
        <v>1</v>
      </c>
    </row>
    <row r="192" spans="1:56" ht="21" customHeight="1">
      <c r="A192" s="6148"/>
      <c r="B192" s="7797"/>
      <c r="C192" s="6264"/>
      <c r="D192" s="5562"/>
      <c r="E192" s="6331" t="s">
        <v>15448</v>
      </c>
      <c r="F192" s="6416" t="s">
        <v>15427</v>
      </c>
      <c r="G192" s="5557"/>
      <c r="H192" s="5738"/>
      <c r="I192" s="6148"/>
      <c r="J192" s="6148"/>
      <c r="K192" s="6148"/>
      <c r="L192" s="6148"/>
      <c r="M192" s="6148"/>
      <c r="N192" s="6148"/>
      <c r="O192" s="6148"/>
      <c r="P192" s="6148"/>
      <c r="Q192" s="6148"/>
      <c r="R192" s="6148"/>
      <c r="S192" s="6148"/>
      <c r="T192" s="6148"/>
      <c r="U192" s="6148"/>
      <c r="V192" s="6148"/>
      <c r="W192" s="6148"/>
      <c r="X192" s="6148"/>
      <c r="Y192" s="6148"/>
      <c r="Z192" s="6148"/>
      <c r="AA192" s="6148"/>
      <c r="AB192" s="6148"/>
      <c r="AC192" s="6148"/>
      <c r="AD192" s="6148"/>
      <c r="AE192" s="6148"/>
      <c r="AF192" s="6148"/>
      <c r="AG192" s="6148"/>
      <c r="AH192" s="6148"/>
      <c r="AI192" s="6148"/>
      <c r="AJ192" s="6148"/>
      <c r="AK192" s="6148"/>
      <c r="AL192" s="6148"/>
      <c r="AM192" s="6148"/>
      <c r="AN192" s="6148"/>
      <c r="AO192" s="6148"/>
      <c r="AP192" s="6148"/>
      <c r="AQ192" s="6148"/>
      <c r="AR192" s="6148"/>
      <c r="AS192" s="6148"/>
      <c r="AT192" s="6148"/>
      <c r="AU192" s="6148"/>
      <c r="AV192" s="6148"/>
      <c r="AW192" s="6148"/>
      <c r="AX192" s="6148"/>
      <c r="AY192" s="6148"/>
      <c r="AZ192" s="6148"/>
      <c r="BA192" s="6148"/>
      <c r="BB192" s="6148"/>
      <c r="BC192" s="6148"/>
      <c r="BD192" s="2730">
        <v>1</v>
      </c>
    </row>
    <row r="193" spans="1:58" ht="21" customHeight="1">
      <c r="A193" s="6148"/>
      <c r="B193" s="7797"/>
      <c r="C193" s="6264"/>
      <c r="D193" s="6417" t="s">
        <v>15449</v>
      </c>
      <c r="E193" s="6418" t="str">
        <f>ADDRESS(ROW(G172),COLUMN(G172),4)</f>
        <v>G172</v>
      </c>
      <c r="G193" s="5557"/>
      <c r="H193" s="5738"/>
      <c r="I193" s="6148"/>
      <c r="J193" s="6148"/>
      <c r="K193" s="6148"/>
      <c r="L193" s="6148"/>
      <c r="M193" s="6148"/>
      <c r="N193" s="6148"/>
      <c r="O193" s="6148"/>
      <c r="P193" s="6148"/>
      <c r="Q193" s="6148"/>
      <c r="R193" s="6148"/>
      <c r="S193" s="6148"/>
      <c r="T193" s="6148"/>
      <c r="U193" s="6148"/>
      <c r="V193" s="6148"/>
      <c r="W193" s="6148"/>
      <c r="X193" s="6148"/>
      <c r="Y193" s="6148"/>
      <c r="Z193" s="6148"/>
      <c r="AA193" s="6148"/>
      <c r="AB193" s="6148"/>
      <c r="AC193" s="6148"/>
      <c r="AD193" s="6148"/>
      <c r="AE193" s="6148"/>
      <c r="AF193" s="6148"/>
      <c r="AG193" s="6148"/>
      <c r="AH193" s="6148"/>
      <c r="AI193" s="6148"/>
      <c r="AJ193" s="6148"/>
      <c r="AK193" s="6148"/>
      <c r="AL193" s="6148"/>
      <c r="AM193" s="6148"/>
      <c r="AN193" s="6148"/>
      <c r="AO193" s="6148"/>
      <c r="AP193" s="6148"/>
      <c r="AQ193" s="6148"/>
      <c r="AR193" s="6148"/>
      <c r="AS193" s="6148"/>
      <c r="AT193" s="6148"/>
      <c r="AU193" s="6148"/>
      <c r="AV193" s="6148"/>
      <c r="AW193" s="6148"/>
      <c r="AX193" s="6148"/>
      <c r="AY193" s="6148"/>
      <c r="AZ193" s="6148"/>
      <c r="BA193" s="6148"/>
      <c r="BB193" s="6148"/>
      <c r="BC193" s="6148"/>
      <c r="BD193" s="2730">
        <v>1</v>
      </c>
    </row>
    <row r="194" spans="1:58" ht="21" customHeight="1">
      <c r="A194" s="6148"/>
      <c r="B194" s="7797"/>
      <c r="C194" s="6197" t="s">
        <v>15430</v>
      </c>
      <c r="D194" s="6336"/>
      <c r="E194" s="6334"/>
      <c r="F194" s="6197" t="s">
        <v>15431</v>
      </c>
      <c r="G194" s="5557"/>
      <c r="H194" s="5738"/>
      <c r="I194" s="6148"/>
      <c r="J194" s="6148"/>
      <c r="K194" s="6148"/>
      <c r="L194" s="6148"/>
      <c r="M194" s="6148"/>
      <c r="N194" s="6148"/>
      <c r="O194" s="6148"/>
      <c r="P194" s="6148"/>
      <c r="Q194" s="6148"/>
      <c r="R194" s="6148"/>
      <c r="S194" s="6148"/>
      <c r="T194" s="6148"/>
      <c r="U194" s="6148"/>
      <c r="V194" s="6148"/>
      <c r="W194" s="6148"/>
      <c r="X194" s="6148"/>
      <c r="Y194" s="6148"/>
      <c r="Z194" s="6148"/>
      <c r="AA194" s="6148"/>
      <c r="AB194" s="6148"/>
      <c r="AC194" s="6148"/>
      <c r="AD194" s="6148"/>
      <c r="AE194" s="6148"/>
      <c r="AF194" s="6148"/>
      <c r="AG194" s="6148"/>
      <c r="AH194" s="6148"/>
      <c r="AI194" s="6148"/>
      <c r="AJ194" s="6148"/>
      <c r="AK194" s="6148"/>
      <c r="AL194" s="6148"/>
      <c r="AM194" s="6148"/>
      <c r="AN194" s="6148"/>
      <c r="AO194" s="6148"/>
      <c r="AP194" s="6148"/>
      <c r="AQ194" s="6148"/>
      <c r="AR194" s="6148"/>
      <c r="AS194" s="6148"/>
      <c r="AT194" s="6148"/>
      <c r="AU194" s="6148"/>
      <c r="AV194" s="6148"/>
      <c r="AW194" s="6148"/>
      <c r="AX194" s="6148"/>
      <c r="AY194" s="6148"/>
      <c r="AZ194" s="6148"/>
      <c r="BA194" s="6148"/>
      <c r="BB194" s="6148"/>
      <c r="BC194" s="6148"/>
      <c r="BD194" s="2730">
        <v>1</v>
      </c>
    </row>
    <row r="195" spans="1:58" ht="21" customHeight="1">
      <c r="A195" s="6148"/>
      <c r="B195" s="7797"/>
      <c r="C195" s="6200">
        <v>12</v>
      </c>
      <c r="D195" s="6200">
        <v>11</v>
      </c>
      <c r="E195" s="6200">
        <v>11</v>
      </c>
      <c r="F195" s="6200">
        <v>11</v>
      </c>
      <c r="G195" s="6200">
        <v>11</v>
      </c>
      <c r="H195" s="6201">
        <v>11</v>
      </c>
      <c r="I195" s="6202" t="s">
        <v>15341</v>
      </c>
      <c r="J195" s="6148"/>
      <c r="K195" s="6148"/>
      <c r="L195" s="6148"/>
      <c r="M195" s="6148"/>
      <c r="N195" s="6148"/>
      <c r="O195" s="6148"/>
      <c r="P195" s="6148"/>
      <c r="Q195" s="6148"/>
      <c r="R195" s="6148"/>
      <c r="S195" s="6148"/>
      <c r="T195" s="6148"/>
      <c r="U195" s="6148"/>
      <c r="V195" s="6148"/>
      <c r="W195" s="6148"/>
      <c r="X195" s="6148"/>
      <c r="Y195" s="6148"/>
      <c r="Z195" s="6148"/>
      <c r="AA195" s="6148"/>
      <c r="AB195" s="6148"/>
      <c r="AC195" s="6148"/>
      <c r="AD195" s="6148"/>
      <c r="AE195" s="6148"/>
      <c r="AF195" s="6148"/>
      <c r="AG195" s="6148"/>
      <c r="AH195" s="6148"/>
      <c r="AI195" s="6148"/>
      <c r="AJ195" s="6148"/>
      <c r="AK195" s="6148"/>
      <c r="AL195" s="6148"/>
      <c r="AM195" s="6148"/>
      <c r="AN195" s="6148"/>
      <c r="AO195" s="6148"/>
      <c r="AP195" s="6148"/>
      <c r="AQ195" s="6148"/>
      <c r="AR195" s="6148"/>
      <c r="AS195" s="6148"/>
      <c r="AT195" s="6148"/>
      <c r="AU195" s="6148"/>
      <c r="AV195" s="6148"/>
      <c r="AW195" s="6148"/>
      <c r="AX195" s="6148"/>
      <c r="AY195" s="6148"/>
      <c r="AZ195" s="6148"/>
      <c r="BA195" s="6148"/>
      <c r="BB195" s="6148"/>
      <c r="BC195" s="6148"/>
      <c r="BD195" s="2730">
        <v>1</v>
      </c>
    </row>
    <row r="196" spans="1:58" ht="21" customHeight="1" thickBot="1">
      <c r="A196" s="6148"/>
      <c r="B196" s="7798"/>
      <c r="C196" s="6207">
        <f ca="1">CELL("largeur",C196)</f>
        <v>13</v>
      </c>
      <c r="D196" s="6207">
        <f t="shared" ref="D196:H196" ca="1" si="10">CELL("largeur",D196)</f>
        <v>21</v>
      </c>
      <c r="E196" s="6207">
        <f t="shared" ca="1" si="10"/>
        <v>13</v>
      </c>
      <c r="F196" s="6207">
        <f t="shared" ca="1" si="10"/>
        <v>13</v>
      </c>
      <c r="G196" s="6207">
        <f t="shared" ca="1" si="10"/>
        <v>13</v>
      </c>
      <c r="H196" s="6208">
        <f t="shared" ca="1" si="10"/>
        <v>13</v>
      </c>
      <c r="I196" s="6202" t="s">
        <v>15344</v>
      </c>
      <c r="J196" s="6148"/>
      <c r="K196" s="6148"/>
      <c r="L196" s="6148"/>
      <c r="M196" s="6148"/>
      <c r="N196" s="6148"/>
      <c r="O196" s="6148"/>
      <c r="P196" s="6148"/>
      <c r="Q196" s="6148"/>
      <c r="R196" s="6148"/>
      <c r="S196" s="6148"/>
      <c r="T196" s="6148"/>
      <c r="U196" s="6148"/>
      <c r="V196" s="6148"/>
      <c r="W196" s="6148"/>
      <c r="X196" s="6148"/>
      <c r="Y196" s="6148"/>
      <c r="Z196" s="6148"/>
      <c r="AA196" s="6148"/>
      <c r="AB196" s="6148"/>
      <c r="AC196" s="6148"/>
      <c r="AD196" s="6148"/>
      <c r="AE196" s="6148"/>
      <c r="AF196" s="6148"/>
      <c r="AG196" s="6148"/>
      <c r="AH196" s="6148"/>
      <c r="AI196" s="6148"/>
      <c r="AJ196" s="6148"/>
      <c r="AK196" s="6148"/>
      <c r="AL196" s="6148"/>
      <c r="AM196" s="6148"/>
      <c r="AN196" s="6148"/>
      <c r="AO196" s="6148"/>
      <c r="AP196" s="6148"/>
      <c r="AQ196" s="6148"/>
      <c r="AR196" s="6148"/>
      <c r="AS196" s="6148"/>
      <c r="AT196" s="6148"/>
      <c r="AU196" s="6148"/>
      <c r="AV196" s="6148"/>
      <c r="AW196" s="6148"/>
      <c r="AX196" s="6148"/>
      <c r="AY196" s="6148"/>
      <c r="AZ196" s="6148"/>
      <c r="BA196" s="6148"/>
      <c r="BB196" s="6148"/>
      <c r="BC196" s="6148"/>
      <c r="BD196" s="2730">
        <v>1</v>
      </c>
    </row>
    <row r="197" spans="1:58" ht="21" customHeight="1" thickBot="1">
      <c r="A197" s="6148"/>
      <c r="B197" s="6148"/>
      <c r="C197" s="6148"/>
      <c r="D197" s="6148"/>
      <c r="E197" s="6148"/>
      <c r="F197" s="6148"/>
      <c r="G197" s="6148"/>
      <c r="H197" s="6148"/>
      <c r="I197" s="6148"/>
      <c r="J197" s="6148"/>
      <c r="K197" s="6148"/>
      <c r="L197" s="6148"/>
      <c r="M197" s="6148"/>
      <c r="N197" s="6148"/>
      <c r="O197" s="6148"/>
      <c r="P197" s="6148"/>
      <c r="Q197" s="6148"/>
      <c r="R197" s="6148"/>
      <c r="S197" s="6148"/>
      <c r="T197" s="6148"/>
      <c r="U197" s="6148"/>
      <c r="V197" s="6148"/>
      <c r="W197" s="6148"/>
      <c r="X197" s="6148"/>
      <c r="Y197" s="6148"/>
      <c r="Z197" s="6148"/>
      <c r="AA197" s="6148"/>
      <c r="AB197" s="6148"/>
      <c r="AC197" s="6148"/>
      <c r="AD197" s="6148"/>
      <c r="AE197" s="6148"/>
      <c r="AF197" s="6148"/>
      <c r="AG197" s="6148"/>
      <c r="AH197" s="6148"/>
      <c r="AI197" s="6148"/>
      <c r="AJ197" s="6148"/>
      <c r="AK197" s="6148"/>
      <c r="AL197" s="6148"/>
      <c r="AM197" s="6148"/>
      <c r="AN197" s="6148"/>
      <c r="AO197" s="6148"/>
      <c r="AP197" s="6148"/>
      <c r="AQ197" s="6148"/>
      <c r="AR197" s="6148"/>
      <c r="AS197" s="6148"/>
      <c r="AT197" s="6148"/>
      <c r="AU197" s="6148"/>
      <c r="AV197" s="6148"/>
      <c r="AW197" s="6148"/>
      <c r="AX197" s="6148"/>
      <c r="AY197" s="6148"/>
      <c r="AZ197" s="6148"/>
      <c r="BA197" s="6148"/>
      <c r="BB197" s="6148"/>
      <c r="BC197" s="6148"/>
      <c r="BD197" s="2730">
        <v>1</v>
      </c>
    </row>
    <row r="198" spans="1:58" s="6150" customFormat="1" ht="21" customHeight="1">
      <c r="A198" s="6148">
        <v>1</v>
      </c>
      <c r="B198" s="6161" t="s">
        <v>67</v>
      </c>
      <c r="C198" s="5245"/>
      <c r="D198" s="5246"/>
      <c r="E198" s="5246"/>
      <c r="F198" s="5246"/>
      <c r="G198" s="5246"/>
      <c r="H198" s="5247"/>
      <c r="I198" s="5246"/>
      <c r="J198" s="5246"/>
      <c r="K198" s="5248" t="s">
        <v>323</v>
      </c>
      <c r="L198" s="6419" t="s">
        <v>15450</v>
      </c>
      <c r="M198" s="6148"/>
      <c r="N198" s="6148"/>
      <c r="O198" s="6148"/>
      <c r="P198" s="6148"/>
      <c r="Q198" s="6148"/>
      <c r="R198" s="6148"/>
      <c r="S198" s="6148"/>
      <c r="T198" s="6148"/>
      <c r="U198" s="6148"/>
      <c r="V198" s="6148"/>
      <c r="W198" s="6148"/>
      <c r="X198" s="6148"/>
      <c r="Y198" s="6148"/>
      <c r="Z198" s="6148"/>
      <c r="AA198" s="6148"/>
      <c r="AB198" s="6148"/>
      <c r="AC198" s="6148"/>
      <c r="AD198" s="6148"/>
      <c r="AE198" s="6148"/>
      <c r="AF198" s="6148"/>
      <c r="AG198" s="6148"/>
      <c r="AH198" s="6148"/>
      <c r="AI198" s="6148"/>
      <c r="AJ198" s="6148"/>
      <c r="AK198" s="6148"/>
      <c r="AL198" s="6148"/>
      <c r="AM198" s="6148"/>
      <c r="AN198" s="6148"/>
      <c r="AO198" s="6148"/>
      <c r="AP198" s="6148"/>
      <c r="AQ198" s="6148"/>
      <c r="AR198" s="6148"/>
      <c r="AS198" s="6148"/>
      <c r="AT198" s="6148"/>
      <c r="AU198" s="6148"/>
      <c r="AV198" s="6148"/>
      <c r="AW198" s="6148"/>
      <c r="AX198" s="6148"/>
      <c r="AY198" s="6148"/>
      <c r="AZ198" s="6148"/>
      <c r="BA198" s="6148"/>
      <c r="BB198" s="6148"/>
      <c r="BC198" s="6148"/>
      <c r="BD198" s="2730">
        <v>1</v>
      </c>
      <c r="BE198" s="5227"/>
      <c r="BF198" s="5227"/>
    </row>
    <row r="199" spans="1:58" s="6150" customFormat="1" ht="21" customHeight="1">
      <c r="A199" s="6148">
        <v>1</v>
      </c>
      <c r="B199" s="7768">
        <v>3</v>
      </c>
      <c r="C199" s="6420" t="str">
        <f>ADDRESS(ROW(),COLUMN(),4)</f>
        <v>C199</v>
      </c>
      <c r="D199" s="5929" t="s">
        <v>14788</v>
      </c>
      <c r="E199" s="6421"/>
      <c r="F199" s="6421"/>
      <c r="G199" s="6421"/>
      <c r="H199" s="6421"/>
      <c r="I199" s="6421"/>
      <c r="J199" s="6421"/>
      <c r="K199" s="6422"/>
      <c r="L199" s="6148">
        <v>1</v>
      </c>
      <c r="M199" s="6148">
        <v>1</v>
      </c>
      <c r="N199" s="6148"/>
      <c r="O199" s="6148"/>
      <c r="P199" s="6148"/>
      <c r="Q199" s="6148"/>
      <c r="R199" s="6148"/>
      <c r="S199" s="6148"/>
      <c r="T199" s="6148"/>
      <c r="U199" s="6148"/>
      <c r="V199" s="6148"/>
      <c r="W199" s="6148"/>
      <c r="X199" s="6148"/>
      <c r="Y199" s="6148"/>
      <c r="Z199" s="6148"/>
      <c r="AA199" s="6148"/>
      <c r="AB199" s="6148"/>
      <c r="AC199" s="6148"/>
      <c r="AD199" s="6148"/>
      <c r="AE199" s="6148"/>
      <c r="AF199" s="6148"/>
      <c r="AG199" s="6148"/>
      <c r="AH199" s="6148"/>
      <c r="AI199" s="6148"/>
      <c r="AJ199" s="6148"/>
      <c r="AK199" s="6148"/>
      <c r="AL199" s="6148"/>
      <c r="AM199" s="6148"/>
      <c r="AN199" s="6148"/>
      <c r="AO199" s="6148"/>
      <c r="AP199" s="6148"/>
      <c r="AQ199" s="6148"/>
      <c r="AR199" s="6148"/>
      <c r="AS199" s="6148"/>
      <c r="AT199" s="6148"/>
      <c r="AU199" s="6148"/>
      <c r="AV199" s="6148"/>
      <c r="AW199" s="6148"/>
      <c r="AX199" s="6148"/>
      <c r="AY199" s="6148"/>
      <c r="AZ199" s="6148"/>
      <c r="BA199" s="6148"/>
      <c r="BB199" s="6148"/>
      <c r="BC199" s="6148"/>
      <c r="BD199" s="2730">
        <v>1</v>
      </c>
      <c r="BE199" s="5227"/>
      <c r="BF199" s="5227"/>
    </row>
    <row r="200" spans="1:58" s="6150" customFormat="1" ht="21" customHeight="1">
      <c r="A200" s="6148">
        <v>1</v>
      </c>
      <c r="B200" s="7768"/>
      <c r="C200" s="6423"/>
      <c r="D200" s="6424" t="s">
        <v>324</v>
      </c>
      <c r="E200" s="6425">
        <v>0.44</v>
      </c>
      <c r="F200" s="5233"/>
      <c r="G200" s="6426" t="s">
        <v>324</v>
      </c>
      <c r="H200" s="6425">
        <v>100</v>
      </c>
      <c r="I200" s="5233"/>
      <c r="J200" s="6427" t="s">
        <v>325</v>
      </c>
      <c r="K200" s="6428">
        <v>115</v>
      </c>
      <c r="L200" s="6162" t="s">
        <v>15397</v>
      </c>
      <c r="M200" s="6148"/>
      <c r="N200" s="6148"/>
      <c r="O200" s="6148"/>
      <c r="P200" s="6148"/>
      <c r="Q200" s="6148"/>
      <c r="R200" s="6148"/>
      <c r="S200" s="6148"/>
      <c r="T200" s="6148"/>
      <c r="U200" s="6148"/>
      <c r="V200" s="6148"/>
      <c r="W200" s="6148"/>
      <c r="X200" s="6148"/>
      <c r="Y200" s="6148"/>
      <c r="Z200" s="6148"/>
      <c r="AA200" s="6148"/>
      <c r="AB200" s="6148"/>
      <c r="AC200" s="6148"/>
      <c r="AD200" s="6148"/>
      <c r="AE200" s="6148"/>
      <c r="AF200" s="6148"/>
      <c r="AG200" s="6148"/>
      <c r="AH200" s="6148"/>
      <c r="AI200" s="6148"/>
      <c r="AJ200" s="6148"/>
      <c r="AK200" s="6148"/>
      <c r="AL200" s="6148"/>
      <c r="AM200" s="6148"/>
      <c r="AN200" s="6148"/>
      <c r="AO200" s="6148"/>
      <c r="AP200" s="6148"/>
      <c r="AQ200" s="6148"/>
      <c r="AR200" s="6148"/>
      <c r="AS200" s="6148"/>
      <c r="AT200" s="6148"/>
      <c r="AU200" s="6148"/>
      <c r="AV200" s="6148"/>
      <c r="AW200" s="6148"/>
      <c r="AX200" s="6148"/>
      <c r="AY200" s="6148"/>
      <c r="AZ200" s="6148"/>
      <c r="BA200" s="6148"/>
      <c r="BB200" s="6148"/>
      <c r="BC200" s="6148"/>
      <c r="BD200" s="2730">
        <v>1</v>
      </c>
      <c r="BE200" s="5227"/>
      <c r="BF200" s="5227"/>
    </row>
    <row r="201" spans="1:58" s="6150" customFormat="1" ht="21" customHeight="1">
      <c r="A201" s="6148">
        <v>1</v>
      </c>
      <c r="B201" s="7768"/>
      <c r="C201" s="6429"/>
      <c r="D201" s="6430" t="s">
        <v>326</v>
      </c>
      <c r="E201" s="6431">
        <v>60</v>
      </c>
      <c r="F201" s="5233"/>
      <c r="G201" s="6430" t="s">
        <v>327</v>
      </c>
      <c r="H201" s="6432">
        <v>10</v>
      </c>
      <c r="I201" s="5233"/>
      <c r="J201" s="6426" t="s">
        <v>324</v>
      </c>
      <c r="K201" s="6433">
        <v>133</v>
      </c>
      <c r="L201" s="6162" t="s">
        <v>15400</v>
      </c>
      <c r="M201" s="6148"/>
      <c r="N201" s="6148"/>
      <c r="O201" s="6148"/>
      <c r="P201" s="6148"/>
      <c r="Q201" s="6148"/>
      <c r="R201" s="6148"/>
      <c r="S201" s="6148"/>
      <c r="T201" s="6148"/>
      <c r="U201" s="6148"/>
      <c r="V201" s="6148"/>
      <c r="W201" s="6148"/>
      <c r="X201" s="6148"/>
      <c r="Y201" s="6148"/>
      <c r="Z201" s="6148"/>
      <c r="AA201" s="6148"/>
      <c r="AB201" s="6148"/>
      <c r="AC201" s="6148"/>
      <c r="AD201" s="6148"/>
      <c r="AE201" s="6148"/>
      <c r="AF201" s="6148"/>
      <c r="AG201" s="6148"/>
      <c r="AH201" s="6148"/>
      <c r="AI201" s="6148"/>
      <c r="AJ201" s="6148"/>
      <c r="AK201" s="6148"/>
      <c r="AL201" s="6148"/>
      <c r="AM201" s="6148"/>
      <c r="AN201" s="6148"/>
      <c r="AO201" s="6148"/>
      <c r="AP201" s="6148"/>
      <c r="AQ201" s="6148"/>
      <c r="AR201" s="6148"/>
      <c r="AS201" s="6148"/>
      <c r="AT201" s="6148"/>
      <c r="AU201" s="6148"/>
      <c r="AV201" s="6148"/>
      <c r="AW201" s="6148"/>
      <c r="AX201" s="6148"/>
      <c r="AY201" s="6148"/>
      <c r="AZ201" s="6148"/>
      <c r="BA201" s="6148"/>
      <c r="BB201" s="6148"/>
      <c r="BC201" s="6148"/>
      <c r="BD201" s="2730">
        <v>1</v>
      </c>
      <c r="BE201" s="5227"/>
      <c r="BF201" s="5227"/>
    </row>
    <row r="202" spans="1:58" s="6150" customFormat="1" ht="21" customHeight="1">
      <c r="A202" s="6148">
        <v>1</v>
      </c>
      <c r="B202" s="7768"/>
      <c r="C202" s="6434"/>
      <c r="D202" s="6435" t="s">
        <v>327</v>
      </c>
      <c r="E202" s="6436">
        <f>E200*E201%</f>
        <v>0.26400000000000001</v>
      </c>
      <c r="F202" s="5233"/>
      <c r="G202" s="6437" t="s">
        <v>325</v>
      </c>
      <c r="H202" s="6436">
        <f>IF(H200=0,0,H200+H201)</f>
        <v>110</v>
      </c>
      <c r="I202" s="5233"/>
      <c r="J202" s="6435" t="s">
        <v>327</v>
      </c>
      <c r="K202" s="6438">
        <f>IF(K200=0,0,IF(K201=0,0,K200-K201))</f>
        <v>-18</v>
      </c>
      <c r="L202" s="6363" t="str">
        <f>HYPERLINK("#"&amp;ADDRESS(ROW(K202),COLUMN(K202),4),"◀"&amp;ADDRESS(ROW(K202),COLUMN(K202),4))</f>
        <v>◀K202</v>
      </c>
      <c r="M202" s="2797" t="str">
        <f ca="1">_xlfn.FORMULATEXT(K202)</f>
        <v>=SI(K200=0;0;SI(K201=0;0;K200-K201))</v>
      </c>
      <c r="N202" s="6148"/>
      <c r="O202" s="6148"/>
      <c r="P202" s="6148"/>
      <c r="Q202" s="6148"/>
      <c r="R202" s="6148"/>
      <c r="S202" s="6148"/>
      <c r="T202" s="6148"/>
      <c r="U202" s="6148"/>
      <c r="V202" s="6148"/>
      <c r="W202" s="6148"/>
      <c r="X202" s="6148"/>
      <c r="Y202" s="6148"/>
      <c r="Z202" s="6148"/>
      <c r="AA202" s="6148"/>
      <c r="AB202" s="6148"/>
      <c r="AC202" s="6148"/>
      <c r="AD202" s="6148"/>
      <c r="AE202" s="6148"/>
      <c r="AF202" s="6148"/>
      <c r="AG202" s="6148"/>
      <c r="AH202" s="6148"/>
      <c r="AI202" s="6148"/>
      <c r="AJ202" s="6148"/>
      <c r="AK202" s="6148"/>
      <c r="AL202" s="6148"/>
      <c r="AM202" s="6148"/>
      <c r="AN202" s="6148"/>
      <c r="AO202" s="6148"/>
      <c r="AP202" s="6148"/>
      <c r="AQ202" s="6148"/>
      <c r="AR202" s="6148"/>
      <c r="AS202" s="6148"/>
      <c r="AT202" s="6148"/>
      <c r="AU202" s="6148"/>
      <c r="AV202" s="6148"/>
      <c r="AW202" s="6148"/>
      <c r="AX202" s="6148"/>
      <c r="AY202" s="6148"/>
      <c r="AZ202" s="6148"/>
      <c r="BA202" s="6148"/>
      <c r="BB202" s="6148"/>
      <c r="BC202" s="6148"/>
      <c r="BD202" s="2730">
        <v>1</v>
      </c>
      <c r="BE202" s="5227"/>
      <c r="BF202" s="5227"/>
    </row>
    <row r="203" spans="1:58" s="6150" customFormat="1" ht="21" customHeight="1">
      <c r="A203" s="6148">
        <v>1</v>
      </c>
      <c r="B203" s="7768"/>
      <c r="C203" s="6439"/>
      <c r="D203" s="6437" t="s">
        <v>325</v>
      </c>
      <c r="E203" s="6436">
        <f>((E200*E201)/100)+E200</f>
        <v>0.70399999999999996</v>
      </c>
      <c r="F203" s="5233"/>
      <c r="G203" s="6440" t="s">
        <v>326</v>
      </c>
      <c r="H203" s="6441">
        <f>IF(H200=0,0,IF(ISBLANK(H200),0,(H201/H200)*100))</f>
        <v>10</v>
      </c>
      <c r="I203" s="5233"/>
      <c r="J203" s="6440" t="s">
        <v>326</v>
      </c>
      <c r="K203" s="6442">
        <f>IF(K201=0,0,IF(ISBLANK(K201),0,(K202/K201)*100))</f>
        <v>-13.533834586466165</v>
      </c>
      <c r="L203" s="6363" t="str">
        <f>HYPERLINK("#"&amp;ADDRESS(ROW(K203),COLUMN(K203),4),"◀"&amp;ADDRESS(ROW(K203),COLUMN(K203),4))</f>
        <v>◀K203</v>
      </c>
      <c r="M203" s="2797" t="str">
        <f ca="1">_xlfn.FORMULATEXT(K203)</f>
        <v>=SI(K201=0;0;SI(ESTVIDE(K201);0;(K202/K201)*100))</v>
      </c>
      <c r="N203" s="6148"/>
      <c r="O203" s="6148"/>
      <c r="P203" s="6148"/>
      <c r="Q203" s="6148"/>
      <c r="R203" s="6148"/>
      <c r="S203" s="6148"/>
      <c r="T203" s="6148"/>
      <c r="U203" s="6148"/>
      <c r="V203" s="6148"/>
      <c r="W203" s="6148"/>
      <c r="X203" s="6148"/>
      <c r="Y203" s="6148"/>
      <c r="Z203" s="6148"/>
      <c r="AA203" s="6148"/>
      <c r="AB203" s="6148"/>
      <c r="AC203" s="6148"/>
      <c r="AD203" s="6148"/>
      <c r="AE203" s="6148"/>
      <c r="AF203" s="6148"/>
      <c r="AG203" s="6148"/>
      <c r="AH203" s="6148"/>
      <c r="AI203" s="6148"/>
      <c r="AJ203" s="6148"/>
      <c r="AK203" s="6148"/>
      <c r="AL203" s="6148"/>
      <c r="AM203" s="6148"/>
      <c r="AN203" s="6148"/>
      <c r="AO203" s="6148"/>
      <c r="AP203" s="6148"/>
      <c r="AQ203" s="6148"/>
      <c r="AR203" s="6148"/>
      <c r="AS203" s="6148"/>
      <c r="AT203" s="6148"/>
      <c r="AU203" s="6148"/>
      <c r="AV203" s="6148"/>
      <c r="AW203" s="6148"/>
      <c r="AX203" s="6148"/>
      <c r="AY203" s="6148"/>
      <c r="AZ203" s="6148"/>
      <c r="BA203" s="6148"/>
      <c r="BB203" s="6148"/>
      <c r="BC203" s="6148"/>
      <c r="BD203" s="2730">
        <v>1</v>
      </c>
      <c r="BE203" s="5227"/>
      <c r="BF203" s="5227"/>
    </row>
    <row r="204" spans="1:58" s="6150" customFormat="1" ht="21" customHeight="1">
      <c r="A204" s="6148">
        <v>1</v>
      </c>
      <c r="B204" s="7768"/>
      <c r="C204" s="6443"/>
      <c r="D204" s="6444"/>
      <c r="E204" s="6445"/>
      <c r="F204" s="6446"/>
      <c r="G204" s="6447"/>
      <c r="H204" s="6448"/>
      <c r="I204" s="6446"/>
      <c r="J204" s="6447"/>
      <c r="K204" s="6449"/>
      <c r="L204" s="6148">
        <v>1</v>
      </c>
      <c r="M204" s="6148">
        <v>1</v>
      </c>
      <c r="N204" s="6148"/>
      <c r="O204" s="6148"/>
      <c r="P204" s="6148"/>
      <c r="Q204" s="6148"/>
      <c r="R204" s="6148"/>
      <c r="S204" s="6148"/>
      <c r="T204" s="6148"/>
      <c r="U204" s="6148"/>
      <c r="V204" s="6148"/>
      <c r="W204" s="6148"/>
      <c r="X204" s="6148"/>
      <c r="Y204" s="6148"/>
      <c r="Z204" s="6148"/>
      <c r="AA204" s="6148"/>
      <c r="AB204" s="6148"/>
      <c r="AC204" s="6148"/>
      <c r="AD204" s="6148"/>
      <c r="AE204" s="6148"/>
      <c r="AF204" s="6148"/>
      <c r="AG204" s="6148"/>
      <c r="AH204" s="6148"/>
      <c r="AI204" s="6148"/>
      <c r="AJ204" s="6148"/>
      <c r="AK204" s="6148"/>
      <c r="AL204" s="6148"/>
      <c r="AM204" s="6148"/>
      <c r="AN204" s="6148"/>
      <c r="AO204" s="6148"/>
      <c r="AP204" s="6148"/>
      <c r="AQ204" s="6148"/>
      <c r="AR204" s="6148"/>
      <c r="AS204" s="6148"/>
      <c r="AT204" s="6148"/>
      <c r="AU204" s="6148"/>
      <c r="AV204" s="6148"/>
      <c r="AW204" s="6148"/>
      <c r="AX204" s="6148"/>
      <c r="AY204" s="6148"/>
      <c r="AZ204" s="6148"/>
      <c r="BA204" s="6148"/>
      <c r="BB204" s="6148"/>
      <c r="BC204" s="6148"/>
      <c r="BD204" s="2730">
        <v>1</v>
      </c>
      <c r="BE204" s="5227"/>
      <c r="BF204" s="5227"/>
    </row>
    <row r="205" spans="1:58" s="6150" customFormat="1" ht="21" customHeight="1">
      <c r="A205" s="6148">
        <v>1</v>
      </c>
      <c r="B205" s="7768"/>
      <c r="C205" s="6423"/>
      <c r="D205" s="6426" t="s">
        <v>324</v>
      </c>
      <c r="E205" s="6425">
        <v>5.8970000000000002</v>
      </c>
      <c r="F205" s="5233"/>
      <c r="G205" s="6427" t="s">
        <v>325</v>
      </c>
      <c r="H205" s="6432">
        <v>9.64</v>
      </c>
      <c r="I205" s="5233"/>
      <c r="J205" s="6427" t="s">
        <v>325</v>
      </c>
      <c r="K205" s="6428">
        <v>100</v>
      </c>
      <c r="L205" s="6148">
        <v>1</v>
      </c>
      <c r="M205" s="6148">
        <v>1</v>
      </c>
      <c r="N205" s="6148"/>
      <c r="O205" s="6148"/>
      <c r="P205" s="6148"/>
      <c r="Q205" s="6148"/>
      <c r="R205" s="6148"/>
      <c r="S205" s="6148"/>
      <c r="T205" s="6148"/>
      <c r="U205" s="6148"/>
      <c r="V205" s="6148"/>
      <c r="W205" s="6148"/>
      <c r="X205" s="6148"/>
      <c r="Y205" s="6148"/>
      <c r="Z205" s="6148"/>
      <c r="AA205" s="6148"/>
      <c r="AB205" s="6148"/>
      <c r="AC205" s="6148"/>
      <c r="AD205" s="6148"/>
      <c r="AE205" s="6148"/>
      <c r="AF205" s="6148"/>
      <c r="AG205" s="6148"/>
      <c r="AH205" s="6148"/>
      <c r="AI205" s="6148"/>
      <c r="AJ205" s="6148"/>
      <c r="AK205" s="6148"/>
      <c r="AL205" s="6148"/>
      <c r="AM205" s="6148"/>
      <c r="AN205" s="6148"/>
      <c r="AO205" s="6148"/>
      <c r="AP205" s="6148"/>
      <c r="AQ205" s="6148"/>
      <c r="AR205" s="6148"/>
      <c r="AS205" s="6148"/>
      <c r="AT205" s="6148"/>
      <c r="AU205" s="6148"/>
      <c r="AV205" s="6148"/>
      <c r="AW205" s="6148"/>
      <c r="AX205" s="6148"/>
      <c r="AY205" s="6148"/>
      <c r="AZ205" s="6148"/>
      <c r="BA205" s="6148"/>
      <c r="BB205" s="6148"/>
      <c r="BC205" s="6148"/>
      <c r="BD205" s="2730">
        <v>1</v>
      </c>
      <c r="BE205" s="5227"/>
      <c r="BF205" s="5227"/>
    </row>
    <row r="206" spans="1:58" s="6150" customFormat="1" ht="21" customHeight="1">
      <c r="A206" s="6148">
        <v>1</v>
      </c>
      <c r="B206" s="7768"/>
      <c r="C206" s="6450"/>
      <c r="D206" s="6427" t="s">
        <v>325</v>
      </c>
      <c r="E206" s="6432">
        <v>9.64</v>
      </c>
      <c r="F206" s="5233"/>
      <c r="G206" s="6430" t="s">
        <v>326</v>
      </c>
      <c r="H206" s="6451">
        <v>63.5</v>
      </c>
      <c r="I206" s="5233"/>
      <c r="J206" s="6430" t="s">
        <v>327</v>
      </c>
      <c r="K206" s="6428">
        <v>50</v>
      </c>
      <c r="L206" s="6148">
        <v>1</v>
      </c>
      <c r="M206" s="6148">
        <v>1</v>
      </c>
      <c r="N206" s="6148"/>
      <c r="O206" s="6148"/>
      <c r="P206" s="6148"/>
      <c r="Q206" s="6148"/>
      <c r="R206" s="6148"/>
      <c r="S206" s="6148"/>
      <c r="T206" s="6148"/>
      <c r="U206" s="6148"/>
      <c r="V206" s="6148"/>
      <c r="W206" s="6148"/>
      <c r="X206" s="6148"/>
      <c r="Y206" s="6148"/>
      <c r="Z206" s="6148"/>
      <c r="AA206" s="6148"/>
      <c r="AB206" s="6148"/>
      <c r="AC206" s="6148"/>
      <c r="AD206" s="6148"/>
      <c r="AE206" s="6148"/>
      <c r="AF206" s="6148"/>
      <c r="AG206" s="6148"/>
      <c r="AH206" s="6148"/>
      <c r="AI206" s="6148"/>
      <c r="AJ206" s="6148"/>
      <c r="AK206" s="6148"/>
      <c r="AL206" s="6148"/>
      <c r="AM206" s="6148"/>
      <c r="AN206" s="6148"/>
      <c r="AO206" s="6148"/>
      <c r="AP206" s="6148"/>
      <c r="AQ206" s="6148"/>
      <c r="AR206" s="6148"/>
      <c r="AS206" s="6148"/>
      <c r="AT206" s="6148"/>
      <c r="AU206" s="6148"/>
      <c r="AV206" s="6148"/>
      <c r="AW206" s="6148"/>
      <c r="AX206" s="6148"/>
      <c r="AY206" s="6148"/>
      <c r="AZ206" s="6148"/>
      <c r="BA206" s="6148"/>
      <c r="BB206" s="6148"/>
      <c r="BC206" s="6148"/>
      <c r="BD206" s="2730">
        <v>1</v>
      </c>
      <c r="BE206" s="5227"/>
      <c r="BF206" s="5227"/>
    </row>
    <row r="207" spans="1:58" s="6150" customFormat="1" ht="21" customHeight="1">
      <c r="A207" s="6148">
        <v>1</v>
      </c>
      <c r="B207" s="7768"/>
      <c r="C207" s="6434"/>
      <c r="D207" s="6435" t="s">
        <v>327</v>
      </c>
      <c r="E207" s="6436">
        <f>IF(E205=0,0,IF(E206=0,0,E206-E205))</f>
        <v>3.7430000000000003</v>
      </c>
      <c r="F207" s="5233"/>
      <c r="G207" s="6435" t="s">
        <v>327</v>
      </c>
      <c r="H207" s="6436">
        <f>H205-H208</f>
        <v>3.7439755351681958</v>
      </c>
      <c r="I207" s="5233"/>
      <c r="J207" s="6437" t="s">
        <v>324</v>
      </c>
      <c r="K207" s="6438">
        <f>IF(K205=0,0,IF(ISBLANK(K205),0,K205-K206))</f>
        <v>50</v>
      </c>
      <c r="L207" s="6363" t="str">
        <f>HYPERLINK("#"&amp;ADDRESS(ROW(E207),COLUMN(E207),4),"◀"&amp;ADDRESS(ROW(E207),COLUMN(E207),4))</f>
        <v>◀E207</v>
      </c>
      <c r="M207" s="2797" t="str">
        <f ca="1">_xlfn.FORMULATEXT(E207)</f>
        <v>=SI(E205=0;0;SI(E206=0;0;E206-E205))</v>
      </c>
      <c r="N207" s="6148"/>
      <c r="O207" s="6148"/>
      <c r="P207" s="6148"/>
      <c r="Q207" s="6148"/>
      <c r="R207" s="6148"/>
      <c r="S207" s="6148"/>
      <c r="T207" s="6148"/>
      <c r="U207" s="6148"/>
      <c r="V207" s="6148"/>
      <c r="W207" s="6148"/>
      <c r="X207" s="6148"/>
      <c r="Y207" s="6148"/>
      <c r="Z207" s="6148"/>
      <c r="AA207" s="6148"/>
      <c r="AB207" s="6148"/>
      <c r="AC207" s="6148"/>
      <c r="AD207" s="6148"/>
      <c r="AE207" s="6148"/>
      <c r="AF207" s="6148"/>
      <c r="AG207" s="6148"/>
      <c r="AH207" s="6148"/>
      <c r="AI207" s="6148"/>
      <c r="AJ207" s="6148"/>
      <c r="AK207" s="6148"/>
      <c r="AL207" s="6148"/>
      <c r="AM207" s="6148"/>
      <c r="AN207" s="6148"/>
      <c r="AO207" s="6148"/>
      <c r="AP207" s="6148"/>
      <c r="AQ207" s="6148"/>
      <c r="AR207" s="6148"/>
      <c r="AS207" s="6148"/>
      <c r="AT207" s="6148"/>
      <c r="AU207" s="6148"/>
      <c r="AV207" s="6148"/>
      <c r="AW207" s="6148"/>
      <c r="AX207" s="6148"/>
      <c r="AY207" s="6148"/>
      <c r="AZ207" s="6148"/>
      <c r="BA207" s="6148"/>
      <c r="BB207" s="6148"/>
      <c r="BC207" s="6148"/>
      <c r="BD207" s="2730">
        <v>1</v>
      </c>
      <c r="BE207" s="5227"/>
      <c r="BF207" s="5227"/>
    </row>
    <row r="208" spans="1:58" s="6150" customFormat="1" ht="21" customHeight="1">
      <c r="A208" s="6148">
        <v>1</v>
      </c>
      <c r="B208" s="7768"/>
      <c r="C208" s="6452"/>
      <c r="D208" s="6453" t="s">
        <v>326</v>
      </c>
      <c r="E208" s="6454">
        <f>IF(E205=0,0,IF(ISBLANK(E205),0,(E207/E205)*100))</f>
        <v>63.472952348651859</v>
      </c>
      <c r="F208" s="5233"/>
      <c r="G208" s="6455" t="s">
        <v>324</v>
      </c>
      <c r="H208" s="6456">
        <f>(H205/(100+H206)*100)</f>
        <v>5.8960244648318048</v>
      </c>
      <c r="I208" s="5233"/>
      <c r="J208" s="6453" t="s">
        <v>326</v>
      </c>
      <c r="K208" s="6457">
        <f>IF(K207=0,0,IF(ISBLANK(K206),0,(K206/K207)*100))</f>
        <v>100</v>
      </c>
      <c r="L208" s="6363" t="str">
        <f>HYPERLINK("#"&amp;ADDRESS(ROW(E208),COLUMN(E208),4),"◀"&amp;ADDRESS(ROW(E208),COLUMN(E208),4))</f>
        <v>◀E208</v>
      </c>
      <c r="M208" s="2797" t="str">
        <f ca="1">_xlfn.FORMULATEXT(E208)</f>
        <v>=SI(E205=0;0;SI(ESTVIDE(E205);0;(E207/E205)*100))</v>
      </c>
      <c r="N208" s="6148"/>
      <c r="O208" s="6148"/>
      <c r="P208" s="6148"/>
      <c r="Q208" s="6148"/>
      <c r="R208" s="6148"/>
      <c r="S208" s="6148"/>
      <c r="T208" s="6148"/>
      <c r="U208" s="6148"/>
      <c r="V208" s="6148"/>
      <c r="W208" s="6148"/>
      <c r="X208" s="6148"/>
      <c r="Y208" s="6148"/>
      <c r="Z208" s="6148"/>
      <c r="AA208" s="6148"/>
      <c r="AB208" s="6148"/>
      <c r="AC208" s="6148"/>
      <c r="AD208" s="6148"/>
      <c r="AE208" s="6148"/>
      <c r="AF208" s="6148"/>
      <c r="AG208" s="6148"/>
      <c r="AH208" s="6148"/>
      <c r="AI208" s="6148"/>
      <c r="AJ208" s="6148"/>
      <c r="AK208" s="6148"/>
      <c r="AL208" s="6148"/>
      <c r="AM208" s="6148"/>
      <c r="AN208" s="6148"/>
      <c r="AO208" s="6148"/>
      <c r="AP208" s="6148"/>
      <c r="AQ208" s="6148"/>
      <c r="AR208" s="6148"/>
      <c r="AS208" s="6148"/>
      <c r="AT208" s="6148"/>
      <c r="AU208" s="6148"/>
      <c r="AV208" s="6148"/>
      <c r="AW208" s="6148"/>
      <c r="AX208" s="6148"/>
      <c r="AY208" s="6148"/>
      <c r="AZ208" s="6148"/>
      <c r="BA208" s="6148"/>
      <c r="BB208" s="6148"/>
      <c r="BC208" s="6148"/>
      <c r="BD208" s="2730">
        <v>1</v>
      </c>
    </row>
    <row r="209" spans="1:56" s="6150" customFormat="1" ht="21" customHeight="1">
      <c r="A209" s="6148">
        <v>1</v>
      </c>
      <c r="B209" s="7768"/>
      <c r="C209" s="7805" t="s">
        <v>15451</v>
      </c>
      <c r="D209" s="7805"/>
      <c r="E209" s="7805"/>
      <c r="F209" s="7805"/>
      <c r="G209" s="7805"/>
      <c r="H209" s="7805"/>
      <c r="I209" s="7805"/>
      <c r="J209" s="7805"/>
      <c r="K209" s="7806"/>
      <c r="L209" s="6148">
        <v>1</v>
      </c>
      <c r="M209" s="6148">
        <v>1</v>
      </c>
      <c r="N209" s="6148"/>
      <c r="O209" s="6148"/>
      <c r="P209" s="6148"/>
      <c r="Q209" s="6148"/>
      <c r="R209" s="6148"/>
      <c r="S209" s="6148"/>
      <c r="T209" s="6148"/>
      <c r="U209" s="6148"/>
      <c r="V209" s="6148"/>
      <c r="W209" s="6148"/>
      <c r="X209" s="6148"/>
      <c r="Y209" s="6148"/>
      <c r="Z209" s="6148"/>
      <c r="AA209" s="6148"/>
      <c r="AB209" s="6148"/>
      <c r="AC209" s="6148"/>
      <c r="AD209" s="6148"/>
      <c r="AE209" s="6148"/>
      <c r="AF209" s="6148"/>
      <c r="AG209" s="6148"/>
      <c r="AH209" s="6148"/>
      <c r="AI209" s="6148"/>
      <c r="AJ209" s="6148"/>
      <c r="AK209" s="6148"/>
      <c r="AL209" s="6148"/>
      <c r="AM209" s="6148"/>
      <c r="AN209" s="6148"/>
      <c r="AO209" s="6148"/>
      <c r="AP209" s="6148"/>
      <c r="AQ209" s="6148"/>
      <c r="AR209" s="6148"/>
      <c r="AS209" s="6148"/>
      <c r="AT209" s="6148"/>
      <c r="AU209" s="6148"/>
      <c r="AV209" s="6148"/>
      <c r="AW209" s="6148"/>
      <c r="AX209" s="6148"/>
      <c r="AY209" s="6148"/>
      <c r="AZ209" s="6148"/>
      <c r="BA209" s="6148"/>
      <c r="BB209" s="6148"/>
      <c r="BC209" s="6148"/>
      <c r="BD209" s="2730">
        <v>1</v>
      </c>
    </row>
    <row r="210" spans="1:56" s="6150" customFormat="1" ht="21" customHeight="1">
      <c r="A210" s="6148"/>
      <c r="B210" s="7768"/>
      <c r="C210" s="6200">
        <v>12</v>
      </c>
      <c r="D210" s="6200">
        <v>11</v>
      </c>
      <c r="E210" s="6200">
        <v>11</v>
      </c>
      <c r="F210" s="6200">
        <v>11</v>
      </c>
      <c r="G210" s="6200">
        <v>11</v>
      </c>
      <c r="H210" s="6200">
        <v>11</v>
      </c>
      <c r="I210" s="6200">
        <v>11</v>
      </c>
      <c r="J210" s="6200">
        <v>11</v>
      </c>
      <c r="K210" s="6201">
        <v>11</v>
      </c>
      <c r="L210" s="6202" t="s">
        <v>15341</v>
      </c>
      <c r="M210" s="6148"/>
      <c r="N210" s="6148"/>
      <c r="O210" s="6148"/>
      <c r="P210" s="6148"/>
      <c r="Q210" s="6148"/>
      <c r="R210" s="6148"/>
      <c r="S210" s="6148"/>
      <c r="T210" s="6148"/>
      <c r="U210" s="6148"/>
      <c r="V210" s="6148"/>
      <c r="W210" s="6148"/>
      <c r="X210" s="6148"/>
      <c r="Y210" s="6148"/>
      <c r="Z210" s="6148"/>
      <c r="AA210" s="6148"/>
      <c r="AB210" s="6148"/>
      <c r="AC210" s="6148"/>
      <c r="AD210" s="6148"/>
      <c r="AE210" s="6148"/>
      <c r="AF210" s="6148"/>
      <c r="AG210" s="6148"/>
      <c r="AH210" s="6148"/>
      <c r="AI210" s="6148"/>
      <c r="AJ210" s="6148"/>
      <c r="AK210" s="6148"/>
      <c r="AL210" s="6148"/>
      <c r="AM210" s="6148"/>
      <c r="AN210" s="6148"/>
      <c r="AO210" s="6148"/>
      <c r="AP210" s="6148"/>
      <c r="AQ210" s="6148"/>
      <c r="AR210" s="6148"/>
      <c r="AS210" s="6148"/>
      <c r="AT210" s="6148"/>
      <c r="AU210" s="6148"/>
      <c r="AV210" s="6148"/>
      <c r="AW210" s="6148"/>
      <c r="AX210" s="6148"/>
      <c r="AY210" s="6148"/>
      <c r="AZ210" s="6148"/>
      <c r="BA210" s="6148"/>
      <c r="BB210" s="6148"/>
      <c r="BC210" s="6148"/>
      <c r="BD210" s="2730">
        <v>1</v>
      </c>
    </row>
    <row r="211" spans="1:56" s="6150" customFormat="1" ht="21" customHeight="1" thickBot="1">
      <c r="A211" s="6148"/>
      <c r="B211" s="7769"/>
      <c r="C211" s="6207">
        <f ca="1">CELL("largeur",C211)</f>
        <v>13</v>
      </c>
      <c r="D211" s="6207">
        <f t="shared" ref="D211:K211" ca="1" si="11">CELL("largeur",D211)</f>
        <v>21</v>
      </c>
      <c r="E211" s="6207">
        <f t="shared" ca="1" si="11"/>
        <v>13</v>
      </c>
      <c r="F211" s="6207">
        <f ca="1">CELL("largeur",F211)</f>
        <v>13</v>
      </c>
      <c r="G211" s="6207">
        <f t="shared" ca="1" si="11"/>
        <v>13</v>
      </c>
      <c r="H211" s="6207">
        <f t="shared" ca="1" si="11"/>
        <v>13</v>
      </c>
      <c r="I211" s="6207">
        <f t="shared" ca="1" si="11"/>
        <v>16</v>
      </c>
      <c r="J211" s="6207">
        <f t="shared" ca="1" si="11"/>
        <v>18</v>
      </c>
      <c r="K211" s="6208">
        <f t="shared" ca="1" si="11"/>
        <v>16</v>
      </c>
      <c r="L211" s="6202" t="s">
        <v>15344</v>
      </c>
      <c r="M211" s="6148"/>
      <c r="N211" s="6148"/>
      <c r="O211" s="6148"/>
      <c r="P211" s="6148"/>
      <c r="Q211" s="6148"/>
      <c r="R211" s="6148"/>
      <c r="S211" s="6148"/>
      <c r="T211" s="6148"/>
      <c r="U211" s="6148"/>
      <c r="V211" s="6148"/>
      <c r="W211" s="6148"/>
      <c r="X211" s="6148"/>
      <c r="Y211" s="6148"/>
      <c r="Z211" s="6148"/>
      <c r="AA211" s="6148"/>
      <c r="AB211" s="6148"/>
      <c r="AC211" s="6148"/>
      <c r="AD211" s="6148"/>
      <c r="AE211" s="6148"/>
      <c r="AF211" s="6148"/>
      <c r="AG211" s="6148"/>
      <c r="AH211" s="6148"/>
      <c r="AI211" s="6148"/>
      <c r="AJ211" s="6148"/>
      <c r="AK211" s="6148"/>
      <c r="AL211" s="6148"/>
      <c r="AM211" s="6148"/>
      <c r="AN211" s="6148"/>
      <c r="AO211" s="6148"/>
      <c r="AP211" s="6148"/>
      <c r="AQ211" s="6148"/>
      <c r="AR211" s="6148"/>
      <c r="AS211" s="6148"/>
      <c r="AT211" s="6148"/>
      <c r="AU211" s="6148"/>
      <c r="AV211" s="6148"/>
      <c r="AW211" s="6148"/>
      <c r="AX211" s="6148"/>
      <c r="AY211" s="6148"/>
      <c r="AZ211" s="6148"/>
      <c r="BA211" s="6148"/>
      <c r="BB211" s="6148"/>
      <c r="BC211" s="6148"/>
      <c r="BD211" s="2730">
        <v>1</v>
      </c>
    </row>
    <row r="212" spans="1:56" s="6150" customFormat="1" ht="21" customHeight="1" thickBot="1">
      <c r="A212" s="6202"/>
      <c r="B212" s="6202"/>
      <c r="C212" s="6202"/>
      <c r="D212" s="6202"/>
      <c r="E212" s="6202"/>
      <c r="F212" s="6202"/>
      <c r="G212" s="6202"/>
      <c r="H212" s="6202"/>
      <c r="I212" s="6202"/>
      <c r="J212" s="6202"/>
      <c r="K212" s="6202"/>
      <c r="L212" s="6148"/>
      <c r="M212" s="6148">
        <v>1</v>
      </c>
      <c r="N212" s="6148"/>
      <c r="O212" s="6148"/>
      <c r="P212" s="6148"/>
      <c r="Q212" s="6148"/>
      <c r="R212" s="6148"/>
      <c r="S212" s="6148"/>
      <c r="T212" s="6148"/>
      <c r="U212" s="6148"/>
      <c r="V212" s="6148"/>
      <c r="W212" s="6148"/>
      <c r="X212" s="6148"/>
      <c r="Y212" s="6148"/>
      <c r="Z212" s="6148"/>
      <c r="AA212" s="6148"/>
      <c r="AB212" s="6148"/>
      <c r="AC212" s="6148"/>
      <c r="AD212" s="6148"/>
      <c r="AE212" s="6148"/>
      <c r="AF212" s="6148"/>
      <c r="AG212" s="6148"/>
      <c r="AH212" s="6148"/>
      <c r="AI212" s="6148"/>
      <c r="AJ212" s="6148"/>
      <c r="AK212" s="6148"/>
      <c r="AL212" s="6148"/>
      <c r="AM212" s="6148"/>
      <c r="AN212" s="6148"/>
      <c r="AO212" s="6148"/>
      <c r="AP212" s="6148"/>
      <c r="AQ212" s="6148"/>
      <c r="AR212" s="6148"/>
      <c r="AS212" s="6148"/>
      <c r="AT212" s="6148"/>
      <c r="AU212" s="6148"/>
      <c r="AV212" s="6148"/>
      <c r="AW212" s="6148"/>
      <c r="AX212" s="6148"/>
      <c r="AY212" s="6148"/>
      <c r="AZ212" s="6148"/>
      <c r="BA212" s="6148"/>
      <c r="BB212" s="6148"/>
      <c r="BC212" s="6148"/>
      <c r="BD212" s="2730">
        <v>1</v>
      </c>
    </row>
    <row r="213" spans="1:56" s="6150" customFormat="1" ht="21" customHeight="1">
      <c r="A213" s="6148"/>
      <c r="B213" s="6161" t="s">
        <v>67</v>
      </c>
      <c r="C213" s="6458" t="s">
        <v>370</v>
      </c>
      <c r="D213" s="6459"/>
      <c r="E213" s="6459"/>
      <c r="F213" s="6459"/>
      <c r="G213" s="6459"/>
      <c r="H213" s="6459"/>
      <c r="I213" s="6459"/>
      <c r="J213" s="6459"/>
      <c r="K213" s="6460" t="s">
        <v>55</v>
      </c>
      <c r="L213" s="6148"/>
      <c r="M213" s="6161" t="s">
        <v>67</v>
      </c>
      <c r="N213" s="7766" t="s">
        <v>1297</v>
      </c>
      <c r="O213" s="7766"/>
      <c r="P213" s="7766"/>
      <c r="Q213" s="7766"/>
      <c r="R213" s="7766"/>
      <c r="S213" s="7766"/>
      <c r="T213" s="7767"/>
      <c r="U213" s="6148"/>
      <c r="V213" s="6148"/>
      <c r="W213" s="6148"/>
      <c r="X213" s="6148"/>
      <c r="Y213" s="6148"/>
      <c r="Z213" s="6148"/>
      <c r="AA213" s="6148"/>
      <c r="AB213" s="6148"/>
      <c r="AC213" s="6148"/>
      <c r="AD213" s="6148"/>
      <c r="AE213" s="6148"/>
      <c r="AF213" s="6148"/>
      <c r="AG213" s="6148"/>
      <c r="AH213" s="6148"/>
      <c r="AI213" s="6148"/>
      <c r="AJ213" s="6148"/>
      <c r="AK213" s="6148"/>
      <c r="AL213" s="6148"/>
      <c r="AM213" s="6148"/>
      <c r="AN213" s="6148"/>
      <c r="AO213" s="6148"/>
      <c r="AP213" s="6148"/>
      <c r="AQ213" s="6148"/>
      <c r="AR213" s="6148"/>
      <c r="AS213" s="6148"/>
      <c r="AT213" s="6148"/>
      <c r="AU213" s="6148"/>
      <c r="AV213" s="6148"/>
      <c r="AW213" s="6148"/>
      <c r="AX213" s="6148"/>
      <c r="AY213" s="6148"/>
      <c r="AZ213" s="6148"/>
      <c r="BA213" s="6148"/>
      <c r="BB213" s="6148"/>
      <c r="BC213" s="6148"/>
      <c r="BD213" s="2730">
        <v>1</v>
      </c>
    </row>
    <row r="214" spans="1:56" s="6150" customFormat="1" ht="21" customHeight="1">
      <c r="A214" s="6148"/>
      <c r="B214" s="7768">
        <v>3</v>
      </c>
      <c r="C214" s="6461" t="str">
        <f>ADDRESS(ROW(),COLUMN(),4)</f>
        <v>C214</v>
      </c>
      <c r="D214" s="6462"/>
      <c r="E214" s="6462"/>
      <c r="F214" s="6463"/>
      <c r="G214" s="6462"/>
      <c r="H214" s="6462"/>
      <c r="I214" s="6464"/>
      <c r="J214" s="6464"/>
      <c r="K214" s="6465"/>
      <c r="L214" s="6148"/>
      <c r="M214" s="7768">
        <v>3</v>
      </c>
      <c r="N214" s="6466" t="str">
        <f>ADDRESS(ROW(),COLUMN(),4)</f>
        <v>N214</v>
      </c>
      <c r="O214" s="5929" t="s">
        <v>14788</v>
      </c>
      <c r="P214" s="6421"/>
      <c r="Q214" s="6421"/>
      <c r="R214" s="6421"/>
      <c r="S214" s="6421"/>
      <c r="T214" s="6422"/>
      <c r="U214" s="6148"/>
      <c r="V214" s="6148"/>
      <c r="W214" s="6148"/>
      <c r="X214" s="6148"/>
      <c r="Y214" s="6148"/>
      <c r="Z214" s="6148"/>
      <c r="AA214" s="6148"/>
      <c r="AB214" s="6148"/>
      <c r="AC214" s="6148"/>
      <c r="AD214" s="6148"/>
      <c r="AE214" s="6148"/>
      <c r="AF214" s="6148"/>
      <c r="AG214" s="6148"/>
      <c r="AH214" s="6148"/>
      <c r="AI214" s="6148"/>
      <c r="AJ214" s="6148"/>
      <c r="AK214" s="6148"/>
      <c r="AL214" s="6148"/>
      <c r="AM214" s="6148"/>
      <c r="AN214" s="6148"/>
      <c r="AO214" s="6148"/>
      <c r="AP214" s="6148"/>
      <c r="AQ214" s="6148"/>
      <c r="AR214" s="6148"/>
      <c r="AS214" s="6148"/>
      <c r="AT214" s="6148"/>
      <c r="AU214" s="6148"/>
      <c r="AV214" s="6148"/>
      <c r="AW214" s="6148"/>
      <c r="AX214" s="6148"/>
      <c r="AY214" s="6148"/>
      <c r="AZ214" s="6148"/>
      <c r="BA214" s="6148"/>
      <c r="BB214" s="6148"/>
      <c r="BC214" s="6148"/>
      <c r="BD214" s="2730">
        <v>1</v>
      </c>
    </row>
    <row r="215" spans="1:56" s="6150" customFormat="1" ht="21" customHeight="1">
      <c r="A215" s="6148"/>
      <c r="B215" s="7768"/>
      <c r="C215" s="6463"/>
      <c r="D215" s="6467" t="s">
        <v>52</v>
      </c>
      <c r="E215" s="6468">
        <v>1</v>
      </c>
      <c r="F215" s="6469"/>
      <c r="G215" s="6470" t="s">
        <v>52</v>
      </c>
      <c r="H215" s="6468">
        <v>1</v>
      </c>
      <c r="I215" s="6471"/>
      <c r="J215" s="6467" t="s">
        <v>52</v>
      </c>
      <c r="K215" s="6472">
        <v>1</v>
      </c>
      <c r="L215" s="6148"/>
      <c r="M215" s="7768"/>
      <c r="N215" s="7770" t="s">
        <v>14792</v>
      </c>
      <c r="O215" s="7770"/>
      <c r="P215" s="7772" t="s">
        <v>14794</v>
      </c>
      <c r="Q215" s="7772"/>
      <c r="R215" s="7772"/>
      <c r="S215" s="7772"/>
      <c r="T215" s="7773"/>
      <c r="U215" s="6148"/>
      <c r="V215" s="6148"/>
      <c r="W215" s="6148"/>
      <c r="X215" s="6148"/>
      <c r="Y215" s="6148"/>
      <c r="Z215" s="6148"/>
      <c r="AA215" s="6148"/>
      <c r="AB215" s="6148"/>
      <c r="AC215" s="6148"/>
      <c r="AD215" s="6148"/>
      <c r="AE215" s="6148"/>
      <c r="AF215" s="6148"/>
      <c r="AG215" s="6148"/>
      <c r="AH215" s="6148"/>
      <c r="AI215" s="6148"/>
      <c r="AJ215" s="6148"/>
      <c r="AK215" s="6148"/>
      <c r="AL215" s="6148"/>
      <c r="AM215" s="6148"/>
      <c r="AN215" s="6148"/>
      <c r="AO215" s="6148"/>
      <c r="AP215" s="6148"/>
      <c r="AQ215" s="6148"/>
      <c r="AR215" s="6148"/>
      <c r="AS215" s="6148"/>
      <c r="AT215" s="6148"/>
      <c r="AU215" s="6148"/>
      <c r="AV215" s="6148"/>
      <c r="AW215" s="6148"/>
      <c r="AX215" s="6148"/>
      <c r="AY215" s="6148"/>
      <c r="AZ215" s="6148"/>
      <c r="BA215" s="6148"/>
      <c r="BB215" s="6148"/>
      <c r="BC215" s="6148"/>
      <c r="BD215" s="2730">
        <v>1</v>
      </c>
    </row>
    <row r="216" spans="1:56" s="6150" customFormat="1" ht="21" customHeight="1">
      <c r="A216" s="6148"/>
      <c r="B216" s="7768"/>
      <c r="C216" s="2893"/>
      <c r="D216" s="6473" t="s">
        <v>53</v>
      </c>
      <c r="E216" s="6474">
        <v>2</v>
      </c>
      <c r="F216" s="6475"/>
      <c r="G216" s="6476" t="s">
        <v>51</v>
      </c>
      <c r="H216" s="6474">
        <v>2</v>
      </c>
      <c r="I216" s="6477"/>
      <c r="J216" s="6473" t="s">
        <v>50</v>
      </c>
      <c r="K216" s="6478">
        <v>50</v>
      </c>
      <c r="L216" s="6148"/>
      <c r="M216" s="7768"/>
      <c r="N216" s="7771"/>
      <c r="O216" s="7771"/>
      <c r="P216" s="7774"/>
      <c r="Q216" s="7774"/>
      <c r="R216" s="7774"/>
      <c r="S216" s="7774"/>
      <c r="T216" s="7775"/>
      <c r="U216" s="6148"/>
      <c r="V216" s="6148"/>
      <c r="W216" s="6148"/>
      <c r="X216" s="6148"/>
      <c r="Y216" s="6148"/>
      <c r="Z216" s="6148"/>
      <c r="AA216" s="6148"/>
      <c r="AB216" s="6148"/>
      <c r="AC216" s="6148"/>
      <c r="AD216" s="6148"/>
      <c r="AE216" s="6148"/>
      <c r="AF216" s="6148"/>
      <c r="AG216" s="6148"/>
      <c r="AH216" s="6148"/>
      <c r="AI216" s="6148"/>
      <c r="AJ216" s="6148"/>
      <c r="AK216" s="6148"/>
      <c r="AL216" s="6148"/>
      <c r="AM216" s="6148"/>
      <c r="AN216" s="6148"/>
      <c r="AO216" s="6148"/>
      <c r="AP216" s="6148"/>
      <c r="AQ216" s="6148"/>
      <c r="AR216" s="6148"/>
      <c r="AS216" s="6148"/>
      <c r="AT216" s="6148"/>
      <c r="AU216" s="6148"/>
      <c r="AV216" s="6148"/>
      <c r="AW216" s="6148"/>
      <c r="AX216" s="6148"/>
      <c r="AY216" s="6148"/>
      <c r="AZ216" s="6148"/>
      <c r="BA216" s="6148"/>
      <c r="BB216" s="6148"/>
      <c r="BC216" s="6148"/>
      <c r="BD216" s="2730">
        <v>1</v>
      </c>
    </row>
    <row r="217" spans="1:56" s="6150" customFormat="1" ht="21" customHeight="1">
      <c r="A217" s="6148"/>
      <c r="B217" s="7768"/>
      <c r="C217" s="2893"/>
      <c r="D217" s="6479" t="s">
        <v>49</v>
      </c>
      <c r="E217" s="6480">
        <f>IF(E215=0,0,IF(E216=0,0,E216-E215))</f>
        <v>1</v>
      </c>
      <c r="F217" s="6475"/>
      <c r="G217" s="6479" t="s">
        <v>54</v>
      </c>
      <c r="H217" s="6480">
        <f>IF(H215=0,0,H215+H216)</f>
        <v>3</v>
      </c>
      <c r="I217" s="6477"/>
      <c r="J217" s="6479" t="s">
        <v>49</v>
      </c>
      <c r="K217" s="6481">
        <f>K218*K216%</f>
        <v>1</v>
      </c>
      <c r="L217" s="6148"/>
      <c r="M217" s="7768"/>
      <c r="N217" s="7776" t="s">
        <v>14796</v>
      </c>
      <c r="O217" s="7778">
        <f>SUM(N221:N230)</f>
        <v>0.97000000000000008</v>
      </c>
      <c r="P217" s="7780" t="str">
        <f>IF(N220&lt;S220,"Recette incomplète, il manque",IF(N220&gt;S220,"Trop de produits dans la recette",IF(N220=S220,"OK")))</f>
        <v>Recette incomplète, il manque</v>
      </c>
      <c r="Q217" s="7780"/>
      <c r="R217" s="7780"/>
      <c r="S217" s="7780"/>
      <c r="T217" s="7782">
        <f>IF(N220=S220,"",IF(N220&lt;S220,S220-N220,IF(N220&gt;S220,N220-S220)))</f>
        <v>2.9999999999999916E-2</v>
      </c>
      <c r="U217" s="6148"/>
      <c r="V217" s="6148"/>
      <c r="W217" s="6148"/>
      <c r="X217" s="6148"/>
      <c r="Y217" s="6148"/>
      <c r="Z217" s="6148"/>
      <c r="AA217" s="6148"/>
      <c r="AB217" s="6148"/>
      <c r="AC217" s="6148"/>
      <c r="AD217" s="6148"/>
      <c r="AE217" s="6148"/>
      <c r="AF217" s="6148"/>
      <c r="AG217" s="6148"/>
      <c r="AH217" s="6148"/>
      <c r="AI217" s="6148"/>
      <c r="AJ217" s="6148"/>
      <c r="AK217" s="6148"/>
      <c r="AL217" s="6148"/>
      <c r="AM217" s="6148"/>
      <c r="AN217" s="6148"/>
      <c r="AO217" s="6148"/>
      <c r="AP217" s="6148"/>
      <c r="AQ217" s="6148"/>
      <c r="AR217" s="6148"/>
      <c r="AS217" s="6148"/>
      <c r="AT217" s="6148"/>
      <c r="AU217" s="6148"/>
      <c r="AV217" s="6148"/>
      <c r="AW217" s="6148"/>
      <c r="AX217" s="6148"/>
      <c r="AY217" s="6148"/>
      <c r="AZ217" s="6148"/>
      <c r="BA217" s="6148"/>
      <c r="BB217" s="6148"/>
      <c r="BC217" s="6148"/>
      <c r="BD217" s="2730">
        <v>1</v>
      </c>
    </row>
    <row r="218" spans="1:56" s="6150" customFormat="1" ht="21" customHeight="1">
      <c r="A218" s="6148"/>
      <c r="B218" s="7768"/>
      <c r="C218" s="6482"/>
      <c r="D218" s="6483" t="s">
        <v>48</v>
      </c>
      <c r="E218" s="6484">
        <f>IF(E215=0,0,IF(E216=0,0,E217/E216))</f>
        <v>0.5</v>
      </c>
      <c r="F218" s="6485"/>
      <c r="G218" s="6483" t="s">
        <v>48</v>
      </c>
      <c r="H218" s="6484">
        <f>IF(H215=0,0,H216/H217)</f>
        <v>0.66666666666666663</v>
      </c>
      <c r="I218" s="6486"/>
      <c r="J218" s="6483" t="s">
        <v>54</v>
      </c>
      <c r="K218" s="6487">
        <f>K215/(100-K216)*100</f>
        <v>2</v>
      </c>
      <c r="L218" s="6148"/>
      <c r="M218" s="7768"/>
      <c r="N218" s="7777"/>
      <c r="O218" s="7779"/>
      <c r="P218" s="7781"/>
      <c r="Q218" s="7781"/>
      <c r="R218" s="7781"/>
      <c r="S218" s="7781"/>
      <c r="T218" s="7783"/>
      <c r="U218" s="6148"/>
      <c r="V218" s="6148"/>
      <c r="W218" s="6148"/>
      <c r="X218" s="6148"/>
      <c r="Y218" s="6148"/>
      <c r="Z218" s="6148"/>
      <c r="AA218" s="6148"/>
      <c r="AB218" s="6148"/>
      <c r="AC218" s="6148"/>
      <c r="AD218" s="6148"/>
      <c r="AE218" s="6148"/>
      <c r="AF218" s="6148"/>
      <c r="AG218" s="6148"/>
      <c r="AH218" s="6148"/>
      <c r="AI218" s="6148"/>
      <c r="AJ218" s="6148"/>
      <c r="AK218" s="6148"/>
      <c r="AL218" s="6148"/>
      <c r="AM218" s="6148"/>
      <c r="AN218" s="6148"/>
      <c r="AO218" s="6148"/>
      <c r="AP218" s="6148"/>
      <c r="AQ218" s="6148"/>
      <c r="AR218" s="6148"/>
      <c r="AS218" s="6148"/>
      <c r="AT218" s="6148"/>
      <c r="AU218" s="6148"/>
      <c r="AV218" s="6148"/>
      <c r="AW218" s="6148"/>
      <c r="AX218" s="6148"/>
      <c r="AY218" s="6148"/>
      <c r="AZ218" s="6148"/>
      <c r="BA218" s="6148"/>
      <c r="BB218" s="6148"/>
      <c r="BC218" s="6148"/>
      <c r="BD218" s="2730">
        <v>1</v>
      </c>
    </row>
    <row r="219" spans="1:56" s="6150" customFormat="1" ht="21" customHeight="1">
      <c r="A219" s="6148"/>
      <c r="B219" s="7768"/>
      <c r="C219" s="6463"/>
      <c r="D219" s="6488" t="s">
        <v>53</v>
      </c>
      <c r="E219" s="6489">
        <v>2</v>
      </c>
      <c r="F219" s="6469"/>
      <c r="G219" s="6488" t="s">
        <v>53</v>
      </c>
      <c r="H219" s="6489">
        <v>2</v>
      </c>
      <c r="I219" s="6471"/>
      <c r="J219" s="6488" t="s">
        <v>53</v>
      </c>
      <c r="K219" s="6490">
        <v>1</v>
      </c>
      <c r="L219" s="6148"/>
      <c r="M219" s="7768"/>
      <c r="N219" s="6491" t="s">
        <v>1298</v>
      </c>
      <c r="O219" s="6492"/>
      <c r="P219" s="6492"/>
      <c r="Q219" s="6492"/>
      <c r="R219" s="6493" t="s">
        <v>368</v>
      </c>
      <c r="S219" s="6494" t="s">
        <v>371</v>
      </c>
      <c r="T219" s="6495" t="s">
        <v>367</v>
      </c>
      <c r="U219" s="6148"/>
      <c r="V219" s="6148"/>
      <c r="W219" s="6148"/>
      <c r="X219" s="6148"/>
      <c r="Y219" s="6148"/>
      <c r="Z219" s="6148"/>
      <c r="AA219" s="6148"/>
      <c r="AB219" s="6148"/>
      <c r="AC219" s="6148"/>
      <c r="AD219" s="6148"/>
      <c r="AE219" s="6148"/>
      <c r="AF219" s="6148"/>
      <c r="AG219" s="6148"/>
      <c r="AH219" s="6148"/>
      <c r="AI219" s="6148"/>
      <c r="AJ219" s="6148"/>
      <c r="AK219" s="6148"/>
      <c r="AL219" s="6148"/>
      <c r="AM219" s="6148"/>
      <c r="AN219" s="6148"/>
      <c r="AO219" s="6148"/>
      <c r="AP219" s="6148"/>
      <c r="AQ219" s="6148"/>
      <c r="AR219" s="6148"/>
      <c r="AS219" s="6148"/>
      <c r="AT219" s="6148"/>
      <c r="AU219" s="6148"/>
      <c r="AV219" s="6148"/>
      <c r="AW219" s="6148"/>
      <c r="AX219" s="6148"/>
      <c r="AY219" s="6148"/>
      <c r="AZ219" s="6148"/>
      <c r="BA219" s="6148"/>
      <c r="BB219" s="6148"/>
      <c r="BC219" s="6148"/>
      <c r="BD219" s="2730">
        <v>1</v>
      </c>
    </row>
    <row r="220" spans="1:56" s="6150" customFormat="1" ht="21" customHeight="1">
      <c r="A220" s="6148"/>
      <c r="B220" s="7768"/>
      <c r="C220" s="2893"/>
      <c r="D220" s="6496" t="s">
        <v>52</v>
      </c>
      <c r="E220" s="6497">
        <v>1</v>
      </c>
      <c r="F220" s="6475"/>
      <c r="G220" s="6496" t="s">
        <v>51</v>
      </c>
      <c r="H220" s="6497">
        <v>1</v>
      </c>
      <c r="I220" s="6477"/>
      <c r="J220" s="6496" t="s">
        <v>50</v>
      </c>
      <c r="K220" s="6498">
        <v>50</v>
      </c>
      <c r="L220" s="6148"/>
      <c r="M220" s="7768"/>
      <c r="N220" s="6499">
        <f>SUM(N221:N230)</f>
        <v>0.97000000000000008</v>
      </c>
      <c r="O220" s="5382"/>
      <c r="P220" s="6500"/>
      <c r="Q220" s="5384" t="s">
        <v>14795</v>
      </c>
      <c r="R220" s="5385">
        <v>7</v>
      </c>
      <c r="S220" s="6501">
        <v>1</v>
      </c>
      <c r="T220" s="6502">
        <f>SUM(T221:T230)</f>
        <v>6.9300000000000006</v>
      </c>
      <c r="U220" s="6148"/>
      <c r="V220" s="6148"/>
      <c r="W220" s="6148"/>
      <c r="X220" s="6148"/>
      <c r="Y220" s="6148"/>
      <c r="Z220" s="6148"/>
      <c r="AA220" s="6148"/>
      <c r="AB220" s="6148"/>
      <c r="AC220" s="6148"/>
      <c r="AD220" s="6148"/>
      <c r="AE220" s="6148"/>
      <c r="AF220" s="6148"/>
      <c r="AG220" s="6148"/>
      <c r="AH220" s="6148"/>
      <c r="AI220" s="6148"/>
      <c r="AJ220" s="6148"/>
      <c r="AK220" s="6148"/>
      <c r="AL220" s="6148"/>
      <c r="AM220" s="6148"/>
      <c r="AN220" s="6148"/>
      <c r="AO220" s="6148"/>
      <c r="AP220" s="6148"/>
      <c r="AQ220" s="6148"/>
      <c r="AR220" s="6148"/>
      <c r="AS220" s="6148"/>
      <c r="AT220" s="6148"/>
      <c r="AU220" s="6148"/>
      <c r="AV220" s="6148"/>
      <c r="AW220" s="6148"/>
      <c r="AX220" s="6148"/>
      <c r="AY220" s="6148"/>
      <c r="AZ220" s="6148"/>
      <c r="BA220" s="6148"/>
      <c r="BB220" s="6148"/>
      <c r="BC220" s="6148"/>
      <c r="BD220" s="2730">
        <v>1</v>
      </c>
    </row>
    <row r="221" spans="1:56" s="6150" customFormat="1" ht="21" customHeight="1">
      <c r="A221" s="6148"/>
      <c r="B221" s="7768"/>
      <c r="C221" s="2893"/>
      <c r="D221" s="6479" t="s">
        <v>49</v>
      </c>
      <c r="E221" s="6480">
        <f>IF(E219=0,0,IF(E220=0,0,E219-E220))</f>
        <v>1</v>
      </c>
      <c r="F221" s="6475"/>
      <c r="G221" s="6479" t="s">
        <v>47</v>
      </c>
      <c r="H221" s="6480">
        <f>IF(H219=0,0,IF(H220=0,0,H219-H220))</f>
        <v>1</v>
      </c>
      <c r="I221" s="6477"/>
      <c r="J221" s="6479" t="s">
        <v>49</v>
      </c>
      <c r="K221" s="6481">
        <f>K219*K220%</f>
        <v>0.5</v>
      </c>
      <c r="L221" s="6148"/>
      <c r="M221" s="7768"/>
      <c r="N221" s="6503">
        <v>0.12</v>
      </c>
      <c r="O221" s="5389" t="s">
        <v>1264</v>
      </c>
      <c r="P221" s="5389"/>
      <c r="Q221" s="5389"/>
      <c r="R221" s="6504">
        <f>R220*N221</f>
        <v>0.84</v>
      </c>
      <c r="S221" s="6505">
        <v>0</v>
      </c>
      <c r="T221" s="6506">
        <f t="shared" ref="T221:T230" si="12">IF(S221=0,R221,IF(R221="","",R221/(100-S221)*100))</f>
        <v>0.84</v>
      </c>
      <c r="U221" s="6148"/>
      <c r="V221" s="6148"/>
      <c r="W221" s="6148"/>
      <c r="X221" s="6148"/>
      <c r="Y221" s="6148"/>
      <c r="Z221" s="6148"/>
      <c r="AA221" s="6148"/>
      <c r="AB221" s="6148"/>
      <c r="AC221" s="6148"/>
      <c r="AD221" s="6148"/>
      <c r="AE221" s="6148"/>
      <c r="AF221" s="6148"/>
      <c r="AG221" s="6148"/>
      <c r="AH221" s="6148"/>
      <c r="AI221" s="6148"/>
      <c r="AJ221" s="6148"/>
      <c r="AK221" s="6148"/>
      <c r="AL221" s="6148"/>
      <c r="AM221" s="6148"/>
      <c r="AN221" s="6148"/>
      <c r="AO221" s="6148"/>
      <c r="AP221" s="6148"/>
      <c r="AQ221" s="6148"/>
      <c r="AR221" s="6148"/>
      <c r="AS221" s="6148"/>
      <c r="AT221" s="6148"/>
      <c r="AU221" s="6148"/>
      <c r="AV221" s="6148"/>
      <c r="AW221" s="6148"/>
      <c r="AX221" s="6148"/>
      <c r="AY221" s="6148"/>
      <c r="AZ221" s="6148"/>
      <c r="BA221" s="6148"/>
      <c r="BB221" s="6148"/>
      <c r="BC221" s="6148"/>
      <c r="BD221" s="2730">
        <v>1</v>
      </c>
    </row>
    <row r="222" spans="1:56" s="6150" customFormat="1" ht="21" customHeight="1">
      <c r="A222" s="6148"/>
      <c r="B222" s="7768"/>
      <c r="C222" s="6482"/>
      <c r="D222" s="6483" t="s">
        <v>48</v>
      </c>
      <c r="E222" s="6484">
        <f>IF(E219=0,0,E221/E219)</f>
        <v>0.5</v>
      </c>
      <c r="F222" s="6485"/>
      <c r="G222" s="6483" t="s">
        <v>48</v>
      </c>
      <c r="H222" s="6484">
        <f>IF(H219=0,0,IF(H220=0,0,H220/H219))</f>
        <v>0.5</v>
      </c>
      <c r="I222" s="6486"/>
      <c r="J222" s="6483" t="s">
        <v>47</v>
      </c>
      <c r="K222" s="6507">
        <f>K219-K221</f>
        <v>0.5</v>
      </c>
      <c r="L222" s="6148"/>
      <c r="M222" s="7768"/>
      <c r="N222" s="6503">
        <v>0.08</v>
      </c>
      <c r="O222" s="5389" t="s">
        <v>1300</v>
      </c>
      <c r="P222" s="5389"/>
      <c r="Q222" s="5389"/>
      <c r="R222" s="6508">
        <f>R220*N222</f>
        <v>0.56000000000000005</v>
      </c>
      <c r="S222" s="6509">
        <v>0</v>
      </c>
      <c r="T222" s="6506">
        <f t="shared" si="12"/>
        <v>0.56000000000000005</v>
      </c>
      <c r="U222" s="6148"/>
      <c r="V222" s="6148"/>
      <c r="W222" s="6148"/>
      <c r="X222" s="6148"/>
      <c r="Y222" s="6148"/>
      <c r="Z222" s="6148"/>
      <c r="AA222" s="6148"/>
      <c r="AB222" s="6148"/>
      <c r="AC222" s="6148"/>
      <c r="AD222" s="6148"/>
      <c r="AE222" s="6148"/>
      <c r="AF222" s="6148"/>
      <c r="AG222" s="6148"/>
      <c r="AH222" s="6148"/>
      <c r="AI222" s="6148"/>
      <c r="AJ222" s="6148"/>
      <c r="AK222" s="6148"/>
      <c r="AL222" s="6148"/>
      <c r="AM222" s="6148"/>
      <c r="AN222" s="6148"/>
      <c r="AO222" s="6148"/>
      <c r="AP222" s="6148"/>
      <c r="AQ222" s="6148"/>
      <c r="AR222" s="6148"/>
      <c r="AS222" s="6148"/>
      <c r="AT222" s="6148"/>
      <c r="AU222" s="6148"/>
      <c r="AV222" s="6148"/>
      <c r="AW222" s="6148"/>
      <c r="AX222" s="6148"/>
      <c r="AY222" s="6148"/>
      <c r="AZ222" s="6148"/>
      <c r="BA222" s="6148"/>
      <c r="BB222" s="6148"/>
      <c r="BC222" s="6148"/>
      <c r="BD222" s="2730">
        <v>1</v>
      </c>
    </row>
    <row r="223" spans="1:56" s="6150" customFormat="1" ht="21" customHeight="1">
      <c r="A223" s="6148"/>
      <c r="B223" s="7768"/>
      <c r="C223" s="7784" t="s">
        <v>15451</v>
      </c>
      <c r="D223" s="7784"/>
      <c r="E223" s="7784"/>
      <c r="F223" s="7784"/>
      <c r="G223" s="7784"/>
      <c r="H223" s="7784"/>
      <c r="I223" s="7784"/>
      <c r="J223" s="7784"/>
      <c r="K223" s="7785"/>
      <c r="L223" s="6148"/>
      <c r="M223" s="7768"/>
      <c r="N223" s="6503">
        <v>0.2</v>
      </c>
      <c r="O223" s="5389" t="s">
        <v>1301</v>
      </c>
      <c r="P223" s="5389"/>
      <c r="Q223" s="5389"/>
      <c r="R223" s="6508">
        <f>R220*N223</f>
        <v>1.4000000000000001</v>
      </c>
      <c r="S223" s="6509">
        <v>0</v>
      </c>
      <c r="T223" s="6506">
        <f t="shared" si="12"/>
        <v>1.4000000000000001</v>
      </c>
      <c r="U223" s="6148"/>
      <c r="V223" s="6148"/>
      <c r="W223" s="6148"/>
      <c r="X223" s="6148"/>
      <c r="Y223" s="6148"/>
      <c r="Z223" s="6148"/>
      <c r="AA223" s="6148"/>
      <c r="AB223" s="6148"/>
      <c r="AC223" s="6148"/>
      <c r="AD223" s="6148"/>
      <c r="AE223" s="6148"/>
      <c r="AF223" s="6148"/>
      <c r="AG223" s="6148"/>
      <c r="AH223" s="6148"/>
      <c r="AI223" s="6148"/>
      <c r="AJ223" s="6148"/>
      <c r="AK223" s="6148"/>
      <c r="AL223" s="6148"/>
      <c r="AM223" s="6148"/>
      <c r="AN223" s="6148"/>
      <c r="AO223" s="6148"/>
      <c r="AP223" s="6148"/>
      <c r="AQ223" s="6148"/>
      <c r="AR223" s="6148"/>
      <c r="AS223" s="6148"/>
      <c r="AT223" s="6148"/>
      <c r="AU223" s="6148"/>
      <c r="AV223" s="6148"/>
      <c r="AW223" s="6148"/>
      <c r="AX223" s="6148"/>
      <c r="AY223" s="6148"/>
      <c r="AZ223" s="6148"/>
      <c r="BA223" s="6148"/>
      <c r="BB223" s="6148"/>
      <c r="BC223" s="6148"/>
      <c r="BD223" s="2730">
        <v>1</v>
      </c>
    </row>
    <row r="224" spans="1:56" s="6150" customFormat="1" ht="21" customHeight="1">
      <c r="A224" s="6148"/>
      <c r="B224" s="7768"/>
      <c r="C224" s="6200">
        <v>8</v>
      </c>
      <c r="D224" s="6200">
        <v>8</v>
      </c>
      <c r="E224" s="6200">
        <v>11</v>
      </c>
      <c r="F224" s="6200">
        <v>8</v>
      </c>
      <c r="G224" s="6200">
        <v>8</v>
      </c>
      <c r="H224" s="6200">
        <v>11</v>
      </c>
      <c r="I224" s="6200">
        <v>8</v>
      </c>
      <c r="J224" s="6200">
        <v>8</v>
      </c>
      <c r="K224" s="6201">
        <v>11</v>
      </c>
      <c r="L224" s="6148"/>
      <c r="M224" s="7768"/>
      <c r="N224" s="6503">
        <v>0.55000000000000004</v>
      </c>
      <c r="O224" s="5389" t="s">
        <v>1278</v>
      </c>
      <c r="P224" s="5389"/>
      <c r="Q224" s="5389"/>
      <c r="R224" s="6508">
        <f>R220*N224</f>
        <v>3.8500000000000005</v>
      </c>
      <c r="S224" s="6509">
        <v>0</v>
      </c>
      <c r="T224" s="6506">
        <f t="shared" si="12"/>
        <v>3.8500000000000005</v>
      </c>
      <c r="U224" s="6148"/>
      <c r="V224" s="6148"/>
      <c r="W224" s="6148"/>
      <c r="X224" s="6148"/>
      <c r="Y224" s="6148"/>
      <c r="Z224" s="6148"/>
      <c r="AA224" s="6148"/>
      <c r="AB224" s="6148"/>
      <c r="AC224" s="6148"/>
      <c r="AD224" s="6148"/>
      <c r="AE224" s="6148"/>
      <c r="AF224" s="6148"/>
      <c r="AG224" s="6148"/>
      <c r="AH224" s="6148"/>
      <c r="AI224" s="6148"/>
      <c r="AJ224" s="6148"/>
      <c r="AK224" s="6148"/>
      <c r="AL224" s="6148"/>
      <c r="AM224" s="6148"/>
      <c r="AN224" s="6148"/>
      <c r="AO224" s="6148"/>
      <c r="AP224" s="6148"/>
      <c r="AQ224" s="6148"/>
      <c r="AR224" s="6148"/>
      <c r="AS224" s="6148"/>
      <c r="AT224" s="6148"/>
      <c r="AU224" s="6148"/>
      <c r="AV224" s="6148"/>
      <c r="AW224" s="6148"/>
      <c r="AX224" s="6148"/>
      <c r="AY224" s="6148"/>
      <c r="AZ224" s="6148"/>
      <c r="BA224" s="6148"/>
      <c r="BB224" s="6148"/>
      <c r="BC224" s="6148"/>
      <c r="BD224" s="2730">
        <v>1</v>
      </c>
    </row>
    <row r="225" spans="1:58" s="6150" customFormat="1" ht="21" customHeight="1" thickBot="1">
      <c r="A225" s="6148"/>
      <c r="B225" s="7769"/>
      <c r="C225" s="6207">
        <f t="shared" ref="C225:K225" ca="1" si="13">CELL("largeur",C225)</f>
        <v>13</v>
      </c>
      <c r="D225" s="6207">
        <f t="shared" ca="1" si="13"/>
        <v>21</v>
      </c>
      <c r="E225" s="6207">
        <f t="shared" ca="1" si="13"/>
        <v>13</v>
      </c>
      <c r="F225" s="6207">
        <f t="shared" ca="1" si="13"/>
        <v>13</v>
      </c>
      <c r="G225" s="6207">
        <f t="shared" ca="1" si="13"/>
        <v>13</v>
      </c>
      <c r="H225" s="6207">
        <f t="shared" ca="1" si="13"/>
        <v>13</v>
      </c>
      <c r="I225" s="6207">
        <f t="shared" ca="1" si="13"/>
        <v>16</v>
      </c>
      <c r="J225" s="6207">
        <f t="shared" ca="1" si="13"/>
        <v>18</v>
      </c>
      <c r="K225" s="6208">
        <f t="shared" ca="1" si="13"/>
        <v>16</v>
      </c>
      <c r="L225" s="6148"/>
      <c r="M225" s="7768"/>
      <c r="N225" s="6503">
        <v>0.02</v>
      </c>
      <c r="O225" s="5389" t="s">
        <v>1302</v>
      </c>
      <c r="P225" s="5389"/>
      <c r="Q225" s="5389"/>
      <c r="R225" s="6508">
        <f>R220*N225</f>
        <v>0.14000000000000001</v>
      </c>
      <c r="S225" s="6509">
        <v>50</v>
      </c>
      <c r="T225" s="6506">
        <f t="shared" si="12"/>
        <v>0.28000000000000003</v>
      </c>
      <c r="U225" s="6148"/>
      <c r="V225" s="6148"/>
      <c r="W225" s="6148"/>
      <c r="X225" s="6148"/>
      <c r="Y225" s="6148"/>
      <c r="Z225" s="6148"/>
      <c r="AA225" s="6148"/>
      <c r="AB225" s="6148"/>
      <c r="AC225" s="6148"/>
      <c r="AD225" s="6148"/>
      <c r="AE225" s="6148"/>
      <c r="AF225" s="6148"/>
      <c r="AG225" s="6148"/>
      <c r="AH225" s="6148"/>
      <c r="AI225" s="6148"/>
      <c r="AJ225" s="6148"/>
      <c r="AK225" s="6148"/>
      <c r="AL225" s="6148"/>
      <c r="AM225" s="6148"/>
      <c r="AN225" s="6148"/>
      <c r="AO225" s="6148"/>
      <c r="AP225" s="6148"/>
      <c r="AQ225" s="6148"/>
      <c r="AR225" s="6148"/>
      <c r="AS225" s="6148"/>
      <c r="AT225" s="6148"/>
      <c r="AU225" s="6148"/>
      <c r="AV225" s="6148"/>
      <c r="AW225" s="6148"/>
      <c r="AX225" s="6148"/>
      <c r="AY225" s="6148"/>
      <c r="AZ225" s="6148"/>
      <c r="BA225" s="6148"/>
      <c r="BB225" s="6148"/>
      <c r="BC225" s="6148"/>
      <c r="BD225" s="2730">
        <v>1</v>
      </c>
    </row>
    <row r="226" spans="1:58" s="6150" customFormat="1" ht="21" customHeight="1" thickBot="1">
      <c r="A226" s="6148">
        <v>1</v>
      </c>
      <c r="B226" s="6148">
        <v>1</v>
      </c>
      <c r="C226" s="6148">
        <v>1</v>
      </c>
      <c r="D226" s="6148">
        <v>1</v>
      </c>
      <c r="E226" s="6148">
        <v>1</v>
      </c>
      <c r="F226" s="6148">
        <v>1</v>
      </c>
      <c r="G226" s="6148">
        <v>1</v>
      </c>
      <c r="H226" s="6148">
        <v>1</v>
      </c>
      <c r="I226" s="6148"/>
      <c r="J226" s="6148"/>
      <c r="K226" s="6148"/>
      <c r="L226" s="6148"/>
      <c r="M226" s="7768"/>
      <c r="N226" s="6503"/>
      <c r="O226" s="5389"/>
      <c r="P226" s="5389"/>
      <c r="Q226" s="5389"/>
      <c r="R226" s="6508">
        <f>R220*N226</f>
        <v>0</v>
      </c>
      <c r="S226" s="6509"/>
      <c r="T226" s="6506">
        <f t="shared" si="12"/>
        <v>0</v>
      </c>
      <c r="U226" s="6148"/>
      <c r="V226" s="6148"/>
      <c r="W226" s="6148"/>
      <c r="X226" s="6148"/>
      <c r="Y226" s="6148"/>
      <c r="Z226" s="6148"/>
      <c r="AA226" s="6148"/>
      <c r="AB226" s="6148"/>
      <c r="AC226" s="6148"/>
      <c r="AD226" s="6148"/>
      <c r="AE226" s="6148"/>
      <c r="AF226" s="6148"/>
      <c r="AG226" s="6148"/>
      <c r="AH226" s="6148"/>
      <c r="AI226" s="6148"/>
      <c r="AJ226" s="6148"/>
      <c r="AK226" s="6148"/>
      <c r="AL226" s="6148"/>
      <c r="AM226" s="6148"/>
      <c r="AN226" s="6148"/>
      <c r="AO226" s="6148"/>
      <c r="AP226" s="6148"/>
      <c r="AQ226" s="6148"/>
      <c r="AR226" s="6148"/>
      <c r="AS226" s="6148"/>
      <c r="AT226" s="6148"/>
      <c r="AU226" s="6148"/>
      <c r="AV226" s="6148"/>
      <c r="AW226" s="6148"/>
      <c r="AX226" s="6148"/>
      <c r="AY226" s="6148"/>
      <c r="AZ226" s="6148"/>
      <c r="BA226" s="6148"/>
      <c r="BB226" s="6148"/>
      <c r="BC226" s="6148"/>
      <c r="BD226" s="2730">
        <v>1</v>
      </c>
    </row>
    <row r="227" spans="1:58" s="6150" customFormat="1" ht="21" customHeight="1">
      <c r="A227" s="6148">
        <v>1</v>
      </c>
      <c r="B227" s="6161" t="s">
        <v>67</v>
      </c>
      <c r="C227" s="7790" t="s">
        <v>15452</v>
      </c>
      <c r="D227" s="7790"/>
      <c r="E227" s="7790"/>
      <c r="F227" s="7790"/>
      <c r="G227" s="7790"/>
      <c r="H227" s="7791"/>
      <c r="I227" s="6148"/>
      <c r="J227" s="6148"/>
      <c r="K227" s="6148"/>
      <c r="L227" s="6148"/>
      <c r="M227" s="7768"/>
      <c r="N227" s="6503"/>
      <c r="O227" s="5389"/>
      <c r="P227" s="5389"/>
      <c r="Q227" s="5389"/>
      <c r="R227" s="6508">
        <f>R220*N227</f>
        <v>0</v>
      </c>
      <c r="S227" s="6509"/>
      <c r="T227" s="6506">
        <f t="shared" si="12"/>
        <v>0</v>
      </c>
      <c r="U227" s="6148"/>
      <c r="V227" s="6148"/>
      <c r="W227" s="6148"/>
      <c r="X227" s="6148"/>
      <c r="Y227" s="6148"/>
      <c r="Z227" s="6148"/>
      <c r="AA227" s="6148"/>
      <c r="AB227" s="6148"/>
      <c r="AC227" s="6148"/>
      <c r="AD227" s="6148"/>
      <c r="AE227" s="6148"/>
      <c r="AF227" s="6148"/>
      <c r="AG227" s="6148"/>
      <c r="AH227" s="6148"/>
      <c r="AI227" s="6148"/>
      <c r="AJ227" s="6148"/>
      <c r="AK227" s="6148"/>
      <c r="AL227" s="6148"/>
      <c r="AM227" s="6148"/>
      <c r="AN227" s="6148"/>
      <c r="AO227" s="6148"/>
      <c r="AP227" s="6148"/>
      <c r="AQ227" s="6148"/>
      <c r="AR227" s="6148"/>
      <c r="AS227" s="6148"/>
      <c r="AT227" s="6148"/>
      <c r="AU227" s="6148"/>
      <c r="AV227" s="6148"/>
      <c r="AW227" s="6148"/>
      <c r="AX227" s="6148"/>
      <c r="AY227" s="6148"/>
      <c r="AZ227" s="6148"/>
      <c r="BA227" s="6148"/>
      <c r="BB227" s="6148"/>
      <c r="BC227" s="6148"/>
      <c r="BD227" s="2730">
        <v>1</v>
      </c>
    </row>
    <row r="228" spans="1:58" s="6150" customFormat="1" ht="21" customHeight="1">
      <c r="A228" s="6148">
        <v>1</v>
      </c>
      <c r="B228" s="7792">
        <v>3</v>
      </c>
      <c r="C228" s="6466" t="str">
        <f>ADDRESS(ROW(),COLUMN(),4)</f>
        <v>C228</v>
      </c>
      <c r="D228" s="5929" t="s">
        <v>14788</v>
      </c>
      <c r="E228" s="6510"/>
      <c r="F228" s="6511"/>
      <c r="G228" s="6512"/>
      <c r="H228" s="6513"/>
      <c r="I228" s="6148"/>
      <c r="J228" s="6148"/>
      <c r="K228" s="6148"/>
      <c r="L228" s="6148"/>
      <c r="M228" s="7768"/>
      <c r="N228" s="6503"/>
      <c r="O228" s="5389"/>
      <c r="P228" s="5389"/>
      <c r="Q228" s="5389"/>
      <c r="R228" s="6508">
        <f>R220*N228</f>
        <v>0</v>
      </c>
      <c r="S228" s="6509"/>
      <c r="T228" s="6506">
        <f t="shared" si="12"/>
        <v>0</v>
      </c>
      <c r="U228" s="6148"/>
      <c r="V228" s="6148"/>
      <c r="W228" s="6148"/>
      <c r="X228" s="6148"/>
      <c r="Y228" s="6148"/>
      <c r="Z228" s="6148"/>
      <c r="AA228" s="6148"/>
      <c r="AB228" s="6148"/>
      <c r="AC228" s="6148"/>
      <c r="AD228" s="6148"/>
      <c r="AE228" s="6148"/>
      <c r="AF228" s="6148"/>
      <c r="AG228" s="6148"/>
      <c r="AH228" s="6148"/>
      <c r="AI228" s="6148"/>
      <c r="AJ228" s="6148"/>
      <c r="AK228" s="6148"/>
      <c r="AL228" s="6148"/>
      <c r="AM228" s="6148"/>
      <c r="AN228" s="6148"/>
      <c r="AO228" s="6148"/>
      <c r="AP228" s="6148"/>
      <c r="AQ228" s="6148"/>
      <c r="AR228" s="6148"/>
      <c r="AS228" s="6148"/>
      <c r="AT228" s="6148"/>
      <c r="AU228" s="6148"/>
      <c r="AV228" s="6148"/>
      <c r="AW228" s="6148"/>
      <c r="AX228" s="6148"/>
      <c r="AY228" s="6148"/>
      <c r="AZ228" s="6148"/>
      <c r="BA228" s="6148"/>
      <c r="BB228" s="6148"/>
      <c r="BC228" s="6148"/>
      <c r="BD228" s="2730">
        <v>1</v>
      </c>
    </row>
    <row r="229" spans="1:58" s="6150" customFormat="1" ht="21" customHeight="1">
      <c r="A229" s="6148">
        <v>1</v>
      </c>
      <c r="B229" s="7792"/>
      <c r="C229" s="7794" t="s">
        <v>463</v>
      </c>
      <c r="D229" s="7794"/>
      <c r="E229" s="6515" t="s">
        <v>466</v>
      </c>
      <c r="F229" s="6514" t="s">
        <v>462</v>
      </c>
      <c r="G229" s="7795" t="s">
        <v>61</v>
      </c>
      <c r="H229" s="7796"/>
      <c r="I229" s="6148"/>
      <c r="J229" s="6148"/>
      <c r="K229" s="6148"/>
      <c r="L229" s="6148"/>
      <c r="M229" s="7768"/>
      <c r="N229" s="6503"/>
      <c r="O229" s="5389"/>
      <c r="P229" s="5389"/>
      <c r="Q229" s="5389"/>
      <c r="R229" s="6508">
        <f>R220*N229</f>
        <v>0</v>
      </c>
      <c r="S229" s="6509"/>
      <c r="T229" s="6506">
        <f t="shared" si="12"/>
        <v>0</v>
      </c>
      <c r="U229" s="6148"/>
      <c r="V229" s="6148"/>
      <c r="W229" s="6148"/>
      <c r="X229" s="6148"/>
      <c r="Y229" s="6148"/>
      <c r="Z229" s="6148"/>
      <c r="AA229" s="6148"/>
      <c r="AB229" s="6148"/>
      <c r="AC229" s="6148"/>
      <c r="AD229" s="6148"/>
      <c r="AE229" s="6148"/>
      <c r="AF229" s="6148"/>
      <c r="AG229" s="6148"/>
      <c r="AH229" s="6148"/>
      <c r="AI229" s="6148"/>
      <c r="AJ229" s="6148"/>
      <c r="AK229" s="6148"/>
      <c r="AL229" s="6148"/>
      <c r="AM229" s="6148"/>
      <c r="AN229" s="6148"/>
      <c r="AO229" s="6148"/>
      <c r="AP229" s="6148"/>
      <c r="AQ229" s="6148"/>
      <c r="AR229" s="6148"/>
      <c r="AS229" s="6148"/>
      <c r="AT229" s="6148"/>
      <c r="AU229" s="6148"/>
      <c r="AV229" s="6148"/>
      <c r="AW229" s="6148"/>
      <c r="AX229" s="6148"/>
      <c r="AY229" s="6148"/>
      <c r="AZ229" s="6148"/>
      <c r="BA229" s="6148"/>
      <c r="BB229" s="6148"/>
      <c r="BC229" s="6148"/>
      <c r="BD229" s="2730">
        <v>1</v>
      </c>
    </row>
    <row r="230" spans="1:58" s="6150" customFormat="1" ht="21" customHeight="1">
      <c r="A230" s="6148">
        <v>1</v>
      </c>
      <c r="B230" s="7792"/>
      <c r="C230" s="7764">
        <v>20</v>
      </c>
      <c r="D230" s="7765">
        <f>C230/100</f>
        <v>0.2</v>
      </c>
      <c r="E230" s="6516" t="s">
        <v>192</v>
      </c>
      <c r="F230" s="6517">
        <v>1</v>
      </c>
      <c r="G230" s="6518">
        <f>(C230*F230)*10</f>
        <v>200</v>
      </c>
      <c r="H230" s="6519">
        <f>G230/1000</f>
        <v>0.2</v>
      </c>
      <c r="I230" s="6148"/>
      <c r="J230" s="6148"/>
      <c r="K230" s="6148"/>
      <c r="L230" s="6148"/>
      <c r="M230" s="7768"/>
      <c r="N230" s="6520"/>
      <c r="O230" s="5396"/>
      <c r="P230" s="5396"/>
      <c r="Q230" s="5396"/>
      <c r="R230" s="6521">
        <f>R220*N230</f>
        <v>0</v>
      </c>
      <c r="S230" s="6522"/>
      <c r="T230" s="6523">
        <f t="shared" si="12"/>
        <v>0</v>
      </c>
      <c r="U230" s="6148"/>
      <c r="V230" s="6148"/>
      <c r="W230" s="6148"/>
      <c r="X230" s="6148"/>
      <c r="Y230" s="6148"/>
      <c r="Z230" s="6148"/>
      <c r="AA230" s="6148"/>
      <c r="AB230" s="6148"/>
      <c r="AC230" s="6148"/>
      <c r="AD230" s="6148"/>
      <c r="AE230" s="6148"/>
      <c r="AF230" s="6148"/>
      <c r="AG230" s="6148"/>
      <c r="AH230" s="6148"/>
      <c r="AI230" s="6148"/>
      <c r="AJ230" s="6148"/>
      <c r="AK230" s="6148"/>
      <c r="AL230" s="6148"/>
      <c r="AM230" s="6148"/>
      <c r="AN230" s="6148"/>
      <c r="AO230" s="6148"/>
      <c r="AP230" s="6148"/>
      <c r="AQ230" s="6148"/>
      <c r="AR230" s="6148"/>
      <c r="AS230" s="6148"/>
      <c r="AT230" s="6148"/>
      <c r="AU230" s="6148"/>
      <c r="AV230" s="6148"/>
      <c r="AW230" s="6148"/>
      <c r="AX230" s="6148"/>
      <c r="AY230" s="6148"/>
      <c r="AZ230" s="6148"/>
      <c r="BA230" s="6148"/>
      <c r="BB230" s="6148"/>
      <c r="BC230" s="6148"/>
      <c r="BD230" s="2730">
        <v>1</v>
      </c>
    </row>
    <row r="231" spans="1:58" s="6150" customFormat="1" ht="21" customHeight="1">
      <c r="A231" s="6148">
        <v>1</v>
      </c>
      <c r="B231" s="7792"/>
      <c r="C231" s="7764"/>
      <c r="D231" s="7765"/>
      <c r="E231" s="6516" t="s">
        <v>468</v>
      </c>
      <c r="F231" s="6517">
        <v>1.03</v>
      </c>
      <c r="G231" s="6518">
        <f>(C230*F231)*10</f>
        <v>206</v>
      </c>
      <c r="H231" s="6519">
        <f>G231/1000</f>
        <v>0.20599999999999999</v>
      </c>
      <c r="I231" s="6148"/>
      <c r="J231" s="6148"/>
      <c r="K231" s="6148"/>
      <c r="L231" s="6148"/>
      <c r="M231" s="7768"/>
      <c r="N231" s="7786" t="s">
        <v>14803</v>
      </c>
      <c r="O231" s="7786"/>
      <c r="P231" s="7786"/>
      <c r="Q231" s="7786"/>
      <c r="R231" s="7786"/>
      <c r="S231" s="7786"/>
      <c r="T231" s="7787"/>
      <c r="U231" s="6148"/>
      <c r="V231" s="6148"/>
      <c r="W231" s="6148"/>
      <c r="X231" s="6148"/>
      <c r="Y231" s="6148"/>
      <c r="Z231" s="6148"/>
      <c r="AA231" s="6148"/>
      <c r="AB231" s="6148"/>
      <c r="AC231" s="6148"/>
      <c r="AD231" s="6148"/>
      <c r="AE231" s="6148"/>
      <c r="AF231" s="6148"/>
      <c r="AG231" s="6148"/>
      <c r="AH231" s="6148"/>
      <c r="AI231" s="6148"/>
      <c r="AJ231" s="6148"/>
      <c r="AK231" s="6148"/>
      <c r="AL231" s="6148"/>
      <c r="AM231" s="6148"/>
      <c r="AN231" s="6148"/>
      <c r="AO231" s="6148"/>
      <c r="AP231" s="6148"/>
      <c r="AQ231" s="6148"/>
      <c r="AR231" s="6148"/>
      <c r="AS231" s="6148"/>
      <c r="AT231" s="6148"/>
      <c r="AU231" s="6148"/>
      <c r="AV231" s="6148"/>
      <c r="AW231" s="6148"/>
      <c r="AX231" s="6148"/>
      <c r="AY231" s="6148"/>
      <c r="AZ231" s="6148"/>
      <c r="BA231" s="6148"/>
      <c r="BB231" s="6148"/>
      <c r="BC231" s="6148"/>
      <c r="BD231" s="2730">
        <v>1</v>
      </c>
    </row>
    <row r="232" spans="1:58" s="6150" customFormat="1" ht="21" customHeight="1">
      <c r="A232" s="6148">
        <v>1</v>
      </c>
      <c r="B232" s="7792"/>
      <c r="C232" s="7764"/>
      <c r="D232" s="7765"/>
      <c r="E232" s="6516" t="s">
        <v>469</v>
      </c>
      <c r="F232" s="6517">
        <v>1.0149999999999999</v>
      </c>
      <c r="G232" s="6518">
        <f>(F232*C230)*10</f>
        <v>202.99999999999997</v>
      </c>
      <c r="H232" s="6519">
        <f>G232/1000</f>
        <v>0.20299999999999996</v>
      </c>
      <c r="I232" s="6148"/>
      <c r="J232" s="6148"/>
      <c r="K232" s="6148"/>
      <c r="L232" s="6148"/>
      <c r="M232" s="7768"/>
      <c r="N232" s="2868"/>
      <c r="O232" s="2868" t="s">
        <v>14804</v>
      </c>
      <c r="P232" s="6524"/>
      <c r="Q232" s="6525" t="s">
        <v>1299</v>
      </c>
      <c r="R232" s="5404"/>
      <c r="S232" s="5404"/>
      <c r="T232" s="5405"/>
      <c r="U232" s="6148"/>
      <c r="V232" s="6148"/>
      <c r="W232" s="6148"/>
      <c r="X232" s="6148"/>
      <c r="Y232" s="6148"/>
      <c r="Z232" s="6148"/>
      <c r="AA232" s="6148"/>
      <c r="AB232" s="6148"/>
      <c r="AC232" s="6148"/>
      <c r="AD232" s="6148"/>
      <c r="AE232" s="6148"/>
      <c r="AF232" s="6148"/>
      <c r="AG232" s="6148"/>
      <c r="AH232" s="6148"/>
      <c r="AI232" s="6148"/>
      <c r="AJ232" s="6148"/>
      <c r="AK232" s="6148"/>
      <c r="AL232" s="6148"/>
      <c r="AM232" s="6148"/>
      <c r="AN232" s="6148"/>
      <c r="AO232" s="6148"/>
      <c r="AP232" s="6148"/>
      <c r="AQ232" s="6148"/>
      <c r="AR232" s="6148"/>
      <c r="AS232" s="6148"/>
      <c r="AT232" s="6148"/>
      <c r="AU232" s="6148"/>
      <c r="AV232" s="6148"/>
      <c r="AW232" s="6148"/>
      <c r="AX232" s="6148"/>
      <c r="AY232" s="6148"/>
      <c r="AZ232" s="6148"/>
      <c r="BA232" s="6148"/>
      <c r="BB232" s="6148"/>
      <c r="BC232" s="6148"/>
      <c r="BD232" s="2730">
        <v>1</v>
      </c>
    </row>
    <row r="233" spans="1:58" s="6150" customFormat="1" ht="21" customHeight="1">
      <c r="A233" s="6148">
        <v>1</v>
      </c>
      <c r="B233" s="7792"/>
      <c r="C233" s="7764"/>
      <c r="D233" s="7765"/>
      <c r="E233" s="6516" t="s">
        <v>464</v>
      </c>
      <c r="F233" s="6517">
        <v>0.92</v>
      </c>
      <c r="G233" s="6518">
        <f>(F233*C230)*10</f>
        <v>184.00000000000003</v>
      </c>
      <c r="H233" s="6519">
        <f>G233/1000</f>
        <v>0.18400000000000002</v>
      </c>
      <c r="I233" s="6148"/>
      <c r="J233" s="6148"/>
      <c r="K233" s="6148"/>
      <c r="L233" s="6148"/>
      <c r="M233" s="7768"/>
      <c r="N233" s="6524"/>
      <c r="O233" s="6524" t="s">
        <v>14806</v>
      </c>
      <c r="P233" s="6524"/>
      <c r="Q233" s="6524" t="s">
        <v>14807</v>
      </c>
      <c r="R233" s="5404"/>
      <c r="S233" s="6524" t="s">
        <v>371</v>
      </c>
      <c r="T233" s="5405"/>
      <c r="U233" s="6148"/>
      <c r="V233" s="6148"/>
      <c r="W233" s="6148"/>
      <c r="X233" s="6148"/>
      <c r="Y233" s="6148"/>
      <c r="Z233" s="6148"/>
      <c r="AA233" s="6148"/>
      <c r="AB233" s="6148"/>
      <c r="AC233" s="6148"/>
      <c r="AD233" s="6148"/>
      <c r="AE233" s="6148"/>
      <c r="AF233" s="6148"/>
      <c r="AG233" s="6148"/>
      <c r="AH233" s="6148"/>
      <c r="AI233" s="6148"/>
      <c r="AJ233" s="6148"/>
      <c r="AK233" s="6148"/>
      <c r="AL233" s="6148"/>
      <c r="AM233" s="6148"/>
      <c r="AN233" s="6148"/>
      <c r="AO233" s="6148"/>
      <c r="AP233" s="6148"/>
      <c r="AQ233" s="6148"/>
      <c r="AR233" s="6148"/>
      <c r="AS233" s="6148"/>
      <c r="AT233" s="6148"/>
      <c r="AU233" s="6148"/>
      <c r="AV233" s="6148"/>
      <c r="AW233" s="6148"/>
      <c r="AX233" s="6148"/>
      <c r="AY233" s="6148"/>
      <c r="AZ233" s="6148"/>
      <c r="BA233" s="6148"/>
      <c r="BB233" s="6148"/>
      <c r="BC233" s="6148"/>
      <c r="BD233" s="2730">
        <v>1</v>
      </c>
    </row>
    <row r="234" spans="1:58" ht="21" customHeight="1">
      <c r="A234" s="6148">
        <v>1</v>
      </c>
      <c r="B234" s="7792"/>
      <c r="C234" s="7764"/>
      <c r="D234" s="7765"/>
      <c r="E234" s="6516" t="s">
        <v>465</v>
      </c>
      <c r="F234" s="6517">
        <v>0.8</v>
      </c>
      <c r="G234" s="6518">
        <f>(F234*C230)*10</f>
        <v>160</v>
      </c>
      <c r="H234" s="6519">
        <f>G234/1000</f>
        <v>0.16</v>
      </c>
      <c r="I234" s="6148"/>
      <c r="J234" s="6148"/>
      <c r="K234" s="6148"/>
      <c r="L234" s="6148"/>
      <c r="M234" s="7768"/>
      <c r="N234" s="6200">
        <v>10</v>
      </c>
      <c r="O234" s="6200">
        <v>10</v>
      </c>
      <c r="P234" s="6200">
        <v>10</v>
      </c>
      <c r="Q234" s="6200">
        <v>10</v>
      </c>
      <c r="R234" s="6200">
        <v>13</v>
      </c>
      <c r="S234" s="6200">
        <v>8</v>
      </c>
      <c r="T234" s="6201">
        <v>13</v>
      </c>
      <c r="U234" s="6148"/>
      <c r="V234" s="6148"/>
      <c r="W234" s="6148"/>
      <c r="X234" s="6148"/>
      <c r="Y234" s="6148"/>
      <c r="Z234" s="6148"/>
      <c r="AA234" s="6148"/>
      <c r="AB234" s="6148"/>
      <c r="AC234" s="6148"/>
      <c r="AD234" s="6148"/>
      <c r="AE234" s="6148"/>
      <c r="AF234" s="6148"/>
      <c r="AG234" s="6148"/>
      <c r="AH234" s="6148"/>
      <c r="AI234" s="6148"/>
      <c r="AJ234" s="6148"/>
      <c r="AK234" s="6148"/>
      <c r="AL234" s="6148"/>
      <c r="AM234" s="6148"/>
      <c r="AN234" s="6148"/>
      <c r="AO234" s="6148"/>
      <c r="AP234" s="6148"/>
      <c r="AQ234" s="6148"/>
      <c r="AR234" s="6148"/>
      <c r="AS234" s="6148"/>
      <c r="AT234" s="6148"/>
      <c r="AU234" s="6148"/>
      <c r="AV234" s="6148"/>
      <c r="AW234" s="6148"/>
      <c r="AX234" s="6148"/>
      <c r="AY234" s="6148"/>
      <c r="AZ234" s="6148"/>
      <c r="BA234" s="6148"/>
      <c r="BB234" s="6148"/>
      <c r="BC234" s="6148"/>
      <c r="BD234" s="2730">
        <v>1</v>
      </c>
      <c r="BE234" s="6150"/>
      <c r="BF234" s="6150"/>
    </row>
    <row r="235" spans="1:58" ht="21" customHeight="1" thickBot="1">
      <c r="A235" s="6148">
        <v>1</v>
      </c>
      <c r="B235" s="7792"/>
      <c r="C235" s="7788" t="s">
        <v>15453</v>
      </c>
      <c r="D235" s="7788"/>
      <c r="E235" s="7788"/>
      <c r="F235" s="7788"/>
      <c r="G235" s="7788"/>
      <c r="H235" s="7789"/>
      <c r="I235" s="6148"/>
      <c r="J235" s="6148"/>
      <c r="K235" s="6148"/>
      <c r="L235" s="6148"/>
      <c r="M235" s="7769"/>
      <c r="N235" s="6207">
        <f ca="1">CELL("largeur",N235)</f>
        <v>16</v>
      </c>
      <c r="O235" s="6207">
        <f t="shared" ref="O235:T235" ca="1" si="14">CELL("largeur",O235)</f>
        <v>16</v>
      </c>
      <c r="P235" s="6207">
        <f t="shared" ca="1" si="14"/>
        <v>16</v>
      </c>
      <c r="Q235" s="6207">
        <f t="shared" ca="1" si="14"/>
        <v>11</v>
      </c>
      <c r="R235" s="6207">
        <f t="shared" ca="1" si="14"/>
        <v>11</v>
      </c>
      <c r="S235" s="6207">
        <f ca="1">CELL("largeur",S235)</f>
        <v>11</v>
      </c>
      <c r="T235" s="6208">
        <f t="shared" ca="1" si="14"/>
        <v>11</v>
      </c>
      <c r="U235" s="6148"/>
      <c r="V235" s="6148"/>
      <c r="W235" s="6148"/>
      <c r="X235" s="6148"/>
      <c r="Y235" s="6148"/>
      <c r="Z235" s="6148"/>
      <c r="AA235" s="6148"/>
      <c r="AB235" s="6148"/>
      <c r="AC235" s="6148"/>
      <c r="AD235" s="6148"/>
      <c r="AE235" s="6148"/>
      <c r="AF235" s="6148"/>
      <c r="AG235" s="6148"/>
      <c r="AH235" s="6148"/>
      <c r="AI235" s="6148"/>
      <c r="AJ235" s="6148"/>
      <c r="AK235" s="6148"/>
      <c r="AL235" s="6148"/>
      <c r="AM235" s="6148"/>
      <c r="AN235" s="6148"/>
      <c r="AO235" s="6148"/>
      <c r="AP235" s="6148"/>
      <c r="AQ235" s="6148"/>
      <c r="AR235" s="6148"/>
      <c r="AS235" s="6148"/>
      <c r="AT235" s="6148"/>
      <c r="AU235" s="6148"/>
      <c r="AV235" s="6148"/>
      <c r="AW235" s="6148"/>
      <c r="AX235" s="6148"/>
      <c r="AY235" s="6148"/>
      <c r="AZ235" s="6148"/>
      <c r="BA235" s="6148"/>
      <c r="BB235" s="6148"/>
      <c r="BC235" s="6148"/>
      <c r="BD235" s="2730">
        <v>1</v>
      </c>
      <c r="BE235" s="6150"/>
      <c r="BF235" s="6150"/>
    </row>
    <row r="236" spans="1:58" ht="21" customHeight="1">
      <c r="A236" s="6148">
        <v>1</v>
      </c>
      <c r="B236" s="7792"/>
      <c r="C236" s="6200">
        <v>8</v>
      </c>
      <c r="D236" s="6200">
        <v>9</v>
      </c>
      <c r="E236" s="6200">
        <v>11</v>
      </c>
      <c r="F236" s="6200">
        <v>11</v>
      </c>
      <c r="G236" s="6200">
        <v>11</v>
      </c>
      <c r="H236" s="6526">
        <v>11</v>
      </c>
      <c r="I236" s="6148"/>
      <c r="J236" s="6148"/>
      <c r="K236" s="6148"/>
      <c r="L236" s="6148"/>
      <c r="M236" s="6148"/>
      <c r="N236" s="6148"/>
      <c r="O236" s="6148"/>
      <c r="P236" s="6148"/>
      <c r="Q236" s="6148"/>
      <c r="R236" s="6148"/>
      <c r="S236" s="6148"/>
      <c r="T236" s="6148"/>
      <c r="U236" s="6148"/>
      <c r="V236" s="6148"/>
      <c r="W236" s="6148"/>
      <c r="X236" s="6148"/>
      <c r="Y236" s="6148"/>
      <c r="Z236" s="6148"/>
      <c r="AA236" s="6148"/>
      <c r="AB236" s="6148"/>
      <c r="AC236" s="6148"/>
      <c r="AD236" s="6148"/>
      <c r="AE236" s="6148"/>
      <c r="AF236" s="6148"/>
      <c r="AG236" s="6148"/>
      <c r="AH236" s="6148"/>
      <c r="AI236" s="6148"/>
      <c r="AJ236" s="6148"/>
      <c r="AK236" s="6148"/>
      <c r="AL236" s="6148"/>
      <c r="AM236" s="6148"/>
      <c r="AN236" s="6148"/>
      <c r="AO236" s="6148"/>
      <c r="AP236" s="6148"/>
      <c r="AQ236" s="6148"/>
      <c r="AR236" s="6148"/>
      <c r="AS236" s="6148"/>
      <c r="AT236" s="6148"/>
      <c r="AU236" s="6148"/>
      <c r="AV236" s="6148"/>
      <c r="AW236" s="6148"/>
      <c r="AX236" s="6148"/>
      <c r="AY236" s="6148"/>
      <c r="AZ236" s="6148"/>
      <c r="BA236" s="6148"/>
      <c r="BB236" s="6148"/>
      <c r="BC236" s="6148"/>
      <c r="BD236" s="2730">
        <v>1</v>
      </c>
      <c r="BE236" s="6150"/>
      <c r="BF236" s="6150"/>
    </row>
    <row r="237" spans="1:58" ht="21" customHeight="1" thickBot="1">
      <c r="A237" s="6148">
        <v>1</v>
      </c>
      <c r="B237" s="7793"/>
      <c r="C237" s="6207">
        <f t="shared" ref="C237:H237" ca="1" si="15">CELL("largeur",C237)</f>
        <v>13</v>
      </c>
      <c r="D237" s="6207">
        <f t="shared" ca="1" si="15"/>
        <v>21</v>
      </c>
      <c r="E237" s="6207">
        <f t="shared" ca="1" si="15"/>
        <v>13</v>
      </c>
      <c r="F237" s="6207">
        <f t="shared" ca="1" si="15"/>
        <v>13</v>
      </c>
      <c r="G237" s="6207">
        <f t="shared" ca="1" si="15"/>
        <v>13</v>
      </c>
      <c r="H237" s="6527">
        <f t="shared" ca="1" si="15"/>
        <v>13</v>
      </c>
      <c r="I237" s="6148"/>
      <c r="J237" s="6148"/>
      <c r="K237" s="6148"/>
      <c r="L237" s="6148"/>
      <c r="M237" s="6148"/>
      <c r="N237" s="6148"/>
      <c r="O237" s="6148"/>
      <c r="P237" s="6148"/>
      <c r="Q237" s="6148"/>
      <c r="R237" s="6148"/>
      <c r="S237" s="6148"/>
      <c r="T237" s="6148"/>
      <c r="U237" s="6148"/>
      <c r="BC237" s="6148"/>
      <c r="BD237" s="2730">
        <v>1</v>
      </c>
      <c r="BE237" s="6150"/>
      <c r="BF237" s="6150"/>
    </row>
    <row r="238" spans="1:58" ht="21" customHeight="1">
      <c r="A238" s="6148">
        <v>1</v>
      </c>
      <c r="B238" s="6148">
        <v>1</v>
      </c>
      <c r="C238" s="6148">
        <v>1</v>
      </c>
      <c r="D238" s="6148">
        <v>1</v>
      </c>
      <c r="E238" s="6148">
        <v>1</v>
      </c>
      <c r="F238" s="6148">
        <v>1</v>
      </c>
      <c r="G238" s="6148">
        <v>1</v>
      </c>
      <c r="H238" s="6148">
        <v>1</v>
      </c>
      <c r="I238" s="6148"/>
      <c r="J238" s="6148"/>
      <c r="K238" s="6148"/>
      <c r="L238" s="6148"/>
      <c r="M238" s="6148"/>
      <c r="N238" s="6148"/>
      <c r="O238" s="6148"/>
      <c r="P238" s="6148"/>
      <c r="Q238" s="6148"/>
      <c r="R238" s="6148"/>
      <c r="S238" s="6148"/>
      <c r="T238" s="6148"/>
      <c r="U238" s="6148"/>
      <c r="BC238" s="6148"/>
      <c r="BD238" s="6528" t="s">
        <v>7037</v>
      </c>
      <c r="BE238" s="6150"/>
      <c r="BF238" s="6150"/>
    </row>
    <row r="239" spans="1:58">
      <c r="A239" s="2730">
        <v>1</v>
      </c>
      <c r="B239" s="2730">
        <v>1</v>
      </c>
      <c r="C239" s="2730">
        <v>1</v>
      </c>
      <c r="D239" s="2730">
        <v>1</v>
      </c>
      <c r="E239" s="2730">
        <v>1</v>
      </c>
      <c r="F239" s="2730">
        <v>1</v>
      </c>
      <c r="G239" s="2730">
        <v>1</v>
      </c>
      <c r="H239" s="2730">
        <v>1</v>
      </c>
      <c r="I239" s="2730">
        <v>1</v>
      </c>
      <c r="J239" s="2730">
        <v>1</v>
      </c>
      <c r="K239" s="2730">
        <v>1</v>
      </c>
      <c r="L239" s="2730">
        <v>1</v>
      </c>
      <c r="M239" s="2730">
        <v>1</v>
      </c>
      <c r="N239" s="2730">
        <v>1</v>
      </c>
      <c r="O239" s="2730">
        <v>1</v>
      </c>
      <c r="P239" s="2730">
        <v>1</v>
      </c>
      <c r="Q239" s="2730">
        <v>1</v>
      </c>
      <c r="R239" s="2730">
        <v>1</v>
      </c>
      <c r="S239" s="2730">
        <v>1</v>
      </c>
      <c r="T239" s="2730">
        <v>1</v>
      </c>
      <c r="U239" s="2730">
        <v>1</v>
      </c>
      <c r="V239" s="2730">
        <v>1</v>
      </c>
      <c r="W239" s="2730">
        <v>1</v>
      </c>
      <c r="X239" s="2730">
        <v>1</v>
      </c>
      <c r="Y239" s="2730">
        <v>1</v>
      </c>
      <c r="Z239" s="2730">
        <v>1</v>
      </c>
      <c r="AA239" s="2730">
        <v>1</v>
      </c>
      <c r="AB239" s="2730">
        <v>1</v>
      </c>
      <c r="AC239" s="2730">
        <v>1</v>
      </c>
      <c r="AD239" s="2730">
        <v>1</v>
      </c>
      <c r="AE239" s="2730">
        <v>1</v>
      </c>
      <c r="AF239" s="2730">
        <v>1</v>
      </c>
      <c r="AG239" s="2730">
        <v>1</v>
      </c>
      <c r="AH239" s="2730">
        <v>1</v>
      </c>
      <c r="AI239" s="2730">
        <v>1</v>
      </c>
      <c r="AJ239" s="2730">
        <v>1</v>
      </c>
      <c r="AK239" s="2730">
        <v>1</v>
      </c>
      <c r="AL239" s="2730">
        <v>1</v>
      </c>
      <c r="AM239" s="2730">
        <v>1</v>
      </c>
      <c r="AN239" s="2730">
        <v>1</v>
      </c>
      <c r="AO239" s="2730">
        <v>1</v>
      </c>
      <c r="AP239" s="2730">
        <v>1</v>
      </c>
      <c r="AQ239" s="2730">
        <v>1</v>
      </c>
      <c r="AR239" s="2730">
        <v>1</v>
      </c>
      <c r="AS239" s="2730">
        <v>1</v>
      </c>
      <c r="AT239" s="2730">
        <v>1</v>
      </c>
      <c r="AU239" s="2730">
        <v>1</v>
      </c>
      <c r="AV239" s="2730">
        <v>1</v>
      </c>
      <c r="AW239" s="2730">
        <v>1</v>
      </c>
      <c r="AX239" s="2730">
        <v>1</v>
      </c>
      <c r="AY239" s="2730">
        <v>1</v>
      </c>
      <c r="AZ239" s="2730">
        <v>1</v>
      </c>
      <c r="BA239" s="2730">
        <v>1</v>
      </c>
      <c r="BB239" s="2730">
        <v>1</v>
      </c>
      <c r="BC239" s="2730">
        <v>1</v>
      </c>
      <c r="BD239" s="6529" t="str">
        <f>ADDRESS(ROW(),COLUMN(),4)</f>
        <v>BD239</v>
      </c>
      <c r="BE239" s="6150"/>
      <c r="BF239" s="6150"/>
    </row>
  </sheetData>
  <mergeCells count="61">
    <mergeCell ref="V30:Y30"/>
    <mergeCell ref="AL30:AO30"/>
    <mergeCell ref="B36:B37"/>
    <mergeCell ref="C36:H36"/>
    <mergeCell ref="B38:B95"/>
    <mergeCell ref="C43:H44"/>
    <mergeCell ref="D49:H50"/>
    <mergeCell ref="D52:H53"/>
    <mergeCell ref="D55:H56"/>
    <mergeCell ref="D58:H59"/>
    <mergeCell ref="B101:B102"/>
    <mergeCell ref="C101:F101"/>
    <mergeCell ref="D61:H62"/>
    <mergeCell ref="C65:H66"/>
    <mergeCell ref="O69:S69"/>
    <mergeCell ref="C70:H71"/>
    <mergeCell ref="N70:N79"/>
    <mergeCell ref="O76:S77"/>
    <mergeCell ref="O82:U82"/>
    <mergeCell ref="O83:U83"/>
    <mergeCell ref="O97:O98"/>
    <mergeCell ref="P97:P98"/>
    <mergeCell ref="O100:O101"/>
    <mergeCell ref="B162:B163"/>
    <mergeCell ref="C162:F162"/>
    <mergeCell ref="B103:B129"/>
    <mergeCell ref="C103:H103"/>
    <mergeCell ref="F106:H106"/>
    <mergeCell ref="C117:H118"/>
    <mergeCell ref="C120:H120"/>
    <mergeCell ref="B132:B133"/>
    <mergeCell ref="C132:F132"/>
    <mergeCell ref="B134:B160"/>
    <mergeCell ref="C134:H134"/>
    <mergeCell ref="F137:H137"/>
    <mergeCell ref="C148:H149"/>
    <mergeCell ref="C151:H151"/>
    <mergeCell ref="C229:D229"/>
    <mergeCell ref="G229:H229"/>
    <mergeCell ref="B164:B196"/>
    <mergeCell ref="C164:H164"/>
    <mergeCell ref="C184:H185"/>
    <mergeCell ref="C187:H187"/>
    <mergeCell ref="B199:B211"/>
    <mergeCell ref="C209:K209"/>
    <mergeCell ref="C230:C234"/>
    <mergeCell ref="D230:D234"/>
    <mergeCell ref="N213:T213"/>
    <mergeCell ref="B214:B225"/>
    <mergeCell ref="M214:M235"/>
    <mergeCell ref="N215:O216"/>
    <mergeCell ref="P215:T216"/>
    <mergeCell ref="N217:N218"/>
    <mergeCell ref="O217:O218"/>
    <mergeCell ref="P217:S218"/>
    <mergeCell ref="T217:T218"/>
    <mergeCell ref="C223:K223"/>
    <mergeCell ref="N231:T231"/>
    <mergeCell ref="C235:H235"/>
    <mergeCell ref="C227:H227"/>
    <mergeCell ref="B228:B237"/>
  </mergeCells>
  <conditionalFormatting sqref="B227">
    <cfRule type="expression" dxfId="97" priority="1" stopIfTrue="1">
      <formula>OR(ROW()=CELL("ligne"),COLUMN()=CELL("colonne"))</formula>
    </cfRule>
  </conditionalFormatting>
  <conditionalFormatting sqref="E108 E114">
    <cfRule type="cellIs" dxfId="96" priority="20" operator="equal">
      <formula>#REF!</formula>
    </cfRule>
    <cfRule type="cellIs" dxfId="95" priority="21" operator="equal">
      <formula>#REF!</formula>
    </cfRule>
  </conditionalFormatting>
  <conditionalFormatting sqref="E108">
    <cfRule type="cellIs" dxfId="94" priority="18" operator="equal">
      <formula>#REF!</formula>
    </cfRule>
    <cfRule type="cellIs" dxfId="93" priority="19" operator="equal">
      <formula>#REF!</formula>
    </cfRule>
  </conditionalFormatting>
  <conditionalFormatting sqref="E139 E145">
    <cfRule type="cellIs" dxfId="92" priority="12" operator="equal">
      <formula>#REF!</formula>
    </cfRule>
    <cfRule type="cellIs" dxfId="91" priority="13" operator="equal">
      <formula>#REF!</formula>
    </cfRule>
  </conditionalFormatting>
  <conditionalFormatting sqref="E139">
    <cfRule type="cellIs" dxfId="90" priority="10" operator="equal">
      <formula>#REF!</formula>
    </cfRule>
    <cfRule type="cellIs" dxfId="89" priority="11" operator="equal">
      <formula>#REF!</formula>
    </cfRule>
  </conditionalFormatting>
  <conditionalFormatting sqref="G108">
    <cfRule type="cellIs" dxfId="88" priority="16" operator="equal">
      <formula>#REF!</formula>
    </cfRule>
    <cfRule type="cellIs" dxfId="87" priority="17" operator="equal">
      <formula>#REF!</formula>
    </cfRule>
  </conditionalFormatting>
  <conditionalFormatting sqref="G174">
    <cfRule type="cellIs" dxfId="86" priority="2" operator="equal">
      <formula>#REF!</formula>
    </cfRule>
    <cfRule type="cellIs" dxfId="85" priority="3" operator="equal">
      <formula>#REF!</formula>
    </cfRule>
  </conditionalFormatting>
  <conditionalFormatting sqref="I98:I99">
    <cfRule type="cellIs" dxfId="84" priority="14" operator="equal">
      <formula>#REF!</formula>
    </cfRule>
    <cfRule type="cellIs" dxfId="83" priority="15" operator="equal">
      <formula>#REF!</formula>
    </cfRule>
  </conditionalFormatting>
  <conditionalFormatting sqref="J108">
    <cfRule type="cellIs" dxfId="82" priority="8" operator="equal">
      <formula>#REF!</formula>
    </cfRule>
    <cfRule type="cellIs" dxfId="81" priority="9" operator="equal">
      <formula>#REF!</formula>
    </cfRule>
  </conditionalFormatting>
  <conditionalFormatting sqref="J114">
    <cfRule type="cellIs" dxfId="80" priority="6" operator="equal">
      <formula>#REF!</formula>
    </cfRule>
    <cfRule type="cellIs" dxfId="79" priority="7" operator="equal">
      <formula>#REF!</formula>
    </cfRule>
  </conditionalFormatting>
  <conditionalFormatting sqref="J145">
    <cfRule type="cellIs" dxfId="78" priority="4" operator="equal">
      <formula>#REF!</formula>
    </cfRule>
    <cfRule type="cellIs" dxfId="77" priority="5" operator="equal">
      <formula>#REF!</formula>
    </cfRule>
  </conditionalFormatting>
  <hyperlinks>
    <hyperlink ref="D87" r:id="rId1" xr:uid="{48735388-1B04-4CF2-BFC3-0FF47AF747CE}"/>
    <hyperlink ref="D89" r:id="rId2" xr:uid="{E6592842-EDBA-48E7-B18A-3C89BA7D3A5B}"/>
    <hyperlink ref="F89" r:id="rId3" xr:uid="{D3923D90-F130-4F00-AB27-1FEF04C0EA90}"/>
    <hyperlink ref="F87" r:id="rId4" xr:uid="{CDB4C669-63BC-42D9-B980-7A6ADC3F00AF}"/>
    <hyperlink ref="D94" r:id="rId5" xr:uid="{F0CE0390-E05A-46A3-8CF7-213A1D280472}"/>
    <hyperlink ref="Q67" r:id="rId6" xr:uid="{61069C6D-0448-4819-A875-286CC4942A51}"/>
    <hyperlink ref="J26" r:id="rId7" xr:uid="{462AB05C-7E48-464A-9A9C-5339B16E60F4}"/>
    <hyperlink ref="O82" r:id="rId8" xr:uid="{CCB31172-4FFC-4104-B223-01546BF280EE}"/>
    <hyperlink ref="O83" r:id="rId9" xr:uid="{B5380633-7CDE-449F-8DFB-9C18D4C7EB4C}"/>
    <hyperlink ref="R55" r:id="rId10" xr:uid="{3697B4DE-A8F5-4E24-BBDF-1A627E9C8AFF}"/>
  </hyperlinks>
  <pageMargins left="0.7" right="0.7" top="0.75" bottom="0.75" header="0.3" footer="0.3"/>
  <pageSetup paperSize="9" orientation="portrait" r:id="rId11"/>
  <drawing r:id="rId1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60"/>
  <sheetViews>
    <sheetView tabSelected="1" topLeftCell="A33" workbookViewId="0">
      <selection activeCell="L49" sqref="L48:L49"/>
    </sheetView>
  </sheetViews>
  <sheetFormatPr baseColWidth="10" defaultRowHeight="12.75"/>
  <cols>
    <col min="1" max="1" width="5.140625" style="311" customWidth="1"/>
    <col min="2" max="2" width="4.7109375" style="311" customWidth="1"/>
    <col min="3" max="3" width="40.7109375" style="311" customWidth="1"/>
    <col min="4" max="4" width="10.7109375" style="311" customWidth="1"/>
    <col min="5" max="7" width="12.7109375" style="311" customWidth="1"/>
    <col min="8" max="8" width="20.7109375" style="311" customWidth="1"/>
    <col min="9" max="10" width="12.7109375" style="311" customWidth="1"/>
    <col min="11" max="11" width="16" style="311" customWidth="1"/>
    <col min="12" max="12" width="77.140625" style="311" customWidth="1"/>
    <col min="13" max="258" width="11.42578125" style="311"/>
    <col min="259" max="259" width="40.5703125" style="311" customWidth="1"/>
    <col min="260" max="260" width="29.140625" style="311" customWidth="1"/>
    <col min="261" max="261" width="22.85546875" style="311" customWidth="1"/>
    <col min="262" max="262" width="18.85546875" style="311" customWidth="1"/>
    <col min="263" max="263" width="20" style="311" customWidth="1"/>
    <col min="264" max="514" width="11.42578125" style="311"/>
    <col min="515" max="515" width="40.5703125" style="311" customWidth="1"/>
    <col min="516" max="516" width="29.140625" style="311" customWidth="1"/>
    <col min="517" max="517" width="22.85546875" style="311" customWidth="1"/>
    <col min="518" max="518" width="18.85546875" style="311" customWidth="1"/>
    <col min="519" max="519" width="20" style="311" customWidth="1"/>
    <col min="520" max="770" width="11.42578125" style="311"/>
    <col min="771" max="771" width="40.5703125" style="311" customWidth="1"/>
    <col min="772" max="772" width="29.140625" style="311" customWidth="1"/>
    <col min="773" max="773" width="22.85546875" style="311" customWidth="1"/>
    <col min="774" max="774" width="18.85546875" style="311" customWidth="1"/>
    <col min="775" max="775" width="20" style="311" customWidth="1"/>
    <col min="776" max="1026" width="11.42578125" style="311"/>
    <col min="1027" max="1027" width="40.5703125" style="311" customWidth="1"/>
    <col min="1028" max="1028" width="29.140625" style="311" customWidth="1"/>
    <col min="1029" max="1029" width="22.85546875" style="311" customWidth="1"/>
    <col min="1030" max="1030" width="18.85546875" style="311" customWidth="1"/>
    <col min="1031" max="1031" width="20" style="311" customWidth="1"/>
    <col min="1032" max="1282" width="11.42578125" style="311"/>
    <col min="1283" max="1283" width="40.5703125" style="311" customWidth="1"/>
    <col min="1284" max="1284" width="29.140625" style="311" customWidth="1"/>
    <col min="1285" max="1285" width="22.85546875" style="311" customWidth="1"/>
    <col min="1286" max="1286" width="18.85546875" style="311" customWidth="1"/>
    <col min="1287" max="1287" width="20" style="311" customWidth="1"/>
    <col min="1288" max="1538" width="11.42578125" style="311"/>
    <col min="1539" max="1539" width="40.5703125" style="311" customWidth="1"/>
    <col min="1540" max="1540" width="29.140625" style="311" customWidth="1"/>
    <col min="1541" max="1541" width="22.85546875" style="311" customWidth="1"/>
    <col min="1542" max="1542" width="18.85546875" style="311" customWidth="1"/>
    <col min="1543" max="1543" width="20" style="311" customWidth="1"/>
    <col min="1544" max="1794" width="11.42578125" style="311"/>
    <col min="1795" max="1795" width="40.5703125" style="311" customWidth="1"/>
    <col min="1796" max="1796" width="29.140625" style="311" customWidth="1"/>
    <col min="1797" max="1797" width="22.85546875" style="311" customWidth="1"/>
    <col min="1798" max="1798" width="18.85546875" style="311" customWidth="1"/>
    <col min="1799" max="1799" width="20" style="311" customWidth="1"/>
    <col min="1800" max="2050" width="11.42578125" style="311"/>
    <col min="2051" max="2051" width="40.5703125" style="311" customWidth="1"/>
    <col min="2052" max="2052" width="29.140625" style="311" customWidth="1"/>
    <col min="2053" max="2053" width="22.85546875" style="311" customWidth="1"/>
    <col min="2054" max="2054" width="18.85546875" style="311" customWidth="1"/>
    <col min="2055" max="2055" width="20" style="311" customWidth="1"/>
    <col min="2056" max="2306" width="11.42578125" style="311"/>
    <col min="2307" max="2307" width="40.5703125" style="311" customWidth="1"/>
    <col min="2308" max="2308" width="29.140625" style="311" customWidth="1"/>
    <col min="2309" max="2309" width="22.85546875" style="311" customWidth="1"/>
    <col min="2310" max="2310" width="18.85546875" style="311" customWidth="1"/>
    <col min="2311" max="2311" width="20" style="311" customWidth="1"/>
    <col min="2312" max="2562" width="11.42578125" style="311"/>
    <col min="2563" max="2563" width="40.5703125" style="311" customWidth="1"/>
    <col min="2564" max="2564" width="29.140625" style="311" customWidth="1"/>
    <col min="2565" max="2565" width="22.85546875" style="311" customWidth="1"/>
    <col min="2566" max="2566" width="18.85546875" style="311" customWidth="1"/>
    <col min="2567" max="2567" width="20" style="311" customWidth="1"/>
    <col min="2568" max="2818" width="11.42578125" style="311"/>
    <col min="2819" max="2819" width="40.5703125" style="311" customWidth="1"/>
    <col min="2820" max="2820" width="29.140625" style="311" customWidth="1"/>
    <col min="2821" max="2821" width="22.85546875" style="311" customWidth="1"/>
    <col min="2822" max="2822" width="18.85546875" style="311" customWidth="1"/>
    <col min="2823" max="2823" width="20" style="311" customWidth="1"/>
    <col min="2824" max="3074" width="11.42578125" style="311"/>
    <col min="3075" max="3075" width="40.5703125" style="311" customWidth="1"/>
    <col min="3076" max="3076" width="29.140625" style="311" customWidth="1"/>
    <col min="3077" max="3077" width="22.85546875" style="311" customWidth="1"/>
    <col min="3078" max="3078" width="18.85546875" style="311" customWidth="1"/>
    <col min="3079" max="3079" width="20" style="311" customWidth="1"/>
    <col min="3080" max="3330" width="11.42578125" style="311"/>
    <col min="3331" max="3331" width="40.5703125" style="311" customWidth="1"/>
    <col min="3332" max="3332" width="29.140625" style="311" customWidth="1"/>
    <col min="3333" max="3333" width="22.85546875" style="311" customWidth="1"/>
    <col min="3334" max="3334" width="18.85546875" style="311" customWidth="1"/>
    <col min="3335" max="3335" width="20" style="311" customWidth="1"/>
    <col min="3336" max="3586" width="11.42578125" style="311"/>
    <col min="3587" max="3587" width="40.5703125" style="311" customWidth="1"/>
    <col min="3588" max="3588" width="29.140625" style="311" customWidth="1"/>
    <col min="3589" max="3589" width="22.85546875" style="311" customWidth="1"/>
    <col min="3590" max="3590" width="18.85546875" style="311" customWidth="1"/>
    <col min="3591" max="3591" width="20" style="311" customWidth="1"/>
    <col min="3592" max="3842" width="11.42578125" style="311"/>
    <col min="3843" max="3843" width="40.5703125" style="311" customWidth="1"/>
    <col min="3844" max="3844" width="29.140625" style="311" customWidth="1"/>
    <col min="3845" max="3845" width="22.85546875" style="311" customWidth="1"/>
    <col min="3846" max="3846" width="18.85546875" style="311" customWidth="1"/>
    <col min="3847" max="3847" width="20" style="311" customWidth="1"/>
    <col min="3848" max="4098" width="11.42578125" style="311"/>
    <col min="4099" max="4099" width="40.5703125" style="311" customWidth="1"/>
    <col min="4100" max="4100" width="29.140625" style="311" customWidth="1"/>
    <col min="4101" max="4101" width="22.85546875" style="311" customWidth="1"/>
    <col min="4102" max="4102" width="18.85546875" style="311" customWidth="1"/>
    <col min="4103" max="4103" width="20" style="311" customWidth="1"/>
    <col min="4104" max="4354" width="11.42578125" style="311"/>
    <col min="4355" max="4355" width="40.5703125" style="311" customWidth="1"/>
    <col min="4356" max="4356" width="29.140625" style="311" customWidth="1"/>
    <col min="4357" max="4357" width="22.85546875" style="311" customWidth="1"/>
    <col min="4358" max="4358" width="18.85546875" style="311" customWidth="1"/>
    <col min="4359" max="4359" width="20" style="311" customWidth="1"/>
    <col min="4360" max="4610" width="11.42578125" style="311"/>
    <col min="4611" max="4611" width="40.5703125" style="311" customWidth="1"/>
    <col min="4612" max="4612" width="29.140625" style="311" customWidth="1"/>
    <col min="4613" max="4613" width="22.85546875" style="311" customWidth="1"/>
    <col min="4614" max="4614" width="18.85546875" style="311" customWidth="1"/>
    <col min="4615" max="4615" width="20" style="311" customWidth="1"/>
    <col min="4616" max="4866" width="11.42578125" style="311"/>
    <col min="4867" max="4867" width="40.5703125" style="311" customWidth="1"/>
    <col min="4868" max="4868" width="29.140625" style="311" customWidth="1"/>
    <col min="4869" max="4869" width="22.85546875" style="311" customWidth="1"/>
    <col min="4870" max="4870" width="18.85546875" style="311" customWidth="1"/>
    <col min="4871" max="4871" width="20" style="311" customWidth="1"/>
    <col min="4872" max="5122" width="11.42578125" style="311"/>
    <col min="5123" max="5123" width="40.5703125" style="311" customWidth="1"/>
    <col min="5124" max="5124" width="29.140625" style="311" customWidth="1"/>
    <col min="5125" max="5125" width="22.85546875" style="311" customWidth="1"/>
    <col min="5126" max="5126" width="18.85546875" style="311" customWidth="1"/>
    <col min="5127" max="5127" width="20" style="311" customWidth="1"/>
    <col min="5128" max="5378" width="11.42578125" style="311"/>
    <col min="5379" max="5379" width="40.5703125" style="311" customWidth="1"/>
    <col min="5380" max="5380" width="29.140625" style="311" customWidth="1"/>
    <col min="5381" max="5381" width="22.85546875" style="311" customWidth="1"/>
    <col min="5382" max="5382" width="18.85546875" style="311" customWidth="1"/>
    <col min="5383" max="5383" width="20" style="311" customWidth="1"/>
    <col min="5384" max="5634" width="11.42578125" style="311"/>
    <col min="5635" max="5635" width="40.5703125" style="311" customWidth="1"/>
    <col min="5636" max="5636" width="29.140625" style="311" customWidth="1"/>
    <col min="5637" max="5637" width="22.85546875" style="311" customWidth="1"/>
    <col min="5638" max="5638" width="18.85546875" style="311" customWidth="1"/>
    <col min="5639" max="5639" width="20" style="311" customWidth="1"/>
    <col min="5640" max="5890" width="11.42578125" style="311"/>
    <col min="5891" max="5891" width="40.5703125" style="311" customWidth="1"/>
    <col min="5892" max="5892" width="29.140625" style="311" customWidth="1"/>
    <col min="5893" max="5893" width="22.85546875" style="311" customWidth="1"/>
    <col min="5894" max="5894" width="18.85546875" style="311" customWidth="1"/>
    <col min="5895" max="5895" width="20" style="311" customWidth="1"/>
    <col min="5896" max="6146" width="11.42578125" style="311"/>
    <col min="6147" max="6147" width="40.5703125" style="311" customWidth="1"/>
    <col min="6148" max="6148" width="29.140625" style="311" customWidth="1"/>
    <col min="6149" max="6149" width="22.85546875" style="311" customWidth="1"/>
    <col min="6150" max="6150" width="18.85546875" style="311" customWidth="1"/>
    <col min="6151" max="6151" width="20" style="311" customWidth="1"/>
    <col min="6152" max="6402" width="11.42578125" style="311"/>
    <col min="6403" max="6403" width="40.5703125" style="311" customWidth="1"/>
    <col min="6404" max="6404" width="29.140625" style="311" customWidth="1"/>
    <col min="6405" max="6405" width="22.85546875" style="311" customWidth="1"/>
    <col min="6406" max="6406" width="18.85546875" style="311" customWidth="1"/>
    <col min="6407" max="6407" width="20" style="311" customWidth="1"/>
    <col min="6408" max="6658" width="11.42578125" style="311"/>
    <col min="6659" max="6659" width="40.5703125" style="311" customWidth="1"/>
    <col min="6660" max="6660" width="29.140625" style="311" customWidth="1"/>
    <col min="6661" max="6661" width="22.85546875" style="311" customWidth="1"/>
    <col min="6662" max="6662" width="18.85546875" style="311" customWidth="1"/>
    <col min="6663" max="6663" width="20" style="311" customWidth="1"/>
    <col min="6664" max="6914" width="11.42578125" style="311"/>
    <col min="6915" max="6915" width="40.5703125" style="311" customWidth="1"/>
    <col min="6916" max="6916" width="29.140625" style="311" customWidth="1"/>
    <col min="6917" max="6917" width="22.85546875" style="311" customWidth="1"/>
    <col min="6918" max="6918" width="18.85546875" style="311" customWidth="1"/>
    <col min="6919" max="6919" width="20" style="311" customWidth="1"/>
    <col min="6920" max="7170" width="11.42578125" style="311"/>
    <col min="7171" max="7171" width="40.5703125" style="311" customWidth="1"/>
    <col min="7172" max="7172" width="29.140625" style="311" customWidth="1"/>
    <col min="7173" max="7173" width="22.85546875" style="311" customWidth="1"/>
    <col min="7174" max="7174" width="18.85546875" style="311" customWidth="1"/>
    <col min="7175" max="7175" width="20" style="311" customWidth="1"/>
    <col min="7176" max="7426" width="11.42578125" style="311"/>
    <col min="7427" max="7427" width="40.5703125" style="311" customWidth="1"/>
    <col min="7428" max="7428" width="29.140625" style="311" customWidth="1"/>
    <col min="7429" max="7429" width="22.85546875" style="311" customWidth="1"/>
    <col min="7430" max="7430" width="18.85546875" style="311" customWidth="1"/>
    <col min="7431" max="7431" width="20" style="311" customWidth="1"/>
    <col min="7432" max="7682" width="11.42578125" style="311"/>
    <col min="7683" max="7683" width="40.5703125" style="311" customWidth="1"/>
    <col min="7684" max="7684" width="29.140625" style="311" customWidth="1"/>
    <col min="7685" max="7685" width="22.85546875" style="311" customWidth="1"/>
    <col min="7686" max="7686" width="18.85546875" style="311" customWidth="1"/>
    <col min="7687" max="7687" width="20" style="311" customWidth="1"/>
    <col min="7688" max="7938" width="11.42578125" style="311"/>
    <col min="7939" max="7939" width="40.5703125" style="311" customWidth="1"/>
    <col min="7940" max="7940" width="29.140625" style="311" customWidth="1"/>
    <col min="7941" max="7941" width="22.85546875" style="311" customWidth="1"/>
    <col min="7942" max="7942" width="18.85546875" style="311" customWidth="1"/>
    <col min="7943" max="7943" width="20" style="311" customWidth="1"/>
    <col min="7944" max="8194" width="11.42578125" style="311"/>
    <col min="8195" max="8195" width="40.5703125" style="311" customWidth="1"/>
    <col min="8196" max="8196" width="29.140625" style="311" customWidth="1"/>
    <col min="8197" max="8197" width="22.85546875" style="311" customWidth="1"/>
    <col min="8198" max="8198" width="18.85546875" style="311" customWidth="1"/>
    <col min="8199" max="8199" width="20" style="311" customWidth="1"/>
    <col min="8200" max="8450" width="11.42578125" style="311"/>
    <col min="8451" max="8451" width="40.5703125" style="311" customWidth="1"/>
    <col min="8452" max="8452" width="29.140625" style="311" customWidth="1"/>
    <col min="8453" max="8453" width="22.85546875" style="311" customWidth="1"/>
    <col min="8454" max="8454" width="18.85546875" style="311" customWidth="1"/>
    <col min="8455" max="8455" width="20" style="311" customWidth="1"/>
    <col min="8456" max="8706" width="11.42578125" style="311"/>
    <col min="8707" max="8707" width="40.5703125" style="311" customWidth="1"/>
    <col min="8708" max="8708" width="29.140625" style="311" customWidth="1"/>
    <col min="8709" max="8709" width="22.85546875" style="311" customWidth="1"/>
    <col min="8710" max="8710" width="18.85546875" style="311" customWidth="1"/>
    <col min="8711" max="8711" width="20" style="311" customWidth="1"/>
    <col min="8712" max="8962" width="11.42578125" style="311"/>
    <col min="8963" max="8963" width="40.5703125" style="311" customWidth="1"/>
    <col min="8964" max="8964" width="29.140625" style="311" customWidth="1"/>
    <col min="8965" max="8965" width="22.85546875" style="311" customWidth="1"/>
    <col min="8966" max="8966" width="18.85546875" style="311" customWidth="1"/>
    <col min="8967" max="8967" width="20" style="311" customWidth="1"/>
    <col min="8968" max="9218" width="11.42578125" style="311"/>
    <col min="9219" max="9219" width="40.5703125" style="311" customWidth="1"/>
    <col min="9220" max="9220" width="29.140625" style="311" customWidth="1"/>
    <col min="9221" max="9221" width="22.85546875" style="311" customWidth="1"/>
    <col min="9222" max="9222" width="18.85546875" style="311" customWidth="1"/>
    <col min="9223" max="9223" width="20" style="311" customWidth="1"/>
    <col min="9224" max="9474" width="11.42578125" style="311"/>
    <col min="9475" max="9475" width="40.5703125" style="311" customWidth="1"/>
    <col min="9476" max="9476" width="29.140625" style="311" customWidth="1"/>
    <col min="9477" max="9477" width="22.85546875" style="311" customWidth="1"/>
    <col min="9478" max="9478" width="18.85546875" style="311" customWidth="1"/>
    <col min="9479" max="9479" width="20" style="311" customWidth="1"/>
    <col min="9480" max="9730" width="11.42578125" style="311"/>
    <col min="9731" max="9731" width="40.5703125" style="311" customWidth="1"/>
    <col min="9732" max="9732" width="29.140625" style="311" customWidth="1"/>
    <col min="9733" max="9733" width="22.85546875" style="311" customWidth="1"/>
    <col min="9734" max="9734" width="18.85546875" style="311" customWidth="1"/>
    <col min="9735" max="9735" width="20" style="311" customWidth="1"/>
    <col min="9736" max="9986" width="11.42578125" style="311"/>
    <col min="9987" max="9987" width="40.5703125" style="311" customWidth="1"/>
    <col min="9988" max="9988" width="29.140625" style="311" customWidth="1"/>
    <col min="9989" max="9989" width="22.85546875" style="311" customWidth="1"/>
    <col min="9990" max="9990" width="18.85546875" style="311" customWidth="1"/>
    <col min="9991" max="9991" width="20" style="311" customWidth="1"/>
    <col min="9992" max="10242" width="11.42578125" style="311"/>
    <col min="10243" max="10243" width="40.5703125" style="311" customWidth="1"/>
    <col min="10244" max="10244" width="29.140625" style="311" customWidth="1"/>
    <col min="10245" max="10245" width="22.85546875" style="311" customWidth="1"/>
    <col min="10246" max="10246" width="18.85546875" style="311" customWidth="1"/>
    <col min="10247" max="10247" width="20" style="311" customWidth="1"/>
    <col min="10248" max="10498" width="11.42578125" style="311"/>
    <col min="10499" max="10499" width="40.5703125" style="311" customWidth="1"/>
    <col min="10500" max="10500" width="29.140625" style="311" customWidth="1"/>
    <col min="10501" max="10501" width="22.85546875" style="311" customWidth="1"/>
    <col min="10502" max="10502" width="18.85546875" style="311" customWidth="1"/>
    <col min="10503" max="10503" width="20" style="311" customWidth="1"/>
    <col min="10504" max="10754" width="11.42578125" style="311"/>
    <col min="10755" max="10755" width="40.5703125" style="311" customWidth="1"/>
    <col min="10756" max="10756" width="29.140625" style="311" customWidth="1"/>
    <col min="10757" max="10757" width="22.85546875" style="311" customWidth="1"/>
    <col min="10758" max="10758" width="18.85546875" style="311" customWidth="1"/>
    <col min="10759" max="10759" width="20" style="311" customWidth="1"/>
    <col min="10760" max="11010" width="11.42578125" style="311"/>
    <col min="11011" max="11011" width="40.5703125" style="311" customWidth="1"/>
    <col min="11012" max="11012" width="29.140625" style="311" customWidth="1"/>
    <col min="11013" max="11013" width="22.85546875" style="311" customWidth="1"/>
    <col min="11014" max="11014" width="18.85546875" style="311" customWidth="1"/>
    <col min="11015" max="11015" width="20" style="311" customWidth="1"/>
    <col min="11016" max="11266" width="11.42578125" style="311"/>
    <col min="11267" max="11267" width="40.5703125" style="311" customWidth="1"/>
    <col min="11268" max="11268" width="29.140625" style="311" customWidth="1"/>
    <col min="11269" max="11269" width="22.85546875" style="311" customWidth="1"/>
    <col min="11270" max="11270" width="18.85546875" style="311" customWidth="1"/>
    <col min="11271" max="11271" width="20" style="311" customWidth="1"/>
    <col min="11272" max="11522" width="11.42578125" style="311"/>
    <col min="11523" max="11523" width="40.5703125" style="311" customWidth="1"/>
    <col min="11524" max="11524" width="29.140625" style="311" customWidth="1"/>
    <col min="11525" max="11525" width="22.85546875" style="311" customWidth="1"/>
    <col min="11526" max="11526" width="18.85546875" style="311" customWidth="1"/>
    <col min="11527" max="11527" width="20" style="311" customWidth="1"/>
    <col min="11528" max="11778" width="11.42578125" style="311"/>
    <col min="11779" max="11779" width="40.5703125" style="311" customWidth="1"/>
    <col min="11780" max="11780" width="29.140625" style="311" customWidth="1"/>
    <col min="11781" max="11781" width="22.85546875" style="311" customWidth="1"/>
    <col min="11782" max="11782" width="18.85546875" style="311" customWidth="1"/>
    <col min="11783" max="11783" width="20" style="311" customWidth="1"/>
    <col min="11784" max="12034" width="11.42578125" style="311"/>
    <col min="12035" max="12035" width="40.5703125" style="311" customWidth="1"/>
    <col min="12036" max="12036" width="29.140625" style="311" customWidth="1"/>
    <col min="12037" max="12037" width="22.85546875" style="311" customWidth="1"/>
    <col min="12038" max="12038" width="18.85546875" style="311" customWidth="1"/>
    <col min="12039" max="12039" width="20" style="311" customWidth="1"/>
    <col min="12040" max="12290" width="11.42578125" style="311"/>
    <col min="12291" max="12291" width="40.5703125" style="311" customWidth="1"/>
    <col min="12292" max="12292" width="29.140625" style="311" customWidth="1"/>
    <col min="12293" max="12293" width="22.85546875" style="311" customWidth="1"/>
    <col min="12294" max="12294" width="18.85546875" style="311" customWidth="1"/>
    <col min="12295" max="12295" width="20" style="311" customWidth="1"/>
    <col min="12296" max="12546" width="11.42578125" style="311"/>
    <col min="12547" max="12547" width="40.5703125" style="311" customWidth="1"/>
    <col min="12548" max="12548" width="29.140625" style="311" customWidth="1"/>
    <col min="12549" max="12549" width="22.85546875" style="311" customWidth="1"/>
    <col min="12550" max="12550" width="18.85546875" style="311" customWidth="1"/>
    <col min="12551" max="12551" width="20" style="311" customWidth="1"/>
    <col min="12552" max="12802" width="11.42578125" style="311"/>
    <col min="12803" max="12803" width="40.5703125" style="311" customWidth="1"/>
    <col min="12804" max="12804" width="29.140625" style="311" customWidth="1"/>
    <col min="12805" max="12805" width="22.85546875" style="311" customWidth="1"/>
    <col min="12806" max="12806" width="18.85546875" style="311" customWidth="1"/>
    <col min="12807" max="12807" width="20" style="311" customWidth="1"/>
    <col min="12808" max="13058" width="11.42578125" style="311"/>
    <col min="13059" max="13059" width="40.5703125" style="311" customWidth="1"/>
    <col min="13060" max="13060" width="29.140625" style="311" customWidth="1"/>
    <col min="13061" max="13061" width="22.85546875" style="311" customWidth="1"/>
    <col min="13062" max="13062" width="18.85546875" style="311" customWidth="1"/>
    <col min="13063" max="13063" width="20" style="311" customWidth="1"/>
    <col min="13064" max="13314" width="11.42578125" style="311"/>
    <col min="13315" max="13315" width="40.5703125" style="311" customWidth="1"/>
    <col min="13316" max="13316" width="29.140625" style="311" customWidth="1"/>
    <col min="13317" max="13317" width="22.85546875" style="311" customWidth="1"/>
    <col min="13318" max="13318" width="18.85546875" style="311" customWidth="1"/>
    <col min="13319" max="13319" width="20" style="311" customWidth="1"/>
    <col min="13320" max="13570" width="11.42578125" style="311"/>
    <col min="13571" max="13571" width="40.5703125" style="311" customWidth="1"/>
    <col min="13572" max="13572" width="29.140625" style="311" customWidth="1"/>
    <col min="13573" max="13573" width="22.85546875" style="311" customWidth="1"/>
    <col min="13574" max="13574" width="18.85546875" style="311" customWidth="1"/>
    <col min="13575" max="13575" width="20" style="311" customWidth="1"/>
    <col min="13576" max="13826" width="11.42578125" style="311"/>
    <col min="13827" max="13827" width="40.5703125" style="311" customWidth="1"/>
    <col min="13828" max="13828" width="29.140625" style="311" customWidth="1"/>
    <col min="13829" max="13829" width="22.85546875" style="311" customWidth="1"/>
    <col min="13830" max="13830" width="18.85546875" style="311" customWidth="1"/>
    <col min="13831" max="13831" width="20" style="311" customWidth="1"/>
    <col min="13832" max="14082" width="11.42578125" style="311"/>
    <col min="14083" max="14083" width="40.5703125" style="311" customWidth="1"/>
    <col min="14084" max="14084" width="29.140625" style="311" customWidth="1"/>
    <col min="14085" max="14085" width="22.85546875" style="311" customWidth="1"/>
    <col min="14086" max="14086" width="18.85546875" style="311" customWidth="1"/>
    <col min="14087" max="14087" width="20" style="311" customWidth="1"/>
    <col min="14088" max="14338" width="11.42578125" style="311"/>
    <col min="14339" max="14339" width="40.5703125" style="311" customWidth="1"/>
    <col min="14340" max="14340" width="29.140625" style="311" customWidth="1"/>
    <col min="14341" max="14341" width="22.85546875" style="311" customWidth="1"/>
    <col min="14342" max="14342" width="18.85546875" style="311" customWidth="1"/>
    <col min="14343" max="14343" width="20" style="311" customWidth="1"/>
    <col min="14344" max="14594" width="11.42578125" style="311"/>
    <col min="14595" max="14595" width="40.5703125" style="311" customWidth="1"/>
    <col min="14596" max="14596" width="29.140625" style="311" customWidth="1"/>
    <col min="14597" max="14597" width="22.85546875" style="311" customWidth="1"/>
    <col min="14598" max="14598" width="18.85546875" style="311" customWidth="1"/>
    <col min="14599" max="14599" width="20" style="311" customWidth="1"/>
    <col min="14600" max="14850" width="11.42578125" style="311"/>
    <col min="14851" max="14851" width="40.5703125" style="311" customWidth="1"/>
    <col min="14852" max="14852" width="29.140625" style="311" customWidth="1"/>
    <col min="14853" max="14853" width="22.85546875" style="311" customWidth="1"/>
    <col min="14854" max="14854" width="18.85546875" style="311" customWidth="1"/>
    <col min="14855" max="14855" width="20" style="311" customWidth="1"/>
    <col min="14856" max="15106" width="11.42578125" style="311"/>
    <col min="15107" max="15107" width="40.5703125" style="311" customWidth="1"/>
    <col min="15108" max="15108" width="29.140625" style="311" customWidth="1"/>
    <col min="15109" max="15109" width="22.85546875" style="311" customWidth="1"/>
    <col min="15110" max="15110" width="18.85546875" style="311" customWidth="1"/>
    <col min="15111" max="15111" width="20" style="311" customWidth="1"/>
    <col min="15112" max="15362" width="11.42578125" style="311"/>
    <col min="15363" max="15363" width="40.5703125" style="311" customWidth="1"/>
    <col min="15364" max="15364" width="29.140625" style="311" customWidth="1"/>
    <col min="15365" max="15365" width="22.85546875" style="311" customWidth="1"/>
    <col min="15366" max="15366" width="18.85546875" style="311" customWidth="1"/>
    <col min="15367" max="15367" width="20" style="311" customWidth="1"/>
    <col min="15368" max="15618" width="11.42578125" style="311"/>
    <col min="15619" max="15619" width="40.5703125" style="311" customWidth="1"/>
    <col min="15620" max="15620" width="29.140625" style="311" customWidth="1"/>
    <col min="15621" max="15621" width="22.85546875" style="311" customWidth="1"/>
    <col min="15622" max="15622" width="18.85546875" style="311" customWidth="1"/>
    <col min="15623" max="15623" width="20" style="311" customWidth="1"/>
    <col min="15624" max="15874" width="11.42578125" style="311"/>
    <col min="15875" max="15875" width="40.5703125" style="311" customWidth="1"/>
    <col min="15876" max="15876" width="29.140625" style="311" customWidth="1"/>
    <col min="15877" max="15877" width="22.85546875" style="311" customWidth="1"/>
    <col min="15878" max="15878" width="18.85546875" style="311" customWidth="1"/>
    <col min="15879" max="15879" width="20" style="311" customWidth="1"/>
    <col min="15880" max="16130" width="11.42578125" style="311"/>
    <col min="16131" max="16131" width="40.5703125" style="311" customWidth="1"/>
    <col min="16132" max="16132" width="29.140625" style="311" customWidth="1"/>
    <col min="16133" max="16133" width="22.85546875" style="311" customWidth="1"/>
    <col min="16134" max="16134" width="18.85546875" style="311" customWidth="1"/>
    <col min="16135" max="16135" width="20" style="311" customWidth="1"/>
    <col min="16136" max="16384" width="11.42578125" style="311"/>
  </cols>
  <sheetData>
    <row r="1" spans="1:21" ht="15.75" thickTop="1">
      <c r="A1" s="2732" t="str">
        <f>ADDRESS(ROW(),COLUMN(),4)</f>
        <v>A1</v>
      </c>
      <c r="C1" s="2726" t="str">
        <f t="shared" ref="C1:J1" si="0">SUBSTITUTE(ADDRESS(1,COLUMN(),4),"1","")</f>
        <v>C</v>
      </c>
      <c r="D1" s="2726" t="str">
        <f t="shared" si="0"/>
        <v>D</v>
      </c>
      <c r="E1" s="2726" t="str">
        <f t="shared" si="0"/>
        <v>E</v>
      </c>
      <c r="F1" s="2726" t="str">
        <f t="shared" si="0"/>
        <v>F</v>
      </c>
      <c r="G1" s="2726" t="str">
        <f t="shared" si="0"/>
        <v>G</v>
      </c>
      <c r="H1" s="2726" t="str">
        <f t="shared" si="0"/>
        <v>H</v>
      </c>
      <c r="I1" s="2726" t="str">
        <f t="shared" si="0"/>
        <v>I</v>
      </c>
      <c r="J1" s="2726" t="str">
        <f t="shared" si="0"/>
        <v>J</v>
      </c>
      <c r="K1" s="7723" t="s">
        <v>7035</v>
      </c>
      <c r="U1" s="2730">
        <v>1</v>
      </c>
    </row>
    <row r="2" spans="1:21">
      <c r="C2" s="2727">
        <f t="shared" ref="C2:J2" ca="1" si="1">CELL("largeur",C2)</f>
        <v>40</v>
      </c>
      <c r="D2" s="2727">
        <f t="shared" ca="1" si="1"/>
        <v>10</v>
      </c>
      <c r="E2" s="2727">
        <f t="shared" ca="1" si="1"/>
        <v>12</v>
      </c>
      <c r="F2" s="2727">
        <f t="shared" ca="1" si="1"/>
        <v>12</v>
      </c>
      <c r="G2" s="2727">
        <f t="shared" ca="1" si="1"/>
        <v>12</v>
      </c>
      <c r="H2" s="2727">
        <f t="shared" ca="1" si="1"/>
        <v>20</v>
      </c>
      <c r="I2" s="2727">
        <f t="shared" ca="1" si="1"/>
        <v>12</v>
      </c>
      <c r="J2" s="2727">
        <f t="shared" ca="1" si="1"/>
        <v>12</v>
      </c>
      <c r="K2" s="7723"/>
      <c r="U2" s="2730">
        <v>1</v>
      </c>
    </row>
    <row r="3" spans="1:21" ht="22.5">
      <c r="C3" s="2728">
        <v>40</v>
      </c>
      <c r="D3" s="2728">
        <v>10</v>
      </c>
      <c r="E3" s="2728">
        <v>12</v>
      </c>
      <c r="F3" s="2728">
        <v>12</v>
      </c>
      <c r="G3" s="2728">
        <v>12</v>
      </c>
      <c r="H3" s="2728">
        <v>20</v>
      </c>
      <c r="I3" s="2728">
        <v>12</v>
      </c>
      <c r="J3" s="2728">
        <v>12</v>
      </c>
      <c r="K3" s="2729" t="s">
        <v>7036</v>
      </c>
      <c r="R3" s="2769" t="s">
        <v>7044</v>
      </c>
      <c r="S3" s="2926" t="str">
        <f>$U$60</f>
        <v>U60</v>
      </c>
      <c r="U3" s="2730">
        <v>1</v>
      </c>
    </row>
    <row r="4" spans="1:21">
      <c r="U4" s="2730">
        <v>1</v>
      </c>
    </row>
    <row r="5" spans="1:21">
      <c r="C5" s="7728" t="s">
        <v>1769</v>
      </c>
      <c r="D5" s="7728"/>
      <c r="E5" s="7728"/>
      <c r="F5" s="7728"/>
      <c r="G5" s="7728"/>
      <c r="H5" s="7728"/>
      <c r="I5" s="7728"/>
      <c r="J5" s="7728"/>
      <c r="U5" s="2730">
        <v>1</v>
      </c>
    </row>
    <row r="6" spans="1:21">
      <c r="C6" s="7728"/>
      <c r="D6" s="7728"/>
      <c r="E6" s="7728"/>
      <c r="F6" s="7728"/>
      <c r="G6" s="7728"/>
      <c r="H6" s="7728"/>
      <c r="I6" s="7728"/>
      <c r="J6" s="7728"/>
      <c r="U6" s="2730">
        <v>1</v>
      </c>
    </row>
    <row r="7" spans="1:21">
      <c r="C7" s="7728"/>
      <c r="D7" s="7728"/>
      <c r="E7" s="7728"/>
      <c r="F7" s="7728"/>
      <c r="G7" s="7728"/>
      <c r="H7" s="7728"/>
      <c r="I7" s="7728"/>
      <c r="J7" s="7728"/>
      <c r="U7" s="2730">
        <v>1</v>
      </c>
    </row>
    <row r="8" spans="1:21">
      <c r="U8" s="2730">
        <v>1</v>
      </c>
    </row>
    <row r="9" spans="1:21" ht="13.5" thickBot="1">
      <c r="U9" s="2730">
        <v>1</v>
      </c>
    </row>
    <row r="10" spans="1:21" ht="18.95" customHeight="1">
      <c r="B10" s="2933" t="s">
        <v>67</v>
      </c>
      <c r="C10" s="7729" t="s">
        <v>1770</v>
      </c>
      <c r="D10" s="7729"/>
      <c r="E10" s="7729"/>
      <c r="F10" s="7729"/>
      <c r="G10" s="7729"/>
      <c r="H10" s="7729"/>
      <c r="I10" s="7729"/>
      <c r="J10" s="7731" t="s">
        <v>65</v>
      </c>
      <c r="U10" s="2730">
        <v>1</v>
      </c>
    </row>
    <row r="11" spans="1:21" ht="18.95" customHeight="1">
      <c r="B11" s="2928" t="s">
        <v>337</v>
      </c>
      <c r="C11" s="7730"/>
      <c r="D11" s="7730"/>
      <c r="E11" s="7730"/>
      <c r="F11" s="7730"/>
      <c r="G11" s="7730"/>
      <c r="H11" s="7730"/>
      <c r="I11" s="7730"/>
      <c r="J11" s="7732"/>
      <c r="U11" s="2730">
        <v>1</v>
      </c>
    </row>
    <row r="12" spans="1:21" ht="18.95" customHeight="1">
      <c r="B12" s="2928" t="s">
        <v>337</v>
      </c>
      <c r="C12" s="7733" t="s">
        <v>1771</v>
      </c>
      <c r="D12" s="7733"/>
      <c r="E12" s="7733"/>
      <c r="F12" s="7733"/>
      <c r="G12" s="7733"/>
      <c r="H12" s="7733"/>
      <c r="I12" s="7733"/>
      <c r="J12" s="7734"/>
      <c r="U12" s="2730">
        <v>1</v>
      </c>
    </row>
    <row r="13" spans="1:21" ht="18.95" customHeight="1">
      <c r="B13" s="2928" t="s">
        <v>337</v>
      </c>
      <c r="C13" s="2735"/>
      <c r="D13" s="2735"/>
      <c r="E13" s="1065"/>
      <c r="F13" s="7724" t="s">
        <v>1772</v>
      </c>
      <c r="G13" s="7724"/>
      <c r="H13" s="7726">
        <v>20</v>
      </c>
      <c r="I13" s="1067"/>
      <c r="J13" s="1068"/>
      <c r="U13" s="2730">
        <v>1</v>
      </c>
    </row>
    <row r="14" spans="1:21" ht="18.95" customHeight="1">
      <c r="B14" s="2928" t="s">
        <v>337</v>
      </c>
      <c r="C14" s="2945"/>
      <c r="D14" s="2945"/>
      <c r="E14" s="1066"/>
      <c r="F14" s="7725"/>
      <c r="G14" s="7725"/>
      <c r="H14" s="7727"/>
      <c r="I14" s="1069"/>
      <c r="J14" s="1070"/>
      <c r="U14" s="2730">
        <v>1</v>
      </c>
    </row>
    <row r="15" spans="1:21" ht="18.95" customHeight="1">
      <c r="B15" s="2928" t="s">
        <v>337</v>
      </c>
      <c r="C15" s="2946" t="s">
        <v>1253</v>
      </c>
      <c r="D15" s="7616" t="s">
        <v>16246</v>
      </c>
      <c r="E15" s="1018" t="s">
        <v>1773</v>
      </c>
      <c r="F15" s="1019" t="s">
        <v>1282</v>
      </c>
      <c r="G15" s="1020" t="s">
        <v>19</v>
      </c>
      <c r="H15" s="1105" t="s">
        <v>1774</v>
      </c>
      <c r="I15" s="1102" t="s">
        <v>1781</v>
      </c>
      <c r="J15" s="1021" t="s">
        <v>1254</v>
      </c>
      <c r="U15" s="2730">
        <v>1</v>
      </c>
    </row>
    <row r="16" spans="1:21" ht="18.95" customHeight="1">
      <c r="B16" s="2928" t="s">
        <v>337</v>
      </c>
      <c r="C16" s="1101" t="s">
        <v>1255</v>
      </c>
      <c r="D16" s="7704" t="s">
        <v>10486</v>
      </c>
      <c r="E16" s="1022">
        <v>34</v>
      </c>
      <c r="F16" s="7599">
        <f>E16/E27*1000</f>
        <v>324.19547079856977</v>
      </c>
      <c r="G16" s="1024">
        <f>E16/E27</f>
        <v>0.32419547079856975</v>
      </c>
      <c r="H16" s="1025">
        <f>G16*H13</f>
        <v>6.4839094159713948</v>
      </c>
      <c r="I16" s="1026"/>
      <c r="J16" s="1027">
        <f t="shared" ref="J16:J26" si="2">H16*I16</f>
        <v>0</v>
      </c>
      <c r="U16" s="2730">
        <v>1</v>
      </c>
    </row>
    <row r="17" spans="2:21" ht="18.95" customHeight="1">
      <c r="B17" s="2738" t="str">
        <f t="shared" ref="B17" si="3">IF(E17&lt;&gt;"","A","►")</f>
        <v>A</v>
      </c>
      <c r="C17" s="1100" t="s">
        <v>1256</v>
      </c>
      <c r="D17" s="7704" t="s">
        <v>10486</v>
      </c>
      <c r="E17" s="1028">
        <v>16</v>
      </c>
      <c r="F17" s="7600">
        <f>E17/E27*1000</f>
        <v>152.56257449344457</v>
      </c>
      <c r="G17" s="1030">
        <f>E17/E27</f>
        <v>0.15256257449344457</v>
      </c>
      <c r="H17" s="1031">
        <f>G17*H13</f>
        <v>3.0512514898688914</v>
      </c>
      <c r="I17" s="1032">
        <v>0</v>
      </c>
      <c r="J17" s="1033">
        <f t="shared" si="2"/>
        <v>0</v>
      </c>
      <c r="U17" s="2730">
        <v>1</v>
      </c>
    </row>
    <row r="18" spans="2:21" ht="18.95" customHeight="1">
      <c r="B18" s="2738" t="str">
        <f>IF(E18&lt;&gt;"","A","►")</f>
        <v>A</v>
      </c>
      <c r="C18" s="1101" t="s">
        <v>1257</v>
      </c>
      <c r="D18" s="7704" t="s">
        <v>10486</v>
      </c>
      <c r="E18" s="1022">
        <v>16</v>
      </c>
      <c r="F18" s="7599">
        <f>E18/E27*1000</f>
        <v>152.56257449344457</v>
      </c>
      <c r="G18" s="1024">
        <f>E18/E27</f>
        <v>0.15256257449344457</v>
      </c>
      <c r="H18" s="1034">
        <f>G18*H13</f>
        <v>3.0512514898688914</v>
      </c>
      <c r="I18" s="1026">
        <v>0</v>
      </c>
      <c r="J18" s="1027">
        <f t="shared" si="2"/>
        <v>0</v>
      </c>
      <c r="U18" s="2730">
        <v>1</v>
      </c>
    </row>
    <row r="19" spans="2:21" ht="18.95" customHeight="1">
      <c r="B19" s="2738" t="str">
        <f t="shared" ref="B19:B26" si="4">IF(E19&lt;&gt;"","A","►")</f>
        <v>A</v>
      </c>
      <c r="C19" s="1100" t="s">
        <v>17871</v>
      </c>
      <c r="D19" s="7704" t="s">
        <v>17874</v>
      </c>
      <c r="E19" s="1028">
        <v>30</v>
      </c>
      <c r="F19" s="7600">
        <f>E19/E27*1000</f>
        <v>286.05482717520857</v>
      </c>
      <c r="G19" s="1030">
        <f>E19/E27</f>
        <v>0.28605482717520858</v>
      </c>
      <c r="H19" s="1031">
        <f>G19*H13</f>
        <v>5.7210965435041716</v>
      </c>
      <c r="I19" s="1032">
        <v>0</v>
      </c>
      <c r="J19" s="1033">
        <f t="shared" si="2"/>
        <v>0</v>
      </c>
      <c r="U19" s="2730">
        <v>1</v>
      </c>
    </row>
    <row r="20" spans="2:21" ht="18.95" customHeight="1">
      <c r="B20" s="2738" t="str">
        <f t="shared" si="4"/>
        <v>A</v>
      </c>
      <c r="C20" s="1101" t="s">
        <v>17872</v>
      </c>
      <c r="D20" s="7704" t="s">
        <v>17875</v>
      </c>
      <c r="E20" s="1022">
        <v>6</v>
      </c>
      <c r="F20" s="7599">
        <f>E20/E27*1000</f>
        <v>57.210965435041714</v>
      </c>
      <c r="G20" s="1024">
        <f>E20/E27</f>
        <v>5.7210965435041714E-2</v>
      </c>
      <c r="H20" s="1034">
        <f>G20*H13</f>
        <v>1.1442193087008343</v>
      </c>
      <c r="I20" s="1026">
        <v>0</v>
      </c>
      <c r="J20" s="1027">
        <f t="shared" si="2"/>
        <v>0</v>
      </c>
      <c r="U20" s="2730">
        <v>1</v>
      </c>
    </row>
    <row r="21" spans="2:21" ht="18.95" customHeight="1">
      <c r="B21" s="2738" t="str">
        <f t="shared" si="4"/>
        <v>A</v>
      </c>
      <c r="C21" s="1100" t="s">
        <v>1259</v>
      </c>
      <c r="D21" s="7704" t="s">
        <v>10486</v>
      </c>
      <c r="E21" s="1028">
        <v>1.65</v>
      </c>
      <c r="F21" s="7600">
        <f>E21/E27*1000</f>
        <v>15.73301549463647</v>
      </c>
      <c r="G21" s="1030">
        <f>E21/E27</f>
        <v>1.573301549463647E-2</v>
      </c>
      <c r="H21" s="1031">
        <f>G21*H13</f>
        <v>0.31466030989272942</v>
      </c>
      <c r="I21" s="1032">
        <v>0</v>
      </c>
      <c r="J21" s="1033">
        <f t="shared" si="2"/>
        <v>0</v>
      </c>
      <c r="U21" s="2730">
        <v>1</v>
      </c>
    </row>
    <row r="22" spans="2:21" ht="18.95" customHeight="1">
      <c r="B22" s="2738" t="str">
        <f t="shared" si="4"/>
        <v>A</v>
      </c>
      <c r="C22" s="1101" t="s">
        <v>1260</v>
      </c>
      <c r="D22" s="7704" t="s">
        <v>10486</v>
      </c>
      <c r="E22" s="1022">
        <v>0.1</v>
      </c>
      <c r="F22" s="7599">
        <f>E22/E27*1000</f>
        <v>0.95351609058402864</v>
      </c>
      <c r="G22" s="1024">
        <f>E22/E27</f>
        <v>9.5351609058402862E-4</v>
      </c>
      <c r="H22" s="1034">
        <f>G22*H13</f>
        <v>1.9070321811680571E-2</v>
      </c>
      <c r="I22" s="1026">
        <v>0</v>
      </c>
      <c r="J22" s="1027">
        <f t="shared" si="2"/>
        <v>0</v>
      </c>
      <c r="U22" s="2730">
        <v>1</v>
      </c>
    </row>
    <row r="23" spans="2:21" ht="18.95" customHeight="1">
      <c r="B23" s="2738" t="str">
        <f t="shared" si="4"/>
        <v>A</v>
      </c>
      <c r="C23" s="1100" t="s">
        <v>1261</v>
      </c>
      <c r="D23" s="7704" t="s">
        <v>10486</v>
      </c>
      <c r="E23" s="1028">
        <v>0.1</v>
      </c>
      <c r="F23" s="7600">
        <f>E23/E27*1000</f>
        <v>0.95351609058402864</v>
      </c>
      <c r="G23" s="1030">
        <f>E23/E27</f>
        <v>9.5351609058402862E-4</v>
      </c>
      <c r="H23" s="1031">
        <f>G23*H13</f>
        <v>1.9070321811680571E-2</v>
      </c>
      <c r="I23" s="1032">
        <v>0</v>
      </c>
      <c r="J23" s="1033">
        <f t="shared" si="2"/>
        <v>0</v>
      </c>
      <c r="U23" s="2730">
        <v>1</v>
      </c>
    </row>
    <row r="24" spans="2:21" ht="18.95" customHeight="1">
      <c r="B24" s="2738" t="str">
        <f t="shared" si="4"/>
        <v>A</v>
      </c>
      <c r="C24" s="1101" t="s">
        <v>1265</v>
      </c>
      <c r="D24" s="7704" t="s">
        <v>10486</v>
      </c>
      <c r="E24" s="1022">
        <v>1</v>
      </c>
      <c r="F24" s="7599">
        <f>E24/E27*1000</f>
        <v>9.5351609058402857</v>
      </c>
      <c r="G24" s="1024">
        <f>E24/E27</f>
        <v>9.5351609058402856E-3</v>
      </c>
      <c r="H24" s="1034">
        <f>G24*H13</f>
        <v>0.19070321811680571</v>
      </c>
      <c r="I24" s="1026">
        <v>0</v>
      </c>
      <c r="J24" s="1027">
        <f t="shared" si="2"/>
        <v>0</v>
      </c>
      <c r="U24" s="2730">
        <v>1</v>
      </c>
    </row>
    <row r="25" spans="2:21" ht="18.95" customHeight="1">
      <c r="B25" s="2738" t="str">
        <f t="shared" si="4"/>
        <v>A</v>
      </c>
      <c r="C25" s="1100" t="s">
        <v>17873</v>
      </c>
      <c r="D25" s="7704" t="s">
        <v>10486</v>
      </c>
      <c r="E25" s="1028">
        <v>2.5000000000000001E-2</v>
      </c>
      <c r="F25" s="7600">
        <f>E25/E27*1000</f>
        <v>0.23837902264600716</v>
      </c>
      <c r="G25" s="1030">
        <f>E25/E27</f>
        <v>2.3837902264600716E-4</v>
      </c>
      <c r="H25" s="1031">
        <f>G25*H13</f>
        <v>4.7675804529201428E-3</v>
      </c>
      <c r="I25" s="1032">
        <v>0</v>
      </c>
      <c r="J25" s="1033">
        <f t="shared" si="2"/>
        <v>0</v>
      </c>
      <c r="U25" s="2730">
        <v>1</v>
      </c>
    </row>
    <row r="26" spans="2:21" ht="18.95" customHeight="1" thickBot="1">
      <c r="B26" s="2738" t="str">
        <f t="shared" si="4"/>
        <v>A</v>
      </c>
      <c r="C26" s="2947"/>
      <c r="D26" s="7704"/>
      <c r="E26" s="1035">
        <v>0</v>
      </c>
      <c r="F26" s="7601">
        <f>E26/E27*1000</f>
        <v>0</v>
      </c>
      <c r="G26" s="1036">
        <f>E26/E27</f>
        <v>0</v>
      </c>
      <c r="H26" s="1037">
        <f>G26*H13</f>
        <v>0</v>
      </c>
      <c r="I26" s="1038">
        <v>0</v>
      </c>
      <c r="J26" s="1039">
        <f t="shared" si="2"/>
        <v>0</v>
      </c>
      <c r="U26" s="2730">
        <v>1</v>
      </c>
    </row>
    <row r="27" spans="2:21" ht="18.95" customHeight="1" thickTop="1" thickBot="1">
      <c r="B27" s="2928" t="s">
        <v>337</v>
      </c>
      <c r="C27" s="2948" t="s">
        <v>20</v>
      </c>
      <c r="D27" s="2948"/>
      <c r="E27" s="1040">
        <f>SUM(E16:E26)</f>
        <v>104.875</v>
      </c>
      <c r="F27" s="7602">
        <f>SUM(F16:F26)</f>
        <v>999.99999999999989</v>
      </c>
      <c r="G27" s="1042">
        <f>SUM(G16:G26)</f>
        <v>0.99999999999999989</v>
      </c>
      <c r="H27" s="1043">
        <f>SUM(H16:H26)</f>
        <v>20.000000000000004</v>
      </c>
      <c r="I27" s="1044"/>
      <c r="J27" s="1045">
        <f>SUM(J16:J26)</f>
        <v>0</v>
      </c>
      <c r="U27" s="2730">
        <v>1</v>
      </c>
    </row>
    <row r="28" spans="2:21" ht="18.95" customHeight="1" thickTop="1" thickBot="1">
      <c r="B28" s="2928" t="s">
        <v>337</v>
      </c>
      <c r="C28" s="2949" t="s">
        <v>1775</v>
      </c>
      <c r="D28" s="2949"/>
      <c r="E28" s="7735" t="s">
        <v>1280</v>
      </c>
      <c r="F28" s="7736"/>
      <c r="G28" s="7736"/>
      <c r="H28" s="7736"/>
      <c r="I28" s="7736"/>
      <c r="J28" s="7737"/>
      <c r="U28" s="2730">
        <v>1</v>
      </c>
    </row>
    <row r="29" spans="2:21" ht="18.95" customHeight="1">
      <c r="B29" s="2928" t="s">
        <v>337</v>
      </c>
      <c r="C29" s="2950" t="s">
        <v>7</v>
      </c>
      <c r="D29" s="2950"/>
      <c r="E29" s="1046" t="str">
        <f ca="1">CELL("nomfichier")</f>
        <v>D:\Données\1.UPRT\0-UPRT.fait\1-UPRT.FR-SITE-WEB\ff-fiches-fabrications\ff.fiches.fabrication.2023\UPRT.23.aout\[ff-20-CHARCUTERIE-michel-Mariette.BOUDIN.BLANC_-1.xlsx]Exemples Michel Mariette</v>
      </c>
      <c r="F29" s="1047"/>
      <c r="G29" s="1047"/>
      <c r="H29" s="1047"/>
      <c r="I29" s="1047"/>
      <c r="J29" s="1048"/>
      <c r="U29" s="2730">
        <v>1</v>
      </c>
    </row>
    <row r="30" spans="2:21" ht="18.95" customHeight="1">
      <c r="B30" s="2928" t="s">
        <v>337</v>
      </c>
      <c r="C30" s="2951" t="s">
        <v>1778</v>
      </c>
      <c r="D30" s="2951"/>
      <c r="E30" s="1049"/>
      <c r="F30" s="15"/>
      <c r="G30" s="15"/>
      <c r="H30" s="15"/>
      <c r="I30" s="15"/>
      <c r="J30" s="1050"/>
      <c r="U30" s="2730">
        <v>1</v>
      </c>
    </row>
    <row r="31" spans="2:21" ht="18.95" customHeight="1">
      <c r="B31" s="2928" t="s">
        <v>337</v>
      </c>
      <c r="C31" s="2951" t="s">
        <v>1776</v>
      </c>
      <c r="D31" s="2951"/>
      <c r="E31" s="1049"/>
      <c r="F31" s="15"/>
      <c r="G31" s="15"/>
      <c r="H31" s="15"/>
      <c r="I31" s="15"/>
      <c r="J31" s="1050"/>
      <c r="U31" s="2730">
        <v>1</v>
      </c>
    </row>
    <row r="32" spans="2:21" ht="15.75" thickBot="1">
      <c r="B32" s="2942" t="s">
        <v>337</v>
      </c>
      <c r="C32" s="2743" t="s">
        <v>8</v>
      </c>
      <c r="D32" s="2743"/>
      <c r="E32" s="1052"/>
      <c r="F32" s="1052"/>
      <c r="G32" s="1052"/>
      <c r="H32" s="1052"/>
      <c r="I32" s="1052"/>
      <c r="J32" s="1053"/>
      <c r="U32" s="2730">
        <v>1</v>
      </c>
    </row>
    <row r="33" spans="2:21">
      <c r="U33" s="2730">
        <v>1</v>
      </c>
    </row>
    <row r="34" spans="2:21">
      <c r="U34" s="2730">
        <v>1</v>
      </c>
    </row>
    <row r="35" spans="2:21" ht="13.5" thickBot="1">
      <c r="U35" s="2730">
        <v>1</v>
      </c>
    </row>
    <row r="36" spans="2:21" ht="18" customHeight="1">
      <c r="B36" s="2933" t="s">
        <v>67</v>
      </c>
      <c r="C36" s="7729" t="s">
        <v>1770</v>
      </c>
      <c r="D36" s="7729"/>
      <c r="E36" s="7729"/>
      <c r="F36" s="7729"/>
      <c r="G36" s="7729"/>
      <c r="H36" s="7729"/>
      <c r="I36" s="7729"/>
      <c r="J36" s="7731" t="s">
        <v>65</v>
      </c>
      <c r="U36" s="2730">
        <v>1</v>
      </c>
    </row>
    <row r="37" spans="2:21" ht="18" customHeight="1">
      <c r="B37" s="2928" t="s">
        <v>337</v>
      </c>
      <c r="C37" s="7730"/>
      <c r="D37" s="7730"/>
      <c r="E37" s="7730"/>
      <c r="F37" s="7730"/>
      <c r="G37" s="7730"/>
      <c r="H37" s="7730"/>
      <c r="I37" s="7730"/>
      <c r="J37" s="7732"/>
      <c r="U37" s="2730">
        <v>1</v>
      </c>
    </row>
    <row r="38" spans="2:21" ht="18" customHeight="1">
      <c r="B38" s="2928" t="s">
        <v>337</v>
      </c>
      <c r="C38" s="7733" t="s">
        <v>1771</v>
      </c>
      <c r="D38" s="7733"/>
      <c r="E38" s="7733"/>
      <c r="F38" s="7733"/>
      <c r="G38" s="7733"/>
      <c r="H38" s="7733"/>
      <c r="I38" s="7733"/>
      <c r="J38" s="7734"/>
      <c r="U38" s="2730">
        <v>1</v>
      </c>
    </row>
    <row r="39" spans="2:21" ht="18" customHeight="1">
      <c r="B39" s="2928" t="s">
        <v>337</v>
      </c>
      <c r="C39" s="2735"/>
      <c r="D39" s="2735"/>
      <c r="E39" s="1065"/>
      <c r="F39" s="7738" t="s">
        <v>1777</v>
      </c>
      <c r="G39" s="7738"/>
      <c r="H39" s="7740">
        <v>500</v>
      </c>
      <c r="I39" s="1071"/>
      <c r="J39" s="1068"/>
      <c r="U39" s="2730">
        <v>1</v>
      </c>
    </row>
    <row r="40" spans="2:21" ht="18" customHeight="1">
      <c r="B40" s="2928" t="s">
        <v>337</v>
      </c>
      <c r="C40" s="2945"/>
      <c r="D40" s="2945"/>
      <c r="E40" s="1066"/>
      <c r="F40" s="7739"/>
      <c r="G40" s="7739"/>
      <c r="H40" s="7741"/>
      <c r="I40" s="1055"/>
      <c r="J40" s="1070"/>
      <c r="U40" s="2730">
        <v>1</v>
      </c>
    </row>
    <row r="41" spans="2:21" ht="18" customHeight="1">
      <c r="B41" s="2928" t="s">
        <v>337</v>
      </c>
      <c r="C41" s="2946" t="s">
        <v>1253</v>
      </c>
      <c r="D41" s="7616" t="s">
        <v>16246</v>
      </c>
      <c r="E41" s="1056" t="s">
        <v>1773</v>
      </c>
      <c r="F41" s="1019" t="s">
        <v>1282</v>
      </c>
      <c r="G41" s="1057" t="s">
        <v>19</v>
      </c>
      <c r="H41" s="1105" t="s">
        <v>1774</v>
      </c>
      <c r="I41" s="1056" t="s">
        <v>1781</v>
      </c>
      <c r="J41" s="1021" t="s">
        <v>1254</v>
      </c>
      <c r="U41" s="2730">
        <v>1</v>
      </c>
    </row>
    <row r="42" spans="2:21" ht="18" customHeight="1">
      <c r="B42" s="2928" t="s">
        <v>337</v>
      </c>
      <c r="C42" s="1101" t="s">
        <v>1255</v>
      </c>
      <c r="D42" s="7704" t="s">
        <v>10486</v>
      </c>
      <c r="E42" s="1058">
        <v>3400</v>
      </c>
      <c r="F42" s="7599">
        <f>E42/E53*1000</f>
        <v>324.18001525553012</v>
      </c>
      <c r="G42" s="7603">
        <f>E42/E53</f>
        <v>0.32418001525553014</v>
      </c>
      <c r="H42" s="1059">
        <f>G42*H39</f>
        <v>162.09000762776506</v>
      </c>
      <c r="I42" s="1103">
        <v>15</v>
      </c>
      <c r="J42" s="1027">
        <f>(H42/1000)*I42</f>
        <v>2.431350114416476</v>
      </c>
      <c r="U42" s="2730">
        <v>1</v>
      </c>
    </row>
    <row r="43" spans="2:21" ht="18" customHeight="1">
      <c r="B43" s="2738" t="str">
        <f t="shared" ref="B43" si="5">IF(E43&lt;&gt;"","A","►")</f>
        <v>A</v>
      </c>
      <c r="C43" s="1100" t="s">
        <v>1256</v>
      </c>
      <c r="D43" s="7704" t="s">
        <v>10486</v>
      </c>
      <c r="E43" s="1060">
        <v>1600</v>
      </c>
      <c r="F43" s="7600">
        <f>E43/E53*1000</f>
        <v>152.55530129672007</v>
      </c>
      <c r="G43" s="7604">
        <f>E43/E53</f>
        <v>0.15255530129672007</v>
      </c>
      <c r="H43" s="1061">
        <f>G43*H39</f>
        <v>76.277650648360037</v>
      </c>
      <c r="I43" s="1104">
        <v>13</v>
      </c>
      <c r="J43" s="1033">
        <f t="shared" ref="J43:J52" si="6">(H43/1000)*I43</f>
        <v>0.99160945842868042</v>
      </c>
      <c r="U43" s="2730">
        <v>1</v>
      </c>
    </row>
    <row r="44" spans="2:21" ht="18" customHeight="1">
      <c r="B44" s="2738" t="str">
        <f>IF(E44&lt;&gt;"","A","►")</f>
        <v>A</v>
      </c>
      <c r="C44" s="1101" t="s">
        <v>1257</v>
      </c>
      <c r="D44" s="7704" t="s">
        <v>10486</v>
      </c>
      <c r="E44" s="1058">
        <v>1600</v>
      </c>
      <c r="F44" s="7599">
        <f>E44/E53*1000</f>
        <v>152.55530129672007</v>
      </c>
      <c r="G44" s="7603">
        <f>E44/E53</f>
        <v>0.15255530129672007</v>
      </c>
      <c r="H44" s="1059">
        <f>G44*H39</f>
        <v>76.277650648360037</v>
      </c>
      <c r="I44" s="1103">
        <v>0</v>
      </c>
      <c r="J44" s="1027">
        <f t="shared" si="6"/>
        <v>0</v>
      </c>
      <c r="U44" s="2730">
        <v>1</v>
      </c>
    </row>
    <row r="45" spans="2:21" ht="18" customHeight="1">
      <c r="B45" s="2738" t="str">
        <f t="shared" ref="B45:B52" si="7">IF(E45&lt;&gt;"","A","►")</f>
        <v>A</v>
      </c>
      <c r="C45" s="1100" t="s">
        <v>17871</v>
      </c>
      <c r="D45" s="7704" t="s">
        <v>17874</v>
      </c>
      <c r="E45" s="1060">
        <v>3000</v>
      </c>
      <c r="F45" s="7600">
        <f>E45/E53*1000</f>
        <v>286.04118993135012</v>
      </c>
      <c r="G45" s="7604">
        <f>E45/E53</f>
        <v>0.28604118993135014</v>
      </c>
      <c r="H45" s="1061">
        <f>G45*H39</f>
        <v>143.02059496567506</v>
      </c>
      <c r="I45" s="1104">
        <v>0</v>
      </c>
      <c r="J45" s="1033">
        <f t="shared" si="6"/>
        <v>0</v>
      </c>
      <c r="U45" s="2730">
        <v>1</v>
      </c>
    </row>
    <row r="46" spans="2:21" ht="18" customHeight="1">
      <c r="B46" s="2738" t="str">
        <f t="shared" si="7"/>
        <v>A</v>
      </c>
      <c r="C46" s="1101" t="s">
        <v>17872</v>
      </c>
      <c r="D46" s="7704" t="s">
        <v>17875</v>
      </c>
      <c r="E46" s="1058">
        <v>600</v>
      </c>
      <c r="F46" s="7599">
        <f>E46/E53*1000</f>
        <v>57.208237986270028</v>
      </c>
      <c r="G46" s="7603">
        <f>E46/E53</f>
        <v>5.7208237986270026E-2</v>
      </c>
      <c r="H46" s="1059">
        <f>G46*H39</f>
        <v>28.604118993135014</v>
      </c>
      <c r="I46" s="1103">
        <v>0</v>
      </c>
      <c r="J46" s="1027">
        <f t="shared" si="6"/>
        <v>0</v>
      </c>
      <c r="U46" s="2730">
        <v>1</v>
      </c>
    </row>
    <row r="47" spans="2:21" ht="18" customHeight="1">
      <c r="B47" s="2738" t="str">
        <f t="shared" si="7"/>
        <v>A</v>
      </c>
      <c r="C47" s="1100" t="s">
        <v>1259</v>
      </c>
      <c r="D47" s="7704" t="s">
        <v>10486</v>
      </c>
      <c r="E47" s="1060">
        <v>165</v>
      </c>
      <c r="F47" s="7600">
        <f>E47/E53*1000</f>
        <v>15.732265446224257</v>
      </c>
      <c r="G47" s="7604">
        <f>E47/E53</f>
        <v>1.5732265446224258E-2</v>
      </c>
      <c r="H47" s="1061">
        <f>G47*H39</f>
        <v>7.8661327231121287</v>
      </c>
      <c r="I47" s="1104">
        <v>0</v>
      </c>
      <c r="J47" s="1033">
        <f t="shared" si="6"/>
        <v>0</v>
      </c>
      <c r="U47" s="2730">
        <v>1</v>
      </c>
    </row>
    <row r="48" spans="2:21" ht="18" customHeight="1">
      <c r="B48" s="2738" t="str">
        <f t="shared" si="7"/>
        <v>A</v>
      </c>
      <c r="C48" s="1101" t="s">
        <v>1260</v>
      </c>
      <c r="D48" s="7704" t="s">
        <v>10486</v>
      </c>
      <c r="E48" s="1058">
        <v>10</v>
      </c>
      <c r="F48" s="7599">
        <f>E48/E53*1000</f>
        <v>0.95347063310450031</v>
      </c>
      <c r="G48" s="7603">
        <f>E48/E53</f>
        <v>9.5347063310450035E-4</v>
      </c>
      <c r="H48" s="1059">
        <f>G48*H39</f>
        <v>0.47673531655225015</v>
      </c>
      <c r="I48" s="1103">
        <v>0</v>
      </c>
      <c r="J48" s="1027">
        <f t="shared" si="6"/>
        <v>0</v>
      </c>
      <c r="U48" s="2730">
        <v>1</v>
      </c>
    </row>
    <row r="49" spans="1:21" ht="18" customHeight="1">
      <c r="B49" s="2738" t="str">
        <f t="shared" si="7"/>
        <v>A</v>
      </c>
      <c r="C49" s="1100" t="s">
        <v>1261</v>
      </c>
      <c r="D49" s="7704" t="s">
        <v>10486</v>
      </c>
      <c r="E49" s="1060">
        <v>10</v>
      </c>
      <c r="F49" s="7600">
        <f>E49/E53*1000</f>
        <v>0.95347063310450031</v>
      </c>
      <c r="G49" s="7604">
        <f>E49/E53</f>
        <v>9.5347063310450035E-4</v>
      </c>
      <c r="H49" s="1061">
        <f>G49*H39</f>
        <v>0.47673531655225015</v>
      </c>
      <c r="I49" s="1104">
        <v>0</v>
      </c>
      <c r="J49" s="1033">
        <f t="shared" si="6"/>
        <v>0</v>
      </c>
      <c r="U49" s="2730">
        <v>1</v>
      </c>
    </row>
    <row r="50" spans="1:21" ht="18" customHeight="1">
      <c r="B50" s="2738" t="str">
        <f t="shared" si="7"/>
        <v>A</v>
      </c>
      <c r="C50" s="1101" t="s">
        <v>1265</v>
      </c>
      <c r="D50" s="7704" t="s">
        <v>10486</v>
      </c>
      <c r="E50" s="1058">
        <v>100</v>
      </c>
      <c r="F50" s="7599">
        <f>E50/E53*1000</f>
        <v>9.5347063310450046</v>
      </c>
      <c r="G50" s="7603">
        <f>E50/E53</f>
        <v>9.5347063310450043E-3</v>
      </c>
      <c r="H50" s="1059">
        <f>G50*H39</f>
        <v>4.7673531655225023</v>
      </c>
      <c r="I50" s="1103">
        <v>0</v>
      </c>
      <c r="J50" s="1027">
        <f t="shared" si="6"/>
        <v>0</v>
      </c>
      <c r="U50" s="2730">
        <v>1</v>
      </c>
    </row>
    <row r="51" spans="1:21" ht="18" customHeight="1">
      <c r="B51" s="2738" t="str">
        <f t="shared" si="7"/>
        <v>A</v>
      </c>
      <c r="C51" s="1100" t="s">
        <v>17873</v>
      </c>
      <c r="D51" s="7704" t="s">
        <v>10486</v>
      </c>
      <c r="E51" s="1060">
        <v>3</v>
      </c>
      <c r="F51" s="7600">
        <f>E51/E53*1000</f>
        <v>0.28604118993135014</v>
      </c>
      <c r="G51" s="7604">
        <f>E51/E53</f>
        <v>2.8604118993135012E-4</v>
      </c>
      <c r="H51" s="1061">
        <f>G51*H39</f>
        <v>0.14302059496567507</v>
      </c>
      <c r="I51" s="1104">
        <v>0</v>
      </c>
      <c r="J51" s="1033">
        <f t="shared" si="6"/>
        <v>0</v>
      </c>
      <c r="U51" s="2730">
        <v>1</v>
      </c>
    </row>
    <row r="52" spans="1:21" ht="18" customHeight="1" thickBot="1">
      <c r="B52" s="2738" t="str">
        <f t="shared" si="7"/>
        <v>A</v>
      </c>
      <c r="C52" s="2947"/>
      <c r="D52" s="7704"/>
      <c r="E52" s="1058">
        <v>0</v>
      </c>
      <c r="F52" s="7601">
        <f>E52/E53*1000</f>
        <v>0</v>
      </c>
      <c r="G52" s="7605">
        <f>E52/E53</f>
        <v>0</v>
      </c>
      <c r="H52" s="1059">
        <f>G52*H39</f>
        <v>0</v>
      </c>
      <c r="I52" s="1106">
        <v>0</v>
      </c>
      <c r="J52" s="1039">
        <f t="shared" si="6"/>
        <v>0</v>
      </c>
      <c r="U52" s="2730">
        <v>1</v>
      </c>
    </row>
    <row r="53" spans="1:21" ht="18" customHeight="1" thickTop="1" thickBot="1">
      <c r="B53" s="2928" t="s">
        <v>337</v>
      </c>
      <c r="C53" s="2948" t="s">
        <v>20</v>
      </c>
      <c r="D53" s="2948"/>
      <c r="E53" s="1062">
        <f>SUM(E42:E52)</f>
        <v>10488</v>
      </c>
      <c r="F53" s="7602">
        <f>SUM(F42:F52)</f>
        <v>999.99999999999989</v>
      </c>
      <c r="G53" s="7606">
        <f>SUM(G42:G52)</f>
        <v>1.0000000000000002</v>
      </c>
      <c r="H53" s="1043">
        <f>SUM(H42:H52)/1000</f>
        <v>0.49999999999999994</v>
      </c>
      <c r="I53" s="1044"/>
      <c r="J53" s="1045">
        <f>SUM(J42:J52)</f>
        <v>3.4229595728451563</v>
      </c>
      <c r="U53" s="2730">
        <v>1</v>
      </c>
    </row>
    <row r="54" spans="1:21" ht="18" customHeight="1" thickTop="1" thickBot="1">
      <c r="B54" s="2928" t="s">
        <v>337</v>
      </c>
      <c r="C54" s="2949" t="s">
        <v>1775</v>
      </c>
      <c r="D54" s="2949"/>
      <c r="E54" s="7735" t="s">
        <v>1280</v>
      </c>
      <c r="F54" s="7736"/>
      <c r="G54" s="7736"/>
      <c r="H54" s="7736"/>
      <c r="I54" s="7736"/>
      <c r="J54" s="7737"/>
      <c r="U54" s="2730">
        <v>1</v>
      </c>
    </row>
    <row r="55" spans="1:21" ht="18" customHeight="1">
      <c r="B55" s="2928" t="s">
        <v>337</v>
      </c>
      <c r="C55" s="2950" t="s">
        <v>7</v>
      </c>
      <c r="D55" s="2950"/>
      <c r="E55" s="1046" t="str">
        <f ca="1">CELL("nomfichier")</f>
        <v>D:\Données\1.UPRT\0-UPRT.fait\1-UPRT.FR-SITE-WEB\ff-fiches-fabrications\ff.fiches.fabrication.2023\UPRT.23.aout\[ff-20-CHARCUTERIE-michel-Mariette.BOUDIN.BLANC_-1.xlsx]Exemples Michel Mariette</v>
      </c>
      <c r="F55" s="1047"/>
      <c r="G55" s="1047"/>
      <c r="H55" s="1047"/>
      <c r="I55" s="1047"/>
      <c r="J55" s="1048"/>
      <c r="K55" s="311" t="s">
        <v>2</v>
      </c>
      <c r="U55" s="2730">
        <v>1</v>
      </c>
    </row>
    <row r="56" spans="1:21" ht="18" customHeight="1">
      <c r="B56" s="2928" t="s">
        <v>337</v>
      </c>
      <c r="C56" s="2951" t="s">
        <v>1778</v>
      </c>
      <c r="D56" s="2951"/>
      <c r="E56" s="1049"/>
      <c r="F56" s="15"/>
      <c r="G56" s="15"/>
      <c r="H56" s="15"/>
      <c r="I56" s="15"/>
      <c r="J56" s="1050"/>
      <c r="U56" s="2730">
        <v>1</v>
      </c>
    </row>
    <row r="57" spans="1:21" ht="18" customHeight="1">
      <c r="B57" s="2928" t="s">
        <v>337</v>
      </c>
      <c r="C57" s="2951" t="s">
        <v>1776</v>
      </c>
      <c r="D57" s="2951"/>
      <c r="E57" s="1049"/>
      <c r="F57" s="15"/>
      <c r="G57" s="15"/>
      <c r="H57" s="15"/>
      <c r="I57" s="15"/>
      <c r="J57" s="1050"/>
      <c r="U57" s="2730">
        <v>1</v>
      </c>
    </row>
    <row r="58" spans="1:21" ht="18" customHeight="1" thickBot="1">
      <c r="B58" s="2942" t="s">
        <v>337</v>
      </c>
      <c r="C58" s="2743" t="s">
        <v>8</v>
      </c>
      <c r="D58" s="2743"/>
      <c r="E58" s="1052"/>
      <c r="F58" s="1052"/>
      <c r="G58" s="1052"/>
      <c r="H58" s="1052"/>
      <c r="I58" s="1052"/>
      <c r="J58" s="1053"/>
      <c r="U58" s="2730">
        <v>1</v>
      </c>
    </row>
    <row r="59" spans="1:21">
      <c r="U59" s="2731" t="s">
        <v>7037</v>
      </c>
    </row>
    <row r="60" spans="1:21" ht="15">
      <c r="A60" s="2730">
        <v>1</v>
      </c>
      <c r="B60" s="2730">
        <v>1</v>
      </c>
      <c r="C60" s="2730">
        <v>1</v>
      </c>
      <c r="D60" s="2730"/>
      <c r="E60" s="2730">
        <v>1</v>
      </c>
      <c r="F60" s="2730">
        <v>1</v>
      </c>
      <c r="G60" s="2730">
        <v>1</v>
      </c>
      <c r="H60" s="2730">
        <v>1</v>
      </c>
      <c r="I60" s="2730">
        <v>1</v>
      </c>
      <c r="J60" s="2730">
        <v>1</v>
      </c>
      <c r="K60" s="2730">
        <v>1</v>
      </c>
      <c r="L60" s="2730">
        <v>1</v>
      </c>
      <c r="M60" s="2730">
        <v>1</v>
      </c>
      <c r="N60" s="2730">
        <v>1</v>
      </c>
      <c r="O60" s="2730">
        <v>1</v>
      </c>
      <c r="P60" s="2730">
        <v>1</v>
      </c>
      <c r="Q60" s="2730">
        <v>1</v>
      </c>
      <c r="R60" s="2730">
        <v>1</v>
      </c>
      <c r="S60" s="2730">
        <v>1</v>
      </c>
      <c r="T60" s="2730">
        <v>1</v>
      </c>
      <c r="U60" s="2732" t="str">
        <f>ADDRESS(ROW(),COLUMN(),4)</f>
        <v>U60</v>
      </c>
    </row>
  </sheetData>
  <mergeCells count="14">
    <mergeCell ref="E54:J54"/>
    <mergeCell ref="E28:J28"/>
    <mergeCell ref="C36:I37"/>
    <mergeCell ref="J36:J37"/>
    <mergeCell ref="F39:G40"/>
    <mergeCell ref="H39:H40"/>
    <mergeCell ref="C38:J38"/>
    <mergeCell ref="K1:K2"/>
    <mergeCell ref="F13:G14"/>
    <mergeCell ref="H13:H14"/>
    <mergeCell ref="C5:J7"/>
    <mergeCell ref="C10:I11"/>
    <mergeCell ref="J10:J11"/>
    <mergeCell ref="C12:J12"/>
  </mergeCells>
  <conditionalFormatting sqref="D16:D26">
    <cfRule type="expression" dxfId="76" priority="5">
      <formula>LEFT(D16,1)="⚠"</formula>
    </cfRule>
    <cfRule type="expression" dxfId="75" priority="6">
      <formula>LEFT(D16,4)="info"</formula>
    </cfRule>
    <cfRule type="expression" dxfId="74" priority="7">
      <formula>LEFT(D16,1)="⚠"</formula>
    </cfRule>
    <cfRule type="expression" dxfId="73" priority="8">
      <formula>LEFT(D16,4)="info"</formula>
    </cfRule>
  </conditionalFormatting>
  <conditionalFormatting sqref="D42:D52">
    <cfRule type="expression" dxfId="72" priority="1">
      <formula>LEFT(D42,1)="⚠"</formula>
    </cfRule>
    <cfRule type="expression" dxfId="71" priority="2">
      <formula>LEFT(D42,4)="info"</formula>
    </cfRule>
    <cfRule type="expression" dxfId="70" priority="3">
      <formula>LEFT(D42,1)="⚠"</formula>
    </cfRule>
    <cfRule type="expression" dxfId="69" priority="4">
      <formula>LEFT(D42,4)="info"</formula>
    </cfRule>
  </conditionalFormatting>
  <hyperlinks>
    <hyperlink ref="E54" r:id="rId1" xr:uid="{00000000-0004-0000-0000-000000000000}"/>
    <hyperlink ref="E28" r:id="rId2" xr:uid="{00000000-0004-0000-0000-000001000000}"/>
  </hyperlinks>
  <pageMargins left="0.7" right="0.7" top="0.75" bottom="0.75" header="0.3" footer="0.3"/>
  <pageSetup paperSize="9"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87"/>
  <sheetViews>
    <sheetView showZeros="0" workbookViewId="0">
      <selection activeCell="L98" sqref="L98"/>
    </sheetView>
  </sheetViews>
  <sheetFormatPr baseColWidth="10" defaultRowHeight="15"/>
  <cols>
    <col min="1" max="1" width="7.140625" style="311" customWidth="1"/>
    <col min="2" max="2" width="5.42578125" style="311" customWidth="1"/>
    <col min="3" max="3" width="4.5703125" style="311" customWidth="1"/>
    <col min="4" max="4" width="40.7109375" style="311" customWidth="1"/>
    <col min="5" max="5" width="10.7109375" style="311" customWidth="1"/>
    <col min="6" max="8" width="12.7109375" style="311" customWidth="1"/>
    <col min="9" max="9" width="20.7109375" style="311" customWidth="1"/>
    <col min="10" max="11" width="12.7109375" style="311" customWidth="1"/>
    <col min="12" max="12" width="15" style="311" customWidth="1"/>
    <col min="13" max="13" width="19.7109375" customWidth="1"/>
    <col min="14" max="14" width="18.7109375" customWidth="1"/>
    <col min="15" max="15" width="25.7109375" customWidth="1"/>
    <col min="16" max="16" width="18.28515625" customWidth="1"/>
    <col min="17" max="17" width="16.7109375" customWidth="1"/>
    <col min="18" max="18" width="31.7109375" customWidth="1"/>
    <col min="19" max="19" width="47.140625" customWidth="1"/>
    <col min="20" max="20" width="17.85546875" style="311" customWidth="1"/>
    <col min="21" max="259" width="11.42578125" style="311"/>
    <col min="260" max="260" width="40.5703125" style="311" customWidth="1"/>
    <col min="261" max="261" width="29.140625" style="311" customWidth="1"/>
    <col min="262" max="262" width="22.85546875" style="311" customWidth="1"/>
    <col min="263" max="263" width="18.85546875" style="311" customWidth="1"/>
    <col min="264" max="264" width="20" style="311" customWidth="1"/>
    <col min="265" max="515" width="11.42578125" style="311"/>
    <col min="516" max="516" width="40.5703125" style="311" customWidth="1"/>
    <col min="517" max="517" width="29.140625" style="311" customWidth="1"/>
    <col min="518" max="518" width="22.85546875" style="311" customWidth="1"/>
    <col min="519" max="519" width="18.85546875" style="311" customWidth="1"/>
    <col min="520" max="520" width="20" style="311" customWidth="1"/>
    <col min="521" max="771" width="11.42578125" style="311"/>
    <col min="772" max="772" width="40.5703125" style="311" customWidth="1"/>
    <col min="773" max="773" width="29.140625" style="311" customWidth="1"/>
    <col min="774" max="774" width="22.85546875" style="311" customWidth="1"/>
    <col min="775" max="775" width="18.85546875" style="311" customWidth="1"/>
    <col min="776" max="776" width="20" style="311" customWidth="1"/>
    <col min="777" max="1027" width="11.42578125" style="311"/>
    <col min="1028" max="1028" width="40.5703125" style="311" customWidth="1"/>
    <col min="1029" max="1029" width="29.140625" style="311" customWidth="1"/>
    <col min="1030" max="1030" width="22.85546875" style="311" customWidth="1"/>
    <col min="1031" max="1031" width="18.85546875" style="311" customWidth="1"/>
    <col min="1032" max="1032" width="20" style="311" customWidth="1"/>
    <col min="1033" max="1283" width="11.42578125" style="311"/>
    <col min="1284" max="1284" width="40.5703125" style="311" customWidth="1"/>
    <col min="1285" max="1285" width="29.140625" style="311" customWidth="1"/>
    <col min="1286" max="1286" width="22.85546875" style="311" customWidth="1"/>
    <col min="1287" max="1287" width="18.85546875" style="311" customWidth="1"/>
    <col min="1288" max="1288" width="20" style="311" customWidth="1"/>
    <col min="1289" max="1539" width="11.42578125" style="311"/>
    <col min="1540" max="1540" width="40.5703125" style="311" customWidth="1"/>
    <col min="1541" max="1541" width="29.140625" style="311" customWidth="1"/>
    <col min="1542" max="1542" width="22.85546875" style="311" customWidth="1"/>
    <col min="1543" max="1543" width="18.85546875" style="311" customWidth="1"/>
    <col min="1544" max="1544" width="20" style="311" customWidth="1"/>
    <col min="1545" max="1795" width="11.42578125" style="311"/>
    <col min="1796" max="1796" width="40.5703125" style="311" customWidth="1"/>
    <col min="1797" max="1797" width="29.140625" style="311" customWidth="1"/>
    <col min="1798" max="1798" width="22.85546875" style="311" customWidth="1"/>
    <col min="1799" max="1799" width="18.85546875" style="311" customWidth="1"/>
    <col min="1800" max="1800" width="20" style="311" customWidth="1"/>
    <col min="1801" max="2051" width="11.42578125" style="311"/>
    <col min="2052" max="2052" width="40.5703125" style="311" customWidth="1"/>
    <col min="2053" max="2053" width="29.140625" style="311" customWidth="1"/>
    <col min="2054" max="2054" width="22.85546875" style="311" customWidth="1"/>
    <col min="2055" max="2055" width="18.85546875" style="311" customWidth="1"/>
    <col min="2056" max="2056" width="20" style="311" customWidth="1"/>
    <col min="2057" max="2307" width="11.42578125" style="311"/>
    <col min="2308" max="2308" width="40.5703125" style="311" customWidth="1"/>
    <col min="2309" max="2309" width="29.140625" style="311" customWidth="1"/>
    <col min="2310" max="2310" width="22.85546875" style="311" customWidth="1"/>
    <col min="2311" max="2311" width="18.85546875" style="311" customWidth="1"/>
    <col min="2312" max="2312" width="20" style="311" customWidth="1"/>
    <col min="2313" max="2563" width="11.42578125" style="311"/>
    <col min="2564" max="2564" width="40.5703125" style="311" customWidth="1"/>
    <col min="2565" max="2565" width="29.140625" style="311" customWidth="1"/>
    <col min="2566" max="2566" width="22.85546875" style="311" customWidth="1"/>
    <col min="2567" max="2567" width="18.85546875" style="311" customWidth="1"/>
    <col min="2568" max="2568" width="20" style="311" customWidth="1"/>
    <col min="2569" max="2819" width="11.42578125" style="311"/>
    <col min="2820" max="2820" width="40.5703125" style="311" customWidth="1"/>
    <col min="2821" max="2821" width="29.140625" style="311" customWidth="1"/>
    <col min="2822" max="2822" width="22.85546875" style="311" customWidth="1"/>
    <col min="2823" max="2823" width="18.85546875" style="311" customWidth="1"/>
    <col min="2824" max="2824" width="20" style="311" customWidth="1"/>
    <col min="2825" max="3075" width="11.42578125" style="311"/>
    <col min="3076" max="3076" width="40.5703125" style="311" customWidth="1"/>
    <col min="3077" max="3077" width="29.140625" style="311" customWidth="1"/>
    <col min="3078" max="3078" width="22.85546875" style="311" customWidth="1"/>
    <col min="3079" max="3079" width="18.85546875" style="311" customWidth="1"/>
    <col min="3080" max="3080" width="20" style="311" customWidth="1"/>
    <col min="3081" max="3331" width="11.42578125" style="311"/>
    <col min="3332" max="3332" width="40.5703125" style="311" customWidth="1"/>
    <col min="3333" max="3333" width="29.140625" style="311" customWidth="1"/>
    <col min="3334" max="3334" width="22.85546875" style="311" customWidth="1"/>
    <col min="3335" max="3335" width="18.85546875" style="311" customWidth="1"/>
    <col min="3336" max="3336" width="20" style="311" customWidth="1"/>
    <col min="3337" max="3587" width="11.42578125" style="311"/>
    <col min="3588" max="3588" width="40.5703125" style="311" customWidth="1"/>
    <col min="3589" max="3589" width="29.140625" style="311" customWidth="1"/>
    <col min="3590" max="3590" width="22.85546875" style="311" customWidth="1"/>
    <col min="3591" max="3591" width="18.85546875" style="311" customWidth="1"/>
    <col min="3592" max="3592" width="20" style="311" customWidth="1"/>
    <col min="3593" max="3843" width="11.42578125" style="311"/>
    <col min="3844" max="3844" width="40.5703125" style="311" customWidth="1"/>
    <col min="3845" max="3845" width="29.140625" style="311" customWidth="1"/>
    <col min="3846" max="3846" width="22.85546875" style="311" customWidth="1"/>
    <col min="3847" max="3847" width="18.85546875" style="311" customWidth="1"/>
    <col min="3848" max="3848" width="20" style="311" customWidth="1"/>
    <col min="3849" max="4099" width="11.42578125" style="311"/>
    <col min="4100" max="4100" width="40.5703125" style="311" customWidth="1"/>
    <col min="4101" max="4101" width="29.140625" style="311" customWidth="1"/>
    <col min="4102" max="4102" width="22.85546875" style="311" customWidth="1"/>
    <col min="4103" max="4103" width="18.85546875" style="311" customWidth="1"/>
    <col min="4104" max="4104" width="20" style="311" customWidth="1"/>
    <col min="4105" max="4355" width="11.42578125" style="311"/>
    <col min="4356" max="4356" width="40.5703125" style="311" customWidth="1"/>
    <col min="4357" max="4357" width="29.140625" style="311" customWidth="1"/>
    <col min="4358" max="4358" width="22.85546875" style="311" customWidth="1"/>
    <col min="4359" max="4359" width="18.85546875" style="311" customWidth="1"/>
    <col min="4360" max="4360" width="20" style="311" customWidth="1"/>
    <col min="4361" max="4611" width="11.42578125" style="311"/>
    <col min="4612" max="4612" width="40.5703125" style="311" customWidth="1"/>
    <col min="4613" max="4613" width="29.140625" style="311" customWidth="1"/>
    <col min="4614" max="4614" width="22.85546875" style="311" customWidth="1"/>
    <col min="4615" max="4615" width="18.85546875" style="311" customWidth="1"/>
    <col min="4616" max="4616" width="20" style="311" customWidth="1"/>
    <col min="4617" max="4867" width="11.42578125" style="311"/>
    <col min="4868" max="4868" width="40.5703125" style="311" customWidth="1"/>
    <col min="4869" max="4869" width="29.140625" style="311" customWidth="1"/>
    <col min="4870" max="4870" width="22.85546875" style="311" customWidth="1"/>
    <col min="4871" max="4871" width="18.85546875" style="311" customWidth="1"/>
    <col min="4872" max="4872" width="20" style="311" customWidth="1"/>
    <col min="4873" max="5123" width="11.42578125" style="311"/>
    <col min="5124" max="5124" width="40.5703125" style="311" customWidth="1"/>
    <col min="5125" max="5125" width="29.140625" style="311" customWidth="1"/>
    <col min="5126" max="5126" width="22.85546875" style="311" customWidth="1"/>
    <col min="5127" max="5127" width="18.85546875" style="311" customWidth="1"/>
    <col min="5128" max="5128" width="20" style="311" customWidth="1"/>
    <col min="5129" max="5379" width="11.42578125" style="311"/>
    <col min="5380" max="5380" width="40.5703125" style="311" customWidth="1"/>
    <col min="5381" max="5381" width="29.140625" style="311" customWidth="1"/>
    <col min="5382" max="5382" width="22.85546875" style="311" customWidth="1"/>
    <col min="5383" max="5383" width="18.85546875" style="311" customWidth="1"/>
    <col min="5384" max="5384" width="20" style="311" customWidth="1"/>
    <col min="5385" max="5635" width="11.42578125" style="311"/>
    <col min="5636" max="5636" width="40.5703125" style="311" customWidth="1"/>
    <col min="5637" max="5637" width="29.140625" style="311" customWidth="1"/>
    <col min="5638" max="5638" width="22.85546875" style="311" customWidth="1"/>
    <col min="5639" max="5639" width="18.85546875" style="311" customWidth="1"/>
    <col min="5640" max="5640" width="20" style="311" customWidth="1"/>
    <col min="5641" max="5891" width="11.42578125" style="311"/>
    <col min="5892" max="5892" width="40.5703125" style="311" customWidth="1"/>
    <col min="5893" max="5893" width="29.140625" style="311" customWidth="1"/>
    <col min="5894" max="5894" width="22.85546875" style="311" customWidth="1"/>
    <col min="5895" max="5895" width="18.85546875" style="311" customWidth="1"/>
    <col min="5896" max="5896" width="20" style="311" customWidth="1"/>
    <col min="5897" max="6147" width="11.42578125" style="311"/>
    <col min="6148" max="6148" width="40.5703125" style="311" customWidth="1"/>
    <col min="6149" max="6149" width="29.140625" style="311" customWidth="1"/>
    <col min="6150" max="6150" width="22.85546875" style="311" customWidth="1"/>
    <col min="6151" max="6151" width="18.85546875" style="311" customWidth="1"/>
    <col min="6152" max="6152" width="20" style="311" customWidth="1"/>
    <col min="6153" max="6403" width="11.42578125" style="311"/>
    <col min="6404" max="6404" width="40.5703125" style="311" customWidth="1"/>
    <col min="6405" max="6405" width="29.140625" style="311" customWidth="1"/>
    <col min="6406" max="6406" width="22.85546875" style="311" customWidth="1"/>
    <col min="6407" max="6407" width="18.85546875" style="311" customWidth="1"/>
    <col min="6408" max="6408" width="20" style="311" customWidth="1"/>
    <col min="6409" max="6659" width="11.42578125" style="311"/>
    <col min="6660" max="6660" width="40.5703125" style="311" customWidth="1"/>
    <col min="6661" max="6661" width="29.140625" style="311" customWidth="1"/>
    <col min="6662" max="6662" width="22.85546875" style="311" customWidth="1"/>
    <col min="6663" max="6663" width="18.85546875" style="311" customWidth="1"/>
    <col min="6664" max="6664" width="20" style="311" customWidth="1"/>
    <col min="6665" max="6915" width="11.42578125" style="311"/>
    <col min="6916" max="6916" width="40.5703125" style="311" customWidth="1"/>
    <col min="6917" max="6917" width="29.140625" style="311" customWidth="1"/>
    <col min="6918" max="6918" width="22.85546875" style="311" customWidth="1"/>
    <col min="6919" max="6919" width="18.85546875" style="311" customWidth="1"/>
    <col min="6920" max="6920" width="20" style="311" customWidth="1"/>
    <col min="6921" max="7171" width="11.42578125" style="311"/>
    <col min="7172" max="7172" width="40.5703125" style="311" customWidth="1"/>
    <col min="7173" max="7173" width="29.140625" style="311" customWidth="1"/>
    <col min="7174" max="7174" width="22.85546875" style="311" customWidth="1"/>
    <col min="7175" max="7175" width="18.85546875" style="311" customWidth="1"/>
    <col min="7176" max="7176" width="20" style="311" customWidth="1"/>
    <col min="7177" max="7427" width="11.42578125" style="311"/>
    <col min="7428" max="7428" width="40.5703125" style="311" customWidth="1"/>
    <col min="7429" max="7429" width="29.140625" style="311" customWidth="1"/>
    <col min="7430" max="7430" width="22.85546875" style="311" customWidth="1"/>
    <col min="7431" max="7431" width="18.85546875" style="311" customWidth="1"/>
    <col min="7432" max="7432" width="20" style="311" customWidth="1"/>
    <col min="7433" max="7683" width="11.42578125" style="311"/>
    <col min="7684" max="7684" width="40.5703125" style="311" customWidth="1"/>
    <col min="7685" max="7685" width="29.140625" style="311" customWidth="1"/>
    <col min="7686" max="7686" width="22.85546875" style="311" customWidth="1"/>
    <col min="7687" max="7687" width="18.85546875" style="311" customWidth="1"/>
    <col min="7688" max="7688" width="20" style="311" customWidth="1"/>
    <col min="7689" max="7939" width="11.42578125" style="311"/>
    <col min="7940" max="7940" width="40.5703125" style="311" customWidth="1"/>
    <col min="7941" max="7941" width="29.140625" style="311" customWidth="1"/>
    <col min="7942" max="7942" width="22.85546875" style="311" customWidth="1"/>
    <col min="7943" max="7943" width="18.85546875" style="311" customWidth="1"/>
    <col min="7944" max="7944" width="20" style="311" customWidth="1"/>
    <col min="7945" max="8195" width="11.42578125" style="311"/>
    <col min="8196" max="8196" width="40.5703125" style="311" customWidth="1"/>
    <col min="8197" max="8197" width="29.140625" style="311" customWidth="1"/>
    <col min="8198" max="8198" width="22.85546875" style="311" customWidth="1"/>
    <col min="8199" max="8199" width="18.85546875" style="311" customWidth="1"/>
    <col min="8200" max="8200" width="20" style="311" customWidth="1"/>
    <col min="8201" max="8451" width="11.42578125" style="311"/>
    <col min="8452" max="8452" width="40.5703125" style="311" customWidth="1"/>
    <col min="8453" max="8453" width="29.140625" style="311" customWidth="1"/>
    <col min="8454" max="8454" width="22.85546875" style="311" customWidth="1"/>
    <col min="8455" max="8455" width="18.85546875" style="311" customWidth="1"/>
    <col min="8456" max="8456" width="20" style="311" customWidth="1"/>
    <col min="8457" max="8707" width="11.42578125" style="311"/>
    <col min="8708" max="8708" width="40.5703125" style="311" customWidth="1"/>
    <col min="8709" max="8709" width="29.140625" style="311" customWidth="1"/>
    <col min="8710" max="8710" width="22.85546875" style="311" customWidth="1"/>
    <col min="8711" max="8711" width="18.85546875" style="311" customWidth="1"/>
    <col min="8712" max="8712" width="20" style="311" customWidth="1"/>
    <col min="8713" max="8963" width="11.42578125" style="311"/>
    <col min="8964" max="8964" width="40.5703125" style="311" customWidth="1"/>
    <col min="8965" max="8965" width="29.140625" style="311" customWidth="1"/>
    <col min="8966" max="8966" width="22.85546875" style="311" customWidth="1"/>
    <col min="8967" max="8967" width="18.85546875" style="311" customWidth="1"/>
    <col min="8968" max="8968" width="20" style="311" customWidth="1"/>
    <col min="8969" max="9219" width="11.42578125" style="311"/>
    <col min="9220" max="9220" width="40.5703125" style="311" customWidth="1"/>
    <col min="9221" max="9221" width="29.140625" style="311" customWidth="1"/>
    <col min="9222" max="9222" width="22.85546875" style="311" customWidth="1"/>
    <col min="9223" max="9223" width="18.85546875" style="311" customWidth="1"/>
    <col min="9224" max="9224" width="20" style="311" customWidth="1"/>
    <col min="9225" max="9475" width="11.42578125" style="311"/>
    <col min="9476" max="9476" width="40.5703125" style="311" customWidth="1"/>
    <col min="9477" max="9477" width="29.140625" style="311" customWidth="1"/>
    <col min="9478" max="9478" width="22.85546875" style="311" customWidth="1"/>
    <col min="9479" max="9479" width="18.85546875" style="311" customWidth="1"/>
    <col min="9480" max="9480" width="20" style="311" customWidth="1"/>
    <col min="9481" max="9731" width="11.42578125" style="311"/>
    <col min="9732" max="9732" width="40.5703125" style="311" customWidth="1"/>
    <col min="9733" max="9733" width="29.140625" style="311" customWidth="1"/>
    <col min="9734" max="9734" width="22.85546875" style="311" customWidth="1"/>
    <col min="9735" max="9735" width="18.85546875" style="311" customWidth="1"/>
    <col min="9736" max="9736" width="20" style="311" customWidth="1"/>
    <col min="9737" max="9987" width="11.42578125" style="311"/>
    <col min="9988" max="9988" width="40.5703125" style="311" customWidth="1"/>
    <col min="9989" max="9989" width="29.140625" style="311" customWidth="1"/>
    <col min="9990" max="9990" width="22.85546875" style="311" customWidth="1"/>
    <col min="9991" max="9991" width="18.85546875" style="311" customWidth="1"/>
    <col min="9992" max="9992" width="20" style="311" customWidth="1"/>
    <col min="9993" max="10243" width="11.42578125" style="311"/>
    <col min="10244" max="10244" width="40.5703125" style="311" customWidth="1"/>
    <col min="10245" max="10245" width="29.140625" style="311" customWidth="1"/>
    <col min="10246" max="10246" width="22.85546875" style="311" customWidth="1"/>
    <col min="10247" max="10247" width="18.85546875" style="311" customWidth="1"/>
    <col min="10248" max="10248" width="20" style="311" customWidth="1"/>
    <col min="10249" max="10499" width="11.42578125" style="311"/>
    <col min="10500" max="10500" width="40.5703125" style="311" customWidth="1"/>
    <col min="10501" max="10501" width="29.140625" style="311" customWidth="1"/>
    <col min="10502" max="10502" width="22.85546875" style="311" customWidth="1"/>
    <col min="10503" max="10503" width="18.85546875" style="311" customWidth="1"/>
    <col min="10504" max="10504" width="20" style="311" customWidth="1"/>
    <col min="10505" max="10755" width="11.42578125" style="311"/>
    <col min="10756" max="10756" width="40.5703125" style="311" customWidth="1"/>
    <col min="10757" max="10757" width="29.140625" style="311" customWidth="1"/>
    <col min="10758" max="10758" width="22.85546875" style="311" customWidth="1"/>
    <col min="10759" max="10759" width="18.85546875" style="311" customWidth="1"/>
    <col min="10760" max="10760" width="20" style="311" customWidth="1"/>
    <col min="10761" max="11011" width="11.42578125" style="311"/>
    <col min="11012" max="11012" width="40.5703125" style="311" customWidth="1"/>
    <col min="11013" max="11013" width="29.140625" style="311" customWidth="1"/>
    <col min="11014" max="11014" width="22.85546875" style="311" customWidth="1"/>
    <col min="11015" max="11015" width="18.85546875" style="311" customWidth="1"/>
    <col min="11016" max="11016" width="20" style="311" customWidth="1"/>
    <col min="11017" max="11267" width="11.42578125" style="311"/>
    <col min="11268" max="11268" width="40.5703125" style="311" customWidth="1"/>
    <col min="11269" max="11269" width="29.140625" style="311" customWidth="1"/>
    <col min="11270" max="11270" width="22.85546875" style="311" customWidth="1"/>
    <col min="11271" max="11271" width="18.85546875" style="311" customWidth="1"/>
    <col min="11272" max="11272" width="20" style="311" customWidth="1"/>
    <col min="11273" max="11523" width="11.42578125" style="311"/>
    <col min="11524" max="11524" width="40.5703125" style="311" customWidth="1"/>
    <col min="11525" max="11525" width="29.140625" style="311" customWidth="1"/>
    <col min="11526" max="11526" width="22.85546875" style="311" customWidth="1"/>
    <col min="11527" max="11527" width="18.85546875" style="311" customWidth="1"/>
    <col min="11528" max="11528" width="20" style="311" customWidth="1"/>
    <col min="11529" max="11779" width="11.42578125" style="311"/>
    <col min="11780" max="11780" width="40.5703125" style="311" customWidth="1"/>
    <col min="11781" max="11781" width="29.140625" style="311" customWidth="1"/>
    <col min="11782" max="11782" width="22.85546875" style="311" customWidth="1"/>
    <col min="11783" max="11783" width="18.85546875" style="311" customWidth="1"/>
    <col min="11784" max="11784" width="20" style="311" customWidth="1"/>
    <col min="11785" max="12035" width="11.42578125" style="311"/>
    <col min="12036" max="12036" width="40.5703125" style="311" customWidth="1"/>
    <col min="12037" max="12037" width="29.140625" style="311" customWidth="1"/>
    <col min="12038" max="12038" width="22.85546875" style="311" customWidth="1"/>
    <col min="12039" max="12039" width="18.85546875" style="311" customWidth="1"/>
    <col min="12040" max="12040" width="20" style="311" customWidth="1"/>
    <col min="12041" max="12291" width="11.42578125" style="311"/>
    <col min="12292" max="12292" width="40.5703125" style="311" customWidth="1"/>
    <col min="12293" max="12293" width="29.140625" style="311" customWidth="1"/>
    <col min="12294" max="12294" width="22.85546875" style="311" customWidth="1"/>
    <col min="12295" max="12295" width="18.85546875" style="311" customWidth="1"/>
    <col min="12296" max="12296" width="20" style="311" customWidth="1"/>
    <col min="12297" max="12547" width="11.42578125" style="311"/>
    <col min="12548" max="12548" width="40.5703125" style="311" customWidth="1"/>
    <col min="12549" max="12549" width="29.140625" style="311" customWidth="1"/>
    <col min="12550" max="12550" width="22.85546875" style="311" customWidth="1"/>
    <col min="12551" max="12551" width="18.85546875" style="311" customWidth="1"/>
    <col min="12552" max="12552" width="20" style="311" customWidth="1"/>
    <col min="12553" max="12803" width="11.42578125" style="311"/>
    <col min="12804" max="12804" width="40.5703125" style="311" customWidth="1"/>
    <col min="12805" max="12805" width="29.140625" style="311" customWidth="1"/>
    <col min="12806" max="12806" width="22.85546875" style="311" customWidth="1"/>
    <col min="12807" max="12807" width="18.85546875" style="311" customWidth="1"/>
    <col min="12808" max="12808" width="20" style="311" customWidth="1"/>
    <col min="12809" max="13059" width="11.42578125" style="311"/>
    <col min="13060" max="13060" width="40.5703125" style="311" customWidth="1"/>
    <col min="13061" max="13061" width="29.140625" style="311" customWidth="1"/>
    <col min="13062" max="13062" width="22.85546875" style="311" customWidth="1"/>
    <col min="13063" max="13063" width="18.85546875" style="311" customWidth="1"/>
    <col min="13064" max="13064" width="20" style="311" customWidth="1"/>
    <col min="13065" max="13315" width="11.42578125" style="311"/>
    <col min="13316" max="13316" width="40.5703125" style="311" customWidth="1"/>
    <col min="13317" max="13317" width="29.140625" style="311" customWidth="1"/>
    <col min="13318" max="13318" width="22.85546875" style="311" customWidth="1"/>
    <col min="13319" max="13319" width="18.85546875" style="311" customWidth="1"/>
    <col min="13320" max="13320" width="20" style="311" customWidth="1"/>
    <col min="13321" max="13571" width="11.42578125" style="311"/>
    <col min="13572" max="13572" width="40.5703125" style="311" customWidth="1"/>
    <col min="13573" max="13573" width="29.140625" style="311" customWidth="1"/>
    <col min="13574" max="13574" width="22.85546875" style="311" customWidth="1"/>
    <col min="13575" max="13575" width="18.85546875" style="311" customWidth="1"/>
    <col min="13576" max="13576" width="20" style="311" customWidth="1"/>
    <col min="13577" max="13827" width="11.42578125" style="311"/>
    <col min="13828" max="13828" width="40.5703125" style="311" customWidth="1"/>
    <col min="13829" max="13829" width="29.140625" style="311" customWidth="1"/>
    <col min="13830" max="13830" width="22.85546875" style="311" customWidth="1"/>
    <col min="13831" max="13831" width="18.85546875" style="311" customWidth="1"/>
    <col min="13832" max="13832" width="20" style="311" customWidth="1"/>
    <col min="13833" max="14083" width="11.42578125" style="311"/>
    <col min="14084" max="14084" width="40.5703125" style="311" customWidth="1"/>
    <col min="14085" max="14085" width="29.140625" style="311" customWidth="1"/>
    <col min="14086" max="14086" width="22.85546875" style="311" customWidth="1"/>
    <col min="14087" max="14087" width="18.85546875" style="311" customWidth="1"/>
    <col min="14088" max="14088" width="20" style="311" customWidth="1"/>
    <col min="14089" max="14339" width="11.42578125" style="311"/>
    <col min="14340" max="14340" width="40.5703125" style="311" customWidth="1"/>
    <col min="14341" max="14341" width="29.140625" style="311" customWidth="1"/>
    <col min="14342" max="14342" width="22.85546875" style="311" customWidth="1"/>
    <col min="14343" max="14343" width="18.85546875" style="311" customWidth="1"/>
    <col min="14344" max="14344" width="20" style="311" customWidth="1"/>
    <col min="14345" max="14595" width="11.42578125" style="311"/>
    <col min="14596" max="14596" width="40.5703125" style="311" customWidth="1"/>
    <col min="14597" max="14597" width="29.140625" style="311" customWidth="1"/>
    <col min="14598" max="14598" width="22.85546875" style="311" customWidth="1"/>
    <col min="14599" max="14599" width="18.85546875" style="311" customWidth="1"/>
    <col min="14600" max="14600" width="20" style="311" customWidth="1"/>
    <col min="14601" max="14851" width="11.42578125" style="311"/>
    <col min="14852" max="14852" width="40.5703125" style="311" customWidth="1"/>
    <col min="14853" max="14853" width="29.140625" style="311" customWidth="1"/>
    <col min="14854" max="14854" width="22.85546875" style="311" customWidth="1"/>
    <col min="14855" max="14855" width="18.85546875" style="311" customWidth="1"/>
    <col min="14856" max="14856" width="20" style="311" customWidth="1"/>
    <col min="14857" max="15107" width="11.42578125" style="311"/>
    <col min="15108" max="15108" width="40.5703125" style="311" customWidth="1"/>
    <col min="15109" max="15109" width="29.140625" style="311" customWidth="1"/>
    <col min="15110" max="15110" width="22.85546875" style="311" customWidth="1"/>
    <col min="15111" max="15111" width="18.85546875" style="311" customWidth="1"/>
    <col min="15112" max="15112" width="20" style="311" customWidth="1"/>
    <col min="15113" max="15363" width="11.42578125" style="311"/>
    <col min="15364" max="15364" width="40.5703125" style="311" customWidth="1"/>
    <col min="15365" max="15365" width="29.140625" style="311" customWidth="1"/>
    <col min="15366" max="15366" width="22.85546875" style="311" customWidth="1"/>
    <col min="15367" max="15367" width="18.85546875" style="311" customWidth="1"/>
    <col min="15368" max="15368" width="20" style="311" customWidth="1"/>
    <col min="15369" max="15619" width="11.42578125" style="311"/>
    <col min="15620" max="15620" width="40.5703125" style="311" customWidth="1"/>
    <col min="15621" max="15621" width="29.140625" style="311" customWidth="1"/>
    <col min="15622" max="15622" width="22.85546875" style="311" customWidth="1"/>
    <col min="15623" max="15623" width="18.85546875" style="311" customWidth="1"/>
    <col min="15624" max="15624" width="20" style="311" customWidth="1"/>
    <col min="15625" max="15875" width="11.42578125" style="311"/>
    <col min="15876" max="15876" width="40.5703125" style="311" customWidth="1"/>
    <col min="15877" max="15877" width="29.140625" style="311" customWidth="1"/>
    <col min="15878" max="15878" width="22.85546875" style="311" customWidth="1"/>
    <col min="15879" max="15879" width="18.85546875" style="311" customWidth="1"/>
    <col min="15880" max="15880" width="20" style="311" customWidth="1"/>
    <col min="15881" max="16131" width="11.42578125" style="311"/>
    <col min="16132" max="16132" width="40.5703125" style="311" customWidth="1"/>
    <col min="16133" max="16133" width="29.140625" style="311" customWidth="1"/>
    <col min="16134" max="16134" width="22.85546875" style="311" customWidth="1"/>
    <col min="16135" max="16135" width="18.85546875" style="311" customWidth="1"/>
    <col min="16136" max="16136" width="20" style="311" customWidth="1"/>
    <col min="16137" max="16384" width="11.42578125" style="311"/>
  </cols>
  <sheetData>
    <row r="1" spans="1:21" ht="15.75" customHeight="1" thickTop="1">
      <c r="A1" s="2732" t="str">
        <f>ADDRESS(ROW(),COLUMN(),4)</f>
        <v>A1</v>
      </c>
      <c r="B1" s="2726" t="str">
        <f t="shared" ref="B1:K1" si="0">SUBSTITUTE(ADDRESS(1,COLUMN(),4),"1","")</f>
        <v>B</v>
      </c>
      <c r="C1" s="2726" t="str">
        <f t="shared" si="0"/>
        <v>C</v>
      </c>
      <c r="D1" s="2726" t="str">
        <f t="shared" si="0"/>
        <v>D</v>
      </c>
      <c r="E1" s="2726"/>
      <c r="F1" s="2726" t="str">
        <f t="shared" si="0"/>
        <v>F</v>
      </c>
      <c r="G1" s="2726" t="str">
        <f t="shared" si="0"/>
        <v>G</v>
      </c>
      <c r="H1" s="2726" t="str">
        <f t="shared" si="0"/>
        <v>H</v>
      </c>
      <c r="I1" s="2726" t="str">
        <f t="shared" si="0"/>
        <v>I</v>
      </c>
      <c r="J1" s="2726" t="str">
        <f t="shared" si="0"/>
        <v>J</v>
      </c>
      <c r="K1" s="2726" t="str">
        <f t="shared" si="0"/>
        <v>K</v>
      </c>
      <c r="L1" s="7723" t="s">
        <v>7035</v>
      </c>
      <c r="M1" s="2726" t="str">
        <f t="shared" ref="M1:S1" si="1">SUBSTITUTE(ADDRESS(1,COLUMN(),4),"1","")</f>
        <v>M</v>
      </c>
      <c r="N1" s="2726" t="str">
        <f t="shared" si="1"/>
        <v>N</v>
      </c>
      <c r="O1" s="2726" t="str">
        <f t="shared" si="1"/>
        <v>O</v>
      </c>
      <c r="P1" s="2726" t="str">
        <f t="shared" si="1"/>
        <v>P</v>
      </c>
      <c r="Q1" s="2726" t="str">
        <f t="shared" si="1"/>
        <v>Q</v>
      </c>
      <c r="R1" s="2726" t="str">
        <f t="shared" si="1"/>
        <v>R</v>
      </c>
      <c r="S1" s="2726" t="str">
        <f t="shared" si="1"/>
        <v>S</v>
      </c>
      <c r="T1" s="7723" t="s">
        <v>7035</v>
      </c>
      <c r="U1" s="2730">
        <v>1</v>
      </c>
    </row>
    <row r="2" spans="1:21" ht="12.75">
      <c r="B2" s="2727">
        <f t="shared" ref="B2:K2" ca="1" si="2">CELL("largeur",B2)</f>
        <v>5</v>
      </c>
      <c r="C2" s="2727">
        <f t="shared" ca="1" si="2"/>
        <v>4</v>
      </c>
      <c r="D2" s="2727">
        <f t="shared" ca="1" si="2"/>
        <v>40</v>
      </c>
      <c r="E2" s="2727"/>
      <c r="F2" s="2727">
        <f t="shared" ca="1" si="2"/>
        <v>12</v>
      </c>
      <c r="G2" s="2727">
        <f t="shared" ca="1" si="2"/>
        <v>12</v>
      </c>
      <c r="H2" s="2727">
        <f t="shared" ca="1" si="2"/>
        <v>12</v>
      </c>
      <c r="I2" s="2727">
        <f t="shared" ca="1" si="2"/>
        <v>20</v>
      </c>
      <c r="J2" s="2727">
        <f t="shared" ca="1" si="2"/>
        <v>12</v>
      </c>
      <c r="K2" s="2727">
        <f t="shared" ca="1" si="2"/>
        <v>12</v>
      </c>
      <c r="L2" s="7723"/>
      <c r="M2" s="2727">
        <f t="shared" ref="M2:S2" ca="1" si="3">CELL("largeur",M2)</f>
        <v>19</v>
      </c>
      <c r="N2" s="2727">
        <f t="shared" ca="1" si="3"/>
        <v>18</v>
      </c>
      <c r="O2" s="2727">
        <f t="shared" ca="1" si="3"/>
        <v>25</v>
      </c>
      <c r="P2" s="2727">
        <f t="shared" ca="1" si="3"/>
        <v>18</v>
      </c>
      <c r="Q2" s="2727">
        <f t="shared" ca="1" si="3"/>
        <v>16</v>
      </c>
      <c r="R2" s="2727">
        <f t="shared" ca="1" si="3"/>
        <v>31</v>
      </c>
      <c r="S2" s="2727">
        <f t="shared" ca="1" si="3"/>
        <v>46</v>
      </c>
      <c r="T2" s="7723"/>
      <c r="U2" s="2730">
        <v>1</v>
      </c>
    </row>
    <row r="3" spans="1:21" ht="22.5">
      <c r="B3" s="2728">
        <v>5</v>
      </c>
      <c r="C3" s="2728">
        <v>4</v>
      </c>
      <c r="D3" s="2728">
        <v>40</v>
      </c>
      <c r="E3" s="2728"/>
      <c r="F3" s="2728">
        <v>12</v>
      </c>
      <c r="G3" s="2728">
        <v>12</v>
      </c>
      <c r="H3" s="2728">
        <v>12</v>
      </c>
      <c r="I3" s="2728">
        <v>20</v>
      </c>
      <c r="J3" s="2728">
        <v>12</v>
      </c>
      <c r="K3" s="2728">
        <v>12</v>
      </c>
      <c r="M3" s="2728">
        <v>19</v>
      </c>
      <c r="N3" s="2728">
        <v>18</v>
      </c>
      <c r="O3" s="2728">
        <v>25</v>
      </c>
      <c r="P3" s="2728">
        <v>18</v>
      </c>
      <c r="Q3" s="2728">
        <v>16</v>
      </c>
      <c r="R3" s="2728">
        <v>31</v>
      </c>
      <c r="S3" s="2728">
        <v>46</v>
      </c>
      <c r="T3" s="2729" t="s">
        <v>7036</v>
      </c>
      <c r="U3" s="2730">
        <v>1</v>
      </c>
    </row>
    <row r="4" spans="1:21">
      <c r="U4" s="2730">
        <v>1</v>
      </c>
    </row>
    <row r="5" spans="1:21" ht="12.75">
      <c r="C5" s="1099"/>
      <c r="D5" s="7728" t="s">
        <v>1769</v>
      </c>
      <c r="E5" s="7728"/>
      <c r="F5" s="7728"/>
      <c r="G5" s="7728"/>
      <c r="H5" s="7728"/>
      <c r="I5" s="7728"/>
      <c r="J5" s="7728"/>
      <c r="K5" s="7728"/>
      <c r="M5" s="311"/>
      <c r="N5" s="311"/>
      <c r="O5" s="311"/>
      <c r="P5" s="311"/>
      <c r="Q5" s="311"/>
      <c r="R5" s="311"/>
      <c r="S5" s="311"/>
      <c r="U5" s="2730">
        <v>1</v>
      </c>
    </row>
    <row r="6" spans="1:21" ht="12.75">
      <c r="C6" s="1099"/>
      <c r="D6" s="7728"/>
      <c r="E6" s="7728"/>
      <c r="F6" s="7728"/>
      <c r="G6" s="7728"/>
      <c r="H6" s="7728"/>
      <c r="I6" s="7728"/>
      <c r="J6" s="7728"/>
      <c r="K6" s="7728"/>
      <c r="M6" s="311"/>
      <c r="N6" s="311"/>
      <c r="O6" s="311"/>
      <c r="P6" s="311"/>
      <c r="Q6" s="311"/>
      <c r="R6" s="311"/>
      <c r="S6" s="311"/>
      <c r="U6" s="2730">
        <v>1</v>
      </c>
    </row>
    <row r="7" spans="1:21" ht="12.75">
      <c r="C7" s="1099"/>
      <c r="D7" s="7728"/>
      <c r="E7" s="7728"/>
      <c r="F7" s="7728"/>
      <c r="G7" s="7728"/>
      <c r="H7" s="7728"/>
      <c r="I7" s="7728"/>
      <c r="J7" s="7728"/>
      <c r="K7" s="7728"/>
      <c r="M7" s="311"/>
      <c r="N7" s="311"/>
      <c r="O7" s="311"/>
      <c r="P7" s="311"/>
      <c r="Q7" s="311"/>
      <c r="R7" s="311"/>
      <c r="S7" s="311"/>
      <c r="U7" s="2730">
        <v>1</v>
      </c>
    </row>
    <row r="8" spans="1:21" ht="15.75" thickBot="1">
      <c r="U8" s="2730">
        <v>1</v>
      </c>
    </row>
    <row r="9" spans="1:21" ht="19.5" thickBot="1">
      <c r="C9" s="1097" t="s">
        <v>1775</v>
      </c>
      <c r="D9" s="1098"/>
      <c r="E9" s="1098"/>
      <c r="F9" s="7867" t="s">
        <v>1280</v>
      </c>
      <c r="G9" s="7868"/>
      <c r="H9" s="7868"/>
      <c r="I9" s="7868"/>
      <c r="J9" s="7868"/>
      <c r="K9" s="7869"/>
      <c r="S9" s="2769" t="s">
        <v>7044</v>
      </c>
      <c r="T9" s="2926" t="str">
        <f>$U$187</f>
        <v>U187</v>
      </c>
      <c r="U9" s="2730">
        <v>1</v>
      </c>
    </row>
    <row r="10" spans="1:21">
      <c r="U10" s="2730">
        <v>1</v>
      </c>
    </row>
    <row r="11" spans="1:21" ht="13.5" customHeight="1" thickBot="1">
      <c r="D11" s="1017"/>
      <c r="E11" s="1017"/>
      <c r="F11" s="1017"/>
      <c r="G11" s="1017"/>
      <c r="H11" s="1017"/>
      <c r="I11" s="1017"/>
      <c r="J11" s="1017"/>
      <c r="K11" s="1017"/>
      <c r="L11" s="1054"/>
      <c r="U11" s="2730">
        <v>1</v>
      </c>
    </row>
    <row r="12" spans="1:21" ht="18.75" customHeight="1">
      <c r="B12" s="2755" t="s">
        <v>67</v>
      </c>
      <c r="C12" s="7872" t="s">
        <v>1782</v>
      </c>
      <c r="D12" s="7872"/>
      <c r="E12" s="7872"/>
      <c r="F12" s="7872"/>
      <c r="G12" s="7872"/>
      <c r="H12" s="7872"/>
      <c r="I12" s="7872"/>
      <c r="J12" s="7872"/>
      <c r="K12" s="7895" t="s">
        <v>65</v>
      </c>
      <c r="L12" s="311" t="s">
        <v>2</v>
      </c>
      <c r="M12" s="7899" t="s">
        <v>7045</v>
      </c>
      <c r="N12" s="7900"/>
      <c r="O12" s="7900"/>
      <c r="P12" s="7900"/>
      <c r="Q12" s="7900"/>
      <c r="R12" s="7900"/>
      <c r="S12" s="7901"/>
      <c r="U12" s="2730">
        <v>1</v>
      </c>
    </row>
    <row r="13" spans="1:21" ht="18.75" customHeight="1">
      <c r="B13" s="2929" t="s">
        <v>337</v>
      </c>
      <c r="C13" s="7730"/>
      <c r="D13" s="7730"/>
      <c r="E13" s="7730"/>
      <c r="F13" s="7730"/>
      <c r="G13" s="7730"/>
      <c r="H13" s="7730"/>
      <c r="I13" s="7730"/>
      <c r="J13" s="7730"/>
      <c r="K13" s="7896"/>
      <c r="L13" s="311" t="s">
        <v>2</v>
      </c>
      <c r="M13" s="7902"/>
      <c r="N13" s="7903"/>
      <c r="O13" s="7903"/>
      <c r="P13" s="7903"/>
      <c r="Q13" s="7903"/>
      <c r="R13" s="7903"/>
      <c r="S13" s="7904"/>
      <c r="U13" s="2730">
        <v>1</v>
      </c>
    </row>
    <row r="14" spans="1:21" ht="18.75">
      <c r="B14" s="2929" t="s">
        <v>337</v>
      </c>
      <c r="C14" s="7733" t="s">
        <v>1771</v>
      </c>
      <c r="D14" s="7733"/>
      <c r="E14" s="7733"/>
      <c r="F14" s="7733"/>
      <c r="G14" s="7733"/>
      <c r="H14" s="7733"/>
      <c r="I14" s="7733"/>
      <c r="J14" s="7733"/>
      <c r="K14" s="7734"/>
      <c r="L14" s="311" t="s">
        <v>2</v>
      </c>
      <c r="M14" s="7902"/>
      <c r="N14" s="7903"/>
      <c r="O14" s="7903"/>
      <c r="P14" s="7903"/>
      <c r="Q14" s="7903"/>
      <c r="R14" s="7903"/>
      <c r="S14" s="7904"/>
      <c r="U14" s="2730">
        <v>1</v>
      </c>
    </row>
    <row r="15" spans="1:21">
      <c r="B15" s="2929" t="s">
        <v>337</v>
      </c>
      <c r="C15" s="2735"/>
      <c r="D15" s="34"/>
      <c r="E15" s="34"/>
      <c r="F15" s="1065"/>
      <c r="G15" s="7897" t="s">
        <v>1772</v>
      </c>
      <c r="H15" s="7897"/>
      <c r="I15" s="7726">
        <v>1.5</v>
      </c>
      <c r="J15" s="1067"/>
      <c r="K15" s="2756"/>
      <c r="L15" s="311" t="s">
        <v>2</v>
      </c>
      <c r="M15" s="2770" t="s">
        <v>7046</v>
      </c>
      <c r="N15" s="2771"/>
      <c r="O15" s="2771"/>
      <c r="P15" s="2771"/>
      <c r="Q15" s="2771"/>
      <c r="R15" s="2771"/>
      <c r="S15" s="2772"/>
      <c r="U15" s="2730">
        <v>1</v>
      </c>
    </row>
    <row r="16" spans="1:21">
      <c r="B16" s="2929" t="s">
        <v>337</v>
      </c>
      <c r="C16" s="2735"/>
      <c r="D16" s="34"/>
      <c r="E16" s="34"/>
      <c r="F16" s="1066"/>
      <c r="G16" s="7898"/>
      <c r="H16" s="7898"/>
      <c r="I16" s="7727"/>
      <c r="J16" s="1069"/>
      <c r="K16" s="2757"/>
      <c r="L16" s="311" t="s">
        <v>2</v>
      </c>
      <c r="M16" s="2773"/>
      <c r="N16" s="2774"/>
      <c r="O16" s="2775"/>
      <c r="P16" s="2775"/>
      <c r="Q16" s="2775"/>
      <c r="R16" s="2775"/>
      <c r="S16" s="2776"/>
      <c r="U16" s="2730">
        <v>1</v>
      </c>
    </row>
    <row r="17" spans="2:21" ht="18.75">
      <c r="B17" s="2929" t="s">
        <v>337</v>
      </c>
      <c r="C17" s="7855" t="s">
        <v>1253</v>
      </c>
      <c r="D17" s="7856"/>
      <c r="E17" s="7616" t="s">
        <v>16246</v>
      </c>
      <c r="F17" s="2758" t="s">
        <v>1773</v>
      </c>
      <c r="G17" s="2759" t="s">
        <v>1282</v>
      </c>
      <c r="H17" s="2760" t="s">
        <v>19</v>
      </c>
      <c r="I17" s="1064" t="s">
        <v>1774</v>
      </c>
      <c r="J17" s="2761" t="s">
        <v>1781</v>
      </c>
      <c r="K17" s="2762" t="s">
        <v>1254</v>
      </c>
      <c r="L17" s="311" t="s">
        <v>2</v>
      </c>
      <c r="M17" s="2777" t="s">
        <v>7047</v>
      </c>
      <c r="N17" s="2778"/>
      <c r="O17" s="2779"/>
      <c r="P17" s="1"/>
      <c r="Q17" s="1"/>
      <c r="R17" s="2780" t="s">
        <v>7048</v>
      </c>
      <c r="S17" s="2781"/>
      <c r="U17" s="2730">
        <v>1</v>
      </c>
    </row>
    <row r="18" spans="2:21" ht="15.75">
      <c r="B18" s="2929" t="s">
        <v>337</v>
      </c>
      <c r="C18" s="2733">
        <f>ROWS(H18:H18)</f>
        <v>1</v>
      </c>
      <c r="D18" s="1074" t="s">
        <v>1255</v>
      </c>
      <c r="E18" s="7704" t="s">
        <v>10486</v>
      </c>
      <c r="F18" s="1022">
        <v>34</v>
      </c>
      <c r="G18" s="7599">
        <f>F18/F48*1000</f>
        <v>680</v>
      </c>
      <c r="H18" s="7603">
        <f>F18/F48</f>
        <v>0.68</v>
      </c>
      <c r="I18" s="1025">
        <f>H18*I15</f>
        <v>1.02</v>
      </c>
      <c r="J18" s="1026">
        <v>1</v>
      </c>
      <c r="K18" s="2763">
        <f t="shared" ref="K18:K47" si="4">I18*J18</f>
        <v>1.02</v>
      </c>
      <c r="L18" s="311" t="s">
        <v>2</v>
      </c>
      <c r="M18" s="2782" t="s">
        <v>7049</v>
      </c>
      <c r="N18" s="2778"/>
      <c r="O18" s="2779"/>
      <c r="P18" s="1"/>
      <c r="Q18" s="1"/>
      <c r="R18" s="2783" t="s">
        <v>7050</v>
      </c>
      <c r="S18" s="2781"/>
      <c r="U18" s="2730">
        <v>1</v>
      </c>
    </row>
    <row r="19" spans="2:21" ht="15.75">
      <c r="B19" s="2738" t="str">
        <f t="shared" ref="B19" si="5">IF(D19&lt;&gt;"","A","►")</f>
        <v>A</v>
      </c>
      <c r="C19" s="2734">
        <f>ROWS(H18:H19)</f>
        <v>2</v>
      </c>
      <c r="D19" s="1075" t="s">
        <v>17871</v>
      </c>
      <c r="E19" s="7704" t="s">
        <v>17874</v>
      </c>
      <c r="F19" s="1028">
        <v>16</v>
      </c>
      <c r="G19" s="7600">
        <f>F19/F48*1000</f>
        <v>320</v>
      </c>
      <c r="H19" s="7604">
        <f>F19/F48</f>
        <v>0.32</v>
      </c>
      <c r="I19" s="1031">
        <f>H19*I15</f>
        <v>0.48</v>
      </c>
      <c r="J19" s="1032">
        <v>2</v>
      </c>
      <c r="K19" s="2764">
        <f t="shared" si="4"/>
        <v>0.96</v>
      </c>
      <c r="L19" s="311" t="s">
        <v>2</v>
      </c>
      <c r="M19" s="2782"/>
      <c r="N19" s="2784" t="s">
        <v>7051</v>
      </c>
      <c r="O19" s="2779"/>
      <c r="P19" s="1"/>
      <c r="Q19" s="1"/>
      <c r="R19" s="716" t="s">
        <v>7052</v>
      </c>
      <c r="S19" s="2241"/>
      <c r="U19" s="2730">
        <v>1</v>
      </c>
    </row>
    <row r="20" spans="2:21" ht="15.75">
      <c r="B20" s="2738" t="str">
        <f>IF(D20&lt;&gt;"","A","►")</f>
        <v>►</v>
      </c>
      <c r="C20" s="2733">
        <f>ROWS(H18:H20)</f>
        <v>3</v>
      </c>
      <c r="D20" s="1074"/>
      <c r="E20" s="7704"/>
      <c r="F20" s="1022"/>
      <c r="G20" s="7599">
        <f>F20/F48*1000</f>
        <v>0</v>
      </c>
      <c r="H20" s="7603">
        <f>F20/F48</f>
        <v>0</v>
      </c>
      <c r="I20" s="1034">
        <f>H20*I15</f>
        <v>0</v>
      </c>
      <c r="J20" s="1026">
        <v>2</v>
      </c>
      <c r="K20" s="2763">
        <f t="shared" si="4"/>
        <v>0</v>
      </c>
      <c r="L20" s="311" t="s">
        <v>2</v>
      </c>
      <c r="M20" s="2782" t="s">
        <v>7053</v>
      </c>
      <c r="N20" s="2778"/>
      <c r="O20" s="2779"/>
      <c r="P20" s="1"/>
      <c r="Q20" s="1"/>
      <c r="R20" s="423" t="s">
        <v>7054</v>
      </c>
      <c r="S20" s="2241"/>
      <c r="U20" s="2730">
        <v>1</v>
      </c>
    </row>
    <row r="21" spans="2:21" ht="15.75">
      <c r="B21" s="2738" t="str">
        <f t="shared" ref="B21:B46" si="6">IF(D21&lt;&gt;"","A","►")</f>
        <v>►</v>
      </c>
      <c r="C21" s="2734">
        <f>ROWS(H18:H21)</f>
        <v>4</v>
      </c>
      <c r="D21" s="1075"/>
      <c r="E21" s="7704"/>
      <c r="F21" s="1028"/>
      <c r="G21" s="7600">
        <f>F21/F48*1000</f>
        <v>0</v>
      </c>
      <c r="H21" s="7604">
        <f>F21/F48</f>
        <v>0</v>
      </c>
      <c r="I21" s="1031">
        <f>H21*I15</f>
        <v>0</v>
      </c>
      <c r="J21" s="1032">
        <v>0</v>
      </c>
      <c r="K21" s="2764">
        <f t="shared" si="4"/>
        <v>0</v>
      </c>
      <c r="L21" s="311" t="s">
        <v>2</v>
      </c>
      <c r="M21" s="2785"/>
      <c r="N21" s="2786" t="s">
        <v>2370</v>
      </c>
      <c r="O21" s="2784" t="s">
        <v>7056</v>
      </c>
      <c r="P21" s="1"/>
      <c r="Q21" s="1"/>
      <c r="R21" s="423" t="s">
        <v>7055</v>
      </c>
      <c r="S21" s="2241"/>
      <c r="U21" s="2730">
        <v>1</v>
      </c>
    </row>
    <row r="22" spans="2:21" ht="15.75">
      <c r="B22" s="2738" t="str">
        <f t="shared" si="6"/>
        <v>►</v>
      </c>
      <c r="C22" s="2733">
        <f>ROWS(H18:H22)</f>
        <v>5</v>
      </c>
      <c r="D22" s="1074"/>
      <c r="E22" s="7704"/>
      <c r="F22" s="1022"/>
      <c r="G22" s="7599">
        <f>F22/F48*1000</f>
        <v>0</v>
      </c>
      <c r="H22" s="7603">
        <f>F22/F48</f>
        <v>0</v>
      </c>
      <c r="I22" s="1034">
        <f>H22*I15</f>
        <v>0</v>
      </c>
      <c r="J22" s="1026">
        <v>0</v>
      </c>
      <c r="K22" s="2763">
        <f t="shared" si="4"/>
        <v>0</v>
      </c>
      <c r="L22" s="311" t="s">
        <v>2</v>
      </c>
      <c r="M22" s="2785"/>
      <c r="N22" s="2784"/>
      <c r="O22" s="2784"/>
      <c r="P22" s="1"/>
      <c r="Q22" s="1"/>
      <c r="R22" s="1"/>
      <c r="S22" s="2781"/>
      <c r="U22" s="2730">
        <v>1</v>
      </c>
    </row>
    <row r="23" spans="2:21" ht="15.75">
      <c r="B23" s="2738" t="str">
        <f t="shared" si="6"/>
        <v>►</v>
      </c>
      <c r="C23" s="2734">
        <f>ROWS(H18:H23)</f>
        <v>6</v>
      </c>
      <c r="D23" s="1075"/>
      <c r="E23" s="7704"/>
      <c r="F23" s="1028"/>
      <c r="G23" s="7600">
        <f>F23/F48*1000</f>
        <v>0</v>
      </c>
      <c r="H23" s="7604">
        <f>F23/F48</f>
        <v>0</v>
      </c>
      <c r="I23" s="1031">
        <f>H23*I15</f>
        <v>0</v>
      </c>
      <c r="J23" s="1032">
        <v>0</v>
      </c>
      <c r="K23" s="2764">
        <f t="shared" si="4"/>
        <v>0</v>
      </c>
      <c r="L23" s="311" t="s">
        <v>2</v>
      </c>
      <c r="M23" s="2787" t="s">
        <v>7061</v>
      </c>
      <c r="N23" s="2788"/>
      <c r="O23" s="2789"/>
      <c r="P23" s="1"/>
      <c r="Q23" s="1"/>
      <c r="R23" s="2783" t="s">
        <v>7057</v>
      </c>
      <c r="S23" s="2241"/>
      <c r="U23" s="2730">
        <v>1</v>
      </c>
    </row>
    <row r="24" spans="2:21" ht="18.75">
      <c r="B24" s="2738" t="str">
        <f t="shared" si="6"/>
        <v>►</v>
      </c>
      <c r="C24" s="2733">
        <f>ROWS(H18:H24)</f>
        <v>7</v>
      </c>
      <c r="D24" s="1074"/>
      <c r="E24" s="7704"/>
      <c r="F24" s="1022"/>
      <c r="G24" s="7599">
        <f>F24/F48*1000</f>
        <v>0</v>
      </c>
      <c r="H24" s="7603">
        <f>F24/F48</f>
        <v>0</v>
      </c>
      <c r="I24" s="1034">
        <f>H24*I15</f>
        <v>0</v>
      </c>
      <c r="J24" s="1026">
        <v>0</v>
      </c>
      <c r="K24" s="2763">
        <f t="shared" si="4"/>
        <v>0</v>
      </c>
      <c r="L24" s="311" t="s">
        <v>2</v>
      </c>
      <c r="M24" s="2777"/>
      <c r="N24" s="2928" t="s">
        <v>337</v>
      </c>
      <c r="O24" s="2789" t="s">
        <v>7063</v>
      </c>
      <c r="P24" s="1"/>
      <c r="Q24" s="1"/>
      <c r="R24" s="716" t="s">
        <v>7058</v>
      </c>
      <c r="S24" s="2241"/>
      <c r="U24" s="2730">
        <v>1</v>
      </c>
    </row>
    <row r="25" spans="2:21" ht="15.75">
      <c r="B25" s="2738" t="str">
        <f t="shared" si="6"/>
        <v>►</v>
      </c>
      <c r="C25" s="2734">
        <f>ROWS(H18:H25)</f>
        <v>8</v>
      </c>
      <c r="D25" s="1075"/>
      <c r="E25" s="7704"/>
      <c r="F25" s="1028"/>
      <c r="G25" s="7600">
        <f>F25/F48*1000</f>
        <v>0</v>
      </c>
      <c r="H25" s="7604">
        <f>F25/F48</f>
        <v>0</v>
      </c>
      <c r="I25" s="1031">
        <f>H25*I15</f>
        <v>0</v>
      </c>
      <c r="J25" s="1032">
        <v>0</v>
      </c>
      <c r="K25" s="2764">
        <f t="shared" si="4"/>
        <v>0</v>
      </c>
      <c r="L25" s="311" t="s">
        <v>2</v>
      </c>
      <c r="M25" s="2790"/>
      <c r="N25" s="2928" t="s">
        <v>337</v>
      </c>
      <c r="O25" s="2789" t="s">
        <v>7064</v>
      </c>
      <c r="P25" s="1"/>
      <c r="Q25" s="1"/>
      <c r="R25" s="12" t="s">
        <v>7059</v>
      </c>
      <c r="S25" s="2241"/>
      <c r="U25" s="2730">
        <v>1</v>
      </c>
    </row>
    <row r="26" spans="2:21" ht="15.75">
      <c r="B26" s="2738" t="str">
        <f t="shared" si="6"/>
        <v>►</v>
      </c>
      <c r="C26" s="2733">
        <f>ROWS(H18:H26)</f>
        <v>9</v>
      </c>
      <c r="D26" s="1074"/>
      <c r="E26" s="7704"/>
      <c r="F26" s="1022"/>
      <c r="G26" s="7599">
        <f>F26/F48*1000</f>
        <v>0</v>
      </c>
      <c r="H26" s="7603">
        <f>F26/F48</f>
        <v>0</v>
      </c>
      <c r="I26" s="1034">
        <f>H26*I15</f>
        <v>0</v>
      </c>
      <c r="J26" s="1026">
        <v>0</v>
      </c>
      <c r="K26" s="2763">
        <f t="shared" si="4"/>
        <v>0</v>
      </c>
      <c r="L26" s="311" t="s">
        <v>2</v>
      </c>
      <c r="M26" s="294"/>
      <c r="N26" s="2791"/>
      <c r="O26" s="1"/>
      <c r="P26" s="1"/>
      <c r="Q26" s="1"/>
      <c r="R26" s="423" t="s">
        <v>7060</v>
      </c>
      <c r="S26" s="2241"/>
      <c r="U26" s="2730">
        <v>1</v>
      </c>
    </row>
    <row r="27" spans="2:21" ht="15.75">
      <c r="B27" s="2738" t="str">
        <f t="shared" si="6"/>
        <v>►</v>
      </c>
      <c r="C27" s="2734">
        <f>ROWS(H18:H27)</f>
        <v>10</v>
      </c>
      <c r="D27" s="1075"/>
      <c r="E27" s="7704"/>
      <c r="F27" s="1028"/>
      <c r="G27" s="7600">
        <f>F27/F48*1000</f>
        <v>0</v>
      </c>
      <c r="H27" s="7604">
        <f>F27/F48</f>
        <v>0</v>
      </c>
      <c r="I27" s="1031">
        <f>H27*I15</f>
        <v>0</v>
      </c>
      <c r="J27" s="1032">
        <v>0</v>
      </c>
      <c r="K27" s="2764">
        <f t="shared" si="4"/>
        <v>0</v>
      </c>
      <c r="L27" s="311" t="s">
        <v>2</v>
      </c>
      <c r="M27" s="294"/>
      <c r="N27" s="2791"/>
      <c r="O27" s="1"/>
      <c r="P27" s="1"/>
      <c r="Q27" s="1"/>
      <c r="R27" s="423" t="s">
        <v>7062</v>
      </c>
      <c r="S27" s="2781"/>
      <c r="U27" s="2730">
        <v>1</v>
      </c>
    </row>
    <row r="28" spans="2:21" ht="15.75">
      <c r="B28" s="2738" t="str">
        <f t="shared" si="6"/>
        <v>►</v>
      </c>
      <c r="C28" s="2733">
        <f>ROWS(H18:H28)</f>
        <v>11</v>
      </c>
      <c r="D28" s="1074"/>
      <c r="E28" s="7704"/>
      <c r="F28" s="1022"/>
      <c r="G28" s="7599">
        <f>F28/F48*1000</f>
        <v>0</v>
      </c>
      <c r="H28" s="7603">
        <f>F28/F48</f>
        <v>0</v>
      </c>
      <c r="I28" s="1034">
        <f>H28*I15</f>
        <v>0</v>
      </c>
      <c r="J28" s="1026">
        <v>0</v>
      </c>
      <c r="K28" s="2763">
        <f t="shared" si="4"/>
        <v>0</v>
      </c>
      <c r="L28" s="311" t="s">
        <v>2</v>
      </c>
      <c r="M28" s="294"/>
      <c r="N28" s="2791"/>
      <c r="O28" s="1"/>
      <c r="P28" s="1"/>
      <c r="Q28" s="1"/>
      <c r="R28" s="1"/>
      <c r="S28" s="2241"/>
      <c r="U28" s="2730">
        <v>1</v>
      </c>
    </row>
    <row r="29" spans="2:21" ht="15.75">
      <c r="B29" s="2738" t="str">
        <f t="shared" si="6"/>
        <v>►</v>
      </c>
      <c r="C29" s="2734">
        <f>ROWS(H18:H29)</f>
        <v>12</v>
      </c>
      <c r="D29" s="1075"/>
      <c r="E29" s="7704"/>
      <c r="F29" s="1028"/>
      <c r="G29" s="7600">
        <f>F29/F48*1000</f>
        <v>0</v>
      </c>
      <c r="H29" s="7604">
        <f>F29/F48</f>
        <v>0</v>
      </c>
      <c r="I29" s="1031">
        <f>H29*I15</f>
        <v>0</v>
      </c>
      <c r="J29" s="1032">
        <v>0</v>
      </c>
      <c r="K29" s="2764">
        <f t="shared" si="4"/>
        <v>0</v>
      </c>
      <c r="L29" s="311" t="s">
        <v>2</v>
      </c>
      <c r="M29" s="294"/>
      <c r="N29" s="2791"/>
      <c r="O29" s="1"/>
      <c r="P29" s="1"/>
      <c r="Q29" s="1"/>
      <c r="R29" s="2783" t="s">
        <v>7065</v>
      </c>
      <c r="S29" s="2241"/>
      <c r="U29" s="2730">
        <v>1</v>
      </c>
    </row>
    <row r="30" spans="2:21" ht="15.75">
      <c r="B30" s="2738" t="str">
        <f t="shared" si="6"/>
        <v>►</v>
      </c>
      <c r="C30" s="2733">
        <f>ROWS(H18:H30)</f>
        <v>13</v>
      </c>
      <c r="D30" s="1074"/>
      <c r="E30" s="7704"/>
      <c r="F30" s="1022"/>
      <c r="G30" s="7599">
        <f>F30/F48*1000</f>
        <v>0</v>
      </c>
      <c r="H30" s="7603">
        <f>F30/F48</f>
        <v>0</v>
      </c>
      <c r="I30" s="1034">
        <f>H30*I15</f>
        <v>0</v>
      </c>
      <c r="J30" s="1026">
        <v>0</v>
      </c>
      <c r="K30" s="2763">
        <f t="shared" si="4"/>
        <v>0</v>
      </c>
      <c r="L30" s="311" t="s">
        <v>2</v>
      </c>
      <c r="M30" s="294"/>
      <c r="N30" s="2791"/>
      <c r="O30" s="1"/>
      <c r="P30" s="1"/>
      <c r="Q30" s="1"/>
      <c r="R30" s="716" t="s">
        <v>7066</v>
      </c>
      <c r="S30" s="2241"/>
      <c r="U30" s="2730">
        <v>1</v>
      </c>
    </row>
    <row r="31" spans="2:21" ht="15.75">
      <c r="B31" s="2738" t="str">
        <f t="shared" si="6"/>
        <v>►</v>
      </c>
      <c r="C31" s="2734">
        <f>ROWS(H18:H31)</f>
        <v>14</v>
      </c>
      <c r="D31" s="1075"/>
      <c r="E31" s="7704"/>
      <c r="F31" s="1028"/>
      <c r="G31" s="7600">
        <f>F31/F48*1000</f>
        <v>0</v>
      </c>
      <c r="H31" s="7604">
        <f>F31/F48</f>
        <v>0</v>
      </c>
      <c r="I31" s="1031">
        <f>H31*I15</f>
        <v>0</v>
      </c>
      <c r="J31" s="1032">
        <v>0</v>
      </c>
      <c r="K31" s="2764">
        <f t="shared" si="4"/>
        <v>0</v>
      </c>
      <c r="L31" s="311" t="s">
        <v>2</v>
      </c>
      <c r="M31" s="294"/>
      <c r="N31" s="2791"/>
      <c r="O31" s="1"/>
      <c r="P31" s="1"/>
      <c r="Q31" s="1"/>
      <c r="R31" s="716" t="s">
        <v>7067</v>
      </c>
      <c r="S31" s="2241"/>
      <c r="U31" s="2730">
        <v>1</v>
      </c>
    </row>
    <row r="32" spans="2:21" ht="15.75">
      <c r="B32" s="2738" t="str">
        <f t="shared" si="6"/>
        <v>►</v>
      </c>
      <c r="C32" s="2733">
        <f>ROWS(H18:H32)</f>
        <v>15</v>
      </c>
      <c r="D32" s="1074"/>
      <c r="E32" s="7704"/>
      <c r="F32" s="1022"/>
      <c r="G32" s="7599">
        <f>F32/F48*1000</f>
        <v>0</v>
      </c>
      <c r="H32" s="7603">
        <f>F32/F48</f>
        <v>0</v>
      </c>
      <c r="I32" s="1034">
        <f>H32*I15</f>
        <v>0</v>
      </c>
      <c r="J32" s="1026">
        <v>0</v>
      </c>
      <c r="K32" s="2763">
        <f t="shared" si="4"/>
        <v>0</v>
      </c>
      <c r="L32" s="311" t="s">
        <v>2</v>
      </c>
      <c r="M32" s="294"/>
      <c r="N32" s="2791"/>
      <c r="O32" s="1"/>
      <c r="P32" s="1"/>
      <c r="Q32" s="1"/>
      <c r="R32" s="423" t="s">
        <v>7068</v>
      </c>
      <c r="S32" s="2241"/>
      <c r="U32" s="2730">
        <v>1</v>
      </c>
    </row>
    <row r="33" spans="2:21" ht="15.75">
      <c r="B33" s="2738" t="str">
        <f t="shared" si="6"/>
        <v>►</v>
      </c>
      <c r="C33" s="2734">
        <f>ROWS(H18:H33)</f>
        <v>16</v>
      </c>
      <c r="D33" s="1075"/>
      <c r="E33" s="7704"/>
      <c r="F33" s="1028"/>
      <c r="G33" s="7600">
        <f>F33/F48*1000</f>
        <v>0</v>
      </c>
      <c r="H33" s="7604">
        <f>F33/F48</f>
        <v>0</v>
      </c>
      <c r="I33" s="1031">
        <f>H33*I15</f>
        <v>0</v>
      </c>
      <c r="J33" s="1032">
        <v>0</v>
      </c>
      <c r="K33" s="2764">
        <f t="shared" si="4"/>
        <v>0</v>
      </c>
      <c r="L33" s="311" t="s">
        <v>2</v>
      </c>
      <c r="M33" s="294"/>
      <c r="N33" s="2791"/>
      <c r="O33" s="1"/>
      <c r="P33" s="1"/>
      <c r="Q33" s="1"/>
      <c r="R33" s="423"/>
      <c r="S33" s="2241"/>
      <c r="U33" s="2730">
        <v>1</v>
      </c>
    </row>
    <row r="34" spans="2:21" ht="15.75">
      <c r="B34" s="2738" t="str">
        <f t="shared" si="6"/>
        <v>►</v>
      </c>
      <c r="C34" s="2733">
        <f>ROWS(H18:H34)</f>
        <v>17</v>
      </c>
      <c r="D34" s="1074"/>
      <c r="E34" s="7704"/>
      <c r="F34" s="1022"/>
      <c r="G34" s="7599">
        <f>F34/F48*1000</f>
        <v>0</v>
      </c>
      <c r="H34" s="7603">
        <f>F34/F48</f>
        <v>0</v>
      </c>
      <c r="I34" s="1034">
        <f>H34*I15</f>
        <v>0</v>
      </c>
      <c r="J34" s="1026">
        <v>0</v>
      </c>
      <c r="K34" s="2763">
        <f t="shared" si="4"/>
        <v>0</v>
      </c>
      <c r="L34" s="311" t="s">
        <v>2</v>
      </c>
      <c r="M34" s="2792"/>
      <c r="N34" s="2793"/>
      <c r="O34" s="2794"/>
      <c r="P34" s="2793"/>
      <c r="Q34" s="2793"/>
      <c r="R34" s="2793"/>
      <c r="S34" s="2795"/>
      <c r="U34" s="2730">
        <v>1</v>
      </c>
    </row>
    <row r="35" spans="2:21" ht="15.75">
      <c r="B35" s="2738" t="str">
        <f t="shared" si="6"/>
        <v>►</v>
      </c>
      <c r="C35" s="2734">
        <f>ROWS(H18:H35)</f>
        <v>18</v>
      </c>
      <c r="D35" s="1075"/>
      <c r="E35" s="7704"/>
      <c r="F35" s="1028"/>
      <c r="G35" s="7600">
        <f>F35/F48*1000</f>
        <v>0</v>
      </c>
      <c r="H35" s="7604">
        <f>F35/F48</f>
        <v>0</v>
      </c>
      <c r="I35" s="1031">
        <f>H35*I15</f>
        <v>0</v>
      </c>
      <c r="J35" s="1032">
        <v>0</v>
      </c>
      <c r="K35" s="2764">
        <f t="shared" si="4"/>
        <v>0</v>
      </c>
      <c r="L35" s="311" t="s">
        <v>2</v>
      </c>
      <c r="M35" s="294"/>
      <c r="N35" s="2791"/>
      <c r="O35" s="1"/>
      <c r="P35" s="1"/>
      <c r="Q35" s="1"/>
      <c r="R35" s="423"/>
      <c r="S35" s="2241"/>
      <c r="U35" s="2730">
        <v>1</v>
      </c>
    </row>
    <row r="36" spans="2:21" ht="15.75">
      <c r="B36" s="2738" t="str">
        <f t="shared" si="6"/>
        <v>►</v>
      </c>
      <c r="C36" s="2733">
        <f>ROWS(H18:H36)</f>
        <v>19</v>
      </c>
      <c r="D36" s="1074"/>
      <c r="E36" s="7704"/>
      <c r="F36" s="1022"/>
      <c r="G36" s="7599">
        <f>F36/F48*1000</f>
        <v>0</v>
      </c>
      <c r="H36" s="7603">
        <f>F36/F48</f>
        <v>0</v>
      </c>
      <c r="I36" s="1034">
        <f>H36*I15</f>
        <v>0</v>
      </c>
      <c r="J36" s="1026">
        <v>0</v>
      </c>
      <c r="K36" s="2763">
        <f t="shared" si="4"/>
        <v>0</v>
      </c>
      <c r="L36" s="311" t="s">
        <v>2</v>
      </c>
      <c r="M36" s="2796"/>
      <c r="N36" s="2797" t="s">
        <v>7069</v>
      </c>
      <c r="O36" s="1"/>
      <c r="P36" s="1"/>
      <c r="Q36" s="1"/>
      <c r="R36" s="2797" t="s">
        <v>7070</v>
      </c>
      <c r="S36" s="2241"/>
      <c r="U36" s="2730">
        <v>1</v>
      </c>
    </row>
    <row r="37" spans="2:21" ht="15.75">
      <c r="B37" s="2738" t="str">
        <f t="shared" si="6"/>
        <v>►</v>
      </c>
      <c r="C37" s="2734">
        <f>ROWS(H18:H37)</f>
        <v>20</v>
      </c>
      <c r="D37" s="1075"/>
      <c r="E37" s="7704"/>
      <c r="F37" s="1028"/>
      <c r="G37" s="7600">
        <f>F37/F48*1000</f>
        <v>0</v>
      </c>
      <c r="H37" s="7604">
        <f>F37/F48</f>
        <v>0</v>
      </c>
      <c r="I37" s="1031">
        <f>H37*I15</f>
        <v>0</v>
      </c>
      <c r="J37" s="1032">
        <v>0</v>
      </c>
      <c r="K37" s="2764">
        <f t="shared" si="4"/>
        <v>0</v>
      </c>
      <c r="L37" s="311" t="s">
        <v>2</v>
      </c>
      <c r="M37" s="2798"/>
      <c r="N37" s="2799" t="s">
        <v>7071</v>
      </c>
      <c r="O37" s="1"/>
      <c r="P37" s="1"/>
      <c r="Q37" s="1"/>
      <c r="R37" s="2799" t="s">
        <v>7072</v>
      </c>
      <c r="S37" s="2241"/>
      <c r="U37" s="2730">
        <v>1</v>
      </c>
    </row>
    <row r="38" spans="2:21" ht="15.75">
      <c r="B38" s="2738" t="str">
        <f t="shared" si="6"/>
        <v>►</v>
      </c>
      <c r="C38" s="2733">
        <f>ROWS(H18:H38)</f>
        <v>21</v>
      </c>
      <c r="D38" s="1074"/>
      <c r="E38" s="7704"/>
      <c r="F38" s="1022"/>
      <c r="G38" s="7599">
        <f>F38/F48*1000</f>
        <v>0</v>
      </c>
      <c r="H38" s="7603">
        <f>F38/F48</f>
        <v>0</v>
      </c>
      <c r="I38" s="1034">
        <f>H38*I15</f>
        <v>0</v>
      </c>
      <c r="J38" s="1026">
        <v>0</v>
      </c>
      <c r="K38" s="2763">
        <f t="shared" si="4"/>
        <v>0</v>
      </c>
      <c r="L38" s="311" t="s">
        <v>2</v>
      </c>
      <c r="M38" s="2800"/>
      <c r="N38" s="2801" t="s">
        <v>7073</v>
      </c>
      <c r="O38" s="1"/>
      <c r="P38" s="1"/>
      <c r="Q38" s="1"/>
      <c r="R38" s="2801" t="s">
        <v>7074</v>
      </c>
      <c r="S38" s="2241"/>
      <c r="U38" s="2730">
        <v>1</v>
      </c>
    </row>
    <row r="39" spans="2:21" ht="15.75">
      <c r="B39" s="2738" t="str">
        <f t="shared" si="6"/>
        <v>►</v>
      </c>
      <c r="C39" s="2734">
        <f>ROWS(H18:H39)</f>
        <v>22</v>
      </c>
      <c r="D39" s="1075"/>
      <c r="E39" s="7704"/>
      <c r="F39" s="1028"/>
      <c r="G39" s="7600">
        <f>F39/F48*1000</f>
        <v>0</v>
      </c>
      <c r="H39" s="7604">
        <f>F39/F48</f>
        <v>0</v>
      </c>
      <c r="I39" s="1031">
        <f>H39*I15</f>
        <v>0</v>
      </c>
      <c r="J39" s="1032">
        <v>0</v>
      </c>
      <c r="K39" s="2764">
        <f t="shared" si="4"/>
        <v>0</v>
      </c>
      <c r="L39" s="311" t="s">
        <v>2</v>
      </c>
      <c r="M39" s="2800"/>
      <c r="N39" s="2801" t="s">
        <v>7075</v>
      </c>
      <c r="O39" s="1"/>
      <c r="P39" s="1"/>
      <c r="Q39" s="1"/>
      <c r="R39" s="2801" t="s">
        <v>7076</v>
      </c>
      <c r="S39" s="2241"/>
      <c r="U39" s="2730">
        <v>1</v>
      </c>
    </row>
    <row r="40" spans="2:21" ht="15.75">
      <c r="B40" s="2738" t="str">
        <f t="shared" si="6"/>
        <v>►</v>
      </c>
      <c r="C40" s="2733">
        <f>ROWS(H18:H40)</f>
        <v>23</v>
      </c>
      <c r="D40" s="1074"/>
      <c r="E40" s="7704"/>
      <c r="F40" s="1022"/>
      <c r="G40" s="7599">
        <f>F40/F48*1000</f>
        <v>0</v>
      </c>
      <c r="H40" s="7603">
        <f>F40/F48</f>
        <v>0</v>
      </c>
      <c r="I40" s="1034">
        <f>H40*I15</f>
        <v>0</v>
      </c>
      <c r="J40" s="1026">
        <v>0</v>
      </c>
      <c r="K40" s="2763">
        <f t="shared" si="4"/>
        <v>0</v>
      </c>
      <c r="L40" s="311" t="s">
        <v>2</v>
      </c>
      <c r="M40" s="2800"/>
      <c r="N40" s="2801" t="s">
        <v>7077</v>
      </c>
      <c r="O40" s="1"/>
      <c r="P40" s="1"/>
      <c r="Q40" s="1"/>
      <c r="R40" s="2801" t="s">
        <v>7078</v>
      </c>
      <c r="S40" s="2241"/>
      <c r="U40" s="2730">
        <v>1</v>
      </c>
    </row>
    <row r="41" spans="2:21" ht="15.75">
      <c r="B41" s="2738" t="str">
        <f t="shared" si="6"/>
        <v>►</v>
      </c>
      <c r="C41" s="2734">
        <f>ROWS(H18:H41)</f>
        <v>24</v>
      </c>
      <c r="D41" s="1075"/>
      <c r="E41" s="7704"/>
      <c r="F41" s="1028"/>
      <c r="G41" s="7600">
        <f>F41/F48*1000</f>
        <v>0</v>
      </c>
      <c r="H41" s="7604">
        <f>F41/F48</f>
        <v>0</v>
      </c>
      <c r="I41" s="1031">
        <f>H41*I15</f>
        <v>0</v>
      </c>
      <c r="J41" s="1032">
        <v>0</v>
      </c>
      <c r="K41" s="2764">
        <f t="shared" si="4"/>
        <v>0</v>
      </c>
      <c r="L41" s="311" t="s">
        <v>2</v>
      </c>
      <c r="M41" s="2800"/>
      <c r="N41" s="2801" t="s">
        <v>7079</v>
      </c>
      <c r="O41" s="1"/>
      <c r="P41" s="1"/>
      <c r="Q41" s="1"/>
      <c r="R41" s="2801" t="s">
        <v>7080</v>
      </c>
      <c r="S41" s="2241"/>
      <c r="U41" s="2730">
        <v>1</v>
      </c>
    </row>
    <row r="42" spans="2:21" ht="15.75">
      <c r="B42" s="2738" t="str">
        <f t="shared" si="6"/>
        <v>►</v>
      </c>
      <c r="C42" s="2733">
        <f>ROWS(H18:H42)</f>
        <v>25</v>
      </c>
      <c r="D42" s="1074"/>
      <c r="E42" s="7704"/>
      <c r="F42" s="1022"/>
      <c r="G42" s="7599">
        <f>F42/F48*1000</f>
        <v>0</v>
      </c>
      <c r="H42" s="7603">
        <f>F42/F48</f>
        <v>0</v>
      </c>
      <c r="I42" s="1034">
        <f>H42*I15</f>
        <v>0</v>
      </c>
      <c r="J42" s="1026">
        <v>0</v>
      </c>
      <c r="K42" s="2763">
        <f t="shared" si="4"/>
        <v>0</v>
      </c>
      <c r="L42" s="311" t="s">
        <v>2</v>
      </c>
      <c r="M42" s="2800"/>
      <c r="N42" s="2801" t="s">
        <v>7081</v>
      </c>
      <c r="O42" s="1"/>
      <c r="P42" s="1"/>
      <c r="Q42" s="1"/>
      <c r="R42" s="2802" t="s">
        <v>7082</v>
      </c>
      <c r="S42" s="2241"/>
      <c r="U42" s="2730">
        <v>1</v>
      </c>
    </row>
    <row r="43" spans="2:21" ht="15.75">
      <c r="B43" s="2738" t="str">
        <f t="shared" si="6"/>
        <v>►</v>
      </c>
      <c r="C43" s="2734">
        <f>ROWS(H18:H43)</f>
        <v>26</v>
      </c>
      <c r="D43" s="1075"/>
      <c r="E43" s="7704"/>
      <c r="F43" s="1028"/>
      <c r="G43" s="7600">
        <f>F43/F48*1000</f>
        <v>0</v>
      </c>
      <c r="H43" s="7604">
        <f>F43/F48</f>
        <v>0</v>
      </c>
      <c r="I43" s="1031">
        <f>H43*I15</f>
        <v>0</v>
      </c>
      <c r="J43" s="1032">
        <v>0</v>
      </c>
      <c r="K43" s="2764">
        <f t="shared" si="4"/>
        <v>0</v>
      </c>
      <c r="L43" s="311" t="s">
        <v>2</v>
      </c>
      <c r="M43" s="2800"/>
      <c r="N43" s="2801" t="s">
        <v>7083</v>
      </c>
      <c r="O43" s="1"/>
      <c r="P43" s="1"/>
      <c r="Q43" s="1"/>
      <c r="R43" s="2803" t="s">
        <v>7084</v>
      </c>
      <c r="S43" s="2241"/>
      <c r="U43" s="2730">
        <v>1</v>
      </c>
    </row>
    <row r="44" spans="2:21" ht="15.75">
      <c r="B44" s="2738" t="str">
        <f t="shared" si="6"/>
        <v>►</v>
      </c>
      <c r="C44" s="2733">
        <f>ROWS(H18:H44)</f>
        <v>27</v>
      </c>
      <c r="D44" s="1074"/>
      <c r="E44" s="7704"/>
      <c r="F44" s="1022"/>
      <c r="G44" s="7599">
        <f>F44/F48*1000</f>
        <v>0</v>
      </c>
      <c r="H44" s="7603">
        <f>F44/F48</f>
        <v>0</v>
      </c>
      <c r="I44" s="1034">
        <f>H44*I15</f>
        <v>0</v>
      </c>
      <c r="J44" s="1026">
        <v>0</v>
      </c>
      <c r="K44" s="2763">
        <f t="shared" si="4"/>
        <v>0</v>
      </c>
      <c r="L44" s="311" t="s">
        <v>2</v>
      </c>
      <c r="M44" s="2804"/>
      <c r="N44" s="2805"/>
      <c r="O44" s="2806"/>
      <c r="P44" s="2806"/>
      <c r="Q44" s="2806"/>
      <c r="R44" s="2807"/>
      <c r="S44" s="2808"/>
      <c r="U44" s="2730">
        <v>1</v>
      </c>
    </row>
    <row r="45" spans="2:21" ht="15.75">
      <c r="B45" s="2738" t="str">
        <f t="shared" si="6"/>
        <v>►</v>
      </c>
      <c r="C45" s="2734">
        <f>ROWS(H18:H45)</f>
        <v>28</v>
      </c>
      <c r="D45" s="1075"/>
      <c r="E45" s="7704"/>
      <c r="F45" s="1028"/>
      <c r="G45" s="7600">
        <f>F45/F48*1000</f>
        <v>0</v>
      </c>
      <c r="H45" s="7604">
        <f>F45/F48</f>
        <v>0</v>
      </c>
      <c r="I45" s="1031">
        <f>H45*I15</f>
        <v>0</v>
      </c>
      <c r="J45" s="1032">
        <v>0</v>
      </c>
      <c r="K45" s="2764">
        <f t="shared" si="4"/>
        <v>0</v>
      </c>
      <c r="L45" s="311" t="s">
        <v>2</v>
      </c>
      <c r="M45" s="2773"/>
      <c r="N45" s="2775"/>
      <c r="O45" s="2775"/>
      <c r="P45" s="2775"/>
      <c r="Q45" s="2775"/>
      <c r="R45" s="2775"/>
      <c r="S45" s="2776"/>
      <c r="U45" s="2730">
        <v>1</v>
      </c>
    </row>
    <row r="46" spans="2:21" ht="15.75">
      <c r="B46" s="2738" t="str">
        <f t="shared" si="6"/>
        <v>►</v>
      </c>
      <c r="C46" s="2733">
        <f>ROWS(H18:H46)</f>
        <v>29</v>
      </c>
      <c r="D46" s="1074"/>
      <c r="E46" s="7704"/>
      <c r="F46" s="1022"/>
      <c r="G46" s="7599">
        <f>F46/F48*1000</f>
        <v>0</v>
      </c>
      <c r="H46" s="7603">
        <f>F46/F48</f>
        <v>0</v>
      </c>
      <c r="I46" s="1034">
        <f>H46*I15</f>
        <v>0</v>
      </c>
      <c r="J46" s="1026">
        <v>0</v>
      </c>
      <c r="K46" s="2763">
        <f t="shared" si="4"/>
        <v>0</v>
      </c>
      <c r="L46" s="311" t="s">
        <v>2</v>
      </c>
      <c r="M46" s="294"/>
      <c r="N46" s="2799" t="s">
        <v>7085</v>
      </c>
      <c r="O46" s="1"/>
      <c r="P46" s="1"/>
      <c r="Q46" s="1"/>
      <c r="R46" s="1"/>
      <c r="S46" s="2241"/>
      <c r="U46" s="2730">
        <v>1</v>
      </c>
    </row>
    <row r="47" spans="2:21" ht="16.5" thickBot="1">
      <c r="B47" s="2931" t="s">
        <v>337</v>
      </c>
      <c r="C47" s="2734">
        <f>ROWS(H18:H47)</f>
        <v>30</v>
      </c>
      <c r="D47" s="1076"/>
      <c r="E47" s="7704"/>
      <c r="F47" s="1028"/>
      <c r="G47" s="7600">
        <f>F47/F48*1000</f>
        <v>0</v>
      </c>
      <c r="H47" s="7604">
        <f>F47/F48</f>
        <v>0</v>
      </c>
      <c r="I47" s="1031">
        <f>H47*I15</f>
        <v>0</v>
      </c>
      <c r="J47" s="1032">
        <v>0</v>
      </c>
      <c r="K47" s="2764">
        <f t="shared" si="4"/>
        <v>0</v>
      </c>
      <c r="L47" s="311" t="s">
        <v>2</v>
      </c>
      <c r="M47" s="294"/>
      <c r="N47" s="2791" t="s">
        <v>7086</v>
      </c>
      <c r="O47" s="1"/>
      <c r="P47" s="1"/>
      <c r="Q47" s="1"/>
      <c r="R47" s="2791" t="s">
        <v>7087</v>
      </c>
      <c r="S47" s="2241"/>
      <c r="U47" s="2730">
        <v>1</v>
      </c>
    </row>
    <row r="48" spans="2:21" ht="17.25" thickTop="1" thickBot="1">
      <c r="B48" s="2932" t="s">
        <v>337</v>
      </c>
      <c r="C48" s="7873" t="s">
        <v>20</v>
      </c>
      <c r="D48" s="7874"/>
      <c r="E48" s="7612"/>
      <c r="F48" s="2765">
        <f t="shared" ref="F48:K48" si="7">SUM(F18:F47)</f>
        <v>50</v>
      </c>
      <c r="G48" s="7602">
        <f t="shared" si="7"/>
        <v>1000</v>
      </c>
      <c r="H48" s="7606">
        <f t="shared" si="7"/>
        <v>1</v>
      </c>
      <c r="I48" s="2766">
        <f t="shared" si="7"/>
        <v>1.5</v>
      </c>
      <c r="J48" s="2767"/>
      <c r="K48" s="2768">
        <f t="shared" si="7"/>
        <v>1.98</v>
      </c>
      <c r="L48" s="311" t="s">
        <v>2</v>
      </c>
      <c r="M48" s="294"/>
      <c r="N48" s="2791" t="s">
        <v>7088</v>
      </c>
      <c r="O48" s="1"/>
      <c r="P48" s="1"/>
      <c r="Q48" s="1"/>
      <c r="R48" s="2809" t="s">
        <v>7089</v>
      </c>
      <c r="S48" s="2241"/>
      <c r="U48" s="2730">
        <v>1</v>
      </c>
    </row>
    <row r="49" spans="2:21" ht="15.75" thickBot="1">
      <c r="B49" s="34"/>
      <c r="C49" s="34"/>
      <c r="D49" s="34"/>
      <c r="E49" s="34"/>
      <c r="F49" s="34"/>
      <c r="G49" s="34"/>
      <c r="H49" s="34"/>
      <c r="I49" s="34"/>
      <c r="J49" s="34"/>
      <c r="K49" s="34"/>
      <c r="L49" s="311" t="s">
        <v>2</v>
      </c>
      <c r="M49" s="294"/>
      <c r="N49" s="2809" t="s">
        <v>7090</v>
      </c>
      <c r="O49" s="1"/>
      <c r="P49" s="1"/>
      <c r="Q49" s="1"/>
      <c r="R49" s="2809" t="s">
        <v>7091</v>
      </c>
      <c r="S49" s="2241"/>
      <c r="U49" s="2730">
        <v>1</v>
      </c>
    </row>
    <row r="50" spans="2:21" ht="18" customHeight="1">
      <c r="B50" s="2744" t="s">
        <v>67</v>
      </c>
      <c r="C50" s="7875" t="str">
        <f>C12</f>
        <v>NOM DE VOTRE RECETTE</v>
      </c>
      <c r="D50" s="7875"/>
      <c r="E50" s="7875"/>
      <c r="F50" s="7875"/>
      <c r="G50" s="7875"/>
      <c r="H50" s="7875"/>
      <c r="I50" s="7875"/>
      <c r="J50" s="7875"/>
      <c r="K50" s="7877" t="str">
        <f>K12</f>
        <v>N°1</v>
      </c>
      <c r="L50" s="311" t="s">
        <v>2</v>
      </c>
      <c r="M50" s="294"/>
      <c r="N50" s="2791" t="s">
        <v>7092</v>
      </c>
      <c r="O50" s="1"/>
      <c r="P50" s="1"/>
      <c r="Q50" s="1"/>
      <c r="R50" s="1"/>
      <c r="S50" s="2241"/>
      <c r="U50" s="2730">
        <v>1</v>
      </c>
    </row>
    <row r="51" spans="2:21" ht="18" customHeight="1">
      <c r="B51" s="2928" t="s">
        <v>337</v>
      </c>
      <c r="C51" s="7860"/>
      <c r="D51" s="7860"/>
      <c r="E51" s="7860"/>
      <c r="F51" s="7860"/>
      <c r="G51" s="7860"/>
      <c r="H51" s="7860"/>
      <c r="I51" s="7860"/>
      <c r="J51" s="7860"/>
      <c r="K51" s="7878"/>
      <c r="L51" s="311" t="s">
        <v>2</v>
      </c>
      <c r="M51" s="294"/>
      <c r="N51" s="2809" t="s">
        <v>7093</v>
      </c>
      <c r="O51" s="1"/>
      <c r="P51" s="1"/>
      <c r="Q51" s="1"/>
      <c r="R51" s="1"/>
      <c r="S51" s="2241"/>
      <c r="U51" s="2730">
        <v>1</v>
      </c>
    </row>
    <row r="52" spans="2:21" ht="18" customHeight="1">
      <c r="B52" s="2928" t="s">
        <v>337</v>
      </c>
      <c r="C52" s="7863" t="str">
        <f>C14</f>
        <v>AUTEUR  : Michel MARIETTE</v>
      </c>
      <c r="D52" s="7863"/>
      <c r="E52" s="7863"/>
      <c r="F52" s="7863"/>
      <c r="G52" s="7863"/>
      <c r="H52" s="7863"/>
      <c r="I52" s="7863"/>
      <c r="J52" s="7863"/>
      <c r="K52" s="7876"/>
      <c r="L52" s="311" t="s">
        <v>2</v>
      </c>
      <c r="M52" s="2810"/>
      <c r="N52" s="2811"/>
      <c r="O52" s="2806"/>
      <c r="P52" s="2806"/>
      <c r="Q52" s="2806"/>
      <c r="R52" s="2806"/>
      <c r="S52" s="2808"/>
      <c r="U52" s="2730">
        <v>1</v>
      </c>
    </row>
    <row r="53" spans="2:21" ht="18" customHeight="1">
      <c r="B53" s="2928" t="s">
        <v>337</v>
      </c>
      <c r="C53" s="1088"/>
      <c r="D53" s="1088"/>
      <c r="E53" s="1088"/>
      <c r="F53" s="1088"/>
      <c r="G53" s="1088"/>
      <c r="H53" s="1088"/>
      <c r="I53" s="1088"/>
      <c r="J53" s="1088"/>
      <c r="K53" s="2745"/>
      <c r="L53" s="311" t="s">
        <v>2</v>
      </c>
      <c r="M53" s="2792"/>
      <c r="N53" s="2793"/>
      <c r="O53" s="2794"/>
      <c r="P53" s="2793"/>
      <c r="Q53" s="2793"/>
      <c r="R53" s="2793"/>
      <c r="S53" s="2795"/>
      <c r="U53" s="2730">
        <v>1</v>
      </c>
    </row>
    <row r="54" spans="2:21" ht="18" customHeight="1">
      <c r="B54" s="2928" t="s">
        <v>337</v>
      </c>
      <c r="C54" s="2739"/>
      <c r="D54" s="1090" t="s">
        <v>1</v>
      </c>
      <c r="E54" s="1090"/>
      <c r="F54" s="11">
        <v>2</v>
      </c>
      <c r="G54" s="1091"/>
      <c r="H54" s="1091"/>
      <c r="I54" s="1090" t="s">
        <v>0</v>
      </c>
      <c r="J54" s="11">
        <v>2</v>
      </c>
      <c r="K54" s="2746"/>
      <c r="L54" s="311" t="s">
        <v>2</v>
      </c>
      <c r="M54" s="2815"/>
      <c r="N54" s="2814"/>
      <c r="O54" s="2813"/>
      <c r="P54" s="2771"/>
      <c r="Q54" s="2771"/>
      <c r="R54" s="2771"/>
      <c r="S54" s="2772"/>
      <c r="U54" s="2730">
        <v>1</v>
      </c>
    </row>
    <row r="55" spans="2:21" ht="18" customHeight="1" thickBot="1">
      <c r="B55" s="2928" t="s">
        <v>337</v>
      </c>
      <c r="C55" s="2736">
        <v>0</v>
      </c>
      <c r="D55" s="2737" t="s">
        <v>7038</v>
      </c>
      <c r="E55" s="2737"/>
      <c r="F55" s="2737"/>
      <c r="G55" s="1095"/>
      <c r="H55" s="1095"/>
      <c r="I55" s="1093"/>
      <c r="J55" s="1094"/>
      <c r="K55" s="2747"/>
      <c r="L55" s="311" t="s">
        <v>2</v>
      </c>
      <c r="M55" s="2812"/>
      <c r="N55" s="2816" t="s">
        <v>7094</v>
      </c>
      <c r="O55" s="2817" t="s">
        <v>7095</v>
      </c>
      <c r="P55" s="2818"/>
      <c r="Q55" s="2771"/>
      <c r="R55" s="2771"/>
      <c r="S55" s="2819"/>
      <c r="U55" s="2730">
        <v>1</v>
      </c>
    </row>
    <row r="56" spans="2:21" ht="18" customHeight="1" thickTop="1">
      <c r="B56" s="2928" t="s">
        <v>337</v>
      </c>
      <c r="C56" s="2736" t="str">
        <f>IF(ISBLANK(D56),"",LARGE(C55:C55,1)+1)</f>
        <v/>
      </c>
      <c r="D56" s="2748"/>
      <c r="E56" s="2748"/>
      <c r="F56" s="2748" t="s">
        <v>7039</v>
      </c>
      <c r="G56" s="2749"/>
      <c r="H56" s="2749"/>
      <c r="I56" s="2749"/>
      <c r="J56" s="2749"/>
      <c r="K56" s="2750"/>
      <c r="L56" s="311" t="s">
        <v>2</v>
      </c>
      <c r="M56" s="2770"/>
      <c r="N56" s="2820" t="s">
        <v>20</v>
      </c>
      <c r="O56" s="2821">
        <v>18.824999999999999</v>
      </c>
      <c r="P56" s="2822" t="s">
        <v>7096</v>
      </c>
      <c r="Q56" s="2823">
        <v>0.15687499999999999</v>
      </c>
      <c r="R56" s="2771"/>
      <c r="S56" s="2772"/>
      <c r="U56" s="2730">
        <v>1</v>
      </c>
    </row>
    <row r="57" spans="2:21" ht="18" customHeight="1">
      <c r="B57" s="2751" t="str">
        <f>IF(COUNTA(D57:K57)&gt;0, "A", "►")</f>
        <v>A</v>
      </c>
      <c r="C57" s="2736">
        <f>IF(ISBLANK(D57),"",LARGE(C55:C56,1)+1)</f>
        <v>1</v>
      </c>
      <c r="D57" s="2748" t="s">
        <v>7040</v>
      </c>
      <c r="E57" s="2748"/>
      <c r="F57" s="2748"/>
      <c r="G57" s="491"/>
      <c r="H57" s="491"/>
      <c r="I57" s="491"/>
      <c r="J57" s="491"/>
      <c r="K57" s="2752"/>
      <c r="L57" s="311" t="s">
        <v>2</v>
      </c>
      <c r="M57" s="2770"/>
      <c r="N57" s="2824" t="s">
        <v>7094</v>
      </c>
      <c r="O57" s="2825" t="s">
        <v>1254</v>
      </c>
      <c r="P57" s="2826"/>
      <c r="Q57" s="2826"/>
      <c r="R57" s="2771"/>
      <c r="S57" s="2772"/>
      <c r="U57" s="2730">
        <v>1</v>
      </c>
    </row>
    <row r="58" spans="2:21" ht="18" customHeight="1">
      <c r="B58" s="2751" t="str">
        <f t="shared" ref="B58:B88" si="8">IF(COUNTA(D58:K58)&gt;0, "A", "►")</f>
        <v>A</v>
      </c>
      <c r="C58" s="2736">
        <f>IF(ISBLANK(D58),"",LARGE(C55:C57,1)+1)</f>
        <v>2</v>
      </c>
      <c r="D58" s="2748" t="s">
        <v>7041</v>
      </c>
      <c r="E58" s="2748"/>
      <c r="F58" s="2748"/>
      <c r="G58" s="491"/>
      <c r="H58" s="491"/>
      <c r="I58" s="491"/>
      <c r="J58" s="491"/>
      <c r="K58" s="2752"/>
      <c r="L58" s="311" t="s">
        <v>2</v>
      </c>
      <c r="M58" s="2770"/>
      <c r="N58" s="2827">
        <v>1</v>
      </c>
      <c r="O58" s="2828">
        <v>1.5</v>
      </c>
      <c r="P58" s="2826"/>
      <c r="Q58" s="2826"/>
      <c r="R58" s="2771"/>
      <c r="S58" s="2772"/>
      <c r="U58" s="2730">
        <v>1</v>
      </c>
    </row>
    <row r="59" spans="2:21" ht="18" customHeight="1">
      <c r="B59" s="2751" t="str">
        <f t="shared" si="8"/>
        <v>A</v>
      </c>
      <c r="C59" s="2736">
        <f>IF(ISBLANK(D59),"",LARGE(C55:C58,1)+1)</f>
        <v>3</v>
      </c>
      <c r="D59" s="2748" t="s">
        <v>7042</v>
      </c>
      <c r="E59" s="2748"/>
      <c r="F59" s="2748"/>
      <c r="G59" s="491"/>
      <c r="H59" s="491"/>
      <c r="I59" s="491"/>
      <c r="J59" s="491"/>
      <c r="K59" s="2752"/>
      <c r="L59" s="311" t="s">
        <v>2</v>
      </c>
      <c r="M59" s="2770"/>
      <c r="N59" s="2771"/>
      <c r="O59" s="2771"/>
      <c r="P59" s="2771"/>
      <c r="Q59" s="2771"/>
      <c r="R59" s="2771"/>
      <c r="S59" s="2772"/>
      <c r="U59" s="2730">
        <v>1</v>
      </c>
    </row>
    <row r="60" spans="2:21" ht="18" customHeight="1">
      <c r="B60" s="2751" t="str">
        <f t="shared" si="8"/>
        <v>A</v>
      </c>
      <c r="C60" s="2736" t="str">
        <f>IF(ISBLANK(D60),"",LARGE(C55:C59,1)+1)</f>
        <v/>
      </c>
      <c r="D60" s="2748"/>
      <c r="E60" s="2748"/>
      <c r="F60" s="2748" t="s">
        <v>7043</v>
      </c>
      <c r="G60" s="491"/>
      <c r="H60" s="491"/>
      <c r="I60" s="491"/>
      <c r="J60" s="491"/>
      <c r="K60" s="2752"/>
      <c r="L60" s="311" t="s">
        <v>2</v>
      </c>
      <c r="M60" s="2792"/>
      <c r="N60" s="2793"/>
      <c r="O60" s="2794"/>
      <c r="P60" s="2793"/>
      <c r="Q60" s="2793"/>
      <c r="R60" s="2793"/>
      <c r="S60" s="2795"/>
      <c r="U60" s="2730">
        <v>1</v>
      </c>
    </row>
    <row r="61" spans="2:21" ht="18" customHeight="1">
      <c r="B61" s="2751" t="str">
        <f t="shared" si="8"/>
        <v>►</v>
      </c>
      <c r="C61" s="2736" t="str">
        <f>IF(ISBLANK(D61),"",LARGE(C55:C60,1)+1)</f>
        <v/>
      </c>
      <c r="D61" s="491"/>
      <c r="E61" s="491"/>
      <c r="F61" s="491"/>
      <c r="G61" s="491"/>
      <c r="H61" s="491"/>
      <c r="I61" s="491"/>
      <c r="J61" s="491"/>
      <c r="K61" s="2752"/>
      <c r="L61" s="311" t="s">
        <v>2</v>
      </c>
      <c r="M61" s="2830"/>
      <c r="N61" s="2831"/>
      <c r="O61" s="2832"/>
      <c r="P61" s="2833"/>
      <c r="Q61" s="2834"/>
      <c r="R61" s="2834"/>
      <c r="S61" s="2835"/>
      <c r="U61" s="2730">
        <v>1</v>
      </c>
    </row>
    <row r="62" spans="2:21" ht="18" customHeight="1">
      <c r="B62" s="2751" t="str">
        <f t="shared" si="8"/>
        <v>►</v>
      </c>
      <c r="C62" s="2736" t="str">
        <f>IF(ISBLANK(D62),"",LARGE(C55:C61,1)+1)</f>
        <v/>
      </c>
      <c r="D62" s="491"/>
      <c r="E62" s="491"/>
      <c r="F62" s="491"/>
      <c r="G62" s="491"/>
      <c r="H62" s="491"/>
      <c r="I62" s="491"/>
      <c r="J62" s="491"/>
      <c r="K62" s="2752"/>
      <c r="L62" s="311" t="s">
        <v>2</v>
      </c>
      <c r="M62" s="2836" t="s">
        <v>7038</v>
      </c>
      <c r="N62" s="2837"/>
      <c r="O62" s="2837"/>
      <c r="P62" s="2837"/>
      <c r="Q62" s="2837"/>
      <c r="R62" s="2837"/>
      <c r="S62" s="2838"/>
      <c r="U62" s="2730">
        <v>1</v>
      </c>
    </row>
    <row r="63" spans="2:21" ht="18" customHeight="1">
      <c r="B63" s="2751" t="str">
        <f t="shared" si="8"/>
        <v>►</v>
      </c>
      <c r="C63" s="2736" t="str">
        <f>IF(ISBLANK(D63),"",LARGE(C55:C62,1)+1)</f>
        <v/>
      </c>
      <c r="D63" s="491"/>
      <c r="E63" s="491"/>
      <c r="F63" s="491"/>
      <c r="G63" s="491"/>
      <c r="H63" s="491"/>
      <c r="I63" s="491"/>
      <c r="J63" s="491"/>
      <c r="K63" s="2752"/>
      <c r="L63" s="311" t="s">
        <v>2</v>
      </c>
      <c r="M63" s="2839" t="s">
        <v>7097</v>
      </c>
      <c r="N63" s="2840"/>
      <c r="O63" s="2840"/>
      <c r="P63" s="2840"/>
      <c r="Q63" s="2840"/>
      <c r="R63" s="2840"/>
      <c r="S63" s="2841"/>
      <c r="U63" s="2730">
        <v>1</v>
      </c>
    </row>
    <row r="64" spans="2:21" ht="18" customHeight="1">
      <c r="B64" s="2751" t="str">
        <f t="shared" si="8"/>
        <v>►</v>
      </c>
      <c r="C64" s="2736" t="str">
        <f>IF(ISBLANK(D64),"",LARGE(C55:C63,1)+1)</f>
        <v/>
      </c>
      <c r="D64" s="491"/>
      <c r="E64" s="491"/>
      <c r="F64" s="491"/>
      <c r="G64" s="491"/>
      <c r="H64" s="491"/>
      <c r="I64" s="491"/>
      <c r="J64" s="491"/>
      <c r="K64" s="2752"/>
      <c r="L64" s="311" t="s">
        <v>2</v>
      </c>
      <c r="M64" s="2839" t="s">
        <v>7098</v>
      </c>
      <c r="N64" s="2840"/>
      <c r="O64" s="2840"/>
      <c r="P64" s="2840"/>
      <c r="Q64" s="2840"/>
      <c r="R64" s="2840"/>
      <c r="S64" s="2841"/>
      <c r="U64" s="2730">
        <v>1</v>
      </c>
    </row>
    <row r="65" spans="2:21" ht="18" customHeight="1">
      <c r="B65" s="2751" t="str">
        <f t="shared" si="8"/>
        <v>►</v>
      </c>
      <c r="C65" s="2736" t="str">
        <f>IF(ISBLANK(D65),"",LARGE(C55:C64,1)+1)</f>
        <v/>
      </c>
      <c r="D65" s="491"/>
      <c r="E65" s="491"/>
      <c r="F65" s="491"/>
      <c r="G65" s="491"/>
      <c r="H65" s="491"/>
      <c r="I65" s="491"/>
      <c r="J65" s="491"/>
      <c r="K65" s="2752"/>
      <c r="L65" s="311" t="s">
        <v>2</v>
      </c>
      <c r="M65" s="2842" t="s">
        <v>7099</v>
      </c>
      <c r="N65" s="2840"/>
      <c r="O65" s="2840"/>
      <c r="P65" s="2840"/>
      <c r="Q65" s="2840"/>
      <c r="R65" s="2840"/>
      <c r="S65" s="2843"/>
      <c r="U65" s="2730">
        <v>1</v>
      </c>
    </row>
    <row r="66" spans="2:21" ht="18" customHeight="1">
      <c r="B66" s="2751" t="str">
        <f t="shared" si="8"/>
        <v>►</v>
      </c>
      <c r="C66" s="2736" t="str">
        <f>IF(ISBLANK(D66),"",LARGE(C55:C65,1)+1)</f>
        <v/>
      </c>
      <c r="D66" s="491"/>
      <c r="E66" s="491"/>
      <c r="F66" s="491"/>
      <c r="G66" s="491"/>
      <c r="H66" s="491"/>
      <c r="I66" s="491"/>
      <c r="J66" s="491"/>
      <c r="K66" s="2752"/>
      <c r="L66" s="311" t="s">
        <v>2</v>
      </c>
      <c r="M66" s="2842"/>
      <c r="N66" s="2840"/>
      <c r="O66" s="2840"/>
      <c r="P66" s="2840"/>
      <c r="Q66" s="2840"/>
      <c r="R66" s="2840"/>
      <c r="S66" s="2843"/>
      <c r="U66" s="2730">
        <v>1</v>
      </c>
    </row>
    <row r="67" spans="2:21" ht="18" customHeight="1">
      <c r="B67" s="2751" t="str">
        <f t="shared" si="8"/>
        <v>►</v>
      </c>
      <c r="C67" s="2736" t="str">
        <f>IF(ISBLANK(D67),"",LARGE(C55:C66,1)+1)</f>
        <v/>
      </c>
      <c r="D67" s="491"/>
      <c r="E67" s="491"/>
      <c r="F67" s="491"/>
      <c r="G67" s="491"/>
      <c r="H67" s="491"/>
      <c r="I67" s="491"/>
      <c r="J67" s="491"/>
      <c r="K67" s="2752"/>
      <c r="L67" s="311" t="s">
        <v>2</v>
      </c>
      <c r="M67" s="2844"/>
      <c r="N67" s="2845"/>
      <c r="O67" s="2845" t="s">
        <v>7100</v>
      </c>
      <c r="P67" s="2846" t="s">
        <v>7101</v>
      </c>
      <c r="Q67" s="2847"/>
      <c r="R67" s="2847"/>
      <c r="S67" s="2848"/>
      <c r="U67" s="2730">
        <v>1</v>
      </c>
    </row>
    <row r="68" spans="2:21" ht="18" customHeight="1">
      <c r="B68" s="2751" t="str">
        <f t="shared" si="8"/>
        <v>►</v>
      </c>
      <c r="C68" s="2736" t="str">
        <f>IF(ISBLANK(D68),"",LARGE(C55:C67,1)+1)</f>
        <v/>
      </c>
      <c r="D68" s="491"/>
      <c r="E68" s="491"/>
      <c r="F68" s="491"/>
      <c r="G68" s="491"/>
      <c r="H68" s="491"/>
      <c r="I68" s="491"/>
      <c r="J68" s="491"/>
      <c r="K68" s="2752"/>
      <c r="L68" s="311" t="s">
        <v>2</v>
      </c>
      <c r="M68" s="304"/>
      <c r="S68" s="2240"/>
      <c r="U68" s="2730">
        <v>1</v>
      </c>
    </row>
    <row r="69" spans="2:21" ht="18" customHeight="1">
      <c r="B69" s="2751" t="str">
        <f t="shared" si="8"/>
        <v>►</v>
      </c>
      <c r="C69" s="2736" t="str">
        <f>IF(ISBLANK(D69),"",LARGE(C55:C68,1)+1)</f>
        <v/>
      </c>
      <c r="D69" s="491"/>
      <c r="E69" s="491"/>
      <c r="F69" s="491"/>
      <c r="G69" s="491"/>
      <c r="H69" s="491"/>
      <c r="I69" s="491"/>
      <c r="J69" s="491"/>
      <c r="K69" s="2752"/>
      <c r="L69" s="311" t="s">
        <v>2</v>
      </c>
      <c r="M69" s="2792"/>
      <c r="N69" s="2793"/>
      <c r="O69" s="2794"/>
      <c r="P69" s="2793"/>
      <c r="Q69" s="2793"/>
      <c r="R69" s="2793"/>
      <c r="S69" s="2795"/>
      <c r="U69" s="2730">
        <v>1</v>
      </c>
    </row>
    <row r="70" spans="2:21" ht="18" customHeight="1">
      <c r="B70" s="2751" t="str">
        <f t="shared" si="8"/>
        <v>►</v>
      </c>
      <c r="C70" s="2736" t="str">
        <f>IF(ISBLANK(D70),"",LARGE(C55:C69,1)+1)</f>
        <v/>
      </c>
      <c r="D70" s="491"/>
      <c r="E70" s="491"/>
      <c r="F70" s="491"/>
      <c r="G70" s="491"/>
      <c r="H70" s="491"/>
      <c r="I70" s="491"/>
      <c r="J70" s="491"/>
      <c r="K70" s="2752"/>
      <c r="L70" s="311" t="s">
        <v>2</v>
      </c>
      <c r="M70" s="294"/>
      <c r="R70" s="1"/>
      <c r="S70" s="2241"/>
      <c r="U70" s="2730">
        <v>1</v>
      </c>
    </row>
    <row r="71" spans="2:21" ht="18" customHeight="1">
      <c r="B71" s="2751" t="str">
        <f t="shared" si="8"/>
        <v>►</v>
      </c>
      <c r="C71" s="2736" t="str">
        <f>IF(ISBLANK(D71),"",LARGE(C55:C70,1)+1)</f>
        <v/>
      </c>
      <c r="D71" s="491"/>
      <c r="E71" s="491"/>
      <c r="F71" s="491"/>
      <c r="G71" s="491"/>
      <c r="H71" s="491"/>
      <c r="I71" s="491"/>
      <c r="J71" s="491"/>
      <c r="K71" s="2752"/>
      <c r="L71" s="311" t="s">
        <v>2</v>
      </c>
      <c r="M71" s="294"/>
      <c r="N71" s="2849"/>
      <c r="O71" s="2309"/>
      <c r="P71" s="2850" t="s">
        <v>7102</v>
      </c>
      <c r="Q71" s="2851" t="s">
        <v>7103</v>
      </c>
      <c r="R71" s="1"/>
      <c r="S71" s="2241"/>
      <c r="U71" s="2730">
        <v>1</v>
      </c>
    </row>
    <row r="72" spans="2:21" ht="18" customHeight="1">
      <c r="B72" s="2751" t="str">
        <f t="shared" si="8"/>
        <v>►</v>
      </c>
      <c r="C72" s="2736" t="str">
        <f>IF(ISBLANK(D72),"",LARGE(C55:C71,1)+1)</f>
        <v/>
      </c>
      <c r="D72" s="491"/>
      <c r="E72" s="491"/>
      <c r="F72" s="491"/>
      <c r="G72" s="491"/>
      <c r="H72" s="491"/>
      <c r="I72" s="491"/>
      <c r="J72" s="491"/>
      <c r="K72" s="2752"/>
      <c r="L72" s="311" t="s">
        <v>2</v>
      </c>
      <c r="M72" s="294"/>
      <c r="N72" s="2852"/>
      <c r="O72" s="2806"/>
      <c r="P72" s="2853" t="s">
        <v>7104</v>
      </c>
      <c r="Q72" s="2854" t="s">
        <v>1229</v>
      </c>
      <c r="R72" s="1"/>
      <c r="S72" s="2241"/>
      <c r="U72" s="2730">
        <v>1</v>
      </c>
    </row>
    <row r="73" spans="2:21" ht="18" customHeight="1">
      <c r="B73" s="2751" t="str">
        <f t="shared" si="8"/>
        <v>►</v>
      </c>
      <c r="C73" s="2736" t="str">
        <f>IF(ISBLANK(D73),"",LARGE(C55:C72,1)+1)</f>
        <v/>
      </c>
      <c r="D73" s="491"/>
      <c r="E73" s="491"/>
      <c r="F73" s="491"/>
      <c r="G73" s="491"/>
      <c r="H73" s="491"/>
      <c r="I73" s="491"/>
      <c r="J73" s="491"/>
      <c r="K73" s="2752"/>
      <c r="L73" s="311" t="s">
        <v>2</v>
      </c>
      <c r="M73" s="294"/>
      <c r="N73" s="2855"/>
      <c r="O73" s="1"/>
      <c r="P73" s="2856" t="s">
        <v>7105</v>
      </c>
      <c r="Q73" s="2857">
        <v>1.7361111111111112E-2</v>
      </c>
      <c r="R73" s="1"/>
      <c r="S73" s="2241"/>
      <c r="U73" s="2730">
        <v>1</v>
      </c>
    </row>
    <row r="74" spans="2:21" ht="18" customHeight="1">
      <c r="B74" s="2751" t="str">
        <f t="shared" si="8"/>
        <v>►</v>
      </c>
      <c r="C74" s="2736" t="str">
        <f>IF(ISBLANK(D74),"",LARGE(C55:C73,1)+1)</f>
        <v/>
      </c>
      <c r="D74" s="491"/>
      <c r="E74" s="491"/>
      <c r="F74" s="491"/>
      <c r="G74" s="491"/>
      <c r="H74" s="491"/>
      <c r="I74" s="491"/>
      <c r="J74" s="491"/>
      <c r="K74" s="2752"/>
      <c r="L74" s="311" t="s">
        <v>2</v>
      </c>
      <c r="M74" s="294"/>
      <c r="N74" s="2855"/>
      <c r="O74" s="1"/>
      <c r="P74" s="2856" t="s">
        <v>7106</v>
      </c>
      <c r="Q74" s="2858">
        <v>1.0416666666666666E-2</v>
      </c>
      <c r="R74" s="1"/>
      <c r="S74" s="2241"/>
      <c r="U74" s="2730">
        <v>1</v>
      </c>
    </row>
    <row r="75" spans="2:21" ht="18" customHeight="1">
      <c r="B75" s="2751" t="str">
        <f t="shared" si="8"/>
        <v>►</v>
      </c>
      <c r="C75" s="2736" t="str">
        <f>IF(ISBLANK(D75),"",LARGE(C55:C74,1)+1)</f>
        <v/>
      </c>
      <c r="D75" s="491"/>
      <c r="E75" s="491"/>
      <c r="F75" s="491"/>
      <c r="G75" s="491"/>
      <c r="H75" s="491"/>
      <c r="I75" s="491"/>
      <c r="J75" s="491"/>
      <c r="K75" s="2752"/>
      <c r="L75" s="311" t="s">
        <v>2</v>
      </c>
      <c r="M75" s="294"/>
      <c r="N75" s="2855"/>
      <c r="O75" s="1"/>
      <c r="P75" s="2856" t="s">
        <v>7107</v>
      </c>
      <c r="Q75" s="2859">
        <v>6.25E-2</v>
      </c>
      <c r="R75" s="1"/>
      <c r="S75" s="2241"/>
      <c r="U75" s="2730">
        <v>1</v>
      </c>
    </row>
    <row r="76" spans="2:21" ht="18" customHeight="1">
      <c r="B76" s="2751" t="str">
        <f t="shared" si="8"/>
        <v>►</v>
      </c>
      <c r="C76" s="2736" t="str">
        <f>IF(ISBLANK(D76),"",LARGE(C55:C75,1)+1)</f>
        <v/>
      </c>
      <c r="D76" s="491"/>
      <c r="E76" s="491"/>
      <c r="F76" s="491"/>
      <c r="G76" s="491"/>
      <c r="H76" s="491"/>
      <c r="I76" s="491"/>
      <c r="J76" s="491"/>
      <c r="K76" s="2752"/>
      <c r="L76" s="311" t="s">
        <v>2</v>
      </c>
      <c r="M76" s="294"/>
      <c r="N76" s="2855"/>
      <c r="O76" s="1"/>
      <c r="P76" s="2860" t="s">
        <v>20</v>
      </c>
      <c r="Q76" s="2861">
        <f>Q73+Q74+Q75</f>
        <v>9.0277777777777776E-2</v>
      </c>
      <c r="R76" s="1"/>
      <c r="S76" s="2241"/>
      <c r="U76" s="2730">
        <v>1</v>
      </c>
    </row>
    <row r="77" spans="2:21" ht="18" customHeight="1">
      <c r="B77" s="2751" t="str">
        <f t="shared" si="8"/>
        <v>►</v>
      </c>
      <c r="C77" s="2736" t="str">
        <f>IF(ISBLANK(D77),"",LARGE(C55:C76,1)+1)</f>
        <v/>
      </c>
      <c r="D77" s="491"/>
      <c r="E77" s="491"/>
      <c r="F77" s="491"/>
      <c r="G77" s="491"/>
      <c r="H77" s="491"/>
      <c r="I77" s="491"/>
      <c r="J77" s="491"/>
      <c r="K77" s="2752"/>
      <c r="L77" s="311" t="s">
        <v>2</v>
      </c>
      <c r="M77" s="294"/>
      <c r="N77" s="7905" t="s">
        <v>7108</v>
      </c>
      <c r="O77" s="7906"/>
      <c r="P77" s="7906"/>
      <c r="Q77" s="7907"/>
      <c r="R77" s="1"/>
      <c r="S77" s="2241"/>
      <c r="U77" s="2730">
        <v>1</v>
      </c>
    </row>
    <row r="78" spans="2:21" ht="18" customHeight="1">
      <c r="B78" s="2751" t="str">
        <f t="shared" si="8"/>
        <v>►</v>
      </c>
      <c r="C78" s="2736" t="str">
        <f>IF(ISBLANK(D78),"",LARGE(C55:C77,1)+1)</f>
        <v/>
      </c>
      <c r="D78" s="491"/>
      <c r="E78" s="491"/>
      <c r="F78" s="491"/>
      <c r="G78" s="491"/>
      <c r="H78" s="491"/>
      <c r="I78" s="491"/>
      <c r="J78" s="491"/>
      <c r="K78" s="2752"/>
      <c r="L78" s="311" t="s">
        <v>2</v>
      </c>
      <c r="M78" s="294"/>
      <c r="N78" s="2862" t="s">
        <v>7109</v>
      </c>
      <c r="O78" s="12"/>
      <c r="P78" s="2863" t="s">
        <v>7110</v>
      </c>
      <c r="Q78" s="2249">
        <f>N81*N79</f>
        <v>225</v>
      </c>
      <c r="R78" s="1"/>
      <c r="S78" s="2241"/>
      <c r="U78" s="2730">
        <v>1</v>
      </c>
    </row>
    <row r="79" spans="2:21" ht="18" customHeight="1">
      <c r="B79" s="2751" t="str">
        <f t="shared" si="8"/>
        <v>►</v>
      </c>
      <c r="C79" s="2736" t="str">
        <f>IF(ISBLANK(D79),"",LARGE(C55:C78,1)+1)</f>
        <v/>
      </c>
      <c r="D79" s="491"/>
      <c r="E79" s="491"/>
      <c r="F79" s="491"/>
      <c r="G79" s="491"/>
      <c r="H79" s="491"/>
      <c r="I79" s="491"/>
      <c r="J79" s="491"/>
      <c r="K79" s="2752"/>
      <c r="L79" s="311" t="s">
        <v>2</v>
      </c>
      <c r="M79" s="294"/>
      <c r="N79" s="2864">
        <v>150</v>
      </c>
      <c r="O79" s="2865" t="s">
        <v>7111</v>
      </c>
      <c r="P79" s="7908" t="s">
        <v>1762</v>
      </c>
      <c r="Q79" s="7909"/>
      <c r="R79" s="1"/>
      <c r="S79" s="2241"/>
      <c r="U79" s="2730">
        <v>1</v>
      </c>
    </row>
    <row r="80" spans="2:21" ht="18" customHeight="1">
      <c r="B80" s="2751" t="str">
        <f t="shared" si="8"/>
        <v>►</v>
      </c>
      <c r="C80" s="2736" t="str">
        <f>IF(ISBLANK(D80),"",LARGE(C55:C79,1)+1)</f>
        <v/>
      </c>
      <c r="D80" s="491"/>
      <c r="E80" s="491"/>
      <c r="F80" s="491"/>
      <c r="G80" s="491"/>
      <c r="H80" s="491"/>
      <c r="I80" s="491"/>
      <c r="J80" s="491"/>
      <c r="K80" s="2752"/>
      <c r="L80" s="311" t="s">
        <v>2</v>
      </c>
      <c r="M80" s="294"/>
      <c r="N80" s="7880" t="s">
        <v>1838</v>
      </c>
      <c r="O80" s="7881"/>
      <c r="P80" s="2866" t="s">
        <v>7112</v>
      </c>
      <c r="Q80" s="2781"/>
      <c r="R80" s="1"/>
      <c r="S80" s="2241"/>
      <c r="U80" s="2730">
        <v>1</v>
      </c>
    </row>
    <row r="81" spans="2:21" ht="18" customHeight="1">
      <c r="B81" s="2751" t="str">
        <f t="shared" si="8"/>
        <v>►</v>
      </c>
      <c r="C81" s="2736" t="str">
        <f>IF(ISBLANK(D81),"",LARGE(C55:C80,1)+1)</f>
        <v/>
      </c>
      <c r="D81" s="491"/>
      <c r="E81" s="491"/>
      <c r="F81" s="491"/>
      <c r="G81" s="491"/>
      <c r="H81" s="491"/>
      <c r="I81" s="491"/>
      <c r="J81" s="491"/>
      <c r="K81" s="2752"/>
      <c r="L81" s="311" t="s">
        <v>2</v>
      </c>
      <c r="M81" s="294"/>
      <c r="N81" s="2867">
        <v>1.5</v>
      </c>
      <c r="O81" s="2868" t="str">
        <f>"&lt; Nb de "&amp;P79&amp;" par personne "</f>
        <v xml:space="preserve">&lt; Nb de tranches par personne </v>
      </c>
      <c r="P81" s="2869"/>
      <c r="Q81" s="2240"/>
      <c r="R81" s="1"/>
      <c r="S81" s="2241"/>
      <c r="U81" s="2730">
        <v>1</v>
      </c>
    </row>
    <row r="82" spans="2:21" ht="18" customHeight="1">
      <c r="B82" s="2751" t="str">
        <f t="shared" si="8"/>
        <v>►</v>
      </c>
      <c r="C82" s="2736" t="str">
        <f>IF(ISBLANK(D82),"",LARGE(C55:C81,1)+1)</f>
        <v/>
      </c>
      <c r="D82" s="491"/>
      <c r="E82" s="491"/>
      <c r="F82" s="491"/>
      <c r="G82" s="491"/>
      <c r="H82" s="491"/>
      <c r="I82" s="491"/>
      <c r="J82" s="491"/>
      <c r="K82" s="2752"/>
      <c r="L82" s="311" t="s">
        <v>2</v>
      </c>
      <c r="M82" s="294"/>
      <c r="N82" s="2870">
        <v>27</v>
      </c>
      <c r="O82" s="2868" t="str">
        <f>"&lt; Nb "&amp;P79&amp;" dans 1 " &amp;N80</f>
        <v>&lt; Nb tranches dans 1 Gastro 1/1</v>
      </c>
      <c r="P82" s="2871"/>
      <c r="Q82" s="2249"/>
      <c r="R82" s="1"/>
      <c r="S82" s="2241"/>
      <c r="U82" s="2730">
        <v>1</v>
      </c>
    </row>
    <row r="83" spans="2:21" ht="18" customHeight="1">
      <c r="B83" s="2751" t="str">
        <f t="shared" si="8"/>
        <v>►</v>
      </c>
      <c r="C83" s="2736" t="str">
        <f>IF(ISBLANK(D83),"",LARGE(C55:C82,1)+1)</f>
        <v/>
      </c>
      <c r="D83" s="491"/>
      <c r="E83" s="491"/>
      <c r="F83" s="491"/>
      <c r="G83" s="491"/>
      <c r="H83" s="491"/>
      <c r="I83" s="491"/>
      <c r="J83" s="491"/>
      <c r="K83" s="2752"/>
      <c r="L83" s="311" t="s">
        <v>2</v>
      </c>
      <c r="M83" s="294"/>
      <c r="N83" s="7882" t="str">
        <f>IF(OR(N82="",Q78=0),"",INT(Q78/N82) &amp; " " &amp; N80 &amp; " de " &amp; N82 &amp; " " &amp; P79 &amp; IF(MOD(Q78,N82)&gt;0," + 1 " &amp; N80 &amp; " de " &amp; TEXT(MOD(Q78,N82),"0.00") &amp; " " &amp; P79,""))</f>
        <v>8 Gastro 1/1 de 27 tranches + 1 Gastro 1/1 de 9.00 tranches</v>
      </c>
      <c r="O83" s="7883"/>
      <c r="P83" s="7883"/>
      <c r="Q83" s="7884"/>
      <c r="R83" s="1"/>
      <c r="S83" s="2241"/>
      <c r="U83" s="2730">
        <v>1</v>
      </c>
    </row>
    <row r="84" spans="2:21" ht="18" customHeight="1">
      <c r="B84" s="2751" t="str">
        <f t="shared" si="8"/>
        <v>►</v>
      </c>
      <c r="C84" s="2736" t="str">
        <f>IF(ISBLANK(D84),"",LARGE(C55:C83,1)+1)</f>
        <v/>
      </c>
      <c r="D84" s="491"/>
      <c r="E84" s="491"/>
      <c r="F84" s="491"/>
      <c r="G84" s="491"/>
      <c r="H84" s="491"/>
      <c r="I84" s="491"/>
      <c r="J84" s="491"/>
      <c r="K84" s="2752"/>
      <c r="L84" s="311" t="s">
        <v>2</v>
      </c>
      <c r="M84" s="294"/>
      <c r="N84" s="7885"/>
      <c r="O84" s="7886"/>
      <c r="P84" s="7886"/>
      <c r="Q84" s="7887"/>
      <c r="R84" s="1"/>
      <c r="S84" s="2241"/>
      <c r="U84" s="2730">
        <v>1</v>
      </c>
    </row>
    <row r="85" spans="2:21" ht="18" customHeight="1">
      <c r="B85" s="2751" t="str">
        <f t="shared" si="8"/>
        <v>►</v>
      </c>
      <c r="C85" s="2736" t="str">
        <f>IF(ISBLANK(D85),"",LARGE(C55:C84,1)+1)</f>
        <v/>
      </c>
      <c r="D85" s="491"/>
      <c r="E85" s="491"/>
      <c r="F85" s="491"/>
      <c r="G85" s="491"/>
      <c r="H85" s="491"/>
      <c r="I85" s="491"/>
      <c r="J85" s="491"/>
      <c r="K85" s="2752"/>
      <c r="L85" s="311" t="s">
        <v>2</v>
      </c>
      <c r="M85" s="294"/>
      <c r="N85" s="2872">
        <v>120</v>
      </c>
      <c r="O85" s="2873" t="s">
        <v>7113</v>
      </c>
      <c r="P85" s="12"/>
      <c r="Q85" s="2874">
        <f>(N85*N79)/1000</f>
        <v>18</v>
      </c>
      <c r="R85" s="1"/>
      <c r="S85" s="2241"/>
      <c r="U85" s="2730">
        <v>1</v>
      </c>
    </row>
    <row r="86" spans="2:21" ht="18" customHeight="1">
      <c r="B86" s="2751" t="str">
        <f t="shared" si="8"/>
        <v>►</v>
      </c>
      <c r="C86" s="2736" t="str">
        <f>IF(ISBLANK(D86),"",LARGE(C55:C85,1)+1)</f>
        <v/>
      </c>
      <c r="D86" s="491"/>
      <c r="E86" s="491"/>
      <c r="F86" s="491"/>
      <c r="G86" s="491"/>
      <c r="H86" s="491"/>
      <c r="I86" s="491"/>
      <c r="J86" s="491"/>
      <c r="K86" s="2752"/>
      <c r="L86" s="311" t="s">
        <v>2</v>
      </c>
      <c r="M86" s="294"/>
      <c r="N86" s="2875">
        <v>2.7</v>
      </c>
      <c r="O86" s="2876" t="str">
        <f>"poids par "&amp; N80</f>
        <v>poids par Gastro 1/1</v>
      </c>
      <c r="P86" s="12"/>
      <c r="Q86" s="2781"/>
      <c r="R86" s="1"/>
      <c r="S86" s="2241"/>
      <c r="U86" s="2730">
        <v>1</v>
      </c>
    </row>
    <row r="87" spans="2:21" ht="18" customHeight="1">
      <c r="B87" s="2751" t="str">
        <f t="shared" si="8"/>
        <v>►</v>
      </c>
      <c r="C87" s="2736" t="str">
        <f>IF(ISBLANK(D87),"",LARGE(C55:C86,1)+1)</f>
        <v/>
      </c>
      <c r="D87" s="491"/>
      <c r="E87" s="491"/>
      <c r="F87" s="491"/>
      <c r="G87" s="491"/>
      <c r="H87" s="491"/>
      <c r="I87" s="491"/>
      <c r="J87" s="491"/>
      <c r="K87" s="2752"/>
      <c r="L87" s="311" t="s">
        <v>2</v>
      </c>
      <c r="M87" s="294"/>
      <c r="N87" s="7888" t="str">
        <f>IF(OR(Q85&lt;=0,N86&lt;=0),"",_xlfn.LET(_xlpm.n,ROUND(Q85/N86,9),_xlpm.q,INT(_xlpm.n),_xlpm.r,ROUND(Q85-_xlpm.q*N86,9),_xlpm.base,_xlpm.q&amp;" "&amp;N80&amp;" de "&amp;TEXT(N86,"0.000")&amp;" kg",IF(_xlpm.r&lt;=0.000000001,_xlpm.base,_xlpm.base&amp;" + 1 "&amp;N80&amp;" de "&amp;TEXT(_xlpm.r,"0.000")&amp;" kg")))</f>
        <v>6 Gastro 1/1 de 2.700 kg + 1 Gastro 1/1 de 1.800 kg</v>
      </c>
      <c r="O87" s="7889"/>
      <c r="P87" s="7889"/>
      <c r="Q87" s="7890"/>
      <c r="R87" s="1"/>
      <c r="S87" s="2241"/>
      <c r="U87" s="2730">
        <v>1</v>
      </c>
    </row>
    <row r="88" spans="2:21" ht="18" customHeight="1">
      <c r="B88" s="2751" t="str">
        <f t="shared" si="8"/>
        <v>►</v>
      </c>
      <c r="C88" s="2736" t="str">
        <f>IF(ISBLANK(D88),"",LARGE(C55:C87,1)+1)</f>
        <v/>
      </c>
      <c r="D88" s="491"/>
      <c r="E88" s="491"/>
      <c r="F88" s="491"/>
      <c r="G88" s="491"/>
      <c r="H88" s="491"/>
      <c r="I88" s="491"/>
      <c r="J88" s="491"/>
      <c r="K88" s="2752"/>
      <c r="L88" s="311" t="s">
        <v>2</v>
      </c>
      <c r="M88" s="294"/>
      <c r="N88" s="7891"/>
      <c r="O88" s="7892"/>
      <c r="P88" s="7892"/>
      <c r="Q88" s="7893"/>
      <c r="R88" s="1"/>
      <c r="S88" s="2241"/>
      <c r="U88" s="2730">
        <v>1</v>
      </c>
    </row>
    <row r="89" spans="2:21" ht="18" customHeight="1" thickBot="1">
      <c r="B89" s="2928" t="s">
        <v>337</v>
      </c>
      <c r="C89" s="2736" t="str">
        <f>IF(ISBLANK(D89),"",LARGE(C55:C88,1)+1)</f>
        <v/>
      </c>
      <c r="D89" s="1086"/>
      <c r="E89" s="1086"/>
      <c r="F89" s="1086"/>
      <c r="G89" s="1086"/>
      <c r="H89" s="1086"/>
      <c r="I89" s="1086"/>
      <c r="J89" s="1086"/>
      <c r="K89" s="2753"/>
      <c r="L89" s="311" t="s">
        <v>2</v>
      </c>
      <c r="M89" s="294"/>
      <c r="N89" s="1"/>
      <c r="O89" s="1"/>
      <c r="P89" s="1"/>
      <c r="Q89" s="1"/>
      <c r="R89" s="1"/>
      <c r="S89" s="2241"/>
      <c r="U89" s="2730">
        <v>1</v>
      </c>
    </row>
    <row r="90" spans="2:21" ht="18" customHeight="1" thickTop="1">
      <c r="B90" s="2928" t="s">
        <v>337</v>
      </c>
      <c r="C90" s="1081" t="s">
        <v>1775</v>
      </c>
      <c r="D90" s="1081"/>
      <c r="E90" s="1081"/>
      <c r="F90" s="7865"/>
      <c r="G90" s="7865"/>
      <c r="H90" s="7865"/>
      <c r="I90" s="7865"/>
      <c r="J90" s="7865"/>
      <c r="K90" s="7879"/>
      <c r="L90" s="311" t="s">
        <v>2</v>
      </c>
      <c r="M90" s="294"/>
      <c r="N90" s="739" t="s">
        <v>7114</v>
      </c>
      <c r="O90" s="1"/>
      <c r="P90" s="1"/>
      <c r="Q90" s="2865" t="s">
        <v>7115</v>
      </c>
      <c r="R90" s="1"/>
      <c r="S90" s="2241"/>
      <c r="U90" s="2730">
        <v>1</v>
      </c>
    </row>
    <row r="91" spans="2:21" ht="18" customHeight="1">
      <c r="B91" s="2928" t="s">
        <v>337</v>
      </c>
      <c r="C91" s="2740" t="s">
        <v>1780</v>
      </c>
      <c r="D91" s="7853" t="s">
        <v>1779</v>
      </c>
      <c r="E91" s="7853"/>
      <c r="F91" s="7853"/>
      <c r="G91" s="7853"/>
      <c r="H91" s="7853"/>
      <c r="I91" s="7853"/>
      <c r="J91" s="7853"/>
      <c r="K91" s="7894"/>
      <c r="L91" s="311" t="s">
        <v>2</v>
      </c>
      <c r="M91" s="294"/>
      <c r="N91" s="2877" t="s">
        <v>7116</v>
      </c>
      <c r="O91" s="1"/>
      <c r="P91" s="1"/>
      <c r="Q91" s="2878" t="s">
        <v>7117</v>
      </c>
      <c r="R91" s="1"/>
      <c r="S91" s="2241"/>
      <c r="U91" s="2730">
        <v>1</v>
      </c>
    </row>
    <row r="92" spans="2:21" ht="18" customHeight="1">
      <c r="B92" s="2928" t="s">
        <v>337</v>
      </c>
      <c r="C92" s="2741" t="s">
        <v>7</v>
      </c>
      <c r="D92" s="1049" t="str">
        <f ca="1">CELL("nomfichier")</f>
        <v>D:\Données\1.UPRT\0-UPRT.fait\1-UPRT.FR-SITE-WEB\ff-fiches-fabrications\ff.fiches.fabrication.2023\UPRT.23.aout\[ff-20-CHARCUTERIE-michel-Mariette.BOUDIN.BLANC_-1.xlsx]Exemples Michel Mariette</v>
      </c>
      <c r="E92" s="1049"/>
      <c r="F92" s="34"/>
      <c r="G92" s="15"/>
      <c r="H92" s="15"/>
      <c r="I92" s="15"/>
      <c r="J92" s="15"/>
      <c r="K92" s="2396"/>
      <c r="L92" s="311" t="s">
        <v>2</v>
      </c>
      <c r="M92" s="294"/>
      <c r="N92" s="2879" t="s">
        <v>7118</v>
      </c>
      <c r="O92" s="1"/>
      <c r="P92" s="1"/>
      <c r="Q92" s="2878" t="s">
        <v>7119</v>
      </c>
      <c r="R92" s="1"/>
      <c r="S92" s="2241"/>
      <c r="U92" s="2730">
        <v>1</v>
      </c>
    </row>
    <row r="93" spans="2:21" ht="18" customHeight="1">
      <c r="B93" s="2928" t="s">
        <v>337</v>
      </c>
      <c r="C93" s="2742" t="s">
        <v>1778</v>
      </c>
      <c r="D93" s="34"/>
      <c r="E93" s="34"/>
      <c r="F93" s="1049"/>
      <c r="G93" s="15"/>
      <c r="H93" s="15"/>
      <c r="I93" s="15"/>
      <c r="J93" s="15"/>
      <c r="K93" s="2396"/>
      <c r="L93" s="311" t="s">
        <v>2</v>
      </c>
      <c r="M93" s="294"/>
      <c r="N93" s="2865" t="s">
        <v>7120</v>
      </c>
      <c r="O93" s="1"/>
      <c r="P93" s="1"/>
      <c r="Q93" s="2878" t="s">
        <v>7121</v>
      </c>
      <c r="R93" s="1"/>
      <c r="S93" s="2241"/>
      <c r="U93" s="2730">
        <v>1</v>
      </c>
    </row>
    <row r="94" spans="2:21" ht="18" customHeight="1">
      <c r="B94" s="2928" t="s">
        <v>337</v>
      </c>
      <c r="C94" s="2742" t="s">
        <v>1776</v>
      </c>
      <c r="D94" s="34"/>
      <c r="E94" s="34"/>
      <c r="F94" s="1049"/>
      <c r="G94" s="15"/>
      <c r="H94" s="15"/>
      <c r="I94" s="15"/>
      <c r="J94" s="15"/>
      <c r="K94" s="2396"/>
      <c r="L94" s="311" t="s">
        <v>2</v>
      </c>
      <c r="M94" s="294"/>
      <c r="N94" s="2865"/>
      <c r="O94" s="1"/>
      <c r="P94" s="1"/>
      <c r="Q94" s="2878" t="s">
        <v>7122</v>
      </c>
      <c r="R94" s="1"/>
      <c r="S94" s="2241"/>
      <c r="U94" s="2730">
        <v>1</v>
      </c>
    </row>
    <row r="95" spans="2:21" ht="18" customHeight="1" thickBot="1">
      <c r="B95" s="2930" t="s">
        <v>337</v>
      </c>
      <c r="C95" s="2754" t="s">
        <v>8</v>
      </c>
      <c r="D95" s="453"/>
      <c r="E95" s="7618"/>
      <c r="F95" s="132"/>
      <c r="G95" s="132"/>
      <c r="H95" s="132"/>
      <c r="I95" s="132"/>
      <c r="J95" s="132"/>
      <c r="K95" s="592"/>
      <c r="L95" s="311" t="s">
        <v>2</v>
      </c>
      <c r="M95" s="2880"/>
      <c r="N95" s="1"/>
      <c r="O95" s="1"/>
      <c r="P95" s="1"/>
      <c r="Q95" s="1"/>
      <c r="R95" s="1"/>
      <c r="S95" s="2241"/>
      <c r="U95" s="2730">
        <v>1</v>
      </c>
    </row>
    <row r="96" spans="2:21" ht="15.75">
      <c r="L96" s="311" t="s">
        <v>2</v>
      </c>
      <c r="M96" s="2792"/>
      <c r="N96" s="2793"/>
      <c r="O96" s="2794"/>
      <c r="P96" s="2793"/>
      <c r="Q96" s="2793"/>
      <c r="R96" s="2793"/>
      <c r="S96" s="2795"/>
      <c r="U96" s="2730">
        <v>1</v>
      </c>
    </row>
    <row r="97" spans="2:21" ht="15.75">
      <c r="L97" s="311" t="s">
        <v>2</v>
      </c>
      <c r="M97" s="2881" t="s">
        <v>7123</v>
      </c>
      <c r="N97" s="1"/>
      <c r="O97" s="1"/>
      <c r="P97" s="1"/>
      <c r="Q97" s="1"/>
      <c r="R97" s="1"/>
      <c r="S97" s="2241"/>
      <c r="U97" s="2730">
        <v>1</v>
      </c>
    </row>
    <row r="98" spans="2:21">
      <c r="L98" s="311" t="s">
        <v>2</v>
      </c>
      <c r="M98" s="2882" t="s">
        <v>7124</v>
      </c>
      <c r="N98" s="1"/>
      <c r="O98" s="2883" t="s">
        <v>7125</v>
      </c>
      <c r="P98" s="1"/>
      <c r="Q98" s="1"/>
      <c r="R98" s="1"/>
      <c r="S98" s="2241"/>
      <c r="U98" s="2730">
        <v>1</v>
      </c>
    </row>
    <row r="99" spans="2:21" ht="15.75" thickBot="1">
      <c r="L99" s="311" t="s">
        <v>2</v>
      </c>
      <c r="M99" s="2884" t="str">
        <f t="shared" ref="M99:M125" si="9">TRIM(LEFT(O99,FIND(" .",O99&amp;" .")-1))</f>
        <v>Navarin d’agneau</v>
      </c>
      <c r="N99" s="12"/>
      <c r="O99" s="12" t="s">
        <v>7126</v>
      </c>
      <c r="P99" s="12"/>
      <c r="Q99" s="12"/>
      <c r="R99" s="12"/>
      <c r="S99" s="2781"/>
      <c r="U99" s="2730">
        <v>1</v>
      </c>
    </row>
    <row r="100" spans="2:21" ht="18" customHeight="1">
      <c r="B100" s="2933" t="s">
        <v>67</v>
      </c>
      <c r="C100" s="7729" t="s">
        <v>1782</v>
      </c>
      <c r="D100" s="7729"/>
      <c r="E100" s="7729"/>
      <c r="F100" s="7729"/>
      <c r="G100" s="7729"/>
      <c r="H100" s="7729"/>
      <c r="I100" s="7729"/>
      <c r="J100" s="7729"/>
      <c r="K100" s="7731" t="s">
        <v>1279</v>
      </c>
      <c r="L100" s="311" t="s">
        <v>2</v>
      </c>
      <c r="M100" s="2884" t="str">
        <f t="shared" si="9"/>
        <v>Éléments pour la cuisson du navarin</v>
      </c>
      <c r="N100" s="12"/>
      <c r="O100" s="12" t="s">
        <v>7127</v>
      </c>
      <c r="P100" s="12"/>
      <c r="Q100" s="12"/>
      <c r="R100" s="12"/>
      <c r="S100" s="2781"/>
      <c r="U100" s="2730">
        <v>1</v>
      </c>
    </row>
    <row r="101" spans="2:21" ht="18" customHeight="1">
      <c r="B101" s="2928" t="s">
        <v>337</v>
      </c>
      <c r="C101" s="7730"/>
      <c r="D101" s="7730"/>
      <c r="E101" s="7730"/>
      <c r="F101" s="7730"/>
      <c r="G101" s="7730"/>
      <c r="H101" s="7730"/>
      <c r="I101" s="7730"/>
      <c r="J101" s="7730"/>
      <c r="K101" s="7732"/>
      <c r="L101" s="311" t="s">
        <v>2</v>
      </c>
      <c r="M101" s="2884" t="str">
        <f t="shared" si="9"/>
        <v>Oignons</v>
      </c>
      <c r="N101" s="12"/>
      <c r="O101" s="12" t="s">
        <v>7128</v>
      </c>
      <c r="P101" s="12"/>
      <c r="Q101" s="12"/>
      <c r="R101" s="12"/>
      <c r="S101" s="2781"/>
      <c r="U101" s="2730">
        <v>1</v>
      </c>
    </row>
    <row r="102" spans="2:21" ht="18" customHeight="1">
      <c r="B102" s="2928" t="s">
        <v>337</v>
      </c>
      <c r="C102" s="7733" t="s">
        <v>1771</v>
      </c>
      <c r="D102" s="7733"/>
      <c r="E102" s="7733"/>
      <c r="F102" s="7733"/>
      <c r="G102" s="7733"/>
      <c r="H102" s="7733"/>
      <c r="I102" s="7733"/>
      <c r="J102" s="7733"/>
      <c r="K102" s="7734"/>
      <c r="L102" s="311" t="s">
        <v>2</v>
      </c>
      <c r="M102" s="2884" t="str">
        <f t="shared" si="9"/>
        <v>Concentré de tomate</v>
      </c>
      <c r="N102" s="12"/>
      <c r="O102" s="12" t="s">
        <v>7129</v>
      </c>
      <c r="P102" s="12"/>
      <c r="Q102" s="12"/>
      <c r="R102" s="12"/>
      <c r="S102" s="2781"/>
      <c r="U102" s="2730">
        <v>1</v>
      </c>
    </row>
    <row r="103" spans="2:21" ht="18" customHeight="1">
      <c r="B103" s="2928" t="s">
        <v>337</v>
      </c>
      <c r="C103" s="2735"/>
      <c r="D103" s="34"/>
      <c r="E103" s="34"/>
      <c r="F103" s="1065"/>
      <c r="G103" s="7870" t="s">
        <v>1777</v>
      </c>
      <c r="H103" s="7870"/>
      <c r="I103" s="7740">
        <v>500</v>
      </c>
      <c r="J103" s="1071"/>
      <c r="K103" s="1068"/>
      <c r="L103" s="311" t="s">
        <v>2</v>
      </c>
      <c r="M103" s="2884" t="str">
        <f t="shared" si="9"/>
        <v>Ail haché surgelé</v>
      </c>
      <c r="N103" s="12"/>
      <c r="O103" s="12" t="s">
        <v>7130</v>
      </c>
      <c r="P103" s="12"/>
      <c r="Q103" s="12"/>
      <c r="R103" s="12"/>
      <c r="S103" s="2781"/>
      <c r="U103" s="2730">
        <v>1</v>
      </c>
    </row>
    <row r="104" spans="2:21" ht="18" customHeight="1">
      <c r="B104" s="2928" t="s">
        <v>337</v>
      </c>
      <c r="C104" s="2735"/>
      <c r="D104" s="34"/>
      <c r="E104" s="34"/>
      <c r="F104" s="1066"/>
      <c r="G104" s="7871"/>
      <c r="H104" s="7871"/>
      <c r="I104" s="7741"/>
      <c r="J104" s="1055"/>
      <c r="K104" s="1070"/>
      <c r="L104" s="311" t="s">
        <v>2</v>
      </c>
      <c r="M104" s="2884" t="str">
        <f t="shared" si="9"/>
        <v>Farine</v>
      </c>
      <c r="N104" s="12"/>
      <c r="O104" s="12" t="s">
        <v>7131</v>
      </c>
      <c r="P104" s="12"/>
      <c r="Q104" s="12"/>
      <c r="R104" s="12"/>
      <c r="S104" s="2781"/>
      <c r="U104" s="2730">
        <v>1</v>
      </c>
    </row>
    <row r="105" spans="2:21" ht="18" customHeight="1">
      <c r="B105" s="2928" t="s">
        <v>337</v>
      </c>
      <c r="C105" s="7855" t="s">
        <v>1253</v>
      </c>
      <c r="D105" s="7856"/>
      <c r="E105" s="7616" t="s">
        <v>16246</v>
      </c>
      <c r="F105" s="1056" t="s">
        <v>1773</v>
      </c>
      <c r="G105" s="1019" t="s">
        <v>1282</v>
      </c>
      <c r="H105" s="1057" t="s">
        <v>19</v>
      </c>
      <c r="I105" s="1105" t="s">
        <v>1774</v>
      </c>
      <c r="J105" s="1056" t="s">
        <v>1781</v>
      </c>
      <c r="K105" s="1021" t="s">
        <v>1254</v>
      </c>
      <c r="L105" s="311" t="s">
        <v>2</v>
      </c>
      <c r="M105" s="2884" t="str">
        <f t="shared" si="9"/>
        <v>Bouquet garni</v>
      </c>
      <c r="N105" s="12"/>
      <c r="O105" s="12" t="s">
        <v>7132</v>
      </c>
      <c r="P105" s="12"/>
      <c r="Q105" s="12"/>
      <c r="R105" s="12"/>
      <c r="S105" s="2781"/>
      <c r="U105" s="2730">
        <v>1</v>
      </c>
    </row>
    <row r="106" spans="2:21" ht="18" customHeight="1">
      <c r="B106" s="2928" t="s">
        <v>337</v>
      </c>
      <c r="C106" s="2733">
        <v>1</v>
      </c>
      <c r="D106" s="1101" t="s">
        <v>1255</v>
      </c>
      <c r="E106" s="7704" t="s">
        <v>10486</v>
      </c>
      <c r="F106" s="1058">
        <v>3400</v>
      </c>
      <c r="G106" s="7599">
        <f>F106/F136*1000</f>
        <v>324.18001525553012</v>
      </c>
      <c r="H106" s="7603">
        <f>F106/F136</f>
        <v>0.32418001525553014</v>
      </c>
      <c r="I106" s="1059">
        <f>H106*I103</f>
        <v>162.09000762776506</v>
      </c>
      <c r="J106" s="1103">
        <v>1</v>
      </c>
      <c r="K106" s="1027">
        <f>(I106/1000)*J106</f>
        <v>0.16209000762776507</v>
      </c>
      <c r="L106" s="311" t="s">
        <v>2</v>
      </c>
      <c r="M106" s="2884" t="str">
        <f t="shared" si="9"/>
        <v>Fond brun clair de veau</v>
      </c>
      <c r="N106" s="12"/>
      <c r="O106" s="12" t="s">
        <v>7133</v>
      </c>
      <c r="P106" s="12"/>
      <c r="Q106" s="12"/>
      <c r="R106" s="12"/>
      <c r="S106" s="2781"/>
      <c r="U106" s="2730">
        <v>1</v>
      </c>
    </row>
    <row r="107" spans="2:21" ht="18" customHeight="1">
      <c r="B107" s="2738" t="str">
        <f t="shared" ref="B107" si="10">IF(D107&lt;&gt;"","A","►")</f>
        <v>A</v>
      </c>
      <c r="C107" s="2734">
        <f>LARGE(C106:C106,1)+1</f>
        <v>2</v>
      </c>
      <c r="D107" s="1100" t="s">
        <v>1256</v>
      </c>
      <c r="E107" s="7704" t="s">
        <v>10486</v>
      </c>
      <c r="F107" s="1060">
        <v>1600</v>
      </c>
      <c r="G107" s="7600">
        <f>F107/F136*1000</f>
        <v>152.55530129672007</v>
      </c>
      <c r="H107" s="7604">
        <f>F107/F136</f>
        <v>0.15255530129672007</v>
      </c>
      <c r="I107" s="1061">
        <f>H107*I103</f>
        <v>76.277650648360037</v>
      </c>
      <c r="J107" s="1104">
        <v>2</v>
      </c>
      <c r="K107" s="1033">
        <f t="shared" ref="K107:K135" si="11">(I107/1000)*J107</f>
        <v>0.15255530129672007</v>
      </c>
      <c r="L107" s="311" t="s">
        <v>2</v>
      </c>
      <c r="M107" s="2884" t="str">
        <f t="shared" si="9"/>
        <v>Haricots blancs (coco)</v>
      </c>
      <c r="N107" s="12"/>
      <c r="O107" s="12" t="s">
        <v>7134</v>
      </c>
      <c r="P107" s="12"/>
      <c r="Q107" s="12"/>
      <c r="R107" s="12"/>
      <c r="S107" s="2781"/>
      <c r="U107" s="2730">
        <v>1</v>
      </c>
    </row>
    <row r="108" spans="2:21" ht="18" customHeight="1">
      <c r="B108" s="2738" t="str">
        <f>IF(D108&lt;&gt;"","A","►")</f>
        <v>A</v>
      </c>
      <c r="C108" s="2733">
        <f>LARGE(C106:C107,1)+1</f>
        <v>3</v>
      </c>
      <c r="D108" s="1101" t="s">
        <v>1257</v>
      </c>
      <c r="E108" s="7704" t="s">
        <v>10486</v>
      </c>
      <c r="F108" s="1058">
        <v>1600</v>
      </c>
      <c r="G108" s="7599">
        <f>F108/F136*1000</f>
        <v>152.55530129672007</v>
      </c>
      <c r="H108" s="7603">
        <f>F108/F136</f>
        <v>0.15255530129672007</v>
      </c>
      <c r="I108" s="1059">
        <f>H108*I103</f>
        <v>76.277650648360037</v>
      </c>
      <c r="J108" s="1103">
        <v>3</v>
      </c>
      <c r="K108" s="1027">
        <f t="shared" si="11"/>
        <v>0.2288329519450801</v>
      </c>
      <c r="L108" s="311" t="s">
        <v>2</v>
      </c>
      <c r="M108" s="2884" t="str">
        <f t="shared" si="9"/>
        <v>Éléments de la garniture aromatique des</v>
      </c>
      <c r="N108" s="12"/>
      <c r="O108" s="12" t="s">
        <v>7135</v>
      </c>
      <c r="P108" s="12"/>
      <c r="Q108" s="12"/>
      <c r="R108" s="12"/>
      <c r="S108" s="2781"/>
      <c r="U108" s="2730">
        <v>1</v>
      </c>
    </row>
    <row r="109" spans="2:21" ht="18" customHeight="1">
      <c r="B109" s="2738" t="str">
        <f t="shared" ref="B109:B134" si="12">IF(D109&lt;&gt;"","A","►")</f>
        <v>A</v>
      </c>
      <c r="C109" s="2734">
        <f>LARGE(C106:C108,1)+1</f>
        <v>4</v>
      </c>
      <c r="D109" s="1100" t="s">
        <v>17871</v>
      </c>
      <c r="E109" s="7704" t="s">
        <v>17874</v>
      </c>
      <c r="F109" s="1060">
        <v>3000</v>
      </c>
      <c r="G109" s="7600">
        <f>F109/F136*1000</f>
        <v>286.04118993135012</v>
      </c>
      <c r="H109" s="7604">
        <f>F109/F136</f>
        <v>0.28604118993135014</v>
      </c>
      <c r="I109" s="1061">
        <f>H109*I103</f>
        <v>143.02059496567506</v>
      </c>
      <c r="J109" s="1104">
        <v>0</v>
      </c>
      <c r="K109" s="1033">
        <f t="shared" si="11"/>
        <v>0</v>
      </c>
      <c r="L109" s="311" t="s">
        <v>2</v>
      </c>
      <c r="M109" s="2884" t="str">
        <f t="shared" si="9"/>
        <v>haricots</v>
      </c>
      <c r="N109" s="12"/>
      <c r="O109" s="12" t="s">
        <v>2631</v>
      </c>
      <c r="P109" s="12"/>
      <c r="Q109" s="12"/>
      <c r="R109" s="12"/>
      <c r="S109" s="2781"/>
      <c r="U109" s="2730">
        <v>1</v>
      </c>
    </row>
    <row r="110" spans="2:21" ht="18" customHeight="1">
      <c r="B110" s="2738" t="str">
        <f t="shared" si="12"/>
        <v>A</v>
      </c>
      <c r="C110" s="2733">
        <f>LARGE(C106:C109,1)+1</f>
        <v>5</v>
      </c>
      <c r="D110" s="1101" t="s">
        <v>17872</v>
      </c>
      <c r="E110" s="7704" t="s">
        <v>17875</v>
      </c>
      <c r="F110" s="1058">
        <v>600</v>
      </c>
      <c r="G110" s="7599">
        <f>F110/F136*1000</f>
        <v>57.208237986270028</v>
      </c>
      <c r="H110" s="7603">
        <f>F110/F136</f>
        <v>5.7208237986270026E-2</v>
      </c>
      <c r="I110" s="1059">
        <f>H110*I103</f>
        <v>28.604118993135014</v>
      </c>
      <c r="J110" s="1103">
        <v>0</v>
      </c>
      <c r="K110" s="1027">
        <f t="shared" si="11"/>
        <v>0</v>
      </c>
      <c r="L110" s="311" t="s">
        <v>2</v>
      </c>
      <c r="M110" s="2884" t="str">
        <f t="shared" si="9"/>
        <v>Oignons</v>
      </c>
      <c r="N110" s="12"/>
      <c r="O110" s="12" t="s">
        <v>7136</v>
      </c>
      <c r="P110" s="12"/>
      <c r="Q110" s="12"/>
      <c r="R110" s="12"/>
      <c r="S110" s="2781"/>
      <c r="U110" s="2730">
        <v>1</v>
      </c>
    </row>
    <row r="111" spans="2:21" ht="18" customHeight="1">
      <c r="B111" s="2738" t="str">
        <f t="shared" si="12"/>
        <v>A</v>
      </c>
      <c r="C111" s="2734">
        <f>LARGE(C106:C110,1)+1</f>
        <v>6</v>
      </c>
      <c r="D111" s="1100" t="s">
        <v>1259</v>
      </c>
      <c r="E111" s="7704" t="s">
        <v>10486</v>
      </c>
      <c r="F111" s="1060">
        <v>165</v>
      </c>
      <c r="G111" s="7600">
        <f>F111/F136*1000</f>
        <v>15.732265446224257</v>
      </c>
      <c r="H111" s="7604">
        <f>F111/F136</f>
        <v>1.5732265446224258E-2</v>
      </c>
      <c r="I111" s="1061">
        <f>H111*I103</f>
        <v>7.8661327231121287</v>
      </c>
      <c r="J111" s="1104">
        <v>0</v>
      </c>
      <c r="K111" s="1033">
        <f t="shared" si="11"/>
        <v>0</v>
      </c>
      <c r="L111" s="311" t="s">
        <v>2</v>
      </c>
      <c r="M111" s="2884" t="str">
        <f t="shared" si="9"/>
        <v>Carottes</v>
      </c>
      <c r="N111" s="12"/>
      <c r="O111" s="12" t="s">
        <v>7137</v>
      </c>
      <c r="P111" s="12"/>
      <c r="Q111" s="12"/>
      <c r="R111" s="12"/>
      <c r="S111" s="2781"/>
      <c r="U111" s="2730">
        <v>1</v>
      </c>
    </row>
    <row r="112" spans="2:21" ht="18" customHeight="1">
      <c r="B112" s="2738" t="str">
        <f t="shared" si="12"/>
        <v>A</v>
      </c>
      <c r="C112" s="2733">
        <f>LARGE(C106:C111,1)+1</f>
        <v>7</v>
      </c>
      <c r="D112" s="1101" t="s">
        <v>1260</v>
      </c>
      <c r="E112" s="7704" t="s">
        <v>10486</v>
      </c>
      <c r="F112" s="1058">
        <v>10</v>
      </c>
      <c r="G112" s="7599">
        <f>F112/F136*1000</f>
        <v>0.95347063310450031</v>
      </c>
      <c r="H112" s="7603">
        <f>F112/F136</f>
        <v>9.5347063310450035E-4</v>
      </c>
      <c r="I112" s="1059">
        <f>H112*I103</f>
        <v>0.47673531655225015</v>
      </c>
      <c r="J112" s="1103">
        <v>0</v>
      </c>
      <c r="K112" s="1027">
        <f t="shared" si="11"/>
        <v>0</v>
      </c>
      <c r="L112" s="311" t="s">
        <v>2</v>
      </c>
      <c r="M112" s="2884" t="str">
        <f t="shared" si="9"/>
        <v>Bouquet garni</v>
      </c>
      <c r="N112" s="12"/>
      <c r="O112" s="12" t="s">
        <v>7132</v>
      </c>
      <c r="P112" s="12"/>
      <c r="Q112" s="12"/>
      <c r="R112" s="12"/>
      <c r="S112" s="2781"/>
      <c r="U112" s="2730">
        <v>1</v>
      </c>
    </row>
    <row r="113" spans="2:21" ht="18" customHeight="1">
      <c r="B113" s="2738" t="str">
        <f t="shared" si="12"/>
        <v>A</v>
      </c>
      <c r="C113" s="2734">
        <f>LARGE(C106:C112,1)+1</f>
        <v>8</v>
      </c>
      <c r="D113" s="1100" t="s">
        <v>1261</v>
      </c>
      <c r="E113" s="7704" t="s">
        <v>10486</v>
      </c>
      <c r="F113" s="1060">
        <v>10</v>
      </c>
      <c r="G113" s="7600">
        <f>F113/F136*1000</f>
        <v>0.95347063310450031</v>
      </c>
      <c r="H113" s="7604">
        <f>F113/F136</f>
        <v>9.5347063310450035E-4</v>
      </c>
      <c r="I113" s="1061">
        <f>H113*I103</f>
        <v>0.47673531655225015</v>
      </c>
      <c r="J113" s="1104">
        <v>0</v>
      </c>
      <c r="K113" s="1033">
        <f t="shared" si="11"/>
        <v>0</v>
      </c>
      <c r="L113" s="311" t="s">
        <v>2</v>
      </c>
      <c r="M113" s="2884" t="str">
        <f t="shared" si="9"/>
        <v>Clous de girofle</v>
      </c>
      <c r="N113" s="12"/>
      <c r="O113" s="12" t="s">
        <v>7138</v>
      </c>
      <c r="P113" s="12"/>
      <c r="Q113" s="12"/>
      <c r="R113" s="12"/>
      <c r="S113" s="2781"/>
      <c r="U113" s="2730">
        <v>1</v>
      </c>
    </row>
    <row r="114" spans="2:21" ht="18" customHeight="1">
      <c r="B114" s="2738" t="str">
        <f t="shared" si="12"/>
        <v>A</v>
      </c>
      <c r="C114" s="2733">
        <f>LARGE(C106:C113,1)+1</f>
        <v>9</v>
      </c>
      <c r="D114" s="1101" t="s">
        <v>1265</v>
      </c>
      <c r="E114" s="7704" t="s">
        <v>10486</v>
      </c>
      <c r="F114" s="1058">
        <v>100</v>
      </c>
      <c r="G114" s="7599">
        <f>F114/F136*1000</f>
        <v>9.5347063310450046</v>
      </c>
      <c r="H114" s="7603">
        <f>F114/F136</f>
        <v>9.5347063310450043E-3</v>
      </c>
      <c r="I114" s="1059">
        <f>H114*I103</f>
        <v>4.7673531655225023</v>
      </c>
      <c r="J114" s="1103">
        <v>0</v>
      </c>
      <c r="K114" s="1027">
        <f t="shared" si="11"/>
        <v>0</v>
      </c>
      <c r="L114" s="311" t="s">
        <v>2</v>
      </c>
      <c r="M114" s="2884" t="str">
        <f t="shared" si="9"/>
        <v>Éléments de la garniture du cassoulet</v>
      </c>
      <c r="N114" s="12"/>
      <c r="O114" s="12" t="s">
        <v>7139</v>
      </c>
      <c r="P114" s="12"/>
      <c r="Q114" s="12"/>
      <c r="R114" s="12"/>
      <c r="S114" s="2781"/>
      <c r="U114" s="2730">
        <v>1</v>
      </c>
    </row>
    <row r="115" spans="2:21" ht="18" customHeight="1">
      <c r="B115" s="2738" t="str">
        <f t="shared" si="12"/>
        <v>A</v>
      </c>
      <c r="C115" s="2734">
        <f>LARGE(C106:C114,1)+1</f>
        <v>10</v>
      </c>
      <c r="D115" s="1100" t="s">
        <v>17873</v>
      </c>
      <c r="E115" s="7704" t="s">
        <v>10486</v>
      </c>
      <c r="F115" s="1060">
        <v>3</v>
      </c>
      <c r="G115" s="7600">
        <f>F115/F136*1000</f>
        <v>0.28604118993135014</v>
      </c>
      <c r="H115" s="7604">
        <f>F115/F136</f>
        <v>2.8604118993135012E-4</v>
      </c>
      <c r="I115" s="1061">
        <f>H115*I103</f>
        <v>0.14302059496567507</v>
      </c>
      <c r="J115" s="1104">
        <v>0</v>
      </c>
      <c r="K115" s="1033">
        <f t="shared" si="11"/>
        <v>0</v>
      </c>
      <c r="L115" s="311" t="s">
        <v>2</v>
      </c>
      <c r="M115" s="2884" t="str">
        <f t="shared" si="9"/>
        <v>Poitrine fraîche</v>
      </c>
      <c r="N115" s="12"/>
      <c r="O115" s="12" t="s">
        <v>7140</v>
      </c>
      <c r="P115" s="12"/>
      <c r="Q115" s="12"/>
      <c r="R115" s="12"/>
      <c r="S115" s="2781"/>
      <c r="U115" s="2730">
        <v>1</v>
      </c>
    </row>
    <row r="116" spans="2:21" ht="18" customHeight="1">
      <c r="B116" s="2738" t="str">
        <f t="shared" si="12"/>
        <v>►</v>
      </c>
      <c r="C116" s="2733">
        <f>LARGE(C106:C115,1)+1</f>
        <v>11</v>
      </c>
      <c r="D116" s="1101"/>
      <c r="E116" s="7704"/>
      <c r="F116" s="1058"/>
      <c r="G116" s="7599">
        <f>F116/F136*1000</f>
        <v>0</v>
      </c>
      <c r="H116" s="7603">
        <f>F116/F136</f>
        <v>0</v>
      </c>
      <c r="I116" s="1059">
        <f>H116*I103</f>
        <v>0</v>
      </c>
      <c r="J116" s="1103">
        <v>0</v>
      </c>
      <c r="K116" s="1027">
        <f t="shared" si="11"/>
        <v>0</v>
      </c>
      <c r="L116" s="311" t="s">
        <v>2</v>
      </c>
      <c r="M116" s="2884" t="str">
        <f t="shared" si="9"/>
        <v>Saucisson à l’ail</v>
      </c>
      <c r="N116" s="12"/>
      <c r="O116" s="12" t="s">
        <v>7141</v>
      </c>
      <c r="P116" s="12"/>
      <c r="Q116" s="12"/>
      <c r="R116" s="12"/>
      <c r="S116" s="2781"/>
      <c r="U116" s="2730">
        <v>1</v>
      </c>
    </row>
    <row r="117" spans="2:21" ht="18" customHeight="1">
      <c r="B117" s="2738" t="str">
        <f t="shared" si="12"/>
        <v>►</v>
      </c>
      <c r="C117" s="2734">
        <f>LARGE(C106:C116,1)+1</f>
        <v>12</v>
      </c>
      <c r="D117" s="1100"/>
      <c r="E117" s="7704"/>
      <c r="F117" s="1060"/>
      <c r="G117" s="7600">
        <f>F117/F136*1000</f>
        <v>0</v>
      </c>
      <c r="H117" s="7604">
        <f>F117/F136</f>
        <v>0</v>
      </c>
      <c r="I117" s="1061">
        <f>H117*I103</f>
        <v>0</v>
      </c>
      <c r="J117" s="1104">
        <v>0</v>
      </c>
      <c r="K117" s="1033">
        <f t="shared" si="11"/>
        <v>0</v>
      </c>
      <c r="L117" s="311" t="s">
        <v>2</v>
      </c>
      <c r="M117" s="2884" t="str">
        <f t="shared" si="9"/>
        <v>ou saucisse de Toulouse</v>
      </c>
      <c r="N117" s="12"/>
      <c r="O117" s="12" t="s">
        <v>7142</v>
      </c>
      <c r="P117" s="12"/>
      <c r="Q117" s="12"/>
      <c r="R117" s="12"/>
      <c r="S117" s="2781"/>
      <c r="U117" s="2730">
        <v>1</v>
      </c>
    </row>
    <row r="118" spans="2:21" ht="18" customHeight="1">
      <c r="B118" s="2738" t="str">
        <f t="shared" si="12"/>
        <v>►</v>
      </c>
      <c r="C118" s="2733">
        <f>LARGE(C106:C117,1)+1</f>
        <v>13</v>
      </c>
      <c r="D118" s="1101"/>
      <c r="E118" s="7704"/>
      <c r="F118" s="1058"/>
      <c r="G118" s="7599">
        <f>F118/F136*1000</f>
        <v>0</v>
      </c>
      <c r="H118" s="7603">
        <f>F118/F136</f>
        <v>0</v>
      </c>
      <c r="I118" s="1059">
        <f>H118*I103</f>
        <v>0</v>
      </c>
      <c r="J118" s="1103">
        <v>0</v>
      </c>
      <c r="K118" s="1027">
        <f t="shared" si="11"/>
        <v>0</v>
      </c>
      <c r="L118" s="311" t="s">
        <v>2</v>
      </c>
      <c r="M118" s="2884" t="str">
        <f t="shared" si="9"/>
        <v>Oignons</v>
      </c>
      <c r="N118" s="12"/>
      <c r="O118" s="12" t="s">
        <v>7128</v>
      </c>
      <c r="P118" s="12"/>
      <c r="Q118" s="12"/>
      <c r="R118" s="12"/>
      <c r="S118" s="2781"/>
      <c r="U118" s="2730">
        <v>1</v>
      </c>
    </row>
    <row r="119" spans="2:21" ht="18" customHeight="1">
      <c r="B119" s="2738" t="str">
        <f t="shared" si="12"/>
        <v>►</v>
      </c>
      <c r="C119" s="2734">
        <f>LARGE(C106:C118,1)+1</f>
        <v>14</v>
      </c>
      <c r="D119" s="1100"/>
      <c r="E119" s="7704"/>
      <c r="F119" s="1060"/>
      <c r="G119" s="7600">
        <f>F119/F136*1000</f>
        <v>0</v>
      </c>
      <c r="H119" s="7604">
        <f>F119/F136</f>
        <v>0</v>
      </c>
      <c r="I119" s="1061">
        <f>H119*I103</f>
        <v>0</v>
      </c>
      <c r="J119" s="1104">
        <v>0</v>
      </c>
      <c r="K119" s="1033">
        <f t="shared" si="11"/>
        <v>0</v>
      </c>
      <c r="L119" s="311" t="s">
        <v>2</v>
      </c>
      <c r="M119" s="2884" t="str">
        <f t="shared" si="9"/>
        <v>Dés de tomates surgelés</v>
      </c>
      <c r="N119" s="12"/>
      <c r="O119" s="12" t="s">
        <v>7143</v>
      </c>
      <c r="P119" s="12"/>
      <c r="Q119" s="12"/>
      <c r="R119" s="12"/>
      <c r="S119" s="2781"/>
      <c r="U119" s="2730">
        <v>1</v>
      </c>
    </row>
    <row r="120" spans="2:21" ht="18" customHeight="1">
      <c r="B120" s="2738" t="str">
        <f t="shared" si="12"/>
        <v>►</v>
      </c>
      <c r="C120" s="2733">
        <f>LARGE(C106:C119,1)+1</f>
        <v>15</v>
      </c>
      <c r="D120" s="1101"/>
      <c r="E120" s="7704"/>
      <c r="F120" s="1058"/>
      <c r="G120" s="7599">
        <f>F120/F136*1000</f>
        <v>0</v>
      </c>
      <c r="H120" s="7603">
        <f>F120/F136</f>
        <v>0</v>
      </c>
      <c r="I120" s="1059">
        <f>H120*I103</f>
        <v>0</v>
      </c>
      <c r="J120" s="1103">
        <v>0</v>
      </c>
      <c r="K120" s="1027">
        <f t="shared" si="11"/>
        <v>0</v>
      </c>
      <c r="L120" s="311" t="s">
        <v>2</v>
      </c>
      <c r="M120" s="2884" t="str">
        <f t="shared" si="9"/>
        <v>Tomate concentrée</v>
      </c>
      <c r="N120" s="12"/>
      <c r="O120" s="12" t="s">
        <v>7144</v>
      </c>
      <c r="P120" s="12"/>
      <c r="Q120" s="12"/>
      <c r="R120" s="12"/>
      <c r="S120" s="2781"/>
      <c r="U120" s="2730">
        <v>1</v>
      </c>
    </row>
    <row r="121" spans="2:21" ht="18" customHeight="1">
      <c r="B121" s="2738" t="str">
        <f t="shared" si="12"/>
        <v>►</v>
      </c>
      <c r="C121" s="2734">
        <f>LARGE(C106:C120,1)+1</f>
        <v>16</v>
      </c>
      <c r="D121" s="1100"/>
      <c r="E121" s="7704"/>
      <c r="F121" s="1060"/>
      <c r="G121" s="7600">
        <f>F121/F136*1000</f>
        <v>0</v>
      </c>
      <c r="H121" s="7604">
        <f>F121/F136</f>
        <v>0</v>
      </c>
      <c r="I121" s="1061">
        <f>H121*I103</f>
        <v>0</v>
      </c>
      <c r="J121" s="1104">
        <v>0</v>
      </c>
      <c r="K121" s="1033">
        <f t="shared" si="11"/>
        <v>0</v>
      </c>
      <c r="L121" s="311" t="s">
        <v>2</v>
      </c>
      <c r="M121" s="2884" t="str">
        <f t="shared" si="9"/>
        <v>Ail haché surgelé</v>
      </c>
      <c r="N121" s="12"/>
      <c r="O121" s="12" t="s">
        <v>7145</v>
      </c>
      <c r="P121" s="12"/>
      <c r="Q121" s="12"/>
      <c r="R121" s="12"/>
      <c r="S121" s="2781"/>
      <c r="U121" s="2730">
        <v>1</v>
      </c>
    </row>
    <row r="122" spans="2:21" ht="18" customHeight="1">
      <c r="B122" s="2738" t="str">
        <f t="shared" si="12"/>
        <v>►</v>
      </c>
      <c r="C122" s="2733">
        <f>LARGE(C106:C121,1)+1</f>
        <v>17</v>
      </c>
      <c r="D122" s="1101"/>
      <c r="E122" s="7704"/>
      <c r="F122" s="1058"/>
      <c r="G122" s="7599">
        <f>F122/F136*1000</f>
        <v>0</v>
      </c>
      <c r="H122" s="7603">
        <f>F122/F136</f>
        <v>0</v>
      </c>
      <c r="I122" s="1059">
        <f>H122*I103</f>
        <v>0</v>
      </c>
      <c r="J122" s="1103">
        <v>0</v>
      </c>
      <c r="K122" s="1027">
        <f t="shared" si="11"/>
        <v>0</v>
      </c>
      <c r="L122" s="311" t="s">
        <v>2</v>
      </c>
      <c r="M122" s="2884" t="str">
        <f t="shared" si="9"/>
        <v>Herbes de Provence</v>
      </c>
      <c r="N122" s="12"/>
      <c r="O122" s="12" t="s">
        <v>7146</v>
      </c>
      <c r="P122" s="12"/>
      <c r="Q122" s="12"/>
      <c r="R122" s="12"/>
      <c r="S122" s="2781"/>
      <c r="U122" s="2730">
        <v>1</v>
      </c>
    </row>
    <row r="123" spans="2:21" ht="18" customHeight="1">
      <c r="B123" s="2738" t="str">
        <f t="shared" si="12"/>
        <v>►</v>
      </c>
      <c r="C123" s="2734">
        <f>LARGE(C106:C122,1)+1</f>
        <v>18</v>
      </c>
      <c r="D123" s="1100"/>
      <c r="E123" s="7704"/>
      <c r="F123" s="1060"/>
      <c r="G123" s="7600">
        <f>F123/F136*1000</f>
        <v>0</v>
      </c>
      <c r="H123" s="7604">
        <f>F123/F136</f>
        <v>0</v>
      </c>
      <c r="I123" s="1061">
        <f>H123*I103</f>
        <v>0</v>
      </c>
      <c r="J123" s="1104">
        <v>0</v>
      </c>
      <c r="K123" s="1033">
        <f t="shared" si="11"/>
        <v>0</v>
      </c>
      <c r="L123" s="311" t="s">
        <v>2</v>
      </c>
      <c r="M123" s="2884" t="str">
        <f t="shared" si="9"/>
        <v>Sel</v>
      </c>
      <c r="N123" s="12"/>
      <c r="O123" s="12" t="s">
        <v>7147</v>
      </c>
      <c r="P123" s="12"/>
      <c r="Q123" s="12"/>
      <c r="R123" s="12"/>
      <c r="S123" s="2781"/>
      <c r="U123" s="2730">
        <v>1</v>
      </c>
    </row>
    <row r="124" spans="2:21" ht="18" customHeight="1">
      <c r="B124" s="2738" t="str">
        <f t="shared" si="12"/>
        <v>►</v>
      </c>
      <c r="C124" s="2733">
        <f>LARGE(C106:C123,1)+1</f>
        <v>19</v>
      </c>
      <c r="D124" s="1101"/>
      <c r="E124" s="7704"/>
      <c r="F124" s="1058"/>
      <c r="G124" s="7599">
        <f>F124/F136*1000</f>
        <v>0</v>
      </c>
      <c r="H124" s="7603">
        <f>F124/F136</f>
        <v>0</v>
      </c>
      <c r="I124" s="1059">
        <f>H124*I103</f>
        <v>0</v>
      </c>
      <c r="J124" s="1103">
        <v>0</v>
      </c>
      <c r="K124" s="1027">
        <f t="shared" si="11"/>
        <v>0</v>
      </c>
      <c r="L124" s="311" t="s">
        <v>2</v>
      </c>
      <c r="M124" s="2884" t="str">
        <f t="shared" si="9"/>
        <v>Poivre</v>
      </c>
      <c r="N124" s="12"/>
      <c r="O124" s="12" t="s">
        <v>7148</v>
      </c>
      <c r="P124" s="12"/>
      <c r="Q124" s="12"/>
      <c r="R124" s="12"/>
      <c r="S124" s="2781"/>
      <c r="U124" s="2730">
        <v>1</v>
      </c>
    </row>
    <row r="125" spans="2:21" ht="18" customHeight="1">
      <c r="B125" s="2738" t="str">
        <f t="shared" si="12"/>
        <v>►</v>
      </c>
      <c r="C125" s="2734">
        <f>LARGE(C106:C124,1)+1</f>
        <v>20</v>
      </c>
      <c r="D125" s="1100"/>
      <c r="E125" s="7704"/>
      <c r="F125" s="1060"/>
      <c r="G125" s="7600">
        <f>F125/F136*1000</f>
        <v>0</v>
      </c>
      <c r="H125" s="7604">
        <f>F125/F136</f>
        <v>0</v>
      </c>
      <c r="I125" s="1061">
        <f>H125*I103</f>
        <v>0</v>
      </c>
      <c r="J125" s="1104">
        <v>0</v>
      </c>
      <c r="K125" s="1033">
        <f t="shared" si="11"/>
        <v>0</v>
      </c>
      <c r="L125" s="311" t="s">
        <v>2</v>
      </c>
      <c r="M125" s="2884" t="str">
        <f t="shared" si="9"/>
        <v>Chapelure</v>
      </c>
      <c r="N125" s="12"/>
      <c r="O125" s="12" t="s">
        <v>7149</v>
      </c>
      <c r="P125" s="12"/>
      <c r="Q125" s="12"/>
      <c r="R125" s="12"/>
      <c r="S125" s="2781"/>
      <c r="U125" s="2730">
        <v>1</v>
      </c>
    </row>
    <row r="126" spans="2:21" ht="18" customHeight="1">
      <c r="B126" s="2738" t="str">
        <f t="shared" si="12"/>
        <v>►</v>
      </c>
      <c r="C126" s="2733">
        <f>LARGE(C106:C125,1)+1</f>
        <v>21</v>
      </c>
      <c r="D126" s="1101"/>
      <c r="E126" s="7704"/>
      <c r="F126" s="1058"/>
      <c r="G126" s="7599">
        <f>F126/F136*1000</f>
        <v>0</v>
      </c>
      <c r="H126" s="7603">
        <f>F126/F136</f>
        <v>0</v>
      </c>
      <c r="I126" s="1059">
        <f>H126*I103</f>
        <v>0</v>
      </c>
      <c r="J126" s="1103">
        <v>0</v>
      </c>
      <c r="K126" s="1027">
        <f t="shared" si="11"/>
        <v>0</v>
      </c>
      <c r="L126" s="311" t="s">
        <v>2</v>
      </c>
      <c r="M126" s="2884"/>
      <c r="N126" s="12"/>
      <c r="O126" s="12"/>
      <c r="P126" s="12"/>
      <c r="Q126" s="12"/>
      <c r="R126" s="12"/>
      <c r="S126" s="2781"/>
      <c r="U126" s="2730">
        <v>1</v>
      </c>
    </row>
    <row r="127" spans="2:21" ht="18" customHeight="1">
      <c r="B127" s="2738" t="str">
        <f t="shared" si="12"/>
        <v>►</v>
      </c>
      <c r="C127" s="2734">
        <f>LARGE(C106:C126,1)+1</f>
        <v>22</v>
      </c>
      <c r="D127" s="1100"/>
      <c r="E127" s="7704"/>
      <c r="F127" s="1060"/>
      <c r="G127" s="7600">
        <f>F127/F136*1000</f>
        <v>0</v>
      </c>
      <c r="H127" s="7604">
        <f>F127/F136</f>
        <v>0</v>
      </c>
      <c r="I127" s="1061">
        <f>H127*I103</f>
        <v>0</v>
      </c>
      <c r="J127" s="1104">
        <v>0</v>
      </c>
      <c r="K127" s="1033">
        <f t="shared" si="11"/>
        <v>0</v>
      </c>
      <c r="L127" s="311" t="s">
        <v>2</v>
      </c>
      <c r="M127" s="2882" t="s">
        <v>7150</v>
      </c>
      <c r="N127" s="12"/>
      <c r="O127" s="12"/>
      <c r="P127" s="12"/>
      <c r="Q127" s="12"/>
      <c r="R127" s="12"/>
      <c r="S127" s="2781"/>
      <c r="U127" s="2730">
        <v>1</v>
      </c>
    </row>
    <row r="128" spans="2:21" ht="18" customHeight="1">
      <c r="B128" s="2738" t="str">
        <f t="shared" si="12"/>
        <v>►</v>
      </c>
      <c r="C128" s="2733">
        <f>LARGE(C106:C127,1)+1</f>
        <v>23</v>
      </c>
      <c r="D128" s="1101"/>
      <c r="E128" s="7704"/>
      <c r="F128" s="1058"/>
      <c r="G128" s="7599">
        <f>F128/F136*1000</f>
        <v>0</v>
      </c>
      <c r="H128" s="7603">
        <f>F128/F136</f>
        <v>0</v>
      </c>
      <c r="I128" s="1059">
        <f>H128*I103</f>
        <v>0</v>
      </c>
      <c r="J128" s="1103">
        <v>0</v>
      </c>
      <c r="K128" s="1027">
        <f t="shared" si="11"/>
        <v>0</v>
      </c>
      <c r="L128" s="311" t="s">
        <v>2</v>
      </c>
      <c r="M128" s="2884" t="s">
        <v>7151</v>
      </c>
      <c r="N128" s="12"/>
      <c r="O128" s="12"/>
      <c r="P128" s="12"/>
      <c r="Q128" s="12"/>
      <c r="R128" s="12"/>
      <c r="S128" s="2781"/>
      <c r="U128" s="2730">
        <v>1</v>
      </c>
    </row>
    <row r="129" spans="2:21" ht="18" customHeight="1">
      <c r="B129" s="2738" t="str">
        <f t="shared" si="12"/>
        <v>►</v>
      </c>
      <c r="C129" s="2734">
        <f>LARGE(C106:C128,1)+1</f>
        <v>24</v>
      </c>
      <c r="D129" s="1100"/>
      <c r="E129" s="7704"/>
      <c r="F129" s="1060"/>
      <c r="G129" s="7600">
        <f>F129/F136*1000</f>
        <v>0</v>
      </c>
      <c r="H129" s="7604">
        <f>F129/F136</f>
        <v>0</v>
      </c>
      <c r="I129" s="1061">
        <f>H129*I103</f>
        <v>0</v>
      </c>
      <c r="J129" s="1104">
        <v>0</v>
      </c>
      <c r="K129" s="1033">
        <f t="shared" si="11"/>
        <v>0</v>
      </c>
      <c r="L129" s="311" t="s">
        <v>2</v>
      </c>
      <c r="M129" s="2884" t="e" cm="1">
        <f t="array" ref="M129">- La veille : faire tremper les haricots.</f>
        <v>#NAME?</v>
      </c>
      <c r="N129" s="12"/>
      <c r="O129" s="12" t="str">
        <f ca="1">_xlfn.FORMULATEXT(M129)</f>
        <v>=- La veille : faire tremper les haricots.</v>
      </c>
      <c r="P129" s="12"/>
      <c r="Q129" s="12"/>
      <c r="R129" s="12"/>
      <c r="S129" s="2781"/>
      <c r="U129" s="2730">
        <v>1</v>
      </c>
    </row>
    <row r="130" spans="2:21" ht="18" customHeight="1">
      <c r="B130" s="2738" t="str">
        <f t="shared" si="12"/>
        <v>►</v>
      </c>
      <c r="C130" s="2733">
        <f>LARGE(C106:C129,1)+1</f>
        <v>25</v>
      </c>
      <c r="D130" s="1101"/>
      <c r="E130" s="7704"/>
      <c r="F130" s="1058"/>
      <c r="G130" s="7599">
        <f>F130/F136*1000</f>
        <v>0</v>
      </c>
      <c r="H130" s="7603">
        <f>F130/F136</f>
        <v>0</v>
      </c>
      <c r="I130" s="1059">
        <f>H130*I103</f>
        <v>0</v>
      </c>
      <c r="J130" s="1103">
        <v>0</v>
      </c>
      <c r="K130" s="1027">
        <f t="shared" si="11"/>
        <v>0</v>
      </c>
      <c r="L130" s="311" t="s">
        <v>2</v>
      </c>
      <c r="M130" s="2884" t="s">
        <v>7152</v>
      </c>
      <c r="N130" s="12"/>
      <c r="O130" s="12"/>
      <c r="P130" s="12"/>
      <c r="Q130" s="12"/>
      <c r="R130" s="12"/>
      <c r="S130" s="2781"/>
      <c r="U130" s="2730">
        <v>1</v>
      </c>
    </row>
    <row r="131" spans="2:21" ht="18" customHeight="1">
      <c r="B131" s="2738" t="str">
        <f t="shared" si="12"/>
        <v>►</v>
      </c>
      <c r="C131" s="2734">
        <f>LARGE(C106:C130,1)+1</f>
        <v>26</v>
      </c>
      <c r="D131" s="1100"/>
      <c r="E131" s="7704"/>
      <c r="F131" s="1060"/>
      <c r="G131" s="7600">
        <f>F131/F136*1000</f>
        <v>0</v>
      </c>
      <c r="H131" s="7604">
        <f>F131/F136</f>
        <v>0</v>
      </c>
      <c r="I131" s="1061">
        <f>H131*I103</f>
        <v>0</v>
      </c>
      <c r="J131" s="1104">
        <v>0</v>
      </c>
      <c r="K131" s="1033">
        <f t="shared" si="11"/>
        <v>0</v>
      </c>
      <c r="L131" s="311" t="s">
        <v>2</v>
      </c>
      <c r="M131" s="2810"/>
      <c r="N131" s="2806"/>
      <c r="O131" s="2806"/>
      <c r="P131" s="2806"/>
      <c r="Q131" s="2806"/>
      <c r="R131" s="2806"/>
      <c r="S131" s="2808"/>
      <c r="U131" s="2730">
        <v>1</v>
      </c>
    </row>
    <row r="132" spans="2:21" ht="18" customHeight="1">
      <c r="B132" s="2738" t="str">
        <f t="shared" si="12"/>
        <v>►</v>
      </c>
      <c r="C132" s="2733">
        <f>LARGE(C106:C131,1)+1</f>
        <v>27</v>
      </c>
      <c r="D132" s="1101"/>
      <c r="E132" s="7704"/>
      <c r="F132" s="1058"/>
      <c r="G132" s="7599">
        <f>F132/F136*1000</f>
        <v>0</v>
      </c>
      <c r="H132" s="7603">
        <f>F132/F136</f>
        <v>0</v>
      </c>
      <c r="I132" s="1059">
        <f>H132*I103</f>
        <v>0</v>
      </c>
      <c r="J132" s="1103">
        <v>0</v>
      </c>
      <c r="K132" s="1027">
        <f t="shared" si="11"/>
        <v>0</v>
      </c>
      <c r="L132" s="311" t="s">
        <v>2</v>
      </c>
      <c r="M132" s="2792"/>
      <c r="N132" s="2793"/>
      <c r="O132" s="2794"/>
      <c r="P132" s="2793"/>
      <c r="Q132" s="2793"/>
      <c r="R132" s="2793"/>
      <c r="S132" s="2795"/>
      <c r="U132" s="2730">
        <v>1</v>
      </c>
    </row>
    <row r="133" spans="2:21" ht="18" customHeight="1">
      <c r="B133" s="2738" t="str">
        <f t="shared" si="12"/>
        <v>►</v>
      </c>
      <c r="C133" s="2734">
        <f>LARGE(C106:C132,1)+1</f>
        <v>28</v>
      </c>
      <c r="D133" s="1100"/>
      <c r="E133" s="7704"/>
      <c r="F133" s="1060"/>
      <c r="G133" s="7600">
        <f>F133/F136*1000</f>
        <v>0</v>
      </c>
      <c r="H133" s="7604">
        <f>F133/F136</f>
        <v>0</v>
      </c>
      <c r="I133" s="1061">
        <f>H133*I103</f>
        <v>0</v>
      </c>
      <c r="J133" s="1104">
        <v>0</v>
      </c>
      <c r="K133" s="1033">
        <f t="shared" si="11"/>
        <v>0</v>
      </c>
      <c r="L133" s="311" t="s">
        <v>2</v>
      </c>
      <c r="M133" s="294"/>
      <c r="N133" s="2886" t="s">
        <v>7153</v>
      </c>
      <c r="O133" s="2885"/>
      <c r="P133" s="1"/>
      <c r="Q133" s="1"/>
      <c r="R133" s="1"/>
      <c r="S133" s="2241"/>
      <c r="U133" s="2730">
        <v>1</v>
      </c>
    </row>
    <row r="134" spans="2:21" ht="18" customHeight="1">
      <c r="B134" s="2738" t="str">
        <f t="shared" si="12"/>
        <v>►</v>
      </c>
      <c r="C134" s="2733">
        <f>LARGE(C106:C133,1)+1</f>
        <v>29</v>
      </c>
      <c r="D134" s="1101"/>
      <c r="E134" s="7704"/>
      <c r="F134" s="1058"/>
      <c r="G134" s="7599">
        <f>F134/F136*1000</f>
        <v>0</v>
      </c>
      <c r="H134" s="7603">
        <f>F134/F136</f>
        <v>0</v>
      </c>
      <c r="I134" s="1059">
        <f>H134*I103</f>
        <v>0</v>
      </c>
      <c r="J134" s="1103">
        <v>0</v>
      </c>
      <c r="K134" s="1027">
        <f t="shared" si="11"/>
        <v>0</v>
      </c>
      <c r="L134" s="311" t="s">
        <v>2</v>
      </c>
      <c r="M134" s="294"/>
      <c r="N134" s="2887" t="s">
        <v>7154</v>
      </c>
      <c r="O134" s="2885"/>
      <c r="P134" s="1"/>
      <c r="Q134" s="1"/>
      <c r="R134" s="1"/>
      <c r="S134" s="2241"/>
      <c r="U134" s="2730">
        <v>1</v>
      </c>
    </row>
    <row r="135" spans="2:21" ht="18" customHeight="1" thickBot="1">
      <c r="B135" s="2928" t="s">
        <v>337</v>
      </c>
      <c r="C135" s="2734">
        <f>LARGE(C106:C134,1)+1</f>
        <v>30</v>
      </c>
      <c r="D135" s="1100"/>
      <c r="E135" s="7704"/>
      <c r="F135" s="1060"/>
      <c r="G135" s="7600">
        <f>F135/F136*1000</f>
        <v>0</v>
      </c>
      <c r="H135" s="7604">
        <f>F135/F136</f>
        <v>0</v>
      </c>
      <c r="I135" s="1061">
        <f>H135*I103</f>
        <v>0</v>
      </c>
      <c r="J135" s="1104">
        <v>0</v>
      </c>
      <c r="K135" s="1033">
        <f t="shared" si="11"/>
        <v>0</v>
      </c>
      <c r="L135" s="311" t="s">
        <v>2</v>
      </c>
      <c r="M135" s="294"/>
      <c r="N135" s="2885"/>
      <c r="O135" s="2885"/>
      <c r="P135" s="1"/>
      <c r="Q135" s="1"/>
      <c r="R135" s="1"/>
      <c r="S135" s="2241"/>
      <c r="U135" s="2730">
        <v>1</v>
      </c>
    </row>
    <row r="136" spans="2:21" ht="18" customHeight="1" thickTop="1" thickBot="1">
      <c r="B136" s="2932" t="s">
        <v>337</v>
      </c>
      <c r="C136" s="7857" t="s">
        <v>20</v>
      </c>
      <c r="D136" s="7858"/>
      <c r="E136" s="1079"/>
      <c r="F136" s="1062">
        <f>SUM(F106:F135)</f>
        <v>10488</v>
      </c>
      <c r="G136" s="7602">
        <f>SUM(G106:G135)</f>
        <v>999.99999999999989</v>
      </c>
      <c r="H136" s="7606">
        <f>SUM(H106:H135)</f>
        <v>1.0000000000000002</v>
      </c>
      <c r="I136" s="1107">
        <f>SUM(I106:I135)</f>
        <v>499.99999999999994</v>
      </c>
      <c r="J136" s="1044"/>
      <c r="K136" s="1045">
        <f>SUM(K106:K135)</f>
        <v>0.5434782608695653</v>
      </c>
      <c r="L136" s="311" t="s">
        <v>2</v>
      </c>
      <c r="M136" s="2888"/>
      <c r="N136" s="12" t="s">
        <v>2763</v>
      </c>
      <c r="O136" s="12"/>
      <c r="P136" s="12"/>
      <c r="Q136" s="1"/>
      <c r="R136" s="1"/>
      <c r="S136" s="2241"/>
      <c r="U136" s="2730">
        <v>1</v>
      </c>
    </row>
    <row r="137" spans="2:21" ht="18" customHeight="1" thickBot="1">
      <c r="B137" s="34"/>
      <c r="C137" s="34"/>
      <c r="D137" s="34"/>
      <c r="E137" s="34"/>
      <c r="F137" s="34"/>
      <c r="G137" s="34"/>
      <c r="H137" s="34"/>
      <c r="I137" s="34"/>
      <c r="J137" s="34"/>
      <c r="K137" s="34"/>
      <c r="L137" s="311" t="s">
        <v>2</v>
      </c>
      <c r="M137" s="2888"/>
      <c r="N137" s="2889">
        <v>12</v>
      </c>
      <c r="O137" s="12" t="s">
        <v>7155</v>
      </c>
      <c r="P137" s="12"/>
      <c r="Q137" s="1"/>
      <c r="R137" s="1"/>
      <c r="S137" s="2241"/>
      <c r="U137" s="2730">
        <v>1</v>
      </c>
    </row>
    <row r="138" spans="2:21" ht="18" customHeight="1">
      <c r="B138" s="2933" t="s">
        <v>67</v>
      </c>
      <c r="C138" s="7859" t="str">
        <f>C100</f>
        <v>NOM DE VOTRE RECETTE</v>
      </c>
      <c r="D138" s="7859"/>
      <c r="E138" s="7859"/>
      <c r="F138" s="7859"/>
      <c r="G138" s="7859"/>
      <c r="H138" s="7859"/>
      <c r="I138" s="7859"/>
      <c r="J138" s="7859"/>
      <c r="K138" s="7861" t="str">
        <f>K100</f>
        <v>N°2</v>
      </c>
      <c r="L138" s="311" t="s">
        <v>2</v>
      </c>
      <c r="M138" s="2888"/>
      <c r="N138" s="2890">
        <f ca="1">CELL("largeur",N138)</f>
        <v>18</v>
      </c>
      <c r="O138" s="12" t="s">
        <v>7156</v>
      </c>
      <c r="P138" s="12"/>
      <c r="Q138" s="1"/>
      <c r="R138" s="1"/>
      <c r="S138" s="2241"/>
      <c r="U138" s="2730">
        <v>1</v>
      </c>
    </row>
    <row r="139" spans="2:21" ht="18" customHeight="1">
      <c r="B139" s="2928" t="s">
        <v>337</v>
      </c>
      <c r="C139" s="7860"/>
      <c r="D139" s="7860"/>
      <c r="E139" s="7860"/>
      <c r="F139" s="7860"/>
      <c r="G139" s="7860"/>
      <c r="H139" s="7860"/>
      <c r="I139" s="7860"/>
      <c r="J139" s="7860"/>
      <c r="K139" s="7862"/>
      <c r="L139" s="311" t="s">
        <v>2</v>
      </c>
      <c r="M139" s="2888"/>
      <c r="N139" s="12" t="s">
        <v>7157</v>
      </c>
      <c r="O139" s="12"/>
      <c r="P139" s="12"/>
      <c r="Q139" s="1"/>
      <c r="R139" s="1"/>
      <c r="S139" s="2241"/>
      <c r="U139" s="2730">
        <v>1</v>
      </c>
    </row>
    <row r="140" spans="2:21" ht="18" customHeight="1">
      <c r="B140" s="2928" t="s">
        <v>337</v>
      </c>
      <c r="C140" s="7863" t="str">
        <f>C102</f>
        <v>AUTEUR  : Michel MARIETTE</v>
      </c>
      <c r="D140" s="7863"/>
      <c r="E140" s="7863"/>
      <c r="F140" s="7863"/>
      <c r="G140" s="7863"/>
      <c r="H140" s="7863"/>
      <c r="I140" s="7863"/>
      <c r="J140" s="7863"/>
      <c r="K140" s="7864"/>
      <c r="L140" s="311" t="s">
        <v>2</v>
      </c>
      <c r="M140" s="2888"/>
      <c r="N140" s="12" t="s">
        <v>7158</v>
      </c>
      <c r="O140" s="12"/>
      <c r="P140" s="12"/>
      <c r="Q140" s="1"/>
      <c r="R140" s="1"/>
      <c r="S140" s="2241"/>
      <c r="U140" s="2730">
        <v>1</v>
      </c>
    </row>
    <row r="141" spans="2:21" ht="18" customHeight="1">
      <c r="B141" s="2928" t="s">
        <v>337</v>
      </c>
      <c r="C141" s="1088"/>
      <c r="D141" s="1088"/>
      <c r="E141" s="1088"/>
      <c r="F141" s="1088"/>
      <c r="G141" s="1088"/>
      <c r="H141" s="1088"/>
      <c r="I141" s="1088"/>
      <c r="J141" s="1088"/>
      <c r="K141" s="1089"/>
      <c r="L141" s="311" t="s">
        <v>2</v>
      </c>
      <c r="M141" s="2888"/>
      <c r="N141" s="12" t="s">
        <v>7159</v>
      </c>
      <c r="O141" s="2891"/>
      <c r="P141" s="2891"/>
      <c r="Q141" s="1"/>
      <c r="R141" s="1"/>
      <c r="S141" s="2241"/>
      <c r="U141" s="2730">
        <v>1</v>
      </c>
    </row>
    <row r="142" spans="2:21" ht="18.75">
      <c r="B142" s="2928" t="s">
        <v>337</v>
      </c>
      <c r="C142" s="2739"/>
      <c r="D142" s="1090" t="s">
        <v>1</v>
      </c>
      <c r="E142" s="1090"/>
      <c r="F142" s="11">
        <v>2</v>
      </c>
      <c r="G142" s="1091"/>
      <c r="H142" s="1091"/>
      <c r="I142" s="1090" t="s">
        <v>0</v>
      </c>
      <c r="J142" s="11">
        <v>2</v>
      </c>
      <c r="K142" s="1092"/>
      <c r="L142" s="311" t="s">
        <v>2</v>
      </c>
      <c r="M142" s="2888"/>
      <c r="N142" s="2891"/>
      <c r="O142" s="2891"/>
      <c r="P142" s="2891"/>
      <c r="Q142" s="1"/>
      <c r="R142" s="1"/>
      <c r="S142" s="2241"/>
      <c r="U142" s="2730">
        <v>1</v>
      </c>
    </row>
    <row r="143" spans="2:21" ht="18.75">
      <c r="B143" s="2928" t="s">
        <v>337</v>
      </c>
      <c r="C143" s="2736">
        <v>0</v>
      </c>
      <c r="D143" s="2737" t="s">
        <v>7038</v>
      </c>
      <c r="E143" s="2737"/>
      <c r="F143" s="2737"/>
      <c r="G143" s="1095"/>
      <c r="H143" s="1095"/>
      <c r="I143" s="1093"/>
      <c r="J143" s="1094"/>
      <c r="K143" s="2747"/>
      <c r="L143" s="311" t="s">
        <v>2</v>
      </c>
      <c r="M143" s="2884"/>
      <c r="N143" s="2892" t="s">
        <v>2370</v>
      </c>
      <c r="O143" s="2893" t="s">
        <v>7160</v>
      </c>
      <c r="P143" s="2891"/>
      <c r="Q143" s="1"/>
      <c r="R143" s="1"/>
      <c r="S143" s="2241"/>
      <c r="U143" s="2730">
        <v>1</v>
      </c>
    </row>
    <row r="144" spans="2:21" ht="18.75">
      <c r="B144" s="2928" t="s">
        <v>337</v>
      </c>
      <c r="C144" s="2736" t="str">
        <f>IF(ISBLANK(D144),"",LARGE(C143:C143,1)+1)</f>
        <v/>
      </c>
      <c r="D144" s="2748"/>
      <c r="E144" s="2748"/>
      <c r="F144" s="2748"/>
      <c r="G144" s="2749"/>
      <c r="H144" s="2749"/>
      <c r="I144" s="2749"/>
      <c r="J144" s="2749"/>
      <c r="K144" s="2750"/>
      <c r="L144" s="311" t="s">
        <v>2</v>
      </c>
      <c r="M144" s="2884"/>
      <c r="N144" s="2894" t="s">
        <v>7161</v>
      </c>
      <c r="O144" s="1"/>
      <c r="P144" s="2891"/>
      <c r="Q144" s="1"/>
      <c r="R144" s="1"/>
      <c r="S144" s="2241"/>
      <c r="U144" s="2730">
        <v>1</v>
      </c>
    </row>
    <row r="145" spans="2:21" ht="18.75">
      <c r="B145" s="2751" t="str">
        <f>IF(COUNTA(D145:K145)&gt;0, "A", "►")</f>
        <v>►</v>
      </c>
      <c r="C145" s="2736" t="str">
        <f>IF(ISBLANK(D145),"",LARGE(C143:C144,1)+1)</f>
        <v/>
      </c>
      <c r="D145" s="2748"/>
      <c r="E145" s="2748"/>
      <c r="F145" s="2748"/>
      <c r="G145" s="491"/>
      <c r="H145" s="491"/>
      <c r="I145" s="491"/>
      <c r="J145" s="491"/>
      <c r="K145" s="2752"/>
      <c r="L145" s="311" t="s">
        <v>2</v>
      </c>
      <c r="M145" s="2884"/>
      <c r="N145" s="2895" t="s">
        <v>7162</v>
      </c>
      <c r="O145" s="1"/>
      <c r="P145" s="2891"/>
      <c r="Q145" s="1"/>
      <c r="R145" s="1"/>
      <c r="S145" s="2241"/>
      <c r="U145" s="2730">
        <v>1</v>
      </c>
    </row>
    <row r="146" spans="2:21" ht="18.75">
      <c r="B146" s="2751" t="str">
        <f t="shared" ref="B146:B176" si="13">IF(COUNTA(D146:K146)&gt;0, "A", "►")</f>
        <v>►</v>
      </c>
      <c r="C146" s="2736" t="str">
        <f>IF(ISBLANK(D146),"",LARGE(C143:C145,1)+1)</f>
        <v/>
      </c>
      <c r="D146" s="2748"/>
      <c r="E146" s="2748"/>
      <c r="F146" s="2748"/>
      <c r="G146" s="491"/>
      <c r="H146" s="491"/>
      <c r="I146" s="491"/>
      <c r="J146" s="491"/>
      <c r="K146" s="2752"/>
      <c r="L146" s="311" t="s">
        <v>2</v>
      </c>
      <c r="M146" s="2884"/>
      <c r="N146" s="2896"/>
      <c r="O146" s="2891"/>
      <c r="P146" s="2891"/>
      <c r="Q146" s="1"/>
      <c r="R146" s="1"/>
      <c r="S146" s="2241"/>
      <c r="U146" s="2730">
        <v>1</v>
      </c>
    </row>
    <row r="147" spans="2:21" ht="18.75">
      <c r="B147" s="2751" t="str">
        <f t="shared" si="13"/>
        <v>►</v>
      </c>
      <c r="C147" s="2736" t="str">
        <f>IF(ISBLANK(D147),"",LARGE(C143:C146,1)+1)</f>
        <v/>
      </c>
      <c r="D147" s="2748"/>
      <c r="E147" s="2748"/>
      <c r="F147" s="2748"/>
      <c r="G147" s="491"/>
      <c r="H147" s="491"/>
      <c r="I147" s="491"/>
      <c r="J147" s="491"/>
      <c r="K147" s="2752"/>
      <c r="L147" s="311" t="s">
        <v>2</v>
      </c>
      <c r="M147" s="2884"/>
      <c r="N147" s="2894" t="s">
        <v>7163</v>
      </c>
      <c r="O147" s="2891"/>
      <c r="P147" s="1"/>
      <c r="Q147" s="1"/>
      <c r="R147" s="1"/>
      <c r="S147" s="2241"/>
      <c r="U147" s="2730">
        <v>1</v>
      </c>
    </row>
    <row r="148" spans="2:21" ht="18.75">
      <c r="B148" s="2751" t="str">
        <f t="shared" si="13"/>
        <v>►</v>
      </c>
      <c r="C148" s="2736" t="str">
        <f>IF(ISBLANK(D148),"",LARGE(C143:C147,1)+1)</f>
        <v/>
      </c>
      <c r="D148" s="2748"/>
      <c r="E148" s="2748"/>
      <c r="F148" s="2748"/>
      <c r="G148" s="491"/>
      <c r="H148" s="491"/>
      <c r="I148" s="491"/>
      <c r="J148" s="491"/>
      <c r="K148" s="2752"/>
      <c r="L148" s="311" t="s">
        <v>2</v>
      </c>
      <c r="M148" s="2884"/>
      <c r="N148" s="2894"/>
      <c r="O148" s="2891"/>
      <c r="P148" s="1"/>
      <c r="Q148" s="1"/>
      <c r="R148" s="1"/>
      <c r="S148" s="2241"/>
      <c r="U148" s="2730">
        <v>1</v>
      </c>
    </row>
    <row r="149" spans="2:21" ht="18.75">
      <c r="B149" s="2751" t="str">
        <f t="shared" si="13"/>
        <v>►</v>
      </c>
      <c r="C149" s="2736" t="str">
        <f>IF(ISBLANK(D149),"",LARGE(C143:C148,1)+1)</f>
        <v/>
      </c>
      <c r="D149" s="491"/>
      <c r="E149" s="491"/>
      <c r="F149" s="491"/>
      <c r="G149" s="491"/>
      <c r="H149" s="491"/>
      <c r="I149" s="491"/>
      <c r="J149" s="491"/>
      <c r="K149" s="2752"/>
      <c r="L149" s="311" t="s">
        <v>2</v>
      </c>
      <c r="M149" s="2884"/>
      <c r="N149" s="2894" t="s">
        <v>7164</v>
      </c>
      <c r="O149" s="2891"/>
      <c r="P149" s="1"/>
      <c r="Q149" s="1"/>
      <c r="R149" s="1"/>
      <c r="S149" s="2241"/>
      <c r="U149" s="2730">
        <v>1</v>
      </c>
    </row>
    <row r="150" spans="2:21" ht="18.75">
      <c r="B150" s="2751" t="str">
        <f t="shared" si="13"/>
        <v>►</v>
      </c>
      <c r="C150" s="2736" t="str">
        <f>IF(ISBLANK(D150),"",LARGE(C143:C149,1)+1)</f>
        <v/>
      </c>
      <c r="D150" s="491"/>
      <c r="E150" s="491"/>
      <c r="F150" s="491"/>
      <c r="G150" s="491"/>
      <c r="H150" s="491"/>
      <c r="I150" s="491"/>
      <c r="J150" s="491"/>
      <c r="K150" s="2752"/>
      <c r="L150" s="311" t="s">
        <v>2</v>
      </c>
      <c r="M150" s="2884"/>
      <c r="N150" s="2894" t="s">
        <v>7165</v>
      </c>
      <c r="O150" s="2891"/>
      <c r="P150" s="1"/>
      <c r="Q150" s="1"/>
      <c r="R150" s="1"/>
      <c r="S150" s="2241"/>
      <c r="U150" s="2730">
        <v>1</v>
      </c>
    </row>
    <row r="151" spans="2:21" ht="18.75">
      <c r="B151" s="2751" t="str">
        <f t="shared" si="13"/>
        <v>►</v>
      </c>
      <c r="C151" s="2736" t="str">
        <f>IF(ISBLANK(D151),"",LARGE(C143:C150,1)+1)</f>
        <v/>
      </c>
      <c r="D151" s="491"/>
      <c r="E151" s="491"/>
      <c r="F151" s="491"/>
      <c r="G151" s="491"/>
      <c r="H151" s="491"/>
      <c r="I151" s="491"/>
      <c r="J151" s="491"/>
      <c r="K151" s="2752"/>
      <c r="L151" s="311" t="s">
        <v>2</v>
      </c>
      <c r="M151" s="2884"/>
      <c r="N151" s="2897" t="s">
        <v>337</v>
      </c>
      <c r="O151" s="2898" t="s">
        <v>2370</v>
      </c>
      <c r="P151" s="1"/>
      <c r="Q151" s="1"/>
      <c r="R151" s="1"/>
      <c r="S151" s="2241"/>
      <c r="U151" s="2730">
        <v>1</v>
      </c>
    </row>
    <row r="152" spans="2:21" ht="18.75">
      <c r="B152" s="2751" t="str">
        <f t="shared" si="13"/>
        <v>►</v>
      </c>
      <c r="C152" s="2736" t="str">
        <f>IF(ISBLANK(D152),"",LARGE(C143:C151,1)+1)</f>
        <v/>
      </c>
      <c r="D152" s="491"/>
      <c r="E152" s="491"/>
      <c r="F152" s="491"/>
      <c r="G152" s="491"/>
      <c r="H152" s="491"/>
      <c r="I152" s="491"/>
      <c r="J152" s="491"/>
      <c r="K152" s="2752"/>
      <c r="L152" s="311" t="s">
        <v>2</v>
      </c>
      <c r="M152" s="2884"/>
      <c r="N152" s="12"/>
      <c r="O152" s="12"/>
      <c r="P152" s="1"/>
      <c r="Q152" s="1"/>
      <c r="R152" s="1"/>
      <c r="S152" s="2241"/>
      <c r="U152" s="2730">
        <v>1</v>
      </c>
    </row>
    <row r="153" spans="2:21" ht="18.75">
      <c r="B153" s="2751" t="str">
        <f t="shared" si="13"/>
        <v>►</v>
      </c>
      <c r="C153" s="2736" t="str">
        <f>IF(ISBLANK(D153),"",LARGE(C143:C152,1)+1)</f>
        <v/>
      </c>
      <c r="D153" s="491"/>
      <c r="E153" s="491"/>
      <c r="F153" s="491"/>
      <c r="G153" s="491"/>
      <c r="H153" s="491"/>
      <c r="I153" s="491"/>
      <c r="J153" s="491"/>
      <c r="K153" s="2752"/>
      <c r="L153" s="311" t="s">
        <v>2</v>
      </c>
      <c r="M153" s="2899"/>
      <c r="N153" s="2829" t="s">
        <v>7166</v>
      </c>
      <c r="O153" s="2829"/>
      <c r="P153" s="2829"/>
      <c r="Q153" s="1"/>
      <c r="R153" s="1"/>
      <c r="S153" s="2241"/>
      <c r="U153" s="2730">
        <v>1</v>
      </c>
    </row>
    <row r="154" spans="2:21" ht="18.75">
      <c r="B154" s="2751" t="str">
        <f t="shared" si="13"/>
        <v>►</v>
      </c>
      <c r="C154" s="2736" t="str">
        <f>IF(ISBLANK(D154),"",LARGE(C143:C153,1)+1)</f>
        <v/>
      </c>
      <c r="D154" s="491"/>
      <c r="E154" s="491"/>
      <c r="F154" s="491"/>
      <c r="G154" s="491"/>
      <c r="H154" s="491"/>
      <c r="I154" s="491"/>
      <c r="J154" s="491"/>
      <c r="K154" s="2752"/>
      <c r="L154" s="311" t="s">
        <v>2</v>
      </c>
      <c r="M154" s="2899"/>
      <c r="N154" s="2829" t="s">
        <v>7167</v>
      </c>
      <c r="O154" s="2829"/>
      <c r="P154" s="2829"/>
      <c r="Q154" s="1"/>
      <c r="R154" s="1"/>
      <c r="S154" s="2241"/>
      <c r="U154" s="2730">
        <v>1</v>
      </c>
    </row>
    <row r="155" spans="2:21" ht="18.75">
      <c r="B155" s="2751" t="str">
        <f t="shared" si="13"/>
        <v>►</v>
      </c>
      <c r="C155" s="2736" t="str">
        <f>IF(ISBLANK(D155),"",LARGE(C143:C154,1)+1)</f>
        <v/>
      </c>
      <c r="D155" s="491"/>
      <c r="E155" s="491"/>
      <c r="F155" s="491"/>
      <c r="G155" s="491"/>
      <c r="H155" s="491"/>
      <c r="I155" s="491"/>
      <c r="J155" s="491"/>
      <c r="K155" s="2752"/>
      <c r="L155" s="311" t="s">
        <v>2</v>
      </c>
      <c r="M155" s="2792"/>
      <c r="N155" s="2793"/>
      <c r="O155" s="2794"/>
      <c r="P155" s="2793"/>
      <c r="Q155" s="2793"/>
      <c r="R155" s="2793"/>
      <c r="S155" s="2795"/>
      <c r="U155" s="2730">
        <v>1</v>
      </c>
    </row>
    <row r="156" spans="2:21" ht="18.75">
      <c r="B156" s="2751" t="str">
        <f t="shared" si="13"/>
        <v>►</v>
      </c>
      <c r="C156" s="2736" t="str">
        <f>IF(ISBLANK(D156),"",LARGE(C143:C155,1)+1)</f>
        <v/>
      </c>
      <c r="D156" s="491"/>
      <c r="E156" s="491"/>
      <c r="F156" s="491"/>
      <c r="G156" s="491"/>
      <c r="H156" s="491"/>
      <c r="I156" s="491"/>
      <c r="J156" s="491"/>
      <c r="K156" s="2752"/>
      <c r="L156" s="311" t="s">
        <v>2</v>
      </c>
      <c r="M156" s="2884"/>
      <c r="N156" s="2801" t="s">
        <v>7168</v>
      </c>
      <c r="O156" s="12"/>
      <c r="P156" s="12"/>
      <c r="Q156" s="12"/>
      <c r="R156" s="12"/>
      <c r="S156" s="2781"/>
      <c r="U156" s="2730">
        <v>1</v>
      </c>
    </row>
    <row r="157" spans="2:21" ht="18.75">
      <c r="B157" s="2751" t="str">
        <f t="shared" si="13"/>
        <v>►</v>
      </c>
      <c r="C157" s="2736" t="str">
        <f>IF(ISBLANK(D157),"",LARGE(C143:C156,1)+1)</f>
        <v/>
      </c>
      <c r="D157" s="491"/>
      <c r="E157" s="491"/>
      <c r="F157" s="491"/>
      <c r="G157" s="491"/>
      <c r="H157" s="491"/>
      <c r="I157" s="491"/>
      <c r="J157" s="491"/>
      <c r="K157" s="2752"/>
      <c r="L157" s="311" t="s">
        <v>2</v>
      </c>
      <c r="M157" s="2884"/>
      <c r="N157" s="12" t="s">
        <v>7169</v>
      </c>
      <c r="O157" s="12"/>
      <c r="P157" s="12"/>
      <c r="Q157" s="12"/>
      <c r="R157" s="12"/>
      <c r="S157" s="2781"/>
      <c r="U157" s="2730">
        <v>1</v>
      </c>
    </row>
    <row r="158" spans="2:21" ht="18.75">
      <c r="B158" s="2751" t="str">
        <f t="shared" si="13"/>
        <v>►</v>
      </c>
      <c r="C158" s="2736" t="str">
        <f>IF(ISBLANK(D158),"",LARGE(C143:C157,1)+1)</f>
        <v/>
      </c>
      <c r="D158" s="491"/>
      <c r="E158" s="491"/>
      <c r="F158" s="491"/>
      <c r="G158" s="491"/>
      <c r="H158" s="491"/>
      <c r="I158" s="491"/>
      <c r="J158" s="491"/>
      <c r="K158" s="2752"/>
      <c r="L158" s="311" t="s">
        <v>2</v>
      </c>
      <c r="M158" s="2884"/>
      <c r="N158" s="12" t="s">
        <v>7170</v>
      </c>
      <c r="O158" s="12"/>
      <c r="P158" s="12"/>
      <c r="Q158" s="12"/>
      <c r="R158" s="12"/>
      <c r="S158" s="2781"/>
      <c r="U158" s="2730">
        <v>1</v>
      </c>
    </row>
    <row r="159" spans="2:21" ht="18.75">
      <c r="B159" s="2751" t="str">
        <f t="shared" si="13"/>
        <v>►</v>
      </c>
      <c r="C159" s="2736" t="str">
        <f>IF(ISBLANK(D159),"",LARGE(C143:C158,1)+1)</f>
        <v/>
      </c>
      <c r="D159" s="491"/>
      <c r="E159" s="491"/>
      <c r="F159" s="491"/>
      <c r="G159" s="491"/>
      <c r="H159" s="491"/>
      <c r="I159" s="491"/>
      <c r="J159" s="491"/>
      <c r="K159" s="2752"/>
      <c r="L159" s="311" t="s">
        <v>2</v>
      </c>
      <c r="M159" s="2884"/>
      <c r="N159" s="12" t="s">
        <v>7171</v>
      </c>
      <c r="O159" s="12"/>
      <c r="P159" s="12"/>
      <c r="Q159" s="12"/>
      <c r="R159" s="12"/>
      <c r="S159" s="2781"/>
      <c r="U159" s="2730">
        <v>1</v>
      </c>
    </row>
    <row r="160" spans="2:21" ht="18.75">
      <c r="B160" s="2751" t="str">
        <f t="shared" si="13"/>
        <v>►</v>
      </c>
      <c r="C160" s="2736" t="str">
        <f>IF(ISBLANK(D160),"",LARGE(C143:C159,1)+1)</f>
        <v/>
      </c>
      <c r="D160" s="491"/>
      <c r="E160" s="491"/>
      <c r="F160" s="491"/>
      <c r="G160" s="491"/>
      <c r="H160" s="491"/>
      <c r="I160" s="491"/>
      <c r="J160" s="491"/>
      <c r="K160" s="2752"/>
      <c r="L160" s="311" t="s">
        <v>2</v>
      </c>
      <c r="M160" s="2884"/>
      <c r="N160" s="12" t="s">
        <v>7172</v>
      </c>
      <c r="O160" s="12"/>
      <c r="P160" s="12"/>
      <c r="Q160" s="12"/>
      <c r="R160" s="12"/>
      <c r="S160" s="2781"/>
      <c r="U160" s="2730">
        <v>1</v>
      </c>
    </row>
    <row r="161" spans="2:21" ht="18.75">
      <c r="B161" s="2751" t="str">
        <f t="shared" si="13"/>
        <v>►</v>
      </c>
      <c r="C161" s="2736" t="str">
        <f>IF(ISBLANK(D161),"",LARGE(C143:C160,1)+1)</f>
        <v/>
      </c>
      <c r="D161" s="491"/>
      <c r="E161" s="491"/>
      <c r="F161" s="491"/>
      <c r="G161" s="491"/>
      <c r="H161" s="491"/>
      <c r="I161" s="491"/>
      <c r="J161" s="491"/>
      <c r="K161" s="2752"/>
      <c r="L161" s="311" t="s">
        <v>2</v>
      </c>
      <c r="M161" s="2884"/>
      <c r="N161" s="12" t="s">
        <v>7173</v>
      </c>
      <c r="O161" s="12"/>
      <c r="P161" s="12"/>
      <c r="Q161" s="12"/>
      <c r="R161" s="12"/>
      <c r="S161" s="2781"/>
      <c r="U161" s="2730">
        <v>1</v>
      </c>
    </row>
    <row r="162" spans="2:21" ht="18.75">
      <c r="B162" s="2751" t="str">
        <f t="shared" si="13"/>
        <v>►</v>
      </c>
      <c r="C162" s="2736" t="str">
        <f>IF(ISBLANK(D162),"",LARGE(C143:C161,1)+1)</f>
        <v/>
      </c>
      <c r="D162" s="491"/>
      <c r="E162" s="491"/>
      <c r="F162" s="491"/>
      <c r="G162" s="491"/>
      <c r="H162" s="491"/>
      <c r="I162" s="491"/>
      <c r="J162" s="491"/>
      <c r="K162" s="2752"/>
      <c r="L162" s="311" t="s">
        <v>2</v>
      </c>
      <c r="M162" s="2884"/>
      <c r="N162" s="12" t="s">
        <v>7174</v>
      </c>
      <c r="O162" s="12"/>
      <c r="P162" s="12"/>
      <c r="Q162" s="12"/>
      <c r="R162" s="12"/>
      <c r="S162" s="2781"/>
      <c r="U162" s="2730">
        <v>1</v>
      </c>
    </row>
    <row r="163" spans="2:21" ht="18.75">
      <c r="B163" s="2751" t="str">
        <f t="shared" si="13"/>
        <v>►</v>
      </c>
      <c r="C163" s="2736" t="str">
        <f>IF(ISBLANK(D163),"",LARGE(C143:C162,1)+1)</f>
        <v/>
      </c>
      <c r="D163" s="491"/>
      <c r="E163" s="491"/>
      <c r="F163" s="491"/>
      <c r="G163" s="491"/>
      <c r="H163" s="491"/>
      <c r="I163" s="491"/>
      <c r="J163" s="491"/>
      <c r="K163" s="2752"/>
      <c r="L163" s="311" t="s">
        <v>2</v>
      </c>
      <c r="M163" s="2884"/>
      <c r="N163" s="12" t="s">
        <v>7175</v>
      </c>
      <c r="O163" s="12"/>
      <c r="P163" s="12"/>
      <c r="Q163" s="12"/>
      <c r="R163" s="12"/>
      <c r="S163" s="2781"/>
      <c r="U163" s="2730">
        <v>1</v>
      </c>
    </row>
    <row r="164" spans="2:21" ht="18.75">
      <c r="B164" s="2751" t="str">
        <f t="shared" si="13"/>
        <v>►</v>
      </c>
      <c r="C164" s="2736" t="str">
        <f>IF(ISBLANK(D164),"",LARGE(C143:C163,1)+1)</f>
        <v/>
      </c>
      <c r="D164" s="491"/>
      <c r="E164" s="491"/>
      <c r="F164" s="491"/>
      <c r="G164" s="491"/>
      <c r="H164" s="491"/>
      <c r="I164" s="491"/>
      <c r="J164" s="491"/>
      <c r="K164" s="2752"/>
      <c r="L164" s="311" t="s">
        <v>2</v>
      </c>
      <c r="M164" s="2884"/>
      <c r="N164" s="2900" t="s">
        <v>7176</v>
      </c>
      <c r="O164" s="12"/>
      <c r="P164" s="12"/>
      <c r="Q164" s="12"/>
      <c r="R164" s="12"/>
      <c r="S164" s="2781"/>
      <c r="U164" s="2730">
        <v>1</v>
      </c>
    </row>
    <row r="165" spans="2:21" ht="18.75">
      <c r="B165" s="2751" t="str">
        <f t="shared" si="13"/>
        <v>►</v>
      </c>
      <c r="C165" s="2736" t="str">
        <f>IF(ISBLANK(D165),"",LARGE(C143:C164,1)+1)</f>
        <v/>
      </c>
      <c r="D165" s="491"/>
      <c r="E165" s="491"/>
      <c r="F165" s="491"/>
      <c r="G165" s="491"/>
      <c r="H165" s="491"/>
      <c r="I165" s="491"/>
      <c r="J165" s="491"/>
      <c r="K165" s="2752"/>
      <c r="L165" s="311" t="s">
        <v>2</v>
      </c>
      <c r="M165" s="2884"/>
      <c r="N165" s="2901" t="str">
        <f>ROWS(N165:N165)&amp;" ►"</f>
        <v>1 ►</v>
      </c>
      <c r="O165" s="12" t="str">
        <f ca="1">_xlfn.FORMULATEXT(N165)</f>
        <v>=LIGNES(N165:N165)&amp;" ►"</v>
      </c>
      <c r="P165" s="12"/>
      <c r="Q165" s="12"/>
      <c r="R165" s="12"/>
      <c r="S165" s="2781"/>
      <c r="U165" s="2730">
        <v>1</v>
      </c>
    </row>
    <row r="166" spans="2:21" ht="18.75">
      <c r="B166" s="2751" t="str">
        <f t="shared" si="13"/>
        <v>►</v>
      </c>
      <c r="C166" s="2736" t="str">
        <f>IF(ISBLANK(D166),"",LARGE(C143:C165,1)+1)</f>
        <v/>
      </c>
      <c r="D166" s="491"/>
      <c r="E166" s="491"/>
      <c r="F166" s="491"/>
      <c r="G166" s="491"/>
      <c r="H166" s="491"/>
      <c r="I166" s="491"/>
      <c r="J166" s="491"/>
      <c r="K166" s="2752"/>
      <c r="L166" s="311" t="s">
        <v>2</v>
      </c>
      <c r="M166" s="2884"/>
      <c r="N166" s="2901" t="str">
        <f>ROWS(N165:N166)&amp;" ►"</f>
        <v>2 ►</v>
      </c>
      <c r="O166" s="12" t="str">
        <f ca="1">_xlfn.FORMULATEXT(N166)</f>
        <v>=LIGNES(N165:N166)&amp;" ►"</v>
      </c>
      <c r="P166" s="12"/>
      <c r="Q166" s="12"/>
      <c r="R166" s="12"/>
      <c r="S166" s="2781"/>
      <c r="U166" s="2730">
        <v>1</v>
      </c>
    </row>
    <row r="167" spans="2:21" ht="18.75">
      <c r="B167" s="2751" t="str">
        <f t="shared" si="13"/>
        <v>►</v>
      </c>
      <c r="C167" s="2736" t="str">
        <f>IF(ISBLANK(D167),"",LARGE(C143:C166,1)+1)</f>
        <v/>
      </c>
      <c r="D167" s="491"/>
      <c r="E167" s="491"/>
      <c r="F167" s="491"/>
      <c r="G167" s="491"/>
      <c r="H167" s="491"/>
      <c r="I167" s="491"/>
      <c r="J167" s="491"/>
      <c r="K167" s="2752"/>
      <c r="L167" s="311" t="s">
        <v>2</v>
      </c>
      <c r="M167" s="2884"/>
      <c r="N167" s="2901" t="str">
        <f>ROWS(N165:N167)&amp;" ►"</f>
        <v>3 ►</v>
      </c>
      <c r="O167" s="12" t="str">
        <f ca="1">_xlfn.FORMULATEXT(N167)</f>
        <v>=LIGNES(N165:N167)&amp;" ►"</v>
      </c>
      <c r="P167" s="12"/>
      <c r="Q167" s="12"/>
      <c r="R167" s="12"/>
      <c r="S167" s="2781"/>
      <c r="U167" s="2730">
        <v>1</v>
      </c>
    </row>
    <row r="168" spans="2:21" ht="18.75">
      <c r="B168" s="2751" t="str">
        <f t="shared" si="13"/>
        <v>►</v>
      </c>
      <c r="C168" s="2736" t="str">
        <f>IF(ISBLANK(D168),"",LARGE(C143:C167,1)+1)</f>
        <v/>
      </c>
      <c r="D168" s="491"/>
      <c r="E168" s="491"/>
      <c r="F168" s="491"/>
      <c r="G168" s="491"/>
      <c r="H168" s="491"/>
      <c r="I168" s="491"/>
      <c r="J168" s="491"/>
      <c r="K168" s="2752"/>
      <c r="L168" s="311" t="s">
        <v>2</v>
      </c>
      <c r="M168" s="2884"/>
      <c r="N168" s="12"/>
      <c r="O168" s="12"/>
      <c r="P168" s="12"/>
      <c r="Q168" s="12"/>
      <c r="R168" s="12"/>
      <c r="S168" s="2781"/>
      <c r="U168" s="2730">
        <v>1</v>
      </c>
    </row>
    <row r="169" spans="2:21" ht="19.5" thickBot="1">
      <c r="B169" s="2751" t="str">
        <f t="shared" si="13"/>
        <v>►</v>
      </c>
      <c r="C169" s="2736" t="str">
        <f>IF(ISBLANK(D169),"",LARGE(C143:C168,1)+1)</f>
        <v/>
      </c>
      <c r="D169" s="491"/>
      <c r="E169" s="491"/>
      <c r="F169" s="491"/>
      <c r="G169" s="491"/>
      <c r="H169" s="491"/>
      <c r="I169" s="491"/>
      <c r="J169" s="491"/>
      <c r="K169" s="2752"/>
      <c r="L169" s="311" t="s">
        <v>2</v>
      </c>
      <c r="M169" s="2792"/>
      <c r="N169" s="2793"/>
      <c r="O169" s="2794"/>
      <c r="P169" s="2793"/>
      <c r="Q169" s="2793"/>
      <c r="R169" s="2793"/>
      <c r="S169" s="2795"/>
      <c r="U169" s="2730">
        <v>1</v>
      </c>
    </row>
    <row r="170" spans="2:21" ht="18.75">
      <c r="B170" s="2751" t="str">
        <f t="shared" si="13"/>
        <v>►</v>
      </c>
      <c r="C170" s="2736" t="str">
        <f>IF(ISBLANK(D170),"",LARGE(C143:C169,1)+1)</f>
        <v/>
      </c>
      <c r="D170" s="491"/>
      <c r="E170" s="491"/>
      <c r="F170" s="491"/>
      <c r="G170" s="491"/>
      <c r="H170" s="491"/>
      <c r="I170" s="491"/>
      <c r="J170" s="491"/>
      <c r="K170" s="2752"/>
      <c r="L170" s="311" t="s">
        <v>2</v>
      </c>
      <c r="M170" s="2902"/>
      <c r="N170" s="2903"/>
      <c r="O170" s="2903"/>
      <c r="P170" s="2903"/>
      <c r="Q170" s="2903"/>
      <c r="R170" s="2903"/>
      <c r="S170" s="2904"/>
      <c r="U170" s="2730">
        <v>1</v>
      </c>
    </row>
    <row r="171" spans="2:21" ht="18.75">
      <c r="B171" s="2751" t="str">
        <f t="shared" si="13"/>
        <v>►</v>
      </c>
      <c r="C171" s="2736" t="str">
        <f>IF(ISBLANK(D171),"",LARGE(C143:C170,1)+1)</f>
        <v/>
      </c>
      <c r="D171" s="491"/>
      <c r="E171" s="491"/>
      <c r="F171" s="491"/>
      <c r="G171" s="491"/>
      <c r="H171" s="491"/>
      <c r="I171" s="491"/>
      <c r="J171" s="491"/>
      <c r="K171" s="2752"/>
      <c r="L171" s="311" t="s">
        <v>2</v>
      </c>
      <c r="M171" s="2905" t="s">
        <v>7177</v>
      </c>
      <c r="N171" s="12"/>
      <c r="O171" s="12"/>
      <c r="P171" s="12"/>
      <c r="Q171" s="12"/>
      <c r="R171" s="12"/>
      <c r="S171" s="2781"/>
      <c r="U171" s="2730">
        <v>1</v>
      </c>
    </row>
    <row r="172" spans="2:21" ht="18.75">
      <c r="B172" s="2751" t="str">
        <f t="shared" si="13"/>
        <v>►</v>
      </c>
      <c r="C172" s="2736" t="str">
        <f>IF(ISBLANK(D172),"",LARGE(C143:C171,1)+1)</f>
        <v/>
      </c>
      <c r="D172" s="491"/>
      <c r="E172" s="491"/>
      <c r="F172" s="491"/>
      <c r="G172" s="491"/>
      <c r="H172" s="491"/>
      <c r="I172" s="491"/>
      <c r="J172" s="491"/>
      <c r="K172" s="2752"/>
      <c r="L172" s="311" t="s">
        <v>2</v>
      </c>
      <c r="M172" s="2884"/>
      <c r="N172" s="12"/>
      <c r="O172" s="12"/>
      <c r="P172" s="12"/>
      <c r="Q172" s="12"/>
      <c r="R172" s="12"/>
      <c r="S172" s="2781"/>
      <c r="U172" s="2730">
        <v>1</v>
      </c>
    </row>
    <row r="173" spans="2:21" ht="18.75">
      <c r="B173" s="2751" t="str">
        <f t="shared" si="13"/>
        <v>►</v>
      </c>
      <c r="C173" s="2736" t="str">
        <f>IF(ISBLANK(D173),"",LARGE(C143:C172,1)+1)</f>
        <v/>
      </c>
      <c r="D173" s="491"/>
      <c r="E173" s="491"/>
      <c r="F173" s="491"/>
      <c r="G173" s="491"/>
      <c r="H173" s="491"/>
      <c r="I173" s="491"/>
      <c r="J173" s="491"/>
      <c r="K173" s="2752"/>
      <c r="L173" s="311" t="s">
        <v>2</v>
      </c>
      <c r="M173" s="2906" t="str">
        <f>"▼ colonne "&amp;SUBSTITUTE(ADDRESS(1,COLUMN(),4),"1","")</f>
        <v>▼ colonne M</v>
      </c>
      <c r="N173" s="12"/>
      <c r="O173" s="12"/>
      <c r="P173" s="12"/>
      <c r="Q173" s="12"/>
      <c r="R173" s="12"/>
      <c r="S173" s="2781"/>
      <c r="U173" s="2730">
        <v>1</v>
      </c>
    </row>
    <row r="174" spans="2:21" ht="18.75">
      <c r="B174" s="2751" t="str">
        <f t="shared" si="13"/>
        <v>►</v>
      </c>
      <c r="C174" s="2736" t="str">
        <f>IF(ISBLANK(D174),"",LARGE(C143:C173,1)+1)</f>
        <v/>
      </c>
      <c r="D174" s="491"/>
      <c r="E174" s="491"/>
      <c r="F174" s="491"/>
      <c r="G174" s="491"/>
      <c r="H174" s="491"/>
      <c r="I174" s="491"/>
      <c r="J174" s="491"/>
      <c r="K174" s="2752"/>
      <c r="L174" s="311" t="s">
        <v>2</v>
      </c>
      <c r="M174" s="2907" t="s">
        <v>2657</v>
      </c>
      <c r="N174" s="2908"/>
      <c r="O174" s="2908"/>
      <c r="P174" s="2908"/>
      <c r="Q174" s="2908"/>
      <c r="R174" s="2908"/>
      <c r="S174" s="2909"/>
      <c r="U174" s="2730">
        <v>1</v>
      </c>
    </row>
    <row r="175" spans="2:21" ht="18.75">
      <c r="B175" s="2751" t="str">
        <f t="shared" si="13"/>
        <v>►</v>
      </c>
      <c r="C175" s="2736" t="str">
        <f>IF(ISBLANK(D175),"",LARGE(C143:C174,1)+1)</f>
        <v/>
      </c>
      <c r="D175" s="491"/>
      <c r="E175" s="491"/>
      <c r="F175" s="491"/>
      <c r="G175" s="491"/>
      <c r="H175" s="491"/>
      <c r="I175" s="491"/>
      <c r="J175" s="491"/>
      <c r="K175" s="2752"/>
      <c r="L175" s="311" t="s">
        <v>2</v>
      </c>
      <c r="M175" s="2910" t="str">
        <f>"cliquez sur la colonne "&amp;SUBSTITUTE(ADDRESS(1,COLUMN(),4),"1","")</f>
        <v>cliquez sur la colonne M</v>
      </c>
      <c r="N175" s="2911"/>
      <c r="O175" s="2911"/>
      <c r="P175" s="2911"/>
      <c r="Q175" s="2911"/>
      <c r="R175" s="2908"/>
      <c r="S175" s="2909"/>
      <c r="U175" s="2730">
        <v>1</v>
      </c>
    </row>
    <row r="176" spans="2:21" ht="18.75">
      <c r="B176" s="2751" t="str">
        <f t="shared" si="13"/>
        <v>►</v>
      </c>
      <c r="C176" s="2736" t="str">
        <f>IF(ISBLANK(D176),"",LARGE(C143:C175,1)+1)</f>
        <v/>
      </c>
      <c r="D176" s="491"/>
      <c r="E176" s="491"/>
      <c r="F176" s="491"/>
      <c r="G176" s="491"/>
      <c r="H176" s="491"/>
      <c r="I176" s="491"/>
      <c r="J176" s="491"/>
      <c r="K176" s="2752"/>
      <c r="L176" s="311" t="s">
        <v>2</v>
      </c>
      <c r="M176" s="2912" t="s">
        <v>7178</v>
      </c>
      <c r="N176" s="2911"/>
      <c r="O176" s="2911"/>
      <c r="P176" s="2911"/>
      <c r="Q176" s="2911"/>
      <c r="R176" s="2908"/>
      <c r="S176" s="2909"/>
      <c r="U176" s="2730">
        <v>1</v>
      </c>
    </row>
    <row r="177" spans="1:21" ht="19.5" thickBot="1">
      <c r="B177" s="2928" t="s">
        <v>337</v>
      </c>
      <c r="C177" s="2736" t="str">
        <f>IF(ISBLANK(D177),"",LARGE(C143:C176,1)+1)</f>
        <v/>
      </c>
      <c r="D177" s="1086"/>
      <c r="E177" s="1086"/>
      <c r="F177" s="1086"/>
      <c r="G177" s="1086"/>
      <c r="H177" s="1086"/>
      <c r="I177" s="1086"/>
      <c r="J177" s="1086"/>
      <c r="K177" s="2753"/>
      <c r="L177" s="311" t="s">
        <v>2</v>
      </c>
      <c r="M177" s="2913" t="s">
        <v>7179</v>
      </c>
      <c r="N177" s="2911"/>
      <c r="O177" s="2911"/>
      <c r="P177" s="2911"/>
      <c r="Q177" s="2911"/>
      <c r="R177" s="2908"/>
      <c r="S177" s="2909"/>
      <c r="U177" s="2730">
        <v>1</v>
      </c>
    </row>
    <row r="178" spans="1:21" ht="19.5" thickTop="1">
      <c r="B178" s="2928" t="s">
        <v>337</v>
      </c>
      <c r="C178" s="1081" t="s">
        <v>1775</v>
      </c>
      <c r="D178" s="1081"/>
      <c r="E178" s="1081"/>
      <c r="F178" s="7865"/>
      <c r="G178" s="7865"/>
      <c r="H178" s="7865"/>
      <c r="I178" s="7865"/>
      <c r="J178" s="7865"/>
      <c r="K178" s="7866"/>
      <c r="L178" s="311" t="s">
        <v>2</v>
      </c>
      <c r="M178" s="2914" t="s">
        <v>2660</v>
      </c>
      <c r="N178" s="2915"/>
      <c r="O178" s="2915"/>
      <c r="P178" s="2915"/>
      <c r="Q178" s="2915"/>
      <c r="R178" s="2908"/>
      <c r="S178" s="2909"/>
      <c r="U178" s="2730">
        <v>1</v>
      </c>
    </row>
    <row r="179" spans="1:21" ht="15.75">
      <c r="B179" s="2928" t="s">
        <v>337</v>
      </c>
      <c r="C179" s="2740" t="s">
        <v>1780</v>
      </c>
      <c r="D179" s="7853" t="s">
        <v>1779</v>
      </c>
      <c r="E179" s="7853"/>
      <c r="F179" s="7853"/>
      <c r="G179" s="7853"/>
      <c r="H179" s="7853"/>
      <c r="I179" s="7853"/>
      <c r="J179" s="7853"/>
      <c r="K179" s="7854"/>
      <c r="L179" s="311" t="s">
        <v>2</v>
      </c>
      <c r="M179" s="2916" t="s">
        <v>7180</v>
      </c>
      <c r="N179" s="2917"/>
      <c r="O179" s="2917"/>
      <c r="P179" s="2917"/>
      <c r="Q179" s="2917"/>
      <c r="R179" s="2908"/>
      <c r="S179" s="2909"/>
      <c r="U179" s="2730">
        <v>1</v>
      </c>
    </row>
    <row r="180" spans="1:21" ht="15.75">
      <c r="B180" s="2928" t="s">
        <v>337</v>
      </c>
      <c r="C180" s="2741" t="s">
        <v>7</v>
      </c>
      <c r="D180" s="1049" t="str">
        <f ca="1">CELL("nomfichier")</f>
        <v>D:\Données\1.UPRT\0-UPRT.fait\1-UPRT.FR-SITE-WEB\ff-fiches-fabrications\ff.fiches.fabrication.2023\UPRT.23.aout\[ff-20-CHARCUTERIE-michel-Mariette.BOUDIN.BLANC_-1.xlsx]Exemples Michel Mariette</v>
      </c>
      <c r="E180" s="1049"/>
      <c r="F180" s="34"/>
      <c r="G180" s="15"/>
      <c r="H180" s="15"/>
      <c r="I180" s="15"/>
      <c r="J180" s="15"/>
      <c r="K180" s="1050"/>
      <c r="L180" s="311" t="s">
        <v>2</v>
      </c>
      <c r="M180" s="2916" t="s">
        <v>7181</v>
      </c>
      <c r="N180" s="2917"/>
      <c r="O180" s="2917"/>
      <c r="P180" s="2917"/>
      <c r="Q180" s="2917"/>
      <c r="R180" s="2908"/>
      <c r="S180" s="2909"/>
      <c r="U180" s="2730">
        <v>1</v>
      </c>
    </row>
    <row r="181" spans="1:21" ht="15.75">
      <c r="B181" s="2928" t="s">
        <v>337</v>
      </c>
      <c r="C181" s="2742" t="s">
        <v>1778</v>
      </c>
      <c r="D181" s="34"/>
      <c r="E181" s="34"/>
      <c r="F181" s="1049"/>
      <c r="G181" s="15"/>
      <c r="H181" s="15"/>
      <c r="I181" s="15"/>
      <c r="J181" s="15"/>
      <c r="K181" s="1050"/>
      <c r="L181" s="311" t="s">
        <v>2</v>
      </c>
      <c r="M181" s="2914" t="s">
        <v>7182</v>
      </c>
      <c r="N181" s="2915"/>
      <c r="O181" s="2915"/>
      <c r="P181" s="2915"/>
      <c r="Q181" s="2915"/>
      <c r="R181" s="2908"/>
      <c r="S181" s="2909"/>
      <c r="U181" s="2730">
        <v>1</v>
      </c>
    </row>
    <row r="182" spans="1:21" ht="15.75">
      <c r="B182" s="2928" t="s">
        <v>337</v>
      </c>
      <c r="C182" s="2742" t="s">
        <v>1776</v>
      </c>
      <c r="D182" s="34"/>
      <c r="E182" s="34"/>
      <c r="F182" s="1049"/>
      <c r="G182" s="15"/>
      <c r="H182" s="15"/>
      <c r="I182" s="15"/>
      <c r="J182" s="15"/>
      <c r="K182" s="1050"/>
      <c r="L182" s="311" t="s">
        <v>2</v>
      </c>
      <c r="M182" s="2914" t="s">
        <v>7183</v>
      </c>
      <c r="N182" s="2915"/>
      <c r="O182" s="2915"/>
      <c r="P182" s="2915"/>
      <c r="Q182" s="2915"/>
      <c r="R182" s="2908"/>
      <c r="S182" s="2909"/>
      <c r="U182" s="2730">
        <v>1</v>
      </c>
    </row>
    <row r="183" spans="1:21" ht="16.5" thickBot="1">
      <c r="B183" s="2932" t="s">
        <v>337</v>
      </c>
      <c r="C183" s="2743" t="s">
        <v>8</v>
      </c>
      <c r="D183" s="1084"/>
      <c r="E183" s="1084"/>
      <c r="F183" s="1052"/>
      <c r="G183" s="1052"/>
      <c r="H183" s="1052"/>
      <c r="I183" s="1052"/>
      <c r="J183" s="1052"/>
      <c r="K183" s="1053"/>
      <c r="L183" s="311" t="s">
        <v>2</v>
      </c>
      <c r="M183" s="2918"/>
      <c r="N183" s="2919" t="s">
        <v>2370</v>
      </c>
      <c r="O183" s="2919" t="s">
        <v>2371</v>
      </c>
      <c r="P183" s="2919" t="s">
        <v>2372</v>
      </c>
      <c r="Q183" s="2919" t="s">
        <v>2373</v>
      </c>
      <c r="R183" s="2908"/>
      <c r="S183" s="2909"/>
      <c r="U183" s="2730">
        <v>1</v>
      </c>
    </row>
    <row r="184" spans="1:21" ht="12.75">
      <c r="M184" s="2920">
        <v>19</v>
      </c>
      <c r="N184" s="2921">
        <v>18</v>
      </c>
      <c r="O184" s="2921">
        <v>25</v>
      </c>
      <c r="P184" s="2921">
        <v>16</v>
      </c>
      <c r="Q184" s="2921">
        <v>16</v>
      </c>
      <c r="R184" s="2921">
        <v>31</v>
      </c>
      <c r="S184" s="2922">
        <v>36</v>
      </c>
      <c r="U184" s="2730">
        <v>1</v>
      </c>
    </row>
    <row r="185" spans="1:21" ht="13.5" thickBot="1">
      <c r="M185" s="2923">
        <f t="shared" ref="M185:S185" ca="1" si="14">CELL("largeur",M185)</f>
        <v>19</v>
      </c>
      <c r="N185" s="2924">
        <f t="shared" ca="1" si="14"/>
        <v>18</v>
      </c>
      <c r="O185" s="2924">
        <f t="shared" ca="1" si="14"/>
        <v>25</v>
      </c>
      <c r="P185" s="2924">
        <f t="shared" ca="1" si="14"/>
        <v>18</v>
      </c>
      <c r="Q185" s="2924">
        <f t="shared" ca="1" si="14"/>
        <v>16</v>
      </c>
      <c r="R185" s="2924">
        <f t="shared" ca="1" si="14"/>
        <v>31</v>
      </c>
      <c r="S185" s="2925">
        <f t="shared" ca="1" si="14"/>
        <v>46</v>
      </c>
      <c r="U185" s="2730">
        <v>1</v>
      </c>
    </row>
    <row r="186" spans="1:21">
      <c r="U186" s="2927" t="s">
        <v>7037</v>
      </c>
    </row>
    <row r="187" spans="1:21">
      <c r="A187" s="2730">
        <v>1</v>
      </c>
      <c r="B187" s="2730">
        <v>1</v>
      </c>
      <c r="C187" s="2730">
        <v>1</v>
      </c>
      <c r="D187" s="2730">
        <v>1</v>
      </c>
      <c r="E187" s="2730"/>
      <c r="F187" s="2730">
        <v>1</v>
      </c>
      <c r="G187" s="2730">
        <v>1</v>
      </c>
      <c r="H187" s="2730">
        <v>1</v>
      </c>
      <c r="I187" s="2730">
        <v>1</v>
      </c>
      <c r="J187" s="2730">
        <v>1</v>
      </c>
      <c r="K187" s="2730">
        <v>1</v>
      </c>
      <c r="L187" s="2730">
        <v>1</v>
      </c>
      <c r="M187" s="2730">
        <v>1</v>
      </c>
      <c r="N187" s="2730">
        <v>1</v>
      </c>
      <c r="O187" s="2730">
        <v>1</v>
      </c>
      <c r="P187" s="2730">
        <v>1</v>
      </c>
      <c r="Q187" s="2730">
        <v>1</v>
      </c>
      <c r="R187" s="2730">
        <v>1</v>
      </c>
      <c r="S187" s="2730">
        <v>1</v>
      </c>
      <c r="T187" s="2730">
        <v>1</v>
      </c>
      <c r="U187" s="2732" t="str">
        <f>ADDRESS(ROW(),COLUMN(),4)</f>
        <v>U187</v>
      </c>
    </row>
  </sheetData>
  <mergeCells count="34">
    <mergeCell ref="L1:L2"/>
    <mergeCell ref="T1:T2"/>
    <mergeCell ref="M12:S14"/>
    <mergeCell ref="N77:Q77"/>
    <mergeCell ref="P79:Q79"/>
    <mergeCell ref="N80:O80"/>
    <mergeCell ref="N83:Q84"/>
    <mergeCell ref="N87:Q88"/>
    <mergeCell ref="D91:K91"/>
    <mergeCell ref="K12:K13"/>
    <mergeCell ref="G15:H16"/>
    <mergeCell ref="I15:I16"/>
    <mergeCell ref="D5:K7"/>
    <mergeCell ref="F9:K9"/>
    <mergeCell ref="K100:K101"/>
    <mergeCell ref="G103:H104"/>
    <mergeCell ref="I103:I104"/>
    <mergeCell ref="C100:J101"/>
    <mergeCell ref="C12:J13"/>
    <mergeCell ref="C14:K14"/>
    <mergeCell ref="C17:D17"/>
    <mergeCell ref="C48:D48"/>
    <mergeCell ref="C50:J51"/>
    <mergeCell ref="C52:K52"/>
    <mergeCell ref="K50:K51"/>
    <mergeCell ref="F90:K90"/>
    <mergeCell ref="C102:K102"/>
    <mergeCell ref="D179:K179"/>
    <mergeCell ref="C105:D105"/>
    <mergeCell ref="C136:D136"/>
    <mergeCell ref="C138:J139"/>
    <mergeCell ref="K138:K139"/>
    <mergeCell ref="C140:K140"/>
    <mergeCell ref="F178:K178"/>
  </mergeCells>
  <conditionalFormatting sqref="E18:E47">
    <cfRule type="expression" dxfId="68" priority="5">
      <formula>LEFT(E18,1)="⚠"</formula>
    </cfRule>
    <cfRule type="expression" dxfId="67" priority="6">
      <formula>LEFT(E18,4)="info"</formula>
    </cfRule>
    <cfRule type="expression" dxfId="66" priority="7">
      <formula>LEFT(E18,1)="⚠"</formula>
    </cfRule>
    <cfRule type="expression" dxfId="65" priority="8">
      <formula>LEFT(E18,4)="info"</formula>
    </cfRule>
  </conditionalFormatting>
  <conditionalFormatting sqref="E106:E135">
    <cfRule type="expression" dxfId="64" priority="1">
      <formula>LEFT(E106,1)="⚠"</formula>
    </cfRule>
    <cfRule type="expression" dxfId="63" priority="2">
      <formula>LEFT(E106,4)="info"</formula>
    </cfRule>
    <cfRule type="expression" dxfId="62" priority="3">
      <formula>LEFT(E106,1)="⚠"</formula>
    </cfRule>
    <cfRule type="expression" dxfId="61" priority="4">
      <formula>LEFT(E106,4)="info"</formula>
    </cfRule>
  </conditionalFormatting>
  <hyperlinks>
    <hyperlink ref="F9" r:id="rId1" xr:uid="{00000000-0004-0000-0100-000000000000}"/>
    <hyperlink ref="N134" r:id="rId2" xr:uid="{4BFD296C-5D64-4F02-816A-C0834C97C9A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59"/>
  <sheetViews>
    <sheetView topLeftCell="A55" workbookViewId="0">
      <selection activeCell="E68" sqref="E68:E70"/>
    </sheetView>
  </sheetViews>
  <sheetFormatPr baseColWidth="10" defaultRowHeight="12.75"/>
  <cols>
    <col min="1" max="1" width="5.42578125" style="311" customWidth="1"/>
    <col min="2" max="2" width="4.7109375" style="311" customWidth="1"/>
    <col min="3" max="3" width="4.5703125" style="311" customWidth="1"/>
    <col min="4" max="4" width="40.7109375" style="311" customWidth="1"/>
    <col min="5" max="5" width="10.7109375" style="311" customWidth="1"/>
    <col min="6" max="8" width="12.7109375" style="311" customWidth="1"/>
    <col min="9" max="9" width="20.7109375" style="311" customWidth="1"/>
    <col min="10" max="11" width="12.7109375" style="311" customWidth="1"/>
    <col min="12" max="12" width="3.7109375" style="311" customWidth="1"/>
    <col min="13" max="13" width="4" style="311" customWidth="1"/>
    <col min="14" max="14" width="4.5703125" style="311" customWidth="1"/>
    <col min="15" max="15" width="40.7109375" style="311" customWidth="1"/>
    <col min="16" max="18" width="12.7109375" style="311" customWidth="1"/>
    <col min="19" max="19" width="20.7109375" style="311" customWidth="1"/>
    <col min="20" max="21" width="12.7109375" style="311" customWidth="1"/>
    <col min="22" max="22" width="16" style="311" customWidth="1"/>
    <col min="23" max="27" width="11.42578125" style="311"/>
    <col min="28" max="28" width="10.85546875" style="311" customWidth="1"/>
    <col min="29" max="278" width="11.42578125" style="311"/>
    <col min="279" max="279" width="40.5703125" style="311" customWidth="1"/>
    <col min="280" max="280" width="29.140625" style="311" customWidth="1"/>
    <col min="281" max="281" width="22.85546875" style="311" customWidth="1"/>
    <col min="282" max="282" width="18.85546875" style="311" customWidth="1"/>
    <col min="283" max="283" width="20" style="311" customWidth="1"/>
    <col min="284" max="534" width="11.42578125" style="311"/>
    <col min="535" max="535" width="40.5703125" style="311" customWidth="1"/>
    <col min="536" max="536" width="29.140625" style="311" customWidth="1"/>
    <col min="537" max="537" width="22.85546875" style="311" customWidth="1"/>
    <col min="538" max="538" width="18.85546875" style="311" customWidth="1"/>
    <col min="539" max="539" width="20" style="311" customWidth="1"/>
    <col min="540" max="790" width="11.42578125" style="311"/>
    <col min="791" max="791" width="40.5703125" style="311" customWidth="1"/>
    <col min="792" max="792" width="29.140625" style="311" customWidth="1"/>
    <col min="793" max="793" width="22.85546875" style="311" customWidth="1"/>
    <col min="794" max="794" width="18.85546875" style="311" customWidth="1"/>
    <col min="795" max="795" width="20" style="311" customWidth="1"/>
    <col min="796" max="1046" width="11.42578125" style="311"/>
    <col min="1047" max="1047" width="40.5703125" style="311" customWidth="1"/>
    <col min="1048" max="1048" width="29.140625" style="311" customWidth="1"/>
    <col min="1049" max="1049" width="22.85546875" style="311" customWidth="1"/>
    <col min="1050" max="1050" width="18.85546875" style="311" customWidth="1"/>
    <col min="1051" max="1051" width="20" style="311" customWidth="1"/>
    <col min="1052" max="1302" width="11.42578125" style="311"/>
    <col min="1303" max="1303" width="40.5703125" style="311" customWidth="1"/>
    <col min="1304" max="1304" width="29.140625" style="311" customWidth="1"/>
    <col min="1305" max="1305" width="22.85546875" style="311" customWidth="1"/>
    <col min="1306" max="1306" width="18.85546875" style="311" customWidth="1"/>
    <col min="1307" max="1307" width="20" style="311" customWidth="1"/>
    <col min="1308" max="1558" width="11.42578125" style="311"/>
    <col min="1559" max="1559" width="40.5703125" style="311" customWidth="1"/>
    <col min="1560" max="1560" width="29.140625" style="311" customWidth="1"/>
    <col min="1561" max="1561" width="22.85546875" style="311" customWidth="1"/>
    <col min="1562" max="1562" width="18.85546875" style="311" customWidth="1"/>
    <col min="1563" max="1563" width="20" style="311" customWidth="1"/>
    <col min="1564" max="1814" width="11.42578125" style="311"/>
    <col min="1815" max="1815" width="40.5703125" style="311" customWidth="1"/>
    <col min="1816" max="1816" width="29.140625" style="311" customWidth="1"/>
    <col min="1817" max="1817" width="22.85546875" style="311" customWidth="1"/>
    <col min="1818" max="1818" width="18.85546875" style="311" customWidth="1"/>
    <col min="1819" max="1819" width="20" style="311" customWidth="1"/>
    <col min="1820" max="2070" width="11.42578125" style="311"/>
    <col min="2071" max="2071" width="40.5703125" style="311" customWidth="1"/>
    <col min="2072" max="2072" width="29.140625" style="311" customWidth="1"/>
    <col min="2073" max="2073" width="22.85546875" style="311" customWidth="1"/>
    <col min="2074" max="2074" width="18.85546875" style="311" customWidth="1"/>
    <col min="2075" max="2075" width="20" style="311" customWidth="1"/>
    <col min="2076" max="2326" width="11.42578125" style="311"/>
    <col min="2327" max="2327" width="40.5703125" style="311" customWidth="1"/>
    <col min="2328" max="2328" width="29.140625" style="311" customWidth="1"/>
    <col min="2329" max="2329" width="22.85546875" style="311" customWidth="1"/>
    <col min="2330" max="2330" width="18.85546875" style="311" customWidth="1"/>
    <col min="2331" max="2331" width="20" style="311" customWidth="1"/>
    <col min="2332" max="2582" width="11.42578125" style="311"/>
    <col min="2583" max="2583" width="40.5703125" style="311" customWidth="1"/>
    <col min="2584" max="2584" width="29.140625" style="311" customWidth="1"/>
    <col min="2585" max="2585" width="22.85546875" style="311" customWidth="1"/>
    <col min="2586" max="2586" width="18.85546875" style="311" customWidth="1"/>
    <col min="2587" max="2587" width="20" style="311" customWidth="1"/>
    <col min="2588" max="2838" width="11.42578125" style="311"/>
    <col min="2839" max="2839" width="40.5703125" style="311" customWidth="1"/>
    <col min="2840" max="2840" width="29.140625" style="311" customWidth="1"/>
    <col min="2841" max="2841" width="22.85546875" style="311" customWidth="1"/>
    <col min="2842" max="2842" width="18.85546875" style="311" customWidth="1"/>
    <col min="2843" max="2843" width="20" style="311" customWidth="1"/>
    <col min="2844" max="3094" width="11.42578125" style="311"/>
    <col min="3095" max="3095" width="40.5703125" style="311" customWidth="1"/>
    <col min="3096" max="3096" width="29.140625" style="311" customWidth="1"/>
    <col min="3097" max="3097" width="22.85546875" style="311" customWidth="1"/>
    <col min="3098" max="3098" width="18.85546875" style="311" customWidth="1"/>
    <col min="3099" max="3099" width="20" style="311" customWidth="1"/>
    <col min="3100" max="3350" width="11.42578125" style="311"/>
    <col min="3351" max="3351" width="40.5703125" style="311" customWidth="1"/>
    <col min="3352" max="3352" width="29.140625" style="311" customWidth="1"/>
    <col min="3353" max="3353" width="22.85546875" style="311" customWidth="1"/>
    <col min="3354" max="3354" width="18.85546875" style="311" customWidth="1"/>
    <col min="3355" max="3355" width="20" style="311" customWidth="1"/>
    <col min="3356" max="3606" width="11.42578125" style="311"/>
    <col min="3607" max="3607" width="40.5703125" style="311" customWidth="1"/>
    <col min="3608" max="3608" width="29.140625" style="311" customWidth="1"/>
    <col min="3609" max="3609" width="22.85546875" style="311" customWidth="1"/>
    <col min="3610" max="3610" width="18.85546875" style="311" customWidth="1"/>
    <col min="3611" max="3611" width="20" style="311" customWidth="1"/>
    <col min="3612" max="3862" width="11.42578125" style="311"/>
    <col min="3863" max="3863" width="40.5703125" style="311" customWidth="1"/>
    <col min="3864" max="3864" width="29.140625" style="311" customWidth="1"/>
    <col min="3865" max="3865" width="22.85546875" style="311" customWidth="1"/>
    <col min="3866" max="3866" width="18.85546875" style="311" customWidth="1"/>
    <col min="3867" max="3867" width="20" style="311" customWidth="1"/>
    <col min="3868" max="4118" width="11.42578125" style="311"/>
    <col min="4119" max="4119" width="40.5703125" style="311" customWidth="1"/>
    <col min="4120" max="4120" width="29.140625" style="311" customWidth="1"/>
    <col min="4121" max="4121" width="22.85546875" style="311" customWidth="1"/>
    <col min="4122" max="4122" width="18.85546875" style="311" customWidth="1"/>
    <col min="4123" max="4123" width="20" style="311" customWidth="1"/>
    <col min="4124" max="4374" width="11.42578125" style="311"/>
    <col min="4375" max="4375" width="40.5703125" style="311" customWidth="1"/>
    <col min="4376" max="4376" width="29.140625" style="311" customWidth="1"/>
    <col min="4377" max="4377" width="22.85546875" style="311" customWidth="1"/>
    <col min="4378" max="4378" width="18.85546875" style="311" customWidth="1"/>
    <col min="4379" max="4379" width="20" style="311" customWidth="1"/>
    <col min="4380" max="4630" width="11.42578125" style="311"/>
    <col min="4631" max="4631" width="40.5703125" style="311" customWidth="1"/>
    <col min="4632" max="4632" width="29.140625" style="311" customWidth="1"/>
    <col min="4633" max="4633" width="22.85546875" style="311" customWidth="1"/>
    <col min="4634" max="4634" width="18.85546875" style="311" customWidth="1"/>
    <col min="4635" max="4635" width="20" style="311" customWidth="1"/>
    <col min="4636" max="4886" width="11.42578125" style="311"/>
    <col min="4887" max="4887" width="40.5703125" style="311" customWidth="1"/>
    <col min="4888" max="4888" width="29.140625" style="311" customWidth="1"/>
    <col min="4889" max="4889" width="22.85546875" style="311" customWidth="1"/>
    <col min="4890" max="4890" width="18.85546875" style="311" customWidth="1"/>
    <col min="4891" max="4891" width="20" style="311" customWidth="1"/>
    <col min="4892" max="5142" width="11.42578125" style="311"/>
    <col min="5143" max="5143" width="40.5703125" style="311" customWidth="1"/>
    <col min="5144" max="5144" width="29.140625" style="311" customWidth="1"/>
    <col min="5145" max="5145" width="22.85546875" style="311" customWidth="1"/>
    <col min="5146" max="5146" width="18.85546875" style="311" customWidth="1"/>
    <col min="5147" max="5147" width="20" style="311" customWidth="1"/>
    <col min="5148" max="5398" width="11.42578125" style="311"/>
    <col min="5399" max="5399" width="40.5703125" style="311" customWidth="1"/>
    <col min="5400" max="5400" width="29.140625" style="311" customWidth="1"/>
    <col min="5401" max="5401" width="22.85546875" style="311" customWidth="1"/>
    <col min="5402" max="5402" width="18.85546875" style="311" customWidth="1"/>
    <col min="5403" max="5403" width="20" style="311" customWidth="1"/>
    <col min="5404" max="5654" width="11.42578125" style="311"/>
    <col min="5655" max="5655" width="40.5703125" style="311" customWidth="1"/>
    <col min="5656" max="5656" width="29.140625" style="311" customWidth="1"/>
    <col min="5657" max="5657" width="22.85546875" style="311" customWidth="1"/>
    <col min="5658" max="5658" width="18.85546875" style="311" customWidth="1"/>
    <col min="5659" max="5659" width="20" style="311" customWidth="1"/>
    <col min="5660" max="5910" width="11.42578125" style="311"/>
    <col min="5911" max="5911" width="40.5703125" style="311" customWidth="1"/>
    <col min="5912" max="5912" width="29.140625" style="311" customWidth="1"/>
    <col min="5913" max="5913" width="22.85546875" style="311" customWidth="1"/>
    <col min="5914" max="5914" width="18.85546875" style="311" customWidth="1"/>
    <col min="5915" max="5915" width="20" style="311" customWidth="1"/>
    <col min="5916" max="6166" width="11.42578125" style="311"/>
    <col min="6167" max="6167" width="40.5703125" style="311" customWidth="1"/>
    <col min="6168" max="6168" width="29.140625" style="311" customWidth="1"/>
    <col min="6169" max="6169" width="22.85546875" style="311" customWidth="1"/>
    <col min="6170" max="6170" width="18.85546875" style="311" customWidth="1"/>
    <col min="6171" max="6171" width="20" style="311" customWidth="1"/>
    <col min="6172" max="6422" width="11.42578125" style="311"/>
    <col min="6423" max="6423" width="40.5703125" style="311" customWidth="1"/>
    <col min="6424" max="6424" width="29.140625" style="311" customWidth="1"/>
    <col min="6425" max="6425" width="22.85546875" style="311" customWidth="1"/>
    <col min="6426" max="6426" width="18.85546875" style="311" customWidth="1"/>
    <col min="6427" max="6427" width="20" style="311" customWidth="1"/>
    <col min="6428" max="6678" width="11.42578125" style="311"/>
    <col min="6679" max="6679" width="40.5703125" style="311" customWidth="1"/>
    <col min="6680" max="6680" width="29.140625" style="311" customWidth="1"/>
    <col min="6681" max="6681" width="22.85546875" style="311" customWidth="1"/>
    <col min="6682" max="6682" width="18.85546875" style="311" customWidth="1"/>
    <col min="6683" max="6683" width="20" style="311" customWidth="1"/>
    <col min="6684" max="6934" width="11.42578125" style="311"/>
    <col min="6935" max="6935" width="40.5703125" style="311" customWidth="1"/>
    <col min="6936" max="6936" width="29.140625" style="311" customWidth="1"/>
    <col min="6937" max="6937" width="22.85546875" style="311" customWidth="1"/>
    <col min="6938" max="6938" width="18.85546875" style="311" customWidth="1"/>
    <col min="6939" max="6939" width="20" style="311" customWidth="1"/>
    <col min="6940" max="7190" width="11.42578125" style="311"/>
    <col min="7191" max="7191" width="40.5703125" style="311" customWidth="1"/>
    <col min="7192" max="7192" width="29.140625" style="311" customWidth="1"/>
    <col min="7193" max="7193" width="22.85546875" style="311" customWidth="1"/>
    <col min="7194" max="7194" width="18.85546875" style="311" customWidth="1"/>
    <col min="7195" max="7195" width="20" style="311" customWidth="1"/>
    <col min="7196" max="7446" width="11.42578125" style="311"/>
    <col min="7447" max="7447" width="40.5703125" style="311" customWidth="1"/>
    <col min="7448" max="7448" width="29.140625" style="311" customWidth="1"/>
    <col min="7449" max="7449" width="22.85546875" style="311" customWidth="1"/>
    <col min="7450" max="7450" width="18.85546875" style="311" customWidth="1"/>
    <col min="7451" max="7451" width="20" style="311" customWidth="1"/>
    <col min="7452" max="7702" width="11.42578125" style="311"/>
    <col min="7703" max="7703" width="40.5703125" style="311" customWidth="1"/>
    <col min="7704" max="7704" width="29.140625" style="311" customWidth="1"/>
    <col min="7705" max="7705" width="22.85546875" style="311" customWidth="1"/>
    <col min="7706" max="7706" width="18.85546875" style="311" customWidth="1"/>
    <col min="7707" max="7707" width="20" style="311" customWidth="1"/>
    <col min="7708" max="7958" width="11.42578125" style="311"/>
    <col min="7959" max="7959" width="40.5703125" style="311" customWidth="1"/>
    <col min="7960" max="7960" width="29.140625" style="311" customWidth="1"/>
    <col min="7961" max="7961" width="22.85546875" style="311" customWidth="1"/>
    <col min="7962" max="7962" width="18.85546875" style="311" customWidth="1"/>
    <col min="7963" max="7963" width="20" style="311" customWidth="1"/>
    <col min="7964" max="8214" width="11.42578125" style="311"/>
    <col min="8215" max="8215" width="40.5703125" style="311" customWidth="1"/>
    <col min="8216" max="8216" width="29.140625" style="311" customWidth="1"/>
    <col min="8217" max="8217" width="22.85546875" style="311" customWidth="1"/>
    <col min="8218" max="8218" width="18.85546875" style="311" customWidth="1"/>
    <col min="8219" max="8219" width="20" style="311" customWidth="1"/>
    <col min="8220" max="8470" width="11.42578125" style="311"/>
    <col min="8471" max="8471" width="40.5703125" style="311" customWidth="1"/>
    <col min="8472" max="8472" width="29.140625" style="311" customWidth="1"/>
    <col min="8473" max="8473" width="22.85546875" style="311" customWidth="1"/>
    <col min="8474" max="8474" width="18.85546875" style="311" customWidth="1"/>
    <col min="8475" max="8475" width="20" style="311" customWidth="1"/>
    <col min="8476" max="8726" width="11.42578125" style="311"/>
    <col min="8727" max="8727" width="40.5703125" style="311" customWidth="1"/>
    <col min="8728" max="8728" width="29.140625" style="311" customWidth="1"/>
    <col min="8729" max="8729" width="22.85546875" style="311" customWidth="1"/>
    <col min="8730" max="8730" width="18.85546875" style="311" customWidth="1"/>
    <col min="8731" max="8731" width="20" style="311" customWidth="1"/>
    <col min="8732" max="8982" width="11.42578125" style="311"/>
    <col min="8983" max="8983" width="40.5703125" style="311" customWidth="1"/>
    <col min="8984" max="8984" width="29.140625" style="311" customWidth="1"/>
    <col min="8985" max="8985" width="22.85546875" style="311" customWidth="1"/>
    <col min="8986" max="8986" width="18.85546875" style="311" customWidth="1"/>
    <col min="8987" max="8987" width="20" style="311" customWidth="1"/>
    <col min="8988" max="9238" width="11.42578125" style="311"/>
    <col min="9239" max="9239" width="40.5703125" style="311" customWidth="1"/>
    <col min="9240" max="9240" width="29.140625" style="311" customWidth="1"/>
    <col min="9241" max="9241" width="22.85546875" style="311" customWidth="1"/>
    <col min="9242" max="9242" width="18.85546875" style="311" customWidth="1"/>
    <col min="9243" max="9243" width="20" style="311" customWidth="1"/>
    <col min="9244" max="9494" width="11.42578125" style="311"/>
    <col min="9495" max="9495" width="40.5703125" style="311" customWidth="1"/>
    <col min="9496" max="9496" width="29.140625" style="311" customWidth="1"/>
    <col min="9497" max="9497" width="22.85546875" style="311" customWidth="1"/>
    <col min="9498" max="9498" width="18.85546875" style="311" customWidth="1"/>
    <col min="9499" max="9499" width="20" style="311" customWidth="1"/>
    <col min="9500" max="9750" width="11.42578125" style="311"/>
    <col min="9751" max="9751" width="40.5703125" style="311" customWidth="1"/>
    <col min="9752" max="9752" width="29.140625" style="311" customWidth="1"/>
    <col min="9753" max="9753" width="22.85546875" style="311" customWidth="1"/>
    <col min="9754" max="9754" width="18.85546875" style="311" customWidth="1"/>
    <col min="9755" max="9755" width="20" style="311" customWidth="1"/>
    <col min="9756" max="10006" width="11.42578125" style="311"/>
    <col min="10007" max="10007" width="40.5703125" style="311" customWidth="1"/>
    <col min="10008" max="10008" width="29.140625" style="311" customWidth="1"/>
    <col min="10009" max="10009" width="22.85546875" style="311" customWidth="1"/>
    <col min="10010" max="10010" width="18.85546875" style="311" customWidth="1"/>
    <col min="10011" max="10011" width="20" style="311" customWidth="1"/>
    <col min="10012" max="10262" width="11.42578125" style="311"/>
    <col min="10263" max="10263" width="40.5703125" style="311" customWidth="1"/>
    <col min="10264" max="10264" width="29.140625" style="311" customWidth="1"/>
    <col min="10265" max="10265" width="22.85546875" style="311" customWidth="1"/>
    <col min="10266" max="10266" width="18.85546875" style="311" customWidth="1"/>
    <col min="10267" max="10267" width="20" style="311" customWidth="1"/>
    <col min="10268" max="10518" width="11.42578125" style="311"/>
    <col min="10519" max="10519" width="40.5703125" style="311" customWidth="1"/>
    <col min="10520" max="10520" width="29.140625" style="311" customWidth="1"/>
    <col min="10521" max="10521" width="22.85546875" style="311" customWidth="1"/>
    <col min="10522" max="10522" width="18.85546875" style="311" customWidth="1"/>
    <col min="10523" max="10523" width="20" style="311" customWidth="1"/>
    <col min="10524" max="10774" width="11.42578125" style="311"/>
    <col min="10775" max="10775" width="40.5703125" style="311" customWidth="1"/>
    <col min="10776" max="10776" width="29.140625" style="311" customWidth="1"/>
    <col min="10777" max="10777" width="22.85546875" style="311" customWidth="1"/>
    <col min="10778" max="10778" width="18.85546875" style="311" customWidth="1"/>
    <col min="10779" max="10779" width="20" style="311" customWidth="1"/>
    <col min="10780" max="11030" width="11.42578125" style="311"/>
    <col min="11031" max="11031" width="40.5703125" style="311" customWidth="1"/>
    <col min="11032" max="11032" width="29.140625" style="311" customWidth="1"/>
    <col min="11033" max="11033" width="22.85546875" style="311" customWidth="1"/>
    <col min="11034" max="11034" width="18.85546875" style="311" customWidth="1"/>
    <col min="11035" max="11035" width="20" style="311" customWidth="1"/>
    <col min="11036" max="11286" width="11.42578125" style="311"/>
    <col min="11287" max="11287" width="40.5703125" style="311" customWidth="1"/>
    <col min="11288" max="11288" width="29.140625" style="311" customWidth="1"/>
    <col min="11289" max="11289" width="22.85546875" style="311" customWidth="1"/>
    <col min="11290" max="11290" width="18.85546875" style="311" customWidth="1"/>
    <col min="11291" max="11291" width="20" style="311" customWidth="1"/>
    <col min="11292" max="11542" width="11.42578125" style="311"/>
    <col min="11543" max="11543" width="40.5703125" style="311" customWidth="1"/>
    <col min="11544" max="11544" width="29.140625" style="311" customWidth="1"/>
    <col min="11545" max="11545" width="22.85546875" style="311" customWidth="1"/>
    <col min="11546" max="11546" width="18.85546875" style="311" customWidth="1"/>
    <col min="11547" max="11547" width="20" style="311" customWidth="1"/>
    <col min="11548" max="11798" width="11.42578125" style="311"/>
    <col min="11799" max="11799" width="40.5703125" style="311" customWidth="1"/>
    <col min="11800" max="11800" width="29.140625" style="311" customWidth="1"/>
    <col min="11801" max="11801" width="22.85546875" style="311" customWidth="1"/>
    <col min="11802" max="11802" width="18.85546875" style="311" customWidth="1"/>
    <col min="11803" max="11803" width="20" style="311" customWidth="1"/>
    <col min="11804" max="12054" width="11.42578125" style="311"/>
    <col min="12055" max="12055" width="40.5703125" style="311" customWidth="1"/>
    <col min="12056" max="12056" width="29.140625" style="311" customWidth="1"/>
    <col min="12057" max="12057" width="22.85546875" style="311" customWidth="1"/>
    <col min="12058" max="12058" width="18.85546875" style="311" customWidth="1"/>
    <col min="12059" max="12059" width="20" style="311" customWidth="1"/>
    <col min="12060" max="12310" width="11.42578125" style="311"/>
    <col min="12311" max="12311" width="40.5703125" style="311" customWidth="1"/>
    <col min="12312" max="12312" width="29.140625" style="311" customWidth="1"/>
    <col min="12313" max="12313" width="22.85546875" style="311" customWidth="1"/>
    <col min="12314" max="12314" width="18.85546875" style="311" customWidth="1"/>
    <col min="12315" max="12315" width="20" style="311" customWidth="1"/>
    <col min="12316" max="12566" width="11.42578125" style="311"/>
    <col min="12567" max="12567" width="40.5703125" style="311" customWidth="1"/>
    <col min="12568" max="12568" width="29.140625" style="311" customWidth="1"/>
    <col min="12569" max="12569" width="22.85546875" style="311" customWidth="1"/>
    <col min="12570" max="12570" width="18.85546875" style="311" customWidth="1"/>
    <col min="12571" max="12571" width="20" style="311" customWidth="1"/>
    <col min="12572" max="12822" width="11.42578125" style="311"/>
    <col min="12823" max="12823" width="40.5703125" style="311" customWidth="1"/>
    <col min="12824" max="12824" width="29.140625" style="311" customWidth="1"/>
    <col min="12825" max="12825" width="22.85546875" style="311" customWidth="1"/>
    <col min="12826" max="12826" width="18.85546875" style="311" customWidth="1"/>
    <col min="12827" max="12827" width="20" style="311" customWidth="1"/>
    <col min="12828" max="13078" width="11.42578125" style="311"/>
    <col min="13079" max="13079" width="40.5703125" style="311" customWidth="1"/>
    <col min="13080" max="13080" width="29.140625" style="311" customWidth="1"/>
    <col min="13081" max="13081" width="22.85546875" style="311" customWidth="1"/>
    <col min="13082" max="13082" width="18.85546875" style="311" customWidth="1"/>
    <col min="13083" max="13083" width="20" style="311" customWidth="1"/>
    <col min="13084" max="13334" width="11.42578125" style="311"/>
    <col min="13335" max="13335" width="40.5703125" style="311" customWidth="1"/>
    <col min="13336" max="13336" width="29.140625" style="311" customWidth="1"/>
    <col min="13337" max="13337" width="22.85546875" style="311" customWidth="1"/>
    <col min="13338" max="13338" width="18.85546875" style="311" customWidth="1"/>
    <col min="13339" max="13339" width="20" style="311" customWidth="1"/>
    <col min="13340" max="13590" width="11.42578125" style="311"/>
    <col min="13591" max="13591" width="40.5703125" style="311" customWidth="1"/>
    <col min="13592" max="13592" width="29.140625" style="311" customWidth="1"/>
    <col min="13593" max="13593" width="22.85546875" style="311" customWidth="1"/>
    <col min="13594" max="13594" width="18.85546875" style="311" customWidth="1"/>
    <col min="13595" max="13595" width="20" style="311" customWidth="1"/>
    <col min="13596" max="13846" width="11.42578125" style="311"/>
    <col min="13847" max="13847" width="40.5703125" style="311" customWidth="1"/>
    <col min="13848" max="13848" width="29.140625" style="311" customWidth="1"/>
    <col min="13849" max="13849" width="22.85546875" style="311" customWidth="1"/>
    <col min="13850" max="13850" width="18.85546875" style="311" customWidth="1"/>
    <col min="13851" max="13851" width="20" style="311" customWidth="1"/>
    <col min="13852" max="14102" width="11.42578125" style="311"/>
    <col min="14103" max="14103" width="40.5703125" style="311" customWidth="1"/>
    <col min="14104" max="14104" width="29.140625" style="311" customWidth="1"/>
    <col min="14105" max="14105" width="22.85546875" style="311" customWidth="1"/>
    <col min="14106" max="14106" width="18.85546875" style="311" customWidth="1"/>
    <col min="14107" max="14107" width="20" style="311" customWidth="1"/>
    <col min="14108" max="14358" width="11.42578125" style="311"/>
    <col min="14359" max="14359" width="40.5703125" style="311" customWidth="1"/>
    <col min="14360" max="14360" width="29.140625" style="311" customWidth="1"/>
    <col min="14361" max="14361" width="22.85546875" style="311" customWidth="1"/>
    <col min="14362" max="14362" width="18.85546875" style="311" customWidth="1"/>
    <col min="14363" max="14363" width="20" style="311" customWidth="1"/>
    <col min="14364" max="14614" width="11.42578125" style="311"/>
    <col min="14615" max="14615" width="40.5703125" style="311" customWidth="1"/>
    <col min="14616" max="14616" width="29.140625" style="311" customWidth="1"/>
    <col min="14617" max="14617" width="22.85546875" style="311" customWidth="1"/>
    <col min="14618" max="14618" width="18.85546875" style="311" customWidth="1"/>
    <col min="14619" max="14619" width="20" style="311" customWidth="1"/>
    <col min="14620" max="14870" width="11.42578125" style="311"/>
    <col min="14871" max="14871" width="40.5703125" style="311" customWidth="1"/>
    <col min="14872" max="14872" width="29.140625" style="311" customWidth="1"/>
    <col min="14873" max="14873" width="22.85546875" style="311" customWidth="1"/>
    <col min="14874" max="14874" width="18.85546875" style="311" customWidth="1"/>
    <col min="14875" max="14875" width="20" style="311" customWidth="1"/>
    <col min="14876" max="15126" width="11.42578125" style="311"/>
    <col min="15127" max="15127" width="40.5703125" style="311" customWidth="1"/>
    <col min="15128" max="15128" width="29.140625" style="311" customWidth="1"/>
    <col min="15129" max="15129" width="22.85546875" style="311" customWidth="1"/>
    <col min="15130" max="15130" width="18.85546875" style="311" customWidth="1"/>
    <col min="15131" max="15131" width="20" style="311" customWidth="1"/>
    <col min="15132" max="15382" width="11.42578125" style="311"/>
    <col min="15383" max="15383" width="40.5703125" style="311" customWidth="1"/>
    <col min="15384" max="15384" width="29.140625" style="311" customWidth="1"/>
    <col min="15385" max="15385" width="22.85546875" style="311" customWidth="1"/>
    <col min="15386" max="15386" width="18.85546875" style="311" customWidth="1"/>
    <col min="15387" max="15387" width="20" style="311" customWidth="1"/>
    <col min="15388" max="15638" width="11.42578125" style="311"/>
    <col min="15639" max="15639" width="40.5703125" style="311" customWidth="1"/>
    <col min="15640" max="15640" width="29.140625" style="311" customWidth="1"/>
    <col min="15641" max="15641" width="22.85546875" style="311" customWidth="1"/>
    <col min="15642" max="15642" width="18.85546875" style="311" customWidth="1"/>
    <col min="15643" max="15643" width="20" style="311" customWidth="1"/>
    <col min="15644" max="15894" width="11.42578125" style="311"/>
    <col min="15895" max="15895" width="40.5703125" style="311" customWidth="1"/>
    <col min="15896" max="15896" width="29.140625" style="311" customWidth="1"/>
    <col min="15897" max="15897" width="22.85546875" style="311" customWidth="1"/>
    <col min="15898" max="15898" width="18.85546875" style="311" customWidth="1"/>
    <col min="15899" max="15899" width="20" style="311" customWidth="1"/>
    <col min="15900" max="16150" width="11.42578125" style="311"/>
    <col min="16151" max="16151" width="40.5703125" style="311" customWidth="1"/>
    <col min="16152" max="16152" width="29.140625" style="311" customWidth="1"/>
    <col min="16153" max="16153" width="22.85546875" style="311" customWidth="1"/>
    <col min="16154" max="16154" width="18.85546875" style="311" customWidth="1"/>
    <col min="16155" max="16155" width="20" style="311" customWidth="1"/>
    <col min="16156" max="16384" width="11.42578125" style="311"/>
  </cols>
  <sheetData>
    <row r="1" spans="1:23" ht="15.75" thickTop="1">
      <c r="A1" s="2732" t="str">
        <f>ADDRESS(ROW(),COLUMN(),4)</f>
        <v>A1</v>
      </c>
      <c r="B1" s="2726" t="str">
        <f t="shared" ref="B1:U1" si="0">SUBSTITUTE(ADDRESS(1,COLUMN(),4),"1","")</f>
        <v>B</v>
      </c>
      <c r="C1" s="2726" t="str">
        <f t="shared" si="0"/>
        <v>C</v>
      </c>
      <c r="D1" s="2726" t="str">
        <f t="shared" si="0"/>
        <v>D</v>
      </c>
      <c r="E1" s="2726"/>
      <c r="F1" s="2726" t="str">
        <f t="shared" si="0"/>
        <v>F</v>
      </c>
      <c r="G1" s="2726" t="str">
        <f t="shared" si="0"/>
        <v>G</v>
      </c>
      <c r="H1" s="2726" t="str">
        <f t="shared" si="0"/>
        <v>H</v>
      </c>
      <c r="I1" s="2726" t="str">
        <f t="shared" si="0"/>
        <v>I</v>
      </c>
      <c r="J1" s="2726" t="str">
        <f t="shared" si="0"/>
        <v>J</v>
      </c>
      <c r="K1" s="2726" t="str">
        <f t="shared" si="0"/>
        <v>K</v>
      </c>
      <c r="M1" s="2726" t="str">
        <f t="shared" si="0"/>
        <v>M</v>
      </c>
      <c r="N1" s="2726" t="str">
        <f t="shared" si="0"/>
        <v>N</v>
      </c>
      <c r="O1" s="2726" t="str">
        <f t="shared" si="0"/>
        <v>O</v>
      </c>
      <c r="P1" s="2726" t="str">
        <f t="shared" si="0"/>
        <v>P</v>
      </c>
      <c r="Q1" s="2726" t="str">
        <f t="shared" si="0"/>
        <v>Q</v>
      </c>
      <c r="R1" s="2726" t="str">
        <f t="shared" si="0"/>
        <v>R</v>
      </c>
      <c r="S1" s="2726" t="str">
        <f t="shared" si="0"/>
        <v>S</v>
      </c>
      <c r="T1" s="2726" t="str">
        <f t="shared" si="0"/>
        <v>T</v>
      </c>
      <c r="U1" s="2726" t="str">
        <f t="shared" si="0"/>
        <v>U</v>
      </c>
      <c r="V1" s="7723" t="s">
        <v>7035</v>
      </c>
      <c r="W1" s="2730">
        <v>1</v>
      </c>
    </row>
    <row r="2" spans="1:23">
      <c r="B2" s="2727">
        <f t="shared" ref="B2:U2" ca="1" si="1">CELL("largeur",B2)</f>
        <v>4</v>
      </c>
      <c r="C2" s="2727">
        <f t="shared" ca="1" si="1"/>
        <v>4</v>
      </c>
      <c r="D2" s="2727">
        <f t="shared" ca="1" si="1"/>
        <v>40</v>
      </c>
      <c r="E2" s="2727"/>
      <c r="F2" s="2727">
        <f t="shared" ca="1" si="1"/>
        <v>12</v>
      </c>
      <c r="G2" s="2727">
        <f t="shared" ca="1" si="1"/>
        <v>12</v>
      </c>
      <c r="H2" s="2727">
        <f t="shared" ca="1" si="1"/>
        <v>12</v>
      </c>
      <c r="I2" s="2727">
        <f t="shared" ca="1" si="1"/>
        <v>20</v>
      </c>
      <c r="J2" s="2727">
        <f t="shared" ca="1" si="1"/>
        <v>12</v>
      </c>
      <c r="K2" s="2727">
        <f t="shared" ca="1" si="1"/>
        <v>12</v>
      </c>
      <c r="M2" s="2727">
        <f t="shared" ca="1" si="1"/>
        <v>3</v>
      </c>
      <c r="N2" s="2727">
        <f t="shared" ca="1" si="1"/>
        <v>4</v>
      </c>
      <c r="O2" s="2727">
        <f t="shared" ca="1" si="1"/>
        <v>40</v>
      </c>
      <c r="P2" s="2727">
        <f t="shared" ca="1" si="1"/>
        <v>12</v>
      </c>
      <c r="Q2" s="2727">
        <f t="shared" ca="1" si="1"/>
        <v>12</v>
      </c>
      <c r="R2" s="2727">
        <f t="shared" ca="1" si="1"/>
        <v>12</v>
      </c>
      <c r="S2" s="2727">
        <f t="shared" ca="1" si="1"/>
        <v>20</v>
      </c>
      <c r="T2" s="2727">
        <f t="shared" ca="1" si="1"/>
        <v>12</v>
      </c>
      <c r="U2" s="2727">
        <f t="shared" ca="1" si="1"/>
        <v>12</v>
      </c>
      <c r="V2" s="7723"/>
      <c r="W2" s="2730">
        <v>1</v>
      </c>
    </row>
    <row r="3" spans="1:23" ht="22.5">
      <c r="B3" s="2728">
        <v>4</v>
      </c>
      <c r="C3" s="2728">
        <v>4</v>
      </c>
      <c r="D3" s="2728">
        <v>40</v>
      </c>
      <c r="E3" s="2728"/>
      <c r="F3" s="2728">
        <v>12</v>
      </c>
      <c r="G3" s="2728">
        <v>12</v>
      </c>
      <c r="H3" s="2728">
        <v>12</v>
      </c>
      <c r="I3" s="2728">
        <v>20</v>
      </c>
      <c r="J3" s="2728">
        <v>12</v>
      </c>
      <c r="K3" s="2728">
        <v>12</v>
      </c>
      <c r="M3" s="2728">
        <v>3</v>
      </c>
      <c r="N3" s="2728">
        <v>4</v>
      </c>
      <c r="O3" s="2728">
        <v>40</v>
      </c>
      <c r="P3" s="2728">
        <v>12</v>
      </c>
      <c r="Q3" s="2728">
        <v>12</v>
      </c>
      <c r="R3" s="2728">
        <v>12</v>
      </c>
      <c r="S3" s="2728">
        <v>20</v>
      </c>
      <c r="T3" s="2728">
        <v>12</v>
      </c>
      <c r="U3" s="2728">
        <v>12</v>
      </c>
      <c r="V3" s="2729" t="s">
        <v>7036</v>
      </c>
      <c r="W3" s="2730">
        <v>1</v>
      </c>
    </row>
    <row r="4" spans="1:23">
      <c r="W4" s="2730">
        <v>1</v>
      </c>
    </row>
    <row r="5" spans="1:23" ht="15.75">
      <c r="U5" s="2769" t="s">
        <v>7044</v>
      </c>
      <c r="V5" s="2926" t="str">
        <f>$W$159</f>
        <v>W159</v>
      </c>
      <c r="W5" s="2730">
        <v>1</v>
      </c>
    </row>
    <row r="6" spans="1:23">
      <c r="W6" s="2730">
        <v>1</v>
      </c>
    </row>
    <row r="7" spans="1:23" ht="12.75" customHeight="1">
      <c r="C7" s="7914" t="s">
        <v>1769</v>
      </c>
      <c r="D7" s="7914"/>
      <c r="E7" s="7914"/>
      <c r="F7" s="7914"/>
      <c r="G7" s="7914"/>
      <c r="H7" s="7914"/>
      <c r="I7" s="7914"/>
      <c r="J7" s="7914"/>
      <c r="K7" s="7914"/>
      <c r="L7" s="7914"/>
      <c r="M7" s="7914"/>
      <c r="N7" s="7914"/>
      <c r="O7" s="7914"/>
      <c r="P7" s="7914"/>
      <c r="Q7" s="7914"/>
      <c r="R7" s="7914"/>
      <c r="S7" s="7914"/>
      <c r="T7" s="7914"/>
      <c r="U7" s="7914"/>
      <c r="W7" s="2730">
        <v>1</v>
      </c>
    </row>
    <row r="8" spans="1:23" ht="12.75" customHeight="1">
      <c r="C8" s="7914"/>
      <c r="D8" s="7914"/>
      <c r="E8" s="7914"/>
      <c r="F8" s="7914"/>
      <c r="G8" s="7914"/>
      <c r="H8" s="7914"/>
      <c r="I8" s="7914"/>
      <c r="J8" s="7914"/>
      <c r="K8" s="7914"/>
      <c r="L8" s="7914"/>
      <c r="M8" s="7914"/>
      <c r="N8" s="7914"/>
      <c r="O8" s="7914"/>
      <c r="P8" s="7914"/>
      <c r="Q8" s="7914"/>
      <c r="R8" s="7914"/>
      <c r="S8" s="7914"/>
      <c r="T8" s="7914"/>
      <c r="U8" s="7914"/>
      <c r="W8" s="2730">
        <v>1</v>
      </c>
    </row>
    <row r="9" spans="1:23" ht="12.75" customHeight="1">
      <c r="C9" s="7914"/>
      <c r="D9" s="7914"/>
      <c r="E9" s="7914"/>
      <c r="F9" s="7914"/>
      <c r="G9" s="7914"/>
      <c r="H9" s="7914"/>
      <c r="I9" s="7914"/>
      <c r="J9" s="7914"/>
      <c r="K9" s="7914"/>
      <c r="L9" s="7914"/>
      <c r="M9" s="7914"/>
      <c r="N9" s="7914"/>
      <c r="O9" s="7914"/>
      <c r="P9" s="7914"/>
      <c r="Q9" s="7914"/>
      <c r="R9" s="7914"/>
      <c r="S9" s="7914"/>
      <c r="T9" s="7914"/>
      <c r="U9" s="7914"/>
      <c r="W9" s="2730">
        <v>1</v>
      </c>
    </row>
    <row r="10" spans="1:23" ht="13.5" thickBot="1">
      <c r="W10" s="2730">
        <v>1</v>
      </c>
    </row>
    <row r="11" spans="1:23" ht="19.5" thickBot="1">
      <c r="C11" s="1097" t="s">
        <v>1775</v>
      </c>
      <c r="D11" s="1098"/>
      <c r="E11" s="1098"/>
      <c r="F11" s="7867" t="s">
        <v>1280</v>
      </c>
      <c r="G11" s="7868"/>
      <c r="H11" s="7868"/>
      <c r="I11" s="7868"/>
      <c r="J11" s="7868"/>
      <c r="K11" s="7869"/>
      <c r="N11" s="1097" t="s">
        <v>1775</v>
      </c>
      <c r="O11" s="1098"/>
      <c r="P11" s="7867" t="s">
        <v>1280</v>
      </c>
      <c r="Q11" s="7868"/>
      <c r="R11" s="7868"/>
      <c r="S11" s="7868"/>
      <c r="T11" s="7868"/>
      <c r="U11" s="7869"/>
      <c r="W11" s="2730">
        <v>1</v>
      </c>
    </row>
    <row r="12" spans="1:23" ht="13.5" thickBot="1">
      <c r="W12" s="2730">
        <v>1</v>
      </c>
    </row>
    <row r="13" spans="1:23" ht="18.75" customHeight="1">
      <c r="B13" s="2755" t="s">
        <v>67</v>
      </c>
      <c r="C13" s="7872" t="s">
        <v>1782</v>
      </c>
      <c r="D13" s="7872"/>
      <c r="E13" s="7872"/>
      <c r="F13" s="7872"/>
      <c r="G13" s="7872"/>
      <c r="H13" s="7872"/>
      <c r="I13" s="7872"/>
      <c r="J13" s="7872"/>
      <c r="K13" s="7895" t="s">
        <v>65</v>
      </c>
      <c r="M13" s="2936" t="s">
        <v>67</v>
      </c>
      <c r="N13" s="7913" t="str">
        <f>C13</f>
        <v>NOM DE VOTRE RECETTE</v>
      </c>
      <c r="O13" s="7875"/>
      <c r="P13" s="7875"/>
      <c r="Q13" s="7875"/>
      <c r="R13" s="7875"/>
      <c r="S13" s="7875"/>
      <c r="T13" s="7875"/>
      <c r="U13" s="7877" t="str">
        <f>K13</f>
        <v>N°1</v>
      </c>
      <c r="W13" s="2730">
        <v>1</v>
      </c>
    </row>
    <row r="14" spans="1:23" ht="18.75" customHeight="1">
      <c r="B14" s="2929" t="s">
        <v>337</v>
      </c>
      <c r="C14" s="7730"/>
      <c r="D14" s="7730"/>
      <c r="E14" s="7730"/>
      <c r="F14" s="7730"/>
      <c r="G14" s="7730"/>
      <c r="H14" s="7730"/>
      <c r="I14" s="7730"/>
      <c r="J14" s="7730"/>
      <c r="K14" s="7896"/>
      <c r="M14" s="2928" t="s">
        <v>337</v>
      </c>
      <c r="N14" s="7860"/>
      <c r="O14" s="7860"/>
      <c r="P14" s="7860"/>
      <c r="Q14" s="7860"/>
      <c r="R14" s="7860"/>
      <c r="S14" s="7860"/>
      <c r="T14" s="7860"/>
      <c r="U14" s="7878"/>
      <c r="W14" s="2730">
        <v>1</v>
      </c>
    </row>
    <row r="15" spans="1:23" ht="18.75">
      <c r="B15" s="2929" t="s">
        <v>337</v>
      </c>
      <c r="C15" s="7733" t="s">
        <v>1771</v>
      </c>
      <c r="D15" s="7733"/>
      <c r="E15" s="7733"/>
      <c r="F15" s="7733"/>
      <c r="G15" s="7733"/>
      <c r="H15" s="7733"/>
      <c r="I15" s="7733"/>
      <c r="J15" s="7733"/>
      <c r="K15" s="7734"/>
      <c r="M15" s="2928" t="s">
        <v>337</v>
      </c>
      <c r="N15" s="7863" t="str">
        <f>C15</f>
        <v>AUTEUR  : Michel MARIETTE</v>
      </c>
      <c r="O15" s="7863"/>
      <c r="P15" s="7863"/>
      <c r="Q15" s="7863"/>
      <c r="R15" s="7863"/>
      <c r="S15" s="7863"/>
      <c r="T15" s="7863"/>
      <c r="U15" s="7876"/>
      <c r="W15" s="2730">
        <v>1</v>
      </c>
    </row>
    <row r="16" spans="1:23" ht="18.75" customHeight="1">
      <c r="B16" s="2929" t="s">
        <v>337</v>
      </c>
      <c r="C16" s="2735"/>
      <c r="D16" s="34"/>
      <c r="E16" s="34"/>
      <c r="F16" s="1065"/>
      <c r="G16" s="7897" t="s">
        <v>1772</v>
      </c>
      <c r="H16" s="7897"/>
      <c r="I16" s="7726">
        <v>1.5</v>
      </c>
      <c r="J16" s="1067"/>
      <c r="K16" s="2756"/>
      <c r="M16" s="2928" t="s">
        <v>337</v>
      </c>
      <c r="N16" s="1088"/>
      <c r="O16" s="1088"/>
      <c r="P16" s="1088"/>
      <c r="Q16" s="1088"/>
      <c r="R16" s="1088"/>
      <c r="S16" s="1088"/>
      <c r="T16" s="1088"/>
      <c r="U16" s="2745"/>
      <c r="W16" s="2730">
        <v>1</v>
      </c>
    </row>
    <row r="17" spans="2:23" ht="18.75" customHeight="1">
      <c r="B17" s="2929" t="s">
        <v>337</v>
      </c>
      <c r="C17" s="2735"/>
      <c r="D17" s="34"/>
      <c r="E17" s="34"/>
      <c r="F17" s="1066"/>
      <c r="G17" s="7898"/>
      <c r="H17" s="7898"/>
      <c r="I17" s="7727"/>
      <c r="J17" s="1069"/>
      <c r="K17" s="2757"/>
      <c r="M17" s="2928" t="s">
        <v>337</v>
      </c>
      <c r="N17" s="2739"/>
      <c r="O17" s="1090" t="s">
        <v>1</v>
      </c>
      <c r="P17" s="11">
        <v>2</v>
      </c>
      <c r="Q17" s="1091"/>
      <c r="R17" s="1091"/>
      <c r="S17" s="1090" t="s">
        <v>0</v>
      </c>
      <c r="T17" s="11">
        <v>2</v>
      </c>
      <c r="U17" s="2746"/>
      <c r="W17" s="2730">
        <v>1</v>
      </c>
    </row>
    <row r="18" spans="2:23" ht="18.75">
      <c r="B18" s="2929" t="s">
        <v>337</v>
      </c>
      <c r="C18" s="7855" t="s">
        <v>1253</v>
      </c>
      <c r="D18" s="7856"/>
      <c r="E18" s="7616" t="s">
        <v>16246</v>
      </c>
      <c r="F18" s="2758" t="s">
        <v>1773</v>
      </c>
      <c r="G18" s="7609" t="s">
        <v>1282</v>
      </c>
      <c r="H18" s="7610" t="s">
        <v>19</v>
      </c>
      <c r="I18" s="1064" t="s">
        <v>1774</v>
      </c>
      <c r="J18" s="2761" t="s">
        <v>1781</v>
      </c>
      <c r="K18" s="2762" t="s">
        <v>1254</v>
      </c>
      <c r="M18" s="2928" t="s">
        <v>337</v>
      </c>
      <c r="N18" s="2736">
        <v>0</v>
      </c>
      <c r="O18" s="2737" t="s">
        <v>7038</v>
      </c>
      <c r="P18" s="2737"/>
      <c r="Q18" s="1095"/>
      <c r="R18" s="1095"/>
      <c r="S18" s="1093"/>
      <c r="T18" s="1094"/>
      <c r="U18" s="2747"/>
      <c r="W18" s="2730">
        <v>1</v>
      </c>
    </row>
    <row r="19" spans="2:23" ht="18.75">
      <c r="B19" s="2929" t="s">
        <v>337</v>
      </c>
      <c r="C19" s="2733">
        <f>ROWS(H19:H19)</f>
        <v>1</v>
      </c>
      <c r="D19" s="1074" t="s">
        <v>1255</v>
      </c>
      <c r="E19" s="7704" t="s">
        <v>10486</v>
      </c>
      <c r="F19" s="1022">
        <v>34</v>
      </c>
      <c r="G19" s="7607">
        <f>F19/F58*1000</f>
        <v>680</v>
      </c>
      <c r="H19" s="7608">
        <f>F19/F58</f>
        <v>0.68</v>
      </c>
      <c r="I19" s="1025">
        <f>H19*I16</f>
        <v>1.02</v>
      </c>
      <c r="J19" s="1026">
        <v>1</v>
      </c>
      <c r="K19" s="2763">
        <f t="shared" ref="K19:K46" si="2">I19*J19</f>
        <v>1.02</v>
      </c>
      <c r="M19" s="2928" t="s">
        <v>337</v>
      </c>
      <c r="N19" s="2736" t="str">
        <f>IF(ISBLANK(O19),"",LARGE(N18:N18,1)+1)</f>
        <v/>
      </c>
      <c r="O19" s="2748"/>
      <c r="P19" s="2748" t="s">
        <v>7039</v>
      </c>
      <c r="Q19" s="2749"/>
      <c r="R19" s="2749"/>
      <c r="S19" s="2749"/>
      <c r="T19" s="2749"/>
      <c r="U19" s="2750"/>
      <c r="W19" s="2730">
        <v>1</v>
      </c>
    </row>
    <row r="20" spans="2:23" ht="18.75">
      <c r="B20" s="2738" t="str">
        <f t="shared" ref="B20" si="3">IF(D20&lt;&gt;"","A","►")</f>
        <v>A</v>
      </c>
      <c r="C20" s="2734">
        <f>ROWS(H19:H20)</f>
        <v>2</v>
      </c>
      <c r="D20" s="1075" t="s">
        <v>17871</v>
      </c>
      <c r="E20" s="7704" t="s">
        <v>17874</v>
      </c>
      <c r="F20" s="1028">
        <v>16</v>
      </c>
      <c r="G20" s="7600">
        <f>F20/F58*1000</f>
        <v>320</v>
      </c>
      <c r="H20" s="7604">
        <f>F20/F58</f>
        <v>0.32</v>
      </c>
      <c r="I20" s="1031">
        <f>H20*I16</f>
        <v>0.48</v>
      </c>
      <c r="J20" s="1032">
        <v>2</v>
      </c>
      <c r="K20" s="2764">
        <f t="shared" si="2"/>
        <v>0.96</v>
      </c>
      <c r="M20" s="2928" t="s">
        <v>337</v>
      </c>
      <c r="N20" s="2736">
        <f>IF(ISBLANK(O20),"",LARGE(N18:N19,1)+1)</f>
        <v>1</v>
      </c>
      <c r="O20" s="2748" t="s">
        <v>7040</v>
      </c>
      <c r="P20" s="2748"/>
      <c r="Q20" s="491"/>
      <c r="R20" s="491"/>
      <c r="S20" s="491"/>
      <c r="T20" s="491"/>
      <c r="U20" s="2752"/>
      <c r="W20" s="2730">
        <v>1</v>
      </c>
    </row>
    <row r="21" spans="2:23" ht="18.75">
      <c r="B21" s="2738" t="str">
        <f>IF(D21&lt;&gt;"","A","►")</f>
        <v>►</v>
      </c>
      <c r="C21" s="2733">
        <f>ROWS(H19:H21)</f>
        <v>3</v>
      </c>
      <c r="D21" s="1074"/>
      <c r="E21" s="7704"/>
      <c r="F21" s="1022"/>
      <c r="G21" s="7599">
        <f>F21/F58*1000</f>
        <v>0</v>
      </c>
      <c r="H21" s="7603">
        <f>F21/F58</f>
        <v>0</v>
      </c>
      <c r="I21" s="1034">
        <f>H21*I16</f>
        <v>0</v>
      </c>
      <c r="J21" s="1026">
        <v>2</v>
      </c>
      <c r="K21" s="2763">
        <f t="shared" si="2"/>
        <v>0</v>
      </c>
      <c r="M21" s="2751" t="str">
        <f t="shared" ref="M21:M48" si="4">IF(COUNTA(O21:U21)&gt;0, "A", "►")</f>
        <v>A</v>
      </c>
      <c r="N21" s="2736">
        <f>IF(ISBLANK(O21),"",LARGE(N18:N20,1)+1)</f>
        <v>2</v>
      </c>
      <c r="O21" s="2748" t="s">
        <v>7041</v>
      </c>
      <c r="P21" s="2748"/>
      <c r="Q21" s="491"/>
      <c r="R21" s="491"/>
      <c r="S21" s="491"/>
      <c r="T21" s="491"/>
      <c r="U21" s="2752"/>
      <c r="W21" s="2730">
        <v>1</v>
      </c>
    </row>
    <row r="22" spans="2:23" ht="18.75">
      <c r="B22" s="2738" t="str">
        <f t="shared" ref="B22:B46" si="5">IF(D22&lt;&gt;"","A","►")</f>
        <v>►</v>
      </c>
      <c r="C22" s="2734">
        <f>ROWS(H19:H22)</f>
        <v>4</v>
      </c>
      <c r="D22" s="1075"/>
      <c r="E22" s="7704"/>
      <c r="F22" s="1028"/>
      <c r="G22" s="7600">
        <f>F22/F58*1000</f>
        <v>0</v>
      </c>
      <c r="H22" s="7604">
        <f>F22/F58</f>
        <v>0</v>
      </c>
      <c r="I22" s="1031">
        <f>H22*I16</f>
        <v>0</v>
      </c>
      <c r="J22" s="1032">
        <v>0</v>
      </c>
      <c r="K22" s="2764">
        <f t="shared" si="2"/>
        <v>0</v>
      </c>
      <c r="M22" s="2751" t="str">
        <f t="shared" si="4"/>
        <v>A</v>
      </c>
      <c r="N22" s="2736">
        <f>IF(ISBLANK(O22),"",LARGE(N18:N21,1)+1)</f>
        <v>3</v>
      </c>
      <c r="O22" s="2748" t="s">
        <v>7042</v>
      </c>
      <c r="P22" s="2748"/>
      <c r="Q22" s="491"/>
      <c r="R22" s="491"/>
      <c r="S22" s="491"/>
      <c r="T22" s="491"/>
      <c r="U22" s="2752"/>
      <c r="W22" s="2730">
        <v>1</v>
      </c>
    </row>
    <row r="23" spans="2:23" ht="18.75">
      <c r="B23" s="2738" t="str">
        <f t="shared" si="5"/>
        <v>►</v>
      </c>
      <c r="C23" s="2733">
        <f>ROWS(H19:H23)</f>
        <v>5</v>
      </c>
      <c r="D23" s="1074"/>
      <c r="E23" s="7704"/>
      <c r="F23" s="1022"/>
      <c r="G23" s="7599">
        <f>F23/F58*1000</f>
        <v>0</v>
      </c>
      <c r="H23" s="7603">
        <f>F23/F58</f>
        <v>0</v>
      </c>
      <c r="I23" s="1034">
        <f>H23*I16</f>
        <v>0</v>
      </c>
      <c r="J23" s="1026">
        <v>0</v>
      </c>
      <c r="K23" s="2763">
        <f t="shared" si="2"/>
        <v>0</v>
      </c>
      <c r="M23" s="2751" t="str">
        <f t="shared" si="4"/>
        <v>A</v>
      </c>
      <c r="N23" s="2736" t="str">
        <f>IF(ISBLANK(O23),"",LARGE(N18:N22,1)+1)</f>
        <v/>
      </c>
      <c r="O23" s="2748"/>
      <c r="P23" s="2748" t="s">
        <v>7043</v>
      </c>
      <c r="Q23" s="491"/>
      <c r="R23" s="491"/>
      <c r="S23" s="491"/>
      <c r="T23" s="491"/>
      <c r="U23" s="2752"/>
      <c r="W23" s="2730">
        <v>1</v>
      </c>
    </row>
    <row r="24" spans="2:23" ht="18.75">
      <c r="B24" s="2738" t="str">
        <f t="shared" si="5"/>
        <v>►</v>
      </c>
      <c r="C24" s="2734">
        <f>ROWS(H19:H24)</f>
        <v>6</v>
      </c>
      <c r="D24" s="1075"/>
      <c r="E24" s="7704"/>
      <c r="F24" s="1028"/>
      <c r="G24" s="7600">
        <f>F24/F58*1000</f>
        <v>0</v>
      </c>
      <c r="H24" s="7604">
        <f>F24/F58</f>
        <v>0</v>
      </c>
      <c r="I24" s="1031">
        <f>H24*I16</f>
        <v>0</v>
      </c>
      <c r="J24" s="1032">
        <v>0</v>
      </c>
      <c r="K24" s="2764">
        <f t="shared" si="2"/>
        <v>0</v>
      </c>
      <c r="M24" s="2751" t="str">
        <f t="shared" si="4"/>
        <v>►</v>
      </c>
      <c r="N24" s="2736" t="str">
        <f>IF(ISBLANK(O24),"",LARGE(N18:N23,1)+1)</f>
        <v/>
      </c>
      <c r="O24" s="491"/>
      <c r="P24" s="491"/>
      <c r="Q24" s="491"/>
      <c r="R24" s="491"/>
      <c r="S24" s="491"/>
      <c r="T24" s="491"/>
      <c r="U24" s="2752"/>
      <c r="W24" s="2730">
        <v>1</v>
      </c>
    </row>
    <row r="25" spans="2:23" ht="18.75">
      <c r="B25" s="2738" t="str">
        <f t="shared" si="5"/>
        <v>►</v>
      </c>
      <c r="C25" s="2733">
        <f>ROWS(H19:H25)</f>
        <v>7</v>
      </c>
      <c r="D25" s="1074"/>
      <c r="E25" s="7704"/>
      <c r="F25" s="1022"/>
      <c r="G25" s="7599">
        <f>F25/F58*1000</f>
        <v>0</v>
      </c>
      <c r="H25" s="7603">
        <f>F25/F58</f>
        <v>0</v>
      </c>
      <c r="I25" s="1034">
        <f>H25*I16</f>
        <v>0</v>
      </c>
      <c r="J25" s="1026">
        <v>0</v>
      </c>
      <c r="K25" s="2763">
        <f t="shared" si="2"/>
        <v>0</v>
      </c>
      <c r="M25" s="2751" t="str">
        <f t="shared" si="4"/>
        <v>►</v>
      </c>
      <c r="N25" s="2736" t="str">
        <f>IF(ISBLANK(O25),"",LARGE(N18:N24,1)+1)</f>
        <v/>
      </c>
      <c r="O25" s="491"/>
      <c r="P25" s="491"/>
      <c r="Q25" s="491"/>
      <c r="R25" s="491"/>
      <c r="S25" s="491"/>
      <c r="T25" s="491"/>
      <c r="U25" s="2752"/>
      <c r="W25" s="2730">
        <v>1</v>
      </c>
    </row>
    <row r="26" spans="2:23" ht="18.75">
      <c r="B26" s="2738" t="str">
        <f t="shared" si="5"/>
        <v>►</v>
      </c>
      <c r="C26" s="2734">
        <f>ROWS(H19:H26)</f>
        <v>8</v>
      </c>
      <c r="D26" s="1075"/>
      <c r="E26" s="7704"/>
      <c r="F26" s="1028"/>
      <c r="G26" s="7600">
        <f>F26/F58*1000</f>
        <v>0</v>
      </c>
      <c r="H26" s="7604">
        <f>F26/F58</f>
        <v>0</v>
      </c>
      <c r="I26" s="1031">
        <f>H26*I16</f>
        <v>0</v>
      </c>
      <c r="J26" s="1032">
        <v>0</v>
      </c>
      <c r="K26" s="2764">
        <f t="shared" si="2"/>
        <v>0</v>
      </c>
      <c r="M26" s="2751" t="str">
        <f t="shared" si="4"/>
        <v>►</v>
      </c>
      <c r="N26" s="2736" t="str">
        <f>IF(ISBLANK(O26),"",LARGE(N18:N25,1)+1)</f>
        <v/>
      </c>
      <c r="O26" s="491"/>
      <c r="P26" s="491"/>
      <c r="Q26" s="491"/>
      <c r="R26" s="491"/>
      <c r="S26" s="491"/>
      <c r="T26" s="491"/>
      <c r="U26" s="2752"/>
      <c r="W26" s="2730">
        <v>1</v>
      </c>
    </row>
    <row r="27" spans="2:23" ht="18.75">
      <c r="B27" s="2738" t="str">
        <f t="shared" si="5"/>
        <v>►</v>
      </c>
      <c r="C27" s="2733">
        <f>ROWS(H19:H27)</f>
        <v>9</v>
      </c>
      <c r="D27" s="1074"/>
      <c r="E27" s="7704"/>
      <c r="F27" s="1022"/>
      <c r="G27" s="7599">
        <f>F27/F58*1000</f>
        <v>0</v>
      </c>
      <c r="H27" s="7603">
        <f>F27/F58</f>
        <v>0</v>
      </c>
      <c r="I27" s="1034">
        <f>H27*I16</f>
        <v>0</v>
      </c>
      <c r="J27" s="1026">
        <v>0</v>
      </c>
      <c r="K27" s="2763">
        <f t="shared" si="2"/>
        <v>0</v>
      </c>
      <c r="M27" s="2751" t="str">
        <f t="shared" si="4"/>
        <v>►</v>
      </c>
      <c r="N27" s="2736" t="str">
        <f>IF(ISBLANK(O27),"",LARGE(N18:N26,1)+1)</f>
        <v/>
      </c>
      <c r="O27" s="491"/>
      <c r="P27" s="491"/>
      <c r="Q27" s="491"/>
      <c r="R27" s="491"/>
      <c r="S27" s="491"/>
      <c r="T27" s="491"/>
      <c r="U27" s="2752"/>
      <c r="W27" s="2730">
        <v>1</v>
      </c>
    </row>
    <row r="28" spans="2:23" ht="18.75">
      <c r="B28" s="2738" t="str">
        <f t="shared" si="5"/>
        <v>►</v>
      </c>
      <c r="C28" s="2734">
        <f>ROWS(H19:H28)</f>
        <v>10</v>
      </c>
      <c r="D28" s="1075"/>
      <c r="E28" s="7704"/>
      <c r="F28" s="1028"/>
      <c r="G28" s="7600">
        <f>F28/F58*1000</f>
        <v>0</v>
      </c>
      <c r="H28" s="7604">
        <f>F28/F58</f>
        <v>0</v>
      </c>
      <c r="I28" s="1031">
        <f>H28*I16</f>
        <v>0</v>
      </c>
      <c r="J28" s="1032">
        <v>0</v>
      </c>
      <c r="K28" s="2764">
        <f t="shared" si="2"/>
        <v>0</v>
      </c>
      <c r="M28" s="2751" t="str">
        <f t="shared" si="4"/>
        <v>►</v>
      </c>
      <c r="N28" s="2736" t="str">
        <f>IF(ISBLANK(O28),"",LARGE(N18:N27,1)+1)</f>
        <v/>
      </c>
      <c r="O28" s="491"/>
      <c r="P28" s="491"/>
      <c r="Q28" s="491"/>
      <c r="R28" s="491"/>
      <c r="S28" s="491"/>
      <c r="T28" s="491"/>
      <c r="U28" s="2752"/>
      <c r="W28" s="2730">
        <v>1</v>
      </c>
    </row>
    <row r="29" spans="2:23" ht="18.75">
      <c r="B29" s="2738" t="str">
        <f t="shared" si="5"/>
        <v>►</v>
      </c>
      <c r="C29" s="2733">
        <f>ROWS(H19:H29)</f>
        <v>11</v>
      </c>
      <c r="D29" s="1074"/>
      <c r="E29" s="7704"/>
      <c r="F29" s="1022"/>
      <c r="G29" s="7599">
        <f>F29/F58*1000</f>
        <v>0</v>
      </c>
      <c r="H29" s="7603">
        <f>F29/F58</f>
        <v>0</v>
      </c>
      <c r="I29" s="1034">
        <f>H29*I16</f>
        <v>0</v>
      </c>
      <c r="J29" s="1026">
        <v>0</v>
      </c>
      <c r="K29" s="2763">
        <f t="shared" si="2"/>
        <v>0</v>
      </c>
      <c r="M29" s="2751" t="str">
        <f t="shared" si="4"/>
        <v>►</v>
      </c>
      <c r="N29" s="2736" t="str">
        <f>IF(ISBLANK(O29),"",LARGE(N18:N28,1)+1)</f>
        <v/>
      </c>
      <c r="O29" s="491"/>
      <c r="P29" s="491"/>
      <c r="Q29" s="491"/>
      <c r="R29" s="491"/>
      <c r="S29" s="491"/>
      <c r="T29" s="491"/>
      <c r="U29" s="2752"/>
      <c r="W29" s="2730">
        <v>1</v>
      </c>
    </row>
    <row r="30" spans="2:23" ht="18.75">
      <c r="B30" s="2738" t="str">
        <f t="shared" si="5"/>
        <v>►</v>
      </c>
      <c r="C30" s="2734">
        <f>ROWS(H19:H30)</f>
        <v>12</v>
      </c>
      <c r="D30" s="1075"/>
      <c r="E30" s="7704"/>
      <c r="F30" s="1028"/>
      <c r="G30" s="7600">
        <f>F30/F58*1000</f>
        <v>0</v>
      </c>
      <c r="H30" s="7604">
        <f>F30/F58</f>
        <v>0</v>
      </c>
      <c r="I30" s="1031">
        <f>H30*I16</f>
        <v>0</v>
      </c>
      <c r="J30" s="1032">
        <v>0</v>
      </c>
      <c r="K30" s="2764">
        <f t="shared" si="2"/>
        <v>0</v>
      </c>
      <c r="M30" s="2751" t="str">
        <f t="shared" si="4"/>
        <v>►</v>
      </c>
      <c r="N30" s="2736" t="str">
        <f>IF(ISBLANK(O30),"",LARGE(N18:N29,1)+1)</f>
        <v/>
      </c>
      <c r="O30" s="491"/>
      <c r="P30" s="491"/>
      <c r="Q30" s="491"/>
      <c r="R30" s="491"/>
      <c r="S30" s="491"/>
      <c r="T30" s="491"/>
      <c r="U30" s="2752"/>
      <c r="W30" s="2730">
        <v>1</v>
      </c>
    </row>
    <row r="31" spans="2:23" ht="18.75">
      <c r="B31" s="2738" t="str">
        <f t="shared" si="5"/>
        <v>►</v>
      </c>
      <c r="C31" s="2733">
        <f>ROWS(H19:H31)</f>
        <v>13</v>
      </c>
      <c r="D31" s="1074"/>
      <c r="E31" s="7704"/>
      <c r="F31" s="1022"/>
      <c r="G31" s="7599">
        <f>F31/F58*1000</f>
        <v>0</v>
      </c>
      <c r="H31" s="7603">
        <f>F31/F58</f>
        <v>0</v>
      </c>
      <c r="I31" s="1034">
        <f>H31*I16</f>
        <v>0</v>
      </c>
      <c r="J31" s="1026">
        <v>0</v>
      </c>
      <c r="K31" s="2763">
        <f t="shared" si="2"/>
        <v>0</v>
      </c>
      <c r="M31" s="2751" t="str">
        <f t="shared" si="4"/>
        <v>►</v>
      </c>
      <c r="N31" s="2736" t="str">
        <f>IF(ISBLANK(O31),"",LARGE(N18:N30,1)+1)</f>
        <v/>
      </c>
      <c r="O31" s="491"/>
      <c r="P31" s="491"/>
      <c r="Q31" s="491"/>
      <c r="R31" s="491"/>
      <c r="S31" s="491"/>
      <c r="T31" s="491"/>
      <c r="U31" s="2752"/>
      <c r="W31" s="2730">
        <v>1</v>
      </c>
    </row>
    <row r="32" spans="2:23" ht="18.75">
      <c r="B32" s="2738" t="str">
        <f t="shared" si="5"/>
        <v>►</v>
      </c>
      <c r="C32" s="2734">
        <f>ROWS(H19:H32)</f>
        <v>14</v>
      </c>
      <c r="D32" s="1075"/>
      <c r="E32" s="7704"/>
      <c r="F32" s="1028"/>
      <c r="G32" s="7600">
        <f>F32/F58*1000</f>
        <v>0</v>
      </c>
      <c r="H32" s="7604">
        <f>F32/F58</f>
        <v>0</v>
      </c>
      <c r="I32" s="1031">
        <f>H32*I16</f>
        <v>0</v>
      </c>
      <c r="J32" s="1032">
        <v>0</v>
      </c>
      <c r="K32" s="2764">
        <f t="shared" si="2"/>
        <v>0</v>
      </c>
      <c r="M32" s="2751" t="str">
        <f t="shared" si="4"/>
        <v>►</v>
      </c>
      <c r="N32" s="2736" t="str">
        <f>IF(ISBLANK(O32),"",LARGE(N18:N31,1)+1)</f>
        <v/>
      </c>
      <c r="O32" s="491"/>
      <c r="P32" s="491"/>
      <c r="Q32" s="491"/>
      <c r="R32" s="491"/>
      <c r="S32" s="491"/>
      <c r="T32" s="491"/>
      <c r="U32" s="2752"/>
      <c r="W32" s="2730">
        <v>1</v>
      </c>
    </row>
    <row r="33" spans="2:23" ht="18.75">
      <c r="B33" s="2738" t="str">
        <f t="shared" si="5"/>
        <v>►</v>
      </c>
      <c r="C33" s="2733">
        <f>ROWS(H19:H33)</f>
        <v>15</v>
      </c>
      <c r="D33" s="1074"/>
      <c r="E33" s="7704"/>
      <c r="F33" s="1022"/>
      <c r="G33" s="7599">
        <f>F33/F58*1000</f>
        <v>0</v>
      </c>
      <c r="H33" s="7603">
        <f>F33/F58</f>
        <v>0</v>
      </c>
      <c r="I33" s="1034">
        <f>H33*I16</f>
        <v>0</v>
      </c>
      <c r="J33" s="1026">
        <v>0</v>
      </c>
      <c r="K33" s="2763">
        <f t="shared" si="2"/>
        <v>0</v>
      </c>
      <c r="M33" s="2751" t="str">
        <f t="shared" si="4"/>
        <v>►</v>
      </c>
      <c r="N33" s="2736" t="str">
        <f>IF(ISBLANK(O33),"",LARGE(N18:N32,1)+1)</f>
        <v/>
      </c>
      <c r="O33" s="491"/>
      <c r="P33" s="491"/>
      <c r="Q33" s="491"/>
      <c r="R33" s="491"/>
      <c r="S33" s="491"/>
      <c r="T33" s="491"/>
      <c r="U33" s="2752"/>
      <c r="W33" s="2730">
        <v>1</v>
      </c>
    </row>
    <row r="34" spans="2:23" ht="18.75">
      <c r="B34" s="2738" t="str">
        <f t="shared" si="5"/>
        <v>►</v>
      </c>
      <c r="C34" s="2734">
        <f>ROWS(H19:H34)</f>
        <v>16</v>
      </c>
      <c r="D34" s="1075"/>
      <c r="E34" s="7704"/>
      <c r="F34" s="1028"/>
      <c r="G34" s="7600">
        <f>F34/F58*1000</f>
        <v>0</v>
      </c>
      <c r="H34" s="7604">
        <f>F34/F58</f>
        <v>0</v>
      </c>
      <c r="I34" s="1031">
        <f>H34*I16</f>
        <v>0</v>
      </c>
      <c r="J34" s="1032">
        <v>0</v>
      </c>
      <c r="K34" s="2764">
        <f t="shared" si="2"/>
        <v>0</v>
      </c>
      <c r="M34" s="2751" t="str">
        <f t="shared" si="4"/>
        <v>►</v>
      </c>
      <c r="N34" s="2736" t="str">
        <f>IF(ISBLANK(O34),"",LARGE(N18:N33,1)+1)</f>
        <v/>
      </c>
      <c r="O34" s="491"/>
      <c r="P34" s="491"/>
      <c r="Q34" s="491"/>
      <c r="R34" s="491"/>
      <c r="S34" s="491"/>
      <c r="T34" s="491"/>
      <c r="U34" s="2752"/>
      <c r="W34" s="2730">
        <v>1</v>
      </c>
    </row>
    <row r="35" spans="2:23" ht="18.75">
      <c r="B35" s="2738" t="str">
        <f t="shared" si="5"/>
        <v>►</v>
      </c>
      <c r="C35" s="2733">
        <f>ROWS(H19:H35)</f>
        <v>17</v>
      </c>
      <c r="D35" s="1074"/>
      <c r="E35" s="7704"/>
      <c r="F35" s="1022"/>
      <c r="G35" s="7599">
        <f>F35/F58*1000</f>
        <v>0</v>
      </c>
      <c r="H35" s="7603">
        <f>F35/F58</f>
        <v>0</v>
      </c>
      <c r="I35" s="1034">
        <f>H35*I16</f>
        <v>0</v>
      </c>
      <c r="J35" s="1026">
        <v>0</v>
      </c>
      <c r="K35" s="2763">
        <f t="shared" si="2"/>
        <v>0</v>
      </c>
      <c r="M35" s="2751" t="str">
        <f t="shared" si="4"/>
        <v>►</v>
      </c>
      <c r="N35" s="2736" t="str">
        <f>IF(ISBLANK(O35),"",LARGE(N18:N34,1)+1)</f>
        <v/>
      </c>
      <c r="O35" s="491"/>
      <c r="P35" s="491"/>
      <c r="Q35" s="491"/>
      <c r="R35" s="491"/>
      <c r="S35" s="491"/>
      <c r="T35" s="491"/>
      <c r="U35" s="2752"/>
      <c r="W35" s="2730">
        <v>1</v>
      </c>
    </row>
    <row r="36" spans="2:23" ht="18.75">
      <c r="B36" s="2738" t="str">
        <f t="shared" si="5"/>
        <v>►</v>
      </c>
      <c r="C36" s="2734">
        <f>ROWS(H19:H36)</f>
        <v>18</v>
      </c>
      <c r="D36" s="1075"/>
      <c r="E36" s="7704"/>
      <c r="F36" s="1028"/>
      <c r="G36" s="7600">
        <f>F36/F58*1000</f>
        <v>0</v>
      </c>
      <c r="H36" s="7604">
        <f>F36/F58</f>
        <v>0</v>
      </c>
      <c r="I36" s="1031">
        <f>H36*I16</f>
        <v>0</v>
      </c>
      <c r="J36" s="1032">
        <v>0</v>
      </c>
      <c r="K36" s="2764">
        <f t="shared" si="2"/>
        <v>0</v>
      </c>
      <c r="M36" s="2751" t="str">
        <f t="shared" si="4"/>
        <v>►</v>
      </c>
      <c r="N36" s="2736" t="str">
        <f>IF(ISBLANK(O36),"",LARGE(N18:N35,1)+1)</f>
        <v/>
      </c>
      <c r="O36" s="491"/>
      <c r="P36" s="491"/>
      <c r="Q36" s="491"/>
      <c r="R36" s="491"/>
      <c r="S36" s="491"/>
      <c r="T36" s="491"/>
      <c r="U36" s="2752"/>
      <c r="W36" s="2730">
        <v>1</v>
      </c>
    </row>
    <row r="37" spans="2:23" ht="18.75">
      <c r="B37" s="2738" t="str">
        <f t="shared" si="5"/>
        <v>►</v>
      </c>
      <c r="C37" s="2733">
        <f>ROWS(H19:H37)</f>
        <v>19</v>
      </c>
      <c r="D37" s="1074"/>
      <c r="E37" s="7704"/>
      <c r="F37" s="1022"/>
      <c r="G37" s="7599">
        <f>F37/F58*1000</f>
        <v>0</v>
      </c>
      <c r="H37" s="7603">
        <f>F37/F58</f>
        <v>0</v>
      </c>
      <c r="I37" s="1034">
        <f>H37*I16</f>
        <v>0</v>
      </c>
      <c r="J37" s="1026">
        <v>0</v>
      </c>
      <c r="K37" s="2763">
        <f t="shared" si="2"/>
        <v>0</v>
      </c>
      <c r="M37" s="2751" t="str">
        <f t="shared" si="4"/>
        <v>►</v>
      </c>
      <c r="N37" s="2736" t="str">
        <f>IF(ISBLANK(O37),"",LARGE(N18:N36,1)+1)</f>
        <v/>
      </c>
      <c r="O37" s="491"/>
      <c r="P37" s="491"/>
      <c r="Q37" s="491"/>
      <c r="R37" s="491"/>
      <c r="S37" s="491"/>
      <c r="T37" s="491"/>
      <c r="U37" s="2752"/>
      <c r="W37" s="2730">
        <v>1</v>
      </c>
    </row>
    <row r="38" spans="2:23" ht="18.75">
      <c r="B38" s="2738" t="str">
        <f t="shared" si="5"/>
        <v>►</v>
      </c>
      <c r="C38" s="2734">
        <f>ROWS(H19:H38)</f>
        <v>20</v>
      </c>
      <c r="D38" s="1075"/>
      <c r="E38" s="7704"/>
      <c r="F38" s="1028"/>
      <c r="G38" s="7600">
        <f>F38/F58*1000</f>
        <v>0</v>
      </c>
      <c r="H38" s="7604">
        <f>F38/F58</f>
        <v>0</v>
      </c>
      <c r="I38" s="1031">
        <f>H38*I16</f>
        <v>0</v>
      </c>
      <c r="J38" s="1032">
        <v>0</v>
      </c>
      <c r="K38" s="2764">
        <f t="shared" si="2"/>
        <v>0</v>
      </c>
      <c r="M38" s="2751" t="str">
        <f t="shared" si="4"/>
        <v>►</v>
      </c>
      <c r="N38" s="2736" t="str">
        <f>IF(ISBLANK(O38),"",LARGE(N18:N37,1)+1)</f>
        <v/>
      </c>
      <c r="O38" s="491"/>
      <c r="P38" s="491"/>
      <c r="Q38" s="491"/>
      <c r="R38" s="491"/>
      <c r="S38" s="491"/>
      <c r="T38" s="491"/>
      <c r="U38" s="2752"/>
      <c r="W38" s="2730">
        <v>1</v>
      </c>
    </row>
    <row r="39" spans="2:23" ht="18.75">
      <c r="B39" s="2738" t="str">
        <f t="shared" si="5"/>
        <v>►</v>
      </c>
      <c r="C39" s="2733">
        <f>ROWS(H19:H39)</f>
        <v>21</v>
      </c>
      <c r="D39" s="1074"/>
      <c r="E39" s="7704"/>
      <c r="F39" s="1022"/>
      <c r="G39" s="7599">
        <f>F39/F58*1000</f>
        <v>0</v>
      </c>
      <c r="H39" s="7603">
        <f>F39/F58</f>
        <v>0</v>
      </c>
      <c r="I39" s="1034">
        <f>H39*I16</f>
        <v>0</v>
      </c>
      <c r="J39" s="1026">
        <v>0</v>
      </c>
      <c r="K39" s="2763">
        <f t="shared" si="2"/>
        <v>0</v>
      </c>
      <c r="M39" s="2751" t="str">
        <f t="shared" si="4"/>
        <v>►</v>
      </c>
      <c r="N39" s="2736" t="str">
        <f>IF(ISBLANK(O39),"",LARGE(N18:N38,1)+1)</f>
        <v/>
      </c>
      <c r="O39" s="491"/>
      <c r="P39" s="491"/>
      <c r="Q39" s="491"/>
      <c r="R39" s="491"/>
      <c r="S39" s="491"/>
      <c r="T39" s="491"/>
      <c r="U39" s="2752"/>
      <c r="W39" s="2730">
        <v>1</v>
      </c>
    </row>
    <row r="40" spans="2:23" ht="18.75">
      <c r="B40" s="2738" t="str">
        <f t="shared" si="5"/>
        <v>►</v>
      </c>
      <c r="C40" s="2734">
        <f>ROWS(H19:H40)</f>
        <v>22</v>
      </c>
      <c r="D40" s="1075"/>
      <c r="E40" s="7704"/>
      <c r="F40" s="1028"/>
      <c r="G40" s="7600">
        <f>F40/F58*1000</f>
        <v>0</v>
      </c>
      <c r="H40" s="7604">
        <f>F40/F58</f>
        <v>0</v>
      </c>
      <c r="I40" s="1031">
        <f>H40*I16</f>
        <v>0</v>
      </c>
      <c r="J40" s="1032">
        <v>0</v>
      </c>
      <c r="K40" s="2764">
        <f t="shared" si="2"/>
        <v>0</v>
      </c>
      <c r="M40" s="2751" t="str">
        <f t="shared" si="4"/>
        <v>►</v>
      </c>
      <c r="N40" s="2736" t="str">
        <f>IF(ISBLANK(O40),"",LARGE(N18:N39,1)+1)</f>
        <v/>
      </c>
      <c r="O40" s="491"/>
      <c r="P40" s="491"/>
      <c r="Q40" s="491"/>
      <c r="R40" s="491"/>
      <c r="S40" s="491"/>
      <c r="T40" s="491"/>
      <c r="U40" s="2752"/>
      <c r="W40" s="2730">
        <v>1</v>
      </c>
    </row>
    <row r="41" spans="2:23" ht="18.75">
      <c r="B41" s="2738" t="str">
        <f t="shared" si="5"/>
        <v>►</v>
      </c>
      <c r="C41" s="2733">
        <f>ROWS(H19:H41)</f>
        <v>23</v>
      </c>
      <c r="D41" s="1074"/>
      <c r="E41" s="7704"/>
      <c r="F41" s="1022"/>
      <c r="G41" s="7599">
        <f>F41/F58*1000</f>
        <v>0</v>
      </c>
      <c r="H41" s="7603">
        <f>F41/F58</f>
        <v>0</v>
      </c>
      <c r="I41" s="1034">
        <f>H41*I16</f>
        <v>0</v>
      </c>
      <c r="J41" s="1026">
        <v>0</v>
      </c>
      <c r="K41" s="2763">
        <f t="shared" si="2"/>
        <v>0</v>
      </c>
      <c r="M41" s="2751" t="str">
        <f t="shared" si="4"/>
        <v>►</v>
      </c>
      <c r="N41" s="2736" t="str">
        <f>IF(ISBLANK(O41),"",LARGE(N18:N40,1)+1)</f>
        <v/>
      </c>
      <c r="O41" s="491"/>
      <c r="P41" s="491"/>
      <c r="Q41" s="491"/>
      <c r="R41" s="491"/>
      <c r="S41" s="491"/>
      <c r="T41" s="491"/>
      <c r="U41" s="2752"/>
      <c r="W41" s="2730">
        <v>1</v>
      </c>
    </row>
    <row r="42" spans="2:23" ht="18.75">
      <c r="B42" s="2738" t="str">
        <f t="shared" si="5"/>
        <v>►</v>
      </c>
      <c r="C42" s="2734">
        <f>ROWS(H19:H42)</f>
        <v>24</v>
      </c>
      <c r="D42" s="1075"/>
      <c r="E42" s="7704"/>
      <c r="F42" s="1028"/>
      <c r="G42" s="7600">
        <f>F42/F58*1000</f>
        <v>0</v>
      </c>
      <c r="H42" s="7604">
        <f>F42/F58</f>
        <v>0</v>
      </c>
      <c r="I42" s="1031">
        <f>H42*I16</f>
        <v>0</v>
      </c>
      <c r="J42" s="1032">
        <v>0</v>
      </c>
      <c r="K42" s="2764">
        <f t="shared" si="2"/>
        <v>0</v>
      </c>
      <c r="M42" s="2751" t="str">
        <f t="shared" si="4"/>
        <v>►</v>
      </c>
      <c r="N42" s="2736" t="str">
        <f>IF(ISBLANK(O42),"",LARGE(N18:N41,1)+1)</f>
        <v/>
      </c>
      <c r="O42" s="491"/>
      <c r="P42" s="491"/>
      <c r="Q42" s="491"/>
      <c r="R42" s="491"/>
      <c r="S42" s="491"/>
      <c r="T42" s="491"/>
      <c r="U42" s="2752"/>
      <c r="W42" s="2730">
        <v>1</v>
      </c>
    </row>
    <row r="43" spans="2:23" ht="18.75">
      <c r="B43" s="2738" t="str">
        <f t="shared" si="5"/>
        <v>►</v>
      </c>
      <c r="C43" s="2733">
        <f>ROWS(H19:H43)</f>
        <v>25</v>
      </c>
      <c r="D43" s="1074"/>
      <c r="E43" s="7704"/>
      <c r="F43" s="1022"/>
      <c r="G43" s="7599">
        <f>F43/F58*1000</f>
        <v>0</v>
      </c>
      <c r="H43" s="7603">
        <f>F43/F58</f>
        <v>0</v>
      </c>
      <c r="I43" s="1034">
        <f>H43*I16</f>
        <v>0</v>
      </c>
      <c r="J43" s="1026">
        <v>0</v>
      </c>
      <c r="K43" s="2763">
        <f t="shared" si="2"/>
        <v>0</v>
      </c>
      <c r="M43" s="2751" t="str">
        <f t="shared" si="4"/>
        <v>►</v>
      </c>
      <c r="N43" s="2736" t="str">
        <f>IF(ISBLANK(O43),"",LARGE(N18:N42,1)+1)</f>
        <v/>
      </c>
      <c r="O43" s="491"/>
      <c r="P43" s="491"/>
      <c r="Q43" s="491"/>
      <c r="R43" s="491"/>
      <c r="S43" s="491"/>
      <c r="T43" s="491"/>
      <c r="U43" s="2752"/>
      <c r="W43" s="2730">
        <v>1</v>
      </c>
    </row>
    <row r="44" spans="2:23" ht="18.75">
      <c r="B44" s="2738" t="str">
        <f t="shared" si="5"/>
        <v>►</v>
      </c>
      <c r="C44" s="2734">
        <f>ROWS(H19:H44)</f>
        <v>26</v>
      </c>
      <c r="D44" s="1075"/>
      <c r="E44" s="7704"/>
      <c r="F44" s="1028"/>
      <c r="G44" s="7600">
        <f>F44/F58*1000</f>
        <v>0</v>
      </c>
      <c r="H44" s="7604">
        <f>F44/F58</f>
        <v>0</v>
      </c>
      <c r="I44" s="1031">
        <f>H44*I16</f>
        <v>0</v>
      </c>
      <c r="J44" s="1032">
        <v>0</v>
      </c>
      <c r="K44" s="2764">
        <f t="shared" si="2"/>
        <v>0</v>
      </c>
      <c r="M44" s="2751" t="str">
        <f t="shared" si="4"/>
        <v>►</v>
      </c>
      <c r="N44" s="2736" t="str">
        <f>IF(ISBLANK(O44),"",LARGE(N18:N43,1)+1)</f>
        <v/>
      </c>
      <c r="O44" s="491"/>
      <c r="P44" s="491"/>
      <c r="Q44" s="491"/>
      <c r="R44" s="491"/>
      <c r="S44" s="491"/>
      <c r="T44" s="491"/>
      <c r="U44" s="2752"/>
      <c r="W44" s="2730">
        <v>1</v>
      </c>
    </row>
    <row r="45" spans="2:23" ht="18.75">
      <c r="B45" s="2738" t="str">
        <f t="shared" si="5"/>
        <v>►</v>
      </c>
      <c r="C45" s="2733">
        <f>ROWS(H19:H45)</f>
        <v>27</v>
      </c>
      <c r="D45" s="1074"/>
      <c r="E45" s="7704"/>
      <c r="F45" s="1022"/>
      <c r="G45" s="7599">
        <f>F45/F58*1000</f>
        <v>0</v>
      </c>
      <c r="H45" s="7603">
        <f>F45/F58</f>
        <v>0</v>
      </c>
      <c r="I45" s="1034">
        <f>H45*I16</f>
        <v>0</v>
      </c>
      <c r="J45" s="1026">
        <v>0</v>
      </c>
      <c r="K45" s="2763">
        <f t="shared" si="2"/>
        <v>0</v>
      </c>
      <c r="M45" s="2751" t="str">
        <f t="shared" si="4"/>
        <v>►</v>
      </c>
      <c r="N45" s="2736" t="str">
        <f>IF(ISBLANK(O45),"",LARGE(N18:N44,1)+1)</f>
        <v/>
      </c>
      <c r="O45" s="491"/>
      <c r="P45" s="491"/>
      <c r="Q45" s="491"/>
      <c r="R45" s="491"/>
      <c r="S45" s="491"/>
      <c r="T45" s="491"/>
      <c r="U45" s="2752"/>
      <c r="W45" s="2730">
        <v>1</v>
      </c>
    </row>
    <row r="46" spans="2:23" ht="18.75">
      <c r="B46" s="2738" t="str">
        <f t="shared" si="5"/>
        <v>►</v>
      </c>
      <c r="C46" s="2734">
        <f>ROWS(H19:H46)</f>
        <v>28</v>
      </c>
      <c r="D46" s="1075"/>
      <c r="E46" s="7704"/>
      <c r="F46" s="1028"/>
      <c r="G46" s="7600">
        <f>F46/F58*1000</f>
        <v>0</v>
      </c>
      <c r="H46" s="7604">
        <f>F46/F58</f>
        <v>0</v>
      </c>
      <c r="I46" s="1031">
        <f>H46*I16</f>
        <v>0</v>
      </c>
      <c r="J46" s="1032">
        <v>0</v>
      </c>
      <c r="K46" s="2764">
        <f t="shared" si="2"/>
        <v>0</v>
      </c>
      <c r="M46" s="2751" t="str">
        <f t="shared" si="4"/>
        <v>►</v>
      </c>
      <c r="N46" s="2736" t="str">
        <f>IF(ISBLANK(O46),"",LARGE(N18:N45,1)+1)</f>
        <v/>
      </c>
      <c r="O46" s="491"/>
      <c r="P46" s="491"/>
      <c r="Q46" s="491"/>
      <c r="R46" s="491"/>
      <c r="S46" s="491"/>
      <c r="T46" s="491"/>
      <c r="U46" s="2752"/>
      <c r="W46" s="2730">
        <v>1</v>
      </c>
    </row>
    <row r="47" spans="2:23" ht="18.75">
      <c r="B47" s="2738" t="str">
        <f t="shared" ref="B47:B56" si="6">IF(D47&lt;&gt;"","A","►")</f>
        <v>►</v>
      </c>
      <c r="C47" s="2733">
        <f>ROWS(H19:H47)</f>
        <v>29</v>
      </c>
      <c r="D47" s="1074"/>
      <c r="E47" s="7704"/>
      <c r="F47" s="1022"/>
      <c r="G47" s="7599">
        <f>F47/F58*1000</f>
        <v>0</v>
      </c>
      <c r="H47" s="7603">
        <f>F47/F58</f>
        <v>0</v>
      </c>
      <c r="I47" s="1034">
        <f>H47*I16</f>
        <v>0</v>
      </c>
      <c r="J47" s="1026">
        <v>1</v>
      </c>
      <c r="K47" s="2763">
        <f t="shared" ref="K47:K57" si="7">I47*J47</f>
        <v>0</v>
      </c>
      <c r="M47" s="2751" t="str">
        <f t="shared" si="4"/>
        <v>►</v>
      </c>
      <c r="N47" s="2736" t="str">
        <f>IF(ISBLANK(O47),"",LARGE(N18:N46,1)+1)</f>
        <v/>
      </c>
      <c r="O47" s="491"/>
      <c r="P47" s="491"/>
      <c r="Q47" s="491"/>
      <c r="R47" s="491"/>
      <c r="S47" s="491"/>
      <c r="T47" s="491"/>
      <c r="U47" s="2752"/>
      <c r="W47" s="2730">
        <v>1</v>
      </c>
    </row>
    <row r="48" spans="2:23" ht="18.75">
      <c r="B48" s="2738" t="str">
        <f t="shared" si="6"/>
        <v>►</v>
      </c>
      <c r="C48" s="2734">
        <f>ROWS(H19:H48)</f>
        <v>30</v>
      </c>
      <c r="D48" s="1075"/>
      <c r="E48" s="7704"/>
      <c r="F48" s="1028"/>
      <c r="G48" s="7600">
        <f>F48/F58*1000</f>
        <v>0</v>
      </c>
      <c r="H48" s="7604">
        <f>F48/F58</f>
        <v>0</v>
      </c>
      <c r="I48" s="1031">
        <f>H48*I16</f>
        <v>0</v>
      </c>
      <c r="J48" s="1032">
        <v>2</v>
      </c>
      <c r="K48" s="2764">
        <f t="shared" si="7"/>
        <v>0</v>
      </c>
      <c r="M48" s="2751" t="str">
        <f t="shared" si="4"/>
        <v>►</v>
      </c>
      <c r="N48" s="2736" t="str">
        <f>IF(ISBLANK(O48),"",LARGE(N18:N47,1)+1)</f>
        <v/>
      </c>
      <c r="O48" s="491"/>
      <c r="P48" s="491"/>
      <c r="Q48" s="491"/>
      <c r="R48" s="491"/>
      <c r="S48" s="491"/>
      <c r="T48" s="491"/>
      <c r="U48" s="2752"/>
      <c r="W48" s="2730">
        <v>1</v>
      </c>
    </row>
    <row r="49" spans="2:23" ht="18.75">
      <c r="B49" s="2738" t="str">
        <f t="shared" si="6"/>
        <v>►</v>
      </c>
      <c r="C49" s="2733">
        <f>ROWS(H19:H49)</f>
        <v>31</v>
      </c>
      <c r="D49" s="1074"/>
      <c r="E49" s="7704"/>
      <c r="F49" s="1022"/>
      <c r="G49" s="7599">
        <f>F49/F58*1000</f>
        <v>0</v>
      </c>
      <c r="H49" s="7603">
        <f>F49/F58</f>
        <v>0</v>
      </c>
      <c r="I49" s="1034">
        <f>H49*I16</f>
        <v>0</v>
      </c>
      <c r="J49" s="1026">
        <v>3</v>
      </c>
      <c r="K49" s="2763">
        <f t="shared" si="7"/>
        <v>0</v>
      </c>
      <c r="M49" s="2751" t="str">
        <f t="shared" ref="M49:M50" si="8">IF(COUNTA(O49:U49)&gt;0, "A", "►")</f>
        <v>►</v>
      </c>
      <c r="N49" s="2736" t="str">
        <f>IF(ISBLANK(O49),"",LARGE(N18:N48,1)+1)</f>
        <v/>
      </c>
      <c r="O49" s="491"/>
      <c r="P49" s="491"/>
      <c r="Q49" s="491"/>
      <c r="R49" s="491"/>
      <c r="S49" s="491"/>
      <c r="T49" s="491"/>
      <c r="U49" s="2752"/>
      <c r="W49" s="2730">
        <v>1</v>
      </c>
    </row>
    <row r="50" spans="2:23" ht="18.75">
      <c r="B50" s="2738" t="str">
        <f t="shared" si="6"/>
        <v>►</v>
      </c>
      <c r="C50" s="2734">
        <f>ROWS(H19:H50)</f>
        <v>32</v>
      </c>
      <c r="D50" s="1075"/>
      <c r="E50" s="7704"/>
      <c r="F50" s="1028"/>
      <c r="G50" s="7600">
        <f>F50/F58*1000</f>
        <v>0</v>
      </c>
      <c r="H50" s="7604">
        <f>F50/F58</f>
        <v>0</v>
      </c>
      <c r="I50" s="1031">
        <f>H50*I16</f>
        <v>0</v>
      </c>
      <c r="J50" s="1032">
        <v>4</v>
      </c>
      <c r="K50" s="2764">
        <f t="shared" si="7"/>
        <v>0</v>
      </c>
      <c r="M50" s="2751" t="str">
        <f t="shared" si="8"/>
        <v>►</v>
      </c>
      <c r="N50" s="2736" t="str">
        <f>IF(ISBLANK(O50),"",LARGE(N18:N49,1)+1)</f>
        <v/>
      </c>
      <c r="O50" s="491"/>
      <c r="P50" s="491"/>
      <c r="Q50" s="491"/>
      <c r="R50" s="491"/>
      <c r="S50" s="491"/>
      <c r="T50" s="491"/>
      <c r="U50" s="2752"/>
      <c r="W50" s="2730">
        <v>1</v>
      </c>
    </row>
    <row r="51" spans="2:23" ht="18" customHeight="1">
      <c r="B51" s="2738" t="str">
        <f t="shared" si="6"/>
        <v>►</v>
      </c>
      <c r="C51" s="2733">
        <f>ROWS(H19:H51)</f>
        <v>33</v>
      </c>
      <c r="D51" s="1074"/>
      <c r="E51" s="7704"/>
      <c r="F51" s="1022"/>
      <c r="G51" s="7599">
        <f>F51/F58*1000</f>
        <v>0</v>
      </c>
      <c r="H51" s="7603">
        <f>F51/F58</f>
        <v>0</v>
      </c>
      <c r="I51" s="1034">
        <f>H51*I16</f>
        <v>0</v>
      </c>
      <c r="J51" s="1026">
        <v>5</v>
      </c>
      <c r="K51" s="2763">
        <f t="shared" si="7"/>
        <v>0</v>
      </c>
      <c r="M51" s="2928" t="s">
        <v>337</v>
      </c>
      <c r="N51" s="2736" t="str">
        <f>IF(ISBLANK(O51),"",LARGE(N18:N50,1)+1)</f>
        <v/>
      </c>
      <c r="O51" s="491"/>
      <c r="P51" s="491"/>
      <c r="Q51" s="491"/>
      <c r="R51" s="491"/>
      <c r="S51" s="491"/>
      <c r="T51" s="491"/>
      <c r="U51" s="2752"/>
      <c r="W51" s="2730">
        <v>1</v>
      </c>
    </row>
    <row r="52" spans="2:23" ht="18" customHeight="1" thickBot="1">
      <c r="B52" s="2738" t="str">
        <f t="shared" si="6"/>
        <v>►</v>
      </c>
      <c r="C52" s="2734">
        <f>ROWS(H19:H52)</f>
        <v>34</v>
      </c>
      <c r="D52" s="1075"/>
      <c r="E52" s="7704"/>
      <c r="F52" s="1028"/>
      <c r="G52" s="7600">
        <f>F52/F58*1000</f>
        <v>0</v>
      </c>
      <c r="H52" s="7604">
        <f>F52/F58</f>
        <v>0</v>
      </c>
      <c r="I52" s="1031">
        <f>H52*I16</f>
        <v>0</v>
      </c>
      <c r="J52" s="1032">
        <v>6</v>
      </c>
      <c r="K52" s="2764">
        <f t="shared" si="7"/>
        <v>0</v>
      </c>
      <c r="M52" s="2928" t="s">
        <v>337</v>
      </c>
      <c r="N52" s="2736" t="str">
        <f>IF(ISBLANK(O52),"",LARGE(N18:N51,1)+1)</f>
        <v/>
      </c>
      <c r="O52" s="491"/>
      <c r="P52" s="491"/>
      <c r="Q52" s="491"/>
      <c r="R52" s="491"/>
      <c r="S52" s="491"/>
      <c r="T52" s="491"/>
      <c r="U52" s="2752"/>
      <c r="W52" s="2730">
        <v>1</v>
      </c>
    </row>
    <row r="53" spans="2:23" ht="18" customHeight="1" thickTop="1">
      <c r="B53" s="2738" t="str">
        <f t="shared" si="6"/>
        <v>►</v>
      </c>
      <c r="C53" s="2733">
        <f>ROWS(H19:H53)</f>
        <v>35</v>
      </c>
      <c r="D53" s="1074"/>
      <c r="E53" s="7704"/>
      <c r="F53" s="1022"/>
      <c r="G53" s="7599">
        <f>F53/F58*1000</f>
        <v>0</v>
      </c>
      <c r="H53" s="7603">
        <f>F53/F58</f>
        <v>0</v>
      </c>
      <c r="I53" s="1034">
        <f>H53*I16</f>
        <v>0</v>
      </c>
      <c r="J53" s="1026">
        <v>7</v>
      </c>
      <c r="K53" s="2763">
        <f t="shared" si="7"/>
        <v>0</v>
      </c>
      <c r="M53" s="2928" t="s">
        <v>337</v>
      </c>
      <c r="N53" s="1080" t="s">
        <v>1775</v>
      </c>
      <c r="O53" s="1081"/>
      <c r="P53" s="7865"/>
      <c r="Q53" s="7865"/>
      <c r="R53" s="7865"/>
      <c r="S53" s="7865"/>
      <c r="T53" s="7865"/>
      <c r="U53" s="7879"/>
      <c r="W53" s="2730">
        <v>1</v>
      </c>
    </row>
    <row r="54" spans="2:23" ht="18" customHeight="1">
      <c r="B54" s="2738" t="str">
        <f t="shared" si="6"/>
        <v>►</v>
      </c>
      <c r="C54" s="2734">
        <f>ROWS(H19:H54)</f>
        <v>36</v>
      </c>
      <c r="D54" s="1075"/>
      <c r="E54" s="7704"/>
      <c r="F54" s="1028"/>
      <c r="G54" s="7600">
        <f>F54/F58*1000</f>
        <v>0</v>
      </c>
      <c r="H54" s="7604">
        <f>F54/F58</f>
        <v>0</v>
      </c>
      <c r="I54" s="1031">
        <f>H54*I16</f>
        <v>0</v>
      </c>
      <c r="J54" s="1032">
        <v>8</v>
      </c>
      <c r="K54" s="2764">
        <f t="shared" si="7"/>
        <v>0</v>
      </c>
      <c r="M54" s="2928" t="s">
        <v>337</v>
      </c>
      <c r="N54" s="1085" t="s">
        <v>1780</v>
      </c>
      <c r="O54" s="7853" t="s">
        <v>1779</v>
      </c>
      <c r="P54" s="7853"/>
      <c r="Q54" s="7853"/>
      <c r="R54" s="7853"/>
      <c r="S54" s="7853"/>
      <c r="T54" s="7853"/>
      <c r="U54" s="7894"/>
      <c r="W54" s="2730">
        <v>1</v>
      </c>
    </row>
    <row r="55" spans="2:23" ht="18" customHeight="1">
      <c r="B55" s="2738" t="str">
        <f t="shared" si="6"/>
        <v>►</v>
      </c>
      <c r="C55" s="2733">
        <f>ROWS(H19:H55)</f>
        <v>37</v>
      </c>
      <c r="D55" s="1074"/>
      <c r="E55" s="7704"/>
      <c r="F55" s="1022"/>
      <c r="G55" s="7599">
        <f>F55/F58*1000</f>
        <v>0</v>
      </c>
      <c r="H55" s="7603">
        <f>F55/F58</f>
        <v>0</v>
      </c>
      <c r="I55" s="1034">
        <f>H55*I16</f>
        <v>0</v>
      </c>
      <c r="J55" s="1026">
        <v>9</v>
      </c>
      <c r="K55" s="2763">
        <f t="shared" si="7"/>
        <v>0</v>
      </c>
      <c r="M55" s="2928" t="s">
        <v>337</v>
      </c>
      <c r="N55" s="1082" t="s">
        <v>7</v>
      </c>
      <c r="O55" s="1049" t="str">
        <f ca="1">CELL("nomfichier")</f>
        <v>D:\Données\1.UPRT\0-UPRT.fait\1-UPRT.FR-SITE-WEB\ff-fiches-fabrications\ff.fiches.fabrication.2023\UPRT.23.aout\[ff-20-CHARCUTERIE-michel-Mariette.BOUDIN.BLANC_-1.xlsx]Exemples Michel Mariette</v>
      </c>
      <c r="P55" s="34"/>
      <c r="Q55" s="15"/>
      <c r="R55" s="15"/>
      <c r="S55" s="15"/>
      <c r="T55" s="15"/>
      <c r="U55" s="2396"/>
      <c r="W55" s="2730">
        <v>1</v>
      </c>
    </row>
    <row r="56" spans="2:23" ht="18" customHeight="1">
      <c r="B56" s="2738" t="str">
        <f t="shared" si="6"/>
        <v>►</v>
      </c>
      <c r="C56" s="2734">
        <f>ROWS(H19:H56)</f>
        <v>38</v>
      </c>
      <c r="D56" s="1075"/>
      <c r="E56" s="7704"/>
      <c r="F56" s="1028"/>
      <c r="G56" s="7600">
        <f>F56/F58*1000</f>
        <v>0</v>
      </c>
      <c r="H56" s="7604">
        <f>F56/F58</f>
        <v>0</v>
      </c>
      <c r="I56" s="1031">
        <f>H56*I16</f>
        <v>0</v>
      </c>
      <c r="J56" s="1032">
        <v>10</v>
      </c>
      <c r="K56" s="2764">
        <f t="shared" si="7"/>
        <v>0</v>
      </c>
      <c r="M56" s="2928" t="s">
        <v>337</v>
      </c>
      <c r="N56" s="1083" t="s">
        <v>1778</v>
      </c>
      <c r="O56" s="34"/>
      <c r="P56" s="1049"/>
      <c r="Q56" s="15"/>
      <c r="R56" s="15"/>
      <c r="S56" s="15"/>
      <c r="T56" s="15"/>
      <c r="U56" s="2396"/>
      <c r="W56" s="2730">
        <v>1</v>
      </c>
    </row>
    <row r="57" spans="2:23" ht="18" customHeight="1" thickBot="1">
      <c r="B57" s="2929" t="s">
        <v>337</v>
      </c>
      <c r="C57" s="2733">
        <f>ROWS(H19:H57)</f>
        <v>39</v>
      </c>
      <c r="D57" s="1074"/>
      <c r="E57" s="7704"/>
      <c r="F57" s="1022"/>
      <c r="G57" s="7599">
        <f>F57/F58*1000</f>
        <v>0</v>
      </c>
      <c r="H57" s="7603">
        <f>F57/F58</f>
        <v>0</v>
      </c>
      <c r="I57" s="1034">
        <f>H57*I16</f>
        <v>0</v>
      </c>
      <c r="J57" s="1026">
        <v>11</v>
      </c>
      <c r="K57" s="2763">
        <f t="shared" si="7"/>
        <v>0</v>
      </c>
      <c r="M57" s="2928" t="s">
        <v>337</v>
      </c>
      <c r="N57" s="1083" t="s">
        <v>1776</v>
      </c>
      <c r="O57" s="34"/>
      <c r="P57" s="1049"/>
      <c r="Q57" s="15"/>
      <c r="R57" s="15"/>
      <c r="S57" s="15"/>
      <c r="T57" s="15"/>
      <c r="U57" s="2396"/>
      <c r="W57" s="2730">
        <v>1</v>
      </c>
    </row>
    <row r="58" spans="2:23" ht="18" customHeight="1" thickTop="1" thickBot="1">
      <c r="B58" s="2938" t="s">
        <v>337</v>
      </c>
      <c r="C58" s="2934" t="s">
        <v>20</v>
      </c>
      <c r="D58" s="2935"/>
      <c r="E58" s="2935"/>
      <c r="F58" s="1040">
        <f>SUM(F19:F57)</f>
        <v>50</v>
      </c>
      <c r="G58" s="7602">
        <f>SUM(G19:G57)</f>
        <v>1000</v>
      </c>
      <c r="H58" s="7606">
        <f>SUM(H19:H57)</f>
        <v>1</v>
      </c>
      <c r="I58" s="1043">
        <f>SUM(I19:I57)</f>
        <v>1.5</v>
      </c>
      <c r="J58" s="1044"/>
      <c r="K58" s="1045">
        <f>SUM(K19:K57)</f>
        <v>1.98</v>
      </c>
      <c r="M58" s="2928" t="s">
        <v>337</v>
      </c>
      <c r="N58" s="2937" t="s">
        <v>8</v>
      </c>
      <c r="O58" s="453"/>
      <c r="P58" s="132"/>
      <c r="Q58" s="132"/>
      <c r="R58" s="132"/>
      <c r="S58" s="132"/>
      <c r="T58" s="132"/>
      <c r="U58" s="592"/>
      <c r="W58" s="2730">
        <v>1</v>
      </c>
    </row>
    <row r="59" spans="2:23">
      <c r="W59" s="2730">
        <v>1</v>
      </c>
    </row>
    <row r="60" spans="2:23">
      <c r="W60" s="2730">
        <v>1</v>
      </c>
    </row>
    <row r="61" spans="2:23">
      <c r="W61" s="2730">
        <v>1</v>
      </c>
    </row>
    <row r="62" spans="2:23" ht="13.5" thickBot="1">
      <c r="W62" s="2730">
        <v>1</v>
      </c>
    </row>
    <row r="63" spans="2:23" ht="18" customHeight="1">
      <c r="B63" s="2755" t="s">
        <v>67</v>
      </c>
      <c r="C63" s="7910" t="s">
        <v>1782</v>
      </c>
      <c r="D63" s="7729"/>
      <c r="E63" s="7729"/>
      <c r="F63" s="7729"/>
      <c r="G63" s="7729"/>
      <c r="H63" s="7729"/>
      <c r="I63" s="7729"/>
      <c r="J63" s="7729"/>
      <c r="K63" s="7731" t="s">
        <v>1279</v>
      </c>
      <c r="M63" s="2936" t="s">
        <v>67</v>
      </c>
      <c r="N63" s="7913" t="str">
        <f>C63</f>
        <v>NOM DE VOTRE RECETTE</v>
      </c>
      <c r="O63" s="7875"/>
      <c r="P63" s="7875"/>
      <c r="Q63" s="7875"/>
      <c r="R63" s="7875"/>
      <c r="S63" s="7875"/>
      <c r="T63" s="7875"/>
      <c r="U63" s="7877" t="str">
        <f>K63</f>
        <v>N°2</v>
      </c>
      <c r="W63" s="2730">
        <v>1</v>
      </c>
    </row>
    <row r="64" spans="2:23" ht="18" customHeight="1">
      <c r="B64" s="2929" t="s">
        <v>337</v>
      </c>
      <c r="C64" s="7911"/>
      <c r="D64" s="7730"/>
      <c r="E64" s="7730"/>
      <c r="F64" s="7730"/>
      <c r="G64" s="7730"/>
      <c r="H64" s="7730"/>
      <c r="I64" s="7730"/>
      <c r="J64" s="7730"/>
      <c r="K64" s="7732"/>
      <c r="M64" s="2928" t="s">
        <v>337</v>
      </c>
      <c r="N64" s="7860"/>
      <c r="O64" s="7860"/>
      <c r="P64" s="7860"/>
      <c r="Q64" s="7860"/>
      <c r="R64" s="7860"/>
      <c r="S64" s="7860"/>
      <c r="T64" s="7860"/>
      <c r="U64" s="7878"/>
      <c r="W64" s="2730">
        <v>1</v>
      </c>
    </row>
    <row r="65" spans="2:23" ht="18" customHeight="1">
      <c r="B65" s="2929" t="s">
        <v>337</v>
      </c>
      <c r="C65" s="7912" t="s">
        <v>1783</v>
      </c>
      <c r="D65" s="7733"/>
      <c r="E65" s="7733"/>
      <c r="F65" s="7733"/>
      <c r="G65" s="7733"/>
      <c r="H65" s="7733"/>
      <c r="I65" s="7733"/>
      <c r="J65" s="7733"/>
      <c r="K65" s="7734"/>
      <c r="M65" s="2928" t="s">
        <v>337</v>
      </c>
      <c r="N65" s="7863" t="str">
        <f>C65</f>
        <v>AUTEUR  :</v>
      </c>
      <c r="O65" s="7863"/>
      <c r="P65" s="7863"/>
      <c r="Q65" s="7863"/>
      <c r="R65" s="7863"/>
      <c r="S65" s="7863"/>
      <c r="T65" s="7863"/>
      <c r="U65" s="7876"/>
      <c r="W65" s="2730">
        <v>1</v>
      </c>
    </row>
    <row r="66" spans="2:23" ht="18" customHeight="1">
      <c r="B66" s="2929" t="s">
        <v>337</v>
      </c>
      <c r="C66" s="1063"/>
      <c r="D66" s="34"/>
      <c r="E66" s="34"/>
      <c r="F66" s="1065"/>
      <c r="G66" s="7738" t="s">
        <v>1777</v>
      </c>
      <c r="H66" s="7738"/>
      <c r="I66" s="7740">
        <v>500</v>
      </c>
      <c r="J66" s="1071"/>
      <c r="K66" s="1068"/>
      <c r="M66" s="2928" t="s">
        <v>337</v>
      </c>
      <c r="N66" s="1088"/>
      <c r="O66" s="1088"/>
      <c r="P66" s="1088"/>
      <c r="Q66" s="1088"/>
      <c r="R66" s="1088"/>
      <c r="S66" s="1088"/>
      <c r="T66" s="1088"/>
      <c r="U66" s="2745"/>
      <c r="W66" s="2730">
        <v>1</v>
      </c>
    </row>
    <row r="67" spans="2:23" ht="18" customHeight="1">
      <c r="B67" s="2929" t="s">
        <v>337</v>
      </c>
      <c r="C67" s="1063"/>
      <c r="D67" s="34"/>
      <c r="E67" s="34"/>
      <c r="F67" s="1066"/>
      <c r="G67" s="7739"/>
      <c r="H67" s="7739"/>
      <c r="I67" s="7741"/>
      <c r="J67" s="1055"/>
      <c r="K67" s="1070"/>
      <c r="M67" s="2928" t="s">
        <v>337</v>
      </c>
      <c r="N67" s="2739"/>
      <c r="O67" s="1090" t="s">
        <v>1</v>
      </c>
      <c r="P67" s="11">
        <v>2</v>
      </c>
      <c r="Q67" s="1091"/>
      <c r="R67" s="1091"/>
      <c r="S67" s="1090" t="s">
        <v>0</v>
      </c>
      <c r="T67" s="11">
        <v>2</v>
      </c>
      <c r="U67" s="2746"/>
      <c r="W67" s="2730">
        <v>1</v>
      </c>
    </row>
    <row r="68" spans="2:23" ht="18" customHeight="1">
      <c r="B68" s="2929" t="s">
        <v>337</v>
      </c>
      <c r="C68" s="7915" t="s">
        <v>1253</v>
      </c>
      <c r="D68" s="7856"/>
      <c r="E68" s="7616" t="s">
        <v>16246</v>
      </c>
      <c r="F68" s="1056" t="s">
        <v>1773</v>
      </c>
      <c r="G68" s="7609" t="s">
        <v>1282</v>
      </c>
      <c r="H68" s="7610" t="s">
        <v>19</v>
      </c>
      <c r="I68" s="1105" t="s">
        <v>1774</v>
      </c>
      <c r="J68" s="1056" t="s">
        <v>1781</v>
      </c>
      <c r="K68" s="1021" t="s">
        <v>1254</v>
      </c>
      <c r="M68" s="2928" t="s">
        <v>337</v>
      </c>
      <c r="N68" s="2736">
        <v>0</v>
      </c>
      <c r="O68" s="2737" t="s">
        <v>7038</v>
      </c>
      <c r="P68" s="2737"/>
      <c r="Q68" s="1095"/>
      <c r="R68" s="1095"/>
      <c r="S68" s="1093"/>
      <c r="T68" s="1094"/>
      <c r="U68" s="2747"/>
      <c r="W68" s="2730">
        <v>1</v>
      </c>
    </row>
    <row r="69" spans="2:23" ht="18" customHeight="1">
      <c r="B69" s="2929" t="s">
        <v>337</v>
      </c>
      <c r="C69" s="2733">
        <f>ROWS(H69:H69)</f>
        <v>1</v>
      </c>
      <c r="D69" s="1101" t="s">
        <v>1255</v>
      </c>
      <c r="E69" s="7704" t="s">
        <v>10486</v>
      </c>
      <c r="F69" s="1058">
        <v>3400</v>
      </c>
      <c r="G69" s="7607">
        <f>F69/F108*1000</f>
        <v>324.18001525553012</v>
      </c>
      <c r="H69" s="7608">
        <f>F69/F108</f>
        <v>0.32418001525553014</v>
      </c>
      <c r="I69" s="1059">
        <f>H69*I66</f>
        <v>162.09000762776506</v>
      </c>
      <c r="J69" s="1103">
        <v>1</v>
      </c>
      <c r="K69" s="1027">
        <f>(I69/1000)*J69</f>
        <v>0.16209000762776507</v>
      </c>
      <c r="M69" s="2928" t="s">
        <v>337</v>
      </c>
      <c r="N69" s="2736" t="str">
        <f>IF(ISBLANK(O69),"",LARGE(N68:N68,1)+1)</f>
        <v/>
      </c>
      <c r="O69" s="2748"/>
      <c r="P69" s="2748"/>
      <c r="Q69" s="2749"/>
      <c r="R69" s="2749"/>
      <c r="S69" s="2749"/>
      <c r="T69" s="2749"/>
      <c r="U69" s="2750"/>
      <c r="W69" s="2730">
        <v>1</v>
      </c>
    </row>
    <row r="70" spans="2:23" ht="18" customHeight="1">
      <c r="B70" s="2738" t="str">
        <f t="shared" ref="B70" si="9">IF(D70&lt;&gt;"","A","►")</f>
        <v>A</v>
      </c>
      <c r="C70" s="2734">
        <f>ROWS(H69:H70)</f>
        <v>2</v>
      </c>
      <c r="D70" s="1100" t="s">
        <v>1256</v>
      </c>
      <c r="E70" s="7704"/>
      <c r="F70" s="1060">
        <v>1600</v>
      </c>
      <c r="G70" s="7600">
        <f>F70/F108*1000</f>
        <v>152.55530129672007</v>
      </c>
      <c r="H70" s="7604">
        <f>F70/F108</f>
        <v>0.15255530129672007</v>
      </c>
      <c r="I70" s="1061">
        <f>H70*I66</f>
        <v>76.277650648360037</v>
      </c>
      <c r="J70" s="1104">
        <v>2</v>
      </c>
      <c r="K70" s="1033">
        <f t="shared" ref="K70:K97" si="10">(I70/1000)*J70</f>
        <v>0.15255530129672007</v>
      </c>
      <c r="M70" s="2928" t="s">
        <v>337</v>
      </c>
      <c r="N70" s="2736" t="str">
        <f>IF(ISBLANK(O70),"",LARGE(N68:N69,1)+1)</f>
        <v/>
      </c>
      <c r="O70" s="2748"/>
      <c r="P70" s="2748"/>
      <c r="Q70" s="491"/>
      <c r="R70" s="491"/>
      <c r="S70" s="491"/>
      <c r="T70" s="491"/>
      <c r="U70" s="2752"/>
      <c r="W70" s="2730">
        <v>1</v>
      </c>
    </row>
    <row r="71" spans="2:23" ht="18" customHeight="1">
      <c r="B71" s="2738" t="str">
        <f>IF(D71&lt;&gt;"","A","►")</f>
        <v>A</v>
      </c>
      <c r="C71" s="2733">
        <f>ROWS(H69:H71)</f>
        <v>3</v>
      </c>
      <c r="D71" s="1101" t="s">
        <v>1257</v>
      </c>
      <c r="E71" s="7704"/>
      <c r="F71" s="1058">
        <v>1600</v>
      </c>
      <c r="G71" s="7599">
        <f>F71/F108*1000</f>
        <v>152.55530129672007</v>
      </c>
      <c r="H71" s="7603">
        <f>F71/F108</f>
        <v>0.15255530129672007</v>
      </c>
      <c r="I71" s="1059">
        <f>H71*I66</f>
        <v>76.277650648360037</v>
      </c>
      <c r="J71" s="1103">
        <v>3</v>
      </c>
      <c r="K71" s="1027">
        <f t="shared" si="10"/>
        <v>0.2288329519450801</v>
      </c>
      <c r="M71" s="2751" t="str">
        <f t="shared" ref="M71:M100" si="11">IF(COUNTA(O71:U71)&gt;0, "A", "►")</f>
        <v>►</v>
      </c>
      <c r="N71" s="2736" t="str">
        <f>IF(ISBLANK(O71),"",LARGE(N68:N70,1)+1)</f>
        <v/>
      </c>
      <c r="O71" s="2748"/>
      <c r="P71" s="2748"/>
      <c r="Q71" s="491"/>
      <c r="R71" s="491"/>
      <c r="S71" s="491"/>
      <c r="T71" s="491"/>
      <c r="U71" s="2752"/>
      <c r="W71" s="2730">
        <v>1</v>
      </c>
    </row>
    <row r="72" spans="2:23" ht="18" customHeight="1">
      <c r="B72" s="2738" t="str">
        <f t="shared" ref="B72:B106" si="12">IF(D72&lt;&gt;"","A","►")</f>
        <v>A</v>
      </c>
      <c r="C72" s="2734">
        <f>ROWS(H69:H72)</f>
        <v>4</v>
      </c>
      <c r="D72" s="1100" t="s">
        <v>17871</v>
      </c>
      <c r="E72" s="7704" t="s">
        <v>17874</v>
      </c>
      <c r="F72" s="1060">
        <v>3000</v>
      </c>
      <c r="G72" s="7600">
        <f>F72/F108*1000</f>
        <v>286.04118993135012</v>
      </c>
      <c r="H72" s="7604">
        <f>F72/F108</f>
        <v>0.28604118993135014</v>
      </c>
      <c r="I72" s="1061">
        <f>H72*I66</f>
        <v>143.02059496567506</v>
      </c>
      <c r="J72" s="1104">
        <v>0</v>
      </c>
      <c r="K72" s="1033">
        <f t="shared" si="10"/>
        <v>0</v>
      </c>
      <c r="M72" s="2751" t="str">
        <f t="shared" si="11"/>
        <v>►</v>
      </c>
      <c r="N72" s="2736" t="str">
        <f>IF(ISBLANK(O72),"",LARGE(N68:N71,1)+1)</f>
        <v/>
      </c>
      <c r="O72" s="2748"/>
      <c r="P72" s="2748"/>
      <c r="Q72" s="491"/>
      <c r="R72" s="491"/>
      <c r="S72" s="491"/>
      <c r="T72" s="491"/>
      <c r="U72" s="2752"/>
      <c r="W72" s="2730">
        <v>1</v>
      </c>
    </row>
    <row r="73" spans="2:23" ht="18" customHeight="1">
      <c r="B73" s="2738" t="str">
        <f t="shared" si="12"/>
        <v>A</v>
      </c>
      <c r="C73" s="2733">
        <f>ROWS(H69:H73)</f>
        <v>5</v>
      </c>
      <c r="D73" s="1101" t="s">
        <v>17872</v>
      </c>
      <c r="E73" s="7704" t="s">
        <v>17875</v>
      </c>
      <c r="F73" s="1058">
        <v>600</v>
      </c>
      <c r="G73" s="7599">
        <f>F73/F108*1000</f>
        <v>57.208237986270028</v>
      </c>
      <c r="H73" s="7603">
        <f>F73/F108</f>
        <v>5.7208237986270026E-2</v>
      </c>
      <c r="I73" s="1059">
        <f>H73*I66</f>
        <v>28.604118993135014</v>
      </c>
      <c r="J73" s="1103">
        <v>0</v>
      </c>
      <c r="K73" s="1027">
        <f t="shared" si="10"/>
        <v>0</v>
      </c>
      <c r="M73" s="2751" t="str">
        <f t="shared" si="11"/>
        <v>►</v>
      </c>
      <c r="N73" s="2736" t="str">
        <f>IF(ISBLANK(O73),"",LARGE(N68:N72,1)+1)</f>
        <v/>
      </c>
      <c r="O73" s="2748"/>
      <c r="P73" s="2748"/>
      <c r="Q73" s="491"/>
      <c r="R73" s="491"/>
      <c r="S73" s="491"/>
      <c r="T73" s="491"/>
      <c r="U73" s="2752"/>
      <c r="W73" s="2730">
        <v>1</v>
      </c>
    </row>
    <row r="74" spans="2:23" ht="18" customHeight="1">
      <c r="B74" s="2738" t="str">
        <f t="shared" si="12"/>
        <v>A</v>
      </c>
      <c r="C74" s="2734">
        <f>ROWS(H69:H74)</f>
        <v>6</v>
      </c>
      <c r="D74" s="1100" t="s">
        <v>1259</v>
      </c>
      <c r="E74" s="7704"/>
      <c r="F74" s="1060">
        <v>165</v>
      </c>
      <c r="G74" s="7600">
        <f>F74/F108*1000</f>
        <v>15.732265446224257</v>
      </c>
      <c r="H74" s="7604">
        <f>F74/F108</f>
        <v>1.5732265446224258E-2</v>
      </c>
      <c r="I74" s="1061">
        <f>H74*I66</f>
        <v>7.8661327231121287</v>
      </c>
      <c r="J74" s="1104">
        <v>0</v>
      </c>
      <c r="K74" s="1033">
        <f t="shared" si="10"/>
        <v>0</v>
      </c>
      <c r="M74" s="2751" t="str">
        <f t="shared" si="11"/>
        <v>►</v>
      </c>
      <c r="N74" s="2736" t="str">
        <f>IF(ISBLANK(O74),"",LARGE(N68:N73,1)+1)</f>
        <v/>
      </c>
      <c r="O74" s="491"/>
      <c r="P74" s="491"/>
      <c r="Q74" s="491"/>
      <c r="R74" s="491"/>
      <c r="S74" s="491"/>
      <c r="T74" s="491"/>
      <c r="U74" s="2752"/>
      <c r="W74" s="2730">
        <v>1</v>
      </c>
    </row>
    <row r="75" spans="2:23" ht="18" customHeight="1">
      <c r="B75" s="2738" t="str">
        <f t="shared" si="12"/>
        <v>A</v>
      </c>
      <c r="C75" s="2733">
        <f>ROWS(H69:H75)</f>
        <v>7</v>
      </c>
      <c r="D75" s="1101" t="s">
        <v>1260</v>
      </c>
      <c r="E75" s="7704"/>
      <c r="F75" s="1058">
        <v>10</v>
      </c>
      <c r="G75" s="7599">
        <f>F75/F108*1000</f>
        <v>0.95347063310450031</v>
      </c>
      <c r="H75" s="7603">
        <f>F75/F108</f>
        <v>9.5347063310450035E-4</v>
      </c>
      <c r="I75" s="1059">
        <f>H75*I66</f>
        <v>0.47673531655225015</v>
      </c>
      <c r="J75" s="1103">
        <v>0</v>
      </c>
      <c r="K75" s="1027">
        <f t="shared" si="10"/>
        <v>0</v>
      </c>
      <c r="M75" s="2751" t="str">
        <f t="shared" si="11"/>
        <v>►</v>
      </c>
      <c r="N75" s="2736" t="str">
        <f>IF(ISBLANK(O75),"",LARGE(N68:N74,1)+1)</f>
        <v/>
      </c>
      <c r="O75" s="491"/>
      <c r="P75" s="491"/>
      <c r="Q75" s="491"/>
      <c r="R75" s="491"/>
      <c r="S75" s="491"/>
      <c r="T75" s="491"/>
      <c r="U75" s="2752"/>
      <c r="W75" s="2730">
        <v>1</v>
      </c>
    </row>
    <row r="76" spans="2:23" ht="18" customHeight="1">
      <c r="B76" s="2738" t="str">
        <f t="shared" si="12"/>
        <v>A</v>
      </c>
      <c r="C76" s="2734">
        <f>ROWS(H69:H76)</f>
        <v>8</v>
      </c>
      <c r="D76" s="1100" t="s">
        <v>1261</v>
      </c>
      <c r="E76" s="7704"/>
      <c r="F76" s="1060">
        <v>10</v>
      </c>
      <c r="G76" s="7600">
        <f>F76/F108*1000</f>
        <v>0.95347063310450031</v>
      </c>
      <c r="H76" s="7604">
        <f>F76/F108</f>
        <v>9.5347063310450035E-4</v>
      </c>
      <c r="I76" s="1061">
        <f>H76*I66</f>
        <v>0.47673531655225015</v>
      </c>
      <c r="J76" s="1104">
        <v>0</v>
      </c>
      <c r="K76" s="1033">
        <f t="shared" si="10"/>
        <v>0</v>
      </c>
      <c r="M76" s="2751" t="str">
        <f t="shared" si="11"/>
        <v>►</v>
      </c>
      <c r="N76" s="2736" t="str">
        <f>IF(ISBLANK(O76),"",LARGE(N68:N75,1)+1)</f>
        <v/>
      </c>
      <c r="O76" s="491"/>
      <c r="P76" s="491"/>
      <c r="Q76" s="491"/>
      <c r="R76" s="491"/>
      <c r="S76" s="491"/>
      <c r="T76" s="491"/>
      <c r="U76" s="2752"/>
      <c r="W76" s="2730">
        <v>1</v>
      </c>
    </row>
    <row r="77" spans="2:23" ht="18" customHeight="1">
      <c r="B77" s="2738" t="str">
        <f t="shared" si="12"/>
        <v>A</v>
      </c>
      <c r="C77" s="2733">
        <f>ROWS(H69:H77)</f>
        <v>9</v>
      </c>
      <c r="D77" s="1101" t="s">
        <v>1265</v>
      </c>
      <c r="E77" s="7704"/>
      <c r="F77" s="1058">
        <v>100</v>
      </c>
      <c r="G77" s="7599">
        <f>F77/F108*1000</f>
        <v>9.5347063310450046</v>
      </c>
      <c r="H77" s="7603">
        <f>F77/F108</f>
        <v>9.5347063310450043E-3</v>
      </c>
      <c r="I77" s="1059">
        <f>H77*I66</f>
        <v>4.7673531655225023</v>
      </c>
      <c r="J77" s="1103">
        <v>0</v>
      </c>
      <c r="K77" s="1027">
        <f t="shared" si="10"/>
        <v>0</v>
      </c>
      <c r="M77" s="2751" t="str">
        <f t="shared" si="11"/>
        <v>►</v>
      </c>
      <c r="N77" s="2736" t="str">
        <f>IF(ISBLANK(O77),"",LARGE(N68:N76,1)+1)</f>
        <v/>
      </c>
      <c r="O77" s="491"/>
      <c r="P77" s="491"/>
      <c r="Q77" s="491"/>
      <c r="R77" s="491"/>
      <c r="S77" s="491"/>
      <c r="T77" s="491"/>
      <c r="U77" s="2752"/>
      <c r="W77" s="2730">
        <v>1</v>
      </c>
    </row>
    <row r="78" spans="2:23" ht="18" customHeight="1">
      <c r="B78" s="2738" t="str">
        <f t="shared" si="12"/>
        <v>A</v>
      </c>
      <c r="C78" s="2734">
        <f>ROWS(H69:H78)</f>
        <v>10</v>
      </c>
      <c r="D78" s="1100" t="s">
        <v>17873</v>
      </c>
      <c r="E78" s="7704"/>
      <c r="F78" s="1060">
        <v>3</v>
      </c>
      <c r="G78" s="7600">
        <f>F78/F108*1000</f>
        <v>0.28604118993135014</v>
      </c>
      <c r="H78" s="7604">
        <f>F78/F108</f>
        <v>2.8604118993135012E-4</v>
      </c>
      <c r="I78" s="1061">
        <f>H78*I66</f>
        <v>0.14302059496567507</v>
      </c>
      <c r="J78" s="1104">
        <v>0</v>
      </c>
      <c r="K78" s="1033">
        <f t="shared" si="10"/>
        <v>0</v>
      </c>
      <c r="M78" s="2751" t="str">
        <f t="shared" si="11"/>
        <v>►</v>
      </c>
      <c r="N78" s="2736" t="str">
        <f>IF(ISBLANK(O78),"",LARGE(N68:N77,1)+1)</f>
        <v/>
      </c>
      <c r="O78" s="491"/>
      <c r="P78" s="491"/>
      <c r="Q78" s="491"/>
      <c r="R78" s="491"/>
      <c r="S78" s="491"/>
      <c r="T78" s="491"/>
      <c r="U78" s="2752"/>
      <c r="W78" s="2730">
        <v>1</v>
      </c>
    </row>
    <row r="79" spans="2:23" ht="18" customHeight="1">
      <c r="B79" s="2738" t="str">
        <f t="shared" si="12"/>
        <v>►</v>
      </c>
      <c r="C79" s="2733">
        <f>ROWS(H69:H79)</f>
        <v>11</v>
      </c>
      <c r="D79" s="1101"/>
      <c r="E79" s="7704"/>
      <c r="F79" s="1058"/>
      <c r="G79" s="7599">
        <f>F79/F108*1000</f>
        <v>0</v>
      </c>
      <c r="H79" s="7603">
        <f>F79/F108</f>
        <v>0</v>
      </c>
      <c r="I79" s="1059">
        <f>H79*I66</f>
        <v>0</v>
      </c>
      <c r="J79" s="1103">
        <v>0</v>
      </c>
      <c r="K79" s="1027">
        <f t="shared" si="10"/>
        <v>0</v>
      </c>
      <c r="M79" s="2751" t="str">
        <f t="shared" si="11"/>
        <v>►</v>
      </c>
      <c r="N79" s="2736" t="str">
        <f>IF(ISBLANK(O79),"",LARGE(N68:N78,1)+1)</f>
        <v/>
      </c>
      <c r="O79" s="491"/>
      <c r="P79" s="491"/>
      <c r="Q79" s="491"/>
      <c r="R79" s="491"/>
      <c r="S79" s="491"/>
      <c r="T79" s="491"/>
      <c r="U79" s="2752"/>
      <c r="W79" s="2730">
        <v>1</v>
      </c>
    </row>
    <row r="80" spans="2:23" ht="18" customHeight="1">
      <c r="B80" s="2738" t="str">
        <f t="shared" si="12"/>
        <v>►</v>
      </c>
      <c r="C80" s="2734">
        <f>ROWS(H69:H80)</f>
        <v>12</v>
      </c>
      <c r="D80" s="1100"/>
      <c r="E80" s="7704"/>
      <c r="F80" s="1060"/>
      <c r="G80" s="7600">
        <f>F80/F108*1000</f>
        <v>0</v>
      </c>
      <c r="H80" s="7604">
        <f>F80/F108</f>
        <v>0</v>
      </c>
      <c r="I80" s="1061">
        <f>H80*I66</f>
        <v>0</v>
      </c>
      <c r="J80" s="1104">
        <v>0</v>
      </c>
      <c r="K80" s="1033">
        <f t="shared" si="10"/>
        <v>0</v>
      </c>
      <c r="M80" s="2751" t="str">
        <f t="shared" si="11"/>
        <v>►</v>
      </c>
      <c r="N80" s="2736" t="str">
        <f>IF(ISBLANK(O80),"",LARGE(N68:N79,1)+1)</f>
        <v/>
      </c>
      <c r="O80" s="491"/>
      <c r="P80" s="491"/>
      <c r="Q80" s="491"/>
      <c r="R80" s="491"/>
      <c r="S80" s="491"/>
      <c r="T80" s="491"/>
      <c r="U80" s="2752"/>
      <c r="W80" s="2730">
        <v>1</v>
      </c>
    </row>
    <row r="81" spans="2:23" ht="18" customHeight="1">
      <c r="B81" s="2738" t="str">
        <f t="shared" si="12"/>
        <v>►</v>
      </c>
      <c r="C81" s="2733">
        <f>ROWS(H69:H81)</f>
        <v>13</v>
      </c>
      <c r="D81" s="1101"/>
      <c r="E81" s="7704"/>
      <c r="F81" s="1058"/>
      <c r="G81" s="7599">
        <f>F81/F108*1000</f>
        <v>0</v>
      </c>
      <c r="H81" s="7603">
        <f>F81/F108</f>
        <v>0</v>
      </c>
      <c r="I81" s="1059">
        <f>H81*I66</f>
        <v>0</v>
      </c>
      <c r="J81" s="1103">
        <v>0</v>
      </c>
      <c r="K81" s="1027">
        <f t="shared" si="10"/>
        <v>0</v>
      </c>
      <c r="M81" s="2751" t="str">
        <f t="shared" si="11"/>
        <v>►</v>
      </c>
      <c r="N81" s="2736" t="str">
        <f>IF(ISBLANK(O81),"",LARGE(N68:N80,1)+1)</f>
        <v/>
      </c>
      <c r="O81" s="491"/>
      <c r="P81" s="491"/>
      <c r="Q81" s="491"/>
      <c r="R81" s="491"/>
      <c r="S81" s="491"/>
      <c r="T81" s="491"/>
      <c r="U81" s="2752"/>
      <c r="W81" s="2730">
        <v>1</v>
      </c>
    </row>
    <row r="82" spans="2:23" ht="18" customHeight="1">
      <c r="B82" s="2738" t="str">
        <f t="shared" si="12"/>
        <v>►</v>
      </c>
      <c r="C82" s="2734">
        <f>ROWS(H69:H82)</f>
        <v>14</v>
      </c>
      <c r="D82" s="1100"/>
      <c r="E82" s="7704"/>
      <c r="F82" s="1060"/>
      <c r="G82" s="7600">
        <f>F82/F108*1000</f>
        <v>0</v>
      </c>
      <c r="H82" s="7604">
        <f>F82/F108</f>
        <v>0</v>
      </c>
      <c r="I82" s="1061">
        <f>H82*I66</f>
        <v>0</v>
      </c>
      <c r="J82" s="1104">
        <v>0</v>
      </c>
      <c r="K82" s="1033">
        <f t="shared" si="10"/>
        <v>0</v>
      </c>
      <c r="M82" s="2751" t="str">
        <f t="shared" si="11"/>
        <v>►</v>
      </c>
      <c r="N82" s="2736" t="str">
        <f>IF(ISBLANK(O82),"",LARGE(N68:N81,1)+1)</f>
        <v/>
      </c>
      <c r="O82" s="491"/>
      <c r="P82" s="491"/>
      <c r="Q82" s="491"/>
      <c r="R82" s="491"/>
      <c r="S82" s="491"/>
      <c r="T82" s="491"/>
      <c r="U82" s="2752"/>
      <c r="W82" s="2730">
        <v>1</v>
      </c>
    </row>
    <row r="83" spans="2:23" ht="18" customHeight="1">
      <c r="B83" s="2738" t="str">
        <f t="shared" si="12"/>
        <v>►</v>
      </c>
      <c r="C83" s="2733">
        <f>ROWS(H69:H83)</f>
        <v>15</v>
      </c>
      <c r="D83" s="1101"/>
      <c r="E83" s="7704"/>
      <c r="F83" s="1058"/>
      <c r="G83" s="7599">
        <f>F83/F108*1000</f>
        <v>0</v>
      </c>
      <c r="H83" s="7603">
        <f>F83/F108</f>
        <v>0</v>
      </c>
      <c r="I83" s="1059">
        <f>H83*I66</f>
        <v>0</v>
      </c>
      <c r="J83" s="1103">
        <v>0</v>
      </c>
      <c r="K83" s="1027">
        <f t="shared" si="10"/>
        <v>0</v>
      </c>
      <c r="M83" s="2751" t="str">
        <f t="shared" si="11"/>
        <v>►</v>
      </c>
      <c r="N83" s="2736" t="str">
        <f>IF(ISBLANK(O83),"",LARGE(N68:N82,1)+1)</f>
        <v/>
      </c>
      <c r="O83" s="491"/>
      <c r="P83" s="491"/>
      <c r="Q83" s="491"/>
      <c r="R83" s="491"/>
      <c r="S83" s="491"/>
      <c r="T83" s="491"/>
      <c r="U83" s="2752"/>
      <c r="W83" s="2730">
        <v>1</v>
      </c>
    </row>
    <row r="84" spans="2:23" ht="18" customHeight="1">
      <c r="B84" s="2738" t="str">
        <f t="shared" si="12"/>
        <v>►</v>
      </c>
      <c r="C84" s="2734">
        <f>ROWS(H69:H84)</f>
        <v>16</v>
      </c>
      <c r="D84" s="1100"/>
      <c r="E84" s="7704"/>
      <c r="F84" s="1060"/>
      <c r="G84" s="7600">
        <f>F84/F108*1000</f>
        <v>0</v>
      </c>
      <c r="H84" s="7604">
        <f>F84/F108</f>
        <v>0</v>
      </c>
      <c r="I84" s="1061">
        <f>H84*I66</f>
        <v>0</v>
      </c>
      <c r="J84" s="1104">
        <v>0</v>
      </c>
      <c r="K84" s="1033">
        <f t="shared" si="10"/>
        <v>0</v>
      </c>
      <c r="M84" s="2751" t="str">
        <f t="shared" si="11"/>
        <v>►</v>
      </c>
      <c r="N84" s="2736" t="str">
        <f>IF(ISBLANK(O84),"",LARGE(N68:N83,1)+1)</f>
        <v/>
      </c>
      <c r="O84" s="491"/>
      <c r="P84" s="491"/>
      <c r="Q84" s="491"/>
      <c r="R84" s="491"/>
      <c r="S84" s="491"/>
      <c r="T84" s="491"/>
      <c r="U84" s="2752"/>
      <c r="W84" s="2730">
        <v>1</v>
      </c>
    </row>
    <row r="85" spans="2:23" ht="18" customHeight="1">
      <c r="B85" s="2738" t="str">
        <f t="shared" si="12"/>
        <v>►</v>
      </c>
      <c r="C85" s="2733">
        <f>ROWS(H69:H85)</f>
        <v>17</v>
      </c>
      <c r="D85" s="1101"/>
      <c r="E85" s="7704"/>
      <c r="F85" s="1058"/>
      <c r="G85" s="7599">
        <f>F85/F108*1000</f>
        <v>0</v>
      </c>
      <c r="H85" s="7603">
        <f>F85/F108</f>
        <v>0</v>
      </c>
      <c r="I85" s="1059">
        <f>H85*I66</f>
        <v>0</v>
      </c>
      <c r="J85" s="1103">
        <v>0</v>
      </c>
      <c r="K85" s="1027">
        <f t="shared" si="10"/>
        <v>0</v>
      </c>
      <c r="M85" s="2751" t="str">
        <f t="shared" si="11"/>
        <v>►</v>
      </c>
      <c r="N85" s="2736" t="str">
        <f>IF(ISBLANK(O85),"",LARGE(N68:N84,1)+1)</f>
        <v/>
      </c>
      <c r="O85" s="491"/>
      <c r="P85" s="491"/>
      <c r="Q85" s="491"/>
      <c r="R85" s="491"/>
      <c r="S85" s="491"/>
      <c r="T85" s="491"/>
      <c r="U85" s="2752"/>
      <c r="W85" s="2730">
        <v>1</v>
      </c>
    </row>
    <row r="86" spans="2:23" ht="18" customHeight="1">
      <c r="B86" s="2738" t="str">
        <f t="shared" si="12"/>
        <v>►</v>
      </c>
      <c r="C86" s="2734">
        <f>ROWS(H69:H86)</f>
        <v>18</v>
      </c>
      <c r="D86" s="1100"/>
      <c r="E86" s="7704"/>
      <c r="F86" s="1060"/>
      <c r="G86" s="7600">
        <f>F86/F108*1000</f>
        <v>0</v>
      </c>
      <c r="H86" s="7604">
        <f>F86/F108</f>
        <v>0</v>
      </c>
      <c r="I86" s="1061">
        <f>H86*I66</f>
        <v>0</v>
      </c>
      <c r="J86" s="1104">
        <v>0</v>
      </c>
      <c r="K86" s="1033">
        <f t="shared" si="10"/>
        <v>0</v>
      </c>
      <c r="M86" s="2751" t="str">
        <f t="shared" si="11"/>
        <v>►</v>
      </c>
      <c r="N86" s="2736" t="str">
        <f>IF(ISBLANK(O86),"",LARGE(N68:N85,1)+1)</f>
        <v/>
      </c>
      <c r="O86" s="491"/>
      <c r="P86" s="491"/>
      <c r="Q86" s="491"/>
      <c r="R86" s="491"/>
      <c r="S86" s="491"/>
      <c r="T86" s="491"/>
      <c r="U86" s="2752"/>
      <c r="W86" s="2730">
        <v>1</v>
      </c>
    </row>
    <row r="87" spans="2:23" ht="18" customHeight="1">
      <c r="B87" s="2738" t="str">
        <f t="shared" si="12"/>
        <v>►</v>
      </c>
      <c r="C87" s="2733">
        <f>ROWS(H69:H87)</f>
        <v>19</v>
      </c>
      <c r="D87" s="1101"/>
      <c r="E87" s="7704"/>
      <c r="F87" s="1058"/>
      <c r="G87" s="7599">
        <f>F87/F108*1000</f>
        <v>0</v>
      </c>
      <c r="H87" s="7603">
        <f>F87/F108</f>
        <v>0</v>
      </c>
      <c r="I87" s="1059">
        <f>H87*I66</f>
        <v>0</v>
      </c>
      <c r="J87" s="1103">
        <v>0</v>
      </c>
      <c r="K87" s="1027">
        <f t="shared" si="10"/>
        <v>0</v>
      </c>
      <c r="M87" s="2751" t="str">
        <f t="shared" si="11"/>
        <v>►</v>
      </c>
      <c r="N87" s="2736" t="str">
        <f>IF(ISBLANK(O87),"",LARGE(N68:N86,1)+1)</f>
        <v/>
      </c>
      <c r="O87" s="491"/>
      <c r="P87" s="491"/>
      <c r="Q87" s="491"/>
      <c r="R87" s="491"/>
      <c r="S87" s="491"/>
      <c r="T87" s="491"/>
      <c r="U87" s="2752"/>
      <c r="W87" s="2730">
        <v>1</v>
      </c>
    </row>
    <row r="88" spans="2:23" ht="18" customHeight="1">
      <c r="B88" s="2738" t="str">
        <f t="shared" si="12"/>
        <v>►</v>
      </c>
      <c r="C88" s="2734">
        <f>ROWS(H69:H88)</f>
        <v>20</v>
      </c>
      <c r="D88" s="1100"/>
      <c r="E88" s="7704"/>
      <c r="F88" s="1060"/>
      <c r="G88" s="7600">
        <f>F88/F108*1000</f>
        <v>0</v>
      </c>
      <c r="H88" s="7604">
        <f>F88/F108</f>
        <v>0</v>
      </c>
      <c r="I88" s="1061">
        <f>H88*I66</f>
        <v>0</v>
      </c>
      <c r="J88" s="1104">
        <v>0</v>
      </c>
      <c r="K88" s="1033">
        <f t="shared" si="10"/>
        <v>0</v>
      </c>
      <c r="M88" s="2751" t="str">
        <f t="shared" si="11"/>
        <v>►</v>
      </c>
      <c r="N88" s="2736" t="str">
        <f>IF(ISBLANK(O88),"",LARGE(N68:N87,1)+1)</f>
        <v/>
      </c>
      <c r="O88" s="491"/>
      <c r="P88" s="491"/>
      <c r="Q88" s="491"/>
      <c r="R88" s="491"/>
      <c r="S88" s="491"/>
      <c r="T88" s="491"/>
      <c r="U88" s="2752"/>
      <c r="W88" s="2730">
        <v>1</v>
      </c>
    </row>
    <row r="89" spans="2:23" ht="18" customHeight="1">
      <c r="B89" s="2738" t="str">
        <f t="shared" si="12"/>
        <v>►</v>
      </c>
      <c r="C89" s="2733">
        <f>ROWS(H69:H89)</f>
        <v>21</v>
      </c>
      <c r="D89" s="1101"/>
      <c r="E89" s="7704"/>
      <c r="F89" s="1058"/>
      <c r="G89" s="7599">
        <f>F89/F108*1000</f>
        <v>0</v>
      </c>
      <c r="H89" s="7603">
        <f>F89/F108</f>
        <v>0</v>
      </c>
      <c r="I89" s="1059">
        <f>H89*I66</f>
        <v>0</v>
      </c>
      <c r="J89" s="1103">
        <v>0</v>
      </c>
      <c r="K89" s="1027">
        <f t="shared" si="10"/>
        <v>0</v>
      </c>
      <c r="M89" s="2751" t="str">
        <f t="shared" si="11"/>
        <v>►</v>
      </c>
      <c r="N89" s="2736" t="str">
        <f>IF(ISBLANK(O89),"",LARGE(N68:N88,1)+1)</f>
        <v/>
      </c>
      <c r="O89" s="491"/>
      <c r="P89" s="491"/>
      <c r="Q89" s="491"/>
      <c r="R89" s="491"/>
      <c r="S89" s="491"/>
      <c r="T89" s="491"/>
      <c r="U89" s="2752"/>
      <c r="W89" s="2730">
        <v>1</v>
      </c>
    </row>
    <row r="90" spans="2:23" ht="18" customHeight="1">
      <c r="B90" s="2738" t="str">
        <f t="shared" si="12"/>
        <v>►</v>
      </c>
      <c r="C90" s="2734">
        <f>ROWS(H69:H90)</f>
        <v>22</v>
      </c>
      <c r="D90" s="1100"/>
      <c r="E90" s="7704"/>
      <c r="F90" s="1060"/>
      <c r="G90" s="7600">
        <f>F90/F108*1000</f>
        <v>0</v>
      </c>
      <c r="H90" s="7604">
        <f>F90/F108</f>
        <v>0</v>
      </c>
      <c r="I90" s="1061">
        <f>H90*I66</f>
        <v>0</v>
      </c>
      <c r="J90" s="1104">
        <v>0</v>
      </c>
      <c r="K90" s="1033">
        <f t="shared" si="10"/>
        <v>0</v>
      </c>
      <c r="M90" s="2751" t="str">
        <f t="shared" si="11"/>
        <v>►</v>
      </c>
      <c r="N90" s="2736" t="str">
        <f>IF(ISBLANK(O90),"",LARGE(N68:N89,1)+1)</f>
        <v/>
      </c>
      <c r="O90" s="491"/>
      <c r="P90" s="491"/>
      <c r="Q90" s="491"/>
      <c r="R90" s="491"/>
      <c r="S90" s="491"/>
      <c r="T90" s="491"/>
      <c r="U90" s="2752"/>
      <c r="W90" s="2730">
        <v>1</v>
      </c>
    </row>
    <row r="91" spans="2:23" ht="18" customHeight="1">
      <c r="B91" s="2738" t="str">
        <f t="shared" si="12"/>
        <v>►</v>
      </c>
      <c r="C91" s="2733">
        <f>ROWS(H69:H91)</f>
        <v>23</v>
      </c>
      <c r="D91" s="1101"/>
      <c r="E91" s="7704"/>
      <c r="F91" s="1058"/>
      <c r="G91" s="7599">
        <f>F91/F108*1000</f>
        <v>0</v>
      </c>
      <c r="H91" s="7603">
        <f>F91/F108</f>
        <v>0</v>
      </c>
      <c r="I91" s="1059">
        <f>H91*I66</f>
        <v>0</v>
      </c>
      <c r="J91" s="1103">
        <v>0</v>
      </c>
      <c r="K91" s="1027">
        <f t="shared" si="10"/>
        <v>0</v>
      </c>
      <c r="M91" s="2751" t="str">
        <f t="shared" si="11"/>
        <v>►</v>
      </c>
      <c r="N91" s="2736" t="str">
        <f>IF(ISBLANK(O91),"",LARGE(N68:N90,1)+1)</f>
        <v/>
      </c>
      <c r="O91" s="491"/>
      <c r="P91" s="491"/>
      <c r="Q91" s="491"/>
      <c r="R91" s="491"/>
      <c r="S91" s="491"/>
      <c r="T91" s="491"/>
      <c r="U91" s="2752"/>
      <c r="W91" s="2730">
        <v>1</v>
      </c>
    </row>
    <row r="92" spans="2:23" ht="18" customHeight="1">
      <c r="B92" s="2738" t="str">
        <f t="shared" si="12"/>
        <v>►</v>
      </c>
      <c r="C92" s="2734">
        <f>ROWS(H69:H92)</f>
        <v>24</v>
      </c>
      <c r="D92" s="1100"/>
      <c r="E92" s="7704"/>
      <c r="F92" s="1060"/>
      <c r="G92" s="7600">
        <f>F92/F108*1000</f>
        <v>0</v>
      </c>
      <c r="H92" s="7604">
        <f>F92/F108</f>
        <v>0</v>
      </c>
      <c r="I92" s="1061">
        <f>H92*I66</f>
        <v>0</v>
      </c>
      <c r="J92" s="1104">
        <v>0</v>
      </c>
      <c r="K92" s="1033">
        <f t="shared" si="10"/>
        <v>0</v>
      </c>
      <c r="M92" s="2751" t="str">
        <f t="shared" si="11"/>
        <v>►</v>
      </c>
      <c r="N92" s="2736" t="str">
        <f>IF(ISBLANK(O92),"",LARGE(N68:N91,1)+1)</f>
        <v/>
      </c>
      <c r="O92" s="491"/>
      <c r="P92" s="491"/>
      <c r="Q92" s="491"/>
      <c r="R92" s="491"/>
      <c r="S92" s="491"/>
      <c r="T92" s="491"/>
      <c r="U92" s="2752"/>
      <c r="W92" s="2730">
        <v>1</v>
      </c>
    </row>
    <row r="93" spans="2:23" ht="18" customHeight="1">
      <c r="B93" s="2738" t="str">
        <f t="shared" si="12"/>
        <v>►</v>
      </c>
      <c r="C93" s="2733">
        <f>ROWS(H69:H93)</f>
        <v>25</v>
      </c>
      <c r="D93" s="1101"/>
      <c r="E93" s="7704"/>
      <c r="F93" s="1058"/>
      <c r="G93" s="7599">
        <f>F93/F108*1000</f>
        <v>0</v>
      </c>
      <c r="H93" s="7603">
        <f>F93/F108</f>
        <v>0</v>
      </c>
      <c r="I93" s="1059">
        <f>H93*I66</f>
        <v>0</v>
      </c>
      <c r="J93" s="1103">
        <v>0</v>
      </c>
      <c r="K93" s="1027">
        <f t="shared" si="10"/>
        <v>0</v>
      </c>
      <c r="M93" s="2751" t="str">
        <f t="shared" si="11"/>
        <v>►</v>
      </c>
      <c r="N93" s="2736" t="str">
        <f>IF(ISBLANK(O93),"",LARGE(N68:N92,1)+1)</f>
        <v/>
      </c>
      <c r="O93" s="491"/>
      <c r="P93" s="491"/>
      <c r="Q93" s="491"/>
      <c r="R93" s="491"/>
      <c r="S93" s="491"/>
      <c r="T93" s="491"/>
      <c r="U93" s="2752"/>
      <c r="W93" s="2730">
        <v>1</v>
      </c>
    </row>
    <row r="94" spans="2:23" ht="18" customHeight="1">
      <c r="B94" s="2738" t="str">
        <f t="shared" si="12"/>
        <v>►</v>
      </c>
      <c r="C94" s="2734">
        <f>ROWS(H69:H94)</f>
        <v>26</v>
      </c>
      <c r="D94" s="1100"/>
      <c r="E94" s="7704"/>
      <c r="F94" s="1060"/>
      <c r="G94" s="7600">
        <f>F94/F108*1000</f>
        <v>0</v>
      </c>
      <c r="H94" s="7604">
        <f>F94/F108</f>
        <v>0</v>
      </c>
      <c r="I94" s="1061">
        <f>H94*I66</f>
        <v>0</v>
      </c>
      <c r="J94" s="1104">
        <v>0</v>
      </c>
      <c r="K94" s="1033">
        <f t="shared" si="10"/>
        <v>0</v>
      </c>
      <c r="M94" s="2751" t="str">
        <f t="shared" si="11"/>
        <v>►</v>
      </c>
      <c r="N94" s="2736" t="str">
        <f>IF(ISBLANK(O94),"",LARGE(N68:N93,1)+1)</f>
        <v/>
      </c>
      <c r="O94" s="491"/>
      <c r="P94" s="491"/>
      <c r="Q94" s="491"/>
      <c r="R94" s="491"/>
      <c r="S94" s="491"/>
      <c r="T94" s="491"/>
      <c r="U94" s="2752"/>
      <c r="W94" s="2730">
        <v>1</v>
      </c>
    </row>
    <row r="95" spans="2:23" ht="18" customHeight="1">
      <c r="B95" s="2738" t="str">
        <f t="shared" si="12"/>
        <v>►</v>
      </c>
      <c r="C95" s="2733">
        <f>ROWS(H69:H95)</f>
        <v>27</v>
      </c>
      <c r="D95" s="1101"/>
      <c r="E95" s="7704"/>
      <c r="F95" s="1058"/>
      <c r="G95" s="7599">
        <f>F95/F108*1000</f>
        <v>0</v>
      </c>
      <c r="H95" s="7603">
        <f>F95/F108</f>
        <v>0</v>
      </c>
      <c r="I95" s="1059">
        <f>H95*I66</f>
        <v>0</v>
      </c>
      <c r="J95" s="1103">
        <v>0</v>
      </c>
      <c r="K95" s="1027">
        <f t="shared" si="10"/>
        <v>0</v>
      </c>
      <c r="M95" s="2751" t="str">
        <f t="shared" si="11"/>
        <v>►</v>
      </c>
      <c r="N95" s="2736" t="str">
        <f>IF(ISBLANK(O95),"",LARGE(N68:N94,1)+1)</f>
        <v/>
      </c>
      <c r="O95" s="491"/>
      <c r="P95" s="491"/>
      <c r="Q95" s="491"/>
      <c r="R95" s="491"/>
      <c r="S95" s="491"/>
      <c r="T95" s="491"/>
      <c r="U95" s="2752"/>
      <c r="W95" s="2730">
        <v>1</v>
      </c>
    </row>
    <row r="96" spans="2:23" ht="18" customHeight="1">
      <c r="B96" s="2738" t="str">
        <f t="shared" si="12"/>
        <v>►</v>
      </c>
      <c r="C96" s="2734">
        <f>ROWS(H69:H96)</f>
        <v>28</v>
      </c>
      <c r="D96" s="1100"/>
      <c r="E96" s="7704"/>
      <c r="F96" s="1060"/>
      <c r="G96" s="7600">
        <f>F96/F108*1000</f>
        <v>0</v>
      </c>
      <c r="H96" s="7604">
        <f>F96/F108</f>
        <v>0</v>
      </c>
      <c r="I96" s="1061">
        <f>H96*I66</f>
        <v>0</v>
      </c>
      <c r="J96" s="1104">
        <v>0</v>
      </c>
      <c r="K96" s="1033">
        <f t="shared" si="10"/>
        <v>0</v>
      </c>
      <c r="M96" s="2751" t="str">
        <f t="shared" si="11"/>
        <v>►</v>
      </c>
      <c r="N96" s="2736" t="str">
        <f>IF(ISBLANK(O96),"",LARGE(N68:N95,1)+1)</f>
        <v/>
      </c>
      <c r="O96" s="491"/>
      <c r="P96" s="491"/>
      <c r="Q96" s="491"/>
      <c r="R96" s="491"/>
      <c r="S96" s="491"/>
      <c r="T96" s="491"/>
      <c r="U96" s="2752"/>
      <c r="W96" s="2730">
        <v>1</v>
      </c>
    </row>
    <row r="97" spans="2:23" ht="18" customHeight="1">
      <c r="B97" s="2738" t="str">
        <f t="shared" si="12"/>
        <v>►</v>
      </c>
      <c r="C97" s="2733">
        <f>ROWS(H69:H97)</f>
        <v>29</v>
      </c>
      <c r="D97" s="1101"/>
      <c r="E97" s="7704"/>
      <c r="F97" s="1058"/>
      <c r="G97" s="7599">
        <f>F97/F108*1000</f>
        <v>0</v>
      </c>
      <c r="H97" s="7603">
        <f>F97/F108</f>
        <v>0</v>
      </c>
      <c r="I97" s="1059">
        <f>H97*I66</f>
        <v>0</v>
      </c>
      <c r="J97" s="1103">
        <v>0</v>
      </c>
      <c r="K97" s="1027">
        <f t="shared" si="10"/>
        <v>0</v>
      </c>
      <c r="M97" s="2751" t="str">
        <f t="shared" si="11"/>
        <v>►</v>
      </c>
      <c r="N97" s="2736" t="str">
        <f>IF(ISBLANK(O97),"",LARGE(N68:N96,1)+1)</f>
        <v/>
      </c>
      <c r="O97" s="491"/>
      <c r="P97" s="491"/>
      <c r="Q97" s="491"/>
      <c r="R97" s="491"/>
      <c r="S97" s="491"/>
      <c r="T97" s="491"/>
      <c r="U97" s="2752"/>
      <c r="W97" s="2730">
        <v>1</v>
      </c>
    </row>
    <row r="98" spans="2:23" ht="18" customHeight="1">
      <c r="B98" s="2738" t="str">
        <f t="shared" si="12"/>
        <v>►</v>
      </c>
      <c r="C98" s="2734">
        <f>ROWS(H69:H98)</f>
        <v>30</v>
      </c>
      <c r="D98" s="1100"/>
      <c r="E98" s="7704"/>
      <c r="F98" s="1060"/>
      <c r="G98" s="7600">
        <f>F98/F108*1000</f>
        <v>0</v>
      </c>
      <c r="H98" s="7604">
        <f>F98/F108</f>
        <v>0</v>
      </c>
      <c r="I98" s="1061">
        <f>H98*I66</f>
        <v>0</v>
      </c>
      <c r="J98" s="1104">
        <v>0</v>
      </c>
      <c r="K98" s="1033">
        <f t="shared" ref="K98:K107" si="13">(I98/1000)*J98</f>
        <v>0</v>
      </c>
      <c r="M98" s="2751" t="str">
        <f t="shared" si="11"/>
        <v>►</v>
      </c>
      <c r="N98" s="2736" t="str">
        <f>IF(ISBLANK(O98),"",LARGE(N68:N97,1)+1)</f>
        <v/>
      </c>
      <c r="O98" s="491"/>
      <c r="P98" s="491"/>
      <c r="Q98" s="491"/>
      <c r="R98" s="491"/>
      <c r="S98" s="491"/>
      <c r="T98" s="491"/>
      <c r="U98" s="2752"/>
      <c r="W98" s="2730">
        <v>1</v>
      </c>
    </row>
    <row r="99" spans="2:23" ht="18" customHeight="1">
      <c r="B99" s="2738" t="str">
        <f t="shared" si="12"/>
        <v>►</v>
      </c>
      <c r="C99" s="2733">
        <f>ROWS(H69:H99)</f>
        <v>31</v>
      </c>
      <c r="D99" s="1101"/>
      <c r="E99" s="7704"/>
      <c r="F99" s="1058"/>
      <c r="G99" s="7599">
        <f>F99/F108*1000</f>
        <v>0</v>
      </c>
      <c r="H99" s="7603">
        <f>F99/F108</f>
        <v>0</v>
      </c>
      <c r="I99" s="1059">
        <f>H99*I66</f>
        <v>0</v>
      </c>
      <c r="J99" s="1103">
        <v>0</v>
      </c>
      <c r="K99" s="1027">
        <f t="shared" si="13"/>
        <v>0</v>
      </c>
      <c r="M99" s="2751" t="str">
        <f t="shared" si="11"/>
        <v>►</v>
      </c>
      <c r="N99" s="2736" t="str">
        <f>IF(ISBLANK(O99),"",LARGE(N68:N98,1)+1)</f>
        <v/>
      </c>
      <c r="O99" s="491"/>
      <c r="P99" s="491"/>
      <c r="Q99" s="491"/>
      <c r="R99" s="491"/>
      <c r="S99" s="491"/>
      <c r="T99" s="491"/>
      <c r="U99" s="2752"/>
      <c r="W99" s="2730">
        <v>1</v>
      </c>
    </row>
    <row r="100" spans="2:23" ht="18" customHeight="1">
      <c r="B100" s="2738" t="str">
        <f t="shared" si="12"/>
        <v>►</v>
      </c>
      <c r="C100" s="2734">
        <f>ROWS(H69:H100)</f>
        <v>32</v>
      </c>
      <c r="D100" s="1100"/>
      <c r="E100" s="7704"/>
      <c r="F100" s="1060"/>
      <c r="G100" s="7600">
        <f>F100/F108*1000</f>
        <v>0</v>
      </c>
      <c r="H100" s="7604">
        <f>F100/F108</f>
        <v>0</v>
      </c>
      <c r="I100" s="1061">
        <f>H100*I66</f>
        <v>0</v>
      </c>
      <c r="J100" s="1104">
        <v>0</v>
      </c>
      <c r="K100" s="1033">
        <f t="shared" si="13"/>
        <v>0</v>
      </c>
      <c r="M100" s="2751" t="str">
        <f t="shared" si="11"/>
        <v>►</v>
      </c>
      <c r="N100" s="2736" t="str">
        <f>IF(ISBLANK(O100),"",LARGE(N68:N99,1)+1)</f>
        <v/>
      </c>
      <c r="O100" s="491"/>
      <c r="P100" s="491"/>
      <c r="Q100" s="491"/>
      <c r="R100" s="491"/>
      <c r="S100" s="491"/>
      <c r="T100" s="491"/>
      <c r="U100" s="2752"/>
      <c r="W100" s="2730">
        <v>1</v>
      </c>
    </row>
    <row r="101" spans="2:23" ht="18" customHeight="1">
      <c r="B101" s="2738" t="str">
        <f t="shared" si="12"/>
        <v>►</v>
      </c>
      <c r="C101" s="2733">
        <f>ROWS(H69:H101)</f>
        <v>33</v>
      </c>
      <c r="D101" s="1101"/>
      <c r="E101" s="7704"/>
      <c r="F101" s="1058"/>
      <c r="G101" s="7599">
        <f>F101/F108*1000</f>
        <v>0</v>
      </c>
      <c r="H101" s="7603">
        <f>F101/F108</f>
        <v>0</v>
      </c>
      <c r="I101" s="1059">
        <f>H101*I66</f>
        <v>0</v>
      </c>
      <c r="J101" s="1103">
        <v>0</v>
      </c>
      <c r="K101" s="1027">
        <f t="shared" si="13"/>
        <v>0</v>
      </c>
      <c r="M101" s="2928" t="s">
        <v>337</v>
      </c>
      <c r="N101" s="2736" t="str">
        <f>IF(ISBLANK(O101),"",LARGE(N68:N100,1)+1)</f>
        <v/>
      </c>
      <c r="O101" s="491"/>
      <c r="P101" s="491"/>
      <c r="Q101" s="491"/>
      <c r="R101" s="491"/>
      <c r="S101" s="491"/>
      <c r="T101" s="491"/>
      <c r="U101" s="2752"/>
      <c r="W101" s="2730">
        <v>1</v>
      </c>
    </row>
    <row r="102" spans="2:23" ht="18" customHeight="1" thickBot="1">
      <c r="B102" s="2738" t="str">
        <f t="shared" si="12"/>
        <v>►</v>
      </c>
      <c r="C102" s="2734">
        <f>ROWS(H69:H102)</f>
        <v>34</v>
      </c>
      <c r="D102" s="1100"/>
      <c r="E102" s="7704"/>
      <c r="F102" s="1060"/>
      <c r="G102" s="7600">
        <f>F102/F108*1000</f>
        <v>0</v>
      </c>
      <c r="H102" s="7604">
        <f>F102/F108</f>
        <v>0</v>
      </c>
      <c r="I102" s="1061">
        <f>H102*I66</f>
        <v>0</v>
      </c>
      <c r="J102" s="1104">
        <v>0</v>
      </c>
      <c r="K102" s="1033">
        <f t="shared" si="13"/>
        <v>0</v>
      </c>
      <c r="M102" s="2928" t="s">
        <v>337</v>
      </c>
      <c r="N102" s="2736" t="str">
        <f>IF(ISBLANK(O102),"",LARGE(N68:N101,1)+1)</f>
        <v/>
      </c>
      <c r="O102" s="491"/>
      <c r="P102" s="491"/>
      <c r="Q102" s="491"/>
      <c r="R102" s="491"/>
      <c r="S102" s="491"/>
      <c r="T102" s="491"/>
      <c r="U102" s="2752"/>
      <c r="W102" s="2730">
        <v>1</v>
      </c>
    </row>
    <row r="103" spans="2:23" ht="18" customHeight="1" thickTop="1">
      <c r="B103" s="2738" t="str">
        <f t="shared" si="12"/>
        <v>►</v>
      </c>
      <c r="C103" s="2733">
        <f>ROWS(H69:H103)</f>
        <v>35</v>
      </c>
      <c r="D103" s="1101"/>
      <c r="E103" s="7704"/>
      <c r="F103" s="1058"/>
      <c r="G103" s="7599">
        <f>F103/F108*1000</f>
        <v>0</v>
      </c>
      <c r="H103" s="7603">
        <f>F103/F108</f>
        <v>0</v>
      </c>
      <c r="I103" s="1059">
        <f>H103*I66</f>
        <v>0</v>
      </c>
      <c r="J103" s="1103">
        <v>0</v>
      </c>
      <c r="K103" s="1027">
        <f t="shared" si="13"/>
        <v>0</v>
      </c>
      <c r="M103" s="2928" t="s">
        <v>337</v>
      </c>
      <c r="N103" s="1080" t="s">
        <v>1775</v>
      </c>
      <c r="O103" s="1081"/>
      <c r="P103" s="7865"/>
      <c r="Q103" s="7865"/>
      <c r="R103" s="7865"/>
      <c r="S103" s="7865"/>
      <c r="T103" s="7865"/>
      <c r="U103" s="7879"/>
      <c r="W103" s="2730">
        <v>1</v>
      </c>
    </row>
    <row r="104" spans="2:23" ht="18" customHeight="1">
      <c r="B104" s="2738" t="str">
        <f t="shared" si="12"/>
        <v>►</v>
      </c>
      <c r="C104" s="2734">
        <f>ROWS(H69:H104)</f>
        <v>36</v>
      </c>
      <c r="D104" s="1100"/>
      <c r="E104" s="7704"/>
      <c r="F104" s="1060"/>
      <c r="G104" s="7600">
        <f>F104/F108*1000</f>
        <v>0</v>
      </c>
      <c r="H104" s="7604">
        <f>F104/F108</f>
        <v>0</v>
      </c>
      <c r="I104" s="1061">
        <f>H104*I66</f>
        <v>0</v>
      </c>
      <c r="J104" s="1104">
        <v>0</v>
      </c>
      <c r="K104" s="1033">
        <f t="shared" si="13"/>
        <v>0</v>
      </c>
      <c r="M104" s="2928" t="s">
        <v>337</v>
      </c>
      <c r="N104" s="1085" t="s">
        <v>1780</v>
      </c>
      <c r="O104" s="7853" t="s">
        <v>1779</v>
      </c>
      <c r="P104" s="7853"/>
      <c r="Q104" s="7853"/>
      <c r="R104" s="7853"/>
      <c r="S104" s="7853"/>
      <c r="T104" s="7853"/>
      <c r="U104" s="7894"/>
      <c r="W104" s="2730">
        <v>1</v>
      </c>
    </row>
    <row r="105" spans="2:23" ht="15.75">
      <c r="B105" s="2738" t="str">
        <f t="shared" si="12"/>
        <v>►</v>
      </c>
      <c r="C105" s="2733">
        <f>ROWS(H69:H105)</f>
        <v>37</v>
      </c>
      <c r="D105" s="1101"/>
      <c r="E105" s="7704"/>
      <c r="F105" s="1058"/>
      <c r="G105" s="7599">
        <f>F105/F108*1000</f>
        <v>0</v>
      </c>
      <c r="H105" s="7603">
        <f>F105/F108</f>
        <v>0</v>
      </c>
      <c r="I105" s="1059">
        <f>H105*I66</f>
        <v>0</v>
      </c>
      <c r="J105" s="1103">
        <v>0</v>
      </c>
      <c r="K105" s="1027">
        <f t="shared" si="13"/>
        <v>0</v>
      </c>
      <c r="M105" s="2928" t="s">
        <v>337</v>
      </c>
      <c r="N105" s="1082" t="s">
        <v>7</v>
      </c>
      <c r="O105" s="1049" t="str">
        <f ca="1">CELL("nomfichier")</f>
        <v>D:\Données\1.UPRT\0-UPRT.fait\1-UPRT.FR-SITE-WEB\ff-fiches-fabrications\ff.fiches.fabrication.2023\UPRT.23.aout\[ff-20-CHARCUTERIE-michel-Mariette.BOUDIN.BLANC_-1.xlsx]Exemples Michel Mariette</v>
      </c>
      <c r="P105" s="34"/>
      <c r="Q105" s="15"/>
      <c r="R105" s="15"/>
      <c r="S105" s="15"/>
      <c r="T105" s="15"/>
      <c r="U105" s="2396"/>
      <c r="W105" s="2730">
        <v>1</v>
      </c>
    </row>
    <row r="106" spans="2:23" ht="15.75">
      <c r="B106" s="2738" t="str">
        <f t="shared" si="12"/>
        <v>►</v>
      </c>
      <c r="C106" s="2734">
        <f>ROWS(H69:H106)</f>
        <v>38</v>
      </c>
      <c r="D106" s="1100"/>
      <c r="E106" s="7704"/>
      <c r="F106" s="1060"/>
      <c r="G106" s="7600">
        <f>F106/F108*1000</f>
        <v>0</v>
      </c>
      <c r="H106" s="7604">
        <f>F106/F108</f>
        <v>0</v>
      </c>
      <c r="I106" s="1061">
        <f>H106*I66</f>
        <v>0</v>
      </c>
      <c r="J106" s="1104">
        <v>0</v>
      </c>
      <c r="K106" s="1033">
        <f t="shared" si="13"/>
        <v>0</v>
      </c>
      <c r="M106" s="2928" t="s">
        <v>337</v>
      </c>
      <c r="N106" s="1083" t="s">
        <v>1778</v>
      </c>
      <c r="O106" s="34"/>
      <c r="P106" s="1049"/>
      <c r="Q106" s="15"/>
      <c r="R106" s="15"/>
      <c r="S106" s="15"/>
      <c r="T106" s="15"/>
      <c r="U106" s="2396"/>
      <c r="W106" s="2730">
        <v>1</v>
      </c>
    </row>
    <row r="107" spans="2:23" ht="16.5" thickBot="1">
      <c r="B107" s="2929" t="s">
        <v>337</v>
      </c>
      <c r="C107" s="2733">
        <f>ROWS(H69:H107)</f>
        <v>39</v>
      </c>
      <c r="D107" s="1101"/>
      <c r="E107" s="7617"/>
      <c r="F107" s="1058"/>
      <c r="G107" s="7599">
        <f>F107/F108*1000</f>
        <v>0</v>
      </c>
      <c r="H107" s="7603">
        <f>F107/F108</f>
        <v>0</v>
      </c>
      <c r="I107" s="1059">
        <f>H107*I66</f>
        <v>0</v>
      </c>
      <c r="J107" s="1103">
        <v>0</v>
      </c>
      <c r="K107" s="1027">
        <f t="shared" si="13"/>
        <v>0</v>
      </c>
      <c r="M107" s="2928" t="s">
        <v>337</v>
      </c>
      <c r="N107" s="1083" t="s">
        <v>1776</v>
      </c>
      <c r="O107" s="34"/>
      <c r="P107" s="1049"/>
      <c r="Q107" s="15"/>
      <c r="R107" s="15"/>
      <c r="S107" s="15"/>
      <c r="T107" s="15"/>
      <c r="U107" s="2396"/>
      <c r="W107" s="2730">
        <v>1</v>
      </c>
    </row>
    <row r="108" spans="2:23" ht="17.25" thickTop="1" thickBot="1">
      <c r="B108" s="2938" t="s">
        <v>337</v>
      </c>
      <c r="C108" s="7916" t="s">
        <v>20</v>
      </c>
      <c r="D108" s="7858"/>
      <c r="E108" s="1079"/>
      <c r="F108" s="1062">
        <f>SUM(F69:F107)</f>
        <v>10488</v>
      </c>
      <c r="G108" s="7602">
        <f>SUM(G69:G107)</f>
        <v>999.99999999999989</v>
      </c>
      <c r="H108" s="7606">
        <f>SUM(H69:H107)</f>
        <v>1.0000000000000002</v>
      </c>
      <c r="I108" s="1043">
        <f>SUM(I69:I107)/1000</f>
        <v>0.49999999999999994</v>
      </c>
      <c r="J108" s="1044"/>
      <c r="K108" s="1045">
        <f>SUM(K69:K107)</f>
        <v>0.5434782608695653</v>
      </c>
      <c r="M108" s="2928" t="s">
        <v>337</v>
      </c>
      <c r="N108" s="2937" t="s">
        <v>8</v>
      </c>
      <c r="O108" s="453"/>
      <c r="P108" s="132"/>
      <c r="Q108" s="132"/>
      <c r="R108" s="132"/>
      <c r="S108" s="132"/>
      <c r="T108" s="132"/>
      <c r="U108" s="592"/>
      <c r="W108" s="2730">
        <v>1</v>
      </c>
    </row>
    <row r="109" spans="2:23">
      <c r="W109" s="2730">
        <v>1</v>
      </c>
    </row>
    <row r="110" spans="2:23" ht="13.5" thickBot="1">
      <c r="W110" s="2730">
        <v>1</v>
      </c>
    </row>
    <row r="111" spans="2:23" ht="18.75" customHeight="1">
      <c r="B111" s="2755" t="s">
        <v>67</v>
      </c>
      <c r="C111" s="7872" t="s">
        <v>1782</v>
      </c>
      <c r="D111" s="7872"/>
      <c r="E111" s="7872"/>
      <c r="F111" s="7872"/>
      <c r="G111" s="7872"/>
      <c r="H111" s="7872"/>
      <c r="I111" s="7872"/>
      <c r="J111" s="7872"/>
      <c r="K111" s="7895" t="s">
        <v>65</v>
      </c>
      <c r="M111" s="2936" t="s">
        <v>67</v>
      </c>
      <c r="N111" s="7913" t="str">
        <f>C111</f>
        <v>NOM DE VOTRE RECETTE</v>
      </c>
      <c r="O111" s="7875"/>
      <c r="P111" s="7875"/>
      <c r="Q111" s="7875"/>
      <c r="R111" s="7875"/>
      <c r="S111" s="7875"/>
      <c r="T111" s="7875"/>
      <c r="U111" s="7877" t="str">
        <f>K111</f>
        <v>N°1</v>
      </c>
      <c r="W111" s="2730">
        <v>1</v>
      </c>
    </row>
    <row r="112" spans="2:23" ht="18.75" customHeight="1">
      <c r="B112" s="2929" t="s">
        <v>337</v>
      </c>
      <c r="C112" s="7730"/>
      <c r="D112" s="7730"/>
      <c r="E112" s="7730"/>
      <c r="F112" s="7730"/>
      <c r="G112" s="7730"/>
      <c r="H112" s="7730"/>
      <c r="I112" s="7730"/>
      <c r="J112" s="7730"/>
      <c r="K112" s="7896"/>
      <c r="M112" s="2928" t="s">
        <v>337</v>
      </c>
      <c r="N112" s="7860"/>
      <c r="O112" s="7860"/>
      <c r="P112" s="7860"/>
      <c r="Q112" s="7860"/>
      <c r="R112" s="7860"/>
      <c r="S112" s="7860"/>
      <c r="T112" s="7860"/>
      <c r="U112" s="7878"/>
      <c r="W112" s="2730">
        <v>1</v>
      </c>
    </row>
    <row r="113" spans="2:23" ht="18.75">
      <c r="B113" s="2929" t="s">
        <v>337</v>
      </c>
      <c r="C113" s="7733" t="s">
        <v>1771</v>
      </c>
      <c r="D113" s="7733"/>
      <c r="E113" s="7733"/>
      <c r="F113" s="7733"/>
      <c r="G113" s="7733"/>
      <c r="H113" s="7733"/>
      <c r="I113" s="7733"/>
      <c r="J113" s="7733"/>
      <c r="K113" s="7734"/>
      <c r="M113" s="2928" t="s">
        <v>337</v>
      </c>
      <c r="N113" s="7863" t="str">
        <f>C113</f>
        <v>AUTEUR  : Michel MARIETTE</v>
      </c>
      <c r="O113" s="7863"/>
      <c r="P113" s="7863"/>
      <c r="Q113" s="7863"/>
      <c r="R113" s="7863"/>
      <c r="S113" s="7863"/>
      <c r="T113" s="7863"/>
      <c r="U113" s="7876"/>
      <c r="W113" s="2730">
        <v>1</v>
      </c>
    </row>
    <row r="114" spans="2:23" ht="18.75" customHeight="1">
      <c r="B114" s="2929" t="s">
        <v>337</v>
      </c>
      <c r="C114" s="2735"/>
      <c r="D114" s="34"/>
      <c r="E114" s="34"/>
      <c r="F114" s="1065"/>
      <c r="G114" s="7897" t="s">
        <v>1772</v>
      </c>
      <c r="H114" s="7897"/>
      <c r="I114" s="7726">
        <v>10</v>
      </c>
      <c r="J114" s="1067"/>
      <c r="K114" s="2756"/>
      <c r="M114" s="2928" t="s">
        <v>337</v>
      </c>
      <c r="N114" s="1088"/>
      <c r="O114" s="1088"/>
      <c r="P114" s="1088"/>
      <c r="Q114" s="1088"/>
      <c r="R114" s="1088"/>
      <c r="S114" s="1088"/>
      <c r="T114" s="1088"/>
      <c r="U114" s="2745"/>
      <c r="W114" s="2730">
        <v>1</v>
      </c>
    </row>
    <row r="115" spans="2:23" ht="18.75" customHeight="1">
      <c r="B115" s="2929" t="s">
        <v>337</v>
      </c>
      <c r="C115" s="2735"/>
      <c r="D115" s="34"/>
      <c r="E115" s="34"/>
      <c r="F115" s="1066"/>
      <c r="G115" s="7898"/>
      <c r="H115" s="7898"/>
      <c r="I115" s="7727"/>
      <c r="J115" s="1069"/>
      <c r="K115" s="2757"/>
      <c r="M115" s="2928" t="s">
        <v>337</v>
      </c>
      <c r="N115" s="2739"/>
      <c r="O115" s="1090" t="s">
        <v>1</v>
      </c>
      <c r="P115" s="11">
        <v>2</v>
      </c>
      <c r="Q115" s="1091"/>
      <c r="R115" s="1091"/>
      <c r="S115" s="1090" t="s">
        <v>0</v>
      </c>
      <c r="T115" s="11">
        <v>2</v>
      </c>
      <c r="U115" s="2746"/>
      <c r="W115" s="2730">
        <v>1</v>
      </c>
    </row>
    <row r="116" spans="2:23" ht="18.75">
      <c r="B116" s="2929" t="s">
        <v>337</v>
      </c>
      <c r="C116" s="7855" t="s">
        <v>1253</v>
      </c>
      <c r="D116" s="7856"/>
      <c r="E116" s="7616" t="s">
        <v>16246</v>
      </c>
      <c r="F116" s="2758" t="s">
        <v>1773</v>
      </c>
      <c r="G116" s="7609" t="s">
        <v>1282</v>
      </c>
      <c r="H116" s="7610" t="s">
        <v>19</v>
      </c>
      <c r="I116" s="1105" t="s">
        <v>1774</v>
      </c>
      <c r="J116" s="1056" t="s">
        <v>1781</v>
      </c>
      <c r="K116" s="2762" t="s">
        <v>1254</v>
      </c>
      <c r="M116" s="2928" t="s">
        <v>337</v>
      </c>
      <c r="N116" s="2736">
        <v>0</v>
      </c>
      <c r="O116" s="2737" t="s">
        <v>7038</v>
      </c>
      <c r="P116" s="2737"/>
      <c r="Q116" s="1095"/>
      <c r="R116" s="1095"/>
      <c r="S116" s="1093"/>
      <c r="T116" s="1094"/>
      <c r="U116" s="2747"/>
      <c r="W116" s="2730">
        <v>1</v>
      </c>
    </row>
    <row r="117" spans="2:23" ht="18.75">
      <c r="B117" s="2929" t="s">
        <v>337</v>
      </c>
      <c r="C117" s="2733">
        <f>ROWS(H117:H117)</f>
        <v>1</v>
      </c>
      <c r="D117" s="1101" t="s">
        <v>1255</v>
      </c>
      <c r="E117" s="7617" t="s">
        <v>10486</v>
      </c>
      <c r="F117" s="1058">
        <v>3400</v>
      </c>
      <c r="G117" s="7607">
        <f>F117/F156*1000</f>
        <v>324.18001525553012</v>
      </c>
      <c r="H117" s="7608">
        <f>F117/F156</f>
        <v>0.32418001525553014</v>
      </c>
      <c r="I117" s="1059">
        <f>H117*I114</f>
        <v>3.2418001525553013</v>
      </c>
      <c r="J117" s="1103">
        <v>1</v>
      </c>
      <c r="K117" s="1027">
        <f>(I117/1000)*J117</f>
        <v>3.2418001525553013E-3</v>
      </c>
      <c r="M117" s="2928" t="s">
        <v>337</v>
      </c>
      <c r="N117" s="2736" t="str">
        <f>IF(ISBLANK(O117),"",LARGE(N116:N116,1)+1)</f>
        <v/>
      </c>
      <c r="O117" s="2748"/>
      <c r="P117" s="2748"/>
      <c r="Q117" s="2749"/>
      <c r="R117" s="2749"/>
      <c r="S117" s="2749"/>
      <c r="T117" s="2749"/>
      <c r="U117" s="2750"/>
      <c r="W117" s="2730">
        <v>1</v>
      </c>
    </row>
    <row r="118" spans="2:23" ht="18.75">
      <c r="B118" s="2738" t="str">
        <f t="shared" ref="B118" si="14">IF(D118&lt;&gt;"","A","►")</f>
        <v>A</v>
      </c>
      <c r="C118" s="2734">
        <f>ROWS(H117:H118)</f>
        <v>2</v>
      </c>
      <c r="D118" s="1100" t="s">
        <v>1256</v>
      </c>
      <c r="E118" s="7617"/>
      <c r="F118" s="1060">
        <v>1600</v>
      </c>
      <c r="G118" s="7600">
        <f>F118/F156*1000</f>
        <v>152.55530129672007</v>
      </c>
      <c r="H118" s="7604">
        <f>F118/F156</f>
        <v>0.15255530129672007</v>
      </c>
      <c r="I118" s="1061">
        <f>H118*I114</f>
        <v>1.5255530129672006</v>
      </c>
      <c r="J118" s="1104">
        <v>2</v>
      </c>
      <c r="K118" s="1033">
        <f t="shared" ref="K118:K155" si="15">(I118/1000)*J118</f>
        <v>3.0511060259344014E-3</v>
      </c>
      <c r="M118" s="2928" t="s">
        <v>337</v>
      </c>
      <c r="N118" s="2736" t="str">
        <f>IF(ISBLANK(O118),"",LARGE(N116:N117,1)+1)</f>
        <v/>
      </c>
      <c r="O118" s="2748"/>
      <c r="P118" s="2748"/>
      <c r="Q118" s="491"/>
      <c r="R118" s="491"/>
      <c r="S118" s="491"/>
      <c r="T118" s="491"/>
      <c r="U118" s="2752"/>
      <c r="W118" s="2730">
        <v>1</v>
      </c>
    </row>
    <row r="119" spans="2:23" ht="18.75">
      <c r="B119" s="2738" t="str">
        <f>IF(D119&lt;&gt;"","A","►")</f>
        <v>A</v>
      </c>
      <c r="C119" s="2733">
        <f>ROWS(H117:H119)</f>
        <v>3</v>
      </c>
      <c r="D119" s="1101" t="s">
        <v>1257</v>
      </c>
      <c r="E119" s="7617"/>
      <c r="F119" s="1058">
        <v>1600</v>
      </c>
      <c r="G119" s="7599">
        <f>F119/F156*1000</f>
        <v>152.55530129672007</v>
      </c>
      <c r="H119" s="7603">
        <f>F119/F156</f>
        <v>0.15255530129672007</v>
      </c>
      <c r="I119" s="1059">
        <f>H119*I114</f>
        <v>1.5255530129672006</v>
      </c>
      <c r="J119" s="1103">
        <v>3</v>
      </c>
      <c r="K119" s="1027">
        <f t="shared" si="15"/>
        <v>4.5766590389016018E-3</v>
      </c>
      <c r="M119" s="2751" t="str">
        <f t="shared" ref="M119:M148" si="16">IF(COUNTA(O119:U119)&gt;0, "A", "►")</f>
        <v>►</v>
      </c>
      <c r="N119" s="2736" t="str">
        <f>IF(ISBLANK(O119),"",LARGE(N116:N118,1)+1)</f>
        <v/>
      </c>
      <c r="O119" s="2748"/>
      <c r="P119" s="2748"/>
      <c r="Q119" s="491"/>
      <c r="R119" s="491"/>
      <c r="S119" s="491"/>
      <c r="T119" s="491"/>
      <c r="U119" s="2752"/>
      <c r="W119" s="2730">
        <v>1</v>
      </c>
    </row>
    <row r="120" spans="2:23" ht="18.75">
      <c r="B120" s="2738" t="str">
        <f t="shared" ref="B120:B154" si="17">IF(D120&lt;&gt;"","A","►")</f>
        <v>A</v>
      </c>
      <c r="C120" s="2734">
        <f>ROWS(H117:H120)</f>
        <v>4</v>
      </c>
      <c r="D120" s="1100" t="s">
        <v>1258</v>
      </c>
      <c r="E120" s="7617"/>
      <c r="F120" s="1060">
        <v>3000</v>
      </c>
      <c r="G120" s="7600">
        <f>F120/F156*1000</f>
        <v>286.04118993135012</v>
      </c>
      <c r="H120" s="7604">
        <f>F120/F156</f>
        <v>0.28604118993135014</v>
      </c>
      <c r="I120" s="1061">
        <f>H120*I114</f>
        <v>2.8604118993135015</v>
      </c>
      <c r="J120" s="1104">
        <v>0</v>
      </c>
      <c r="K120" s="1033">
        <f t="shared" si="15"/>
        <v>0</v>
      </c>
      <c r="M120" s="2751" t="str">
        <f t="shared" si="16"/>
        <v>►</v>
      </c>
      <c r="N120" s="2736" t="str">
        <f>IF(ISBLANK(O120),"",LARGE(N116:N119,1)+1)</f>
        <v/>
      </c>
      <c r="O120" s="2748"/>
      <c r="P120" s="2748"/>
      <c r="Q120" s="491"/>
      <c r="R120" s="491"/>
      <c r="S120" s="491"/>
      <c r="T120" s="491"/>
      <c r="U120" s="2752"/>
      <c r="W120" s="2730">
        <v>1</v>
      </c>
    </row>
    <row r="121" spans="2:23" ht="18.75">
      <c r="B121" s="2738" t="str">
        <f t="shared" si="17"/>
        <v>A</v>
      </c>
      <c r="C121" s="2733">
        <f>ROWS(H117:H121)</f>
        <v>5</v>
      </c>
      <c r="D121" s="1101" t="s">
        <v>374</v>
      </c>
      <c r="E121" s="7617"/>
      <c r="F121" s="1058">
        <v>600</v>
      </c>
      <c r="G121" s="7599">
        <f>F121/F156*1000</f>
        <v>57.208237986270028</v>
      </c>
      <c r="H121" s="7603">
        <f>F121/F156</f>
        <v>5.7208237986270026E-2</v>
      </c>
      <c r="I121" s="1059">
        <f>H121*I114</f>
        <v>0.57208237986270027</v>
      </c>
      <c r="J121" s="1103">
        <v>0</v>
      </c>
      <c r="K121" s="1027">
        <f t="shared" si="15"/>
        <v>0</v>
      </c>
      <c r="M121" s="2751" t="str">
        <f t="shared" si="16"/>
        <v>►</v>
      </c>
      <c r="N121" s="2736" t="str">
        <f>IF(ISBLANK(O121),"",LARGE(N116:N120,1)+1)</f>
        <v/>
      </c>
      <c r="O121" s="2748"/>
      <c r="P121" s="2748"/>
      <c r="Q121" s="491"/>
      <c r="R121" s="491"/>
      <c r="S121" s="491"/>
      <c r="T121" s="491"/>
      <c r="U121" s="2752"/>
      <c r="W121" s="2730">
        <v>1</v>
      </c>
    </row>
    <row r="122" spans="2:23" ht="18.75">
      <c r="B122" s="2738" t="str">
        <f t="shared" si="17"/>
        <v>A</v>
      </c>
      <c r="C122" s="2734">
        <f>ROWS(H117:H122)</f>
        <v>6</v>
      </c>
      <c r="D122" s="1100" t="s">
        <v>1259</v>
      </c>
      <c r="E122" s="7617"/>
      <c r="F122" s="1060">
        <v>165</v>
      </c>
      <c r="G122" s="7600">
        <f>F122/F156*1000</f>
        <v>15.732265446224257</v>
      </c>
      <c r="H122" s="7604">
        <f>F122/F156</f>
        <v>1.5732265446224258E-2</v>
      </c>
      <c r="I122" s="1061">
        <f>H122*I114</f>
        <v>0.15732265446224258</v>
      </c>
      <c r="J122" s="1104">
        <v>0</v>
      </c>
      <c r="K122" s="1033">
        <f t="shared" si="15"/>
        <v>0</v>
      </c>
      <c r="M122" s="2751" t="str">
        <f t="shared" si="16"/>
        <v>►</v>
      </c>
      <c r="N122" s="2736" t="str">
        <f>IF(ISBLANK(O122),"",LARGE(N116:N121,1)+1)</f>
        <v/>
      </c>
      <c r="O122" s="491"/>
      <c r="P122" s="491"/>
      <c r="Q122" s="491"/>
      <c r="R122" s="491"/>
      <c r="S122" s="491"/>
      <c r="T122" s="491"/>
      <c r="U122" s="2752"/>
      <c r="W122" s="2730">
        <v>1</v>
      </c>
    </row>
    <row r="123" spans="2:23" ht="18.75">
      <c r="B123" s="2738" t="str">
        <f t="shared" si="17"/>
        <v>A</v>
      </c>
      <c r="C123" s="2733">
        <f>ROWS(H117:H123)</f>
        <v>7</v>
      </c>
      <c r="D123" s="1101" t="s">
        <v>1260</v>
      </c>
      <c r="E123" s="7617"/>
      <c r="F123" s="1058">
        <v>10</v>
      </c>
      <c r="G123" s="7599">
        <f>F123/F156*1000</f>
        <v>0.95347063310450031</v>
      </c>
      <c r="H123" s="7603">
        <f>F123/F156</f>
        <v>9.5347063310450035E-4</v>
      </c>
      <c r="I123" s="1059">
        <f>H123*I114</f>
        <v>9.5347063310450043E-3</v>
      </c>
      <c r="J123" s="1103">
        <v>0</v>
      </c>
      <c r="K123" s="1027">
        <f t="shared" si="15"/>
        <v>0</v>
      </c>
      <c r="M123" s="2751" t="str">
        <f t="shared" si="16"/>
        <v>►</v>
      </c>
      <c r="N123" s="2736" t="str">
        <f>IF(ISBLANK(O123),"",LARGE(N116:N122,1)+1)</f>
        <v/>
      </c>
      <c r="O123" s="491"/>
      <c r="P123" s="491"/>
      <c r="Q123" s="491"/>
      <c r="R123" s="491"/>
      <c r="S123" s="491"/>
      <c r="T123" s="491"/>
      <c r="U123" s="2752"/>
      <c r="W123" s="2730">
        <v>1</v>
      </c>
    </row>
    <row r="124" spans="2:23" ht="18.75">
      <c r="B124" s="2738" t="str">
        <f t="shared" si="17"/>
        <v>A</v>
      </c>
      <c r="C124" s="2734">
        <f>ROWS(H117:H124)</f>
        <v>8</v>
      </c>
      <c r="D124" s="1100" t="s">
        <v>1261</v>
      </c>
      <c r="E124" s="7617"/>
      <c r="F124" s="1060">
        <v>10</v>
      </c>
      <c r="G124" s="7600">
        <f>F124/F156*1000</f>
        <v>0.95347063310450031</v>
      </c>
      <c r="H124" s="7604">
        <f>F124/F156</f>
        <v>9.5347063310450035E-4</v>
      </c>
      <c r="I124" s="1061">
        <f>H124*I114</f>
        <v>9.5347063310450043E-3</v>
      </c>
      <c r="J124" s="1104">
        <v>0</v>
      </c>
      <c r="K124" s="1033">
        <f t="shared" si="15"/>
        <v>0</v>
      </c>
      <c r="M124" s="2751" t="str">
        <f t="shared" si="16"/>
        <v>►</v>
      </c>
      <c r="N124" s="2736" t="str">
        <f>IF(ISBLANK(O124),"",LARGE(N116:N123,1)+1)</f>
        <v/>
      </c>
      <c r="O124" s="491"/>
      <c r="P124" s="491"/>
      <c r="Q124" s="491"/>
      <c r="R124" s="491"/>
      <c r="S124" s="491"/>
      <c r="T124" s="491"/>
      <c r="U124" s="2752"/>
      <c r="W124" s="2730">
        <v>1</v>
      </c>
    </row>
    <row r="125" spans="2:23" ht="18.75">
      <c r="B125" s="2738" t="str">
        <f t="shared" si="17"/>
        <v>A</v>
      </c>
      <c r="C125" s="2733">
        <f>ROWS(H117:H125)</f>
        <v>9</v>
      </c>
      <c r="D125" s="1101" t="s">
        <v>1265</v>
      </c>
      <c r="E125" s="7617"/>
      <c r="F125" s="1058">
        <v>100</v>
      </c>
      <c r="G125" s="7599">
        <f>F125/F156*1000</f>
        <v>9.5347063310450046</v>
      </c>
      <c r="H125" s="7603">
        <f>F125/F156</f>
        <v>9.5347063310450043E-3</v>
      </c>
      <c r="I125" s="1059">
        <f>H125*I114</f>
        <v>9.5347063310450036E-2</v>
      </c>
      <c r="J125" s="1103">
        <v>0</v>
      </c>
      <c r="K125" s="1027">
        <f t="shared" si="15"/>
        <v>0</v>
      </c>
      <c r="M125" s="2751" t="str">
        <f t="shared" si="16"/>
        <v>►</v>
      </c>
      <c r="N125" s="2736" t="str">
        <f>IF(ISBLANK(O125),"",LARGE(N116:N124,1)+1)</f>
        <v/>
      </c>
      <c r="O125" s="491"/>
      <c r="P125" s="491"/>
      <c r="Q125" s="491"/>
      <c r="R125" s="491"/>
      <c r="S125" s="491"/>
      <c r="T125" s="491"/>
      <c r="U125" s="2752"/>
      <c r="W125" s="2730">
        <v>1</v>
      </c>
    </row>
    <row r="126" spans="2:23" ht="18.75">
      <c r="B126" s="2738" t="str">
        <f t="shared" si="17"/>
        <v>A</v>
      </c>
      <c r="C126" s="2734">
        <f>ROWS(H117:H126)</f>
        <v>10</v>
      </c>
      <c r="D126" s="1100" t="s">
        <v>1262</v>
      </c>
      <c r="E126" s="7617"/>
      <c r="F126" s="1060">
        <v>3</v>
      </c>
      <c r="G126" s="7600">
        <f>F126/F156*1000</f>
        <v>0.28604118993135014</v>
      </c>
      <c r="H126" s="7604">
        <f>F126/F156</f>
        <v>2.8604118993135012E-4</v>
      </c>
      <c r="I126" s="1061">
        <f>H126*I114</f>
        <v>2.860411899313501E-3</v>
      </c>
      <c r="J126" s="1104">
        <v>0</v>
      </c>
      <c r="K126" s="1033">
        <f t="shared" si="15"/>
        <v>0</v>
      </c>
      <c r="M126" s="2751" t="str">
        <f t="shared" si="16"/>
        <v>►</v>
      </c>
      <c r="N126" s="2736" t="str">
        <f>IF(ISBLANK(O126),"",LARGE(N116:N125,1)+1)</f>
        <v/>
      </c>
      <c r="O126" s="491"/>
      <c r="P126" s="491"/>
      <c r="Q126" s="491"/>
      <c r="R126" s="491"/>
      <c r="S126" s="491"/>
      <c r="T126" s="491"/>
      <c r="U126" s="2752"/>
      <c r="W126" s="2730">
        <v>1</v>
      </c>
    </row>
    <row r="127" spans="2:23" ht="18.75">
      <c r="B127" s="2738" t="str">
        <f t="shared" si="17"/>
        <v>►</v>
      </c>
      <c r="C127" s="2733">
        <f>ROWS(H117:H127)</f>
        <v>11</v>
      </c>
      <c r="D127" s="1101"/>
      <c r="E127" s="7617"/>
      <c r="F127" s="1058"/>
      <c r="G127" s="7599">
        <f>F127/F156*1000</f>
        <v>0</v>
      </c>
      <c r="H127" s="7603">
        <f>F127/F156</f>
        <v>0</v>
      </c>
      <c r="I127" s="1059">
        <f>H127*I114</f>
        <v>0</v>
      </c>
      <c r="J127" s="1103">
        <v>0</v>
      </c>
      <c r="K127" s="1027">
        <f t="shared" si="15"/>
        <v>0</v>
      </c>
      <c r="M127" s="2751" t="str">
        <f t="shared" si="16"/>
        <v>►</v>
      </c>
      <c r="N127" s="2736" t="str">
        <f>IF(ISBLANK(O127),"",LARGE(N116:N126,1)+1)</f>
        <v/>
      </c>
      <c r="O127" s="491"/>
      <c r="P127" s="491"/>
      <c r="Q127" s="491"/>
      <c r="R127" s="491"/>
      <c r="S127" s="491"/>
      <c r="T127" s="491"/>
      <c r="U127" s="2752"/>
      <c r="W127" s="2730">
        <v>1</v>
      </c>
    </row>
    <row r="128" spans="2:23" ht="18.75">
      <c r="B128" s="2738" t="str">
        <f t="shared" si="17"/>
        <v>►</v>
      </c>
      <c r="C128" s="2734">
        <f>ROWS(H117:H128)</f>
        <v>12</v>
      </c>
      <c r="D128" s="1100"/>
      <c r="E128" s="7617"/>
      <c r="F128" s="1060"/>
      <c r="G128" s="7600">
        <f>F128/F156*1000</f>
        <v>0</v>
      </c>
      <c r="H128" s="7604">
        <f>F128/F156</f>
        <v>0</v>
      </c>
      <c r="I128" s="1061">
        <f>H128*I114</f>
        <v>0</v>
      </c>
      <c r="J128" s="1104">
        <v>0</v>
      </c>
      <c r="K128" s="1033">
        <f t="shared" si="15"/>
        <v>0</v>
      </c>
      <c r="M128" s="2751" t="str">
        <f t="shared" si="16"/>
        <v>►</v>
      </c>
      <c r="N128" s="2736" t="str">
        <f>IF(ISBLANK(O128),"",LARGE(N116:N127,1)+1)</f>
        <v/>
      </c>
      <c r="O128" s="491"/>
      <c r="P128" s="491"/>
      <c r="Q128" s="491"/>
      <c r="R128" s="491"/>
      <c r="S128" s="491"/>
      <c r="T128" s="491"/>
      <c r="U128" s="2752"/>
      <c r="W128" s="2730">
        <v>1</v>
      </c>
    </row>
    <row r="129" spans="2:23" ht="18.75">
      <c r="B129" s="2738" t="str">
        <f t="shared" si="17"/>
        <v>►</v>
      </c>
      <c r="C129" s="2733">
        <f>ROWS(H117:H129)</f>
        <v>13</v>
      </c>
      <c r="D129" s="1101"/>
      <c r="E129" s="7617"/>
      <c r="F129" s="1058"/>
      <c r="G129" s="7599">
        <f>F129/F156*1000</f>
        <v>0</v>
      </c>
      <c r="H129" s="7603">
        <f>F129/F156</f>
        <v>0</v>
      </c>
      <c r="I129" s="1059">
        <f>H129*I114</f>
        <v>0</v>
      </c>
      <c r="J129" s="1103">
        <v>0</v>
      </c>
      <c r="K129" s="1027">
        <f t="shared" si="15"/>
        <v>0</v>
      </c>
      <c r="M129" s="2751" t="str">
        <f t="shared" si="16"/>
        <v>►</v>
      </c>
      <c r="N129" s="2736" t="str">
        <f>IF(ISBLANK(O129),"",LARGE(N116:N128,1)+1)</f>
        <v/>
      </c>
      <c r="O129" s="491"/>
      <c r="P129" s="491"/>
      <c r="Q129" s="491"/>
      <c r="R129" s="491"/>
      <c r="S129" s="491"/>
      <c r="T129" s="491"/>
      <c r="U129" s="2752"/>
      <c r="W129" s="2730">
        <v>1</v>
      </c>
    </row>
    <row r="130" spans="2:23" ht="18.75">
      <c r="B130" s="2738" t="str">
        <f t="shared" si="17"/>
        <v>►</v>
      </c>
      <c r="C130" s="2734">
        <f>ROWS(H117:H130)</f>
        <v>14</v>
      </c>
      <c r="D130" s="1100"/>
      <c r="E130" s="7617"/>
      <c r="F130" s="1060"/>
      <c r="G130" s="7600">
        <f>F130/F156*1000</f>
        <v>0</v>
      </c>
      <c r="H130" s="7604">
        <f>F130/F156</f>
        <v>0</v>
      </c>
      <c r="I130" s="1061">
        <f>H130*I114</f>
        <v>0</v>
      </c>
      <c r="J130" s="1104">
        <v>0</v>
      </c>
      <c r="K130" s="1033">
        <f t="shared" si="15"/>
        <v>0</v>
      </c>
      <c r="M130" s="2751" t="str">
        <f t="shared" si="16"/>
        <v>►</v>
      </c>
      <c r="N130" s="2736" t="str">
        <f>IF(ISBLANK(O130),"",LARGE(N116:N129,1)+1)</f>
        <v/>
      </c>
      <c r="O130" s="491"/>
      <c r="P130" s="491"/>
      <c r="Q130" s="491"/>
      <c r="R130" s="491"/>
      <c r="S130" s="491"/>
      <c r="T130" s="491"/>
      <c r="U130" s="2752"/>
      <c r="W130" s="2730">
        <v>1</v>
      </c>
    </row>
    <row r="131" spans="2:23" ht="18.75">
      <c r="B131" s="2738" t="str">
        <f t="shared" si="17"/>
        <v>►</v>
      </c>
      <c r="C131" s="2733">
        <f>ROWS(H117:H131)</f>
        <v>15</v>
      </c>
      <c r="D131" s="1101"/>
      <c r="E131" s="7617"/>
      <c r="F131" s="1058"/>
      <c r="G131" s="7599">
        <f>F131/F156*1000</f>
        <v>0</v>
      </c>
      <c r="H131" s="7603">
        <f>F131/F156</f>
        <v>0</v>
      </c>
      <c r="I131" s="1059">
        <f>H131*I114</f>
        <v>0</v>
      </c>
      <c r="J131" s="1103">
        <v>0</v>
      </c>
      <c r="K131" s="1027">
        <f t="shared" si="15"/>
        <v>0</v>
      </c>
      <c r="M131" s="2751" t="str">
        <f t="shared" si="16"/>
        <v>►</v>
      </c>
      <c r="N131" s="2736" t="str">
        <f>IF(ISBLANK(O131),"",LARGE(N116:N130,1)+1)</f>
        <v/>
      </c>
      <c r="O131" s="491"/>
      <c r="P131" s="491"/>
      <c r="Q131" s="491"/>
      <c r="R131" s="491"/>
      <c r="S131" s="491"/>
      <c r="T131" s="491"/>
      <c r="U131" s="2752"/>
      <c r="W131" s="2730">
        <v>1</v>
      </c>
    </row>
    <row r="132" spans="2:23" ht="18.75">
      <c r="B132" s="2738" t="str">
        <f t="shared" si="17"/>
        <v>►</v>
      </c>
      <c r="C132" s="2734">
        <f>ROWS(H117:H132)</f>
        <v>16</v>
      </c>
      <c r="D132" s="1100"/>
      <c r="E132" s="7617"/>
      <c r="F132" s="1060"/>
      <c r="G132" s="7600">
        <f>F132/F156*1000</f>
        <v>0</v>
      </c>
      <c r="H132" s="7604">
        <f>F132/F156</f>
        <v>0</v>
      </c>
      <c r="I132" s="1061">
        <f>H132*I114</f>
        <v>0</v>
      </c>
      <c r="J132" s="1104">
        <v>0</v>
      </c>
      <c r="K132" s="1033">
        <f t="shared" si="15"/>
        <v>0</v>
      </c>
      <c r="M132" s="2751" t="str">
        <f t="shared" si="16"/>
        <v>►</v>
      </c>
      <c r="N132" s="2736" t="str">
        <f>IF(ISBLANK(O132),"",LARGE(N116:N131,1)+1)</f>
        <v/>
      </c>
      <c r="O132" s="491"/>
      <c r="P132" s="491"/>
      <c r="Q132" s="491"/>
      <c r="R132" s="491"/>
      <c r="S132" s="491"/>
      <c r="T132" s="491"/>
      <c r="U132" s="2752"/>
      <c r="W132" s="2730">
        <v>1</v>
      </c>
    </row>
    <row r="133" spans="2:23" ht="18.75">
      <c r="B133" s="2738" t="str">
        <f t="shared" si="17"/>
        <v>►</v>
      </c>
      <c r="C133" s="2733">
        <f>ROWS(H117:H133)</f>
        <v>17</v>
      </c>
      <c r="D133" s="1101"/>
      <c r="E133" s="7617"/>
      <c r="F133" s="1058"/>
      <c r="G133" s="7599">
        <f>F133/F156*1000</f>
        <v>0</v>
      </c>
      <c r="H133" s="7603">
        <f>F133/F156</f>
        <v>0</v>
      </c>
      <c r="I133" s="1059">
        <f>H133*I114</f>
        <v>0</v>
      </c>
      <c r="J133" s="1103">
        <v>0</v>
      </c>
      <c r="K133" s="1027">
        <f t="shared" si="15"/>
        <v>0</v>
      </c>
      <c r="M133" s="2751" t="str">
        <f t="shared" si="16"/>
        <v>►</v>
      </c>
      <c r="N133" s="2736" t="str">
        <f>IF(ISBLANK(O133),"",LARGE(N116:N132,1)+1)</f>
        <v/>
      </c>
      <c r="O133" s="491"/>
      <c r="P133" s="491"/>
      <c r="Q133" s="491"/>
      <c r="R133" s="491"/>
      <c r="S133" s="491"/>
      <c r="T133" s="491"/>
      <c r="U133" s="2752"/>
      <c r="W133" s="2730">
        <v>1</v>
      </c>
    </row>
    <row r="134" spans="2:23" ht="18.75">
      <c r="B134" s="2738" t="str">
        <f t="shared" si="17"/>
        <v>►</v>
      </c>
      <c r="C134" s="2734">
        <f>ROWS(H117:H134)</f>
        <v>18</v>
      </c>
      <c r="D134" s="1100"/>
      <c r="E134" s="7617"/>
      <c r="F134" s="1060"/>
      <c r="G134" s="7600">
        <f>F134/F156*1000</f>
        <v>0</v>
      </c>
      <c r="H134" s="7604">
        <f>F134/F156</f>
        <v>0</v>
      </c>
      <c r="I134" s="1061">
        <f>H134*I114</f>
        <v>0</v>
      </c>
      <c r="J134" s="1104">
        <v>0</v>
      </c>
      <c r="K134" s="1033">
        <f t="shared" si="15"/>
        <v>0</v>
      </c>
      <c r="M134" s="2751" t="str">
        <f t="shared" si="16"/>
        <v>►</v>
      </c>
      <c r="N134" s="2736" t="str">
        <f>IF(ISBLANK(O134),"",LARGE(N116:N133,1)+1)</f>
        <v/>
      </c>
      <c r="O134" s="491"/>
      <c r="P134" s="491"/>
      <c r="Q134" s="491"/>
      <c r="R134" s="491"/>
      <c r="S134" s="491"/>
      <c r="T134" s="491"/>
      <c r="U134" s="2752"/>
      <c r="W134" s="2730">
        <v>1</v>
      </c>
    </row>
    <row r="135" spans="2:23" ht="18.75">
      <c r="B135" s="2738" t="str">
        <f t="shared" si="17"/>
        <v>►</v>
      </c>
      <c r="C135" s="2733">
        <f>ROWS(H117:H135)</f>
        <v>19</v>
      </c>
      <c r="D135" s="1101"/>
      <c r="E135" s="7617"/>
      <c r="F135" s="1058"/>
      <c r="G135" s="7599">
        <f>F135/F156*1000</f>
        <v>0</v>
      </c>
      <c r="H135" s="7603">
        <f>F135/F156</f>
        <v>0</v>
      </c>
      <c r="I135" s="1059">
        <f>H135*I114</f>
        <v>0</v>
      </c>
      <c r="J135" s="1103">
        <v>0</v>
      </c>
      <c r="K135" s="1027">
        <f t="shared" si="15"/>
        <v>0</v>
      </c>
      <c r="M135" s="2751" t="str">
        <f t="shared" si="16"/>
        <v>►</v>
      </c>
      <c r="N135" s="2736" t="str">
        <f>IF(ISBLANK(O135),"",LARGE(N116:N134,1)+1)</f>
        <v/>
      </c>
      <c r="O135" s="491"/>
      <c r="P135" s="491"/>
      <c r="Q135" s="491"/>
      <c r="R135" s="491"/>
      <c r="S135" s="491"/>
      <c r="T135" s="491"/>
      <c r="U135" s="2752"/>
      <c r="W135" s="2730">
        <v>1</v>
      </c>
    </row>
    <row r="136" spans="2:23" ht="18.75">
      <c r="B136" s="2738" t="str">
        <f t="shared" si="17"/>
        <v>►</v>
      </c>
      <c r="C136" s="2734">
        <f>ROWS(H117:H136)</f>
        <v>20</v>
      </c>
      <c r="D136" s="1100"/>
      <c r="E136" s="7617"/>
      <c r="F136" s="1060"/>
      <c r="G136" s="7600">
        <f>F136/F156*1000</f>
        <v>0</v>
      </c>
      <c r="H136" s="7604">
        <f>F136/F156</f>
        <v>0</v>
      </c>
      <c r="I136" s="1061">
        <f>H136*I114</f>
        <v>0</v>
      </c>
      <c r="J136" s="1104">
        <v>0</v>
      </c>
      <c r="K136" s="1033">
        <f t="shared" si="15"/>
        <v>0</v>
      </c>
      <c r="M136" s="2751" t="str">
        <f t="shared" si="16"/>
        <v>►</v>
      </c>
      <c r="N136" s="2736" t="str">
        <f>IF(ISBLANK(O136),"",LARGE(N116:N135,1)+1)</f>
        <v/>
      </c>
      <c r="O136" s="491"/>
      <c r="P136" s="491"/>
      <c r="Q136" s="491"/>
      <c r="R136" s="491"/>
      <c r="S136" s="491"/>
      <c r="T136" s="491"/>
      <c r="U136" s="2752"/>
      <c r="W136" s="2730">
        <v>1</v>
      </c>
    </row>
    <row r="137" spans="2:23" ht="18.75">
      <c r="B137" s="2738" t="str">
        <f t="shared" si="17"/>
        <v>►</v>
      </c>
      <c r="C137" s="2733">
        <f>ROWS(H117:H137)</f>
        <v>21</v>
      </c>
      <c r="D137" s="1101"/>
      <c r="E137" s="7617"/>
      <c r="F137" s="1058"/>
      <c r="G137" s="7599">
        <f>F137/F156*1000</f>
        <v>0</v>
      </c>
      <c r="H137" s="7603">
        <f>F137/F156</f>
        <v>0</v>
      </c>
      <c r="I137" s="1059">
        <f>H137*I114</f>
        <v>0</v>
      </c>
      <c r="J137" s="1103">
        <v>0</v>
      </c>
      <c r="K137" s="1027">
        <f t="shared" si="15"/>
        <v>0</v>
      </c>
      <c r="M137" s="2751" t="str">
        <f t="shared" si="16"/>
        <v>►</v>
      </c>
      <c r="N137" s="2736" t="str">
        <f>IF(ISBLANK(O137),"",LARGE(N116:N136,1)+1)</f>
        <v/>
      </c>
      <c r="O137" s="491"/>
      <c r="P137" s="491"/>
      <c r="Q137" s="491"/>
      <c r="R137" s="491"/>
      <c r="S137" s="491"/>
      <c r="T137" s="491"/>
      <c r="U137" s="2752"/>
      <c r="W137" s="2730">
        <v>1</v>
      </c>
    </row>
    <row r="138" spans="2:23" ht="18.75">
      <c r="B138" s="2738" t="str">
        <f t="shared" si="17"/>
        <v>►</v>
      </c>
      <c r="C138" s="2734">
        <f>ROWS(H117:H138)</f>
        <v>22</v>
      </c>
      <c r="D138" s="1100"/>
      <c r="E138" s="7617"/>
      <c r="F138" s="1060"/>
      <c r="G138" s="7600">
        <f>F138/F156*1000</f>
        <v>0</v>
      </c>
      <c r="H138" s="7604">
        <f>F138/F156</f>
        <v>0</v>
      </c>
      <c r="I138" s="1061">
        <f>H138*I114</f>
        <v>0</v>
      </c>
      <c r="J138" s="1104">
        <v>0</v>
      </c>
      <c r="K138" s="1033">
        <f t="shared" si="15"/>
        <v>0</v>
      </c>
      <c r="M138" s="2751" t="str">
        <f t="shared" si="16"/>
        <v>►</v>
      </c>
      <c r="N138" s="2736" t="str">
        <f>IF(ISBLANK(O138),"",LARGE(N116:N137,1)+1)</f>
        <v/>
      </c>
      <c r="O138" s="491"/>
      <c r="P138" s="491"/>
      <c r="Q138" s="491"/>
      <c r="R138" s="491"/>
      <c r="S138" s="491"/>
      <c r="T138" s="491"/>
      <c r="U138" s="2752"/>
      <c r="W138" s="2730">
        <v>1</v>
      </c>
    </row>
    <row r="139" spans="2:23" ht="18.75">
      <c r="B139" s="2738" t="str">
        <f t="shared" si="17"/>
        <v>►</v>
      </c>
      <c r="C139" s="2733">
        <f>ROWS(H117:H139)</f>
        <v>23</v>
      </c>
      <c r="D139" s="1101"/>
      <c r="E139" s="7617"/>
      <c r="F139" s="1058"/>
      <c r="G139" s="7599">
        <f>F139/F156*1000</f>
        <v>0</v>
      </c>
      <c r="H139" s="7603">
        <f>F139/F156</f>
        <v>0</v>
      </c>
      <c r="I139" s="1059">
        <f>H139*I114</f>
        <v>0</v>
      </c>
      <c r="J139" s="1103">
        <v>0</v>
      </c>
      <c r="K139" s="1027">
        <f t="shared" si="15"/>
        <v>0</v>
      </c>
      <c r="M139" s="2751" t="str">
        <f t="shared" si="16"/>
        <v>►</v>
      </c>
      <c r="N139" s="2736" t="str">
        <f>IF(ISBLANK(O139),"",LARGE(N116:N138,1)+1)</f>
        <v/>
      </c>
      <c r="O139" s="491"/>
      <c r="P139" s="491"/>
      <c r="Q139" s="491"/>
      <c r="R139" s="491"/>
      <c r="S139" s="491"/>
      <c r="T139" s="491"/>
      <c r="U139" s="2752"/>
      <c r="W139" s="2730">
        <v>1</v>
      </c>
    </row>
    <row r="140" spans="2:23" ht="18.75">
      <c r="B140" s="2738" t="str">
        <f t="shared" si="17"/>
        <v>►</v>
      </c>
      <c r="C140" s="2734">
        <f>ROWS(H117:H140)</f>
        <v>24</v>
      </c>
      <c r="D140" s="1100"/>
      <c r="E140" s="7617"/>
      <c r="F140" s="1060"/>
      <c r="G140" s="7600">
        <f>F140/F156*1000</f>
        <v>0</v>
      </c>
      <c r="H140" s="7604">
        <f>F140/F156</f>
        <v>0</v>
      </c>
      <c r="I140" s="1061">
        <f>H140*I114</f>
        <v>0</v>
      </c>
      <c r="J140" s="1104">
        <v>0</v>
      </c>
      <c r="K140" s="1033">
        <f t="shared" si="15"/>
        <v>0</v>
      </c>
      <c r="M140" s="2751" t="str">
        <f t="shared" si="16"/>
        <v>►</v>
      </c>
      <c r="N140" s="2736" t="str">
        <f>IF(ISBLANK(O140),"",LARGE(N116:N139,1)+1)</f>
        <v/>
      </c>
      <c r="O140" s="491"/>
      <c r="P140" s="491"/>
      <c r="Q140" s="491"/>
      <c r="R140" s="491"/>
      <c r="S140" s="491"/>
      <c r="T140" s="491"/>
      <c r="U140" s="2752"/>
      <c r="W140" s="2730">
        <v>1</v>
      </c>
    </row>
    <row r="141" spans="2:23" ht="18.75">
      <c r="B141" s="2738" t="str">
        <f t="shared" si="17"/>
        <v>►</v>
      </c>
      <c r="C141" s="2733">
        <f>ROWS(H117:H141)</f>
        <v>25</v>
      </c>
      <c r="D141" s="1101"/>
      <c r="E141" s="7617"/>
      <c r="F141" s="1058"/>
      <c r="G141" s="7599">
        <f>F141/F156*1000</f>
        <v>0</v>
      </c>
      <c r="H141" s="7603">
        <f>F141/F156</f>
        <v>0</v>
      </c>
      <c r="I141" s="1059">
        <f>H141*I114</f>
        <v>0</v>
      </c>
      <c r="J141" s="1103">
        <v>0</v>
      </c>
      <c r="K141" s="1027">
        <f t="shared" si="15"/>
        <v>0</v>
      </c>
      <c r="M141" s="2751" t="str">
        <f t="shared" si="16"/>
        <v>►</v>
      </c>
      <c r="N141" s="2736" t="str">
        <f>IF(ISBLANK(O141),"",LARGE(N116:N140,1)+1)</f>
        <v/>
      </c>
      <c r="O141" s="491"/>
      <c r="P141" s="491"/>
      <c r="Q141" s="491"/>
      <c r="R141" s="491"/>
      <c r="S141" s="491"/>
      <c r="T141" s="491"/>
      <c r="U141" s="2752"/>
      <c r="W141" s="2730">
        <v>1</v>
      </c>
    </row>
    <row r="142" spans="2:23" ht="18.75">
      <c r="B142" s="2738" t="str">
        <f t="shared" si="17"/>
        <v>►</v>
      </c>
      <c r="C142" s="2734">
        <f>ROWS(H117:H142)</f>
        <v>26</v>
      </c>
      <c r="D142" s="1100"/>
      <c r="E142" s="7617"/>
      <c r="F142" s="1060"/>
      <c r="G142" s="7600">
        <f>F142/F156*1000</f>
        <v>0</v>
      </c>
      <c r="H142" s="7604">
        <f>F142/F156</f>
        <v>0</v>
      </c>
      <c r="I142" s="1061">
        <f>H142*I114</f>
        <v>0</v>
      </c>
      <c r="J142" s="1104">
        <v>0</v>
      </c>
      <c r="K142" s="1033">
        <f t="shared" si="15"/>
        <v>0</v>
      </c>
      <c r="M142" s="2751" t="str">
        <f t="shared" si="16"/>
        <v>►</v>
      </c>
      <c r="N142" s="2736" t="str">
        <f>IF(ISBLANK(O142),"",LARGE(N116:N141,1)+1)</f>
        <v/>
      </c>
      <c r="O142" s="491"/>
      <c r="P142" s="491"/>
      <c r="Q142" s="491"/>
      <c r="R142" s="491"/>
      <c r="S142" s="491"/>
      <c r="T142" s="491"/>
      <c r="U142" s="2752"/>
      <c r="W142" s="2730">
        <v>1</v>
      </c>
    </row>
    <row r="143" spans="2:23" ht="18.75">
      <c r="B143" s="2738" t="str">
        <f t="shared" si="17"/>
        <v>►</v>
      </c>
      <c r="C143" s="2733">
        <f>ROWS(H117:H143)</f>
        <v>27</v>
      </c>
      <c r="D143" s="1101"/>
      <c r="E143" s="7617"/>
      <c r="F143" s="1058"/>
      <c r="G143" s="7599">
        <f>F143/F156*1000</f>
        <v>0</v>
      </c>
      <c r="H143" s="7603">
        <f>F143/F156</f>
        <v>0</v>
      </c>
      <c r="I143" s="1059">
        <f>H143*I114</f>
        <v>0</v>
      </c>
      <c r="J143" s="1103">
        <v>0</v>
      </c>
      <c r="K143" s="1027">
        <f t="shared" si="15"/>
        <v>0</v>
      </c>
      <c r="M143" s="2751" t="str">
        <f t="shared" si="16"/>
        <v>►</v>
      </c>
      <c r="N143" s="2736" t="str">
        <f>IF(ISBLANK(O143),"",LARGE(N116:N142,1)+1)</f>
        <v/>
      </c>
      <c r="O143" s="491"/>
      <c r="P143" s="491"/>
      <c r="Q143" s="491"/>
      <c r="R143" s="491"/>
      <c r="S143" s="491"/>
      <c r="T143" s="491"/>
      <c r="U143" s="2752"/>
      <c r="W143" s="2730">
        <v>1</v>
      </c>
    </row>
    <row r="144" spans="2:23" ht="18.75">
      <c r="B144" s="2738" t="str">
        <f t="shared" si="17"/>
        <v>►</v>
      </c>
      <c r="C144" s="2734">
        <f>ROWS(H117:H144)</f>
        <v>28</v>
      </c>
      <c r="D144" s="1100"/>
      <c r="E144" s="7617"/>
      <c r="F144" s="1060"/>
      <c r="G144" s="7600">
        <f>F144/F156*1000</f>
        <v>0</v>
      </c>
      <c r="H144" s="7604">
        <f>F144/F156</f>
        <v>0</v>
      </c>
      <c r="I144" s="1061">
        <f>H144*I114</f>
        <v>0</v>
      </c>
      <c r="J144" s="1104">
        <v>0</v>
      </c>
      <c r="K144" s="1033">
        <f t="shared" si="15"/>
        <v>0</v>
      </c>
      <c r="M144" s="2751" t="str">
        <f t="shared" si="16"/>
        <v>►</v>
      </c>
      <c r="N144" s="2736" t="str">
        <f>IF(ISBLANK(O144),"",LARGE(N116:N143,1)+1)</f>
        <v/>
      </c>
      <c r="O144" s="491"/>
      <c r="P144" s="491"/>
      <c r="Q144" s="491"/>
      <c r="R144" s="491"/>
      <c r="S144" s="491"/>
      <c r="T144" s="491"/>
      <c r="U144" s="2752"/>
      <c r="W144" s="2730">
        <v>1</v>
      </c>
    </row>
    <row r="145" spans="1:23" ht="18.75">
      <c r="B145" s="2738" t="str">
        <f t="shared" si="17"/>
        <v>►</v>
      </c>
      <c r="C145" s="2733">
        <f>ROWS(H117:H145)</f>
        <v>29</v>
      </c>
      <c r="D145" s="1101"/>
      <c r="E145" s="7617"/>
      <c r="F145" s="1058"/>
      <c r="G145" s="7599">
        <f>F145/F156*1000</f>
        <v>0</v>
      </c>
      <c r="H145" s="7603">
        <f>F145/F156</f>
        <v>0</v>
      </c>
      <c r="I145" s="1059">
        <f>H145*I114</f>
        <v>0</v>
      </c>
      <c r="J145" s="1103">
        <v>0</v>
      </c>
      <c r="K145" s="1027">
        <f t="shared" si="15"/>
        <v>0</v>
      </c>
      <c r="M145" s="2751" t="str">
        <f t="shared" si="16"/>
        <v>►</v>
      </c>
      <c r="N145" s="2736" t="str">
        <f>IF(ISBLANK(O145),"",LARGE(N116:N144,1)+1)</f>
        <v/>
      </c>
      <c r="O145" s="491"/>
      <c r="P145" s="491"/>
      <c r="Q145" s="491"/>
      <c r="R145" s="491"/>
      <c r="S145" s="491"/>
      <c r="T145" s="491"/>
      <c r="U145" s="2752"/>
      <c r="W145" s="2730">
        <v>1</v>
      </c>
    </row>
    <row r="146" spans="1:23" ht="18.75">
      <c r="B146" s="2738" t="str">
        <f t="shared" si="17"/>
        <v>►</v>
      </c>
      <c r="C146" s="2734">
        <f>ROWS(H117:H146)</f>
        <v>30</v>
      </c>
      <c r="D146" s="1100"/>
      <c r="E146" s="7617"/>
      <c r="F146" s="1060"/>
      <c r="G146" s="7600">
        <f>F146/F156*1000</f>
        <v>0</v>
      </c>
      <c r="H146" s="7604">
        <f>F146/F156</f>
        <v>0</v>
      </c>
      <c r="I146" s="1061">
        <f>H146*I114</f>
        <v>0</v>
      </c>
      <c r="J146" s="1104">
        <v>0</v>
      </c>
      <c r="K146" s="1033">
        <f t="shared" si="15"/>
        <v>0</v>
      </c>
      <c r="M146" s="2751" t="str">
        <f t="shared" si="16"/>
        <v>►</v>
      </c>
      <c r="N146" s="2736" t="str">
        <f>IF(ISBLANK(O146),"",LARGE(N116:N145,1)+1)</f>
        <v/>
      </c>
      <c r="O146" s="491"/>
      <c r="P146" s="491"/>
      <c r="Q146" s="491"/>
      <c r="R146" s="491"/>
      <c r="S146" s="491"/>
      <c r="T146" s="491"/>
      <c r="U146" s="2752"/>
      <c r="W146" s="2730">
        <v>1</v>
      </c>
    </row>
    <row r="147" spans="1:23" ht="18.75">
      <c r="B147" s="2738" t="str">
        <f t="shared" si="17"/>
        <v>►</v>
      </c>
      <c r="C147" s="2733">
        <f>ROWS(H117:H147)</f>
        <v>31</v>
      </c>
      <c r="D147" s="1101"/>
      <c r="E147" s="7617"/>
      <c r="F147" s="1058"/>
      <c r="G147" s="7599">
        <f>F147/F156*1000</f>
        <v>0</v>
      </c>
      <c r="H147" s="7603">
        <f>F147/F156</f>
        <v>0</v>
      </c>
      <c r="I147" s="1059">
        <f>H147*I114</f>
        <v>0</v>
      </c>
      <c r="J147" s="1103">
        <v>0</v>
      </c>
      <c r="K147" s="1027">
        <f t="shared" si="15"/>
        <v>0</v>
      </c>
      <c r="M147" s="2751" t="str">
        <f t="shared" si="16"/>
        <v>►</v>
      </c>
      <c r="N147" s="2736" t="str">
        <f>IF(ISBLANK(O147),"",LARGE(N116:N146,1)+1)</f>
        <v/>
      </c>
      <c r="O147" s="491"/>
      <c r="P147" s="491"/>
      <c r="Q147" s="491"/>
      <c r="R147" s="491"/>
      <c r="S147" s="491"/>
      <c r="T147" s="491"/>
      <c r="U147" s="2752"/>
      <c r="W147" s="2730">
        <v>1</v>
      </c>
    </row>
    <row r="148" spans="1:23" ht="18.75">
      <c r="B148" s="2738" t="str">
        <f t="shared" si="17"/>
        <v>►</v>
      </c>
      <c r="C148" s="2734">
        <f>ROWS(H117:H148)</f>
        <v>32</v>
      </c>
      <c r="D148" s="1100"/>
      <c r="E148" s="7617"/>
      <c r="F148" s="1060"/>
      <c r="G148" s="7600">
        <f>F148/F156*1000</f>
        <v>0</v>
      </c>
      <c r="H148" s="7604">
        <f>F148/F156</f>
        <v>0</v>
      </c>
      <c r="I148" s="1061">
        <f>H148*I114</f>
        <v>0</v>
      </c>
      <c r="J148" s="1104">
        <v>0</v>
      </c>
      <c r="K148" s="1033">
        <f t="shared" si="15"/>
        <v>0</v>
      </c>
      <c r="M148" s="2751" t="str">
        <f t="shared" si="16"/>
        <v>►</v>
      </c>
      <c r="N148" s="2736" t="str">
        <f>IF(ISBLANK(O148),"",LARGE(N116:N147,1)+1)</f>
        <v/>
      </c>
      <c r="O148" s="491"/>
      <c r="P148" s="491"/>
      <c r="Q148" s="491"/>
      <c r="R148" s="491"/>
      <c r="S148" s="491"/>
      <c r="T148" s="491"/>
      <c r="U148" s="2752"/>
      <c r="W148" s="2730">
        <v>1</v>
      </c>
    </row>
    <row r="149" spans="1:23" ht="18" customHeight="1">
      <c r="B149" s="2738" t="str">
        <f t="shared" si="17"/>
        <v>►</v>
      </c>
      <c r="C149" s="2733">
        <f>ROWS(H117:H149)</f>
        <v>33</v>
      </c>
      <c r="D149" s="1101"/>
      <c r="E149" s="7617"/>
      <c r="F149" s="1058"/>
      <c r="G149" s="7599">
        <f>F149/F156*1000</f>
        <v>0</v>
      </c>
      <c r="H149" s="7603">
        <f>F149/F156</f>
        <v>0</v>
      </c>
      <c r="I149" s="1059">
        <f>H149*I114</f>
        <v>0</v>
      </c>
      <c r="J149" s="1103">
        <v>0</v>
      </c>
      <c r="K149" s="1027">
        <f t="shared" si="15"/>
        <v>0</v>
      </c>
      <c r="M149" s="2928" t="s">
        <v>337</v>
      </c>
      <c r="N149" s="2736" t="str">
        <f>IF(ISBLANK(O149),"",LARGE(N116:N148,1)+1)</f>
        <v/>
      </c>
      <c r="O149" s="491"/>
      <c r="P149" s="491"/>
      <c r="Q149" s="491"/>
      <c r="R149" s="491"/>
      <c r="S149" s="491"/>
      <c r="T149" s="491"/>
      <c r="U149" s="2752"/>
      <c r="W149" s="2730">
        <v>1</v>
      </c>
    </row>
    <row r="150" spans="1:23" ht="18" customHeight="1" thickBot="1">
      <c r="B150" s="2738" t="str">
        <f t="shared" si="17"/>
        <v>►</v>
      </c>
      <c r="C150" s="2734">
        <f>ROWS(H117:H150)</f>
        <v>34</v>
      </c>
      <c r="D150" s="1100"/>
      <c r="E150" s="7617"/>
      <c r="F150" s="1060"/>
      <c r="G150" s="7600">
        <f>F150/F156*1000</f>
        <v>0</v>
      </c>
      <c r="H150" s="7604">
        <f>F150/F156</f>
        <v>0</v>
      </c>
      <c r="I150" s="1061">
        <f>H150*I114</f>
        <v>0</v>
      </c>
      <c r="J150" s="1104">
        <v>0</v>
      </c>
      <c r="K150" s="1033">
        <f t="shared" si="15"/>
        <v>0</v>
      </c>
      <c r="M150" s="2928" t="s">
        <v>337</v>
      </c>
      <c r="N150" s="2736" t="str">
        <f>IF(ISBLANK(O150),"",LARGE(N116:N149,1)+1)</f>
        <v/>
      </c>
      <c r="O150" s="491"/>
      <c r="P150" s="491"/>
      <c r="Q150" s="491"/>
      <c r="R150" s="491"/>
      <c r="S150" s="491"/>
      <c r="T150" s="491"/>
      <c r="U150" s="2752"/>
      <c r="W150" s="2730">
        <v>1</v>
      </c>
    </row>
    <row r="151" spans="1:23" ht="18" customHeight="1" thickTop="1">
      <c r="B151" s="2738" t="str">
        <f t="shared" si="17"/>
        <v>►</v>
      </c>
      <c r="C151" s="2733">
        <f>ROWS(H117:H151)</f>
        <v>35</v>
      </c>
      <c r="D151" s="1101"/>
      <c r="E151" s="7617"/>
      <c r="F151" s="1058"/>
      <c r="G151" s="7599">
        <f>F151/F156*1000</f>
        <v>0</v>
      </c>
      <c r="H151" s="7603">
        <f>F151/F156</f>
        <v>0</v>
      </c>
      <c r="I151" s="1059">
        <f>H151*I114</f>
        <v>0</v>
      </c>
      <c r="J151" s="1103">
        <v>0</v>
      </c>
      <c r="K151" s="1027">
        <f t="shared" si="15"/>
        <v>0</v>
      </c>
      <c r="M151" s="2928" t="s">
        <v>337</v>
      </c>
      <c r="N151" s="1080" t="s">
        <v>1775</v>
      </c>
      <c r="O151" s="1081"/>
      <c r="P151" s="7865"/>
      <c r="Q151" s="7865"/>
      <c r="R151" s="7865"/>
      <c r="S151" s="7865"/>
      <c r="T151" s="7865"/>
      <c r="U151" s="7879"/>
      <c r="W151" s="2730">
        <v>1</v>
      </c>
    </row>
    <row r="152" spans="1:23" ht="18" customHeight="1">
      <c r="B152" s="2738" t="str">
        <f t="shared" si="17"/>
        <v>►</v>
      </c>
      <c r="C152" s="2734">
        <f>ROWS(H117:H152)</f>
        <v>36</v>
      </c>
      <c r="D152" s="1100"/>
      <c r="E152" s="7617"/>
      <c r="F152" s="1060"/>
      <c r="G152" s="7600">
        <f>F152/F156*1000</f>
        <v>0</v>
      </c>
      <c r="H152" s="7604">
        <f>F152/F156</f>
        <v>0</v>
      </c>
      <c r="I152" s="1061">
        <f>H152*I114</f>
        <v>0</v>
      </c>
      <c r="J152" s="1104">
        <v>0</v>
      </c>
      <c r="K152" s="1033">
        <f t="shared" si="15"/>
        <v>0</v>
      </c>
      <c r="M152" s="2928" t="s">
        <v>337</v>
      </c>
      <c r="N152" s="1085" t="s">
        <v>1780</v>
      </c>
      <c r="O152" s="7853" t="s">
        <v>1779</v>
      </c>
      <c r="P152" s="7853"/>
      <c r="Q152" s="7853"/>
      <c r="R152" s="7853"/>
      <c r="S152" s="7853"/>
      <c r="T152" s="7853"/>
      <c r="U152" s="7894"/>
      <c r="W152" s="2730">
        <v>1</v>
      </c>
    </row>
    <row r="153" spans="1:23" ht="18" customHeight="1">
      <c r="B153" s="2738" t="str">
        <f t="shared" si="17"/>
        <v>►</v>
      </c>
      <c r="C153" s="2733">
        <f>ROWS(H117:H153)</f>
        <v>37</v>
      </c>
      <c r="D153" s="1101"/>
      <c r="E153" s="7617"/>
      <c r="F153" s="1058"/>
      <c r="G153" s="7599">
        <f>F153/F156*1000</f>
        <v>0</v>
      </c>
      <c r="H153" s="7603">
        <f>F153/F156</f>
        <v>0</v>
      </c>
      <c r="I153" s="1059">
        <f>H153*I114</f>
        <v>0</v>
      </c>
      <c r="J153" s="1103">
        <v>0</v>
      </c>
      <c r="K153" s="1027">
        <f t="shared" si="15"/>
        <v>0</v>
      </c>
      <c r="M153" s="2928" t="s">
        <v>337</v>
      </c>
      <c r="N153" s="1082" t="s">
        <v>7</v>
      </c>
      <c r="O153" s="1049" t="str">
        <f ca="1">CELL("nomfichier")</f>
        <v>D:\Données\1.UPRT\0-UPRT.fait\1-UPRT.FR-SITE-WEB\ff-fiches-fabrications\ff.fiches.fabrication.2023\UPRT.23.aout\[ff-20-CHARCUTERIE-michel-Mariette.BOUDIN.BLANC_-1.xlsx]Exemples Michel Mariette</v>
      </c>
      <c r="P153" s="34"/>
      <c r="Q153" s="15"/>
      <c r="R153" s="15"/>
      <c r="S153" s="15"/>
      <c r="T153" s="15"/>
      <c r="U153" s="2396"/>
      <c r="W153" s="2730">
        <v>1</v>
      </c>
    </row>
    <row r="154" spans="1:23" ht="18" customHeight="1">
      <c r="B154" s="2738" t="str">
        <f t="shared" si="17"/>
        <v>►</v>
      </c>
      <c r="C154" s="2734">
        <f>ROWS(H117:H154)</f>
        <v>38</v>
      </c>
      <c r="D154" s="1100"/>
      <c r="E154" s="7617"/>
      <c r="F154" s="1060"/>
      <c r="G154" s="7600">
        <f>F154/F156*1000</f>
        <v>0</v>
      </c>
      <c r="H154" s="7604">
        <f>F154/F156</f>
        <v>0</v>
      </c>
      <c r="I154" s="1061">
        <f>H154*I114</f>
        <v>0</v>
      </c>
      <c r="J154" s="1104">
        <v>0</v>
      </c>
      <c r="K154" s="1033">
        <f t="shared" si="15"/>
        <v>0</v>
      </c>
      <c r="M154" s="2928" t="s">
        <v>337</v>
      </c>
      <c r="N154" s="1083" t="s">
        <v>1778</v>
      </c>
      <c r="O154" s="34"/>
      <c r="P154" s="1049"/>
      <c r="Q154" s="15"/>
      <c r="R154" s="15"/>
      <c r="S154" s="15"/>
      <c r="T154" s="15"/>
      <c r="U154" s="2396"/>
      <c r="W154" s="2730">
        <v>1</v>
      </c>
    </row>
    <row r="155" spans="1:23" ht="18" customHeight="1" thickBot="1">
      <c r="B155" s="2929" t="s">
        <v>337</v>
      </c>
      <c r="C155" s="2733">
        <f>ROWS(H117:H155)</f>
        <v>39</v>
      </c>
      <c r="D155" s="1101"/>
      <c r="E155" s="7617"/>
      <c r="F155" s="1058"/>
      <c r="G155" s="7599">
        <f>F155/F156*1000</f>
        <v>0</v>
      </c>
      <c r="H155" s="7603">
        <f>F155/F156</f>
        <v>0</v>
      </c>
      <c r="I155" s="1059">
        <f>H155*I114</f>
        <v>0</v>
      </c>
      <c r="J155" s="1103">
        <v>0</v>
      </c>
      <c r="K155" s="1027">
        <f t="shared" si="15"/>
        <v>0</v>
      </c>
      <c r="M155" s="2928" t="s">
        <v>337</v>
      </c>
      <c r="N155" s="1083" t="s">
        <v>1776</v>
      </c>
      <c r="O155" s="34"/>
      <c r="P155" s="1049"/>
      <c r="Q155" s="15"/>
      <c r="R155" s="15"/>
      <c r="S155" s="15"/>
      <c r="T155" s="15"/>
      <c r="U155" s="2396"/>
      <c r="W155" s="2730">
        <v>1</v>
      </c>
    </row>
    <row r="156" spans="1:23" ht="18" customHeight="1" thickTop="1" thickBot="1">
      <c r="B156" s="2938" t="s">
        <v>337</v>
      </c>
      <c r="C156" s="2934" t="s">
        <v>20</v>
      </c>
      <c r="D156" s="2935"/>
      <c r="E156" s="2935"/>
      <c r="F156" s="1040">
        <f>SUM(F117:F155)</f>
        <v>10488</v>
      </c>
      <c r="G156" s="7602">
        <f>SUM(G117:G155)</f>
        <v>999.99999999999989</v>
      </c>
      <c r="H156" s="7606">
        <f>SUM(H117:H155)</f>
        <v>1.0000000000000002</v>
      </c>
      <c r="I156" s="1043">
        <f>SUM(I117:I155)</f>
        <v>10.000000000000002</v>
      </c>
      <c r="J156" s="1044"/>
      <c r="K156" s="1045">
        <f>SUM(K117:K155)</f>
        <v>1.0869565217391304E-2</v>
      </c>
      <c r="M156" s="2928" t="s">
        <v>337</v>
      </c>
      <c r="N156" s="2937" t="s">
        <v>8</v>
      </c>
      <c r="O156" s="453"/>
      <c r="P156" s="132"/>
      <c r="Q156" s="132"/>
      <c r="R156" s="132"/>
      <c r="S156" s="132"/>
      <c r="T156" s="132"/>
      <c r="U156" s="592"/>
      <c r="W156" s="2730">
        <v>1</v>
      </c>
    </row>
    <row r="157" spans="1:23">
      <c r="W157" s="2730">
        <v>1</v>
      </c>
    </row>
    <row r="158" spans="1:23">
      <c r="W158" s="2927" t="s">
        <v>7037</v>
      </c>
    </row>
    <row r="159" spans="1:23" ht="15">
      <c r="A159" s="2730">
        <v>1</v>
      </c>
      <c r="B159" s="2730">
        <v>1</v>
      </c>
      <c r="C159" s="2730">
        <v>1</v>
      </c>
      <c r="D159" s="2730">
        <v>1</v>
      </c>
      <c r="E159" s="2730"/>
      <c r="F159" s="2730">
        <v>1</v>
      </c>
      <c r="G159" s="2730">
        <v>1</v>
      </c>
      <c r="H159" s="2730">
        <v>1</v>
      </c>
      <c r="I159" s="2730">
        <v>1</v>
      </c>
      <c r="J159" s="2730">
        <v>1</v>
      </c>
      <c r="K159" s="2730">
        <v>1</v>
      </c>
      <c r="L159" s="2730">
        <v>1</v>
      </c>
      <c r="M159" s="2730">
        <v>1</v>
      </c>
      <c r="N159" s="2730">
        <v>1</v>
      </c>
      <c r="O159" s="2730">
        <v>1</v>
      </c>
      <c r="P159" s="2730">
        <v>1</v>
      </c>
      <c r="Q159" s="2730">
        <v>1</v>
      </c>
      <c r="R159" s="2730">
        <v>1</v>
      </c>
      <c r="S159" s="2730">
        <v>1</v>
      </c>
      <c r="T159" s="2730">
        <v>1</v>
      </c>
      <c r="U159" s="2730">
        <v>1</v>
      </c>
      <c r="V159" s="2730">
        <v>1</v>
      </c>
      <c r="W159" s="2732" t="str">
        <f>ADDRESS(ROW(),COLUMN(),4)</f>
        <v>W159</v>
      </c>
    </row>
  </sheetData>
  <mergeCells count="38">
    <mergeCell ref="V1:V2"/>
    <mergeCell ref="G114:H115"/>
    <mergeCell ref="I114:I115"/>
    <mergeCell ref="C116:D116"/>
    <mergeCell ref="P151:U151"/>
    <mergeCell ref="F11:K11"/>
    <mergeCell ref="C13:J14"/>
    <mergeCell ref="K13:K14"/>
    <mergeCell ref="C15:K15"/>
    <mergeCell ref="G16:H17"/>
    <mergeCell ref="I16:I17"/>
    <mergeCell ref="I66:I67"/>
    <mergeCell ref="C68:D68"/>
    <mergeCell ref="C108:D108"/>
    <mergeCell ref="N13:T14"/>
    <mergeCell ref="U13:U14"/>
    <mergeCell ref="C18:D18"/>
    <mergeCell ref="C7:U9"/>
    <mergeCell ref="P11:U11"/>
    <mergeCell ref="O152:U152"/>
    <mergeCell ref="C111:J112"/>
    <mergeCell ref="K111:K112"/>
    <mergeCell ref="N111:T112"/>
    <mergeCell ref="U111:U112"/>
    <mergeCell ref="C113:K113"/>
    <mergeCell ref="N113:U113"/>
    <mergeCell ref="U63:U64"/>
    <mergeCell ref="N65:U65"/>
    <mergeCell ref="P103:U103"/>
    <mergeCell ref="O104:U104"/>
    <mergeCell ref="N15:U15"/>
    <mergeCell ref="P53:U53"/>
    <mergeCell ref="O54:U54"/>
    <mergeCell ref="C63:J64"/>
    <mergeCell ref="K63:K64"/>
    <mergeCell ref="C65:K65"/>
    <mergeCell ref="G66:H67"/>
    <mergeCell ref="N63:T64"/>
  </mergeCells>
  <conditionalFormatting sqref="E19:E57">
    <cfRule type="expression" dxfId="60" priority="9">
      <formula>LEFT(E19,1)="⚠"</formula>
    </cfRule>
    <cfRule type="expression" dxfId="59" priority="10">
      <formula>LEFT(E19,4)="info"</formula>
    </cfRule>
    <cfRule type="expression" dxfId="58" priority="11">
      <formula>LEFT(E19,1)="⚠"</formula>
    </cfRule>
    <cfRule type="expression" dxfId="57" priority="12">
      <formula>LEFT(E19,4)="info"</formula>
    </cfRule>
  </conditionalFormatting>
  <conditionalFormatting sqref="E69:E107">
    <cfRule type="expression" dxfId="56" priority="5">
      <formula>LEFT(E69,1)="⚠"</formula>
    </cfRule>
    <cfRule type="expression" dxfId="55" priority="6">
      <formula>LEFT(E69,4)="info"</formula>
    </cfRule>
    <cfRule type="expression" dxfId="54" priority="7">
      <formula>LEFT(E69,1)="⚠"</formula>
    </cfRule>
    <cfRule type="expression" dxfId="53" priority="8">
      <formula>LEFT(E69,4)="info"</formula>
    </cfRule>
  </conditionalFormatting>
  <conditionalFormatting sqref="E117:E155">
    <cfRule type="expression" dxfId="52" priority="1">
      <formula>LEFT(E117,1)="⚠"</formula>
    </cfRule>
    <cfRule type="expression" dxfId="51" priority="2">
      <formula>LEFT(E117,4)="info"</formula>
    </cfRule>
    <cfRule type="expression" dxfId="50" priority="3">
      <formula>LEFT(E117,1)="⚠"</formula>
    </cfRule>
    <cfRule type="expression" dxfId="49" priority="4">
      <formula>LEFT(E117,4)="info"</formula>
    </cfRule>
  </conditionalFormatting>
  <hyperlinks>
    <hyperlink ref="F11" r:id="rId1" xr:uid="{00000000-0004-0000-0200-000000000000}"/>
    <hyperlink ref="P11" r:id="rId2" xr:uid="{00000000-0004-0000-0200-000001000000}"/>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159"/>
  <sheetViews>
    <sheetView showZeros="0" zoomScaleNormal="100" workbookViewId="0">
      <selection activeCell="E16" sqref="E16:E19"/>
    </sheetView>
  </sheetViews>
  <sheetFormatPr baseColWidth="10" defaultRowHeight="12.75"/>
  <cols>
    <col min="1" max="1" width="8.28515625" style="311" customWidth="1"/>
    <col min="2" max="2" width="6.28515625" style="311" customWidth="1"/>
    <col min="3" max="3" width="4.5703125" style="311" customWidth="1"/>
    <col min="4" max="4" width="40.7109375" style="311" customWidth="1"/>
    <col min="5" max="5" width="10.7109375" style="311" customWidth="1"/>
    <col min="6" max="13" width="12.7109375" style="311" customWidth="1"/>
    <col min="14" max="14" width="20.7109375" style="311" customWidth="1"/>
    <col min="15" max="15" width="15" style="311" customWidth="1"/>
    <col min="16" max="16" width="11" style="311" customWidth="1"/>
    <col min="17" max="18" width="12.7109375" style="311" customWidth="1"/>
    <col min="19" max="20" width="4.85546875" style="311" customWidth="1"/>
    <col min="21" max="21" width="4.5703125" style="311" customWidth="1"/>
    <col min="22" max="22" width="40.7109375" style="311" customWidth="1"/>
    <col min="23" max="25" width="12.7109375" style="311" customWidth="1"/>
    <col min="26" max="26" width="20.7109375" style="311" customWidth="1"/>
    <col min="27" max="28" width="12.7109375" style="311" customWidth="1"/>
    <col min="29" max="29" width="17.28515625" style="311" customWidth="1"/>
    <col min="30" max="34" width="11.42578125" style="311"/>
    <col min="35" max="35" width="10.85546875" style="311" customWidth="1"/>
    <col min="36" max="282" width="11.42578125" style="311"/>
    <col min="283" max="283" width="40.5703125" style="311" customWidth="1"/>
    <col min="284" max="284" width="29.140625" style="311" customWidth="1"/>
    <col min="285" max="285" width="22.85546875" style="311" customWidth="1"/>
    <col min="286" max="286" width="18.85546875" style="311" customWidth="1"/>
    <col min="287" max="287" width="20" style="311" customWidth="1"/>
    <col min="288" max="538" width="11.42578125" style="311"/>
    <col min="539" max="539" width="40.5703125" style="311" customWidth="1"/>
    <col min="540" max="540" width="29.140625" style="311" customWidth="1"/>
    <col min="541" max="541" width="22.85546875" style="311" customWidth="1"/>
    <col min="542" max="542" width="18.85546875" style="311" customWidth="1"/>
    <col min="543" max="543" width="20" style="311" customWidth="1"/>
    <col min="544" max="794" width="11.42578125" style="311"/>
    <col min="795" max="795" width="40.5703125" style="311" customWidth="1"/>
    <col min="796" max="796" width="29.140625" style="311" customWidth="1"/>
    <col min="797" max="797" width="22.85546875" style="311" customWidth="1"/>
    <col min="798" max="798" width="18.85546875" style="311" customWidth="1"/>
    <col min="799" max="799" width="20" style="311" customWidth="1"/>
    <col min="800" max="1050" width="11.42578125" style="311"/>
    <col min="1051" max="1051" width="40.5703125" style="311" customWidth="1"/>
    <col min="1052" max="1052" width="29.140625" style="311" customWidth="1"/>
    <col min="1053" max="1053" width="22.85546875" style="311" customWidth="1"/>
    <col min="1054" max="1054" width="18.85546875" style="311" customWidth="1"/>
    <col min="1055" max="1055" width="20" style="311" customWidth="1"/>
    <col min="1056" max="1306" width="11.42578125" style="311"/>
    <col min="1307" max="1307" width="40.5703125" style="311" customWidth="1"/>
    <col min="1308" max="1308" width="29.140625" style="311" customWidth="1"/>
    <col min="1309" max="1309" width="22.85546875" style="311" customWidth="1"/>
    <col min="1310" max="1310" width="18.85546875" style="311" customWidth="1"/>
    <col min="1311" max="1311" width="20" style="311" customWidth="1"/>
    <col min="1312" max="1562" width="11.42578125" style="311"/>
    <col min="1563" max="1563" width="40.5703125" style="311" customWidth="1"/>
    <col min="1564" max="1564" width="29.140625" style="311" customWidth="1"/>
    <col min="1565" max="1565" width="22.85546875" style="311" customWidth="1"/>
    <col min="1566" max="1566" width="18.85546875" style="311" customWidth="1"/>
    <col min="1567" max="1567" width="20" style="311" customWidth="1"/>
    <col min="1568" max="1818" width="11.42578125" style="311"/>
    <col min="1819" max="1819" width="40.5703125" style="311" customWidth="1"/>
    <col min="1820" max="1820" width="29.140625" style="311" customWidth="1"/>
    <col min="1821" max="1821" width="22.85546875" style="311" customWidth="1"/>
    <col min="1822" max="1822" width="18.85546875" style="311" customWidth="1"/>
    <col min="1823" max="1823" width="20" style="311" customWidth="1"/>
    <col min="1824" max="2074" width="11.42578125" style="311"/>
    <col min="2075" max="2075" width="40.5703125" style="311" customWidth="1"/>
    <col min="2076" max="2076" width="29.140625" style="311" customWidth="1"/>
    <col min="2077" max="2077" width="22.85546875" style="311" customWidth="1"/>
    <col min="2078" max="2078" width="18.85546875" style="311" customWidth="1"/>
    <col min="2079" max="2079" width="20" style="311" customWidth="1"/>
    <col min="2080" max="2330" width="11.42578125" style="311"/>
    <col min="2331" max="2331" width="40.5703125" style="311" customWidth="1"/>
    <col min="2332" max="2332" width="29.140625" style="311" customWidth="1"/>
    <col min="2333" max="2333" width="22.85546875" style="311" customWidth="1"/>
    <col min="2334" max="2334" width="18.85546875" style="311" customWidth="1"/>
    <col min="2335" max="2335" width="20" style="311" customWidth="1"/>
    <col min="2336" max="2586" width="11.42578125" style="311"/>
    <col min="2587" max="2587" width="40.5703125" style="311" customWidth="1"/>
    <col min="2588" max="2588" width="29.140625" style="311" customWidth="1"/>
    <col min="2589" max="2589" width="22.85546875" style="311" customWidth="1"/>
    <col min="2590" max="2590" width="18.85546875" style="311" customWidth="1"/>
    <col min="2591" max="2591" width="20" style="311" customWidth="1"/>
    <col min="2592" max="2842" width="11.42578125" style="311"/>
    <col min="2843" max="2843" width="40.5703125" style="311" customWidth="1"/>
    <col min="2844" max="2844" width="29.140625" style="311" customWidth="1"/>
    <col min="2845" max="2845" width="22.85546875" style="311" customWidth="1"/>
    <col min="2846" max="2846" width="18.85546875" style="311" customWidth="1"/>
    <col min="2847" max="2847" width="20" style="311" customWidth="1"/>
    <col min="2848" max="3098" width="11.42578125" style="311"/>
    <col min="3099" max="3099" width="40.5703125" style="311" customWidth="1"/>
    <col min="3100" max="3100" width="29.140625" style="311" customWidth="1"/>
    <col min="3101" max="3101" width="22.85546875" style="311" customWidth="1"/>
    <col min="3102" max="3102" width="18.85546875" style="311" customWidth="1"/>
    <col min="3103" max="3103" width="20" style="311" customWidth="1"/>
    <col min="3104" max="3354" width="11.42578125" style="311"/>
    <col min="3355" max="3355" width="40.5703125" style="311" customWidth="1"/>
    <col min="3356" max="3356" width="29.140625" style="311" customWidth="1"/>
    <col min="3357" max="3357" width="22.85546875" style="311" customWidth="1"/>
    <col min="3358" max="3358" width="18.85546875" style="311" customWidth="1"/>
    <col min="3359" max="3359" width="20" style="311" customWidth="1"/>
    <col min="3360" max="3610" width="11.42578125" style="311"/>
    <col min="3611" max="3611" width="40.5703125" style="311" customWidth="1"/>
    <col min="3612" max="3612" width="29.140625" style="311" customWidth="1"/>
    <col min="3613" max="3613" width="22.85546875" style="311" customWidth="1"/>
    <col min="3614" max="3614" width="18.85546875" style="311" customWidth="1"/>
    <col min="3615" max="3615" width="20" style="311" customWidth="1"/>
    <col min="3616" max="3866" width="11.42578125" style="311"/>
    <col min="3867" max="3867" width="40.5703125" style="311" customWidth="1"/>
    <col min="3868" max="3868" width="29.140625" style="311" customWidth="1"/>
    <col min="3869" max="3869" width="22.85546875" style="311" customWidth="1"/>
    <col min="3870" max="3870" width="18.85546875" style="311" customWidth="1"/>
    <col min="3871" max="3871" width="20" style="311" customWidth="1"/>
    <col min="3872" max="4122" width="11.42578125" style="311"/>
    <col min="4123" max="4123" width="40.5703125" style="311" customWidth="1"/>
    <col min="4124" max="4124" width="29.140625" style="311" customWidth="1"/>
    <col min="4125" max="4125" width="22.85546875" style="311" customWidth="1"/>
    <col min="4126" max="4126" width="18.85546875" style="311" customWidth="1"/>
    <col min="4127" max="4127" width="20" style="311" customWidth="1"/>
    <col min="4128" max="4378" width="11.42578125" style="311"/>
    <col min="4379" max="4379" width="40.5703125" style="311" customWidth="1"/>
    <col min="4380" max="4380" width="29.140625" style="311" customWidth="1"/>
    <col min="4381" max="4381" width="22.85546875" style="311" customWidth="1"/>
    <col min="4382" max="4382" width="18.85546875" style="311" customWidth="1"/>
    <col min="4383" max="4383" width="20" style="311" customWidth="1"/>
    <col min="4384" max="4634" width="11.42578125" style="311"/>
    <col min="4635" max="4635" width="40.5703125" style="311" customWidth="1"/>
    <col min="4636" max="4636" width="29.140625" style="311" customWidth="1"/>
    <col min="4637" max="4637" width="22.85546875" style="311" customWidth="1"/>
    <col min="4638" max="4638" width="18.85546875" style="311" customWidth="1"/>
    <col min="4639" max="4639" width="20" style="311" customWidth="1"/>
    <col min="4640" max="4890" width="11.42578125" style="311"/>
    <col min="4891" max="4891" width="40.5703125" style="311" customWidth="1"/>
    <col min="4892" max="4892" width="29.140625" style="311" customWidth="1"/>
    <col min="4893" max="4893" width="22.85546875" style="311" customWidth="1"/>
    <col min="4894" max="4894" width="18.85546875" style="311" customWidth="1"/>
    <col min="4895" max="4895" width="20" style="311" customWidth="1"/>
    <col min="4896" max="5146" width="11.42578125" style="311"/>
    <col min="5147" max="5147" width="40.5703125" style="311" customWidth="1"/>
    <col min="5148" max="5148" width="29.140625" style="311" customWidth="1"/>
    <col min="5149" max="5149" width="22.85546875" style="311" customWidth="1"/>
    <col min="5150" max="5150" width="18.85546875" style="311" customWidth="1"/>
    <col min="5151" max="5151" width="20" style="311" customWidth="1"/>
    <col min="5152" max="5402" width="11.42578125" style="311"/>
    <col min="5403" max="5403" width="40.5703125" style="311" customWidth="1"/>
    <col min="5404" max="5404" width="29.140625" style="311" customWidth="1"/>
    <col min="5405" max="5405" width="22.85546875" style="311" customWidth="1"/>
    <col min="5406" max="5406" width="18.85546875" style="311" customWidth="1"/>
    <col min="5407" max="5407" width="20" style="311" customWidth="1"/>
    <col min="5408" max="5658" width="11.42578125" style="311"/>
    <col min="5659" max="5659" width="40.5703125" style="311" customWidth="1"/>
    <col min="5660" max="5660" width="29.140625" style="311" customWidth="1"/>
    <col min="5661" max="5661" width="22.85546875" style="311" customWidth="1"/>
    <col min="5662" max="5662" width="18.85546875" style="311" customWidth="1"/>
    <col min="5663" max="5663" width="20" style="311" customWidth="1"/>
    <col min="5664" max="5914" width="11.42578125" style="311"/>
    <col min="5915" max="5915" width="40.5703125" style="311" customWidth="1"/>
    <col min="5916" max="5916" width="29.140625" style="311" customWidth="1"/>
    <col min="5917" max="5917" width="22.85546875" style="311" customWidth="1"/>
    <col min="5918" max="5918" width="18.85546875" style="311" customWidth="1"/>
    <col min="5919" max="5919" width="20" style="311" customWidth="1"/>
    <col min="5920" max="6170" width="11.42578125" style="311"/>
    <col min="6171" max="6171" width="40.5703125" style="311" customWidth="1"/>
    <col min="6172" max="6172" width="29.140625" style="311" customWidth="1"/>
    <col min="6173" max="6173" width="22.85546875" style="311" customWidth="1"/>
    <col min="6174" max="6174" width="18.85546875" style="311" customWidth="1"/>
    <col min="6175" max="6175" width="20" style="311" customWidth="1"/>
    <col min="6176" max="6426" width="11.42578125" style="311"/>
    <col min="6427" max="6427" width="40.5703125" style="311" customWidth="1"/>
    <col min="6428" max="6428" width="29.140625" style="311" customWidth="1"/>
    <col min="6429" max="6429" width="22.85546875" style="311" customWidth="1"/>
    <col min="6430" max="6430" width="18.85546875" style="311" customWidth="1"/>
    <col min="6431" max="6431" width="20" style="311" customWidth="1"/>
    <col min="6432" max="6682" width="11.42578125" style="311"/>
    <col min="6683" max="6683" width="40.5703125" style="311" customWidth="1"/>
    <col min="6684" max="6684" width="29.140625" style="311" customWidth="1"/>
    <col min="6685" max="6685" width="22.85546875" style="311" customWidth="1"/>
    <col min="6686" max="6686" width="18.85546875" style="311" customWidth="1"/>
    <col min="6687" max="6687" width="20" style="311" customWidth="1"/>
    <col min="6688" max="6938" width="11.42578125" style="311"/>
    <col min="6939" max="6939" width="40.5703125" style="311" customWidth="1"/>
    <col min="6940" max="6940" width="29.140625" style="311" customWidth="1"/>
    <col min="6941" max="6941" width="22.85546875" style="311" customWidth="1"/>
    <col min="6942" max="6942" width="18.85546875" style="311" customWidth="1"/>
    <col min="6943" max="6943" width="20" style="311" customWidth="1"/>
    <col min="6944" max="7194" width="11.42578125" style="311"/>
    <col min="7195" max="7195" width="40.5703125" style="311" customWidth="1"/>
    <col min="7196" max="7196" width="29.140625" style="311" customWidth="1"/>
    <col min="7197" max="7197" width="22.85546875" style="311" customWidth="1"/>
    <col min="7198" max="7198" width="18.85546875" style="311" customWidth="1"/>
    <col min="7199" max="7199" width="20" style="311" customWidth="1"/>
    <col min="7200" max="7450" width="11.42578125" style="311"/>
    <col min="7451" max="7451" width="40.5703125" style="311" customWidth="1"/>
    <col min="7452" max="7452" width="29.140625" style="311" customWidth="1"/>
    <col min="7453" max="7453" width="22.85546875" style="311" customWidth="1"/>
    <col min="7454" max="7454" width="18.85546875" style="311" customWidth="1"/>
    <col min="7455" max="7455" width="20" style="311" customWidth="1"/>
    <col min="7456" max="7706" width="11.42578125" style="311"/>
    <col min="7707" max="7707" width="40.5703125" style="311" customWidth="1"/>
    <col min="7708" max="7708" width="29.140625" style="311" customWidth="1"/>
    <col min="7709" max="7709" width="22.85546875" style="311" customWidth="1"/>
    <col min="7710" max="7710" width="18.85546875" style="311" customWidth="1"/>
    <col min="7711" max="7711" width="20" style="311" customWidth="1"/>
    <col min="7712" max="7962" width="11.42578125" style="311"/>
    <col min="7963" max="7963" width="40.5703125" style="311" customWidth="1"/>
    <col min="7964" max="7964" width="29.140625" style="311" customWidth="1"/>
    <col min="7965" max="7965" width="22.85546875" style="311" customWidth="1"/>
    <col min="7966" max="7966" width="18.85546875" style="311" customWidth="1"/>
    <col min="7967" max="7967" width="20" style="311" customWidth="1"/>
    <col min="7968" max="8218" width="11.42578125" style="311"/>
    <col min="8219" max="8219" width="40.5703125" style="311" customWidth="1"/>
    <col min="8220" max="8220" width="29.140625" style="311" customWidth="1"/>
    <col min="8221" max="8221" width="22.85546875" style="311" customWidth="1"/>
    <col min="8222" max="8222" width="18.85546875" style="311" customWidth="1"/>
    <col min="8223" max="8223" width="20" style="311" customWidth="1"/>
    <col min="8224" max="8474" width="11.42578125" style="311"/>
    <col min="8475" max="8475" width="40.5703125" style="311" customWidth="1"/>
    <col min="8476" max="8476" width="29.140625" style="311" customWidth="1"/>
    <col min="8477" max="8477" width="22.85546875" style="311" customWidth="1"/>
    <col min="8478" max="8478" width="18.85546875" style="311" customWidth="1"/>
    <col min="8479" max="8479" width="20" style="311" customWidth="1"/>
    <col min="8480" max="8730" width="11.42578125" style="311"/>
    <col min="8731" max="8731" width="40.5703125" style="311" customWidth="1"/>
    <col min="8732" max="8732" width="29.140625" style="311" customWidth="1"/>
    <col min="8733" max="8733" width="22.85546875" style="311" customWidth="1"/>
    <col min="8734" max="8734" width="18.85546875" style="311" customWidth="1"/>
    <col min="8735" max="8735" width="20" style="311" customWidth="1"/>
    <col min="8736" max="8986" width="11.42578125" style="311"/>
    <col min="8987" max="8987" width="40.5703125" style="311" customWidth="1"/>
    <col min="8988" max="8988" width="29.140625" style="311" customWidth="1"/>
    <col min="8989" max="8989" width="22.85546875" style="311" customWidth="1"/>
    <col min="8990" max="8990" width="18.85546875" style="311" customWidth="1"/>
    <col min="8991" max="8991" width="20" style="311" customWidth="1"/>
    <col min="8992" max="9242" width="11.42578125" style="311"/>
    <col min="9243" max="9243" width="40.5703125" style="311" customWidth="1"/>
    <col min="9244" max="9244" width="29.140625" style="311" customWidth="1"/>
    <col min="9245" max="9245" width="22.85546875" style="311" customWidth="1"/>
    <col min="9246" max="9246" width="18.85546875" style="311" customWidth="1"/>
    <col min="9247" max="9247" width="20" style="311" customWidth="1"/>
    <col min="9248" max="9498" width="11.42578125" style="311"/>
    <col min="9499" max="9499" width="40.5703125" style="311" customWidth="1"/>
    <col min="9500" max="9500" width="29.140625" style="311" customWidth="1"/>
    <col min="9501" max="9501" width="22.85546875" style="311" customWidth="1"/>
    <col min="9502" max="9502" width="18.85546875" style="311" customWidth="1"/>
    <col min="9503" max="9503" width="20" style="311" customWidth="1"/>
    <col min="9504" max="9754" width="11.42578125" style="311"/>
    <col min="9755" max="9755" width="40.5703125" style="311" customWidth="1"/>
    <col min="9756" max="9756" width="29.140625" style="311" customWidth="1"/>
    <col min="9757" max="9757" width="22.85546875" style="311" customWidth="1"/>
    <col min="9758" max="9758" width="18.85546875" style="311" customWidth="1"/>
    <col min="9759" max="9759" width="20" style="311" customWidth="1"/>
    <col min="9760" max="10010" width="11.42578125" style="311"/>
    <col min="10011" max="10011" width="40.5703125" style="311" customWidth="1"/>
    <col min="10012" max="10012" width="29.140625" style="311" customWidth="1"/>
    <col min="10013" max="10013" width="22.85546875" style="311" customWidth="1"/>
    <col min="10014" max="10014" width="18.85546875" style="311" customWidth="1"/>
    <col min="10015" max="10015" width="20" style="311" customWidth="1"/>
    <col min="10016" max="10266" width="11.42578125" style="311"/>
    <col min="10267" max="10267" width="40.5703125" style="311" customWidth="1"/>
    <col min="10268" max="10268" width="29.140625" style="311" customWidth="1"/>
    <col min="10269" max="10269" width="22.85546875" style="311" customWidth="1"/>
    <col min="10270" max="10270" width="18.85546875" style="311" customWidth="1"/>
    <col min="10271" max="10271" width="20" style="311" customWidth="1"/>
    <col min="10272" max="10522" width="11.42578125" style="311"/>
    <col min="10523" max="10523" width="40.5703125" style="311" customWidth="1"/>
    <col min="10524" max="10524" width="29.140625" style="311" customWidth="1"/>
    <col min="10525" max="10525" width="22.85546875" style="311" customWidth="1"/>
    <col min="10526" max="10526" width="18.85546875" style="311" customWidth="1"/>
    <col min="10527" max="10527" width="20" style="311" customWidth="1"/>
    <col min="10528" max="10778" width="11.42578125" style="311"/>
    <col min="10779" max="10779" width="40.5703125" style="311" customWidth="1"/>
    <col min="10780" max="10780" width="29.140625" style="311" customWidth="1"/>
    <col min="10781" max="10781" width="22.85546875" style="311" customWidth="1"/>
    <col min="10782" max="10782" width="18.85546875" style="311" customWidth="1"/>
    <col min="10783" max="10783" width="20" style="311" customWidth="1"/>
    <col min="10784" max="11034" width="11.42578125" style="311"/>
    <col min="11035" max="11035" width="40.5703125" style="311" customWidth="1"/>
    <col min="11036" max="11036" width="29.140625" style="311" customWidth="1"/>
    <col min="11037" max="11037" width="22.85546875" style="311" customWidth="1"/>
    <col min="11038" max="11038" width="18.85546875" style="311" customWidth="1"/>
    <col min="11039" max="11039" width="20" style="311" customWidth="1"/>
    <col min="11040" max="11290" width="11.42578125" style="311"/>
    <col min="11291" max="11291" width="40.5703125" style="311" customWidth="1"/>
    <col min="11292" max="11292" width="29.140625" style="311" customWidth="1"/>
    <col min="11293" max="11293" width="22.85546875" style="311" customWidth="1"/>
    <col min="11294" max="11294" width="18.85546875" style="311" customWidth="1"/>
    <col min="11295" max="11295" width="20" style="311" customWidth="1"/>
    <col min="11296" max="11546" width="11.42578125" style="311"/>
    <col min="11547" max="11547" width="40.5703125" style="311" customWidth="1"/>
    <col min="11548" max="11548" width="29.140625" style="311" customWidth="1"/>
    <col min="11549" max="11549" width="22.85546875" style="311" customWidth="1"/>
    <col min="11550" max="11550" width="18.85546875" style="311" customWidth="1"/>
    <col min="11551" max="11551" width="20" style="311" customWidth="1"/>
    <col min="11552" max="11802" width="11.42578125" style="311"/>
    <col min="11803" max="11803" width="40.5703125" style="311" customWidth="1"/>
    <col min="11804" max="11804" width="29.140625" style="311" customWidth="1"/>
    <col min="11805" max="11805" width="22.85546875" style="311" customWidth="1"/>
    <col min="11806" max="11806" width="18.85546875" style="311" customWidth="1"/>
    <col min="11807" max="11807" width="20" style="311" customWidth="1"/>
    <col min="11808" max="12058" width="11.42578125" style="311"/>
    <col min="12059" max="12059" width="40.5703125" style="311" customWidth="1"/>
    <col min="12060" max="12060" width="29.140625" style="311" customWidth="1"/>
    <col min="12061" max="12061" width="22.85546875" style="311" customWidth="1"/>
    <col min="12062" max="12062" width="18.85546875" style="311" customWidth="1"/>
    <col min="12063" max="12063" width="20" style="311" customWidth="1"/>
    <col min="12064" max="12314" width="11.42578125" style="311"/>
    <col min="12315" max="12315" width="40.5703125" style="311" customWidth="1"/>
    <col min="12316" max="12316" width="29.140625" style="311" customWidth="1"/>
    <col min="12317" max="12317" width="22.85546875" style="311" customWidth="1"/>
    <col min="12318" max="12318" width="18.85546875" style="311" customWidth="1"/>
    <col min="12319" max="12319" width="20" style="311" customWidth="1"/>
    <col min="12320" max="12570" width="11.42578125" style="311"/>
    <col min="12571" max="12571" width="40.5703125" style="311" customWidth="1"/>
    <col min="12572" max="12572" width="29.140625" style="311" customWidth="1"/>
    <col min="12573" max="12573" width="22.85546875" style="311" customWidth="1"/>
    <col min="12574" max="12574" width="18.85546875" style="311" customWidth="1"/>
    <col min="12575" max="12575" width="20" style="311" customWidth="1"/>
    <col min="12576" max="12826" width="11.42578125" style="311"/>
    <col min="12827" max="12827" width="40.5703125" style="311" customWidth="1"/>
    <col min="12828" max="12828" width="29.140625" style="311" customWidth="1"/>
    <col min="12829" max="12829" width="22.85546875" style="311" customWidth="1"/>
    <col min="12830" max="12830" width="18.85546875" style="311" customWidth="1"/>
    <col min="12831" max="12831" width="20" style="311" customWidth="1"/>
    <col min="12832" max="13082" width="11.42578125" style="311"/>
    <col min="13083" max="13083" width="40.5703125" style="311" customWidth="1"/>
    <col min="13084" max="13084" width="29.140625" style="311" customWidth="1"/>
    <col min="13085" max="13085" width="22.85546875" style="311" customWidth="1"/>
    <col min="13086" max="13086" width="18.85546875" style="311" customWidth="1"/>
    <col min="13087" max="13087" width="20" style="311" customWidth="1"/>
    <col min="13088" max="13338" width="11.42578125" style="311"/>
    <col min="13339" max="13339" width="40.5703125" style="311" customWidth="1"/>
    <col min="13340" max="13340" width="29.140625" style="311" customWidth="1"/>
    <col min="13341" max="13341" width="22.85546875" style="311" customWidth="1"/>
    <col min="13342" max="13342" width="18.85546875" style="311" customWidth="1"/>
    <col min="13343" max="13343" width="20" style="311" customWidth="1"/>
    <col min="13344" max="13594" width="11.42578125" style="311"/>
    <col min="13595" max="13595" width="40.5703125" style="311" customWidth="1"/>
    <col min="13596" max="13596" width="29.140625" style="311" customWidth="1"/>
    <col min="13597" max="13597" width="22.85546875" style="311" customWidth="1"/>
    <col min="13598" max="13598" width="18.85546875" style="311" customWidth="1"/>
    <col min="13599" max="13599" width="20" style="311" customWidth="1"/>
    <col min="13600" max="13850" width="11.42578125" style="311"/>
    <col min="13851" max="13851" width="40.5703125" style="311" customWidth="1"/>
    <col min="13852" max="13852" width="29.140625" style="311" customWidth="1"/>
    <col min="13853" max="13853" width="22.85546875" style="311" customWidth="1"/>
    <col min="13854" max="13854" width="18.85546875" style="311" customWidth="1"/>
    <col min="13855" max="13855" width="20" style="311" customWidth="1"/>
    <col min="13856" max="14106" width="11.42578125" style="311"/>
    <col min="14107" max="14107" width="40.5703125" style="311" customWidth="1"/>
    <col min="14108" max="14108" width="29.140625" style="311" customWidth="1"/>
    <col min="14109" max="14109" width="22.85546875" style="311" customWidth="1"/>
    <col min="14110" max="14110" width="18.85546875" style="311" customWidth="1"/>
    <col min="14111" max="14111" width="20" style="311" customWidth="1"/>
    <col min="14112" max="14362" width="11.42578125" style="311"/>
    <col min="14363" max="14363" width="40.5703125" style="311" customWidth="1"/>
    <col min="14364" max="14364" width="29.140625" style="311" customWidth="1"/>
    <col min="14365" max="14365" width="22.85546875" style="311" customWidth="1"/>
    <col min="14366" max="14366" width="18.85546875" style="311" customWidth="1"/>
    <col min="14367" max="14367" width="20" style="311" customWidth="1"/>
    <col min="14368" max="14618" width="11.42578125" style="311"/>
    <col min="14619" max="14619" width="40.5703125" style="311" customWidth="1"/>
    <col min="14620" max="14620" width="29.140625" style="311" customWidth="1"/>
    <col min="14621" max="14621" width="22.85546875" style="311" customWidth="1"/>
    <col min="14622" max="14622" width="18.85546875" style="311" customWidth="1"/>
    <col min="14623" max="14623" width="20" style="311" customWidth="1"/>
    <col min="14624" max="14874" width="11.42578125" style="311"/>
    <col min="14875" max="14875" width="40.5703125" style="311" customWidth="1"/>
    <col min="14876" max="14876" width="29.140625" style="311" customWidth="1"/>
    <col min="14877" max="14877" width="22.85546875" style="311" customWidth="1"/>
    <col min="14878" max="14878" width="18.85546875" style="311" customWidth="1"/>
    <col min="14879" max="14879" width="20" style="311" customWidth="1"/>
    <col min="14880" max="15130" width="11.42578125" style="311"/>
    <col min="15131" max="15131" width="40.5703125" style="311" customWidth="1"/>
    <col min="15132" max="15132" width="29.140625" style="311" customWidth="1"/>
    <col min="15133" max="15133" width="22.85546875" style="311" customWidth="1"/>
    <col min="15134" max="15134" width="18.85546875" style="311" customWidth="1"/>
    <col min="15135" max="15135" width="20" style="311" customWidth="1"/>
    <col min="15136" max="15386" width="11.42578125" style="311"/>
    <col min="15387" max="15387" width="40.5703125" style="311" customWidth="1"/>
    <col min="15388" max="15388" width="29.140625" style="311" customWidth="1"/>
    <col min="15389" max="15389" width="22.85546875" style="311" customWidth="1"/>
    <col min="15390" max="15390" width="18.85546875" style="311" customWidth="1"/>
    <col min="15391" max="15391" width="20" style="311" customWidth="1"/>
    <col min="15392" max="15642" width="11.42578125" style="311"/>
    <col min="15643" max="15643" width="40.5703125" style="311" customWidth="1"/>
    <col min="15644" max="15644" width="29.140625" style="311" customWidth="1"/>
    <col min="15645" max="15645" width="22.85546875" style="311" customWidth="1"/>
    <col min="15646" max="15646" width="18.85546875" style="311" customWidth="1"/>
    <col min="15647" max="15647" width="20" style="311" customWidth="1"/>
    <col min="15648" max="15898" width="11.42578125" style="311"/>
    <col min="15899" max="15899" width="40.5703125" style="311" customWidth="1"/>
    <col min="15900" max="15900" width="29.140625" style="311" customWidth="1"/>
    <col min="15901" max="15901" width="22.85546875" style="311" customWidth="1"/>
    <col min="15902" max="15902" width="18.85546875" style="311" customWidth="1"/>
    <col min="15903" max="15903" width="20" style="311" customWidth="1"/>
    <col min="15904" max="16154" width="11.42578125" style="311"/>
    <col min="16155" max="16155" width="40.5703125" style="311" customWidth="1"/>
    <col min="16156" max="16156" width="29.140625" style="311" customWidth="1"/>
    <col min="16157" max="16157" width="22.85546875" style="311" customWidth="1"/>
    <col min="16158" max="16158" width="18.85546875" style="311" customWidth="1"/>
    <col min="16159" max="16159" width="20" style="311" customWidth="1"/>
    <col min="16160" max="16384" width="11.42578125" style="311"/>
  </cols>
  <sheetData>
    <row r="1" spans="1:30" ht="15.75" thickTop="1">
      <c r="A1" s="2732" t="str">
        <f>ADDRESS(ROW(),COLUMN(),4)</f>
        <v>A1</v>
      </c>
      <c r="B1" s="2726" t="str">
        <f t="shared" ref="B1:AB1" si="0">SUBSTITUTE(ADDRESS(1,COLUMN(),4),"1","")</f>
        <v>B</v>
      </c>
      <c r="C1" s="2726" t="str">
        <f t="shared" si="0"/>
        <v>C</v>
      </c>
      <c r="D1" s="2726" t="str">
        <f t="shared" si="0"/>
        <v>D</v>
      </c>
      <c r="E1" s="2726" t="str">
        <f t="shared" si="0"/>
        <v>E</v>
      </c>
      <c r="F1" s="2726" t="str">
        <f t="shared" si="0"/>
        <v>F</v>
      </c>
      <c r="G1" s="2726" t="str">
        <f t="shared" si="0"/>
        <v>G</v>
      </c>
      <c r="H1" s="2726" t="str">
        <f t="shared" si="0"/>
        <v>H</v>
      </c>
      <c r="I1" s="2726" t="str">
        <f t="shared" si="0"/>
        <v>I</v>
      </c>
      <c r="J1" s="2726" t="str">
        <f t="shared" si="0"/>
        <v>J</v>
      </c>
      <c r="K1" s="2726" t="str">
        <f t="shared" si="0"/>
        <v>K</v>
      </c>
      <c r="L1" s="2726" t="str">
        <f t="shared" si="0"/>
        <v>L</v>
      </c>
      <c r="M1" s="2726" t="str">
        <f t="shared" si="0"/>
        <v>M</v>
      </c>
      <c r="N1" s="2726" t="str">
        <f t="shared" si="0"/>
        <v>N</v>
      </c>
      <c r="O1" s="2726" t="str">
        <f t="shared" si="0"/>
        <v>O</v>
      </c>
      <c r="P1" s="2726" t="str">
        <f t="shared" si="0"/>
        <v>P</v>
      </c>
      <c r="Q1" s="2726" t="str">
        <f t="shared" si="0"/>
        <v>Q</v>
      </c>
      <c r="R1" s="2726" t="str">
        <f t="shared" si="0"/>
        <v>R</v>
      </c>
      <c r="T1" s="2726" t="str">
        <f t="shared" si="0"/>
        <v>T</v>
      </c>
      <c r="U1" s="2726" t="str">
        <f t="shared" si="0"/>
        <v>U</v>
      </c>
      <c r="V1" s="2726" t="str">
        <f t="shared" si="0"/>
        <v>V</v>
      </c>
      <c r="W1" s="2726" t="str">
        <f t="shared" si="0"/>
        <v>W</v>
      </c>
      <c r="X1" s="2726" t="str">
        <f t="shared" si="0"/>
        <v>X</v>
      </c>
      <c r="Y1" s="2726" t="str">
        <f t="shared" si="0"/>
        <v>Y</v>
      </c>
      <c r="Z1" s="2726" t="str">
        <f t="shared" si="0"/>
        <v>Z</v>
      </c>
      <c r="AA1" s="2726" t="str">
        <f t="shared" si="0"/>
        <v>AA</v>
      </c>
      <c r="AB1" s="2726" t="str">
        <f t="shared" si="0"/>
        <v>AB</v>
      </c>
      <c r="AC1" s="7723" t="s">
        <v>7035</v>
      </c>
      <c r="AD1" s="2730">
        <v>1</v>
      </c>
    </row>
    <row r="2" spans="1:30">
      <c r="B2" s="2727">
        <f t="shared" ref="B2:AB2" ca="1" si="1">CELL("largeur",B2)</f>
        <v>6</v>
      </c>
      <c r="C2" s="2727">
        <f t="shared" ca="1" si="1"/>
        <v>4</v>
      </c>
      <c r="D2" s="2727">
        <f t="shared" ca="1" si="1"/>
        <v>40</v>
      </c>
      <c r="E2" s="2727">
        <f t="shared" ca="1" si="1"/>
        <v>10</v>
      </c>
      <c r="F2" s="2727">
        <f t="shared" ca="1" si="1"/>
        <v>12</v>
      </c>
      <c r="G2" s="2727">
        <f t="shared" ca="1" si="1"/>
        <v>12</v>
      </c>
      <c r="H2" s="2727">
        <f t="shared" ca="1" si="1"/>
        <v>12</v>
      </c>
      <c r="I2" s="2727">
        <f t="shared" ca="1" si="1"/>
        <v>12</v>
      </c>
      <c r="J2" s="2727">
        <f t="shared" ca="1" si="1"/>
        <v>12</v>
      </c>
      <c r="K2" s="2727">
        <f t="shared" ca="1" si="1"/>
        <v>12</v>
      </c>
      <c r="L2" s="2727">
        <f t="shared" ca="1" si="1"/>
        <v>12</v>
      </c>
      <c r="M2" s="2727">
        <f t="shared" ca="1" si="1"/>
        <v>12</v>
      </c>
      <c r="N2" s="2727">
        <f t="shared" ca="1" si="1"/>
        <v>20</v>
      </c>
      <c r="O2" s="2727">
        <f t="shared" ca="1" si="1"/>
        <v>14</v>
      </c>
      <c r="P2" s="2727">
        <f t="shared" ca="1" si="1"/>
        <v>10</v>
      </c>
      <c r="Q2" s="2727">
        <f t="shared" ca="1" si="1"/>
        <v>12</v>
      </c>
      <c r="R2" s="2727">
        <f t="shared" ca="1" si="1"/>
        <v>12</v>
      </c>
      <c r="T2" s="2727">
        <f t="shared" ca="1" si="1"/>
        <v>4</v>
      </c>
      <c r="U2" s="2727">
        <f t="shared" ca="1" si="1"/>
        <v>4</v>
      </c>
      <c r="V2" s="2727">
        <f t="shared" ca="1" si="1"/>
        <v>40</v>
      </c>
      <c r="W2" s="2727">
        <f t="shared" ca="1" si="1"/>
        <v>12</v>
      </c>
      <c r="X2" s="2727">
        <f t="shared" ca="1" si="1"/>
        <v>12</v>
      </c>
      <c r="Y2" s="2727">
        <f t="shared" ca="1" si="1"/>
        <v>12</v>
      </c>
      <c r="Z2" s="2727">
        <f t="shared" ca="1" si="1"/>
        <v>20</v>
      </c>
      <c r="AA2" s="2727">
        <f t="shared" ca="1" si="1"/>
        <v>12</v>
      </c>
      <c r="AB2" s="2727">
        <f t="shared" ca="1" si="1"/>
        <v>12</v>
      </c>
      <c r="AC2" s="7723"/>
      <c r="AD2" s="2730">
        <v>1</v>
      </c>
    </row>
    <row r="3" spans="1:30" ht="22.5">
      <c r="B3" s="2728">
        <v>6</v>
      </c>
      <c r="C3" s="2728">
        <v>4</v>
      </c>
      <c r="D3" s="2728">
        <v>40</v>
      </c>
      <c r="E3" s="2728">
        <v>10</v>
      </c>
      <c r="F3" s="2728">
        <v>12</v>
      </c>
      <c r="G3" s="2728">
        <v>12</v>
      </c>
      <c r="H3" s="2728">
        <v>12</v>
      </c>
      <c r="I3" s="2728">
        <v>12</v>
      </c>
      <c r="J3" s="2728">
        <v>12</v>
      </c>
      <c r="K3" s="2728">
        <v>12</v>
      </c>
      <c r="L3" s="2728">
        <v>12</v>
      </c>
      <c r="M3" s="2728">
        <v>12</v>
      </c>
      <c r="N3" s="2728">
        <v>20</v>
      </c>
      <c r="O3" s="2728">
        <v>14</v>
      </c>
      <c r="P3" s="2728">
        <v>10</v>
      </c>
      <c r="Q3" s="2728">
        <v>12</v>
      </c>
      <c r="R3" s="2728">
        <v>12</v>
      </c>
      <c r="T3" s="2728">
        <v>4</v>
      </c>
      <c r="U3" s="2728">
        <v>4</v>
      </c>
      <c r="V3" s="2728">
        <v>40</v>
      </c>
      <c r="W3" s="2728">
        <v>12</v>
      </c>
      <c r="X3" s="2728">
        <v>12</v>
      </c>
      <c r="Y3" s="2728">
        <v>12</v>
      </c>
      <c r="Z3" s="2728">
        <v>20</v>
      </c>
      <c r="AA3" s="2728">
        <v>12</v>
      </c>
      <c r="AB3" s="2728">
        <v>12</v>
      </c>
      <c r="AC3" s="2729" t="s">
        <v>7036</v>
      </c>
      <c r="AD3" s="2730">
        <v>1</v>
      </c>
    </row>
    <row r="4" spans="1:30">
      <c r="AD4" s="2730">
        <v>1</v>
      </c>
    </row>
    <row r="5" spans="1:30" ht="12.75" customHeight="1">
      <c r="C5" s="7914" t="s">
        <v>1769</v>
      </c>
      <c r="D5" s="7914"/>
      <c r="E5" s="7914"/>
      <c r="F5" s="7914"/>
      <c r="G5" s="7914"/>
      <c r="H5" s="7914"/>
      <c r="I5" s="7914"/>
      <c r="J5" s="7914"/>
      <c r="K5" s="7914"/>
      <c r="L5" s="7914"/>
      <c r="M5" s="7914"/>
      <c r="N5" s="7914"/>
      <c r="O5" s="7914"/>
      <c r="P5" s="7914"/>
      <c r="Q5" s="7914"/>
      <c r="R5" s="7914"/>
      <c r="S5" s="7914"/>
      <c r="T5" s="7914"/>
      <c r="U5" s="7914"/>
      <c r="V5" s="7914"/>
      <c r="W5" s="7914"/>
      <c r="X5" s="7914"/>
      <c r="Y5" s="7914"/>
      <c r="Z5" s="7914"/>
      <c r="AA5" s="7914"/>
      <c r="AB5" s="7914"/>
      <c r="AD5" s="2730">
        <v>1</v>
      </c>
    </row>
    <row r="6" spans="1:30" ht="12.75" customHeight="1">
      <c r="C6" s="7914"/>
      <c r="D6" s="7914"/>
      <c r="E6" s="7914"/>
      <c r="F6" s="7914"/>
      <c r="G6" s="7914"/>
      <c r="H6" s="7914"/>
      <c r="I6" s="7914"/>
      <c r="J6" s="7914"/>
      <c r="K6" s="7914"/>
      <c r="L6" s="7914"/>
      <c r="M6" s="7914"/>
      <c r="N6" s="7914"/>
      <c r="O6" s="7914"/>
      <c r="P6" s="7914"/>
      <c r="Q6" s="7914"/>
      <c r="R6" s="7914"/>
      <c r="S6" s="7914"/>
      <c r="T6" s="7914"/>
      <c r="U6" s="7914"/>
      <c r="V6" s="7914"/>
      <c r="W6" s="7914"/>
      <c r="X6" s="7914"/>
      <c r="Y6" s="7914"/>
      <c r="Z6" s="7914"/>
      <c r="AA6" s="7914"/>
      <c r="AB6" s="7914"/>
      <c r="AD6" s="2730">
        <v>1</v>
      </c>
    </row>
    <row r="7" spans="1:30" ht="12.75" customHeight="1">
      <c r="C7" s="7914"/>
      <c r="D7" s="7914"/>
      <c r="E7" s="7914"/>
      <c r="F7" s="7914"/>
      <c r="G7" s="7914"/>
      <c r="H7" s="7914"/>
      <c r="I7" s="7914"/>
      <c r="J7" s="7914"/>
      <c r="K7" s="7914"/>
      <c r="L7" s="7914"/>
      <c r="M7" s="7914"/>
      <c r="N7" s="7914"/>
      <c r="O7" s="7914"/>
      <c r="P7" s="7914"/>
      <c r="Q7" s="7914"/>
      <c r="R7" s="7914"/>
      <c r="S7" s="7914"/>
      <c r="T7" s="7914"/>
      <c r="U7" s="7914"/>
      <c r="V7" s="7914"/>
      <c r="W7" s="7914"/>
      <c r="X7" s="7914"/>
      <c r="Y7" s="7914"/>
      <c r="Z7" s="7914"/>
      <c r="AA7" s="7914"/>
      <c r="AB7" s="7914"/>
      <c r="AD7" s="2730">
        <v>1</v>
      </c>
    </row>
    <row r="8" spans="1:30" ht="24" customHeight="1" thickBot="1">
      <c r="AB8" s="2769" t="s">
        <v>7044</v>
      </c>
      <c r="AC8" s="2926" t="str">
        <f>$AD$159</f>
        <v>AD159</v>
      </c>
      <c r="AD8" s="2730">
        <v>1</v>
      </c>
    </row>
    <row r="9" spans="1:30" ht="19.5" thickBot="1">
      <c r="C9" s="1097" t="s">
        <v>1775</v>
      </c>
      <c r="D9" s="1098"/>
      <c r="E9" s="1098"/>
      <c r="F9" s="1098"/>
      <c r="G9" s="1098"/>
      <c r="H9" s="7917" t="s">
        <v>1280</v>
      </c>
      <c r="I9" s="7917"/>
      <c r="J9" s="7868"/>
      <c r="K9" s="7868"/>
      <c r="L9" s="7868"/>
      <c r="M9" s="7868"/>
      <c r="N9" s="7868"/>
      <c r="O9" s="7868"/>
      <c r="P9" s="7868"/>
      <c r="Q9" s="7868"/>
      <c r="R9" s="7869"/>
      <c r="U9" s="1097" t="s">
        <v>1775</v>
      </c>
      <c r="V9" s="1098"/>
      <c r="W9" s="7917" t="s">
        <v>1280</v>
      </c>
      <c r="X9" s="7868"/>
      <c r="Y9" s="7868"/>
      <c r="Z9" s="7868"/>
      <c r="AA9" s="7868"/>
      <c r="AB9" s="7869"/>
      <c r="AD9" s="2730">
        <v>1</v>
      </c>
    </row>
    <row r="10" spans="1:30" ht="13.5" thickBot="1">
      <c r="AD10" s="2730">
        <v>1</v>
      </c>
    </row>
    <row r="11" spans="1:30" ht="18.75" customHeight="1">
      <c r="B11" s="2933" t="s">
        <v>67</v>
      </c>
      <c r="C11" s="7729" t="s">
        <v>1902</v>
      </c>
      <c r="D11" s="7729"/>
      <c r="E11" s="7729"/>
      <c r="F11" s="7729"/>
      <c r="G11" s="7729"/>
      <c r="H11" s="7729"/>
      <c r="I11" s="7729"/>
      <c r="J11" s="7729"/>
      <c r="K11" s="7729"/>
      <c r="L11" s="7729"/>
      <c r="M11" s="7729"/>
      <c r="N11" s="7729"/>
      <c r="O11" s="7729"/>
      <c r="P11" s="7729"/>
      <c r="Q11" s="7729"/>
      <c r="R11" s="7731" t="s">
        <v>65</v>
      </c>
      <c r="T11" s="2744" t="s">
        <v>67</v>
      </c>
      <c r="U11" s="7859" t="str">
        <f>C11</f>
        <v>ETAPE 1 : Sorbet bergamote à la coriandre et à l'estragon</v>
      </c>
      <c r="V11" s="7859"/>
      <c r="W11" s="7859"/>
      <c r="X11" s="7859"/>
      <c r="Y11" s="7859"/>
      <c r="Z11" s="7859"/>
      <c r="AA11" s="7859"/>
      <c r="AB11" s="7861" t="str">
        <f>R11</f>
        <v>N°1</v>
      </c>
      <c r="AD11" s="2730">
        <v>1</v>
      </c>
    </row>
    <row r="12" spans="1:30" ht="18.75" customHeight="1">
      <c r="B12" s="2928" t="s">
        <v>337</v>
      </c>
      <c r="C12" s="7730"/>
      <c r="D12" s="7730"/>
      <c r="E12" s="7730"/>
      <c r="F12" s="7730"/>
      <c r="G12" s="7730"/>
      <c r="H12" s="7730"/>
      <c r="I12" s="7730"/>
      <c r="J12" s="7730"/>
      <c r="K12" s="7730"/>
      <c r="L12" s="7730"/>
      <c r="M12" s="7730"/>
      <c r="N12" s="7730"/>
      <c r="O12" s="7730"/>
      <c r="P12" s="7730"/>
      <c r="Q12" s="7730"/>
      <c r="R12" s="7732"/>
      <c r="T12" s="2928" t="s">
        <v>337</v>
      </c>
      <c r="U12" s="7860"/>
      <c r="V12" s="7860"/>
      <c r="W12" s="7860"/>
      <c r="X12" s="7860"/>
      <c r="Y12" s="7860"/>
      <c r="Z12" s="7860"/>
      <c r="AA12" s="7860"/>
      <c r="AB12" s="7862"/>
      <c r="AD12" s="2730">
        <v>1</v>
      </c>
    </row>
    <row r="13" spans="1:30" ht="18.75">
      <c r="B13" s="2928" t="s">
        <v>337</v>
      </c>
      <c r="C13" s="7733" t="s">
        <v>1903</v>
      </c>
      <c r="D13" s="7733"/>
      <c r="E13" s="7733"/>
      <c r="F13" s="7733"/>
      <c r="G13" s="7733"/>
      <c r="H13" s="7733"/>
      <c r="I13" s="7733"/>
      <c r="J13" s="7733"/>
      <c r="K13" s="7733"/>
      <c r="L13" s="7733"/>
      <c r="M13" s="7733"/>
      <c r="N13" s="7733"/>
      <c r="O13" s="7733"/>
      <c r="P13" s="7733"/>
      <c r="Q13" s="7733"/>
      <c r="R13" s="7734"/>
      <c r="T13" s="2928" t="s">
        <v>337</v>
      </c>
      <c r="U13" s="7863" t="str">
        <f>C13</f>
        <v>AUTEUR  : Christian FRECHEDE  lycée hôtelier de La Rochelle</v>
      </c>
      <c r="V13" s="7863"/>
      <c r="W13" s="7863"/>
      <c r="X13" s="7863"/>
      <c r="Y13" s="7863"/>
      <c r="Z13" s="7863"/>
      <c r="AA13" s="7863"/>
      <c r="AB13" s="7864"/>
      <c r="AD13" s="2730">
        <v>1</v>
      </c>
    </row>
    <row r="14" spans="1:30" ht="18.75" customHeight="1">
      <c r="B14" s="2928" t="s">
        <v>337</v>
      </c>
      <c r="C14" s="2735"/>
      <c r="D14" s="34"/>
      <c r="E14" s="34"/>
      <c r="F14" s="34"/>
      <c r="G14" s="34"/>
      <c r="H14" s="1065"/>
      <c r="I14" s="1065"/>
      <c r="J14" s="7918" t="s">
        <v>1772</v>
      </c>
      <c r="K14" s="7918"/>
      <c r="L14" s="7918"/>
      <c r="M14" s="7918"/>
      <c r="N14" s="7726">
        <v>1</v>
      </c>
      <c r="O14" s="7726"/>
      <c r="P14" s="7726"/>
      <c r="Q14" s="1067"/>
      <c r="R14" s="1068"/>
      <c r="T14" s="2928" t="s">
        <v>337</v>
      </c>
      <c r="U14" s="1088"/>
      <c r="V14" s="1088"/>
      <c r="W14" s="1088"/>
      <c r="X14" s="1088"/>
      <c r="Y14" s="1088"/>
      <c r="Z14" s="1088"/>
      <c r="AA14" s="1088"/>
      <c r="AB14" s="1089"/>
      <c r="AD14" s="2730">
        <v>1</v>
      </c>
    </row>
    <row r="15" spans="1:30" ht="18.75" customHeight="1">
      <c r="B15" s="2928" t="s">
        <v>337</v>
      </c>
      <c r="C15" s="2735"/>
      <c r="D15" s="34"/>
      <c r="E15" s="34"/>
      <c r="F15" s="34"/>
      <c r="G15" s="34"/>
      <c r="H15" s="1065"/>
      <c r="I15" s="1065"/>
      <c r="J15" s="7918"/>
      <c r="K15" s="7918"/>
      <c r="L15" s="7918"/>
      <c r="M15" s="7918"/>
      <c r="N15" s="7726"/>
      <c r="O15" s="7726"/>
      <c r="P15" s="7726"/>
      <c r="Q15" s="1067"/>
      <c r="R15" s="1068"/>
      <c r="T15" s="2928" t="s">
        <v>337</v>
      </c>
      <c r="U15" s="2739"/>
      <c r="V15" s="1090" t="s">
        <v>1</v>
      </c>
      <c r="W15" s="11">
        <v>2</v>
      </c>
      <c r="X15" s="1091"/>
      <c r="Y15" s="1091"/>
      <c r="Z15" s="1090" t="s">
        <v>0</v>
      </c>
      <c r="AA15" s="11">
        <v>2</v>
      </c>
      <c r="AB15" s="1092"/>
      <c r="AD15" s="2730">
        <v>1</v>
      </c>
    </row>
    <row r="16" spans="1:30" ht="18.75">
      <c r="B16" s="2928" t="s">
        <v>337</v>
      </c>
      <c r="C16" s="7919" t="s">
        <v>1253</v>
      </c>
      <c r="D16" s="7920"/>
      <c r="E16" s="7707" t="s">
        <v>16246</v>
      </c>
      <c r="F16" s="1467" t="s">
        <v>59</v>
      </c>
      <c r="G16" s="1468" t="s">
        <v>58</v>
      </c>
      <c r="H16" s="1469" t="s">
        <v>61</v>
      </c>
      <c r="I16" s="1470"/>
      <c r="J16" s="7921" t="s">
        <v>1282</v>
      </c>
      <c r="K16" s="7922"/>
      <c r="L16" s="7922"/>
      <c r="M16" s="1471" t="s">
        <v>19</v>
      </c>
      <c r="N16" s="7923" t="s">
        <v>1774</v>
      </c>
      <c r="O16" s="7923"/>
      <c r="P16" s="7923"/>
      <c r="Q16" s="1472" t="s">
        <v>1781</v>
      </c>
      <c r="R16" s="1473" t="s">
        <v>1254</v>
      </c>
      <c r="T16" s="2928" t="s">
        <v>337</v>
      </c>
      <c r="U16" s="2736">
        <v>0</v>
      </c>
      <c r="V16" s="2737" t="s">
        <v>7038</v>
      </c>
      <c r="W16" s="2737"/>
      <c r="X16" s="1095"/>
      <c r="Y16" s="1095"/>
      <c r="Z16" s="1093"/>
      <c r="AA16" s="1094"/>
      <c r="AB16" s="2747"/>
      <c r="AD16" s="2730">
        <v>1</v>
      </c>
    </row>
    <row r="17" spans="2:30" ht="18.75">
      <c r="B17" s="2928" t="s">
        <v>337</v>
      </c>
      <c r="C17" s="2941">
        <v>1</v>
      </c>
      <c r="D17" s="1474" t="s">
        <v>1904</v>
      </c>
      <c r="E17" s="7704" t="s">
        <v>10486</v>
      </c>
      <c r="F17" s="1475"/>
      <c r="G17" s="1475"/>
      <c r="H17" s="1476">
        <v>3.0000000000000001E-3</v>
      </c>
      <c r="I17" s="1477">
        <f t="shared" ref="I17:I55" si="2">IF(ISBLANK(F17),H17,(H17*F17))</f>
        <v>3.0000000000000001E-3</v>
      </c>
      <c r="J17" s="2940">
        <f>I17/I56*1000</f>
        <v>1.1090573012939002</v>
      </c>
      <c r="K17" s="1478">
        <f>(F17/I56)*K56</f>
        <v>0</v>
      </c>
      <c r="L17" s="1478">
        <f>G17</f>
        <v>0</v>
      </c>
      <c r="M17" s="1479">
        <f>I17/I56</f>
        <v>1.1090573012939003E-3</v>
      </c>
      <c r="N17" s="1025">
        <f>M17*N14</f>
        <v>1.1090573012939003E-3</v>
      </c>
      <c r="O17" s="1480">
        <f>(F17/I56)*N56</f>
        <v>0</v>
      </c>
      <c r="P17" s="1025">
        <f>G17</f>
        <v>0</v>
      </c>
      <c r="Q17" s="1481">
        <v>0.13</v>
      </c>
      <c r="R17" s="1482">
        <f>IF(N17=0,O17*Q17,N17*Q17)</f>
        <v>1.4417744916820705E-4</v>
      </c>
      <c r="T17" s="2928" t="s">
        <v>337</v>
      </c>
      <c r="U17" s="2736" t="str">
        <f>IF(ISBLANK(V17),"",LARGE(U16:U16,1)+1)</f>
        <v/>
      </c>
      <c r="V17" s="2748"/>
      <c r="W17" s="2748"/>
      <c r="X17" s="2749"/>
      <c r="Y17" s="2749"/>
      <c r="Z17" s="2749"/>
      <c r="AA17" s="2749"/>
      <c r="AB17" s="2750"/>
      <c r="AD17" s="2730">
        <v>1</v>
      </c>
    </row>
    <row r="18" spans="2:30" ht="18.75">
      <c r="B18" s="2738" t="str">
        <f t="shared" ref="B18" si="3">IF(D18&lt;&gt;"","A","►")</f>
        <v>A</v>
      </c>
      <c r="C18" s="2734">
        <f>LARGE(C17:C17,1)+1</f>
        <v>2</v>
      </c>
      <c r="D18" s="1075" t="s">
        <v>1905</v>
      </c>
      <c r="E18" s="7704" t="s">
        <v>10486</v>
      </c>
      <c r="F18" s="1483">
        <v>1</v>
      </c>
      <c r="G18" s="1483" t="s">
        <v>1906</v>
      </c>
      <c r="H18" s="1484">
        <v>0.5</v>
      </c>
      <c r="I18" s="1485">
        <f t="shared" si="2"/>
        <v>0.5</v>
      </c>
      <c r="J18" s="2939">
        <f>I18/I56*1000</f>
        <v>184.84288354898339</v>
      </c>
      <c r="K18" s="1486">
        <f>(F18/I56)*K57</f>
        <v>0</v>
      </c>
      <c r="L18" s="1486" t="str">
        <f t="shared" ref="L18:L55" si="4">G18</f>
        <v>pièce</v>
      </c>
      <c r="M18" s="1030">
        <f>I18/I56</f>
        <v>0.1848428835489834</v>
      </c>
      <c r="N18" s="1031">
        <f>M18*N14</f>
        <v>0.1848428835489834</v>
      </c>
      <c r="O18" s="1487">
        <f>(F18/I56)*N56</f>
        <v>0.36968576709796686</v>
      </c>
      <c r="P18" s="1487" t="str">
        <f t="shared" ref="P18:P55" si="5">G18</f>
        <v>pièce</v>
      </c>
      <c r="Q18" s="1032">
        <v>3.3</v>
      </c>
      <c r="R18" s="1033">
        <f t="shared" ref="R18:R55" si="6">IF(N18=0,O18*Q18,N18*Q18)</f>
        <v>0.60998151571164516</v>
      </c>
      <c r="T18" s="2928" t="s">
        <v>337</v>
      </c>
      <c r="U18" s="2736" t="str">
        <f>IF(ISBLANK(V18),"",LARGE(U16:U17,1)+1)</f>
        <v/>
      </c>
      <c r="V18" s="2748"/>
      <c r="W18" s="2748"/>
      <c r="X18" s="491"/>
      <c r="Y18" s="491"/>
      <c r="Z18" s="491"/>
      <c r="AA18" s="491"/>
      <c r="AB18" s="2752"/>
      <c r="AD18" s="2730">
        <v>1</v>
      </c>
    </row>
    <row r="19" spans="2:30" ht="18.75">
      <c r="B19" s="2738" t="str">
        <f>IF(D19&lt;&gt;"","A","►")</f>
        <v>A</v>
      </c>
      <c r="C19" s="2733">
        <f>LARGE(C17:C18,1)+1</f>
        <v>3</v>
      </c>
      <c r="D19" s="1474" t="s">
        <v>814</v>
      </c>
      <c r="E19" s="7704" t="s">
        <v>10486</v>
      </c>
      <c r="F19" s="1475">
        <v>1</v>
      </c>
      <c r="G19" s="1475" t="s">
        <v>1906</v>
      </c>
      <c r="H19" s="1476"/>
      <c r="I19" s="1488">
        <f t="shared" si="2"/>
        <v>0</v>
      </c>
      <c r="J19" s="2940">
        <f>I19/I56*1000</f>
        <v>0</v>
      </c>
      <c r="K19" s="1489">
        <f>(F19/I56)*K58</f>
        <v>0</v>
      </c>
      <c r="L19" s="1489" t="str">
        <f t="shared" si="4"/>
        <v>pièce</v>
      </c>
      <c r="M19" s="1024">
        <f>I19/I56</f>
        <v>0</v>
      </c>
      <c r="N19" s="1034">
        <f>M19*N14</f>
        <v>0</v>
      </c>
      <c r="O19" s="1490">
        <f>(F19/I56)*N56</f>
        <v>0.36968576709796686</v>
      </c>
      <c r="P19" s="1490" t="str">
        <f t="shared" si="5"/>
        <v>pièce</v>
      </c>
      <c r="Q19" s="1026">
        <v>0.62</v>
      </c>
      <c r="R19" s="1027">
        <f t="shared" si="6"/>
        <v>0.22920517560073944</v>
      </c>
      <c r="T19" s="2751" t="str">
        <f t="shared" ref="T19:T48" si="7">IF(COUNTA(V19:AB19)&gt;0, "A", "►")</f>
        <v>►</v>
      </c>
      <c r="U19" s="2736" t="str">
        <f>IF(ISBLANK(V19),"",LARGE(U16:U18,1)+1)</f>
        <v/>
      </c>
      <c r="V19" s="2748"/>
      <c r="W19" s="2748"/>
      <c r="X19" s="491"/>
      <c r="Y19" s="491"/>
      <c r="Z19" s="491"/>
      <c r="AA19" s="491"/>
      <c r="AB19" s="2752"/>
      <c r="AD19" s="2730">
        <v>1</v>
      </c>
    </row>
    <row r="20" spans="2:30" ht="18.75">
      <c r="B20" s="2738" t="str">
        <f t="shared" ref="B20:B54" si="8">IF(D20&lt;&gt;"","A","►")</f>
        <v>A</v>
      </c>
      <c r="C20" s="2734">
        <f>LARGE(C17:C19,1)+1</f>
        <v>4</v>
      </c>
      <c r="D20" s="1075" t="s">
        <v>1907</v>
      </c>
      <c r="E20" s="7704" t="s">
        <v>10486</v>
      </c>
      <c r="F20" s="1483">
        <v>1</v>
      </c>
      <c r="G20" s="1483" t="s">
        <v>128</v>
      </c>
      <c r="H20" s="1484"/>
      <c r="I20" s="1485">
        <f t="shared" si="2"/>
        <v>0</v>
      </c>
      <c r="J20" s="2939">
        <f>I20/I56*1000</f>
        <v>0</v>
      </c>
      <c r="K20" s="1486">
        <f>(F20/I56)*K59</f>
        <v>0</v>
      </c>
      <c r="L20" s="1486" t="str">
        <f t="shared" si="4"/>
        <v>botte</v>
      </c>
      <c r="M20" s="1030">
        <f>I20/I56</f>
        <v>0</v>
      </c>
      <c r="N20" s="1031">
        <f>M20*N14</f>
        <v>0</v>
      </c>
      <c r="O20" s="1487">
        <f>(F20/I56)*N56</f>
        <v>0.36968576709796686</v>
      </c>
      <c r="P20" s="1487" t="str">
        <f t="shared" si="5"/>
        <v>botte</v>
      </c>
      <c r="Q20" s="1032">
        <v>0.57999999999999996</v>
      </c>
      <c r="R20" s="1033">
        <f t="shared" si="6"/>
        <v>0.21441774491682075</v>
      </c>
      <c r="T20" s="2751" t="str">
        <f t="shared" si="7"/>
        <v>►</v>
      </c>
      <c r="U20" s="2736" t="str">
        <f>IF(ISBLANK(V20),"",LARGE(U16:U19,1)+1)</f>
        <v/>
      </c>
      <c r="V20" s="2748"/>
      <c r="W20" s="2748"/>
      <c r="X20" s="491"/>
      <c r="Y20" s="491"/>
      <c r="Z20" s="491"/>
      <c r="AA20" s="491"/>
      <c r="AB20" s="2752"/>
      <c r="AD20" s="2730">
        <v>1</v>
      </c>
    </row>
    <row r="21" spans="2:30" ht="18.75">
      <c r="B21" s="2738" t="str">
        <f t="shared" si="8"/>
        <v>A</v>
      </c>
      <c r="C21" s="2733">
        <f>LARGE(C17:C20,1)+1</f>
        <v>5</v>
      </c>
      <c r="D21" s="1474" t="s">
        <v>1908</v>
      </c>
      <c r="E21" s="7704" t="s">
        <v>10486</v>
      </c>
      <c r="F21" s="1475"/>
      <c r="G21" s="1475"/>
      <c r="H21" s="1476">
        <v>0.05</v>
      </c>
      <c r="I21" s="1488">
        <f t="shared" si="2"/>
        <v>0.05</v>
      </c>
      <c r="J21" s="2940">
        <f>I21/I56*1000</f>
        <v>18.484288354898343</v>
      </c>
      <c r="K21" s="1489">
        <f>(F21/I56)*K60</f>
        <v>0</v>
      </c>
      <c r="L21" s="1489">
        <f t="shared" si="4"/>
        <v>0</v>
      </c>
      <c r="M21" s="1024">
        <f>I21/I56</f>
        <v>1.8484288354898341E-2</v>
      </c>
      <c r="N21" s="1034">
        <f>M21*N14</f>
        <v>1.8484288354898341E-2</v>
      </c>
      <c r="O21" s="1490">
        <f>(F21/I56)*N56</f>
        <v>0</v>
      </c>
      <c r="P21" s="1490">
        <f t="shared" si="5"/>
        <v>0</v>
      </c>
      <c r="Q21" s="1026">
        <v>7.0000000000000007E-2</v>
      </c>
      <c r="R21" s="1027">
        <f t="shared" si="6"/>
        <v>1.293900184842884E-3</v>
      </c>
      <c r="T21" s="2751" t="str">
        <f t="shared" si="7"/>
        <v>►</v>
      </c>
      <c r="U21" s="2736" t="str">
        <f>IF(ISBLANK(V21),"",LARGE(U16:U20,1)+1)</f>
        <v/>
      </c>
      <c r="V21" s="2748"/>
      <c r="W21" s="2748"/>
      <c r="X21" s="491"/>
      <c r="Y21" s="491"/>
      <c r="Z21" s="491"/>
      <c r="AA21" s="491"/>
      <c r="AB21" s="2752"/>
      <c r="AD21" s="2730">
        <v>1</v>
      </c>
    </row>
    <row r="22" spans="2:30" ht="18.75">
      <c r="B22" s="2738" t="str">
        <f t="shared" si="8"/>
        <v>A</v>
      </c>
      <c r="C22" s="2734">
        <f>LARGE(C17:C21,1)+1</f>
        <v>6</v>
      </c>
      <c r="D22" s="1075" t="s">
        <v>1909</v>
      </c>
      <c r="E22" s="7704" t="s">
        <v>10486</v>
      </c>
      <c r="F22" s="1483">
        <v>0.5</v>
      </c>
      <c r="G22" s="1483" t="s">
        <v>128</v>
      </c>
      <c r="H22" s="1484"/>
      <c r="I22" s="1485">
        <f t="shared" si="2"/>
        <v>0</v>
      </c>
      <c r="J22" s="2939">
        <f>I22/I56*1000</f>
        <v>0</v>
      </c>
      <c r="K22" s="1486">
        <f>(F22/I56)*K61</f>
        <v>0</v>
      </c>
      <c r="L22" s="1486" t="str">
        <f t="shared" si="4"/>
        <v>botte</v>
      </c>
      <c r="M22" s="1030">
        <f>I22/I56</f>
        <v>0</v>
      </c>
      <c r="N22" s="1031">
        <f>M22*N14</f>
        <v>0</v>
      </c>
      <c r="O22" s="1487">
        <f>(F22/I56)*N56</f>
        <v>0.18484288354898343</v>
      </c>
      <c r="P22" s="1487" t="str">
        <f t="shared" si="5"/>
        <v>botte</v>
      </c>
      <c r="Q22" s="1032">
        <v>0.28999999999999998</v>
      </c>
      <c r="R22" s="1033">
        <f t="shared" si="6"/>
        <v>5.3604436229205188E-2</v>
      </c>
      <c r="T22" s="2751" t="str">
        <f t="shared" si="7"/>
        <v>►</v>
      </c>
      <c r="U22" s="2736" t="str">
        <f>IF(ISBLANK(V22),"",LARGE(U16:U21,1)+1)</f>
        <v/>
      </c>
      <c r="V22" s="491"/>
      <c r="W22" s="491"/>
      <c r="X22" s="491"/>
      <c r="Y22" s="491"/>
      <c r="Z22" s="491"/>
      <c r="AA22" s="491"/>
      <c r="AB22" s="2752"/>
      <c r="AD22" s="2730">
        <v>1</v>
      </c>
    </row>
    <row r="23" spans="2:30" ht="18.75">
      <c r="B23" s="2738" t="str">
        <f t="shared" si="8"/>
        <v>A</v>
      </c>
      <c r="C23" s="2733">
        <f>LARGE(C17:C22,1)+1</f>
        <v>7</v>
      </c>
      <c r="D23" s="1474" t="s">
        <v>1910</v>
      </c>
      <c r="E23" s="7704" t="s">
        <v>10486</v>
      </c>
      <c r="F23" s="1475">
        <v>4</v>
      </c>
      <c r="G23" s="1475" t="s">
        <v>126</v>
      </c>
      <c r="H23" s="1476"/>
      <c r="I23" s="1488">
        <f t="shared" si="2"/>
        <v>0</v>
      </c>
      <c r="J23" s="2940">
        <f>I23/I56*1000</f>
        <v>0</v>
      </c>
      <c r="K23" s="1489">
        <f>(F23/I56)*K62</f>
        <v>0</v>
      </c>
      <c r="L23" s="1489" t="str">
        <f t="shared" si="4"/>
        <v>feuilles</v>
      </c>
      <c r="M23" s="1024">
        <f>I23/I56</f>
        <v>0</v>
      </c>
      <c r="N23" s="1034">
        <f>M23*N14</f>
        <v>0</v>
      </c>
      <c r="O23" s="1490">
        <f>(F23/I56)*N56</f>
        <v>1.4787430683918674</v>
      </c>
      <c r="P23" s="1490" t="str">
        <f t="shared" si="5"/>
        <v>feuilles</v>
      </c>
      <c r="Q23" s="1026">
        <v>0.35</v>
      </c>
      <c r="R23" s="1027">
        <f t="shared" si="6"/>
        <v>0.51756007393715353</v>
      </c>
      <c r="T23" s="2751" t="str">
        <f t="shared" si="7"/>
        <v>►</v>
      </c>
      <c r="U23" s="2736" t="str">
        <f>IF(ISBLANK(V23),"",LARGE(U16:U22,1)+1)</f>
        <v/>
      </c>
      <c r="V23" s="491"/>
      <c r="W23" s="491"/>
      <c r="X23" s="491"/>
      <c r="Y23" s="491"/>
      <c r="Z23" s="491"/>
      <c r="AA23" s="491"/>
      <c r="AB23" s="2752"/>
      <c r="AD23" s="2730">
        <v>1</v>
      </c>
    </row>
    <row r="24" spans="2:30" ht="18.75">
      <c r="B24" s="2738" t="str">
        <f t="shared" si="8"/>
        <v>A</v>
      </c>
      <c r="C24" s="2734">
        <f>LARGE(C17:C23,1)+1</f>
        <v>8</v>
      </c>
      <c r="D24" s="1075" t="s">
        <v>1911</v>
      </c>
      <c r="E24" s="7704" t="s">
        <v>10486</v>
      </c>
      <c r="F24" s="1483"/>
      <c r="G24" s="1483"/>
      <c r="H24" s="1484">
        <v>7.4999999999999997E-2</v>
      </c>
      <c r="I24" s="1485">
        <f t="shared" si="2"/>
        <v>7.4999999999999997E-2</v>
      </c>
      <c r="J24" s="2939">
        <f>I24/I56*1000</f>
        <v>27.726432532347509</v>
      </c>
      <c r="K24" s="1486">
        <f>(F24/I56)*K63</f>
        <v>0</v>
      </c>
      <c r="L24" s="1486">
        <f t="shared" si="4"/>
        <v>0</v>
      </c>
      <c r="M24" s="1030">
        <f>I24/I56</f>
        <v>2.7726432532347509E-2</v>
      </c>
      <c r="N24" s="1031">
        <f>M24*N14</f>
        <v>2.7726432532347509E-2</v>
      </c>
      <c r="O24" s="1487">
        <f>(F24/I56)*N56</f>
        <v>0</v>
      </c>
      <c r="P24" s="1487">
        <f t="shared" si="5"/>
        <v>0</v>
      </c>
      <c r="Q24" s="1032">
        <v>0.4</v>
      </c>
      <c r="R24" s="1033">
        <f t="shared" si="6"/>
        <v>1.1090573012939003E-2</v>
      </c>
      <c r="T24" s="2751" t="str">
        <f t="shared" si="7"/>
        <v>►</v>
      </c>
      <c r="U24" s="2736" t="str">
        <f>IF(ISBLANK(V24),"",LARGE(U16:U23,1)+1)</f>
        <v/>
      </c>
      <c r="V24" s="491"/>
      <c r="W24" s="491"/>
      <c r="X24" s="491"/>
      <c r="Y24" s="491"/>
      <c r="Z24" s="491"/>
      <c r="AA24" s="491"/>
      <c r="AB24" s="2752"/>
      <c r="AD24" s="2730">
        <v>1</v>
      </c>
    </row>
    <row r="25" spans="2:30" ht="18.75">
      <c r="B25" s="2738" t="str">
        <f t="shared" si="8"/>
        <v>A</v>
      </c>
      <c r="C25" s="2733">
        <f>LARGE(C17:C24,1)+1</f>
        <v>9</v>
      </c>
      <c r="D25" s="1474" t="s">
        <v>1912</v>
      </c>
      <c r="E25" s="7704" t="s">
        <v>10486</v>
      </c>
      <c r="F25" s="1475"/>
      <c r="G25" s="1475"/>
      <c r="H25" s="1476">
        <v>0.12</v>
      </c>
      <c r="I25" s="1488">
        <f t="shared" si="2"/>
        <v>0.12</v>
      </c>
      <c r="J25" s="2940">
        <f>I25/I56*1000</f>
        <v>44.362292051756015</v>
      </c>
      <c r="K25" s="1489">
        <f>(F25/I56)*K64</f>
        <v>0</v>
      </c>
      <c r="L25" s="1489">
        <f t="shared" si="4"/>
        <v>0</v>
      </c>
      <c r="M25" s="1024">
        <f>I25/I56</f>
        <v>4.4362292051756014E-2</v>
      </c>
      <c r="N25" s="1034">
        <f>M25*N14</f>
        <v>4.4362292051756014E-2</v>
      </c>
      <c r="O25" s="1490">
        <f>(F25/I56)*N56</f>
        <v>0</v>
      </c>
      <c r="P25" s="1490">
        <f t="shared" si="5"/>
        <v>0</v>
      </c>
      <c r="Q25" s="1026">
        <v>1.1000000000000001</v>
      </c>
      <c r="R25" s="1027">
        <f t="shared" si="6"/>
        <v>4.8798521256931619E-2</v>
      </c>
      <c r="T25" s="2751" t="str">
        <f t="shared" si="7"/>
        <v>►</v>
      </c>
      <c r="U25" s="2736" t="str">
        <f>IF(ISBLANK(V25),"",LARGE(U16:U24,1)+1)</f>
        <v/>
      </c>
      <c r="V25" s="491"/>
      <c r="W25" s="491"/>
      <c r="X25" s="491"/>
      <c r="Y25" s="491"/>
      <c r="Z25" s="491"/>
      <c r="AA25" s="491"/>
      <c r="AB25" s="2752"/>
      <c r="AD25" s="2730">
        <v>1</v>
      </c>
    </row>
    <row r="26" spans="2:30" ht="18.75">
      <c r="B26" s="2738" t="str">
        <f t="shared" si="8"/>
        <v>A</v>
      </c>
      <c r="C26" s="2734">
        <f>LARGE(C17:C25,1)+1</f>
        <v>10</v>
      </c>
      <c r="D26" s="1075" t="s">
        <v>1913</v>
      </c>
      <c r="E26" s="7704" t="s">
        <v>10486</v>
      </c>
      <c r="F26" s="1483"/>
      <c r="G26" s="1483"/>
      <c r="H26" s="1484">
        <v>3.6999999999999998E-2</v>
      </c>
      <c r="I26" s="1485">
        <f t="shared" si="2"/>
        <v>3.6999999999999998E-2</v>
      </c>
      <c r="J26" s="2939">
        <f>I26/I56*1000</f>
        <v>13.67837338262477</v>
      </c>
      <c r="K26" s="1486">
        <f>(F26/I56)*K65</f>
        <v>0</v>
      </c>
      <c r="L26" s="1486">
        <f t="shared" si="4"/>
        <v>0</v>
      </c>
      <c r="M26" s="1030">
        <f>I26/I56</f>
        <v>1.3678373382624769E-2</v>
      </c>
      <c r="N26" s="1031">
        <f>M26*N14</f>
        <v>1.3678373382624769E-2</v>
      </c>
      <c r="O26" s="1487">
        <f>(F26/I56)*N56</f>
        <v>0</v>
      </c>
      <c r="P26" s="1487">
        <f t="shared" si="5"/>
        <v>0</v>
      </c>
      <c r="Q26" s="1032">
        <v>0.62</v>
      </c>
      <c r="R26" s="1033">
        <f t="shared" si="6"/>
        <v>8.4805914972273574E-3</v>
      </c>
      <c r="T26" s="2751" t="str">
        <f t="shared" si="7"/>
        <v>►</v>
      </c>
      <c r="U26" s="2736" t="str">
        <f>IF(ISBLANK(V26),"",LARGE(U16:U25,1)+1)</f>
        <v/>
      </c>
      <c r="V26" s="491"/>
      <c r="W26" s="491"/>
      <c r="X26" s="491"/>
      <c r="Y26" s="491"/>
      <c r="Z26" s="491"/>
      <c r="AA26" s="491"/>
      <c r="AB26" s="2752"/>
      <c r="AD26" s="2730">
        <v>1</v>
      </c>
    </row>
    <row r="27" spans="2:30" ht="18.75">
      <c r="B27" s="2738" t="str">
        <f t="shared" si="8"/>
        <v>A</v>
      </c>
      <c r="C27" s="2733">
        <f>LARGE(C17:C26,1)+1</f>
        <v>11</v>
      </c>
      <c r="D27" s="1474" t="s">
        <v>703</v>
      </c>
      <c r="E27" s="7704" t="s">
        <v>10486</v>
      </c>
      <c r="F27" s="1475">
        <v>1</v>
      </c>
      <c r="G27" s="1475" t="s">
        <v>1906</v>
      </c>
      <c r="H27" s="1476"/>
      <c r="I27" s="1488">
        <f t="shared" si="2"/>
        <v>0</v>
      </c>
      <c r="J27" s="2940">
        <f>I27/I56*1000</f>
        <v>0</v>
      </c>
      <c r="K27" s="1489">
        <f>(F27/I56)*K66</f>
        <v>0</v>
      </c>
      <c r="L27" s="1489" t="str">
        <f t="shared" si="4"/>
        <v>pièce</v>
      </c>
      <c r="M27" s="1024">
        <f>I27/I56</f>
        <v>0</v>
      </c>
      <c r="N27" s="1034">
        <f>M27*N14</f>
        <v>0</v>
      </c>
      <c r="O27" s="1490">
        <f>(F27/I56)*N56</f>
        <v>0.36968576709796686</v>
      </c>
      <c r="P27" s="1490" t="str">
        <f t="shared" si="5"/>
        <v>pièce</v>
      </c>
      <c r="Q27" s="1026">
        <v>3.5</v>
      </c>
      <c r="R27" s="1027">
        <f t="shared" si="6"/>
        <v>1.2939001848428839</v>
      </c>
      <c r="T27" s="2751" t="str">
        <f t="shared" si="7"/>
        <v>►</v>
      </c>
      <c r="U27" s="2736" t="str">
        <f>IF(ISBLANK(V27),"",LARGE(U16:U26,1)+1)</f>
        <v/>
      </c>
      <c r="V27" s="491"/>
      <c r="W27" s="491"/>
      <c r="X27" s="491"/>
      <c r="Y27" s="491"/>
      <c r="Z27" s="491"/>
      <c r="AA27" s="491"/>
      <c r="AB27" s="2752"/>
      <c r="AD27" s="2730">
        <v>1</v>
      </c>
    </row>
    <row r="28" spans="2:30" ht="18.75">
      <c r="B28" s="2738" t="str">
        <f t="shared" si="8"/>
        <v>A</v>
      </c>
      <c r="C28" s="2734">
        <f>LARGE(C17:C27,1)+1</f>
        <v>12</v>
      </c>
      <c r="D28" s="1075" t="s">
        <v>17876</v>
      </c>
      <c r="E28" s="7704" t="s">
        <v>17878</v>
      </c>
      <c r="F28" s="1483"/>
      <c r="G28" s="1483"/>
      <c r="H28" s="1484">
        <v>0.03</v>
      </c>
      <c r="I28" s="1485">
        <f t="shared" si="2"/>
        <v>0.03</v>
      </c>
      <c r="J28" s="2939">
        <f>I28/I56*1000</f>
        <v>11.090573012939004</v>
      </c>
      <c r="K28" s="1486">
        <f>(F28/I56)*K67</f>
        <v>0</v>
      </c>
      <c r="L28" s="1486">
        <f t="shared" si="4"/>
        <v>0</v>
      </c>
      <c r="M28" s="1030">
        <f>I28/I56</f>
        <v>1.1090573012939003E-2</v>
      </c>
      <c r="N28" s="1031">
        <f>M28*N14</f>
        <v>1.1090573012939003E-2</v>
      </c>
      <c r="O28" s="1487">
        <f>(F28/I56)*N56</f>
        <v>0</v>
      </c>
      <c r="P28" s="1487">
        <f t="shared" si="5"/>
        <v>0</v>
      </c>
      <c r="Q28" s="1032">
        <v>0.06</v>
      </c>
      <c r="R28" s="1033">
        <f t="shared" si="6"/>
        <v>6.6543438077634016E-4</v>
      </c>
      <c r="T28" s="2751" t="str">
        <f t="shared" si="7"/>
        <v>►</v>
      </c>
      <c r="U28" s="2736" t="str">
        <f>IF(ISBLANK(V28),"",LARGE(U16:U27,1)+1)</f>
        <v/>
      </c>
      <c r="V28" s="491"/>
      <c r="W28" s="491"/>
      <c r="X28" s="491"/>
      <c r="Y28" s="491"/>
      <c r="Z28" s="491"/>
      <c r="AA28" s="491"/>
      <c r="AB28" s="2752"/>
      <c r="AD28" s="2730">
        <v>1</v>
      </c>
    </row>
    <row r="29" spans="2:30" ht="18.75">
      <c r="B29" s="2738" t="str">
        <f t="shared" si="8"/>
        <v>A</v>
      </c>
      <c r="C29" s="2733">
        <f>LARGE(C17:C28,1)+1</f>
        <v>13</v>
      </c>
      <c r="D29" s="1474" t="s">
        <v>17877</v>
      </c>
      <c r="E29" s="7704" t="s">
        <v>17875</v>
      </c>
      <c r="F29" s="1475">
        <v>1</v>
      </c>
      <c r="G29" s="1475" t="s">
        <v>1916</v>
      </c>
      <c r="H29" s="1476"/>
      <c r="I29" s="1488">
        <f t="shared" si="2"/>
        <v>0</v>
      </c>
      <c r="J29" s="2940">
        <f>I29/I56*1000</f>
        <v>0</v>
      </c>
      <c r="K29" s="1489">
        <f>(F29/I56)*K68</f>
        <v>0</v>
      </c>
      <c r="L29" s="1489" t="str">
        <f t="shared" si="4"/>
        <v>œuf</v>
      </c>
      <c r="M29" s="1024">
        <f>I29/I56</f>
        <v>0</v>
      </c>
      <c r="N29" s="1034">
        <f>M29*N14</f>
        <v>0</v>
      </c>
      <c r="O29" s="1490">
        <f>(F29/I56)*N56</f>
        <v>0.36968576709796686</v>
      </c>
      <c r="P29" s="1490" t="str">
        <f t="shared" si="5"/>
        <v>œuf</v>
      </c>
      <c r="Q29" s="1026">
        <v>0.06</v>
      </c>
      <c r="R29" s="1027">
        <f t="shared" si="6"/>
        <v>2.218114602587801E-2</v>
      </c>
      <c r="T29" s="2751" t="str">
        <f t="shared" si="7"/>
        <v>►</v>
      </c>
      <c r="U29" s="2736" t="str">
        <f>IF(ISBLANK(V29),"",LARGE(U16:U28,1)+1)</f>
        <v/>
      </c>
      <c r="V29" s="491"/>
      <c r="W29" s="491"/>
      <c r="X29" s="491"/>
      <c r="Y29" s="491"/>
      <c r="Z29" s="491"/>
      <c r="AA29" s="491"/>
      <c r="AB29" s="2752"/>
      <c r="AD29" s="2730">
        <v>1</v>
      </c>
    </row>
    <row r="30" spans="2:30" ht="18.75">
      <c r="B30" s="2738" t="str">
        <f t="shared" si="8"/>
        <v>A</v>
      </c>
      <c r="C30" s="2734">
        <f>LARGE(C17:C29,1)+1</f>
        <v>14</v>
      </c>
      <c r="D30" s="1075" t="s">
        <v>1917</v>
      </c>
      <c r="E30" s="7704" t="s">
        <v>10486</v>
      </c>
      <c r="F30" s="1483"/>
      <c r="G30" s="1483" t="s">
        <v>1918</v>
      </c>
      <c r="H30" s="1484"/>
      <c r="I30" s="1485">
        <f t="shared" si="2"/>
        <v>0</v>
      </c>
      <c r="J30" s="2939">
        <f>I30/I56*1000</f>
        <v>0</v>
      </c>
      <c r="K30" s="1486">
        <f>(F30/I56)*K69</f>
        <v>0</v>
      </c>
      <c r="L30" s="1486" t="str">
        <f t="shared" si="4"/>
        <v>pm</v>
      </c>
      <c r="M30" s="1030">
        <f>I30/I56</f>
        <v>0</v>
      </c>
      <c r="N30" s="1031">
        <f>M30*N14</f>
        <v>0</v>
      </c>
      <c r="O30" s="1487">
        <f>(F30/I56)*N56</f>
        <v>0</v>
      </c>
      <c r="P30" s="1487" t="str">
        <f t="shared" si="5"/>
        <v>pm</v>
      </c>
      <c r="Q30" s="1032"/>
      <c r="R30" s="1033">
        <f t="shared" si="6"/>
        <v>0</v>
      </c>
      <c r="T30" s="2751" t="str">
        <f t="shared" si="7"/>
        <v>►</v>
      </c>
      <c r="U30" s="2736" t="str">
        <f>IF(ISBLANK(V30),"",LARGE(U16:U29,1)+1)</f>
        <v/>
      </c>
      <c r="V30" s="491"/>
      <c r="W30" s="491"/>
      <c r="X30" s="491"/>
      <c r="Y30" s="491"/>
      <c r="Z30" s="491"/>
      <c r="AA30" s="491"/>
      <c r="AB30" s="2752"/>
      <c r="AD30" s="2730">
        <v>1</v>
      </c>
    </row>
    <row r="31" spans="2:30" ht="18.75">
      <c r="B31" s="2738" t="str">
        <f t="shared" si="8"/>
        <v>A</v>
      </c>
      <c r="C31" s="2733">
        <f>LARGE(C17:C30,1)+1</f>
        <v>15</v>
      </c>
      <c r="D31" s="1474" t="s">
        <v>1919</v>
      </c>
      <c r="E31" s="7704" t="s">
        <v>10486</v>
      </c>
      <c r="F31" s="1475"/>
      <c r="G31" s="1475"/>
      <c r="H31" s="1476">
        <v>1</v>
      </c>
      <c r="I31" s="1488">
        <f t="shared" si="2"/>
        <v>1</v>
      </c>
      <c r="J31" s="2940">
        <f>I31/I56*1000</f>
        <v>369.68576709796679</v>
      </c>
      <c r="K31" s="1489">
        <f>(F31/I56)*K70</f>
        <v>0</v>
      </c>
      <c r="L31" s="1489">
        <f t="shared" si="4"/>
        <v>0</v>
      </c>
      <c r="M31" s="1024">
        <f>I31/I56</f>
        <v>0.3696857670979668</v>
      </c>
      <c r="N31" s="1034">
        <f>M31*N14</f>
        <v>0.3696857670979668</v>
      </c>
      <c r="O31" s="1490">
        <f>(F31/I56)*N56</f>
        <v>0</v>
      </c>
      <c r="P31" s="1490">
        <f t="shared" si="5"/>
        <v>0</v>
      </c>
      <c r="Q31" s="1026">
        <v>19.3</v>
      </c>
      <c r="R31" s="1027">
        <f t="shared" si="6"/>
        <v>7.1349353049907593</v>
      </c>
      <c r="T31" s="2751" t="str">
        <f t="shared" si="7"/>
        <v>►</v>
      </c>
      <c r="U31" s="2736" t="str">
        <f>IF(ISBLANK(V31),"",LARGE(U16:U30,1)+1)</f>
        <v/>
      </c>
      <c r="V31" s="491"/>
      <c r="W31" s="491"/>
      <c r="X31" s="491"/>
      <c r="Y31" s="491"/>
      <c r="Z31" s="491"/>
      <c r="AA31" s="491"/>
      <c r="AB31" s="2752"/>
      <c r="AD31" s="2730">
        <v>1</v>
      </c>
    </row>
    <row r="32" spans="2:30" ht="18.75">
      <c r="B32" s="2738" t="str">
        <f t="shared" si="8"/>
        <v>A</v>
      </c>
      <c r="C32" s="2734">
        <f>LARGE(C17:C31,1)+1</f>
        <v>16</v>
      </c>
      <c r="D32" s="1075" t="s">
        <v>1920</v>
      </c>
      <c r="E32" s="7704" t="s">
        <v>10486</v>
      </c>
      <c r="F32" s="1483">
        <v>0.5</v>
      </c>
      <c r="G32" s="1483" t="s">
        <v>1921</v>
      </c>
      <c r="H32" s="1484">
        <v>0.18</v>
      </c>
      <c r="I32" s="1485">
        <f t="shared" si="2"/>
        <v>0.09</v>
      </c>
      <c r="J32" s="2939">
        <f>I32/I56*1000</f>
        <v>33.271719038817011</v>
      </c>
      <c r="K32" s="1486">
        <f>(F32/I56)*K71</f>
        <v>0</v>
      </c>
      <c r="L32" s="1486" t="str">
        <f t="shared" si="4"/>
        <v>poireaux</v>
      </c>
      <c r="M32" s="1030">
        <f>I32/I56</f>
        <v>3.327171903881701E-2</v>
      </c>
      <c r="N32" s="1031">
        <f>M32*N14</f>
        <v>3.327171903881701E-2</v>
      </c>
      <c r="O32" s="1487">
        <f>(F32/I56)*N56</f>
        <v>0.18484288354898343</v>
      </c>
      <c r="P32" s="1487" t="str">
        <f t="shared" si="5"/>
        <v>poireaux</v>
      </c>
      <c r="Q32" s="1032">
        <v>0.7</v>
      </c>
      <c r="R32" s="1033">
        <f t="shared" si="6"/>
        <v>2.3290203327171907E-2</v>
      </c>
      <c r="T32" s="2751" t="str">
        <f t="shared" si="7"/>
        <v>►</v>
      </c>
      <c r="U32" s="2736" t="str">
        <f>IF(ISBLANK(V32),"",LARGE(U16:U31,1)+1)</f>
        <v/>
      </c>
      <c r="V32" s="491"/>
      <c r="W32" s="491"/>
      <c r="X32" s="491"/>
      <c r="Y32" s="491"/>
      <c r="Z32" s="491"/>
      <c r="AA32" s="491"/>
      <c r="AB32" s="2752"/>
      <c r="AD32" s="2730">
        <v>1</v>
      </c>
    </row>
    <row r="33" spans="2:30" ht="18.75">
      <c r="B33" s="2738" t="str">
        <f t="shared" si="8"/>
        <v>A</v>
      </c>
      <c r="C33" s="2733">
        <f>LARGE(C17:C32,1)+1</f>
        <v>17</v>
      </c>
      <c r="D33" s="1474" t="s">
        <v>1922</v>
      </c>
      <c r="E33" s="7704" t="s">
        <v>10486</v>
      </c>
      <c r="F33" s="1475"/>
      <c r="G33" s="1475"/>
      <c r="H33" s="1476">
        <v>0.25</v>
      </c>
      <c r="I33" s="1488">
        <f t="shared" si="2"/>
        <v>0.25</v>
      </c>
      <c r="J33" s="2940">
        <f>I33/I56*1000</f>
        <v>92.421441774491697</v>
      </c>
      <c r="K33" s="1489">
        <f>(F33/I56)*K72</f>
        <v>0</v>
      </c>
      <c r="L33" s="1489">
        <f t="shared" si="4"/>
        <v>0</v>
      </c>
      <c r="M33" s="1024">
        <f>I33/I56</f>
        <v>9.24214417744917E-2</v>
      </c>
      <c r="N33" s="1034">
        <f>M33*N14</f>
        <v>9.24214417744917E-2</v>
      </c>
      <c r="O33" s="1490">
        <f>(F33/I56)*N56</f>
        <v>0</v>
      </c>
      <c r="P33" s="1490">
        <f t="shared" si="5"/>
        <v>0</v>
      </c>
      <c r="Q33" s="1026">
        <v>1.97</v>
      </c>
      <c r="R33" s="1027">
        <f t="shared" si="6"/>
        <v>0.18207024029574864</v>
      </c>
      <c r="T33" s="2751" t="str">
        <f t="shared" si="7"/>
        <v>►</v>
      </c>
      <c r="U33" s="2736" t="str">
        <f>IF(ISBLANK(V33),"",LARGE(U16:U32,1)+1)</f>
        <v/>
      </c>
      <c r="V33" s="491"/>
      <c r="W33" s="491"/>
      <c r="X33" s="491"/>
      <c r="Y33" s="491"/>
      <c r="Z33" s="491"/>
      <c r="AA33" s="491"/>
      <c r="AB33" s="2752"/>
      <c r="AD33" s="2730">
        <v>1</v>
      </c>
    </row>
    <row r="34" spans="2:30" ht="18.75">
      <c r="B34" s="2738" t="str">
        <f t="shared" si="8"/>
        <v>A</v>
      </c>
      <c r="C34" s="2734">
        <f>LARGE(C17:C33,1)+1</f>
        <v>18</v>
      </c>
      <c r="D34" s="1075" t="s">
        <v>1923</v>
      </c>
      <c r="E34" s="7704" t="s">
        <v>10486</v>
      </c>
      <c r="F34" s="1483"/>
      <c r="G34" s="1483"/>
      <c r="H34" s="1484">
        <v>0.4</v>
      </c>
      <c r="I34" s="1485">
        <f t="shared" si="2"/>
        <v>0.4</v>
      </c>
      <c r="J34" s="2939">
        <f>I34/I56*1000</f>
        <v>147.87430683918674</v>
      </c>
      <c r="K34" s="1486">
        <f>(F34/I56)*K73</f>
        <v>0</v>
      </c>
      <c r="L34" s="1486">
        <f t="shared" si="4"/>
        <v>0</v>
      </c>
      <c r="M34" s="1030">
        <f>I34/I56</f>
        <v>0.14787430683918673</v>
      </c>
      <c r="N34" s="1031">
        <f>M34*N14</f>
        <v>0.14787430683918673</v>
      </c>
      <c r="O34" s="1487">
        <f>(F34/I56)*N56</f>
        <v>0</v>
      </c>
      <c r="P34" s="1487">
        <f t="shared" si="5"/>
        <v>0</v>
      </c>
      <c r="Q34" s="1032">
        <v>4.12</v>
      </c>
      <c r="R34" s="1033">
        <f t="shared" si="6"/>
        <v>0.60924214417744937</v>
      </c>
      <c r="T34" s="2751" t="str">
        <f t="shared" si="7"/>
        <v>►</v>
      </c>
      <c r="U34" s="2736" t="str">
        <f>IF(ISBLANK(V34),"",LARGE(U16:U33,1)+1)</f>
        <v/>
      </c>
      <c r="V34" s="491"/>
      <c r="W34" s="491"/>
      <c r="X34" s="491"/>
      <c r="Y34" s="491"/>
      <c r="Z34" s="491"/>
      <c r="AA34" s="491"/>
      <c r="AB34" s="2752"/>
      <c r="AD34" s="2730">
        <v>1</v>
      </c>
    </row>
    <row r="35" spans="2:30" ht="18.75">
      <c r="B35" s="2738" t="str">
        <f t="shared" si="8"/>
        <v>A</v>
      </c>
      <c r="C35" s="2733">
        <f>LARGE(C17:C34,1)+1</f>
        <v>19</v>
      </c>
      <c r="D35" s="1474" t="s">
        <v>1924</v>
      </c>
      <c r="E35" s="7704" t="s">
        <v>10486</v>
      </c>
      <c r="F35" s="1475"/>
      <c r="G35" s="1475"/>
      <c r="H35" s="1476">
        <v>0.05</v>
      </c>
      <c r="I35" s="1488">
        <f t="shared" si="2"/>
        <v>0.05</v>
      </c>
      <c r="J35" s="2940">
        <f>I35/I56*1000</f>
        <v>18.484288354898343</v>
      </c>
      <c r="K35" s="1489">
        <f>(F35/I56)*K74</f>
        <v>0</v>
      </c>
      <c r="L35" s="1489">
        <f t="shared" si="4"/>
        <v>0</v>
      </c>
      <c r="M35" s="1024">
        <f>I35/I56</f>
        <v>1.8484288354898341E-2</v>
      </c>
      <c r="N35" s="1034">
        <f>M35*N14</f>
        <v>1.8484288354898341E-2</v>
      </c>
      <c r="O35" s="1490">
        <f>(F35/I56)*N56</f>
        <v>0</v>
      </c>
      <c r="P35" s="1490">
        <f t="shared" si="5"/>
        <v>0</v>
      </c>
      <c r="Q35" s="1026">
        <v>0.41</v>
      </c>
      <c r="R35" s="1027">
        <f t="shared" si="6"/>
        <v>7.5785582255083195E-3</v>
      </c>
      <c r="T35" s="2751" t="str">
        <f t="shared" si="7"/>
        <v>►</v>
      </c>
      <c r="U35" s="2736" t="str">
        <f>IF(ISBLANK(V35),"",LARGE(U16:U34,1)+1)</f>
        <v/>
      </c>
      <c r="V35" s="491"/>
      <c r="W35" s="491"/>
      <c r="X35" s="491"/>
      <c r="Y35" s="491"/>
      <c r="Z35" s="491"/>
      <c r="AA35" s="491"/>
      <c r="AB35" s="2752"/>
      <c r="AD35" s="2730">
        <v>1</v>
      </c>
    </row>
    <row r="36" spans="2:30" ht="18.75">
      <c r="B36" s="2738" t="str">
        <f t="shared" si="8"/>
        <v>A</v>
      </c>
      <c r="C36" s="2734">
        <f>LARGE(C17:C35,1)+1</f>
        <v>20</v>
      </c>
      <c r="D36" s="1075" t="s">
        <v>917</v>
      </c>
      <c r="E36" s="7704" t="s">
        <v>10486</v>
      </c>
      <c r="F36" s="1483"/>
      <c r="G36" s="1483"/>
      <c r="H36" s="1484">
        <v>0.05</v>
      </c>
      <c r="I36" s="1485">
        <f t="shared" si="2"/>
        <v>0.05</v>
      </c>
      <c r="J36" s="2939">
        <f>I36/I56*1000</f>
        <v>18.484288354898343</v>
      </c>
      <c r="K36" s="1486">
        <f>(F36/I56)*K75</f>
        <v>0</v>
      </c>
      <c r="L36" s="1486">
        <f t="shared" si="4"/>
        <v>0</v>
      </c>
      <c r="M36" s="1030">
        <f>I36/I56</f>
        <v>1.8484288354898341E-2</v>
      </c>
      <c r="N36" s="1031">
        <f>M36*N14</f>
        <v>1.8484288354898341E-2</v>
      </c>
      <c r="O36" s="1487">
        <f>(F36/I56)*N56</f>
        <v>0</v>
      </c>
      <c r="P36" s="1487">
        <f t="shared" si="5"/>
        <v>0</v>
      </c>
      <c r="Q36" s="1032">
        <v>0.11</v>
      </c>
      <c r="R36" s="1033">
        <f t="shared" si="6"/>
        <v>2.0332717190388178E-3</v>
      </c>
      <c r="T36" s="2751" t="str">
        <f t="shared" si="7"/>
        <v>►</v>
      </c>
      <c r="U36" s="2736" t="str">
        <f>IF(ISBLANK(V36),"",LARGE(U16:U35,1)+1)</f>
        <v/>
      </c>
      <c r="V36" s="491"/>
      <c r="W36" s="491"/>
      <c r="X36" s="491"/>
      <c r="Y36" s="491"/>
      <c r="Z36" s="491"/>
      <c r="AA36" s="491"/>
      <c r="AB36" s="2752"/>
      <c r="AD36" s="2730">
        <v>1</v>
      </c>
    </row>
    <row r="37" spans="2:30" ht="18.75">
      <c r="B37" s="2738" t="str">
        <f t="shared" si="8"/>
        <v>A</v>
      </c>
      <c r="C37" s="2733">
        <f>LARGE(C17:C36,1)+1</f>
        <v>21</v>
      </c>
      <c r="D37" s="1474" t="s">
        <v>1925</v>
      </c>
      <c r="E37" s="7704" t="s">
        <v>17879</v>
      </c>
      <c r="F37" s="1475"/>
      <c r="G37" s="1475"/>
      <c r="H37" s="1476">
        <v>0.03</v>
      </c>
      <c r="I37" s="1488">
        <f t="shared" si="2"/>
        <v>0.03</v>
      </c>
      <c r="J37" s="2940">
        <f>I37/I56*1000</f>
        <v>11.090573012939004</v>
      </c>
      <c r="K37" s="1489">
        <f>(F37/I56)*K76</f>
        <v>0</v>
      </c>
      <c r="L37" s="1489">
        <f t="shared" si="4"/>
        <v>0</v>
      </c>
      <c r="M37" s="1024">
        <f>I37/I56</f>
        <v>1.1090573012939003E-2</v>
      </c>
      <c r="N37" s="1034">
        <f>M37*N14</f>
        <v>1.1090573012939003E-2</v>
      </c>
      <c r="O37" s="1490">
        <f>(F37/I56)*N56</f>
        <v>0</v>
      </c>
      <c r="P37" s="1490">
        <f t="shared" si="5"/>
        <v>0</v>
      </c>
      <c r="Q37" s="1026">
        <v>0.15</v>
      </c>
      <c r="R37" s="1027">
        <f t="shared" si="6"/>
        <v>1.6635859519408506E-3</v>
      </c>
      <c r="T37" s="2751" t="str">
        <f t="shared" si="7"/>
        <v>►</v>
      </c>
      <c r="U37" s="2736" t="str">
        <f>IF(ISBLANK(V37),"",LARGE(U16:U36,1)+1)</f>
        <v/>
      </c>
      <c r="V37" s="491"/>
      <c r="W37" s="491"/>
      <c r="X37" s="491"/>
      <c r="Y37" s="491"/>
      <c r="Z37" s="491"/>
      <c r="AA37" s="491"/>
      <c r="AB37" s="2752"/>
      <c r="AD37" s="2730">
        <v>1</v>
      </c>
    </row>
    <row r="38" spans="2:30" ht="18.75">
      <c r="B38" s="2738" t="str">
        <f t="shared" si="8"/>
        <v>A</v>
      </c>
      <c r="C38" s="2734">
        <f>LARGE(C17:C37,1)+1</f>
        <v>22</v>
      </c>
      <c r="D38" s="1075" t="s">
        <v>1926</v>
      </c>
      <c r="E38" s="7704" t="s">
        <v>10486</v>
      </c>
      <c r="F38" s="1483"/>
      <c r="G38" s="1483"/>
      <c r="H38" s="1484">
        <v>0.02</v>
      </c>
      <c r="I38" s="1485">
        <f t="shared" si="2"/>
        <v>0.02</v>
      </c>
      <c r="J38" s="2939">
        <f>I38/I56*1000</f>
        <v>7.3937153419593358</v>
      </c>
      <c r="K38" s="1486">
        <f>(F38/I56)*K77</f>
        <v>0</v>
      </c>
      <c r="L38" s="1486">
        <f t="shared" si="4"/>
        <v>0</v>
      </c>
      <c r="M38" s="1030">
        <f>I38/I56</f>
        <v>7.3937153419593353E-3</v>
      </c>
      <c r="N38" s="1031">
        <f>M38*N14</f>
        <v>7.3937153419593353E-3</v>
      </c>
      <c r="O38" s="1487">
        <f>(F38/I56)*N56</f>
        <v>0</v>
      </c>
      <c r="P38" s="1487">
        <f t="shared" si="5"/>
        <v>0</v>
      </c>
      <c r="Q38" s="1032">
        <v>0.14000000000000001</v>
      </c>
      <c r="R38" s="1033">
        <f t="shared" si="6"/>
        <v>1.035120147874307E-3</v>
      </c>
      <c r="T38" s="2751" t="str">
        <f t="shared" si="7"/>
        <v>►</v>
      </c>
      <c r="U38" s="2736" t="str">
        <f>IF(ISBLANK(V38),"",LARGE(U16:U37,1)+1)</f>
        <v/>
      </c>
      <c r="V38" s="491"/>
      <c r="W38" s="491"/>
      <c r="X38" s="491"/>
      <c r="Y38" s="491"/>
      <c r="Z38" s="491"/>
      <c r="AA38" s="491"/>
      <c r="AB38" s="2752"/>
      <c r="AD38" s="2730">
        <v>1</v>
      </c>
    </row>
    <row r="39" spans="2:30" ht="18.75">
      <c r="B39" s="2738" t="str">
        <f t="shared" si="8"/>
        <v>►</v>
      </c>
      <c r="C39" s="2733">
        <f>LARGE(C17:C38,1)+1</f>
        <v>23</v>
      </c>
      <c r="D39" s="1074"/>
      <c r="E39" s="7704"/>
      <c r="F39" s="1475"/>
      <c r="G39" s="1475"/>
      <c r="H39" s="1476"/>
      <c r="I39" s="1488">
        <f t="shared" si="2"/>
        <v>0</v>
      </c>
      <c r="J39" s="2940">
        <f>I39/I56*1000</f>
        <v>0</v>
      </c>
      <c r="K39" s="1489">
        <f>(F39/I56)*K78</f>
        <v>0</v>
      </c>
      <c r="L39" s="1489">
        <f t="shared" si="4"/>
        <v>0</v>
      </c>
      <c r="M39" s="1024">
        <f>I39/I56</f>
        <v>0</v>
      </c>
      <c r="N39" s="1034">
        <f>M39*N14</f>
        <v>0</v>
      </c>
      <c r="O39" s="1490">
        <f>(F39/I56)*N56</f>
        <v>0</v>
      </c>
      <c r="P39" s="1490">
        <f t="shared" si="5"/>
        <v>0</v>
      </c>
      <c r="Q39" s="1026">
        <v>0</v>
      </c>
      <c r="R39" s="1027">
        <f t="shared" si="6"/>
        <v>0</v>
      </c>
      <c r="T39" s="2751" t="str">
        <f t="shared" si="7"/>
        <v>►</v>
      </c>
      <c r="U39" s="2736" t="str">
        <f>IF(ISBLANK(V39),"",LARGE(U16:U38,1)+1)</f>
        <v/>
      </c>
      <c r="V39" s="491"/>
      <c r="W39" s="491"/>
      <c r="X39" s="491"/>
      <c r="Y39" s="491"/>
      <c r="Z39" s="491"/>
      <c r="AA39" s="491"/>
      <c r="AB39" s="2752"/>
      <c r="AD39" s="2730">
        <v>1</v>
      </c>
    </row>
    <row r="40" spans="2:30" ht="18.75">
      <c r="B40" s="2738" t="str">
        <f t="shared" si="8"/>
        <v>►</v>
      </c>
      <c r="C40" s="2734">
        <f>LARGE(C17:C39,1)+1</f>
        <v>24</v>
      </c>
      <c r="D40" s="1075"/>
      <c r="E40" s="7704"/>
      <c r="F40" s="1483"/>
      <c r="G40" s="1483"/>
      <c r="H40" s="1484"/>
      <c r="I40" s="1485">
        <f t="shared" si="2"/>
        <v>0</v>
      </c>
      <c r="J40" s="2939">
        <f>I40/I56*1000</f>
        <v>0</v>
      </c>
      <c r="K40" s="1486">
        <f>(F40/I56)*K79</f>
        <v>0</v>
      </c>
      <c r="L40" s="1486">
        <f t="shared" si="4"/>
        <v>0</v>
      </c>
      <c r="M40" s="1030">
        <f>I40/I56</f>
        <v>0</v>
      </c>
      <c r="N40" s="1031">
        <f>M40*N14</f>
        <v>0</v>
      </c>
      <c r="O40" s="1487">
        <f>(F40/I56)*N56</f>
        <v>0</v>
      </c>
      <c r="P40" s="1487">
        <f t="shared" si="5"/>
        <v>0</v>
      </c>
      <c r="Q40" s="1032">
        <v>0</v>
      </c>
      <c r="R40" s="1033">
        <f t="shared" si="6"/>
        <v>0</v>
      </c>
      <c r="T40" s="2751" t="str">
        <f t="shared" si="7"/>
        <v>►</v>
      </c>
      <c r="U40" s="2736" t="str">
        <f>IF(ISBLANK(V40),"",LARGE(U16:U39,1)+1)</f>
        <v/>
      </c>
      <c r="V40" s="491"/>
      <c r="W40" s="491"/>
      <c r="X40" s="491"/>
      <c r="Y40" s="491"/>
      <c r="Z40" s="491"/>
      <c r="AA40" s="491"/>
      <c r="AB40" s="2752"/>
      <c r="AD40" s="2730">
        <v>1</v>
      </c>
    </row>
    <row r="41" spans="2:30" ht="18.75">
      <c r="B41" s="2738" t="str">
        <f t="shared" si="8"/>
        <v>►</v>
      </c>
      <c r="C41" s="2733">
        <f>LARGE(C17:C40,1)+1</f>
        <v>25</v>
      </c>
      <c r="D41" s="1074"/>
      <c r="E41" s="7704"/>
      <c r="F41" s="1475"/>
      <c r="G41" s="1475"/>
      <c r="H41" s="1476"/>
      <c r="I41" s="1488">
        <f t="shared" si="2"/>
        <v>0</v>
      </c>
      <c r="J41" s="2940">
        <f>I41/I56*1000</f>
        <v>0</v>
      </c>
      <c r="K41" s="1489">
        <f>(F41/I56)*K80</f>
        <v>0</v>
      </c>
      <c r="L41" s="1489">
        <f t="shared" si="4"/>
        <v>0</v>
      </c>
      <c r="M41" s="1024">
        <f>I41/I56</f>
        <v>0</v>
      </c>
      <c r="N41" s="1034">
        <f>M41*N14</f>
        <v>0</v>
      </c>
      <c r="O41" s="1490">
        <f>(F41/I56)*N56</f>
        <v>0</v>
      </c>
      <c r="P41" s="1490">
        <f t="shared" si="5"/>
        <v>0</v>
      </c>
      <c r="Q41" s="1026">
        <v>0</v>
      </c>
      <c r="R41" s="1027">
        <f t="shared" si="6"/>
        <v>0</v>
      </c>
      <c r="T41" s="2751" t="str">
        <f t="shared" si="7"/>
        <v>►</v>
      </c>
      <c r="U41" s="2736" t="str">
        <f>IF(ISBLANK(V41),"",LARGE(U16:U40,1)+1)</f>
        <v/>
      </c>
      <c r="V41" s="491"/>
      <c r="W41" s="491"/>
      <c r="X41" s="491"/>
      <c r="Y41" s="491"/>
      <c r="Z41" s="491"/>
      <c r="AA41" s="491"/>
      <c r="AB41" s="2752"/>
      <c r="AD41" s="2730">
        <v>1</v>
      </c>
    </row>
    <row r="42" spans="2:30" ht="18.75">
      <c r="B42" s="2738" t="str">
        <f t="shared" si="8"/>
        <v>►</v>
      </c>
      <c r="C42" s="2734">
        <f>LARGE(C17:C41,1)+1</f>
        <v>26</v>
      </c>
      <c r="D42" s="1075"/>
      <c r="E42" s="7704"/>
      <c r="F42" s="1483"/>
      <c r="G42" s="1483"/>
      <c r="H42" s="1484"/>
      <c r="I42" s="1485">
        <f t="shared" si="2"/>
        <v>0</v>
      </c>
      <c r="J42" s="2939">
        <f>I42/I56*1000</f>
        <v>0</v>
      </c>
      <c r="K42" s="1486">
        <f>(F42/I56)*K81</f>
        <v>0</v>
      </c>
      <c r="L42" s="1486">
        <f t="shared" si="4"/>
        <v>0</v>
      </c>
      <c r="M42" s="1030">
        <f>I42/I56</f>
        <v>0</v>
      </c>
      <c r="N42" s="1031">
        <f>M42*N14</f>
        <v>0</v>
      </c>
      <c r="O42" s="1487">
        <f>(F42/I56)*N56</f>
        <v>0</v>
      </c>
      <c r="P42" s="1487">
        <f t="shared" si="5"/>
        <v>0</v>
      </c>
      <c r="Q42" s="1032">
        <v>0</v>
      </c>
      <c r="R42" s="1033">
        <f t="shared" si="6"/>
        <v>0</v>
      </c>
      <c r="T42" s="2751" t="str">
        <f t="shared" si="7"/>
        <v>►</v>
      </c>
      <c r="U42" s="2736" t="str">
        <f>IF(ISBLANK(V42),"",LARGE(U16:U41,1)+1)</f>
        <v/>
      </c>
      <c r="V42" s="491"/>
      <c r="W42" s="491"/>
      <c r="X42" s="491"/>
      <c r="Y42" s="491"/>
      <c r="Z42" s="491"/>
      <c r="AA42" s="491"/>
      <c r="AB42" s="2752"/>
      <c r="AD42" s="2730">
        <v>1</v>
      </c>
    </row>
    <row r="43" spans="2:30" ht="18.75">
      <c r="B43" s="2738" t="str">
        <f t="shared" si="8"/>
        <v>►</v>
      </c>
      <c r="C43" s="2733">
        <f>LARGE(C17:C42,1)+1</f>
        <v>27</v>
      </c>
      <c r="D43" s="1074"/>
      <c r="E43" s="7704"/>
      <c r="F43" s="1475"/>
      <c r="G43" s="1475"/>
      <c r="H43" s="1476"/>
      <c r="I43" s="1488">
        <f t="shared" si="2"/>
        <v>0</v>
      </c>
      <c r="J43" s="2940">
        <f>I43/I56*1000</f>
        <v>0</v>
      </c>
      <c r="K43" s="1489">
        <f>(F43/I56)*K82</f>
        <v>0</v>
      </c>
      <c r="L43" s="1489">
        <f t="shared" si="4"/>
        <v>0</v>
      </c>
      <c r="M43" s="1024">
        <f>I43/I56</f>
        <v>0</v>
      </c>
      <c r="N43" s="1034">
        <f>M43*N14</f>
        <v>0</v>
      </c>
      <c r="O43" s="1490">
        <f>(F43/I56)*N56</f>
        <v>0</v>
      </c>
      <c r="P43" s="1490">
        <f t="shared" si="5"/>
        <v>0</v>
      </c>
      <c r="Q43" s="1026">
        <v>0</v>
      </c>
      <c r="R43" s="1027">
        <f t="shared" si="6"/>
        <v>0</v>
      </c>
      <c r="T43" s="2751" t="str">
        <f t="shared" si="7"/>
        <v>►</v>
      </c>
      <c r="U43" s="2736" t="str">
        <f>IF(ISBLANK(V43),"",LARGE(U16:U42,1)+1)</f>
        <v/>
      </c>
      <c r="V43" s="491"/>
      <c r="W43" s="491"/>
      <c r="X43" s="491"/>
      <c r="Y43" s="491"/>
      <c r="Z43" s="491"/>
      <c r="AA43" s="491"/>
      <c r="AB43" s="2752"/>
      <c r="AD43" s="2730">
        <v>1</v>
      </c>
    </row>
    <row r="44" spans="2:30" ht="18.75">
      <c r="B44" s="2738" t="str">
        <f t="shared" si="8"/>
        <v>►</v>
      </c>
      <c r="C44" s="2734">
        <f>LARGE(C17:C43,1)+1</f>
        <v>28</v>
      </c>
      <c r="D44" s="1075"/>
      <c r="E44" s="7704"/>
      <c r="F44" s="1483"/>
      <c r="G44" s="1483"/>
      <c r="H44" s="1484"/>
      <c r="I44" s="1485">
        <f t="shared" si="2"/>
        <v>0</v>
      </c>
      <c r="J44" s="2939">
        <f>I44/I56*1000</f>
        <v>0</v>
      </c>
      <c r="K44" s="1486">
        <f>(F44/I56)*K83</f>
        <v>0</v>
      </c>
      <c r="L44" s="1486">
        <f t="shared" si="4"/>
        <v>0</v>
      </c>
      <c r="M44" s="1030">
        <f>I44/I56</f>
        <v>0</v>
      </c>
      <c r="N44" s="1031">
        <f>M44*N14</f>
        <v>0</v>
      </c>
      <c r="O44" s="1487">
        <f>(F44/I56)*N56</f>
        <v>0</v>
      </c>
      <c r="P44" s="1487">
        <f t="shared" si="5"/>
        <v>0</v>
      </c>
      <c r="Q44" s="1032">
        <v>0</v>
      </c>
      <c r="R44" s="1033">
        <f t="shared" si="6"/>
        <v>0</v>
      </c>
      <c r="T44" s="2751" t="str">
        <f t="shared" si="7"/>
        <v>►</v>
      </c>
      <c r="U44" s="2736" t="str">
        <f>IF(ISBLANK(V44),"",LARGE(U16:U43,1)+1)</f>
        <v/>
      </c>
      <c r="V44" s="491"/>
      <c r="W44" s="491"/>
      <c r="X44" s="491"/>
      <c r="Y44" s="491"/>
      <c r="Z44" s="491"/>
      <c r="AA44" s="491"/>
      <c r="AB44" s="2752"/>
      <c r="AD44" s="2730">
        <v>1</v>
      </c>
    </row>
    <row r="45" spans="2:30" ht="18.75">
      <c r="B45" s="2738" t="str">
        <f t="shared" si="8"/>
        <v>►</v>
      </c>
      <c r="C45" s="2733">
        <f>LARGE(C17:C44,1)+1</f>
        <v>29</v>
      </c>
      <c r="D45" s="1074"/>
      <c r="E45" s="7704"/>
      <c r="F45" s="1475"/>
      <c r="G45" s="1475"/>
      <c r="H45" s="1476"/>
      <c r="I45" s="1488">
        <f t="shared" si="2"/>
        <v>0</v>
      </c>
      <c r="J45" s="2940">
        <f>I45/I56*1000</f>
        <v>0</v>
      </c>
      <c r="K45" s="1489">
        <f>(F45/I56)*K84</f>
        <v>0</v>
      </c>
      <c r="L45" s="1489">
        <f t="shared" si="4"/>
        <v>0</v>
      </c>
      <c r="M45" s="1024">
        <f>I45/I56</f>
        <v>0</v>
      </c>
      <c r="N45" s="1034">
        <f>M45*N14</f>
        <v>0</v>
      </c>
      <c r="O45" s="1490">
        <f>(F45/I56)*N56</f>
        <v>0</v>
      </c>
      <c r="P45" s="1490">
        <f t="shared" si="5"/>
        <v>0</v>
      </c>
      <c r="Q45" s="1026">
        <v>0</v>
      </c>
      <c r="R45" s="1027">
        <f t="shared" si="6"/>
        <v>0</v>
      </c>
      <c r="T45" s="2751" t="str">
        <f t="shared" si="7"/>
        <v>►</v>
      </c>
      <c r="U45" s="2736" t="str">
        <f>IF(ISBLANK(V45),"",LARGE(U16:U44,1)+1)</f>
        <v/>
      </c>
      <c r="V45" s="491"/>
      <c r="W45" s="491"/>
      <c r="X45" s="491"/>
      <c r="Y45" s="491"/>
      <c r="Z45" s="491"/>
      <c r="AA45" s="491"/>
      <c r="AB45" s="2752"/>
      <c r="AD45" s="2730">
        <v>1</v>
      </c>
    </row>
    <row r="46" spans="2:30" ht="18.75">
      <c r="B46" s="2738" t="str">
        <f t="shared" si="8"/>
        <v>►</v>
      </c>
      <c r="C46" s="2734">
        <f>LARGE(C17:C45,1)+1</f>
        <v>30</v>
      </c>
      <c r="D46" s="1075"/>
      <c r="E46" s="7704"/>
      <c r="F46" s="1483"/>
      <c r="G46" s="1483"/>
      <c r="H46" s="1484"/>
      <c r="I46" s="1485">
        <f t="shared" si="2"/>
        <v>0</v>
      </c>
      <c r="J46" s="2939">
        <f>I46/I56*1000</f>
        <v>0</v>
      </c>
      <c r="K46" s="1486">
        <f>(F46/I56)*K85</f>
        <v>0</v>
      </c>
      <c r="L46" s="1486">
        <f t="shared" si="4"/>
        <v>0</v>
      </c>
      <c r="M46" s="1030">
        <f>I46/I56</f>
        <v>0</v>
      </c>
      <c r="N46" s="1031">
        <f>M46*N14</f>
        <v>0</v>
      </c>
      <c r="O46" s="1487">
        <f>(F46/I56)*N56</f>
        <v>0</v>
      </c>
      <c r="P46" s="1487">
        <f t="shared" si="5"/>
        <v>0</v>
      </c>
      <c r="Q46" s="1032">
        <v>0</v>
      </c>
      <c r="R46" s="1033">
        <f t="shared" si="6"/>
        <v>0</v>
      </c>
      <c r="T46" s="2751" t="str">
        <f t="shared" si="7"/>
        <v>►</v>
      </c>
      <c r="U46" s="2736" t="str">
        <f>IF(ISBLANK(V46),"",LARGE(U16:U45,1)+1)</f>
        <v/>
      </c>
      <c r="V46" s="491"/>
      <c r="W46" s="491"/>
      <c r="X46" s="491"/>
      <c r="Y46" s="491"/>
      <c r="Z46" s="491"/>
      <c r="AA46" s="491"/>
      <c r="AB46" s="2752"/>
      <c r="AD46" s="2730">
        <v>1</v>
      </c>
    </row>
    <row r="47" spans="2:30" ht="18.75">
      <c r="B47" s="2738" t="str">
        <f t="shared" si="8"/>
        <v>►</v>
      </c>
      <c r="C47" s="2733">
        <f>LARGE(C17:C46,1)+1</f>
        <v>31</v>
      </c>
      <c r="D47" s="1074"/>
      <c r="E47" s="7704"/>
      <c r="F47" s="1475"/>
      <c r="G47" s="1475"/>
      <c r="H47" s="1476"/>
      <c r="I47" s="1488">
        <f t="shared" si="2"/>
        <v>0</v>
      </c>
      <c r="J47" s="2940">
        <f>I47/I56*1000</f>
        <v>0</v>
      </c>
      <c r="K47" s="1489">
        <f>(F47/I56)*K86</f>
        <v>0</v>
      </c>
      <c r="L47" s="1489">
        <f t="shared" si="4"/>
        <v>0</v>
      </c>
      <c r="M47" s="1024">
        <f>I47/I56</f>
        <v>0</v>
      </c>
      <c r="N47" s="1034">
        <f>M47*N14</f>
        <v>0</v>
      </c>
      <c r="O47" s="1490">
        <f>(F47/I56)*N56</f>
        <v>0</v>
      </c>
      <c r="P47" s="1490">
        <f t="shared" si="5"/>
        <v>0</v>
      </c>
      <c r="Q47" s="1026">
        <v>0</v>
      </c>
      <c r="R47" s="1027">
        <f t="shared" si="6"/>
        <v>0</v>
      </c>
      <c r="T47" s="2751" t="str">
        <f t="shared" si="7"/>
        <v>►</v>
      </c>
      <c r="U47" s="2736" t="str">
        <f>IF(ISBLANK(V47),"",LARGE(U16:U46,1)+1)</f>
        <v/>
      </c>
      <c r="V47" s="491"/>
      <c r="W47" s="491"/>
      <c r="X47" s="491"/>
      <c r="Y47" s="491"/>
      <c r="Z47" s="491"/>
      <c r="AA47" s="491"/>
      <c r="AB47" s="2752"/>
      <c r="AD47" s="2730">
        <v>1</v>
      </c>
    </row>
    <row r="48" spans="2:30" ht="18.75">
      <c r="B48" s="2738" t="str">
        <f t="shared" si="8"/>
        <v>►</v>
      </c>
      <c r="C48" s="2734">
        <f>LARGE(C17:C47,1)+1</f>
        <v>32</v>
      </c>
      <c r="D48" s="1075"/>
      <c r="E48" s="7704"/>
      <c r="F48" s="1483"/>
      <c r="G48" s="1483"/>
      <c r="H48" s="1484"/>
      <c r="I48" s="1485">
        <f t="shared" si="2"/>
        <v>0</v>
      </c>
      <c r="J48" s="2939">
        <f>I48/I56*1000</f>
        <v>0</v>
      </c>
      <c r="K48" s="1486">
        <f>(F48/I56)*K87</f>
        <v>0</v>
      </c>
      <c r="L48" s="1486">
        <f t="shared" si="4"/>
        <v>0</v>
      </c>
      <c r="M48" s="1030">
        <f>I48/I56</f>
        <v>0</v>
      </c>
      <c r="N48" s="1031">
        <f>M48*N14</f>
        <v>0</v>
      </c>
      <c r="O48" s="1487">
        <f>(F48/I56)*N56</f>
        <v>0</v>
      </c>
      <c r="P48" s="1487">
        <f t="shared" si="5"/>
        <v>0</v>
      </c>
      <c r="Q48" s="1032">
        <v>0</v>
      </c>
      <c r="R48" s="1033">
        <f t="shared" si="6"/>
        <v>0</v>
      </c>
      <c r="T48" s="2751" t="str">
        <f t="shared" si="7"/>
        <v>►</v>
      </c>
      <c r="U48" s="2736" t="str">
        <f>IF(ISBLANK(V48),"",LARGE(U16:U47,1)+1)</f>
        <v/>
      </c>
      <c r="V48" s="491"/>
      <c r="W48" s="491"/>
      <c r="X48" s="491"/>
      <c r="Y48" s="491"/>
      <c r="Z48" s="491"/>
      <c r="AA48" s="491"/>
      <c r="AB48" s="2752"/>
      <c r="AD48" s="2730">
        <v>1</v>
      </c>
    </row>
    <row r="49" spans="2:30" ht="18" customHeight="1">
      <c r="B49" s="2738" t="str">
        <f t="shared" si="8"/>
        <v>►</v>
      </c>
      <c r="C49" s="2733">
        <f>LARGE(C17:C48,1)+1</f>
        <v>33</v>
      </c>
      <c r="D49" s="1074"/>
      <c r="E49" s="7704"/>
      <c r="F49" s="1475"/>
      <c r="G49" s="1475"/>
      <c r="H49" s="1476"/>
      <c r="I49" s="1488">
        <f t="shared" si="2"/>
        <v>0</v>
      </c>
      <c r="J49" s="2940">
        <f>I49/I56*1000</f>
        <v>0</v>
      </c>
      <c r="K49" s="1489">
        <f>(F49/I56)*K88</f>
        <v>0</v>
      </c>
      <c r="L49" s="1489">
        <f t="shared" si="4"/>
        <v>0</v>
      </c>
      <c r="M49" s="1024">
        <f>I49/I56</f>
        <v>0</v>
      </c>
      <c r="N49" s="1034">
        <f>M49*N14</f>
        <v>0</v>
      </c>
      <c r="O49" s="1490">
        <f>(F49/I56)*N56</f>
        <v>0</v>
      </c>
      <c r="P49" s="1490">
        <f t="shared" si="5"/>
        <v>0</v>
      </c>
      <c r="Q49" s="1026">
        <v>0</v>
      </c>
      <c r="R49" s="1027">
        <f t="shared" si="6"/>
        <v>0</v>
      </c>
      <c r="T49" s="2928" t="s">
        <v>337</v>
      </c>
      <c r="U49" s="2736" t="str">
        <f>IF(ISBLANK(V49),"",LARGE(U16:U48,1)+1)</f>
        <v/>
      </c>
      <c r="V49" s="491"/>
      <c r="W49" s="491"/>
      <c r="X49" s="491"/>
      <c r="Y49" s="491"/>
      <c r="Z49" s="491"/>
      <c r="AA49" s="491"/>
      <c r="AB49" s="2752"/>
      <c r="AD49" s="2730">
        <v>1</v>
      </c>
    </row>
    <row r="50" spans="2:30" ht="18" customHeight="1">
      <c r="B50" s="2738" t="str">
        <f t="shared" si="8"/>
        <v>►</v>
      </c>
      <c r="C50" s="2734">
        <f>LARGE(C17:C49,1)+1</f>
        <v>34</v>
      </c>
      <c r="D50" s="1075"/>
      <c r="E50" s="7704"/>
      <c r="F50" s="1483"/>
      <c r="G50" s="1483"/>
      <c r="H50" s="1484"/>
      <c r="I50" s="1485">
        <f t="shared" si="2"/>
        <v>0</v>
      </c>
      <c r="J50" s="2939">
        <f>I50/I56*1000</f>
        <v>0</v>
      </c>
      <c r="K50" s="1486">
        <f>(F50/I56)*K89</f>
        <v>0</v>
      </c>
      <c r="L50" s="1486">
        <f t="shared" si="4"/>
        <v>0</v>
      </c>
      <c r="M50" s="1030">
        <f>I50/I56</f>
        <v>0</v>
      </c>
      <c r="N50" s="1031">
        <f>M50*N14</f>
        <v>0</v>
      </c>
      <c r="O50" s="1487">
        <f>(F50/I56)*N56</f>
        <v>0</v>
      </c>
      <c r="P50" s="1487">
        <f t="shared" si="5"/>
        <v>0</v>
      </c>
      <c r="Q50" s="1032">
        <v>0</v>
      </c>
      <c r="R50" s="1033">
        <f t="shared" si="6"/>
        <v>0</v>
      </c>
      <c r="T50" s="2928" t="s">
        <v>337</v>
      </c>
      <c r="U50" s="2736" t="str">
        <f>IF(ISBLANK(V50),"",LARGE(U16:U49,1)+1)</f>
        <v/>
      </c>
      <c r="V50" s="491"/>
      <c r="W50" s="491"/>
      <c r="X50" s="491"/>
      <c r="Y50" s="491"/>
      <c r="Z50" s="491"/>
      <c r="AA50" s="491"/>
      <c r="AB50" s="2752"/>
      <c r="AD50" s="2730">
        <v>1</v>
      </c>
    </row>
    <row r="51" spans="2:30" ht="18" customHeight="1">
      <c r="B51" s="2738" t="str">
        <f t="shared" si="8"/>
        <v>►</v>
      </c>
      <c r="C51" s="2733">
        <f>LARGE(C17:C50,1)+1</f>
        <v>35</v>
      </c>
      <c r="D51" s="1074"/>
      <c r="E51" s="7704"/>
      <c r="F51" s="1475"/>
      <c r="G51" s="1475"/>
      <c r="H51" s="1476"/>
      <c r="I51" s="1488">
        <f t="shared" si="2"/>
        <v>0</v>
      </c>
      <c r="J51" s="2940">
        <f>I51/I56*1000</f>
        <v>0</v>
      </c>
      <c r="K51" s="1489">
        <f>(F51/I56)*K90</f>
        <v>0</v>
      </c>
      <c r="L51" s="1489">
        <f t="shared" si="4"/>
        <v>0</v>
      </c>
      <c r="M51" s="1024">
        <f>I51/I56</f>
        <v>0</v>
      </c>
      <c r="N51" s="1034">
        <f>M51*N14</f>
        <v>0</v>
      </c>
      <c r="O51" s="1490">
        <f>(F51/I56)*N56</f>
        <v>0</v>
      </c>
      <c r="P51" s="1490">
        <f t="shared" si="5"/>
        <v>0</v>
      </c>
      <c r="Q51" s="1026">
        <v>0</v>
      </c>
      <c r="R51" s="1027">
        <f t="shared" si="6"/>
        <v>0</v>
      </c>
      <c r="T51" s="2928" t="s">
        <v>337</v>
      </c>
      <c r="U51" s="2736" t="str">
        <f>IF(ISBLANK(V51),"",LARGE(U16:U50,1)+1)</f>
        <v/>
      </c>
      <c r="V51" s="491"/>
      <c r="W51" s="491"/>
      <c r="X51" s="491"/>
      <c r="Y51" s="491"/>
      <c r="Z51" s="491"/>
      <c r="AA51" s="491"/>
      <c r="AB51" s="2752"/>
      <c r="AD51" s="2730">
        <v>1</v>
      </c>
    </row>
    <row r="52" spans="2:30" ht="18" customHeight="1">
      <c r="B52" s="2738" t="str">
        <f t="shared" si="8"/>
        <v>►</v>
      </c>
      <c r="C52" s="2734">
        <f>LARGE(C17:C51,1)+1</f>
        <v>36</v>
      </c>
      <c r="D52" s="1075"/>
      <c r="E52" s="7704"/>
      <c r="F52" s="1483"/>
      <c r="G52" s="1483"/>
      <c r="H52" s="1484"/>
      <c r="I52" s="1485">
        <f t="shared" si="2"/>
        <v>0</v>
      </c>
      <c r="J52" s="2939">
        <f>I52/I56*1000</f>
        <v>0</v>
      </c>
      <c r="K52" s="1486">
        <f>(F52/I56)*K91</f>
        <v>0</v>
      </c>
      <c r="L52" s="1486">
        <f t="shared" si="4"/>
        <v>0</v>
      </c>
      <c r="M52" s="1030">
        <f>I52/I56</f>
        <v>0</v>
      </c>
      <c r="N52" s="1031">
        <f>M52*N14</f>
        <v>0</v>
      </c>
      <c r="O52" s="1487">
        <f>(F52/I56)*N56</f>
        <v>0</v>
      </c>
      <c r="P52" s="1487">
        <f t="shared" si="5"/>
        <v>0</v>
      </c>
      <c r="Q52" s="1032">
        <v>0</v>
      </c>
      <c r="R52" s="1033">
        <f t="shared" si="6"/>
        <v>0</v>
      </c>
      <c r="T52" s="2928" t="s">
        <v>337</v>
      </c>
      <c r="U52" s="2943"/>
      <c r="V52" s="7924" t="s">
        <v>1927</v>
      </c>
      <c r="W52" s="7924"/>
      <c r="X52" s="7924"/>
      <c r="Y52" s="7924"/>
      <c r="Z52" s="7924"/>
      <c r="AA52" s="7924"/>
      <c r="AB52" s="7925"/>
      <c r="AD52" s="2730">
        <v>1</v>
      </c>
    </row>
    <row r="53" spans="2:30" ht="18" customHeight="1">
      <c r="B53" s="2738" t="str">
        <f t="shared" si="8"/>
        <v>►</v>
      </c>
      <c r="C53" s="2733">
        <f>LARGE(C17:C52,1)+1</f>
        <v>37</v>
      </c>
      <c r="D53" s="1074"/>
      <c r="E53" s="7704"/>
      <c r="F53" s="1475"/>
      <c r="G53" s="1475"/>
      <c r="H53" s="1476"/>
      <c r="I53" s="1488">
        <f t="shared" si="2"/>
        <v>0</v>
      </c>
      <c r="J53" s="2940">
        <f>I53/I56*1000</f>
        <v>0</v>
      </c>
      <c r="K53" s="1489">
        <f>(F53/I56)*K92</f>
        <v>0</v>
      </c>
      <c r="L53" s="1489">
        <f t="shared" si="4"/>
        <v>0</v>
      </c>
      <c r="M53" s="1024">
        <f>I53/I56</f>
        <v>0</v>
      </c>
      <c r="N53" s="1034">
        <f>M53*N14</f>
        <v>0</v>
      </c>
      <c r="O53" s="1490">
        <f>(F53/I56)*N56</f>
        <v>0</v>
      </c>
      <c r="P53" s="1490">
        <f t="shared" si="5"/>
        <v>0</v>
      </c>
      <c r="Q53" s="1026">
        <v>0</v>
      </c>
      <c r="R53" s="1027">
        <f t="shared" si="6"/>
        <v>0</v>
      </c>
      <c r="T53" s="2928" t="s">
        <v>337</v>
      </c>
      <c r="U53" s="2741" t="s">
        <v>7</v>
      </c>
      <c r="V53" s="1049" t="str">
        <f ca="1">CELL("nomfichier")</f>
        <v>D:\Données\1.UPRT\0-UPRT.fait\1-UPRT.FR-SITE-WEB\ff-fiches-fabrications\ff.fiches.fabrication.2023\UPRT.23.aout\[ff-20-CHARCUTERIE-michel-Mariette.BOUDIN.BLANC_-1.xlsx]Exemples Michel Mariette</v>
      </c>
      <c r="W53" s="34"/>
      <c r="X53" s="15"/>
      <c r="Y53" s="15"/>
      <c r="Z53" s="15"/>
      <c r="AA53" s="15"/>
      <c r="AB53" s="1050"/>
      <c r="AC53" s="311" t="s">
        <v>2</v>
      </c>
      <c r="AD53" s="2730">
        <v>1</v>
      </c>
    </row>
    <row r="54" spans="2:30" ht="18" customHeight="1">
      <c r="B54" s="2738" t="str">
        <f t="shared" si="8"/>
        <v>►</v>
      </c>
      <c r="C54" s="2734">
        <f>LARGE(C17:C53,1)+1</f>
        <v>38</v>
      </c>
      <c r="D54" s="1075"/>
      <c r="E54" s="7704"/>
      <c r="F54" s="1483"/>
      <c r="G54" s="1483"/>
      <c r="H54" s="1484"/>
      <c r="I54" s="1485">
        <f t="shared" si="2"/>
        <v>0</v>
      </c>
      <c r="J54" s="2939">
        <f>I54/I56*1000</f>
        <v>0</v>
      </c>
      <c r="K54" s="1486">
        <f>(F54/I56)*K93</f>
        <v>0</v>
      </c>
      <c r="L54" s="1486">
        <f t="shared" si="4"/>
        <v>0</v>
      </c>
      <c r="M54" s="1030">
        <f>I54/I56</f>
        <v>0</v>
      </c>
      <c r="N54" s="1031">
        <f>M54*N14</f>
        <v>0</v>
      </c>
      <c r="O54" s="1487">
        <f>(F54/I56)*N56</f>
        <v>0</v>
      </c>
      <c r="P54" s="1487">
        <f t="shared" si="5"/>
        <v>0</v>
      </c>
      <c r="Q54" s="1032">
        <v>0</v>
      </c>
      <c r="R54" s="1033">
        <f t="shared" si="6"/>
        <v>0</v>
      </c>
      <c r="T54" s="2928" t="s">
        <v>337</v>
      </c>
      <c r="U54" s="2742" t="s">
        <v>1778</v>
      </c>
      <c r="V54" s="34"/>
      <c r="W54" s="1049"/>
      <c r="X54" s="15"/>
      <c r="Y54" s="15"/>
      <c r="Z54" s="15"/>
      <c r="AA54" s="15"/>
      <c r="AB54" s="1050"/>
      <c r="AD54" s="2730">
        <v>1</v>
      </c>
    </row>
    <row r="55" spans="2:30" ht="18" customHeight="1" thickBot="1">
      <c r="B55" s="2928" t="s">
        <v>337</v>
      </c>
      <c r="C55" s="2733">
        <f>LARGE(C17:C54,1)+1</f>
        <v>39</v>
      </c>
      <c r="D55" s="1074"/>
      <c r="E55" s="7704"/>
      <c r="F55" s="1475"/>
      <c r="G55" s="1475"/>
      <c r="H55" s="1476"/>
      <c r="I55" s="1492">
        <f t="shared" si="2"/>
        <v>0</v>
      </c>
      <c r="J55" s="2940">
        <f>I55/I56*1000</f>
        <v>0</v>
      </c>
      <c r="K55" s="1489">
        <f>(F55/I56)*K94</f>
        <v>0</v>
      </c>
      <c r="L55" s="1489">
        <f t="shared" si="4"/>
        <v>0</v>
      </c>
      <c r="M55" s="1024">
        <f>I55/I56</f>
        <v>0</v>
      </c>
      <c r="N55" s="1034">
        <f>M55*N14</f>
        <v>0</v>
      </c>
      <c r="O55" s="1490">
        <f>(F55/I56)*N56</f>
        <v>0</v>
      </c>
      <c r="P55" s="1490">
        <f t="shared" si="5"/>
        <v>0</v>
      </c>
      <c r="Q55" s="1026">
        <v>0</v>
      </c>
      <c r="R55" s="1027">
        <f t="shared" si="6"/>
        <v>0</v>
      </c>
      <c r="T55" s="2928" t="s">
        <v>337</v>
      </c>
      <c r="U55" s="2742" t="s">
        <v>1776</v>
      </c>
      <c r="V55" s="34"/>
      <c r="W55" s="1049"/>
      <c r="X55" s="15"/>
      <c r="Y55" s="15"/>
      <c r="Z55" s="15"/>
      <c r="AA55" s="15"/>
      <c r="AB55" s="1050"/>
      <c r="AD55" s="2730">
        <v>1</v>
      </c>
    </row>
    <row r="56" spans="2:30" ht="18" customHeight="1" thickTop="1" thickBot="1">
      <c r="B56" s="2942" t="s">
        <v>337</v>
      </c>
      <c r="C56" s="7857" t="s">
        <v>20</v>
      </c>
      <c r="D56" s="7858"/>
      <c r="E56" s="1079"/>
      <c r="F56" s="1079"/>
      <c r="G56" s="1079"/>
      <c r="H56" s="1040">
        <f>SUM(H17:H55)</f>
        <v>2.7949999999999995</v>
      </c>
      <c r="I56" s="1040">
        <f>SUM(I17:I55)</f>
        <v>2.7049999999999996</v>
      </c>
      <c r="J56" s="1041">
        <f>SUM(J17:J55)</f>
        <v>1000.0000000000001</v>
      </c>
      <c r="K56" s="1040">
        <f>J56/1000</f>
        <v>1.0000000000000002</v>
      </c>
      <c r="L56" s="1041"/>
      <c r="M56" s="1042">
        <f>SUM(M17:M55)</f>
        <v>1.0000000000000002</v>
      </c>
      <c r="N56" s="1043">
        <f>SUM(N17:N55)</f>
        <v>1.0000000000000002</v>
      </c>
      <c r="O56" s="1043"/>
      <c r="P56" s="1043"/>
      <c r="Q56" s="1044"/>
      <c r="R56" s="1045">
        <f>SUM(R17:R55)</f>
        <v>10.973171903881701</v>
      </c>
      <c r="T56" s="2942" t="s">
        <v>337</v>
      </c>
      <c r="U56" s="2743" t="s">
        <v>8</v>
      </c>
      <c r="V56" s="1084"/>
      <c r="W56" s="1052"/>
      <c r="X56" s="1052"/>
      <c r="Y56" s="1052"/>
      <c r="Z56" s="1052"/>
      <c r="AA56" s="1052"/>
      <c r="AB56" s="1053"/>
      <c r="AD56" s="2730">
        <v>1</v>
      </c>
    </row>
    <row r="57" spans="2:30">
      <c r="AD57" s="2730">
        <v>1</v>
      </c>
    </row>
    <row r="58" spans="2:30">
      <c r="AD58" s="2730">
        <v>1</v>
      </c>
    </row>
    <row r="59" spans="2:30">
      <c r="AD59" s="2730">
        <v>1</v>
      </c>
    </row>
    <row r="60" spans="2:30" ht="13.5" thickBot="1">
      <c r="AD60" s="2730">
        <v>1</v>
      </c>
    </row>
    <row r="61" spans="2:30" ht="18" customHeight="1">
      <c r="B61" s="2933" t="s">
        <v>67</v>
      </c>
      <c r="C61" s="7910" t="s">
        <v>1782</v>
      </c>
      <c r="D61" s="7729"/>
      <c r="E61" s="7729"/>
      <c r="F61" s="7729"/>
      <c r="G61" s="7729"/>
      <c r="H61" s="7729"/>
      <c r="I61" s="7729"/>
      <c r="J61" s="7729"/>
      <c r="K61" s="7729"/>
      <c r="L61" s="7729"/>
      <c r="M61" s="7729"/>
      <c r="N61" s="7729"/>
      <c r="O61" s="7729"/>
      <c r="P61" s="7729"/>
      <c r="Q61" s="7729"/>
      <c r="R61" s="7731" t="s">
        <v>1279</v>
      </c>
      <c r="T61" s="2744" t="s">
        <v>67</v>
      </c>
      <c r="U61" s="7926" t="str">
        <f>C61</f>
        <v>NOM DE VOTRE RECETTE</v>
      </c>
      <c r="V61" s="7859"/>
      <c r="W61" s="7859"/>
      <c r="X61" s="7859"/>
      <c r="Y61" s="7859"/>
      <c r="Z61" s="7859"/>
      <c r="AA61" s="7859"/>
      <c r="AB61" s="7861" t="str">
        <f>R61</f>
        <v>N°2</v>
      </c>
      <c r="AD61" s="2730">
        <v>1</v>
      </c>
    </row>
    <row r="62" spans="2:30" ht="18" customHeight="1">
      <c r="B62" s="2928" t="s">
        <v>337</v>
      </c>
      <c r="C62" s="7911"/>
      <c r="D62" s="7730"/>
      <c r="E62" s="7730"/>
      <c r="F62" s="7730"/>
      <c r="G62" s="7730"/>
      <c r="H62" s="7730"/>
      <c r="I62" s="7730"/>
      <c r="J62" s="7730"/>
      <c r="K62" s="7730"/>
      <c r="L62" s="7730"/>
      <c r="M62" s="7730"/>
      <c r="N62" s="7730"/>
      <c r="O62" s="7730"/>
      <c r="P62" s="7730"/>
      <c r="Q62" s="7730"/>
      <c r="R62" s="7732"/>
      <c r="T62" s="2928" t="s">
        <v>337</v>
      </c>
      <c r="U62" s="7927"/>
      <c r="V62" s="7860"/>
      <c r="W62" s="7860"/>
      <c r="X62" s="7860"/>
      <c r="Y62" s="7860"/>
      <c r="Z62" s="7860"/>
      <c r="AA62" s="7860"/>
      <c r="AB62" s="7862"/>
      <c r="AD62" s="2730">
        <v>1</v>
      </c>
    </row>
    <row r="63" spans="2:30" ht="18" customHeight="1">
      <c r="B63" s="2928" t="s">
        <v>337</v>
      </c>
      <c r="C63" s="7912" t="s">
        <v>1783</v>
      </c>
      <c r="D63" s="7733"/>
      <c r="E63" s="7733"/>
      <c r="F63" s="7733"/>
      <c r="G63" s="7733"/>
      <c r="H63" s="7733"/>
      <c r="I63" s="7733"/>
      <c r="J63" s="7733"/>
      <c r="K63" s="7733"/>
      <c r="L63" s="7733"/>
      <c r="M63" s="7733"/>
      <c r="N63" s="7733"/>
      <c r="O63" s="7733"/>
      <c r="P63" s="7733"/>
      <c r="Q63" s="7733"/>
      <c r="R63" s="7734"/>
      <c r="T63" s="2928" t="s">
        <v>337</v>
      </c>
      <c r="U63" s="7928" t="str">
        <f>C63</f>
        <v>AUTEUR  :</v>
      </c>
      <c r="V63" s="7863"/>
      <c r="W63" s="7863"/>
      <c r="X63" s="7863"/>
      <c r="Y63" s="7863"/>
      <c r="Z63" s="7863"/>
      <c r="AA63" s="7863"/>
      <c r="AB63" s="7864"/>
      <c r="AD63" s="2730">
        <v>1</v>
      </c>
    </row>
    <row r="64" spans="2:30" ht="18" customHeight="1">
      <c r="B64" s="2928" t="s">
        <v>337</v>
      </c>
      <c r="C64" s="1063"/>
      <c r="D64" s="34"/>
      <c r="E64" s="34"/>
      <c r="F64" s="34"/>
      <c r="G64" s="34"/>
      <c r="H64" s="1065"/>
      <c r="I64" s="1065"/>
      <c r="J64" s="7870" t="s">
        <v>1777</v>
      </c>
      <c r="K64" s="7870"/>
      <c r="L64" s="7870"/>
      <c r="M64" s="7870"/>
      <c r="N64" s="7740">
        <v>500</v>
      </c>
      <c r="O64" s="1072"/>
      <c r="P64" s="1072"/>
      <c r="Q64" s="1071"/>
      <c r="R64" s="1068"/>
      <c r="T64" s="2928" t="s">
        <v>337</v>
      </c>
      <c r="U64" s="1087"/>
      <c r="V64" s="1088"/>
      <c r="W64" s="1088"/>
      <c r="X64" s="1088"/>
      <c r="Y64" s="1088"/>
      <c r="Z64" s="1088"/>
      <c r="AA64" s="1088"/>
      <c r="AB64" s="1089"/>
      <c r="AD64" s="2730">
        <v>1</v>
      </c>
    </row>
    <row r="65" spans="2:30" ht="18" customHeight="1">
      <c r="B65" s="2928" t="s">
        <v>337</v>
      </c>
      <c r="C65" s="1063"/>
      <c r="D65" s="34"/>
      <c r="E65" s="34"/>
      <c r="F65" s="34"/>
      <c r="G65" s="34"/>
      <c r="H65" s="1066"/>
      <c r="I65" s="1066"/>
      <c r="J65" s="7871"/>
      <c r="K65" s="7871"/>
      <c r="L65" s="7871"/>
      <c r="M65" s="7871"/>
      <c r="N65" s="7741"/>
      <c r="O65" s="1073"/>
      <c r="P65" s="1073"/>
      <c r="Q65" s="1055"/>
      <c r="R65" s="1070"/>
      <c r="T65" s="2928" t="s">
        <v>337</v>
      </c>
      <c r="U65" s="1096"/>
      <c r="V65" s="1090" t="s">
        <v>1</v>
      </c>
      <c r="W65" s="11">
        <v>2</v>
      </c>
      <c r="X65" s="1091"/>
      <c r="Y65" s="1091"/>
      <c r="Z65" s="1090" t="s">
        <v>0</v>
      </c>
      <c r="AA65" s="11">
        <v>2</v>
      </c>
      <c r="AB65" s="1092"/>
      <c r="AD65" s="2730">
        <v>1</v>
      </c>
    </row>
    <row r="66" spans="2:30" ht="18" customHeight="1">
      <c r="B66" s="2928" t="s">
        <v>337</v>
      </c>
      <c r="C66" s="7915" t="s">
        <v>1253</v>
      </c>
      <c r="D66" s="7856"/>
      <c r="E66" s="7705"/>
      <c r="F66" s="1467" t="s">
        <v>59</v>
      </c>
      <c r="G66" s="1468" t="s">
        <v>58</v>
      </c>
      <c r="H66" s="1493" t="s">
        <v>61</v>
      </c>
      <c r="I66" s="1494"/>
      <c r="J66" s="1019" t="s">
        <v>1282</v>
      </c>
      <c r="K66" s="1495"/>
      <c r="L66" s="1495"/>
      <c r="M66" s="1057" t="s">
        <v>19</v>
      </c>
      <c r="N66" s="1105" t="s">
        <v>1774</v>
      </c>
      <c r="O66" s="411"/>
      <c r="P66" s="411"/>
      <c r="Q66" s="1056" t="s">
        <v>1781</v>
      </c>
      <c r="R66" s="1021" t="s">
        <v>1254</v>
      </c>
      <c r="T66" s="2928" t="s">
        <v>337</v>
      </c>
      <c r="U66" s="2736">
        <v>0</v>
      </c>
      <c r="V66" s="2737" t="s">
        <v>7038</v>
      </c>
      <c r="W66" s="2737"/>
      <c r="X66" s="1095"/>
      <c r="Y66" s="1095"/>
      <c r="Z66" s="1093"/>
      <c r="AA66" s="1094"/>
      <c r="AB66" s="2747"/>
      <c r="AD66" s="2730">
        <v>1</v>
      </c>
    </row>
    <row r="67" spans="2:30" ht="18" customHeight="1">
      <c r="B67" s="2928" t="s">
        <v>337</v>
      </c>
      <c r="C67" s="1077">
        <v>1</v>
      </c>
      <c r="D67" s="1101" t="s">
        <v>1255</v>
      </c>
      <c r="E67" s="1101"/>
      <c r="F67" s="1496">
        <v>1</v>
      </c>
      <c r="G67" s="1496" t="s">
        <v>1928</v>
      </c>
      <c r="H67" s="1058">
        <v>3400</v>
      </c>
      <c r="I67" s="1058"/>
      <c r="J67" s="2940">
        <f>H67/H106*1000</f>
        <v>324.18001525553012</v>
      </c>
      <c r="K67" s="1497">
        <f>(F67/G106)*J106</f>
        <v>9.5347063310450016E-5</v>
      </c>
      <c r="L67" s="1023" t="str">
        <f>G67</f>
        <v>litre</v>
      </c>
      <c r="M67" s="1024">
        <f>H67/H106</f>
        <v>0.32418001525553014</v>
      </c>
      <c r="N67" s="1059">
        <f>M67*N64</f>
        <v>162.09000762776506</v>
      </c>
      <c r="O67" s="1059"/>
      <c r="P67" s="1059"/>
      <c r="Q67" s="1103">
        <v>1</v>
      </c>
      <c r="R67" s="1027">
        <f>(N67/1000)*Q67</f>
        <v>0.16209000762776507</v>
      </c>
      <c r="T67" s="2928" t="s">
        <v>337</v>
      </c>
      <c r="U67" s="2736" t="str">
        <f>IF(ISBLANK(V67),"",LARGE(U66:U66,1)+1)</f>
        <v/>
      </c>
      <c r="V67" s="2748"/>
      <c r="W67" s="2748"/>
      <c r="X67" s="2749"/>
      <c r="Y67" s="2749"/>
      <c r="Z67" s="2749"/>
      <c r="AA67" s="2749"/>
      <c r="AB67" s="2750"/>
      <c r="AD67" s="2730">
        <v>1</v>
      </c>
    </row>
    <row r="68" spans="2:30" ht="18" customHeight="1">
      <c r="B68" s="2738" t="str">
        <f t="shared" ref="B68" si="9">IF(D68&lt;&gt;"","A","►")</f>
        <v>A</v>
      </c>
      <c r="C68" s="1078">
        <f>LARGE(C67:C67,1)+1</f>
        <v>2</v>
      </c>
      <c r="D68" s="1100" t="s">
        <v>1256</v>
      </c>
      <c r="E68" s="1100"/>
      <c r="F68" s="1100"/>
      <c r="G68" s="1100"/>
      <c r="H68" s="1060">
        <v>1600</v>
      </c>
      <c r="I68" s="1060"/>
      <c r="J68" s="2939">
        <f>H68/H106*1000</f>
        <v>152.55530129672007</v>
      </c>
      <c r="K68" s="1029"/>
      <c r="L68" s="1029"/>
      <c r="M68" s="1030">
        <f>H68/H106</f>
        <v>0.15255530129672007</v>
      </c>
      <c r="N68" s="1061">
        <f>M68*N64</f>
        <v>76.277650648360037</v>
      </c>
      <c r="O68" s="1061"/>
      <c r="P68" s="1061"/>
      <c r="Q68" s="1104">
        <v>2</v>
      </c>
      <c r="R68" s="1033">
        <f t="shared" ref="R68:R105" si="10">(N68/1000)*Q68</f>
        <v>0.15255530129672007</v>
      </c>
      <c r="T68" s="2928" t="s">
        <v>337</v>
      </c>
      <c r="U68" s="2736" t="str">
        <f>IF(ISBLANK(V68),"",LARGE(U66:U67,1)+1)</f>
        <v/>
      </c>
      <c r="V68" s="2748"/>
      <c r="W68" s="2748"/>
      <c r="X68" s="491"/>
      <c r="Y68" s="491"/>
      <c r="Z68" s="491"/>
      <c r="AA68" s="491"/>
      <c r="AB68" s="2752"/>
      <c r="AD68" s="2730">
        <v>1</v>
      </c>
    </row>
    <row r="69" spans="2:30" ht="18" customHeight="1">
      <c r="B69" s="2738" t="str">
        <f>IF(D69&lt;&gt;"","A","►")</f>
        <v>A</v>
      </c>
      <c r="C69" s="1077">
        <f>LARGE(C67:C68,1)+1</f>
        <v>3</v>
      </c>
      <c r="D69" s="1101" t="s">
        <v>1257</v>
      </c>
      <c r="E69" s="1101"/>
      <c r="F69" s="1101"/>
      <c r="G69" s="1101"/>
      <c r="H69" s="1058">
        <v>1600</v>
      </c>
      <c r="I69" s="1058"/>
      <c r="J69" s="2940">
        <f>H69/H106*1000</f>
        <v>152.55530129672007</v>
      </c>
      <c r="K69" s="1023"/>
      <c r="L69" s="1023"/>
      <c r="M69" s="1024">
        <f>H69/H106</f>
        <v>0.15255530129672007</v>
      </c>
      <c r="N69" s="1059">
        <f>M69*N64</f>
        <v>76.277650648360037</v>
      </c>
      <c r="O69" s="1059"/>
      <c r="P69" s="1059"/>
      <c r="Q69" s="1103">
        <v>3</v>
      </c>
      <c r="R69" s="1027">
        <f t="shared" si="10"/>
        <v>0.2288329519450801</v>
      </c>
      <c r="T69" s="2751" t="str">
        <f t="shared" ref="T69:T98" si="11">IF(COUNTA(V69:AB69)&gt;0, "A", "►")</f>
        <v>►</v>
      </c>
      <c r="U69" s="2736" t="str">
        <f>IF(ISBLANK(V69),"",LARGE(U66:U68,1)+1)</f>
        <v/>
      </c>
      <c r="V69" s="2748"/>
      <c r="W69" s="2748"/>
      <c r="X69" s="491"/>
      <c r="Y69" s="491"/>
      <c r="Z69" s="491"/>
      <c r="AA69" s="491"/>
      <c r="AB69" s="2752"/>
      <c r="AD69" s="2730">
        <v>1</v>
      </c>
    </row>
    <row r="70" spans="2:30" ht="18" customHeight="1">
      <c r="B70" s="2738" t="str">
        <f t="shared" ref="B70:B104" si="12">IF(D70&lt;&gt;"","A","►")</f>
        <v>A</v>
      </c>
      <c r="C70" s="1078">
        <f>LARGE(C67:C69,1)+1</f>
        <v>4</v>
      </c>
      <c r="D70" s="1100" t="s">
        <v>1258</v>
      </c>
      <c r="E70" s="1100"/>
      <c r="F70" s="1100"/>
      <c r="G70" s="1100"/>
      <c r="H70" s="1060">
        <v>3000</v>
      </c>
      <c r="I70" s="1060"/>
      <c r="J70" s="2939">
        <f>H70/H106*1000</f>
        <v>286.04118993135012</v>
      </c>
      <c r="K70" s="1029"/>
      <c r="L70" s="1029"/>
      <c r="M70" s="1030">
        <f>H70/H106</f>
        <v>0.28604118993135014</v>
      </c>
      <c r="N70" s="1061">
        <f>M70*N64</f>
        <v>143.02059496567506</v>
      </c>
      <c r="O70" s="1061"/>
      <c r="P70" s="1061"/>
      <c r="Q70" s="1104">
        <v>0</v>
      </c>
      <c r="R70" s="1033">
        <f t="shared" si="10"/>
        <v>0</v>
      </c>
      <c r="T70" s="2751" t="str">
        <f t="shared" si="11"/>
        <v>►</v>
      </c>
      <c r="U70" s="2736" t="str">
        <f>IF(ISBLANK(V70),"",LARGE(U66:U69,1)+1)</f>
        <v/>
      </c>
      <c r="V70" s="2748"/>
      <c r="W70" s="2748"/>
      <c r="X70" s="491"/>
      <c r="Y70" s="491"/>
      <c r="Z70" s="491"/>
      <c r="AA70" s="491"/>
      <c r="AB70" s="2752"/>
      <c r="AD70" s="2730">
        <v>1</v>
      </c>
    </row>
    <row r="71" spans="2:30" ht="18" customHeight="1">
      <c r="B71" s="2738" t="str">
        <f t="shared" si="12"/>
        <v>A</v>
      </c>
      <c r="C71" s="1077">
        <f>LARGE(C67:C70,1)+1</f>
        <v>5</v>
      </c>
      <c r="D71" s="1101" t="s">
        <v>374</v>
      </c>
      <c r="E71" s="1101"/>
      <c r="F71" s="1101"/>
      <c r="G71" s="1101"/>
      <c r="H71" s="1058">
        <v>600</v>
      </c>
      <c r="I71" s="1058"/>
      <c r="J71" s="2940">
        <f>H71/H106*1000</f>
        <v>57.208237986270028</v>
      </c>
      <c r="K71" s="1023"/>
      <c r="L71" s="1023"/>
      <c r="M71" s="1024">
        <f>H71/H106</f>
        <v>5.7208237986270026E-2</v>
      </c>
      <c r="N71" s="1059">
        <f>M71*N64</f>
        <v>28.604118993135014</v>
      </c>
      <c r="O71" s="1059"/>
      <c r="P71" s="1059"/>
      <c r="Q71" s="1103">
        <v>0</v>
      </c>
      <c r="R71" s="1027">
        <f t="shared" si="10"/>
        <v>0</v>
      </c>
      <c r="T71" s="2751" t="str">
        <f t="shared" si="11"/>
        <v>►</v>
      </c>
      <c r="U71" s="2736" t="str">
        <f>IF(ISBLANK(V71),"",LARGE(U66:U70,1)+1)</f>
        <v/>
      </c>
      <c r="V71" s="2748"/>
      <c r="W71" s="2748"/>
      <c r="X71" s="491"/>
      <c r="Y71" s="491"/>
      <c r="Z71" s="491"/>
      <c r="AA71" s="491"/>
      <c r="AB71" s="2752"/>
      <c r="AD71" s="2730">
        <v>1</v>
      </c>
    </row>
    <row r="72" spans="2:30" ht="18" customHeight="1">
      <c r="B72" s="2738" t="str">
        <f t="shared" si="12"/>
        <v>A</v>
      </c>
      <c r="C72" s="1078">
        <f>LARGE(C67:C71,1)+1</f>
        <v>6</v>
      </c>
      <c r="D72" s="1100" t="s">
        <v>1259</v>
      </c>
      <c r="E72" s="1100"/>
      <c r="F72" s="1100"/>
      <c r="G72" s="1100"/>
      <c r="H72" s="1060">
        <v>165</v>
      </c>
      <c r="I72" s="1060"/>
      <c r="J72" s="2939">
        <f>H72/H106*1000</f>
        <v>15.732265446224257</v>
      </c>
      <c r="K72" s="1029"/>
      <c r="L72" s="1029"/>
      <c r="M72" s="1030">
        <f>H72/H106</f>
        <v>1.5732265446224258E-2</v>
      </c>
      <c r="N72" s="1061">
        <f>M72*N64</f>
        <v>7.8661327231121287</v>
      </c>
      <c r="O72" s="1061"/>
      <c r="P72" s="1061"/>
      <c r="Q72" s="1104">
        <v>0</v>
      </c>
      <c r="R72" s="1033">
        <f t="shared" si="10"/>
        <v>0</v>
      </c>
      <c r="T72" s="2751" t="str">
        <f t="shared" si="11"/>
        <v>►</v>
      </c>
      <c r="U72" s="2736" t="str">
        <f>IF(ISBLANK(V72),"",LARGE(U66:U71,1)+1)</f>
        <v/>
      </c>
      <c r="V72" s="491"/>
      <c r="W72" s="491"/>
      <c r="X72" s="491"/>
      <c r="Y72" s="491"/>
      <c r="Z72" s="491"/>
      <c r="AA72" s="491"/>
      <c r="AB72" s="2752"/>
      <c r="AD72" s="2730">
        <v>1</v>
      </c>
    </row>
    <row r="73" spans="2:30" ht="18" customHeight="1">
      <c r="B73" s="2738" t="str">
        <f t="shared" si="12"/>
        <v>A</v>
      </c>
      <c r="C73" s="1077">
        <f>LARGE(C67:C72,1)+1</f>
        <v>7</v>
      </c>
      <c r="D73" s="1101" t="s">
        <v>1260</v>
      </c>
      <c r="E73" s="1101"/>
      <c r="F73" s="1101"/>
      <c r="G73" s="1101"/>
      <c r="H73" s="1058">
        <v>10</v>
      </c>
      <c r="I73" s="1058"/>
      <c r="J73" s="2940">
        <f>H73/H106*1000</f>
        <v>0.95347063310450031</v>
      </c>
      <c r="K73" s="1023"/>
      <c r="L73" s="1023"/>
      <c r="M73" s="1024">
        <f>H73/H106</f>
        <v>9.5347063310450035E-4</v>
      </c>
      <c r="N73" s="1059">
        <f>M73*N64</f>
        <v>0.47673531655225015</v>
      </c>
      <c r="O73" s="1059"/>
      <c r="P73" s="1059"/>
      <c r="Q73" s="1103">
        <v>0</v>
      </c>
      <c r="R73" s="1027">
        <f t="shared" si="10"/>
        <v>0</v>
      </c>
      <c r="T73" s="2751" t="str">
        <f t="shared" si="11"/>
        <v>►</v>
      </c>
      <c r="U73" s="2736" t="str">
        <f>IF(ISBLANK(V73),"",LARGE(U66:U72,1)+1)</f>
        <v/>
      </c>
      <c r="V73" s="491"/>
      <c r="W73" s="491"/>
      <c r="X73" s="491"/>
      <c r="Y73" s="491"/>
      <c r="Z73" s="491"/>
      <c r="AA73" s="491"/>
      <c r="AB73" s="2752"/>
      <c r="AD73" s="2730">
        <v>1</v>
      </c>
    </row>
    <row r="74" spans="2:30" ht="18" customHeight="1">
      <c r="B74" s="2738" t="str">
        <f t="shared" si="12"/>
        <v>A</v>
      </c>
      <c r="C74" s="1078">
        <f>LARGE(C67:C73,1)+1</f>
        <v>8</v>
      </c>
      <c r="D74" s="1100" t="s">
        <v>1261</v>
      </c>
      <c r="E74" s="1100"/>
      <c r="F74" s="1100"/>
      <c r="G74" s="1100"/>
      <c r="H74" s="1060">
        <v>10</v>
      </c>
      <c r="I74" s="1060"/>
      <c r="J74" s="2939">
        <f>H74/H106*1000</f>
        <v>0.95347063310450031</v>
      </c>
      <c r="K74" s="1029"/>
      <c r="L74" s="1029"/>
      <c r="M74" s="1030">
        <f>H74/H106</f>
        <v>9.5347063310450035E-4</v>
      </c>
      <c r="N74" s="1061">
        <f>M74*N64</f>
        <v>0.47673531655225015</v>
      </c>
      <c r="O74" s="1061"/>
      <c r="P74" s="1061"/>
      <c r="Q74" s="1104">
        <v>0</v>
      </c>
      <c r="R74" s="1033">
        <f t="shared" si="10"/>
        <v>0</v>
      </c>
      <c r="T74" s="2751" t="str">
        <f t="shared" si="11"/>
        <v>►</v>
      </c>
      <c r="U74" s="2736" t="str">
        <f>IF(ISBLANK(V74),"",LARGE(U66:U73,1)+1)</f>
        <v/>
      </c>
      <c r="V74" s="491"/>
      <c r="W74" s="491"/>
      <c r="X74" s="491"/>
      <c r="Y74" s="491"/>
      <c r="Z74" s="491"/>
      <c r="AA74" s="491"/>
      <c r="AB74" s="2752"/>
      <c r="AD74" s="2730">
        <v>1</v>
      </c>
    </row>
    <row r="75" spans="2:30" ht="18" customHeight="1">
      <c r="B75" s="2738" t="str">
        <f t="shared" si="12"/>
        <v>A</v>
      </c>
      <c r="C75" s="1077">
        <f>LARGE(C67:C74,1)+1</f>
        <v>9</v>
      </c>
      <c r="D75" s="1101" t="s">
        <v>1265</v>
      </c>
      <c r="E75" s="1101"/>
      <c r="F75" s="1101"/>
      <c r="G75" s="1101"/>
      <c r="H75" s="1058">
        <v>100</v>
      </c>
      <c r="I75" s="1058"/>
      <c r="J75" s="2940">
        <f>H75/H106*1000</f>
        <v>9.5347063310450046</v>
      </c>
      <c r="K75" s="1023"/>
      <c r="L75" s="1023"/>
      <c r="M75" s="1024">
        <f>H75/H106</f>
        <v>9.5347063310450043E-3</v>
      </c>
      <c r="N75" s="1059">
        <f>M75*N64</f>
        <v>4.7673531655225023</v>
      </c>
      <c r="O75" s="1059"/>
      <c r="P75" s="1059"/>
      <c r="Q75" s="1103">
        <v>0</v>
      </c>
      <c r="R75" s="1027">
        <f t="shared" si="10"/>
        <v>0</v>
      </c>
      <c r="T75" s="2751" t="str">
        <f t="shared" si="11"/>
        <v>►</v>
      </c>
      <c r="U75" s="2736" t="str">
        <f>IF(ISBLANK(V75),"",LARGE(U66:U74,1)+1)</f>
        <v/>
      </c>
      <c r="V75" s="491"/>
      <c r="W75" s="491"/>
      <c r="X75" s="491"/>
      <c r="Y75" s="491"/>
      <c r="Z75" s="491"/>
      <c r="AA75" s="491"/>
      <c r="AB75" s="2752"/>
      <c r="AD75" s="2730">
        <v>1</v>
      </c>
    </row>
    <row r="76" spans="2:30" ht="18" customHeight="1">
      <c r="B76" s="2738" t="str">
        <f t="shared" si="12"/>
        <v>A</v>
      </c>
      <c r="C76" s="1078">
        <f>LARGE(C67:C75,1)+1</f>
        <v>10</v>
      </c>
      <c r="D76" s="1100" t="s">
        <v>1262</v>
      </c>
      <c r="E76" s="1100"/>
      <c r="F76" s="1100"/>
      <c r="G76" s="1100"/>
      <c r="H76" s="1060">
        <v>3</v>
      </c>
      <c r="I76" s="1060"/>
      <c r="J76" s="2939">
        <f>H76/H106*1000</f>
        <v>0.28604118993135014</v>
      </c>
      <c r="K76" s="1029"/>
      <c r="L76" s="1029"/>
      <c r="M76" s="1030">
        <f>H76/H106</f>
        <v>2.8604118993135012E-4</v>
      </c>
      <c r="N76" s="1061">
        <f>M76*N64</f>
        <v>0.14302059496567507</v>
      </c>
      <c r="O76" s="1061"/>
      <c r="P76" s="1061"/>
      <c r="Q76" s="1104">
        <v>0</v>
      </c>
      <c r="R76" s="1033">
        <f t="shared" si="10"/>
        <v>0</v>
      </c>
      <c r="T76" s="2751" t="str">
        <f t="shared" si="11"/>
        <v>►</v>
      </c>
      <c r="U76" s="2736" t="str">
        <f>IF(ISBLANK(V76),"",LARGE(U66:U75,1)+1)</f>
        <v/>
      </c>
      <c r="V76" s="491"/>
      <c r="W76" s="491"/>
      <c r="X76" s="491"/>
      <c r="Y76" s="491"/>
      <c r="Z76" s="491"/>
      <c r="AA76" s="491"/>
      <c r="AB76" s="2752"/>
      <c r="AD76" s="2730">
        <v>1</v>
      </c>
    </row>
    <row r="77" spans="2:30" ht="18" customHeight="1">
      <c r="B77" s="2738" t="str">
        <f t="shared" si="12"/>
        <v>►</v>
      </c>
      <c r="C77" s="1077">
        <f>LARGE(C67:C76,1)+1</f>
        <v>11</v>
      </c>
      <c r="D77" s="1101"/>
      <c r="E77" s="1101"/>
      <c r="F77" s="1101"/>
      <c r="G77" s="1101"/>
      <c r="H77" s="1058"/>
      <c r="I77" s="1058"/>
      <c r="J77" s="2940">
        <f>H77/H106*1000</f>
        <v>0</v>
      </c>
      <c r="K77" s="1023"/>
      <c r="L77" s="1023"/>
      <c r="M77" s="1024">
        <f>H77/H106</f>
        <v>0</v>
      </c>
      <c r="N77" s="1059">
        <f>M77*N64</f>
        <v>0</v>
      </c>
      <c r="O77" s="1059"/>
      <c r="P77" s="1059"/>
      <c r="Q77" s="1103">
        <v>0</v>
      </c>
      <c r="R77" s="1027">
        <f t="shared" si="10"/>
        <v>0</v>
      </c>
      <c r="T77" s="2751" t="str">
        <f t="shared" si="11"/>
        <v>►</v>
      </c>
      <c r="U77" s="2736" t="str">
        <f>IF(ISBLANK(V77),"",LARGE(U66:U76,1)+1)</f>
        <v/>
      </c>
      <c r="V77" s="491"/>
      <c r="W77" s="491"/>
      <c r="X77" s="491"/>
      <c r="Y77" s="491"/>
      <c r="Z77" s="491"/>
      <c r="AA77" s="491"/>
      <c r="AB77" s="2752"/>
      <c r="AD77" s="2730">
        <v>1</v>
      </c>
    </row>
    <row r="78" spans="2:30" ht="18" customHeight="1">
      <c r="B78" s="2738" t="str">
        <f t="shared" si="12"/>
        <v>►</v>
      </c>
      <c r="C78" s="1078">
        <f>LARGE(C67:C77,1)+1</f>
        <v>12</v>
      </c>
      <c r="D78" s="1100"/>
      <c r="E78" s="1100"/>
      <c r="F78" s="1100"/>
      <c r="G78" s="1100"/>
      <c r="H78" s="1060"/>
      <c r="I78" s="1060"/>
      <c r="J78" s="2939">
        <f>H78/H106*1000</f>
        <v>0</v>
      </c>
      <c r="K78" s="1029"/>
      <c r="L78" s="1029"/>
      <c r="M78" s="1030">
        <f>H78/H106</f>
        <v>0</v>
      </c>
      <c r="N78" s="1061">
        <f>M78*N64</f>
        <v>0</v>
      </c>
      <c r="O78" s="1061"/>
      <c r="P78" s="1061"/>
      <c r="Q78" s="1104">
        <v>0</v>
      </c>
      <c r="R78" s="1033">
        <f t="shared" si="10"/>
        <v>0</v>
      </c>
      <c r="T78" s="2751" t="str">
        <f t="shared" si="11"/>
        <v>►</v>
      </c>
      <c r="U78" s="2736" t="str">
        <f>IF(ISBLANK(V78),"",LARGE(U66:U77,1)+1)</f>
        <v/>
      </c>
      <c r="V78" s="491"/>
      <c r="W78" s="491"/>
      <c r="X78" s="491"/>
      <c r="Y78" s="491"/>
      <c r="Z78" s="491"/>
      <c r="AA78" s="491"/>
      <c r="AB78" s="2752"/>
      <c r="AD78" s="2730">
        <v>1</v>
      </c>
    </row>
    <row r="79" spans="2:30" ht="18" customHeight="1">
      <c r="B79" s="2738" t="str">
        <f t="shared" si="12"/>
        <v>►</v>
      </c>
      <c r="C79" s="1077">
        <f>LARGE(C67:C78,1)+1</f>
        <v>13</v>
      </c>
      <c r="D79" s="1101"/>
      <c r="E79" s="1101"/>
      <c r="F79" s="1101"/>
      <c r="G79" s="1101"/>
      <c r="H79" s="1058"/>
      <c r="I79" s="1058"/>
      <c r="J79" s="2940">
        <f>H79/H106*1000</f>
        <v>0</v>
      </c>
      <c r="K79" s="1023"/>
      <c r="L79" s="1023"/>
      <c r="M79" s="1024">
        <f>H79/H106</f>
        <v>0</v>
      </c>
      <c r="N79" s="1059">
        <f>M79*N64</f>
        <v>0</v>
      </c>
      <c r="O79" s="1059"/>
      <c r="P79" s="1059"/>
      <c r="Q79" s="1103">
        <v>0</v>
      </c>
      <c r="R79" s="1027">
        <f t="shared" si="10"/>
        <v>0</v>
      </c>
      <c r="T79" s="2751" t="str">
        <f t="shared" si="11"/>
        <v>►</v>
      </c>
      <c r="U79" s="2736" t="str">
        <f>IF(ISBLANK(V79),"",LARGE(U66:U78,1)+1)</f>
        <v/>
      </c>
      <c r="V79" s="491"/>
      <c r="W79" s="491"/>
      <c r="X79" s="491"/>
      <c r="Y79" s="491"/>
      <c r="Z79" s="491"/>
      <c r="AA79" s="491"/>
      <c r="AB79" s="2752"/>
      <c r="AD79" s="2730">
        <v>1</v>
      </c>
    </row>
    <row r="80" spans="2:30" ht="18" customHeight="1">
      <c r="B80" s="2738" t="str">
        <f t="shared" si="12"/>
        <v>►</v>
      </c>
      <c r="C80" s="1078">
        <f>LARGE(C67:C79,1)+1</f>
        <v>14</v>
      </c>
      <c r="D80" s="1100"/>
      <c r="E80" s="1100"/>
      <c r="F80" s="1100"/>
      <c r="G80" s="1100"/>
      <c r="H80" s="1060"/>
      <c r="I80" s="1060"/>
      <c r="J80" s="2939">
        <f>H80/H106*1000</f>
        <v>0</v>
      </c>
      <c r="K80" s="1029"/>
      <c r="L80" s="1029"/>
      <c r="M80" s="1030">
        <f>H80/H106</f>
        <v>0</v>
      </c>
      <c r="N80" s="1061">
        <f>M80*N64</f>
        <v>0</v>
      </c>
      <c r="O80" s="1061"/>
      <c r="P80" s="1061"/>
      <c r="Q80" s="1104">
        <v>0</v>
      </c>
      <c r="R80" s="1033">
        <f t="shared" si="10"/>
        <v>0</v>
      </c>
      <c r="T80" s="2751" t="str">
        <f t="shared" si="11"/>
        <v>►</v>
      </c>
      <c r="U80" s="2736" t="str">
        <f>IF(ISBLANK(V80),"",LARGE(U66:U79,1)+1)</f>
        <v/>
      </c>
      <c r="V80" s="491"/>
      <c r="W80" s="491"/>
      <c r="X80" s="491"/>
      <c r="Y80" s="491"/>
      <c r="Z80" s="491"/>
      <c r="AA80" s="491"/>
      <c r="AB80" s="2752"/>
      <c r="AD80" s="2730">
        <v>1</v>
      </c>
    </row>
    <row r="81" spans="2:30" ht="18" customHeight="1">
      <c r="B81" s="2738" t="str">
        <f t="shared" si="12"/>
        <v>►</v>
      </c>
      <c r="C81" s="1077">
        <f>LARGE(C67:C80,1)+1</f>
        <v>15</v>
      </c>
      <c r="D81" s="1101"/>
      <c r="E81" s="1101"/>
      <c r="F81" s="1101"/>
      <c r="G81" s="1101"/>
      <c r="H81" s="1058"/>
      <c r="I81" s="1058"/>
      <c r="J81" s="2940">
        <f>H81/H106*1000</f>
        <v>0</v>
      </c>
      <c r="K81" s="1023"/>
      <c r="L81" s="1023"/>
      <c r="M81" s="1024">
        <f>H81/H106</f>
        <v>0</v>
      </c>
      <c r="N81" s="1059">
        <f>M81*N64</f>
        <v>0</v>
      </c>
      <c r="O81" s="1059"/>
      <c r="P81" s="1059"/>
      <c r="Q81" s="1103">
        <v>0</v>
      </c>
      <c r="R81" s="1027">
        <f t="shared" si="10"/>
        <v>0</v>
      </c>
      <c r="T81" s="2751" t="str">
        <f t="shared" si="11"/>
        <v>►</v>
      </c>
      <c r="U81" s="2736" t="str">
        <f>IF(ISBLANK(V81),"",LARGE(U66:U80,1)+1)</f>
        <v/>
      </c>
      <c r="V81" s="491"/>
      <c r="W81" s="491"/>
      <c r="X81" s="491"/>
      <c r="Y81" s="491"/>
      <c r="Z81" s="491"/>
      <c r="AA81" s="491"/>
      <c r="AB81" s="2752"/>
      <c r="AD81" s="2730">
        <v>1</v>
      </c>
    </row>
    <row r="82" spans="2:30" ht="18" customHeight="1">
      <c r="B82" s="2738" t="str">
        <f t="shared" si="12"/>
        <v>►</v>
      </c>
      <c r="C82" s="1078">
        <f>LARGE(C67:C81,1)+1</f>
        <v>16</v>
      </c>
      <c r="D82" s="1100"/>
      <c r="E82" s="1100"/>
      <c r="F82" s="1100"/>
      <c r="G82" s="1100"/>
      <c r="H82" s="1060"/>
      <c r="I82" s="1060"/>
      <c r="J82" s="2939">
        <f>H82/H106*1000</f>
        <v>0</v>
      </c>
      <c r="K82" s="1029"/>
      <c r="L82" s="1029"/>
      <c r="M82" s="1030">
        <f>H82/H106</f>
        <v>0</v>
      </c>
      <c r="N82" s="1061">
        <f>M82*N64</f>
        <v>0</v>
      </c>
      <c r="O82" s="1061"/>
      <c r="P82" s="1061"/>
      <c r="Q82" s="1104">
        <v>0</v>
      </c>
      <c r="R82" s="1033">
        <f t="shared" si="10"/>
        <v>0</v>
      </c>
      <c r="T82" s="2751" t="str">
        <f t="shared" si="11"/>
        <v>►</v>
      </c>
      <c r="U82" s="2736" t="str">
        <f>IF(ISBLANK(V82),"",LARGE(U66:U81,1)+1)</f>
        <v/>
      </c>
      <c r="V82" s="491"/>
      <c r="W82" s="491"/>
      <c r="X82" s="491"/>
      <c r="Y82" s="491"/>
      <c r="Z82" s="491"/>
      <c r="AA82" s="491"/>
      <c r="AB82" s="2752"/>
      <c r="AD82" s="2730">
        <v>1</v>
      </c>
    </row>
    <row r="83" spans="2:30" ht="18" customHeight="1">
      <c r="B83" s="2738" t="str">
        <f t="shared" si="12"/>
        <v>►</v>
      </c>
      <c r="C83" s="1077">
        <f>LARGE(C67:C82,1)+1</f>
        <v>17</v>
      </c>
      <c r="D83" s="1101"/>
      <c r="E83" s="1101"/>
      <c r="F83" s="1101"/>
      <c r="G83" s="1101"/>
      <c r="H83" s="1058"/>
      <c r="I83" s="1058"/>
      <c r="J83" s="2940">
        <f>H83/H106*1000</f>
        <v>0</v>
      </c>
      <c r="K83" s="1023"/>
      <c r="L83" s="1023"/>
      <c r="M83" s="1024">
        <f>H83/H106</f>
        <v>0</v>
      </c>
      <c r="N83" s="1059">
        <f>M83*N64</f>
        <v>0</v>
      </c>
      <c r="O83" s="1059"/>
      <c r="P83" s="1059"/>
      <c r="Q83" s="1103">
        <v>0</v>
      </c>
      <c r="R83" s="1027">
        <f t="shared" si="10"/>
        <v>0</v>
      </c>
      <c r="T83" s="2751" t="str">
        <f t="shared" si="11"/>
        <v>►</v>
      </c>
      <c r="U83" s="2736" t="str">
        <f>IF(ISBLANK(V83),"",LARGE(U66:U82,1)+1)</f>
        <v/>
      </c>
      <c r="V83" s="491"/>
      <c r="W83" s="491"/>
      <c r="X83" s="491"/>
      <c r="Y83" s="491"/>
      <c r="Z83" s="491"/>
      <c r="AA83" s="491"/>
      <c r="AB83" s="2752"/>
      <c r="AD83" s="2730">
        <v>1</v>
      </c>
    </row>
    <row r="84" spans="2:30" ht="18" customHeight="1">
      <c r="B84" s="2738" t="str">
        <f t="shared" si="12"/>
        <v>►</v>
      </c>
      <c r="C84" s="1078">
        <f>LARGE(C67:C83,1)+1</f>
        <v>18</v>
      </c>
      <c r="D84" s="1100"/>
      <c r="E84" s="1100"/>
      <c r="F84" s="1100"/>
      <c r="G84" s="1100"/>
      <c r="H84" s="1060"/>
      <c r="I84" s="1060"/>
      <c r="J84" s="2939">
        <f>H84/H106*1000</f>
        <v>0</v>
      </c>
      <c r="K84" s="1029"/>
      <c r="L84" s="1029"/>
      <c r="M84" s="1030">
        <f>H84/H106</f>
        <v>0</v>
      </c>
      <c r="N84" s="1061">
        <f>M84*N64</f>
        <v>0</v>
      </c>
      <c r="O84" s="1061"/>
      <c r="P84" s="1061"/>
      <c r="Q84" s="1104">
        <v>0</v>
      </c>
      <c r="R84" s="1033">
        <f t="shared" si="10"/>
        <v>0</v>
      </c>
      <c r="T84" s="2751" t="str">
        <f t="shared" si="11"/>
        <v>►</v>
      </c>
      <c r="U84" s="2736" t="str">
        <f>IF(ISBLANK(V84),"",LARGE(U66:U83,1)+1)</f>
        <v/>
      </c>
      <c r="V84" s="491"/>
      <c r="W84" s="491"/>
      <c r="X84" s="491"/>
      <c r="Y84" s="491"/>
      <c r="Z84" s="491"/>
      <c r="AA84" s="491"/>
      <c r="AB84" s="2752"/>
      <c r="AD84" s="2730">
        <v>1</v>
      </c>
    </row>
    <row r="85" spans="2:30" ht="18" customHeight="1">
      <c r="B85" s="2738" t="str">
        <f t="shared" si="12"/>
        <v>►</v>
      </c>
      <c r="C85" s="1077">
        <f>LARGE(C67:C84,1)+1</f>
        <v>19</v>
      </c>
      <c r="D85" s="1101"/>
      <c r="E85" s="1101"/>
      <c r="F85" s="1101"/>
      <c r="G85" s="1101"/>
      <c r="H85" s="1058"/>
      <c r="I85" s="1058"/>
      <c r="J85" s="2940">
        <f>H85/H106*1000</f>
        <v>0</v>
      </c>
      <c r="K85" s="1023"/>
      <c r="L85" s="1023"/>
      <c r="M85" s="1024">
        <f>H85/H106</f>
        <v>0</v>
      </c>
      <c r="N85" s="1059">
        <f>M85*N64</f>
        <v>0</v>
      </c>
      <c r="O85" s="1059"/>
      <c r="P85" s="1059"/>
      <c r="Q85" s="1103">
        <v>0</v>
      </c>
      <c r="R85" s="1027">
        <f t="shared" si="10"/>
        <v>0</v>
      </c>
      <c r="T85" s="2751" t="str">
        <f t="shared" si="11"/>
        <v>►</v>
      </c>
      <c r="U85" s="2736" t="str">
        <f>IF(ISBLANK(V85),"",LARGE(U66:U84,1)+1)</f>
        <v/>
      </c>
      <c r="V85" s="491"/>
      <c r="W85" s="491"/>
      <c r="X85" s="491"/>
      <c r="Y85" s="491"/>
      <c r="Z85" s="491"/>
      <c r="AA85" s="491"/>
      <c r="AB85" s="2752"/>
      <c r="AD85" s="2730">
        <v>1</v>
      </c>
    </row>
    <row r="86" spans="2:30" ht="18" customHeight="1">
      <c r="B86" s="2738" t="str">
        <f t="shared" si="12"/>
        <v>►</v>
      </c>
      <c r="C86" s="1078">
        <f>LARGE(C67:C85,1)+1</f>
        <v>20</v>
      </c>
      <c r="D86" s="1100"/>
      <c r="E86" s="1100"/>
      <c r="F86" s="1100"/>
      <c r="G86" s="1100"/>
      <c r="H86" s="1060"/>
      <c r="I86" s="1060"/>
      <c r="J86" s="2939">
        <f>H86/H106*1000</f>
        <v>0</v>
      </c>
      <c r="K86" s="1029"/>
      <c r="L86" s="1029"/>
      <c r="M86" s="1030">
        <f>H86/H106</f>
        <v>0</v>
      </c>
      <c r="N86" s="1061">
        <f>M86*N64</f>
        <v>0</v>
      </c>
      <c r="O86" s="1061"/>
      <c r="P86" s="1061"/>
      <c r="Q86" s="1104">
        <v>0</v>
      </c>
      <c r="R86" s="1033">
        <f t="shared" si="10"/>
        <v>0</v>
      </c>
      <c r="T86" s="2751" t="str">
        <f t="shared" si="11"/>
        <v>►</v>
      </c>
      <c r="U86" s="2736" t="str">
        <f>IF(ISBLANK(V86),"",LARGE(U66:U85,1)+1)</f>
        <v/>
      </c>
      <c r="V86" s="491"/>
      <c r="W86" s="491"/>
      <c r="X86" s="491"/>
      <c r="Y86" s="491"/>
      <c r="Z86" s="491"/>
      <c r="AA86" s="491"/>
      <c r="AB86" s="2752"/>
      <c r="AD86" s="2730">
        <v>1</v>
      </c>
    </row>
    <row r="87" spans="2:30" ht="18" customHeight="1">
      <c r="B87" s="2738" t="str">
        <f t="shared" si="12"/>
        <v>►</v>
      </c>
      <c r="C87" s="1077">
        <f>LARGE(C67:C86,1)+1</f>
        <v>21</v>
      </c>
      <c r="D87" s="1101"/>
      <c r="E87" s="1101"/>
      <c r="F87" s="1101"/>
      <c r="G87" s="1101"/>
      <c r="H87" s="1058"/>
      <c r="I87" s="1058"/>
      <c r="J87" s="2940">
        <f>H87/H106*1000</f>
        <v>0</v>
      </c>
      <c r="K87" s="1023"/>
      <c r="L87" s="1023"/>
      <c r="M87" s="1024">
        <f>H87/H106</f>
        <v>0</v>
      </c>
      <c r="N87" s="1059">
        <f>M87*N64</f>
        <v>0</v>
      </c>
      <c r="O87" s="1059"/>
      <c r="P87" s="1059"/>
      <c r="Q87" s="1103">
        <v>0</v>
      </c>
      <c r="R87" s="1027">
        <f t="shared" si="10"/>
        <v>0</v>
      </c>
      <c r="T87" s="2751" t="str">
        <f t="shared" si="11"/>
        <v>►</v>
      </c>
      <c r="U87" s="2736" t="str">
        <f>IF(ISBLANK(V87),"",LARGE(U66:U86,1)+1)</f>
        <v/>
      </c>
      <c r="V87" s="491"/>
      <c r="W87" s="491"/>
      <c r="X87" s="491"/>
      <c r="Y87" s="491"/>
      <c r="Z87" s="491"/>
      <c r="AA87" s="491"/>
      <c r="AB87" s="2752"/>
      <c r="AD87" s="2730">
        <v>1</v>
      </c>
    </row>
    <row r="88" spans="2:30" ht="18" customHeight="1">
      <c r="B88" s="2738" t="str">
        <f t="shared" si="12"/>
        <v>►</v>
      </c>
      <c r="C88" s="1078">
        <f>LARGE(C67:C87,1)+1</f>
        <v>22</v>
      </c>
      <c r="D88" s="1100"/>
      <c r="E88" s="1100"/>
      <c r="F88" s="1100"/>
      <c r="G88" s="1100"/>
      <c r="H88" s="1060"/>
      <c r="I88" s="1060"/>
      <c r="J88" s="2939">
        <f>H88/H106*1000</f>
        <v>0</v>
      </c>
      <c r="K88" s="1029"/>
      <c r="L88" s="1029"/>
      <c r="M88" s="1030">
        <f>H88/H106</f>
        <v>0</v>
      </c>
      <c r="N88" s="1061">
        <f>M88*N64</f>
        <v>0</v>
      </c>
      <c r="O88" s="1061"/>
      <c r="P88" s="1061"/>
      <c r="Q88" s="1104">
        <v>0</v>
      </c>
      <c r="R88" s="1033">
        <f t="shared" si="10"/>
        <v>0</v>
      </c>
      <c r="T88" s="2751" t="str">
        <f t="shared" si="11"/>
        <v>►</v>
      </c>
      <c r="U88" s="2736" t="str">
        <f>IF(ISBLANK(V88),"",LARGE(U66:U87,1)+1)</f>
        <v/>
      </c>
      <c r="V88" s="491"/>
      <c r="W88" s="491"/>
      <c r="X88" s="491"/>
      <c r="Y88" s="491"/>
      <c r="Z88" s="491"/>
      <c r="AA88" s="491"/>
      <c r="AB88" s="2752"/>
      <c r="AD88" s="2730">
        <v>1</v>
      </c>
    </row>
    <row r="89" spans="2:30" ht="18" customHeight="1">
      <c r="B89" s="2738" t="str">
        <f t="shared" si="12"/>
        <v>►</v>
      </c>
      <c r="C89" s="1077">
        <f>LARGE(C67:C88,1)+1</f>
        <v>23</v>
      </c>
      <c r="D89" s="1101"/>
      <c r="E89" s="1101"/>
      <c r="F89" s="1101"/>
      <c r="G89" s="1101"/>
      <c r="H89" s="1058"/>
      <c r="I89" s="1058"/>
      <c r="J89" s="2940">
        <f>H89/H106*1000</f>
        <v>0</v>
      </c>
      <c r="K89" s="1023"/>
      <c r="L89" s="1023"/>
      <c r="M89" s="1024">
        <f>H89/H106</f>
        <v>0</v>
      </c>
      <c r="N89" s="1059">
        <f>M89*N64</f>
        <v>0</v>
      </c>
      <c r="O89" s="1059"/>
      <c r="P89" s="1059"/>
      <c r="Q89" s="1103">
        <v>0</v>
      </c>
      <c r="R89" s="1027">
        <f t="shared" si="10"/>
        <v>0</v>
      </c>
      <c r="T89" s="2751" t="str">
        <f t="shared" si="11"/>
        <v>►</v>
      </c>
      <c r="U89" s="2736" t="str">
        <f>IF(ISBLANK(V89),"",LARGE(U66:U88,1)+1)</f>
        <v/>
      </c>
      <c r="V89" s="491"/>
      <c r="W89" s="491"/>
      <c r="X89" s="491"/>
      <c r="Y89" s="491"/>
      <c r="Z89" s="491"/>
      <c r="AA89" s="491"/>
      <c r="AB89" s="2752"/>
      <c r="AD89" s="2730">
        <v>1</v>
      </c>
    </row>
    <row r="90" spans="2:30" ht="18" customHeight="1">
      <c r="B90" s="2738" t="str">
        <f t="shared" si="12"/>
        <v>►</v>
      </c>
      <c r="C90" s="1078">
        <f>LARGE(C67:C89,1)+1</f>
        <v>24</v>
      </c>
      <c r="D90" s="1100"/>
      <c r="E90" s="1100"/>
      <c r="F90" s="1100"/>
      <c r="G90" s="1100"/>
      <c r="H90" s="1060"/>
      <c r="I90" s="1060"/>
      <c r="J90" s="2939">
        <f>H90/H106*1000</f>
        <v>0</v>
      </c>
      <c r="K90" s="1029"/>
      <c r="L90" s="1029"/>
      <c r="M90" s="1030">
        <f>H90/H106</f>
        <v>0</v>
      </c>
      <c r="N90" s="1061">
        <f>M90*N64</f>
        <v>0</v>
      </c>
      <c r="O90" s="1061"/>
      <c r="P90" s="1061"/>
      <c r="Q90" s="1104">
        <v>0</v>
      </c>
      <c r="R90" s="1033">
        <f t="shared" si="10"/>
        <v>0</v>
      </c>
      <c r="T90" s="2751" t="str">
        <f t="shared" si="11"/>
        <v>►</v>
      </c>
      <c r="U90" s="2736" t="str">
        <f>IF(ISBLANK(V90),"",LARGE(U66:U89,1)+1)</f>
        <v/>
      </c>
      <c r="V90" s="491"/>
      <c r="W90" s="491"/>
      <c r="X90" s="491"/>
      <c r="Y90" s="491"/>
      <c r="Z90" s="491"/>
      <c r="AA90" s="491"/>
      <c r="AB90" s="2752"/>
      <c r="AD90" s="2730">
        <v>1</v>
      </c>
    </row>
    <row r="91" spans="2:30" ht="18" customHeight="1">
      <c r="B91" s="2738" t="str">
        <f t="shared" si="12"/>
        <v>►</v>
      </c>
      <c r="C91" s="1077">
        <f>LARGE(C67:C90,1)+1</f>
        <v>25</v>
      </c>
      <c r="D91" s="1101"/>
      <c r="E91" s="1101"/>
      <c r="F91" s="1101"/>
      <c r="G91" s="1101"/>
      <c r="H91" s="1058"/>
      <c r="I91" s="1058"/>
      <c r="J91" s="2940">
        <f>H91/H106*1000</f>
        <v>0</v>
      </c>
      <c r="K91" s="1023"/>
      <c r="L91" s="1023"/>
      <c r="M91" s="1024">
        <f>H91/H106</f>
        <v>0</v>
      </c>
      <c r="N91" s="1059">
        <f>M91*N64</f>
        <v>0</v>
      </c>
      <c r="O91" s="1059"/>
      <c r="P91" s="1059"/>
      <c r="Q91" s="1103">
        <v>0</v>
      </c>
      <c r="R91" s="1027">
        <f t="shared" si="10"/>
        <v>0</v>
      </c>
      <c r="T91" s="2751" t="str">
        <f t="shared" si="11"/>
        <v>►</v>
      </c>
      <c r="U91" s="2736" t="str">
        <f>IF(ISBLANK(V91),"",LARGE(U66:U90,1)+1)</f>
        <v/>
      </c>
      <c r="V91" s="491"/>
      <c r="W91" s="491"/>
      <c r="X91" s="491"/>
      <c r="Y91" s="491"/>
      <c r="Z91" s="491"/>
      <c r="AA91" s="491"/>
      <c r="AB91" s="2752"/>
      <c r="AD91" s="2730">
        <v>1</v>
      </c>
    </row>
    <row r="92" spans="2:30" ht="18" customHeight="1">
      <c r="B92" s="2738" t="str">
        <f t="shared" si="12"/>
        <v>►</v>
      </c>
      <c r="C92" s="1078">
        <f>LARGE(C67:C91,1)+1</f>
        <v>26</v>
      </c>
      <c r="D92" s="1100"/>
      <c r="E92" s="1100"/>
      <c r="F92" s="1100"/>
      <c r="G92" s="1100"/>
      <c r="H92" s="1060"/>
      <c r="I92" s="1060"/>
      <c r="J92" s="2939">
        <f>H92/H106*1000</f>
        <v>0</v>
      </c>
      <c r="K92" s="1029"/>
      <c r="L92" s="1029"/>
      <c r="M92" s="1030">
        <f>H92/H106</f>
        <v>0</v>
      </c>
      <c r="N92" s="1061">
        <f>M92*N64</f>
        <v>0</v>
      </c>
      <c r="O92" s="1061"/>
      <c r="P92" s="1061"/>
      <c r="Q92" s="1104">
        <v>0</v>
      </c>
      <c r="R92" s="1033">
        <f t="shared" si="10"/>
        <v>0</v>
      </c>
      <c r="T92" s="2751" t="str">
        <f t="shared" si="11"/>
        <v>►</v>
      </c>
      <c r="U92" s="2736" t="str">
        <f>IF(ISBLANK(V92),"",LARGE(U66:U91,1)+1)</f>
        <v/>
      </c>
      <c r="V92" s="491"/>
      <c r="W92" s="491"/>
      <c r="X92" s="491"/>
      <c r="Y92" s="491"/>
      <c r="Z92" s="491"/>
      <c r="AA92" s="491"/>
      <c r="AB92" s="2752"/>
      <c r="AD92" s="2730">
        <v>1</v>
      </c>
    </row>
    <row r="93" spans="2:30" ht="18" customHeight="1">
      <c r="B93" s="2738" t="str">
        <f t="shared" si="12"/>
        <v>►</v>
      </c>
      <c r="C93" s="1077">
        <f>LARGE(C67:C92,1)+1</f>
        <v>27</v>
      </c>
      <c r="D93" s="1101"/>
      <c r="E93" s="1101"/>
      <c r="F93" s="1101"/>
      <c r="G93" s="1101"/>
      <c r="H93" s="1058"/>
      <c r="I93" s="1058"/>
      <c r="J93" s="2940">
        <f>H93/H106*1000</f>
        <v>0</v>
      </c>
      <c r="K93" s="1023"/>
      <c r="L93" s="1023"/>
      <c r="M93" s="1024">
        <f>H93/H106</f>
        <v>0</v>
      </c>
      <c r="N93" s="1059">
        <f>M93*N64</f>
        <v>0</v>
      </c>
      <c r="O93" s="1059"/>
      <c r="P93" s="1059"/>
      <c r="Q93" s="1103">
        <v>0</v>
      </c>
      <c r="R93" s="1027">
        <f t="shared" si="10"/>
        <v>0</v>
      </c>
      <c r="T93" s="2751" t="str">
        <f t="shared" si="11"/>
        <v>►</v>
      </c>
      <c r="U93" s="2736" t="str">
        <f>IF(ISBLANK(V93),"",LARGE(U66:U92,1)+1)</f>
        <v/>
      </c>
      <c r="V93" s="491"/>
      <c r="W93" s="491"/>
      <c r="X93" s="491"/>
      <c r="Y93" s="491"/>
      <c r="Z93" s="491"/>
      <c r="AA93" s="491"/>
      <c r="AB93" s="2752"/>
      <c r="AD93" s="2730">
        <v>1</v>
      </c>
    </row>
    <row r="94" spans="2:30" ht="18" customHeight="1">
      <c r="B94" s="2738" t="str">
        <f t="shared" si="12"/>
        <v>►</v>
      </c>
      <c r="C94" s="1078">
        <f>LARGE(C67:C93,1)+1</f>
        <v>28</v>
      </c>
      <c r="D94" s="1100"/>
      <c r="E94" s="1100"/>
      <c r="F94" s="1100"/>
      <c r="G94" s="1100"/>
      <c r="H94" s="1060"/>
      <c r="I94" s="1060"/>
      <c r="J94" s="2939">
        <f>H94/H106*1000</f>
        <v>0</v>
      </c>
      <c r="K94" s="1029"/>
      <c r="L94" s="1029"/>
      <c r="M94" s="1030">
        <f>H94/H106</f>
        <v>0</v>
      </c>
      <c r="N94" s="1061">
        <f>M94*N64</f>
        <v>0</v>
      </c>
      <c r="O94" s="1061"/>
      <c r="P94" s="1061"/>
      <c r="Q94" s="1104">
        <v>0</v>
      </c>
      <c r="R94" s="1033">
        <f t="shared" si="10"/>
        <v>0</v>
      </c>
      <c r="T94" s="2751" t="str">
        <f t="shared" si="11"/>
        <v>►</v>
      </c>
      <c r="U94" s="2736" t="str">
        <f>IF(ISBLANK(V94),"",LARGE(U66:U93,1)+1)</f>
        <v/>
      </c>
      <c r="V94" s="491"/>
      <c r="W94" s="491"/>
      <c r="X94" s="491"/>
      <c r="Y94" s="491"/>
      <c r="Z94" s="491"/>
      <c r="AA94" s="491"/>
      <c r="AB94" s="2752"/>
      <c r="AD94" s="2730">
        <v>1</v>
      </c>
    </row>
    <row r="95" spans="2:30" ht="18" customHeight="1">
      <c r="B95" s="2738" t="str">
        <f t="shared" si="12"/>
        <v>►</v>
      </c>
      <c r="C95" s="1077">
        <f>LARGE(C67:C94,1)+1</f>
        <v>29</v>
      </c>
      <c r="D95" s="1101"/>
      <c r="E95" s="1101"/>
      <c r="F95" s="1101"/>
      <c r="G95" s="1101"/>
      <c r="H95" s="1058"/>
      <c r="I95" s="1058"/>
      <c r="J95" s="2940">
        <f>H95/H106*1000</f>
        <v>0</v>
      </c>
      <c r="K95" s="1023"/>
      <c r="L95" s="1023"/>
      <c r="M95" s="1024">
        <f>H95/H106</f>
        <v>0</v>
      </c>
      <c r="N95" s="1059">
        <f>M95*N64</f>
        <v>0</v>
      </c>
      <c r="O95" s="1059"/>
      <c r="P95" s="1059"/>
      <c r="Q95" s="1103">
        <v>0</v>
      </c>
      <c r="R95" s="1027">
        <f t="shared" si="10"/>
        <v>0</v>
      </c>
      <c r="T95" s="2751" t="str">
        <f t="shared" si="11"/>
        <v>►</v>
      </c>
      <c r="U95" s="2736" t="str">
        <f>IF(ISBLANK(V95),"",LARGE(U66:U94,1)+1)</f>
        <v/>
      </c>
      <c r="V95" s="491"/>
      <c r="W95" s="491"/>
      <c r="X95" s="491"/>
      <c r="Y95" s="491"/>
      <c r="Z95" s="491"/>
      <c r="AA95" s="491"/>
      <c r="AB95" s="2752"/>
      <c r="AD95" s="2730">
        <v>1</v>
      </c>
    </row>
    <row r="96" spans="2:30" ht="18" customHeight="1">
      <c r="B96" s="2738" t="str">
        <f t="shared" si="12"/>
        <v>►</v>
      </c>
      <c r="C96" s="1078">
        <f>LARGE(C67:C95,1)+1</f>
        <v>30</v>
      </c>
      <c r="D96" s="1100"/>
      <c r="E96" s="1100"/>
      <c r="F96" s="1100"/>
      <c r="G96" s="1100"/>
      <c r="H96" s="1060"/>
      <c r="I96" s="1060"/>
      <c r="J96" s="2939">
        <f>H96/H106*1000</f>
        <v>0</v>
      </c>
      <c r="K96" s="1029"/>
      <c r="L96" s="1029"/>
      <c r="M96" s="1030">
        <f>H96/H106</f>
        <v>0</v>
      </c>
      <c r="N96" s="1061">
        <f>M96*N64</f>
        <v>0</v>
      </c>
      <c r="O96" s="1061"/>
      <c r="P96" s="1061"/>
      <c r="Q96" s="1104">
        <v>0</v>
      </c>
      <c r="R96" s="1033">
        <f t="shared" si="10"/>
        <v>0</v>
      </c>
      <c r="T96" s="2751" t="str">
        <f t="shared" si="11"/>
        <v>►</v>
      </c>
      <c r="U96" s="2736" t="str">
        <f>IF(ISBLANK(V96),"",LARGE(U66:U95,1)+1)</f>
        <v/>
      </c>
      <c r="V96" s="491"/>
      <c r="W96" s="491"/>
      <c r="X96" s="491"/>
      <c r="Y96" s="491"/>
      <c r="Z96" s="491"/>
      <c r="AA96" s="491"/>
      <c r="AB96" s="2752"/>
      <c r="AD96" s="2730">
        <v>1</v>
      </c>
    </row>
    <row r="97" spans="2:30" ht="18" customHeight="1">
      <c r="B97" s="2738" t="str">
        <f t="shared" si="12"/>
        <v>►</v>
      </c>
      <c r="C97" s="1077">
        <f>LARGE(C67:C96,1)+1</f>
        <v>31</v>
      </c>
      <c r="D97" s="1101"/>
      <c r="E97" s="1101"/>
      <c r="F97" s="1101"/>
      <c r="G97" s="1101"/>
      <c r="H97" s="1058"/>
      <c r="I97" s="1058"/>
      <c r="J97" s="2940">
        <f>H97/H106*1000</f>
        <v>0</v>
      </c>
      <c r="K97" s="1023"/>
      <c r="L97" s="1023"/>
      <c r="M97" s="1024">
        <f>H97/H106</f>
        <v>0</v>
      </c>
      <c r="N97" s="1059">
        <f>M97*N64</f>
        <v>0</v>
      </c>
      <c r="O97" s="1059"/>
      <c r="P97" s="1059"/>
      <c r="Q97" s="1103">
        <v>0</v>
      </c>
      <c r="R97" s="1027">
        <f t="shared" si="10"/>
        <v>0</v>
      </c>
      <c r="T97" s="2751" t="str">
        <f t="shared" si="11"/>
        <v>►</v>
      </c>
      <c r="U97" s="2736" t="str">
        <f>IF(ISBLANK(V97),"",LARGE(U66:U96,1)+1)</f>
        <v/>
      </c>
      <c r="V97" s="491"/>
      <c r="W97" s="491"/>
      <c r="X97" s="491"/>
      <c r="Y97" s="491"/>
      <c r="Z97" s="491"/>
      <c r="AA97" s="491"/>
      <c r="AB97" s="2752"/>
      <c r="AD97" s="2730">
        <v>1</v>
      </c>
    </row>
    <row r="98" spans="2:30" ht="18" customHeight="1">
      <c r="B98" s="2738" t="str">
        <f t="shared" si="12"/>
        <v>►</v>
      </c>
      <c r="C98" s="1078">
        <f>LARGE(C67:C97,1)+1</f>
        <v>32</v>
      </c>
      <c r="D98" s="1100"/>
      <c r="E98" s="1100"/>
      <c r="F98" s="1100"/>
      <c r="G98" s="1100"/>
      <c r="H98" s="1060"/>
      <c r="I98" s="1060"/>
      <c r="J98" s="2939">
        <f>H98/H106*1000</f>
        <v>0</v>
      </c>
      <c r="K98" s="1029"/>
      <c r="L98" s="1029"/>
      <c r="M98" s="1030">
        <f>H98/H106</f>
        <v>0</v>
      </c>
      <c r="N98" s="1061">
        <f>M98*N64</f>
        <v>0</v>
      </c>
      <c r="O98" s="1061"/>
      <c r="P98" s="1061"/>
      <c r="Q98" s="1104">
        <v>0</v>
      </c>
      <c r="R98" s="1033">
        <f t="shared" si="10"/>
        <v>0</v>
      </c>
      <c r="T98" s="2751" t="str">
        <f t="shared" si="11"/>
        <v>►</v>
      </c>
      <c r="U98" s="2736" t="str">
        <f>IF(ISBLANK(V98),"",LARGE(U66:U97,1)+1)</f>
        <v/>
      </c>
      <c r="V98" s="491"/>
      <c r="W98" s="491"/>
      <c r="X98" s="491"/>
      <c r="Y98" s="491"/>
      <c r="Z98" s="491"/>
      <c r="AA98" s="491"/>
      <c r="AB98" s="2752"/>
      <c r="AD98" s="2730">
        <v>1</v>
      </c>
    </row>
    <row r="99" spans="2:30" ht="18" customHeight="1">
      <c r="B99" s="2738" t="str">
        <f t="shared" si="12"/>
        <v>►</v>
      </c>
      <c r="C99" s="1077">
        <f>LARGE(C67:C98,1)+1</f>
        <v>33</v>
      </c>
      <c r="D99" s="1101"/>
      <c r="E99" s="1101"/>
      <c r="F99" s="1101"/>
      <c r="G99" s="1101"/>
      <c r="H99" s="1058"/>
      <c r="I99" s="1058"/>
      <c r="J99" s="2940">
        <f>H99/H106*1000</f>
        <v>0</v>
      </c>
      <c r="K99" s="1023"/>
      <c r="L99" s="1023"/>
      <c r="M99" s="1024">
        <f>H99/H106</f>
        <v>0</v>
      </c>
      <c r="N99" s="1059">
        <f>M99*N64</f>
        <v>0</v>
      </c>
      <c r="O99" s="1059"/>
      <c r="P99" s="1059"/>
      <c r="Q99" s="1103">
        <v>0</v>
      </c>
      <c r="R99" s="1027">
        <f t="shared" si="10"/>
        <v>0</v>
      </c>
      <c r="T99" s="2928" t="s">
        <v>337</v>
      </c>
      <c r="U99" s="2736" t="str">
        <f>IF(ISBLANK(V99),"",LARGE(U66:U98,1)+1)</f>
        <v/>
      </c>
      <c r="V99" s="491"/>
      <c r="W99" s="491"/>
      <c r="X99" s="491"/>
      <c r="Y99" s="491"/>
      <c r="Z99" s="491"/>
      <c r="AA99" s="491"/>
      <c r="AB99" s="2752"/>
      <c r="AD99" s="2730">
        <v>1</v>
      </c>
    </row>
    <row r="100" spans="2:30" ht="18" customHeight="1">
      <c r="B100" s="2738" t="str">
        <f t="shared" si="12"/>
        <v>►</v>
      </c>
      <c r="C100" s="1078">
        <f>LARGE(C67:C99,1)+1</f>
        <v>34</v>
      </c>
      <c r="D100" s="1100"/>
      <c r="E100" s="1100"/>
      <c r="F100" s="1100"/>
      <c r="G100" s="1100"/>
      <c r="H100" s="1060"/>
      <c r="I100" s="1060"/>
      <c r="J100" s="2939">
        <f>H100/H106*1000</f>
        <v>0</v>
      </c>
      <c r="K100" s="1029"/>
      <c r="L100" s="1029"/>
      <c r="M100" s="1030">
        <f>H100/H106</f>
        <v>0</v>
      </c>
      <c r="N100" s="1061">
        <f>M100*N64</f>
        <v>0</v>
      </c>
      <c r="O100" s="1061"/>
      <c r="P100" s="1061"/>
      <c r="Q100" s="1104">
        <v>0</v>
      </c>
      <c r="R100" s="1033">
        <f t="shared" si="10"/>
        <v>0</v>
      </c>
      <c r="T100" s="2928" t="s">
        <v>337</v>
      </c>
      <c r="U100" s="2736" t="str">
        <f>IF(ISBLANK(V100),"",LARGE(U66:U99,1)+1)</f>
        <v/>
      </c>
      <c r="V100" s="491"/>
      <c r="W100" s="491"/>
      <c r="X100" s="491"/>
      <c r="Y100" s="491"/>
      <c r="Z100" s="491"/>
      <c r="AA100" s="491"/>
      <c r="AB100" s="2752"/>
      <c r="AD100" s="2730">
        <v>1</v>
      </c>
    </row>
    <row r="101" spans="2:30" ht="18" customHeight="1">
      <c r="B101" s="2738" t="str">
        <f t="shared" si="12"/>
        <v>►</v>
      </c>
      <c r="C101" s="1077">
        <f>LARGE(C67:C100,1)+1</f>
        <v>35</v>
      </c>
      <c r="D101" s="1101"/>
      <c r="E101" s="1101"/>
      <c r="F101" s="1101"/>
      <c r="G101" s="1101"/>
      <c r="H101" s="1058"/>
      <c r="I101" s="1058"/>
      <c r="J101" s="2940">
        <f>H101/H106*1000</f>
        <v>0</v>
      </c>
      <c r="K101" s="1023"/>
      <c r="L101" s="1023"/>
      <c r="M101" s="1024">
        <f>H101/H106</f>
        <v>0</v>
      </c>
      <c r="N101" s="1059">
        <f>M101*N64</f>
        <v>0</v>
      </c>
      <c r="O101" s="1059"/>
      <c r="P101" s="1059"/>
      <c r="Q101" s="1103">
        <v>0</v>
      </c>
      <c r="R101" s="1027">
        <f t="shared" si="10"/>
        <v>0</v>
      </c>
      <c r="T101" s="2928" t="s">
        <v>337</v>
      </c>
      <c r="U101" s="2736" t="str">
        <f>IF(ISBLANK(V101),"",LARGE(U66:U100,1)+1)</f>
        <v/>
      </c>
      <c r="V101" s="491"/>
      <c r="W101" s="491"/>
      <c r="X101" s="491"/>
      <c r="Y101" s="491"/>
      <c r="Z101" s="491"/>
      <c r="AA101" s="491"/>
      <c r="AB101" s="2752"/>
      <c r="AD101" s="2730">
        <v>1</v>
      </c>
    </row>
    <row r="102" spans="2:30" ht="18" customHeight="1">
      <c r="B102" s="2738" t="str">
        <f t="shared" si="12"/>
        <v>►</v>
      </c>
      <c r="C102" s="1078">
        <f>LARGE(C67:C101,1)+1</f>
        <v>36</v>
      </c>
      <c r="D102" s="1100"/>
      <c r="E102" s="1100"/>
      <c r="F102" s="1100"/>
      <c r="G102" s="1100"/>
      <c r="H102" s="1060"/>
      <c r="I102" s="1060"/>
      <c r="J102" s="2939">
        <f>H102/H106*1000</f>
        <v>0</v>
      </c>
      <c r="K102" s="1029"/>
      <c r="L102" s="1029"/>
      <c r="M102" s="1030">
        <f>H102/H106</f>
        <v>0</v>
      </c>
      <c r="N102" s="1061">
        <f>M102*N64</f>
        <v>0</v>
      </c>
      <c r="O102" s="1061"/>
      <c r="P102" s="1061"/>
      <c r="Q102" s="1104">
        <v>0</v>
      </c>
      <c r="R102" s="1033">
        <f t="shared" si="10"/>
        <v>0</v>
      </c>
      <c r="T102" s="2928" t="s">
        <v>337</v>
      </c>
      <c r="U102" s="1491"/>
      <c r="V102" s="7924" t="s">
        <v>1927</v>
      </c>
      <c r="W102" s="7924"/>
      <c r="X102" s="7924"/>
      <c r="Y102" s="7924"/>
      <c r="Z102" s="7924"/>
      <c r="AA102" s="7924"/>
      <c r="AB102" s="7925"/>
      <c r="AD102" s="2730">
        <v>1</v>
      </c>
    </row>
    <row r="103" spans="2:30" ht="15.75">
      <c r="B103" s="2738" t="str">
        <f t="shared" si="12"/>
        <v>►</v>
      </c>
      <c r="C103" s="1077">
        <f>LARGE(C67:C102,1)+1</f>
        <v>37</v>
      </c>
      <c r="D103" s="1101"/>
      <c r="E103" s="1101"/>
      <c r="F103" s="1101"/>
      <c r="G103" s="1101"/>
      <c r="H103" s="1058"/>
      <c r="I103" s="1058"/>
      <c r="J103" s="2940">
        <f>H103/H106*1000</f>
        <v>0</v>
      </c>
      <c r="K103" s="1023"/>
      <c r="L103" s="1023"/>
      <c r="M103" s="1024">
        <f>H103/H106</f>
        <v>0</v>
      </c>
      <c r="N103" s="1059">
        <f>M103*N64</f>
        <v>0</v>
      </c>
      <c r="O103" s="1059"/>
      <c r="P103" s="1059"/>
      <c r="Q103" s="1103">
        <v>0</v>
      </c>
      <c r="R103" s="1027">
        <f t="shared" si="10"/>
        <v>0</v>
      </c>
      <c r="T103" s="2928" t="s">
        <v>337</v>
      </c>
      <c r="U103" s="1082" t="s">
        <v>7</v>
      </c>
      <c r="V103" s="1049" t="str">
        <f ca="1">CELL("nomfichier")</f>
        <v>D:\Données\1.UPRT\0-UPRT.fait\1-UPRT.FR-SITE-WEB\ff-fiches-fabrications\ff.fiches.fabrication.2023\UPRT.23.aout\[ff-20-CHARCUTERIE-michel-Mariette.BOUDIN.BLANC_-1.xlsx]Exemples Michel Mariette</v>
      </c>
      <c r="W103" s="34"/>
      <c r="X103" s="15"/>
      <c r="Y103" s="15"/>
      <c r="Z103" s="15"/>
      <c r="AA103" s="15"/>
      <c r="AB103" s="1050"/>
      <c r="AD103" s="2730">
        <v>1</v>
      </c>
    </row>
    <row r="104" spans="2:30" ht="15.75">
      <c r="B104" s="2738" t="str">
        <f t="shared" si="12"/>
        <v>►</v>
      </c>
      <c r="C104" s="1078">
        <f>LARGE(C67:C103,1)+1</f>
        <v>38</v>
      </c>
      <c r="D104" s="1100"/>
      <c r="E104" s="1100"/>
      <c r="F104" s="1100"/>
      <c r="G104" s="1100"/>
      <c r="H104" s="1060"/>
      <c r="I104" s="1060"/>
      <c r="J104" s="2939">
        <f>H104/H106*1000</f>
        <v>0</v>
      </c>
      <c r="K104" s="1029"/>
      <c r="L104" s="1029"/>
      <c r="M104" s="1030">
        <f>H104/H106</f>
        <v>0</v>
      </c>
      <c r="N104" s="1061">
        <f>M104*N64</f>
        <v>0</v>
      </c>
      <c r="O104" s="1061"/>
      <c r="P104" s="1061"/>
      <c r="Q104" s="1104">
        <v>0</v>
      </c>
      <c r="R104" s="1033">
        <f t="shared" si="10"/>
        <v>0</v>
      </c>
      <c r="T104" s="2928" t="s">
        <v>337</v>
      </c>
      <c r="U104" s="1083" t="s">
        <v>1778</v>
      </c>
      <c r="V104" s="34"/>
      <c r="W104" s="1049"/>
      <c r="X104" s="15"/>
      <c r="Y104" s="15"/>
      <c r="Z104" s="15"/>
      <c r="AA104" s="15"/>
      <c r="AB104" s="1050"/>
      <c r="AD104" s="2730">
        <v>1</v>
      </c>
    </row>
    <row r="105" spans="2:30" ht="16.5" thickBot="1">
      <c r="B105" s="2928" t="s">
        <v>337</v>
      </c>
      <c r="C105" s="1077">
        <f>LARGE(C67:C104,1)+1</f>
        <v>39</v>
      </c>
      <c r="D105" s="1101"/>
      <c r="E105" s="1101"/>
      <c r="F105" s="1101"/>
      <c r="G105" s="1101"/>
      <c r="H105" s="1058"/>
      <c r="I105" s="1058"/>
      <c r="J105" s="2940">
        <f>H105/H106*1000</f>
        <v>0</v>
      </c>
      <c r="K105" s="1023"/>
      <c r="L105" s="1023"/>
      <c r="M105" s="1024">
        <f>H105/H106</f>
        <v>0</v>
      </c>
      <c r="N105" s="1059">
        <f>M105*N64</f>
        <v>0</v>
      </c>
      <c r="O105" s="1059"/>
      <c r="P105" s="1059"/>
      <c r="Q105" s="1103">
        <v>0</v>
      </c>
      <c r="R105" s="1027">
        <f t="shared" si="10"/>
        <v>0</v>
      </c>
      <c r="T105" s="2928" t="s">
        <v>337</v>
      </c>
      <c r="U105" s="1083" t="s">
        <v>1776</v>
      </c>
      <c r="V105" s="34"/>
      <c r="W105" s="1049"/>
      <c r="X105" s="15"/>
      <c r="Y105" s="15"/>
      <c r="Z105" s="15"/>
      <c r="AA105" s="15"/>
      <c r="AB105" s="1050"/>
      <c r="AD105" s="2730">
        <v>1</v>
      </c>
    </row>
    <row r="106" spans="2:30" ht="17.25" thickTop="1" thickBot="1">
      <c r="B106" s="2942" t="s">
        <v>337</v>
      </c>
      <c r="C106" s="7916" t="s">
        <v>20</v>
      </c>
      <c r="D106" s="7858"/>
      <c r="E106" s="1079"/>
      <c r="F106" s="1079">
        <f>SUM(F67:F105)</f>
        <v>1</v>
      </c>
      <c r="G106" s="1498">
        <f>H106*1000</f>
        <v>10488000</v>
      </c>
      <c r="H106" s="1062">
        <f>SUM(H67:H105)</f>
        <v>10488</v>
      </c>
      <c r="I106" s="1062"/>
      <c r="J106" s="1041">
        <f>SUM(J67:J105)</f>
        <v>999.99999999999989</v>
      </c>
      <c r="K106" s="1041"/>
      <c r="L106" s="1041"/>
      <c r="M106" s="1042">
        <f>SUM(M67:M105)</f>
        <v>1.0000000000000002</v>
      </c>
      <c r="N106" s="1043">
        <f>SUM(N67:N105)/1000</f>
        <v>0.49999999999999994</v>
      </c>
      <c r="O106" s="1043"/>
      <c r="P106" s="1043"/>
      <c r="Q106" s="1044"/>
      <c r="R106" s="1045">
        <f>SUM(R67:R105)</f>
        <v>0.5434782608695653</v>
      </c>
      <c r="T106" s="2942" t="s">
        <v>337</v>
      </c>
      <c r="U106" s="1051" t="s">
        <v>8</v>
      </c>
      <c r="V106" s="1084"/>
      <c r="W106" s="1052"/>
      <c r="X106" s="1052"/>
      <c r="Y106" s="1052"/>
      <c r="Z106" s="1052"/>
      <c r="AA106" s="1052"/>
      <c r="AB106" s="1053"/>
      <c r="AD106" s="2730">
        <v>1</v>
      </c>
    </row>
    <row r="107" spans="2:30" ht="13.5" thickBot="1">
      <c r="AD107" s="2730">
        <v>1</v>
      </c>
    </row>
    <row r="108" spans="2:30">
      <c r="B108" s="2933" t="s">
        <v>67</v>
      </c>
      <c r="C108" s="7729" t="s">
        <v>1929</v>
      </c>
      <c r="D108" s="7729"/>
      <c r="E108" s="7729"/>
      <c r="F108" s="7729"/>
      <c r="G108" s="7729"/>
      <c r="H108" s="7729"/>
      <c r="I108" s="7729"/>
      <c r="J108" s="7729"/>
      <c r="K108" s="7731" t="s">
        <v>65</v>
      </c>
      <c r="AD108" s="2730">
        <v>1</v>
      </c>
    </row>
    <row r="109" spans="2:30" ht="15">
      <c r="B109" s="2928" t="s">
        <v>337</v>
      </c>
      <c r="C109" s="7730"/>
      <c r="D109" s="7730"/>
      <c r="E109" s="7730"/>
      <c r="F109" s="7730"/>
      <c r="G109" s="7730"/>
      <c r="H109" s="7730"/>
      <c r="I109" s="7730"/>
      <c r="J109" s="7730"/>
      <c r="K109" s="7732"/>
      <c r="AD109" s="2730">
        <v>1</v>
      </c>
    </row>
    <row r="110" spans="2:30" ht="15">
      <c r="B110" s="2928" t="s">
        <v>337</v>
      </c>
      <c r="C110" s="7730" t="s">
        <v>1930</v>
      </c>
      <c r="D110" s="7730"/>
      <c r="E110" s="7730"/>
      <c r="F110" s="7730"/>
      <c r="G110" s="7730"/>
      <c r="H110" s="7730"/>
      <c r="I110" s="7730"/>
      <c r="J110" s="7730"/>
      <c r="K110" s="7929"/>
      <c r="AD110" s="2730">
        <v>1</v>
      </c>
    </row>
    <row r="111" spans="2:30" ht="18.75">
      <c r="B111" s="2928" t="s">
        <v>337</v>
      </c>
      <c r="C111" s="7733" t="s">
        <v>1903</v>
      </c>
      <c r="D111" s="7733"/>
      <c r="E111" s="7733"/>
      <c r="F111" s="7733"/>
      <c r="G111" s="7733"/>
      <c r="H111" s="7733"/>
      <c r="I111" s="7733"/>
      <c r="J111" s="7733"/>
      <c r="K111" s="7734"/>
      <c r="AD111" s="2730">
        <v>1</v>
      </c>
    </row>
    <row r="112" spans="2:30" ht="15">
      <c r="B112" s="2928" t="s">
        <v>337</v>
      </c>
      <c r="C112" s="2735"/>
      <c r="D112" s="34"/>
      <c r="E112" s="34"/>
      <c r="F112" s="34"/>
      <c r="G112" s="34"/>
      <c r="H112" s="1065"/>
      <c r="I112" s="7930" t="s">
        <v>1931</v>
      </c>
      <c r="J112" s="7930"/>
      <c r="K112" s="7931">
        <v>10</v>
      </c>
      <c r="AD112" s="2730">
        <v>1</v>
      </c>
    </row>
    <row r="113" spans="2:30" ht="15">
      <c r="B113" s="2928" t="s">
        <v>337</v>
      </c>
      <c r="C113" s="2735"/>
      <c r="D113" s="34"/>
      <c r="E113" s="34"/>
      <c r="F113" s="34"/>
      <c r="G113" s="34"/>
      <c r="H113" s="1065"/>
      <c r="I113" s="7930"/>
      <c r="J113" s="7930"/>
      <c r="K113" s="7932"/>
      <c r="AD113" s="2730">
        <v>1</v>
      </c>
    </row>
    <row r="114" spans="2:30" ht="15.75">
      <c r="B114" s="2928" t="s">
        <v>337</v>
      </c>
      <c r="C114" s="7919" t="s">
        <v>1253</v>
      </c>
      <c r="D114" s="7920"/>
      <c r="E114" s="7613"/>
      <c r="F114" s="1467" t="s">
        <v>59</v>
      </c>
      <c r="G114" s="1468" t="s">
        <v>58</v>
      </c>
      <c r="H114" s="1469" t="s">
        <v>61</v>
      </c>
      <c r="I114" s="1470"/>
      <c r="J114" s="1472" t="s">
        <v>1932</v>
      </c>
      <c r="K114" s="1473" t="s">
        <v>1254</v>
      </c>
      <c r="AD114" s="2730">
        <v>1</v>
      </c>
    </row>
    <row r="115" spans="2:30" ht="15.75">
      <c r="B115" s="2738" t="str">
        <f t="shared" ref="B115" si="13">IF(D115&lt;&gt;"","A","►")</f>
        <v>A</v>
      </c>
      <c r="C115" s="2941">
        <v>1</v>
      </c>
      <c r="D115" s="1474" t="s">
        <v>1904</v>
      </c>
      <c r="E115" s="1474"/>
      <c r="F115" s="1475"/>
      <c r="G115" s="1475"/>
      <c r="H115" s="1476">
        <v>3.0000000000000001E-3</v>
      </c>
      <c r="I115" s="1477">
        <f t="shared" ref="I115:I153" si="14">IF(ISBLANK(F115),H115,(H115*F115))</f>
        <v>3.0000000000000001E-3</v>
      </c>
      <c r="J115" s="1481">
        <v>0.13</v>
      </c>
      <c r="K115" s="1482">
        <f t="shared" ref="K115:K153" si="15">IF(I115=0,F115*J115,I115*J115)</f>
        <v>3.9000000000000005E-4</v>
      </c>
      <c r="AD115" s="2730">
        <v>1</v>
      </c>
    </row>
    <row r="116" spans="2:30" ht="15.75">
      <c r="B116" s="2738" t="str">
        <f>IF(D116&lt;&gt;"","A","►")</f>
        <v>A</v>
      </c>
      <c r="C116" s="2734">
        <f>LARGE(C115:C115,1)+1</f>
        <v>2</v>
      </c>
      <c r="D116" s="1075" t="s">
        <v>1905</v>
      </c>
      <c r="E116" s="1075"/>
      <c r="F116" s="1483">
        <v>1</v>
      </c>
      <c r="G116" s="1483" t="s">
        <v>1906</v>
      </c>
      <c r="H116" s="1484">
        <v>0.5</v>
      </c>
      <c r="I116" s="1485">
        <f t="shared" si="14"/>
        <v>0.5</v>
      </c>
      <c r="J116" s="1032">
        <v>3.3</v>
      </c>
      <c r="K116" s="1033">
        <f t="shared" si="15"/>
        <v>1.65</v>
      </c>
      <c r="AD116" s="2730">
        <v>1</v>
      </c>
    </row>
    <row r="117" spans="2:30" ht="15.75">
      <c r="B117" s="2738" t="str">
        <f t="shared" ref="B117:B151" si="16">IF(D117&lt;&gt;"","A","►")</f>
        <v>A</v>
      </c>
      <c r="C117" s="2733">
        <f>LARGE(C115:C116,1)+1</f>
        <v>3</v>
      </c>
      <c r="D117" s="1474" t="s">
        <v>814</v>
      </c>
      <c r="E117" s="1474"/>
      <c r="F117" s="1475">
        <v>1</v>
      </c>
      <c r="G117" s="1475" t="s">
        <v>1906</v>
      </c>
      <c r="H117" s="1476"/>
      <c r="I117" s="1488">
        <f t="shared" si="14"/>
        <v>0</v>
      </c>
      <c r="J117" s="1026">
        <v>0.62</v>
      </c>
      <c r="K117" s="1027">
        <f t="shared" si="15"/>
        <v>0.62</v>
      </c>
      <c r="AD117" s="2730">
        <v>1</v>
      </c>
    </row>
    <row r="118" spans="2:30" ht="15.75">
      <c r="B118" s="2738" t="str">
        <f t="shared" si="16"/>
        <v>A</v>
      </c>
      <c r="C118" s="2734">
        <f>LARGE(C115:C117,1)+1</f>
        <v>4</v>
      </c>
      <c r="D118" s="1075" t="s">
        <v>1907</v>
      </c>
      <c r="E118" s="1075"/>
      <c r="F118" s="1483">
        <v>1</v>
      </c>
      <c r="G118" s="1483" t="s">
        <v>128</v>
      </c>
      <c r="H118" s="1484"/>
      <c r="I118" s="1485">
        <f t="shared" si="14"/>
        <v>0</v>
      </c>
      <c r="J118" s="1032">
        <v>0.57999999999999996</v>
      </c>
      <c r="K118" s="1033">
        <f t="shared" si="15"/>
        <v>0.57999999999999996</v>
      </c>
      <c r="AD118" s="2730">
        <v>1</v>
      </c>
    </row>
    <row r="119" spans="2:30" ht="15.75">
      <c r="B119" s="2738" t="str">
        <f t="shared" si="16"/>
        <v>A</v>
      </c>
      <c r="C119" s="2733">
        <f>LARGE(C115:C118,1)+1</f>
        <v>5</v>
      </c>
      <c r="D119" s="1474" t="s">
        <v>1908</v>
      </c>
      <c r="E119" s="1474"/>
      <c r="F119" s="1475"/>
      <c r="G119" s="1475"/>
      <c r="H119" s="1476">
        <v>0.05</v>
      </c>
      <c r="I119" s="1488">
        <f t="shared" si="14"/>
        <v>0.05</v>
      </c>
      <c r="J119" s="1026">
        <v>7.0000000000000007E-2</v>
      </c>
      <c r="K119" s="1027">
        <f t="shared" si="15"/>
        <v>3.5000000000000005E-3</v>
      </c>
      <c r="AD119" s="2730">
        <v>1</v>
      </c>
    </row>
    <row r="120" spans="2:30" ht="15.75">
      <c r="B120" s="2738" t="str">
        <f t="shared" si="16"/>
        <v>A</v>
      </c>
      <c r="C120" s="2734">
        <f>LARGE(C115:C119,1)+1</f>
        <v>6</v>
      </c>
      <c r="D120" s="1075" t="s">
        <v>1909</v>
      </c>
      <c r="E120" s="1075"/>
      <c r="F120" s="1483">
        <v>0.5</v>
      </c>
      <c r="G120" s="1483" t="s">
        <v>128</v>
      </c>
      <c r="H120" s="1484"/>
      <c r="I120" s="1485">
        <f t="shared" si="14"/>
        <v>0</v>
      </c>
      <c r="J120" s="1032">
        <v>0.28999999999999998</v>
      </c>
      <c r="K120" s="1033">
        <f t="shared" si="15"/>
        <v>0.14499999999999999</v>
      </c>
      <c r="AD120" s="2730">
        <v>1</v>
      </c>
    </row>
    <row r="121" spans="2:30" ht="15.75">
      <c r="B121" s="2738" t="str">
        <f t="shared" si="16"/>
        <v>A</v>
      </c>
      <c r="C121" s="2733">
        <f>LARGE(C115:C120,1)+1</f>
        <v>7</v>
      </c>
      <c r="D121" s="1474" t="s">
        <v>1910</v>
      </c>
      <c r="E121" s="1474"/>
      <c r="F121" s="1475">
        <v>4</v>
      </c>
      <c r="G121" s="1475" t="s">
        <v>126</v>
      </c>
      <c r="H121" s="1476"/>
      <c r="I121" s="1488">
        <f>IF(ISBLANK(F121),H121,(H121*F121))</f>
        <v>0</v>
      </c>
      <c r="J121" s="1026">
        <v>0.35</v>
      </c>
      <c r="K121" s="1027">
        <f t="shared" si="15"/>
        <v>1.4</v>
      </c>
      <c r="AD121" s="2730">
        <v>1</v>
      </c>
    </row>
    <row r="122" spans="2:30" ht="15.75">
      <c r="B122" s="2738" t="str">
        <f t="shared" si="16"/>
        <v>A</v>
      </c>
      <c r="C122" s="2734">
        <f>LARGE(C115:C121,1)+1</f>
        <v>8</v>
      </c>
      <c r="D122" s="1075" t="s">
        <v>1911</v>
      </c>
      <c r="E122" s="1075"/>
      <c r="F122" s="1483"/>
      <c r="G122" s="1483"/>
      <c r="H122" s="1484">
        <v>7.4999999999999997E-2</v>
      </c>
      <c r="I122" s="1485">
        <f t="shared" si="14"/>
        <v>7.4999999999999997E-2</v>
      </c>
      <c r="J122" s="1032">
        <v>0.4</v>
      </c>
      <c r="K122" s="1033">
        <f t="shared" si="15"/>
        <v>0.03</v>
      </c>
      <c r="AD122" s="2730">
        <v>1</v>
      </c>
    </row>
    <row r="123" spans="2:30" ht="15.75">
      <c r="B123" s="2738" t="str">
        <f t="shared" si="16"/>
        <v>A</v>
      </c>
      <c r="C123" s="2733">
        <f>LARGE(C115:C122,1)+1</f>
        <v>9</v>
      </c>
      <c r="D123" s="1474" t="s">
        <v>1912</v>
      </c>
      <c r="E123" s="1474"/>
      <c r="F123" s="1475"/>
      <c r="G123" s="1475"/>
      <c r="H123" s="1476">
        <v>0.12</v>
      </c>
      <c r="I123" s="1488">
        <f t="shared" si="14"/>
        <v>0.12</v>
      </c>
      <c r="J123" s="1026">
        <v>1.1000000000000001</v>
      </c>
      <c r="K123" s="1027">
        <f t="shared" si="15"/>
        <v>0.13200000000000001</v>
      </c>
      <c r="AD123" s="2730">
        <v>1</v>
      </c>
    </row>
    <row r="124" spans="2:30" ht="15.75">
      <c r="B124" s="2738" t="str">
        <f t="shared" si="16"/>
        <v>A</v>
      </c>
      <c r="C124" s="2734">
        <f>LARGE(C115:C123,1)+1</f>
        <v>10</v>
      </c>
      <c r="D124" s="1075" t="s">
        <v>1913</v>
      </c>
      <c r="E124" s="1075"/>
      <c r="F124" s="1483"/>
      <c r="G124" s="1483"/>
      <c r="H124" s="1484">
        <v>3.6999999999999998E-2</v>
      </c>
      <c r="I124" s="1485">
        <f t="shared" si="14"/>
        <v>3.6999999999999998E-2</v>
      </c>
      <c r="J124" s="1032">
        <v>0.62</v>
      </c>
      <c r="K124" s="1033">
        <f t="shared" si="15"/>
        <v>2.2939999999999999E-2</v>
      </c>
      <c r="AD124" s="2730">
        <v>1</v>
      </c>
    </row>
    <row r="125" spans="2:30" ht="15.75">
      <c r="B125" s="2738" t="str">
        <f t="shared" si="16"/>
        <v>A</v>
      </c>
      <c r="C125" s="2733">
        <f>LARGE(C115:C124,1)+1</f>
        <v>11</v>
      </c>
      <c r="D125" s="1474" t="s">
        <v>703</v>
      </c>
      <c r="E125" s="1474"/>
      <c r="F125" s="1475">
        <v>1</v>
      </c>
      <c r="G125" s="1475" t="s">
        <v>1906</v>
      </c>
      <c r="H125" s="1476"/>
      <c r="I125" s="1488">
        <f t="shared" si="14"/>
        <v>0</v>
      </c>
      <c r="J125" s="1026">
        <v>3.5</v>
      </c>
      <c r="K125" s="1027">
        <f t="shared" si="15"/>
        <v>3.5</v>
      </c>
      <c r="AD125" s="2730">
        <v>1</v>
      </c>
    </row>
    <row r="126" spans="2:30" ht="15.75">
      <c r="B126" s="2738" t="str">
        <f t="shared" si="16"/>
        <v>A</v>
      </c>
      <c r="C126" s="2734">
        <f>LARGE(C115:C125,1)+1</f>
        <v>12</v>
      </c>
      <c r="D126" s="1075" t="s">
        <v>1914</v>
      </c>
      <c r="E126" s="1075"/>
      <c r="F126" s="1483"/>
      <c r="G126" s="1483"/>
      <c r="H126" s="1484">
        <v>0.03</v>
      </c>
      <c r="I126" s="1485">
        <f t="shared" si="14"/>
        <v>0.03</v>
      </c>
      <c r="J126" s="1032">
        <v>0.06</v>
      </c>
      <c r="K126" s="1033">
        <f t="shared" si="15"/>
        <v>1.8E-3</v>
      </c>
      <c r="AD126" s="2730">
        <v>1</v>
      </c>
    </row>
    <row r="127" spans="2:30" ht="15.75">
      <c r="B127" s="2738" t="str">
        <f t="shared" si="16"/>
        <v>A</v>
      </c>
      <c r="C127" s="2733">
        <f>LARGE(C115:C126,1)+1</f>
        <v>13</v>
      </c>
      <c r="D127" s="1474" t="s">
        <v>1915</v>
      </c>
      <c r="E127" s="1474"/>
      <c r="F127" s="1475">
        <v>1</v>
      </c>
      <c r="G127" s="1475" t="s">
        <v>1916</v>
      </c>
      <c r="H127" s="1476"/>
      <c r="I127" s="1488">
        <f t="shared" si="14"/>
        <v>0</v>
      </c>
      <c r="J127" s="1026">
        <v>0.06</v>
      </c>
      <c r="K127" s="1027">
        <f t="shared" si="15"/>
        <v>0.06</v>
      </c>
      <c r="AD127" s="2730">
        <v>1</v>
      </c>
    </row>
    <row r="128" spans="2:30" ht="15.75">
      <c r="B128" s="2738" t="str">
        <f t="shared" si="16"/>
        <v>A</v>
      </c>
      <c r="C128" s="2734">
        <f>LARGE(C115:C127,1)+1</f>
        <v>14</v>
      </c>
      <c r="D128" s="1075" t="s">
        <v>1917</v>
      </c>
      <c r="E128" s="1075"/>
      <c r="F128" s="1483"/>
      <c r="G128" s="1483" t="s">
        <v>1918</v>
      </c>
      <c r="H128" s="1484"/>
      <c r="I128" s="1485">
        <f t="shared" si="14"/>
        <v>0</v>
      </c>
      <c r="J128" s="1032"/>
      <c r="K128" s="1033">
        <f t="shared" si="15"/>
        <v>0</v>
      </c>
      <c r="AD128" s="2730">
        <v>1</v>
      </c>
    </row>
    <row r="129" spans="2:30" ht="15.75">
      <c r="B129" s="2738" t="str">
        <f t="shared" si="16"/>
        <v>A</v>
      </c>
      <c r="C129" s="2733">
        <f>LARGE(C115:C128,1)+1</f>
        <v>15</v>
      </c>
      <c r="D129" s="1474" t="s">
        <v>1919</v>
      </c>
      <c r="E129" s="1474"/>
      <c r="F129" s="1475"/>
      <c r="G129" s="1475"/>
      <c r="H129" s="1476">
        <v>1</v>
      </c>
      <c r="I129" s="1488">
        <f t="shared" si="14"/>
        <v>1</v>
      </c>
      <c r="J129" s="1026">
        <v>19.3</v>
      </c>
      <c r="K129" s="1027">
        <f t="shared" si="15"/>
        <v>19.3</v>
      </c>
      <c r="AD129" s="2730">
        <v>1</v>
      </c>
    </row>
    <row r="130" spans="2:30" ht="15.75">
      <c r="B130" s="2738" t="str">
        <f t="shared" si="16"/>
        <v>A</v>
      </c>
      <c r="C130" s="2734">
        <f>LARGE(C115:C129,1)+1</f>
        <v>16</v>
      </c>
      <c r="D130" s="1075" t="s">
        <v>1920</v>
      </c>
      <c r="E130" s="1075"/>
      <c r="F130" s="1483">
        <v>0.5</v>
      </c>
      <c r="G130" s="1483" t="s">
        <v>1921</v>
      </c>
      <c r="H130" s="1484">
        <v>0.18</v>
      </c>
      <c r="I130" s="1485">
        <f t="shared" si="14"/>
        <v>0.09</v>
      </c>
      <c r="J130" s="1032">
        <v>0.7</v>
      </c>
      <c r="K130" s="1033">
        <f t="shared" si="15"/>
        <v>6.3E-2</v>
      </c>
      <c r="AD130" s="2730">
        <v>1</v>
      </c>
    </row>
    <row r="131" spans="2:30" ht="15.75">
      <c r="B131" s="2738" t="str">
        <f t="shared" si="16"/>
        <v>A</v>
      </c>
      <c r="C131" s="2733">
        <f>LARGE(C115:C130,1)+1</f>
        <v>17</v>
      </c>
      <c r="D131" s="1474" t="s">
        <v>1922</v>
      </c>
      <c r="E131" s="1474"/>
      <c r="F131" s="1475"/>
      <c r="G131" s="1475"/>
      <c r="H131" s="1476">
        <v>0.25</v>
      </c>
      <c r="I131" s="1488">
        <f t="shared" si="14"/>
        <v>0.25</v>
      </c>
      <c r="J131" s="1026">
        <v>1.97</v>
      </c>
      <c r="K131" s="1027">
        <f t="shared" si="15"/>
        <v>0.49249999999999999</v>
      </c>
      <c r="AD131" s="2730">
        <v>1</v>
      </c>
    </row>
    <row r="132" spans="2:30" ht="15.75">
      <c r="B132" s="2738" t="str">
        <f t="shared" si="16"/>
        <v>A</v>
      </c>
      <c r="C132" s="2734">
        <f>LARGE(C115:C131,1)+1</f>
        <v>18</v>
      </c>
      <c r="D132" s="1075" t="s">
        <v>1923</v>
      </c>
      <c r="E132" s="1075"/>
      <c r="F132" s="1483"/>
      <c r="G132" s="1483"/>
      <c r="H132" s="1484">
        <v>0.4</v>
      </c>
      <c r="I132" s="1485">
        <f t="shared" si="14"/>
        <v>0.4</v>
      </c>
      <c r="J132" s="1032">
        <v>4.12</v>
      </c>
      <c r="K132" s="1033">
        <f t="shared" si="15"/>
        <v>1.6480000000000001</v>
      </c>
      <c r="AD132" s="2730">
        <v>1</v>
      </c>
    </row>
    <row r="133" spans="2:30" ht="15.75">
      <c r="B133" s="2738" t="str">
        <f t="shared" si="16"/>
        <v>A</v>
      </c>
      <c r="C133" s="2733">
        <f>LARGE(C115:C132,1)+1</f>
        <v>19</v>
      </c>
      <c r="D133" s="1474" t="s">
        <v>1924</v>
      </c>
      <c r="E133" s="1474"/>
      <c r="F133" s="1475"/>
      <c r="G133" s="1475"/>
      <c r="H133" s="1476">
        <v>0.05</v>
      </c>
      <c r="I133" s="1488">
        <f t="shared" si="14"/>
        <v>0.05</v>
      </c>
      <c r="J133" s="1026">
        <v>0.41</v>
      </c>
      <c r="K133" s="1027">
        <f t="shared" si="15"/>
        <v>2.0500000000000001E-2</v>
      </c>
      <c r="AD133" s="2730">
        <v>1</v>
      </c>
    </row>
    <row r="134" spans="2:30" ht="15.75">
      <c r="B134" s="2738" t="str">
        <f t="shared" si="16"/>
        <v>A</v>
      </c>
      <c r="C134" s="2734">
        <f>LARGE(C115:C133,1)+1</f>
        <v>20</v>
      </c>
      <c r="D134" s="1075" t="s">
        <v>917</v>
      </c>
      <c r="E134" s="1075"/>
      <c r="F134" s="1483"/>
      <c r="G134" s="1483"/>
      <c r="H134" s="1484">
        <v>0.05</v>
      </c>
      <c r="I134" s="1485">
        <f t="shared" si="14"/>
        <v>0.05</v>
      </c>
      <c r="J134" s="1032">
        <v>0.11</v>
      </c>
      <c r="K134" s="1033">
        <f t="shared" si="15"/>
        <v>5.5000000000000005E-3</v>
      </c>
      <c r="AD134" s="2730">
        <v>1</v>
      </c>
    </row>
    <row r="135" spans="2:30" ht="15.75">
      <c r="B135" s="2738" t="str">
        <f t="shared" si="16"/>
        <v>A</v>
      </c>
      <c r="C135" s="2733">
        <f>LARGE(C115:C134,1)+1</f>
        <v>21</v>
      </c>
      <c r="D135" s="1474" t="s">
        <v>1925</v>
      </c>
      <c r="E135" s="1474"/>
      <c r="F135" s="1475"/>
      <c r="G135" s="1475"/>
      <c r="H135" s="1476">
        <v>0.03</v>
      </c>
      <c r="I135" s="1488">
        <f t="shared" si="14"/>
        <v>0.03</v>
      </c>
      <c r="J135" s="1026">
        <v>0.15</v>
      </c>
      <c r="K135" s="1027">
        <f t="shared" si="15"/>
        <v>4.4999999999999997E-3</v>
      </c>
      <c r="AD135" s="2730">
        <v>1</v>
      </c>
    </row>
    <row r="136" spans="2:30" ht="15.75">
      <c r="B136" s="2738" t="str">
        <f t="shared" si="16"/>
        <v>A</v>
      </c>
      <c r="C136" s="2734">
        <f>LARGE(C115:C135,1)+1</f>
        <v>22</v>
      </c>
      <c r="D136" s="1075" t="s">
        <v>1926</v>
      </c>
      <c r="E136" s="1075"/>
      <c r="F136" s="1483"/>
      <c r="G136" s="1483"/>
      <c r="H136" s="1484">
        <v>0.02</v>
      </c>
      <c r="I136" s="1485">
        <f t="shared" si="14"/>
        <v>0.02</v>
      </c>
      <c r="J136" s="1032">
        <v>0.14000000000000001</v>
      </c>
      <c r="K136" s="1033">
        <f t="shared" si="15"/>
        <v>2.8000000000000004E-3</v>
      </c>
      <c r="AD136" s="2730">
        <v>1</v>
      </c>
    </row>
    <row r="137" spans="2:30" ht="15.75">
      <c r="B137" s="2738" t="str">
        <f t="shared" si="16"/>
        <v>►</v>
      </c>
      <c r="C137" s="2733">
        <f>LARGE(C115:C136,1)+1</f>
        <v>23</v>
      </c>
      <c r="D137" s="1074"/>
      <c r="E137" s="1474"/>
      <c r="F137" s="1475"/>
      <c r="G137" s="1475"/>
      <c r="H137" s="1476"/>
      <c r="I137" s="1488">
        <f t="shared" si="14"/>
        <v>0</v>
      </c>
      <c r="J137" s="1026">
        <v>0</v>
      </c>
      <c r="K137" s="1027">
        <f t="shared" si="15"/>
        <v>0</v>
      </c>
      <c r="AD137" s="2730">
        <v>1</v>
      </c>
    </row>
    <row r="138" spans="2:30" ht="15.75">
      <c r="B138" s="2738" t="str">
        <f t="shared" si="16"/>
        <v>►</v>
      </c>
      <c r="C138" s="2734">
        <f>LARGE(C115:C137,1)+1</f>
        <v>24</v>
      </c>
      <c r="D138" s="1075"/>
      <c r="E138" s="1075"/>
      <c r="F138" s="1483"/>
      <c r="G138" s="1483"/>
      <c r="H138" s="1484"/>
      <c r="I138" s="1485">
        <f t="shared" si="14"/>
        <v>0</v>
      </c>
      <c r="J138" s="1032">
        <v>0</v>
      </c>
      <c r="K138" s="1033">
        <f t="shared" si="15"/>
        <v>0</v>
      </c>
      <c r="AD138" s="2730">
        <v>1</v>
      </c>
    </row>
    <row r="139" spans="2:30" ht="15.75">
      <c r="B139" s="2738" t="str">
        <f t="shared" si="16"/>
        <v>►</v>
      </c>
      <c r="C139" s="2733">
        <f>LARGE(C115:C138,1)+1</f>
        <v>25</v>
      </c>
      <c r="D139" s="1074"/>
      <c r="E139" s="1474"/>
      <c r="F139" s="1475"/>
      <c r="G139" s="1475"/>
      <c r="H139" s="1476"/>
      <c r="I139" s="1488">
        <f t="shared" si="14"/>
        <v>0</v>
      </c>
      <c r="J139" s="1026">
        <v>0</v>
      </c>
      <c r="K139" s="1027">
        <f t="shared" si="15"/>
        <v>0</v>
      </c>
      <c r="AD139" s="2730">
        <v>1</v>
      </c>
    </row>
    <row r="140" spans="2:30" ht="15.75">
      <c r="B140" s="2738" t="str">
        <f t="shared" si="16"/>
        <v>►</v>
      </c>
      <c r="C140" s="2734">
        <f>LARGE(C115:C139,1)+1</f>
        <v>26</v>
      </c>
      <c r="D140" s="1075"/>
      <c r="E140" s="1075"/>
      <c r="F140" s="1483"/>
      <c r="G140" s="1483"/>
      <c r="H140" s="1484"/>
      <c r="I140" s="1485">
        <f t="shared" si="14"/>
        <v>0</v>
      </c>
      <c r="J140" s="1032">
        <v>0</v>
      </c>
      <c r="K140" s="1033">
        <f t="shared" si="15"/>
        <v>0</v>
      </c>
      <c r="AD140" s="2730">
        <v>1</v>
      </c>
    </row>
    <row r="141" spans="2:30" ht="15.75">
      <c r="B141" s="2738" t="str">
        <f t="shared" si="16"/>
        <v>►</v>
      </c>
      <c r="C141" s="2733">
        <f>LARGE(C115:C140,1)+1</f>
        <v>27</v>
      </c>
      <c r="D141" s="1074"/>
      <c r="E141" s="1474"/>
      <c r="F141" s="1475"/>
      <c r="G141" s="1475"/>
      <c r="H141" s="1476"/>
      <c r="I141" s="1488">
        <f t="shared" si="14"/>
        <v>0</v>
      </c>
      <c r="J141" s="1026">
        <v>0</v>
      </c>
      <c r="K141" s="1027">
        <f t="shared" si="15"/>
        <v>0</v>
      </c>
      <c r="AD141" s="2730">
        <v>1</v>
      </c>
    </row>
    <row r="142" spans="2:30" ht="15.75">
      <c r="B142" s="2738" t="str">
        <f t="shared" si="16"/>
        <v>►</v>
      </c>
      <c r="C142" s="2734">
        <f>LARGE(C115:C141,1)+1</f>
        <v>28</v>
      </c>
      <c r="D142" s="1075"/>
      <c r="E142" s="1075"/>
      <c r="F142" s="1483"/>
      <c r="G142" s="1483"/>
      <c r="H142" s="1484"/>
      <c r="I142" s="1485">
        <f t="shared" si="14"/>
        <v>0</v>
      </c>
      <c r="J142" s="1032">
        <v>0</v>
      </c>
      <c r="K142" s="1033">
        <f t="shared" si="15"/>
        <v>0</v>
      </c>
      <c r="AD142" s="2730">
        <v>1</v>
      </c>
    </row>
    <row r="143" spans="2:30" ht="15.75">
      <c r="B143" s="2738" t="str">
        <f t="shared" si="16"/>
        <v>►</v>
      </c>
      <c r="C143" s="2733">
        <f>LARGE(C115:C142,1)+1</f>
        <v>29</v>
      </c>
      <c r="D143" s="1074"/>
      <c r="E143" s="1474"/>
      <c r="F143" s="1475"/>
      <c r="G143" s="1475"/>
      <c r="H143" s="1476"/>
      <c r="I143" s="1488">
        <f t="shared" si="14"/>
        <v>0</v>
      </c>
      <c r="J143" s="1026">
        <v>0</v>
      </c>
      <c r="K143" s="1027">
        <f t="shared" si="15"/>
        <v>0</v>
      </c>
      <c r="AD143" s="2730">
        <v>1</v>
      </c>
    </row>
    <row r="144" spans="2:30" ht="15.75">
      <c r="B144" s="2738" t="str">
        <f t="shared" si="16"/>
        <v>►</v>
      </c>
      <c r="C144" s="2734">
        <f>LARGE(C115:C143,1)+1</f>
        <v>30</v>
      </c>
      <c r="D144" s="1075"/>
      <c r="E144" s="1075"/>
      <c r="F144" s="1483"/>
      <c r="G144" s="1483"/>
      <c r="H144" s="1484"/>
      <c r="I144" s="1485">
        <f t="shared" si="14"/>
        <v>0</v>
      </c>
      <c r="J144" s="1032">
        <v>0</v>
      </c>
      <c r="K144" s="1033">
        <f t="shared" si="15"/>
        <v>0</v>
      </c>
      <c r="AD144" s="2730">
        <v>1</v>
      </c>
    </row>
    <row r="145" spans="1:30" ht="15.75">
      <c r="B145" s="2738" t="str">
        <f t="shared" si="16"/>
        <v>►</v>
      </c>
      <c r="C145" s="2733">
        <f>LARGE(C115:C144,1)+1</f>
        <v>31</v>
      </c>
      <c r="D145" s="1074"/>
      <c r="E145" s="1474"/>
      <c r="F145" s="1475"/>
      <c r="G145" s="1475"/>
      <c r="H145" s="1476"/>
      <c r="I145" s="1488">
        <f t="shared" si="14"/>
        <v>0</v>
      </c>
      <c r="J145" s="1026">
        <v>0</v>
      </c>
      <c r="K145" s="1027">
        <f t="shared" si="15"/>
        <v>0</v>
      </c>
      <c r="AD145" s="2730">
        <v>1</v>
      </c>
    </row>
    <row r="146" spans="1:30" ht="15.75">
      <c r="B146" s="2738" t="str">
        <f t="shared" si="16"/>
        <v>►</v>
      </c>
      <c r="C146" s="2734">
        <f>LARGE(C115:C145,1)+1</f>
        <v>32</v>
      </c>
      <c r="D146" s="1075"/>
      <c r="E146" s="1075"/>
      <c r="F146" s="1483"/>
      <c r="G146" s="1483"/>
      <c r="H146" s="1484"/>
      <c r="I146" s="1485">
        <f t="shared" si="14"/>
        <v>0</v>
      </c>
      <c r="J146" s="1032">
        <v>0</v>
      </c>
      <c r="K146" s="1033">
        <f t="shared" si="15"/>
        <v>0</v>
      </c>
      <c r="AD146" s="2730">
        <v>1</v>
      </c>
    </row>
    <row r="147" spans="1:30" ht="15.75">
      <c r="B147" s="2738" t="str">
        <f t="shared" si="16"/>
        <v>►</v>
      </c>
      <c r="C147" s="2733">
        <f>LARGE(C115:C146,1)+1</f>
        <v>33</v>
      </c>
      <c r="D147" s="1074"/>
      <c r="E147" s="1474"/>
      <c r="F147" s="1475"/>
      <c r="G147" s="1475"/>
      <c r="H147" s="1476"/>
      <c r="I147" s="1488">
        <f t="shared" si="14"/>
        <v>0</v>
      </c>
      <c r="J147" s="1026">
        <v>0</v>
      </c>
      <c r="K147" s="1027">
        <f t="shared" si="15"/>
        <v>0</v>
      </c>
      <c r="AD147" s="2730">
        <v>1</v>
      </c>
    </row>
    <row r="148" spans="1:30" ht="15.75">
      <c r="B148" s="2738" t="str">
        <f t="shared" si="16"/>
        <v>►</v>
      </c>
      <c r="C148" s="2734">
        <f>LARGE(C115:C147,1)+1</f>
        <v>34</v>
      </c>
      <c r="D148" s="1075"/>
      <c r="E148" s="1075"/>
      <c r="F148" s="1483"/>
      <c r="G148" s="1483"/>
      <c r="H148" s="1484"/>
      <c r="I148" s="1485">
        <f t="shared" si="14"/>
        <v>0</v>
      </c>
      <c r="J148" s="1032">
        <v>0</v>
      </c>
      <c r="K148" s="1033">
        <f t="shared" si="15"/>
        <v>0</v>
      </c>
      <c r="AD148" s="2730">
        <v>1</v>
      </c>
    </row>
    <row r="149" spans="1:30" ht="15.75">
      <c r="B149" s="2738" t="str">
        <f t="shared" si="16"/>
        <v>►</v>
      </c>
      <c r="C149" s="2733">
        <f>LARGE(C115:C148,1)+1</f>
        <v>35</v>
      </c>
      <c r="D149" s="1074"/>
      <c r="E149" s="1474"/>
      <c r="F149" s="1475"/>
      <c r="G149" s="1475"/>
      <c r="H149" s="1476"/>
      <c r="I149" s="1488">
        <f t="shared" si="14"/>
        <v>0</v>
      </c>
      <c r="J149" s="1026">
        <v>0</v>
      </c>
      <c r="K149" s="1027">
        <f t="shared" si="15"/>
        <v>0</v>
      </c>
      <c r="AD149" s="2730">
        <v>1</v>
      </c>
    </row>
    <row r="150" spans="1:30" ht="15.75">
      <c r="B150" s="2738" t="str">
        <f t="shared" si="16"/>
        <v>►</v>
      </c>
      <c r="C150" s="2734">
        <f>LARGE(C115:C149,1)+1</f>
        <v>36</v>
      </c>
      <c r="D150" s="1075"/>
      <c r="E150" s="1075"/>
      <c r="F150" s="1483"/>
      <c r="G150" s="1483"/>
      <c r="H150" s="1484"/>
      <c r="I150" s="1485">
        <f t="shared" si="14"/>
        <v>0</v>
      </c>
      <c r="J150" s="1032">
        <v>0</v>
      </c>
      <c r="K150" s="1033">
        <f t="shared" si="15"/>
        <v>0</v>
      </c>
      <c r="AD150" s="2730">
        <v>1</v>
      </c>
    </row>
    <row r="151" spans="1:30" ht="15.75">
      <c r="B151" s="2738" t="str">
        <f t="shared" si="16"/>
        <v>►</v>
      </c>
      <c r="C151" s="2733">
        <f>LARGE(C115:C150,1)+1</f>
        <v>37</v>
      </c>
      <c r="D151" s="1074"/>
      <c r="E151" s="1474"/>
      <c r="F151" s="1475"/>
      <c r="G151" s="1475"/>
      <c r="H151" s="1476"/>
      <c r="I151" s="1488">
        <f t="shared" si="14"/>
        <v>0</v>
      </c>
      <c r="J151" s="1026">
        <v>0</v>
      </c>
      <c r="K151" s="1027">
        <f t="shared" si="15"/>
        <v>0</v>
      </c>
      <c r="AD151" s="2730">
        <v>1</v>
      </c>
    </row>
    <row r="152" spans="1:30" ht="15.75">
      <c r="B152" s="2928" t="s">
        <v>337</v>
      </c>
      <c r="C152" s="2734">
        <f>LARGE(C115:C151,1)+1</f>
        <v>38</v>
      </c>
      <c r="D152" s="1075"/>
      <c r="E152" s="1075"/>
      <c r="F152" s="1483"/>
      <c r="G152" s="1483"/>
      <c r="H152" s="1484"/>
      <c r="I152" s="1485">
        <f t="shared" si="14"/>
        <v>0</v>
      </c>
      <c r="J152" s="1032">
        <v>0</v>
      </c>
      <c r="K152" s="1033">
        <f t="shared" si="15"/>
        <v>0</v>
      </c>
      <c r="AD152" s="2730">
        <v>1</v>
      </c>
    </row>
    <row r="153" spans="1:30" ht="16.5" thickBot="1">
      <c r="B153" s="2928" t="s">
        <v>337</v>
      </c>
      <c r="C153" s="2944">
        <f>LARGE(C115:C152,1)+1</f>
        <v>39</v>
      </c>
      <c r="D153" s="1499"/>
      <c r="E153" s="7706"/>
      <c r="F153" s="1500"/>
      <c r="G153" s="1500"/>
      <c r="H153" s="1501"/>
      <c r="I153" s="1502">
        <f t="shared" si="14"/>
        <v>0</v>
      </c>
      <c r="J153" s="1503">
        <v>0</v>
      </c>
      <c r="K153" s="1504">
        <f t="shared" si="15"/>
        <v>0</v>
      </c>
      <c r="AD153" s="2730">
        <v>1</v>
      </c>
    </row>
    <row r="154" spans="1:30" ht="17.25" thickTop="1" thickBot="1">
      <c r="B154" s="2928" t="s">
        <v>337</v>
      </c>
      <c r="C154" s="7857" t="s">
        <v>20</v>
      </c>
      <c r="D154" s="7858"/>
      <c r="E154" s="1079"/>
      <c r="F154" s="1079">
        <f>SUM(F115:F153)</f>
        <v>10</v>
      </c>
      <c r="G154" s="1505"/>
      <c r="H154" s="1040"/>
      <c r="I154" s="1040">
        <f>SUM(I115:I153)</f>
        <v>2.7049999999999996</v>
      </c>
      <c r="J154" s="1044"/>
      <c r="K154" s="1506"/>
      <c r="AD154" s="2730">
        <v>1</v>
      </c>
    </row>
    <row r="155" spans="1:30" ht="19.5" thickTop="1">
      <c r="B155" s="2928" t="s">
        <v>337</v>
      </c>
      <c r="C155" s="1507"/>
      <c r="D155" s="1507"/>
      <c r="E155" s="1507"/>
      <c r="F155" s="1507"/>
      <c r="G155" s="1507"/>
      <c r="H155" s="1508"/>
      <c r="I155" s="1509" t="s">
        <v>1933</v>
      </c>
      <c r="J155" s="1510">
        <v>10</v>
      </c>
      <c r="K155" s="1511">
        <f>SUM(K115:K153)</f>
        <v>29.68243</v>
      </c>
      <c r="AD155" s="2730">
        <v>1</v>
      </c>
    </row>
    <row r="156" spans="1:30" ht="15.75">
      <c r="B156" s="2928" t="s">
        <v>337</v>
      </c>
      <c r="C156" s="394"/>
      <c r="D156" s="394"/>
      <c r="E156" s="394"/>
      <c r="F156" s="394"/>
      <c r="G156" s="394"/>
      <c r="H156" s="34"/>
      <c r="I156" s="1512" t="s">
        <v>1934</v>
      </c>
      <c r="J156" s="1513">
        <v>0.02</v>
      </c>
      <c r="K156" s="1514">
        <f>K155*J156</f>
        <v>0.59364859999999997</v>
      </c>
      <c r="AD156" s="2730">
        <v>1</v>
      </c>
    </row>
    <row r="157" spans="1:30" ht="16.5" thickBot="1">
      <c r="B157" s="2942" t="s">
        <v>337</v>
      </c>
      <c r="C157" s="1515"/>
      <c r="D157" s="1515"/>
      <c r="E157" s="1515"/>
      <c r="F157" s="1515"/>
      <c r="G157" s="1515"/>
      <c r="H157" s="1515"/>
      <c r="I157" s="1516" t="s">
        <v>1935</v>
      </c>
      <c r="J157" s="1517"/>
      <c r="K157" s="1518">
        <f>(K155+K156)/J155</f>
        <v>3.0276078600000003</v>
      </c>
      <c r="AD157" s="2730">
        <v>1</v>
      </c>
    </row>
    <row r="158" spans="1:30">
      <c r="AD158" s="2927" t="s">
        <v>7037</v>
      </c>
    </row>
    <row r="159" spans="1:30" ht="15">
      <c r="A159" s="2730">
        <v>1</v>
      </c>
      <c r="B159" s="2730">
        <v>1</v>
      </c>
      <c r="C159" s="2730">
        <v>1</v>
      </c>
      <c r="D159" s="2730">
        <v>1</v>
      </c>
      <c r="E159" s="2730"/>
      <c r="F159" s="2730">
        <v>1</v>
      </c>
      <c r="G159" s="2730">
        <v>1</v>
      </c>
      <c r="H159" s="2730">
        <v>1</v>
      </c>
      <c r="I159" s="2730">
        <v>1</v>
      </c>
      <c r="J159" s="2730">
        <v>1</v>
      </c>
      <c r="K159" s="2730">
        <v>1</v>
      </c>
      <c r="L159" s="2730">
        <v>1</v>
      </c>
      <c r="M159" s="2730">
        <v>1</v>
      </c>
      <c r="N159" s="2730">
        <v>1</v>
      </c>
      <c r="O159" s="2730">
        <v>1</v>
      </c>
      <c r="P159" s="2730">
        <v>1</v>
      </c>
      <c r="Q159" s="2730">
        <v>1</v>
      </c>
      <c r="R159" s="2730">
        <v>1</v>
      </c>
      <c r="S159" s="2730">
        <v>1</v>
      </c>
      <c r="T159" s="2730">
        <v>1</v>
      </c>
      <c r="U159" s="2730">
        <v>1</v>
      </c>
      <c r="V159" s="2730">
        <v>1</v>
      </c>
      <c r="W159" s="2730">
        <v>1</v>
      </c>
      <c r="X159" s="2730">
        <v>1</v>
      </c>
      <c r="Y159" s="2730">
        <v>1</v>
      </c>
      <c r="Z159" s="2730">
        <v>1</v>
      </c>
      <c r="AA159" s="2730">
        <v>1</v>
      </c>
      <c r="AB159" s="2730">
        <v>1</v>
      </c>
      <c r="AC159" s="2730">
        <v>1</v>
      </c>
      <c r="AD159" s="2732" t="str">
        <f>ADDRESS(ROW(),COLUMN(),4)</f>
        <v>AD159</v>
      </c>
    </row>
  </sheetData>
  <mergeCells count="36">
    <mergeCell ref="C111:K111"/>
    <mergeCell ref="I112:J113"/>
    <mergeCell ref="K112:K113"/>
    <mergeCell ref="C114:D114"/>
    <mergeCell ref="C154:D154"/>
    <mergeCell ref="V102:AB102"/>
    <mergeCell ref="C106:D106"/>
    <mergeCell ref="C108:J109"/>
    <mergeCell ref="K108:K109"/>
    <mergeCell ref="C110:K110"/>
    <mergeCell ref="C63:R63"/>
    <mergeCell ref="U63:AB63"/>
    <mergeCell ref="J64:M65"/>
    <mergeCell ref="N64:N65"/>
    <mergeCell ref="C66:D66"/>
    <mergeCell ref="V52:AB52"/>
    <mergeCell ref="C56:D56"/>
    <mergeCell ref="R61:R62"/>
    <mergeCell ref="U61:AA62"/>
    <mergeCell ref="AB61:AB62"/>
    <mergeCell ref="C61:Q62"/>
    <mergeCell ref="C13:R13"/>
    <mergeCell ref="U13:AB13"/>
    <mergeCell ref="J14:M15"/>
    <mergeCell ref="N14:P15"/>
    <mergeCell ref="C16:D16"/>
    <mergeCell ref="J16:L16"/>
    <mergeCell ref="N16:P16"/>
    <mergeCell ref="AC1:AC2"/>
    <mergeCell ref="C5:AB7"/>
    <mergeCell ref="H9:R9"/>
    <mergeCell ref="W9:AB9"/>
    <mergeCell ref="C11:Q12"/>
    <mergeCell ref="R11:R12"/>
    <mergeCell ref="U11:AA12"/>
    <mergeCell ref="AB11:AB12"/>
  </mergeCells>
  <conditionalFormatting sqref="E17:E55">
    <cfRule type="expression" dxfId="48" priority="1">
      <formula>LEFT(E17,1)="⚠"</formula>
    </cfRule>
    <cfRule type="expression" dxfId="47" priority="2">
      <formula>LEFT(E17,4)="info"</formula>
    </cfRule>
    <cfRule type="expression" dxfId="46" priority="3">
      <formula>LEFT(E17,1)="⚠"</formula>
    </cfRule>
    <cfRule type="expression" dxfId="45" priority="4">
      <formula>LEFT(E17,4)="info"</formula>
    </cfRule>
  </conditionalFormatting>
  <hyperlinks>
    <hyperlink ref="H9" r:id="rId1" xr:uid="{00000000-0004-0000-0300-000000000000}"/>
    <hyperlink ref="W9" r:id="rId2" xr:uid="{00000000-0004-0000-0300-000001000000}"/>
    <hyperlink ref="V52" r:id="rId3" xr:uid="{00000000-0004-0000-0300-000002000000}"/>
    <hyperlink ref="V102" r:id="rId4" xr:uid="{00000000-0004-0000-0300-000003000000}"/>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41</vt:i4>
      </vt:variant>
      <vt:variant>
        <vt:lpstr>Plages nommées</vt:lpstr>
      </vt:variant>
      <vt:variant>
        <vt:i4>9</vt:i4>
      </vt:variant>
    </vt:vector>
  </HeadingPairs>
  <TitlesOfParts>
    <vt:vector size="50" baseType="lpstr">
      <vt:lpstr>Magique.et.Allergènes </vt:lpstr>
      <vt:lpstr>Joël.Leboucher</vt:lpstr>
      <vt:lpstr>Nota</vt:lpstr>
      <vt:lpstr>IMPORTANT</vt:lpstr>
      <vt:lpstr>Transmission des savoirs.2025</vt:lpstr>
      <vt:lpstr>Exemples Michel Mariette</vt:lpstr>
      <vt:lpstr>Modèle Progression en suivant</vt:lpstr>
      <vt:lpstr>Modèle Progression à coté</vt:lpstr>
      <vt:lpstr>Modèle de récap</vt:lpstr>
      <vt:lpstr>recettes.diverses</vt:lpstr>
      <vt:lpstr>BB madére</vt:lpstr>
      <vt:lpstr>BB porto</vt:lpstr>
      <vt:lpstr>BB kirsch</vt:lpstr>
      <vt:lpstr>BB orange cointreau</vt:lpstr>
      <vt:lpstr>BB au cêpes</vt:lpstr>
      <vt:lpstr>BB coganc</vt:lpstr>
      <vt:lpstr>BB truffé</vt:lpstr>
      <vt:lpstr>Boutique OLIDA PARIS</vt:lpstr>
      <vt:lpstr>Produits OLIDA</vt:lpstr>
      <vt:lpstr>OLIDA Levallois 1892 1984</vt:lpstr>
      <vt:lpstr>différence Portion et Poids</vt:lpstr>
      <vt:lpstr>tableau.magique.05.12.20</vt:lpstr>
      <vt:lpstr>Epurer un texte</vt:lpstr>
      <vt:lpstr>Contenants</vt:lpstr>
      <vt:lpstr>Grammages GEMRCN</vt:lpstr>
      <vt:lpstr>Grammages GMRCN bis</vt:lpstr>
      <vt:lpstr>A Savoir</vt:lpstr>
      <vt:lpstr>Poids fruits et légumes</vt:lpstr>
      <vt:lpstr>Cuisiniers.Pesez</vt:lpstr>
      <vt:lpstr>Vocabulaire.(1).2025</vt:lpstr>
      <vt:lpstr>Vocabulaire.(2).2025</vt:lpstr>
      <vt:lpstr>pourcentages</vt:lpstr>
      <vt:lpstr>aides cuisine</vt:lpstr>
      <vt:lpstr>peser.sans.balance.31.01.2025</vt:lpstr>
      <vt:lpstr>Couleurs</vt:lpstr>
      <vt:lpstr>ChatGPT</vt:lpstr>
      <vt:lpstr>Emoticones </vt:lpstr>
      <vt:lpstr>Polices de Symboles</vt:lpstr>
      <vt:lpstr>Formats-formules-pourcentages</vt:lpstr>
      <vt:lpstr>Formats-Formules-Fonctions</vt:lpstr>
      <vt:lpstr>Tutos Youtube</vt:lpstr>
      <vt:lpstr>'Grammages GEMRCN'!Impression_des_titres</vt:lpstr>
      <vt:lpstr>'BB au cêpes'!Zone_d_impression</vt:lpstr>
      <vt:lpstr>'BB coganc'!Zone_d_impression</vt:lpstr>
      <vt:lpstr>'BB kirsch'!Zone_d_impression</vt:lpstr>
      <vt:lpstr>'BB madére'!Zone_d_impression</vt:lpstr>
      <vt:lpstr>'BB orange cointreau'!Zone_d_impression</vt:lpstr>
      <vt:lpstr>'BB porto'!Zone_d_impression</vt:lpstr>
      <vt:lpstr>'BB truffé'!Zone_d_impression</vt:lpstr>
      <vt:lpstr>'Grammages GEMRCN'!Zone_d_impression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Leboucher</dc:creator>
  <cp:lastModifiedBy>Joël Leboucher</cp:lastModifiedBy>
  <cp:lastPrinted>2017-12-15T12:30:31Z</cp:lastPrinted>
  <dcterms:created xsi:type="dcterms:W3CDTF">2017-12-03T06:58:41Z</dcterms:created>
  <dcterms:modified xsi:type="dcterms:W3CDTF">2026-08-23T13:12:49Z</dcterms:modified>
</cp:coreProperties>
</file>